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Compw\Desktop\"/>
    </mc:Choice>
  </mc:AlternateContent>
  <xr:revisionPtr revIDLastSave="0" documentId="13_ncr:1_{47FA5BE4-D51B-410D-8AD2-95957932BD91}" xr6:coauthVersionLast="47" xr6:coauthVersionMax="47" xr10:uidLastSave="{00000000-0000-0000-0000-000000000000}"/>
  <workbookProtection workbookAlgorithmName="SHA-512" workbookHashValue="472pwrEmhAkKCFHi8n8EOWSeOqQlxyU4r1n+dLVGmDWAS0zG0tfxmbdVTvaonhnRoIX6ps0ybxalFCbhoLDeig==" workbookSaltValue="WbBmA2gDCKIzPMOpOhXviw==" workbookSpinCount="100000" lockStructure="1"/>
  <bookViews>
    <workbookView xWindow="-110" yWindow="-110" windowWidth="38620" windowHeight="21100" tabRatio="850" firstSheet="3" activeTab="5" xr2:uid="{00000000-000D-0000-FFFF-FFFF00000000}"/>
  </bookViews>
  <sheets>
    <sheet name="DataManagement" sheetId="29" state="hidden" r:id="rId1"/>
    <sheet name="Sheet1" sheetId="30" state="hidden" r:id="rId2"/>
    <sheet name="Data" sheetId="1" state="hidden" r:id="rId3"/>
    <sheet name="Instructions" sheetId="23" r:id="rId4"/>
    <sheet name="ConsolidatedData (Original)" sheetId="31" state="hidden" r:id="rId5"/>
    <sheet name="CoverPage" sheetId="2" r:id="rId6"/>
    <sheet name="Application" sheetId="24" state="hidden" r:id="rId7"/>
    <sheet name="ProjectData" sheetId="28" state="hidden" r:id="rId8"/>
    <sheet name="CountyScores" sheetId="20" r:id="rId9"/>
    <sheet name="S1SHTAData" sheetId="18" state="hidden" r:id="rId10"/>
    <sheet name="S1OORData" sheetId="19" state="hidden" r:id="rId11"/>
    <sheet name="S1MAData" sheetId="16" state="hidden" r:id="rId12"/>
    <sheet name="S1AMHData" sheetId="17" state="hidden" r:id="rId13"/>
    <sheet name="DocumentDescriptions" sheetId="21" state="hidden" r:id="rId14"/>
    <sheet name="CountySeat" sheetId="27" state="hidden" r:id="rId15"/>
    <sheet name="CHMAData" sheetId="4" state="hidden" r:id="rId16"/>
    <sheet name="CHOORData" sheetId="7" state="hidden" r:id="rId17"/>
    <sheet name="CHSHTAData" sheetId="10" state="hidden" r:id="rId18"/>
    <sheet name="CHSHData" sheetId="11" state="hidden" r:id="rId19"/>
    <sheet name="CHADUData" sheetId="12" state="hidden" r:id="rId20"/>
  </sheets>
  <functionGroups builtInGroupCount="19"/>
  <definedNames>
    <definedName name="_xlnm._FilterDatabase" localSheetId="4" hidden="1">'ConsolidatedData (Original)'!$A$1:$BU$1603</definedName>
    <definedName name="_xlnm._FilterDatabase" localSheetId="2" hidden="1">Data!$A$1:$D$1679</definedName>
    <definedName name="_xlnm._FilterDatabase" localSheetId="13" hidden="1">DocumentDescriptions!$A$1:$D$90</definedName>
    <definedName name="APP_Applicant1">Application!$F$4</definedName>
    <definedName name="APP_Applicant1Address">Application!$F$6</definedName>
    <definedName name="APP_Applicant1AltRep">Application!$F$12</definedName>
    <definedName name="APP_Applicant1AltRepEmail">Application!$F$13</definedName>
    <definedName name="APP_Applicant1AltRepPhone">Application!$V$13</definedName>
    <definedName name="APP_Applicant1AltRepTitle">Application!$V$12</definedName>
    <definedName name="APP_Applicant1City">Application!$F$7</definedName>
    <definedName name="APP_Applicant1ControllingNP">Application!$F$15</definedName>
    <definedName name="APP_Applicant1ControllingNPAddress">Application!$F$17</definedName>
    <definedName name="APP_Applicant1ControllingNPCEO">Application!$F$16</definedName>
    <definedName name="APP_Applicant1ControllingNPCity">Application!$F$18</definedName>
    <definedName name="APP_Applicant1ControllingNPContact">Application!$F$20</definedName>
    <definedName name="APP_Applicant1ControllingNPContactEmail">Application!$F$21</definedName>
    <definedName name="APP_Applicant1ControllingNPContactPhone">Application!$V$21</definedName>
    <definedName name="APP_Applicant1ControllingNPContactTitle">Application!$V$20</definedName>
    <definedName name="APP_Applicant1ControllingNPDBA">Application!$V$15</definedName>
    <definedName name="APP_Applicant1ControllingNPState">Application!$Z$18</definedName>
    <definedName name="APP_Applicant1ControllingNPZip">Application!$AD$18</definedName>
    <definedName name="APP_Applicant1Rep">Application!$F$9</definedName>
    <definedName name="APP_Applicant1RepEmail">Application!$F$10</definedName>
    <definedName name="APP_Applicant1RepPhone">Application!$V$10</definedName>
    <definedName name="APP_Applicant1RepTitle">Application!$V$9</definedName>
    <definedName name="APP_Applicant1State">Application!$Z$7</definedName>
    <definedName name="APP_Applicant1Type">Application!$F$5</definedName>
    <definedName name="APP_Applicant1Zip">Application!$AD$7</definedName>
    <definedName name="APP_Applicant2">Application!$F$23</definedName>
    <definedName name="APP_Applicant2Address">Application!$F$25</definedName>
    <definedName name="APP_Applicant2AltRep">Application!$F$31</definedName>
    <definedName name="APP_Applicant2AltRepEmail">Application!$F$32</definedName>
    <definedName name="APP_Applicant2AltRepPhone">Application!$V$32</definedName>
    <definedName name="APP_Applicant2AltRepTitle">Application!$V$31</definedName>
    <definedName name="APP_Applicant2City">Application!$F$26</definedName>
    <definedName name="APP_Applicant2ControllingNP">Application!$F$34</definedName>
    <definedName name="APP_Applicant2ControllingNPAddress">Application!$F$36</definedName>
    <definedName name="APP_Applicant2ControllingNPCEO">Application!$F$35</definedName>
    <definedName name="APP_Applicant2ControllingNPCity">Application!$F$37</definedName>
    <definedName name="APP_Applicant2ControllingNPContact">Application!$F$39</definedName>
    <definedName name="APP_Applicant2ControllingNPContactEmail">Application!$F$40</definedName>
    <definedName name="APP_Applicant2ControllingNPContactPhone">Application!$V$40</definedName>
    <definedName name="APP_Applicant2ControllingNPContactTitle">Application!$V$39</definedName>
    <definedName name="APP_Applicant2ControllingNPDBA">Application!$V$34</definedName>
    <definedName name="APP_Applicant2ControllingNPState">Application!$Z$37</definedName>
    <definedName name="APP_Applicant2ControllingNPZip">Application!$AD$37</definedName>
    <definedName name="APP_Applicant2Rep">Application!$F$28</definedName>
    <definedName name="APP_Applicant2RepEmail">Application!$F$29</definedName>
    <definedName name="APP_Applicant2RepPhone">Application!$V$29</definedName>
    <definedName name="APP_Applicant2RepTitle">Application!$V$20</definedName>
    <definedName name="APP_Applicant2State">Application!$Z$26</definedName>
    <definedName name="APP_Applicant2Type">Application!$F$24</definedName>
    <definedName name="APP_Applicant2Zip">Application!$AD$26</definedName>
    <definedName name="APP_ApplyingForCalHome">Application!$B$44</definedName>
    <definedName name="APP_ApplyingForSerna">Application!$B$1917</definedName>
    <definedName name="APP_Preparer">Application!$F$42</definedName>
    <definedName name="APP_PreparerTitle">Application!$V$42</definedName>
    <definedName name="CH_ADU_2YearsExpInLast4Years">Application!$AF$497</definedName>
    <definedName name="CH_ADU_30DayTenancy">Application!$AF$519</definedName>
    <definedName name="CH_ADU_AdministrationPlan">Application!$B$532</definedName>
    <definedName name="CH_ADU_ApplyingForRuralAreaSetAside">CHADUData!$M$61</definedName>
    <definedName name="CH_ADU_BorrowersMaintainInsurance">Application!$AF$518</definedName>
    <definedName name="CH_ADU_CompletionStatus">Application!$I$495</definedName>
    <definedName name="CH_ADU_DevelopAndEmployGuidelines">Application!$AF$516</definedName>
    <definedName name="CH_ADU_InHighResourceArea">CHADUData!$L$61</definedName>
    <definedName name="CH_ADU_ObtainTitleInsurance">Application!$AF$517</definedName>
    <definedName name="CH_ADU_PreviousProgram1">Application!$B$505</definedName>
    <definedName name="CH_ADU_PreviousProgram2">Application!$B$507</definedName>
    <definedName name="CH_ADU_PreviousProgram3">Application!$B$509</definedName>
    <definedName name="CH_ADU_PreviousProgram4">Application!$B$511</definedName>
    <definedName name="CH_ADU_PreviousProgram5">Application!$B$513</definedName>
    <definedName name="CH_ADU_PreviousProgramEnd1">Application!$AB$505</definedName>
    <definedName name="CH_ADU_PreviousProgramEnd2">Application!$AB$507</definedName>
    <definedName name="CH_ADU_PreviousProgramEnd3">Application!$AB$509</definedName>
    <definedName name="CH_ADU_PreviousProgramEnd4">Application!$AB$511</definedName>
    <definedName name="CH_ADU_PreviousProgramEnd5">Application!$AB$513</definedName>
    <definedName name="CH_ADU_PreviousProgramStart1">Application!$Y$505</definedName>
    <definedName name="CH_ADU_PreviousProgramStart2">Application!$Y$507</definedName>
    <definedName name="CH_ADU_PreviousProgramStart3">Application!$Y$509</definedName>
    <definedName name="CH_ADU_PreviousProgramStart4">Application!$Y$511</definedName>
    <definedName name="CH_ADU_PreviousProgramStart5">Application!$Y$513</definedName>
    <definedName name="CH_ADU_PreviousProgramUnits1">Application!$V$505</definedName>
    <definedName name="CH_ADU_PreviousProgramUnits2">Application!$V$507</definedName>
    <definedName name="CH_ADU_PreviousProgramUnits3">Application!$V$509</definedName>
    <definedName name="CH_ADU_PreviousProgramUnits4">Application!$V$511</definedName>
    <definedName name="CH_ADU_PreviousProgramUnits5">Application!$V$513</definedName>
    <definedName name="CH_ADU_ProgramDescription">Application!$B$525</definedName>
    <definedName name="CH_ADU_RuralCapabilityPoints">Application!$O$684</definedName>
    <definedName name="CH_ADU_RuralCommunityNeedPoints">Application!$O$685</definedName>
    <definedName name="CH_ADU_RuralFeasibilityPoints">Application!$O$686</definedName>
    <definedName name="CH_ADU_RuralHousingSupplyPoints">Application!$O$689</definedName>
    <definedName name="CH_ADU_RuralProHousingPoints">Application!$O$690</definedName>
    <definedName name="CH_ADU_RuralRevitalizationPoints">Application!$O$687</definedName>
    <definedName name="CH_ADU_RuralTotalRequestable">CHADUData!$W$61</definedName>
    <definedName name="CH_ADU_RuralTotalRequested">CHADUData!$Y$61</definedName>
    <definedName name="CH_ADU_RuralTotalUnits">CHADUData!$V$61</definedName>
    <definedName name="CH_ADU_UnrestrictedCapabilityPoints">Application!$O$604</definedName>
    <definedName name="CH_ADU_UnrestrictedCommunityNeedPoints">Application!$O$605</definedName>
    <definedName name="CH_ADU_UnrestrictedFeasibilityPoints">Application!$O$606</definedName>
    <definedName name="CH_ADU_UnrestrictedHousingSupplyPoints">Application!$O$609</definedName>
    <definedName name="CH_ADU_UnrestrictedProHousingPoints">Application!$O$610</definedName>
    <definedName name="CH_ADU_UnrestrictedRevitalizationPoints">Application!$O$607</definedName>
    <definedName name="CH_ADU_UnrestrictedTotalRequestable">CHADUData!$O$61</definedName>
    <definedName name="CH_ADU_UnrestrictedTotalRequested">CHADUData!$Q$61</definedName>
    <definedName name="CH_ADU_UnrestrictedTotalUnits">CHADUData!$N$61</definedName>
    <definedName name="CH_ER_ADUsNotInHousehold">Application!$AF$59</definedName>
    <definedName name="CH_ER_CBD2ProgramsIn10Mi">Application!$AF$90</definedName>
    <definedName name="CH_ER_CBD2YHousingDevExperience">Application!$AF$113</definedName>
    <definedName name="CH_ER_CBD2YHousingDevExpOr523Grant">Application!$AF$114</definedName>
    <definedName name="CH_ER_CBD2YrsInModResOrHighSegPov">Application!$AF$87</definedName>
    <definedName name="CH_ER_CBD5YrExpToLowIncome">Application!$AF$88</definedName>
    <definedName name="CH_ER_CBDCultAndLingCompet">Application!$AF$105</definedName>
    <definedName name="CH_ER_CBDDemKnowAndCommit">Application!$AF$103</definedName>
    <definedName name="CH_ER_CBDEduAndLiteracy">Application!$AF$91</definedName>
    <definedName name="CH_ER_CBDEmergencyAndCrisis">Application!$AF$92</definedName>
    <definedName name="CH_ER_CBDEnvironmental">Application!$AF$93</definedName>
    <definedName name="CH_ER_CBDGrantFundsForServices">Application!$AF$104</definedName>
    <definedName name="CH_ER_CBDHealthAndWellness">Application!$AF$94</definedName>
    <definedName name="CH_ER_CBDHousingAndEconDev">Application!$AF$95</definedName>
    <definedName name="CH_ER_CBDHQOr3ProjectsIn10mi">Application!$AF$89</definedName>
    <definedName name="CH_ER_CBDHumanAndSocialServices">Application!$AF$96</definedName>
    <definedName name="CH_ER_CBDIsAnEligibleNonProfit">Application!$AF$117</definedName>
    <definedName name="CH_ER_CBDMembershipAndRecruitment">Application!$AF$107</definedName>
    <definedName name="CH_ER_CBDNutritionAndFoodSecurity">Application!$AF$97</definedName>
    <definedName name="CH_ER_CBDRecHiringfromCommunity">Application!$AF$106</definedName>
    <definedName name="CH_ER_CBDSenior">Application!$AF$102</definedName>
    <definedName name="CH_ER_CBDTaxExemptPurposeActivity">Application!$AF$115</definedName>
    <definedName name="CH_ER_ComplyWithAdminRequirements">Application!$AF$56</definedName>
    <definedName name="CH_ER_ConstructionNotStarted">Application!$AF$55</definedName>
    <definedName name="CH_ER_EligibleApplicant">Application!$AF$71</definedName>
    <definedName name="CH_ER_HasAuthorityAndMeetsPrereqs">Application!$AF$47</definedName>
    <definedName name="CH_ER_LoanServicingPlan">Application!$AF$60</definedName>
    <definedName name="CH_ER_LoansWillIncludeTerms">Application!$AF$58</definedName>
    <definedName name="CH_ER_LPE2YHousingDevExp">Application!$AF$79</definedName>
    <definedName name="CH_ER_LPEProHousingDesignation">Application!$AF$80</definedName>
    <definedName name="CH_ER_LPEProjectInJusisdiction">Application!$AF$77</definedName>
    <definedName name="CH_ER_LPESingleAdministrator">Application!$AF$78</definedName>
    <definedName name="CH_ER_NP2YHousingDevExperience">Application!$AF$67</definedName>
    <definedName name="CH_ER_NP2YrProgramExpOr523Grant">Application!$AF$68</definedName>
    <definedName name="CH_ER_NPTaxExemptPurposeActivity">Application!$AF$69</definedName>
    <definedName name="CH_ER_OnlyEligibleCostsPaidWithAward">Application!$AF$48</definedName>
    <definedName name="CH_ER_OnlyEligibleHouseholds">Application!$AF$49</definedName>
    <definedName name="CH_ER_PendingLawsuits">Application!$AF$52</definedName>
    <definedName name="CH_ER_ReuseAccountPlan">Application!$AF$61</definedName>
    <definedName name="CH_ER_SubmittedOutstandingReports">Application!$AF$54</definedName>
    <definedName name="CH_ER_SufficientStability">Application!$AF$51</definedName>
    <definedName name="CH_ER_UnresolvedFinding">Application!$AF$53</definedName>
    <definedName name="CH_ER_WillDevUnderwritingGuidelines">Application!$AF$57</definedName>
    <definedName name="CH_ER_WillImplement">Application!$AF$50</definedName>
    <definedName name="CH_MA_2YearsExpInLast4Years">Application!$AF$124</definedName>
    <definedName name="CH_MA_AdministrationPlan">Application!$B$156</definedName>
    <definedName name="CH_MA_ApplyingForManufacturedHomeSetAside">CHMAData!$U$61</definedName>
    <definedName name="CH_MA_ApplyingForRuralAreaSetAside">CHMAData!$V$61</definedName>
    <definedName name="CH_MA_CompletionStatus">Application!$I$122</definedName>
    <definedName name="CH_MA_County_Tbl">#REF!</definedName>
    <definedName name="CH_MA_DevelopEmployGuidelines">Application!$AF$143</definedName>
    <definedName name="CH_MA_InfillArea">CHMAData!$BP$61</definedName>
    <definedName name="CH_MA_InformAndAssistHomebuyer">Application!$AF$139</definedName>
    <definedName name="CH_MA_InHighResourceArea">CHMAData!$T$61</definedName>
    <definedName name="CH_MA_ManufacturedCapabilityPoints">Application!$O$318</definedName>
    <definedName name="CH_MA_ManufacturedCommunityNeedPoints">Application!$O$319</definedName>
    <definedName name="CH_MA_ManufacturedFeasibilityPoints">Application!$O$320</definedName>
    <definedName name="CH_MA_ManufacturedHousingSupplyPoints">Application!$O$323</definedName>
    <definedName name="CH_MA_ManufacturedPctOfTotalRequested">CHMAData!$AO$61</definedName>
    <definedName name="CH_MA_ManufacturedProHousingPoints">Application!$O$324</definedName>
    <definedName name="CH_MA_ManufacturedRevitalizationPoints">Application!$O$321</definedName>
    <definedName name="CH_MA_ManufacturedTotalRequested">CHMAData!$AN$61</definedName>
    <definedName name="CH_MA_ManufacturedTotalUnits">CHMAData!$AI$61</definedName>
    <definedName name="CH_MA_ManufacturedVolunteerAndTrainingPoints">Application!$O$322</definedName>
    <definedName name="CH_MA_MFDRuralCapabilityPoints">Application!$O$480</definedName>
    <definedName name="CH_MA_MFDRuralCommunityNeedPoints">Application!$O$481</definedName>
    <definedName name="CH_MA_MFDRuralFeasibilityPoints">Application!$O$482</definedName>
    <definedName name="CH_MA_MFDRuralHousingSupplyPoints">Application!$O$485</definedName>
    <definedName name="CH_MA_MFDRuralPctOfTotalRequested">CHMAData!$BK$61</definedName>
    <definedName name="CH_MA_MFDRuralProHousingPoints">Application!$O$486</definedName>
    <definedName name="CH_MA_MFDRuralRevitalizationPoints">Application!$O$483</definedName>
    <definedName name="CH_MA_MFDRuralTotalRequested">CHMAData!$BJ$61</definedName>
    <definedName name="CH_MA_MFDRuralTotalUnits">CHMAData!$BE$61</definedName>
    <definedName name="CH_MA_MFDRuralVolunteerAndTrainingPoints">Application!$O$484</definedName>
    <definedName name="CH_MA_NoUnpermittedMobilehomeParks">Application!$AF$142</definedName>
    <definedName name="CH_MA_ObtainAppraisalsRequired">Application!$AF$140</definedName>
    <definedName name="CH_MA_PreviousProgram1">Application!$B$128</definedName>
    <definedName name="CH_MA_PreviousProgram2">Application!$B$130</definedName>
    <definedName name="CH_MA_PreviousProgram3">Application!$B$132</definedName>
    <definedName name="CH_MA_PreviousProgram4">Application!$B$134</definedName>
    <definedName name="CH_MA_PreviousProgram5">Application!$B$136</definedName>
    <definedName name="CH_MA_PreviousProgramEnd1">Application!$AB$128</definedName>
    <definedName name="CH_MA_PreviousProgramEnd2">Application!$AB$130</definedName>
    <definedName name="CH_MA_PreviousProgramEnd3">Application!$AB$132</definedName>
    <definedName name="CH_MA_PreviousProgramEnd4">Application!$AB$134</definedName>
    <definedName name="CH_MA_PreviousProgramEnd5">Application!$AB$136</definedName>
    <definedName name="CH_MA_PreviousProgramStart1">Application!$Y$128</definedName>
    <definedName name="CH_MA_PreviousProgramStart2">Application!$Y$130</definedName>
    <definedName name="CH_MA_PreviousProgramStart3">Application!$Y$132</definedName>
    <definedName name="CH_MA_PreviousProgramStart4">Application!$Y$134</definedName>
    <definedName name="CH_MA_PreviousProgramStart5">Application!$Y$136</definedName>
    <definedName name="CH_MA_PreviousProgramUnits1">Application!$V$128</definedName>
    <definedName name="CH_MA_PreviousProgramUnits2">Application!$V$130</definedName>
    <definedName name="CH_MA_PreviousProgramUnits3">Application!$V$132</definedName>
    <definedName name="CH_MA_PreviousProgramUnits4">Application!$V$134</definedName>
    <definedName name="CH_MA_PreviousProgramUnits5">Application!$V$136</definedName>
    <definedName name="CH_MA_ProgramDescription">Application!$B$149</definedName>
    <definedName name="CH_MA_ResponsibleForInspections">Application!$AF$141</definedName>
    <definedName name="CH_MA_RuralCapabilityPoints">Application!$O$399</definedName>
    <definedName name="CH_MA_RuralCommunityNeedPoints">Application!$O$400</definedName>
    <definedName name="CH_MA_RuralFeasibilityPoints">Application!$O$401</definedName>
    <definedName name="CH_MA_RuralHousingSupplyPoints">Application!$O$404</definedName>
    <definedName name="CH_MA_RuralPctOfTotalRequested">CHMAData!$AZ$61</definedName>
    <definedName name="CH_MA_RuralProHousingPoints">Application!$O$405</definedName>
    <definedName name="CH_MA_RuralRevitalizationPoints">Application!$O$402</definedName>
    <definedName name="CH_MA_RuralTotalRequested">CHMAData!$AY$61</definedName>
    <definedName name="CH_MA_RuralTotalUnits">CHMAData!$AT$61</definedName>
    <definedName name="CH_MA_RuralVolunteerAndTrainingPoints">Application!$O$403</definedName>
    <definedName name="CH_MA_Score_Tbl">#REF!</definedName>
    <definedName name="CH_MA_SelfHelpHours">Application!$B$165</definedName>
    <definedName name="CH_MA_UnrestrictedCapabilityPoints">Application!$O$237</definedName>
    <definedName name="CH_MA_UnrestrictedCommunityNeedPoints">Application!$O$238</definedName>
    <definedName name="CH_MA_UnrestrictedFeasibilityPoints">Application!$O$239</definedName>
    <definedName name="CH_MA_UnrestrictedHousingSupplyPoints">Application!$O$242</definedName>
    <definedName name="CH_MA_UnrestrictedPctOfTotalRequested">CHMAData!$AD$61</definedName>
    <definedName name="CH_MA_UnrestrictedProHousingPoints">Application!$O$243</definedName>
    <definedName name="CH_MA_UnrestrictedRevitalizationPoints">Application!$O$240</definedName>
    <definedName name="CH_MA_UnrestrictedTotalRequested">CHMAData!$AC$61</definedName>
    <definedName name="CH_MA_UnrestrictedTotalUnits">CHMAData!$X$61</definedName>
    <definedName name="CH_MA_UnrestrictedVolunteerAndTrainingPoints">Application!$O$241</definedName>
    <definedName name="CH_MA_VolunteerHours">Application!$B$164</definedName>
    <definedName name="CH_MA_YouthTrainingHours">Application!$B$166</definedName>
    <definedName name="CH_OOR_AdministrationPlan">Application!$B$735</definedName>
    <definedName name="CH_OOR_ApplyingForManufacturedHomeSetAside">CHOORData!$U$61</definedName>
    <definedName name="CH_OOR_ApplyingForRuralAreaSetAside">CHOORData!$V$61</definedName>
    <definedName name="CH_OOR_AppraisalBeforeStartingRehab">Application!$AF$718</definedName>
    <definedName name="CH_OOR_BorrowersMaintainInsurance">Application!$AF$722</definedName>
    <definedName name="CH_OOR_CompletionStatus">Application!$I$699</definedName>
    <definedName name="CH_OOR_CountyTbl">#REF!</definedName>
    <definedName name="CH_OOR_DevelopAndEmployGuidelines">Application!$AF$719</definedName>
    <definedName name="CH_OOR_InHighResourceArea">CHOORData!$T$61</definedName>
    <definedName name="CH_OOR_ManufacturedCapabilityPoints">Application!$O$888</definedName>
    <definedName name="CH_OOR_ManufacturedCommunityNeedPoints">CHOORData!$AJ$61</definedName>
    <definedName name="CH_OOR_ManufacturedFeasibilityPoints">CHOORData!$AK$61</definedName>
    <definedName name="CH_OOR_ManufacturedProHousingPoints">Application!$O$894</definedName>
    <definedName name="CH_OOR_ManufacturedRevitalizationPoints">CHOORData!$AI$61</definedName>
    <definedName name="CH_OOR_ManufacturedTotalRequested">CHOORData!$BD$61</definedName>
    <definedName name="CH_OOR_ManufacturedTotalUnits">CHOORData!$H$61</definedName>
    <definedName name="CH_OOR_MFDRuralCapabilityPoints">Application!$O$1050</definedName>
    <definedName name="CH_OOR_MFDRuralCommunityNeedPoints">CHOORData!$AY$61</definedName>
    <definedName name="CH_OOR_MFDRuralFeasibilityPoints">CHOORData!$AZ$61</definedName>
    <definedName name="CH_OOR_MFDRuralProHousingPoints">Application!$O$1056</definedName>
    <definedName name="CH_OOR_MFDRuralRevitalizationPoints">CHOORData!$AX$61</definedName>
    <definedName name="CH_OOR_MFDRuralTotalRequested">CHOORData!$BH$61</definedName>
    <definedName name="CH_OOR_MFDRuralTotalUnits">CHOORData!$P$61</definedName>
    <definedName name="CH_OOR_NoCashWithdrawnFromEscrow">Application!$AF$720</definedName>
    <definedName name="CH_OOR_ObtainTitleInsurance">Application!$AF$721</definedName>
    <definedName name="CH_OOR_PreviousProgram1">Application!$B$707</definedName>
    <definedName name="CH_OOR_PreviousProgram2">Application!$B$709</definedName>
    <definedName name="CH_OOR_PreviousProgram3">Application!$B$711</definedName>
    <definedName name="CH_OOR_PreviousProgram4">Application!$B$713</definedName>
    <definedName name="CH_OOR_PreviousProgram5">Application!$B$715</definedName>
    <definedName name="CH_OOR_PreviousProgramEnd1">Application!$AB$707</definedName>
    <definedName name="CH_OOR_PreviousProgramEnd2">Application!$AB$709</definedName>
    <definedName name="CH_OOR_PreviousProgramEnd3">Application!$AB$711</definedName>
    <definedName name="CH_OOR_PreviousProgramEnd4">Application!$AB$713</definedName>
    <definedName name="CH_OOR_PreviousProgramEnd5">Application!$AB$715</definedName>
    <definedName name="CH_OOR_PreviousProgramStart1">Application!$Y$707</definedName>
    <definedName name="CH_OOR_PreviousProgramStart2">Application!$Y$709</definedName>
    <definedName name="CH_OOR_PreviousProgramStart3">Application!$Y$711</definedName>
    <definedName name="CH_OOR_PreviousProgramStart4">Application!$Y$713</definedName>
    <definedName name="CH_OOR_PreviousProgramStart5">Application!$Y$715</definedName>
    <definedName name="CH_OOR_PreviousProgramUnits1">Application!$V$707</definedName>
    <definedName name="CH_OOR_PreviousProgramUnits2">Application!$V$709</definedName>
    <definedName name="CH_OOR_PreviousProgramUnits3">Application!$V$711</definedName>
    <definedName name="CH_OOR_PreviousProgramUnits4">Application!$V$713</definedName>
    <definedName name="CH_OOR_PreviousProgramUnits5">Application!$V$715</definedName>
    <definedName name="CH_OOR_ProgramDescription">Application!$B$728</definedName>
    <definedName name="CH_OOR_RuralCapabilityPoints">Application!$O$969</definedName>
    <definedName name="CH_OOR_RuralCommunityNeedPoints">CHOORData!$AS$61</definedName>
    <definedName name="CH_OOR_RuralFeasibilityPoints">CHOORData!$AT$61</definedName>
    <definedName name="CH_OOR_RuralProHousingPoints">Application!$O$975</definedName>
    <definedName name="CH_OOR_RuralRevitalizationPoints">CHOORData!$AR$61</definedName>
    <definedName name="CH_OOR_RuralTotalRequested">CHOORData!$BF$61</definedName>
    <definedName name="CH_OOR_RuralTotalUnits">CHOORData!$L$61</definedName>
    <definedName name="CH_OOR_Score_Tbl">#REF!</definedName>
    <definedName name="CH_OOR_UnrestrictedCapabilityPoints">Application!$O$807</definedName>
    <definedName name="CH_OOR_UnrestrictedCommunityNeedPoints">CHOORData!$AD$61</definedName>
    <definedName name="CH_OOR_UnrestrictedFeasibilityPoints">CHOORData!$AE$61</definedName>
    <definedName name="CH_OOR_UnrestrictedProHousingPoints">Application!$O$813</definedName>
    <definedName name="CH_OOR_UnrestrictedRevitalizationPoints">CHOORData!$AC$61</definedName>
    <definedName name="CH_OOR_UnrestrictedTotalRequested">CHOORData!$BB$61</definedName>
    <definedName name="CH_OOR_UnrestrictedTotalUnits">CHOORData!$D$61</definedName>
    <definedName name="CH_PDL_2SimilarProjectsInLast4yrs">Application!$AF$1639</definedName>
    <definedName name="CH_PDL_AcquisitionCost0InDevBudget">Application!$Z$1733</definedName>
    <definedName name="CH_PDL_Address1">Application!$B$1669</definedName>
    <definedName name="CH_PDL_Address10">Application!$B$1678</definedName>
    <definedName name="CH_PDL_Address2">Application!$B$1670</definedName>
    <definedName name="CH_PDL_Address3">Application!$B$1671</definedName>
    <definedName name="CH_PDL_Address4">Application!$B$1672</definedName>
    <definedName name="CH_PDL_Address5">Application!$B$1673</definedName>
    <definedName name="CH_PDL_Address6">Application!$B$1674</definedName>
    <definedName name="CH_PDL_Address7">Application!$B$1675</definedName>
    <definedName name="CH_PDL_Address8">Application!$B$1676</definedName>
    <definedName name="CH_PDL_Address9">Application!$B$1677</definedName>
    <definedName name="CH_PDL_AdverseEnvConds">Application!$AD$1716</definedName>
    <definedName name="CH_PDL_AdverseEnvCondsDescription">Application!$B$1718</definedName>
    <definedName name="CH_PDL_AllHomesInRuralArea">Application!$AD$1681</definedName>
    <definedName name="CH_PDL_AppraisedValue">Application!$AC$1696</definedName>
    <definedName name="CH_PDL_AssistanceRequesting">Application!$Y$1901</definedName>
    <definedName name="CH_PDL_CapabilityPoints">Application!$O$1905</definedName>
    <definedName name="CH_PDL_CensusTrack1">Application!$Y$1669</definedName>
    <definedName name="CH_PDL_CensusTrack10">Application!$Y$1678</definedName>
    <definedName name="CH_PDL_CensusTrack2">Application!$Y$1670</definedName>
    <definedName name="CH_PDL_CensusTrack3">Application!$Y$1671</definedName>
    <definedName name="CH_PDL_CensusTrack4">Application!$Y$1672</definedName>
    <definedName name="CH_PDL_CensusTrack5">Application!$Y$1673</definedName>
    <definedName name="CH_PDL_CensusTrack6">Application!$Y$1674</definedName>
    <definedName name="CH_PDL_CensusTrack7">Application!$Y$1675</definedName>
    <definedName name="CH_PDL_CensusTrack8">Application!$Y$1676</definedName>
    <definedName name="CH_PDL_CensusTrack9">Application!$Y$1677</definedName>
    <definedName name="CH_PDL_City1">Application!$P$1669</definedName>
    <definedName name="CH_PDL_City10">Application!$P$1678</definedName>
    <definedName name="CH_PDL_City2">Application!$P$1670</definedName>
    <definedName name="CH_PDL_City3">Application!$P$1671</definedName>
    <definedName name="CH_PDL_City4">Application!$P$1672</definedName>
    <definedName name="CH_PDL_City5">Application!$P$1673</definedName>
    <definedName name="CH_PDL_City6">Application!$P$1674</definedName>
    <definedName name="CH_PDL_City7">Application!$P$1675</definedName>
    <definedName name="CH_PDL_City8">Application!$P$1676</definedName>
    <definedName name="CH_PDL_City9">Application!$P$1677</definedName>
    <definedName name="CH_PDL_ClassFeeRequesting">Application!$Y$1902</definedName>
    <definedName name="CH_PDL_CommunityNeedPoints">Application!$O$1906</definedName>
    <definedName name="CH_PDL_CompletionStatus">Application!$I$1637</definedName>
    <definedName name="CH_PDL_ConditionalUsePermitsApproval">Application!$T$1744</definedName>
    <definedName name="CH_PDL_ConditionalUsePermitsDate">Application!$P$1744</definedName>
    <definedName name="CH_PDL_ConditionalUsePermitsIssuer">Application!$B$1744</definedName>
    <definedName name="CH_PDL_Construction1OtherUse">Application!$B$1829</definedName>
    <definedName name="CH_PDL_Construction1OtherUse1">Application!$M$1829</definedName>
    <definedName name="CH_PDL_Construction1OtherUse2">Application!$P$1829</definedName>
    <definedName name="CH_PDL_Construction1OtherUse3">Application!$S$1829</definedName>
    <definedName name="CH_PDL_Construction1OtherUse4">Application!$V$1829</definedName>
    <definedName name="CH_PDL_Construction1OtherUse5">Application!$Y$1829</definedName>
    <definedName name="CH_PDL_Construction1OtherUse6">Application!$AB$1829</definedName>
    <definedName name="CH_PDL_Construction2OtherUse">Application!$B$1830</definedName>
    <definedName name="CH_PDL_Construction2OtherUse1">Application!$M$1830</definedName>
    <definedName name="CH_PDL_Construction2OtherUse2">Application!$P$1830</definedName>
    <definedName name="CH_PDL_Construction2OtherUse3">Application!$S$1830</definedName>
    <definedName name="CH_PDL_Construction2OtherUse4">Application!$V$1830</definedName>
    <definedName name="CH_PDL_Construction2OtherUse5">Application!$Y$1830</definedName>
    <definedName name="CH_PDL_Construction2OtherUse6">Application!$AB$1830</definedName>
    <definedName name="CH_PDL_Construction3OtherUse">Application!$B$1831</definedName>
    <definedName name="CH_PDL_Construction3OtherUse1">Application!$M$1831</definedName>
    <definedName name="CH_PDL_Construction3OtherUse2">Application!$P$1831</definedName>
    <definedName name="CH_PDL_Construction3OtherUse3">Application!$S$1831</definedName>
    <definedName name="CH_PDL_Construction3OtherUse4">Application!$V$1831</definedName>
    <definedName name="CH_PDL_Construction3OtherUse5">Application!$Y$1831</definedName>
    <definedName name="CH_PDL_Construction3OtherUse6">Application!$AB$1831</definedName>
    <definedName name="CH_PDL_ConstructionAmount1">Application!$T$1805</definedName>
    <definedName name="CH_PDL_ConstructionAmount2">Application!$T$1806</definedName>
    <definedName name="CH_PDL_ConstructionAmount3">Application!$T$1807</definedName>
    <definedName name="CH_PDL_ConstructionAmount4">Application!$T$1808</definedName>
    <definedName name="CH_PDL_ConstructionAmount5">Application!$T$1809</definedName>
    <definedName name="CH_PDL_ConstructionAmount6">Application!$T$1810</definedName>
    <definedName name="CH_PDL_ConstructionArchitectural1">Application!$M$1818</definedName>
    <definedName name="CH_PDL_ConstructionArchitectural2">Application!$P$1818</definedName>
    <definedName name="CH_PDL_ConstructionArchitectural3">Application!$S$1818</definedName>
    <definedName name="CH_PDL_ConstructionArchitectural4">Application!$V$1818</definedName>
    <definedName name="CH_PDL_ConstructionArchitectural5">Application!$Y$1818</definedName>
    <definedName name="CH_PDL_ConstructionArchitectural6">Application!$AB$1818</definedName>
    <definedName name="CH_PDL_ConstructionBridgeLoanPayoff1">Application!$M$1827</definedName>
    <definedName name="CH_PDL_ConstructionBridgeLoanPayoff2">Application!$P$1827</definedName>
    <definedName name="CH_PDL_ConstructionBridgeLoanPayoff3">Application!$S$1827</definedName>
    <definedName name="CH_PDL_ConstructionBridgeLoanPayoff4">Application!$V$1827</definedName>
    <definedName name="CH_PDL_ConstructionBridgeLoanPayoff5">Application!$Y$1827</definedName>
    <definedName name="CH_PDL_ConstructionBridgeLoanPayoff6">Application!$AB$1827</definedName>
    <definedName name="CH_PDL_ConstructionBuildingPermits1">Application!$M$1817</definedName>
    <definedName name="CH_PDL_ConstructionBuildingPermits2">Application!$P$1817</definedName>
    <definedName name="CH_PDL_ConstructionBuildingPermits3">Application!$S$1817</definedName>
    <definedName name="CH_PDL_ConstructionBuildingPermits4">Application!$V$1817</definedName>
    <definedName name="CH_PDL_ConstructionBuildingPermits5">Application!$Y$1817</definedName>
    <definedName name="CH_PDL_ConstructionBuildingPermits6">Application!$AB$1817</definedName>
    <definedName name="CH_PDL_ConstructionCommitted1">Application!$B$1805</definedName>
    <definedName name="CH_PDL_ConstructionCommitted2">Application!$B$1806</definedName>
    <definedName name="CH_PDL_ConstructionCommitted3">Application!$B$1807</definedName>
    <definedName name="CH_PDL_ConstructionCommitted4">Application!$B$1808</definedName>
    <definedName name="CH_PDL_ConstructionCommitted5">Application!$B$1809</definedName>
    <definedName name="CH_PDL_ConstructionCommitted6">Application!$B$1810</definedName>
    <definedName name="CH_PDL_ConstructionContractorBonds1">Application!$M$1825</definedName>
    <definedName name="CH_PDL_ConstructionContractorBonds2">Application!$P$1825</definedName>
    <definedName name="CH_PDL_ConstructionContractorBonds3">Application!$S$1825</definedName>
    <definedName name="CH_PDL_ConstructionContractorBonds4">Application!$V$1825</definedName>
    <definedName name="CH_PDL_ConstructionContractorBonds5">Application!$Y$1825</definedName>
    <definedName name="CH_PDL_ConstructionContractorBonds6">Application!$AB$1825</definedName>
    <definedName name="CH_PDL_ConstructionEngineering1">Application!$M$1819</definedName>
    <definedName name="CH_PDL_ConstructionEngineering2">Application!$P$1819</definedName>
    <definedName name="CH_PDL_ConstructionEngineering3">Application!$S$1819</definedName>
    <definedName name="CH_PDL_ConstructionEngineering4">Application!$V$1819</definedName>
    <definedName name="CH_PDL_ConstructionEngineering5">Application!$Y$1819</definedName>
    <definedName name="CH_PDL_ConstructionEngineering6">Application!$AB$1819</definedName>
    <definedName name="CH_PDL_ConstructionEnvironmentalReports1">Application!$M$1826</definedName>
    <definedName name="CH_PDL_ConstructionEnvironmentalReports2">Application!$P$1826</definedName>
    <definedName name="CH_PDL_ConstructionEnvironmentalReports3">Application!$S$1826</definedName>
    <definedName name="CH_PDL_ConstructionEnvironmentalReports4">Application!$V$1826</definedName>
    <definedName name="CH_PDL_ConstructionEnvironmentalReports5">Application!$Y$1826</definedName>
    <definedName name="CH_PDL_ConstructionEnvironmentalReports6">Application!$AB$1826</definedName>
    <definedName name="CH_PDL_ConstructionEscrowFees1">Application!$M$1824</definedName>
    <definedName name="CH_PDL_ConstructionEscrowFees2">Application!$P$1824</definedName>
    <definedName name="CH_PDL_ConstructionEscrowFees3">Application!$S$1824</definedName>
    <definedName name="CH_PDL_ConstructionEscrowFees4">Application!$V$1824</definedName>
    <definedName name="CH_PDL_ConstructionEscrowFees5">Application!$Y$1824</definedName>
    <definedName name="CH_PDL_ConstructionEscrowFees6">Application!$AB$1824</definedName>
    <definedName name="CH_PDL_ConstructionFinancingFeesInterest1">Application!$M$1822</definedName>
    <definedName name="CH_PDL_ConstructionFinancingFeesInterest2">Application!$P$1822</definedName>
    <definedName name="CH_PDL_ConstructionFinancingFeesInterest3">Application!$S$1822</definedName>
    <definedName name="CH_PDL_ConstructionFinancingFeesInterest4">Application!$V$1822</definedName>
    <definedName name="CH_PDL_ConstructionFinancingFeesInterest5">Application!$Y$1822</definedName>
    <definedName name="CH_PDL_ConstructionFinancingFeesInterest6">Application!$AB$1822</definedName>
    <definedName name="CH_PDL_ConstructionInsurance1">Application!$M$1821</definedName>
    <definedName name="CH_PDL_ConstructionInsurance2">Application!$P$1821</definedName>
    <definedName name="CH_PDL_ConstructionInsurance3">Application!$S$1821</definedName>
    <definedName name="CH_PDL_ConstructionInsurance4">Application!$V$1821</definedName>
    <definedName name="CH_PDL_ConstructionInsurance5">Application!$Y$1821</definedName>
    <definedName name="CH_PDL_ConstructionInsurance6">Application!$AB$1821</definedName>
    <definedName name="CH_PDL_ConstructionLandAcquisition1">Application!$M$1815</definedName>
    <definedName name="CH_PDL_ConstructionLandAcquisition2">Application!$P$1815</definedName>
    <definedName name="CH_PDL_ConstructionLandAcquisition3">Application!$S$1815</definedName>
    <definedName name="CH_PDL_ConstructionLandAcquisition4">Application!$V$1815</definedName>
    <definedName name="CH_PDL_ConstructionLandAcquisition5">Application!$Y$1815</definedName>
    <definedName name="CH_PDL_ConstructionLandAcquisition6">Application!$AB$1815</definedName>
    <definedName name="CH_PDL_ConstructionLegalFees1">Application!$M$1828</definedName>
    <definedName name="CH_PDL_ConstructionLegalFees2">Application!$P$1828</definedName>
    <definedName name="CH_PDL_ConstructionLegalFees3">Application!$S$1828</definedName>
    <definedName name="CH_PDL_ConstructionLegalFees4">Application!$V$1828</definedName>
    <definedName name="CH_PDL_ConstructionLegalFees5">Application!$Y$1828</definedName>
    <definedName name="CH_PDL_ConstructionLegalFees6">Application!$AB$1828</definedName>
    <definedName name="CH_PDL_ConstructionLienPosition1">Application!$F$1805</definedName>
    <definedName name="CH_PDL_ConstructionLienPosition2">Application!$F$1806</definedName>
    <definedName name="CH_PDL_ConstructionLienPosition3">Application!$F$1807</definedName>
    <definedName name="CH_PDL_ConstructionLienPosition4">Application!$F$1808</definedName>
    <definedName name="CH_PDL_ConstructionLienPosition5">Application!$F$1809</definedName>
    <definedName name="CH_PDL_ConstructionLienPosition6">Application!$F$1810</definedName>
    <definedName name="CH_PDL_ConstructionOnsiteImprovements1">Application!$M$1820</definedName>
    <definedName name="CH_PDL_ConstructionOnsiteImprovements2">Application!$P$1820</definedName>
    <definedName name="CH_PDL_ConstructionOnsiteImprovements3">Application!$S$1820</definedName>
    <definedName name="CH_PDL_ConstructionOnsiteImprovements4">Application!$V$1820</definedName>
    <definedName name="CH_PDL_ConstructionOnsiteImprovements5">Application!$Y$1820</definedName>
    <definedName name="CH_PDL_ConstructionOnsiteImprovements6">Application!$AB$1820</definedName>
    <definedName name="CH_PDL_ConstructionPaymentTerms1">Application!$Z$1805</definedName>
    <definedName name="CH_PDL_ConstructionPaymentTerms2">Application!$Z$1806</definedName>
    <definedName name="CH_PDL_ConstructionPaymentTerms3">Application!$Z$1807</definedName>
    <definedName name="CH_PDL_ConstructionPaymentTerms4">Application!$Z$1808</definedName>
    <definedName name="CH_PDL_ConstructionPaymentTerms5">Application!$Z$1809</definedName>
    <definedName name="CH_PDL_ConstructionPaymentTerms6">Application!$Z$1810</definedName>
    <definedName name="CH_PDL_ConstructionRate1">Application!$X$1805</definedName>
    <definedName name="CH_PDL_ConstructionRate2">Application!$X$1806</definedName>
    <definedName name="CH_PDL_ConstructionRate3">Application!$X$1807</definedName>
    <definedName name="CH_PDL_ConstructionRate4">Application!$X$1808</definedName>
    <definedName name="CH_PDL_ConstructionRate5">Application!$X$1809</definedName>
    <definedName name="CH_PDL_ConstructionRate6">Application!$X$1810</definedName>
    <definedName name="CH_PDL_ConstructionReqDebtService1">Application!$AD$1805</definedName>
    <definedName name="CH_PDL_ConstructionReqDebtService2">Application!$AD$1806</definedName>
    <definedName name="CH_PDL_ConstructionReqDebtService3">Application!$AD$1807</definedName>
    <definedName name="CH_PDL_ConstructionReqDebtService4">Application!$AD$1808</definedName>
    <definedName name="CH_PDL_ConstructionReqDebtService5">Application!$AD$1809</definedName>
    <definedName name="CH_PDL_ConstructionReqDebtService6">Application!$AD$1810</definedName>
    <definedName name="CH_PDL_ConstructionSource2">Application!$I$1806</definedName>
    <definedName name="CH_PDL_ConstructionSource3">Application!$I$1807</definedName>
    <definedName name="CH_PDL_ConstructionSource4">Application!$I$1808</definedName>
    <definedName name="CH_PDL_ConstructionSource5">Application!$I$1809</definedName>
    <definedName name="CH_PDL_ConstructionSource6">Application!$I$1810</definedName>
    <definedName name="CH_PDL_ConstructionStateLocalFees1">Application!$M$1816</definedName>
    <definedName name="CH_PDL_ConstructionStateLocalFees2">Application!$P$1816</definedName>
    <definedName name="CH_PDL_ConstructionStateLocalFees3">Application!$S$1816</definedName>
    <definedName name="CH_PDL_ConstructionStateLocalFees4">Application!$V$1816</definedName>
    <definedName name="CH_PDL_ConstructionStateLocalFees5">Application!$Y$1816</definedName>
    <definedName name="CH_PDL_ConstructionStateLocalFees6">Application!$AB$1816</definedName>
    <definedName name="CH_PDL_ConstructionTaxes1">Application!$M$1823</definedName>
    <definedName name="CH_PDL_ConstructionTaxes2">Application!$P$1823</definedName>
    <definedName name="CH_PDL_ConstructionTaxes3">Application!$S$1823</definedName>
    <definedName name="CH_PDL_ConstructionTaxes4">Application!$V$1823</definedName>
    <definedName name="CH_PDL_ConstructionTaxes5">Application!$Y$1823</definedName>
    <definedName name="CH_PDL_ConstructionTaxes6">Application!$AB$1823</definedName>
    <definedName name="CH_PDL_County">Application!$V$1664</definedName>
    <definedName name="CH_PDL_DevProjectRequirements">Application!$AF$1658</definedName>
    <definedName name="CH_PDL_ElectricAvailable">Application!$E$1700</definedName>
    <definedName name="CH_PDL_EstimatedSalePrice1">Application!$W$1753</definedName>
    <definedName name="CH_PDL_EstimatedSalePrice10">Application!$W$1762</definedName>
    <definedName name="CH_PDL_EstimatedSalePrice2">Application!$W$1754</definedName>
    <definedName name="CH_PDL_EstimatedSalePrice3">Application!$W$1755</definedName>
    <definedName name="CH_PDL_EstimatedSalePrice4">Application!$W$1756</definedName>
    <definedName name="CH_PDL_EstimatedSalePrice5">Application!$W$1757</definedName>
    <definedName name="CH_PDL_EstimatedSalePrice6">Application!$W$1758</definedName>
    <definedName name="CH_PDL_EstimatedSalePrice7">Application!$W$1759</definedName>
    <definedName name="CH_PDL_EstimatedSalePrice8">Application!$W$1760</definedName>
    <definedName name="CH_PDL_EstimatedSalePrice9">Application!$W$1761</definedName>
    <definedName name="CH_PDL_FeasibilityPoints">Application!$O$1907</definedName>
    <definedName name="CH_PDL_FinalMapApproved">Application!$AB$1713</definedName>
    <definedName name="CH_PDL_FinalMapDate">Application!$AD$1713</definedName>
    <definedName name="CH_PDL_FundingBasedOnLeasePaymentPV">Application!$Z$1735</definedName>
    <definedName name="CH_PDL_GasAvailable">Application!$K$1699</definedName>
    <definedName name="CH_PDL_GPSLat1">Application!$AB$1669</definedName>
    <definedName name="CH_PDL_GPSLat10">Application!$AB$1678</definedName>
    <definedName name="CH_PDL_GPSLat2">Application!$AB$1670</definedName>
    <definedName name="CH_PDL_GPSLat3">Application!$AB$1671</definedName>
    <definedName name="CH_PDL_GPSLat4">Application!$AB$1672</definedName>
    <definedName name="CH_PDL_GPSLat5">Application!$AB$1673</definedName>
    <definedName name="CH_PDL_GPSLat6">Application!$AB$1674</definedName>
    <definedName name="CH_PDL_GPSLat7">Application!$AB$1675</definedName>
    <definedName name="CH_PDL_GPSLat8">Application!$AB$1676</definedName>
    <definedName name="CH_PDL_GPSLat9">Application!$AB$1677</definedName>
    <definedName name="CH_PDL_GPSLong1">Application!$AE$1669</definedName>
    <definedName name="CH_PDL_GPSLong10">Application!$AE$1678</definedName>
    <definedName name="CH_PDL_GPSLong2">Application!$AE$1670</definedName>
    <definedName name="CH_PDL_GPSLong3">Application!$AE$1671</definedName>
    <definedName name="CH_PDL_GPSLong4">Application!$AE$1672</definedName>
    <definedName name="CH_PDL_GPSLong5">Application!$AE$1673</definedName>
    <definedName name="CH_PDL_GPSLong6">Application!$AE$1674</definedName>
    <definedName name="CH_PDL_GPSLong7">Application!$AE$1675</definedName>
    <definedName name="CH_PDL_GPSLong8">Application!$AE$1676</definedName>
    <definedName name="CH_PDL_GPSLong9">Application!$AE$1677</definedName>
    <definedName name="CH_PDL_HasLeaseholderEstate">Application!$Z$1731</definedName>
    <definedName name="CH_PDL_HasSiteControl">Application!$AF$1655</definedName>
    <definedName name="CH_PDL_HouseholdIncome1">Application!$Z$1753</definedName>
    <definedName name="CH_PDL_HouseholdIncome10">Application!$Z$1762</definedName>
    <definedName name="CH_PDL_HouseholdIncome2">Application!$Z$1754</definedName>
    <definedName name="CH_PDL_HouseholdIncome3">Application!$Z$1755</definedName>
    <definedName name="CH_PDL_HouseholdIncome4">Application!$Z$1756</definedName>
    <definedName name="CH_PDL_HouseholdIncome5">Application!$Z$1757</definedName>
    <definedName name="CH_PDL_HouseholdIncome6">Application!$Z$1758</definedName>
    <definedName name="CH_PDL_HouseholdIncome7">Application!$Z$1759</definedName>
    <definedName name="CH_PDL_HouseholdIncome8">Application!$Z$1760</definedName>
    <definedName name="CH_PDL_HouseholdIncome9">Application!$Z$1761</definedName>
    <definedName name="CH_PDL_HousingSupplyPoints">Application!$O$1910</definedName>
    <definedName name="CH_PDL_InfillSite">Application!$AD$1683</definedName>
    <definedName name="CH_PDL_InfillSiteExplain">Application!$B$1685</definedName>
    <definedName name="CH_PDL_InHighOrHighestResourceArea">Application!$AD$1690</definedName>
    <definedName name="CH_PDL_LandUseApprovalType1">Application!$T$1746</definedName>
    <definedName name="CH_PDL_LandUseApprovalType2">Application!$T$1747</definedName>
    <definedName name="CH_PDL_LandUseApprovalType3">Application!$T$1748</definedName>
    <definedName name="CH_PDL_LandUseDate1">Application!$P$1746</definedName>
    <definedName name="CH_PDL_LandUseDate2">Application!$P$1747</definedName>
    <definedName name="CH_PDL_LandUseDate3">Application!$P$1748</definedName>
    <definedName name="CH_PDL_LandUseIssuer1">Application!$B$1746</definedName>
    <definedName name="CH_PDL_LandUseIssuer2">Application!$B$1747</definedName>
    <definedName name="CH_PDL_LandUseIssuer3">Application!$B$1748</definedName>
    <definedName name="CH_PDL_LandUseTypeComment1">Application!$AA$1746</definedName>
    <definedName name="CH_PDL_LandUseTypeComment2">Application!$AA$1747</definedName>
    <definedName name="CH_PDL_LandUseTypeComment3">Application!$AA$1748</definedName>
    <definedName name="CH_PDL_LastUnitCompleted">Application!$AD$1693</definedName>
    <definedName name="CH_PDL_LenderRequestingResidualReceipts">Application!$Z$1736</definedName>
    <definedName name="CH_PDL_LienAmount1">Application!$R$1753</definedName>
    <definedName name="CH_PDL_LienAmount10">Application!$R$1762</definedName>
    <definedName name="CH_PDL_LienAmount2">Application!$R$1754</definedName>
    <definedName name="CH_PDL_LienAmount3">Application!$R$1755</definedName>
    <definedName name="CH_PDL_LienAmount4">Application!$R$1756</definedName>
    <definedName name="CH_PDL_LienAmount5">Application!$R$1757</definedName>
    <definedName name="CH_PDL_LienAmount6">Application!$R$1758</definedName>
    <definedName name="CH_PDL_LienAmount7">Application!$R$1759</definedName>
    <definedName name="CH_PDL_LienAmount8">Application!$R$1760</definedName>
    <definedName name="CH_PDL_LienAmount9">Application!$R$1761</definedName>
    <definedName name="CH_PDL_LoanLimitRequirements">Application!$AF$1656</definedName>
    <definedName name="CH_PDL_LTVLimitRequirements">Application!$AF$1657</definedName>
    <definedName name="CH_PDL_NoHomesToDevelop">Application!$V$1663</definedName>
    <definedName name="CH_PDL_NoUnitsCompleted">Application!$R$1693</definedName>
    <definedName name="CH_PDL_OtherUtility">Application!$S$1699</definedName>
    <definedName name="CH_PDL_PermanentAmount1">Application!$L$1840</definedName>
    <definedName name="CH_PDL_PermanentAmount2">Application!$L$1841</definedName>
    <definedName name="CH_PDL_PermanentAmount3">Application!$L$1842</definedName>
    <definedName name="CH_PDL_PermanentAmount4">Application!$L$1843</definedName>
    <definedName name="CH_PDL_PermanentAmount5">Application!$L$1844</definedName>
    <definedName name="CH_PDL_PermanentAmount6">Application!$L$1845</definedName>
    <definedName name="CH_PDL_PermanentCommitted1">Application!$B$1840</definedName>
    <definedName name="CH_PDL_PermanentCommitted2">Application!$B$1841</definedName>
    <definedName name="CH_PDL_PermanentCommitted3">Application!$B$1842</definedName>
    <definedName name="CH_PDL_PermanentCommitted4">Application!$B$1843</definedName>
    <definedName name="CH_PDL_PermanentCommitted5">Application!$B$1844</definedName>
    <definedName name="CH_PDL_PermanentCommitted6">Application!$B$1845</definedName>
    <definedName name="CH_PDL_PermanentLienPosition1">Application!$C$1840</definedName>
    <definedName name="CH_PDL_PermanentLienPosition2">Application!$C$1841</definedName>
    <definedName name="CH_PDL_PermanentLienPosition3">Application!$C$1842</definedName>
    <definedName name="CH_PDL_PermanentLienPosition4">Application!$C$1843</definedName>
    <definedName name="CH_PDL_PermanentLienPosition5">Application!$C$1844</definedName>
    <definedName name="CH_PDL_PermanentLienPosition6">Application!$C$1845</definedName>
    <definedName name="CH_PDL_PermanentPaymentTerms1">Application!$AC$1840</definedName>
    <definedName name="CH_PDL_PermanentPaymentTerms2">Application!$AC$1841</definedName>
    <definedName name="CH_PDL_PermanentPaymentTerms3">Application!$AC$1842</definedName>
    <definedName name="CH_PDL_PermanentPaymentTerms4">Application!$AC$1843</definedName>
    <definedName name="CH_PDL_PermanentPaymentTerms5">Application!$AC$1844</definedName>
    <definedName name="CH_PDL_PermanentPaymentTerms6">Application!$AC$1845</definedName>
    <definedName name="CH_PDL_PermanentRate1">Application!$P$1840</definedName>
    <definedName name="CH_PDL_PermanentRate2">Application!$P$1841</definedName>
    <definedName name="CH_PDL_PermanentRate3">Application!$P$1842</definedName>
    <definedName name="CH_PDL_PermanentRate4">Application!$P$1843</definedName>
    <definedName name="CH_PDL_PermanentRate5">Application!$P$1844</definedName>
    <definedName name="CH_PDL_PermanentRate6">Application!$P$1845</definedName>
    <definedName name="CH_PDL_PermanentRateType1">Application!$R$1840</definedName>
    <definedName name="CH_PDL_PermanentRateType2">Application!$R$1841</definedName>
    <definedName name="CH_PDL_PermanentRateType3">Application!$R$1842</definedName>
    <definedName name="CH_PDL_PermanentRateType4">Application!$R$1843</definedName>
    <definedName name="CH_PDL_PermanentRateType5">Application!$R$1844</definedName>
    <definedName name="CH_PDL_PermanentRateType6">Application!$R$1845</definedName>
    <definedName name="CH_PDL_PermanentRepayment1">Application!$X$1840</definedName>
    <definedName name="CH_PDL_PermanentRepayment2">Application!$X$1841</definedName>
    <definedName name="CH_PDL_PermanentRepayment3">Application!$X$1842</definedName>
    <definedName name="CH_PDL_PermanentRepayment4">Application!$X$1843</definedName>
    <definedName name="CH_PDL_PermanentRepayment5">Application!$X$1844</definedName>
    <definedName name="CH_PDL_PermanentRepayment6">Application!$X$1845</definedName>
    <definedName name="CH_PDL_PermanentReqDebtService1">Application!$AE$1840</definedName>
    <definedName name="CH_PDL_PermanentReqDebtService2">Application!$AE$1841</definedName>
    <definedName name="CH_PDL_PermanentReqDebtService3">Application!$AE$1842</definedName>
    <definedName name="CH_PDL_PermanentReqDebtService4">Application!$AE$1843</definedName>
    <definedName name="CH_PDL_PermanentReqDebtService5">Application!$AE$1844</definedName>
    <definedName name="CH_PDL_PermanentReqDebtService6">Application!$AE$1845</definedName>
    <definedName name="CH_PDL_PermanentSource2">Application!$D$1841</definedName>
    <definedName name="CH_PDL_PermanentSource3">Application!$D$1842</definedName>
    <definedName name="CH_PDL_PermanentSource4">Application!$D$1843</definedName>
    <definedName name="CH_PDL_PermanentSource5">Application!$D$1844</definedName>
    <definedName name="CH_PDL_PermanentSource6">Application!$D$1845</definedName>
    <definedName name="CH_PDL_PreDev1OtherUse">Application!$B$1794</definedName>
    <definedName name="CH_PDL_PreDev1OtherUse1">Application!$M$1794</definedName>
    <definedName name="CH_PDL_PreDev1OtherUse2">Application!$P$1794</definedName>
    <definedName name="CH_PDL_PreDev1OtherUse3">Application!$S$1794</definedName>
    <definedName name="CH_PDL_PreDev1OtherUse4">Application!$V$1794</definedName>
    <definedName name="CH_PDL_PreDev1OtherUse5">Application!$Y$1794</definedName>
    <definedName name="CH_PDL_PreDev1OtherUse6">Application!$AB$1794</definedName>
    <definedName name="CH_PDL_PreDev2OtherUse">Application!$B$1795</definedName>
    <definedName name="CH_PDL_PreDev2OtherUse1">Application!$M$1795</definedName>
    <definedName name="CH_PDL_PreDev2OtherUse2">Application!$P$1795</definedName>
    <definedName name="CH_PDL_PreDev2OtherUse3">Application!$S$1795</definedName>
    <definedName name="CH_PDL_PreDev2OtherUse4">Application!$V$1795</definedName>
    <definedName name="CH_PDL_PreDev2OtherUse5">Application!$Y$1795</definedName>
    <definedName name="CH_PDL_PreDev2OtherUse6">Application!$AB$1795</definedName>
    <definedName name="CH_PDL_PreDev3OtherUse">Application!$B$1796</definedName>
    <definedName name="CH_PDL_PreDev3OtherUse1">Application!$M$1796</definedName>
    <definedName name="CH_PDL_PreDev3OtherUse2">Application!$P$1796</definedName>
    <definedName name="CH_PDL_PreDev3OtherUse3">Application!$S$1796</definedName>
    <definedName name="CH_PDL_PreDev3OtherUse4">Application!$V$1796</definedName>
    <definedName name="CH_PDL_PreDev3OtherUse5">Application!$Y$1796</definedName>
    <definedName name="CH_PDL_PreDev3OtherUse6">Application!$AB$1796</definedName>
    <definedName name="CH_PDL_PreDevAmount1">Application!$T$1770</definedName>
    <definedName name="CH_PDL_PreDevAmount2">Application!$T$1771</definedName>
    <definedName name="CH_PDL_PreDevAmount3">Application!$T$1772</definedName>
    <definedName name="CH_PDL_PreDevAmount4">Application!$T$1773</definedName>
    <definedName name="CH_PDL_PreDevAmount5">Application!$T$1774</definedName>
    <definedName name="CH_PDL_PreDevAmount6">Application!$T$1775</definedName>
    <definedName name="CH_PDL_PreDevArchitectural1">Application!$M$1783</definedName>
    <definedName name="CH_PDL_PreDevArchitectural2">Application!$P$1783</definedName>
    <definedName name="CH_PDL_PreDevArchitectural3">Application!$S$1783</definedName>
    <definedName name="CH_PDL_PreDevArchitectural4">Application!$V$1783</definedName>
    <definedName name="CH_PDL_PreDevArchitectural5">Application!$Y$1783</definedName>
    <definedName name="CH_PDL_PreDevArchitectural6">Application!$AB$1783</definedName>
    <definedName name="CH_PDL_PreDevBridgeLoanPayoff1">Application!$M$1792</definedName>
    <definedName name="CH_PDL_PreDevBridgeLoanPayoff2">Application!$P$1792</definedName>
    <definedName name="CH_PDL_PreDevBridgeLoanPayoff3">Application!$S$1792</definedName>
    <definedName name="CH_PDL_PreDevBridgeLoanPayoff4">Application!$V$1792</definedName>
    <definedName name="CH_PDL_PreDevBridgeLoanPayoff5">Application!$Y$1792</definedName>
    <definedName name="CH_PDL_PreDevBridgeLoanPayoff6">Application!$AB$1792</definedName>
    <definedName name="CH_PDL_PreDevBuildingPermits1">Application!$M$1782</definedName>
    <definedName name="CH_PDL_PreDevBuildingPermits2">Application!$P$1782</definedName>
    <definedName name="CH_PDL_PreDevBuildingPermits3">Application!$S$1782</definedName>
    <definedName name="CH_PDL_PreDevBuildingPermits4">Application!$V$1782</definedName>
    <definedName name="CH_PDL_PreDevBuildingPermits5">Application!$Y$1782</definedName>
    <definedName name="CH_PDL_PreDevBuildingPermits6">Application!$AB$1782</definedName>
    <definedName name="CH_PDL_PreDevCommitted1">Application!$B$1770</definedName>
    <definedName name="CH_PDL_PreDevCommitted2">Application!$B$1771</definedName>
    <definedName name="CH_PDL_PreDevCommitted3">Application!$B$1772</definedName>
    <definedName name="CH_PDL_PreDevCommitted4">Application!$B$1773</definedName>
    <definedName name="CH_PDL_PreDevCommitted5">Application!$B$1774</definedName>
    <definedName name="CH_PDL_PreDevCommitted6">Application!$B$1775</definedName>
    <definedName name="CH_PDL_PreDevContractorBonds1">Application!$M$1790</definedName>
    <definedName name="CH_PDL_PreDevContractorBonds2">Application!$P$1790</definedName>
    <definedName name="CH_PDL_PreDevContractorBonds3">Application!$S$1790</definedName>
    <definedName name="CH_PDL_PreDevContractorBonds4">Application!$V$1790</definedName>
    <definedName name="CH_PDL_PreDevContractorBonds5">Application!$Y$1790</definedName>
    <definedName name="CH_PDL_PreDevContractorBonds6">Application!$AB$1790</definedName>
    <definedName name="CH_PDL_PreDevEngineering1">Application!$M$1784</definedName>
    <definedName name="CH_PDL_PreDevEngineering2">Application!$P$1784</definedName>
    <definedName name="CH_PDL_PreDevEngineering3">Application!$S$1784</definedName>
    <definedName name="CH_PDL_PreDevEngineering4">Application!$V$1784</definedName>
    <definedName name="CH_PDL_PreDevEngineering5">Application!$Y$1784</definedName>
    <definedName name="CH_PDL_PreDevEngineering6">Application!$AB$1784</definedName>
    <definedName name="CH_PDL_PreDevEnvironmentalReports1">Application!$M$1791</definedName>
    <definedName name="CH_PDL_PreDevEnvironmentalReports2">Application!$P$1791</definedName>
    <definedName name="CH_PDL_PreDevEnvironmentalReports3">Application!$S$1791</definedName>
    <definedName name="CH_PDL_PreDevEnvironmentalReports4">Application!$V$1791</definedName>
    <definedName name="CH_PDL_PreDevEnvironmentalReports5">Application!$Y$1791</definedName>
    <definedName name="CH_PDL_PreDevEnvironmentalReports6">Application!$AB$1791</definedName>
    <definedName name="CH_PDL_PreDevEscrowFees1">Application!$M$1789</definedName>
    <definedName name="CH_PDL_PreDevEscrowFees2">Application!$P$1789</definedName>
    <definedName name="CH_PDL_PreDevEscrowFees3">Application!$S$1789</definedName>
    <definedName name="CH_PDL_PreDevEscrowFees4">Application!$V$1789</definedName>
    <definedName name="CH_PDL_PreDevEscrowFees5">Application!$Y$1789</definedName>
    <definedName name="CH_PDL_PreDevEscrowFees6">Application!$AB$1789</definedName>
    <definedName name="CH_PDL_PreDevFinancingFeesInterest1">Application!$M$1787</definedName>
    <definedName name="CH_PDL_PreDevFinancingFeesInterest2">Application!$P$1787</definedName>
    <definedName name="CH_PDL_PreDevFinancingFeesInterest3">Application!$S$1787</definedName>
    <definedName name="CH_PDL_PreDevFinancingFeesInterest4">Application!$V$1787</definedName>
    <definedName name="CH_PDL_PreDevFinancingFeesInterest5">Application!$Y$1787</definedName>
    <definedName name="CH_PDL_PreDevFinancingFeesInterest6">Application!$AB$1787</definedName>
    <definedName name="CH_PDL_PreDevInsurance1">Application!$M$1786</definedName>
    <definedName name="CH_PDL_PreDevInsurance2">Application!$P$1786</definedName>
    <definedName name="CH_PDL_PreDevInsurance3">Application!$S$1786</definedName>
    <definedName name="CH_PDL_PreDevInsurance4">Application!$V$1786</definedName>
    <definedName name="CH_PDL_PreDevInsurance5">Application!$Y$1786</definedName>
    <definedName name="CH_PDL_PreDevInsurance6">Application!$AB$1786</definedName>
    <definedName name="CH_PDL_PreDevLandAcquisition1">Application!$M$1780</definedName>
    <definedName name="CH_PDL_PreDevLandAcquisition2">Application!$P$1780</definedName>
    <definedName name="CH_PDL_PreDevLandAcquisition3">Application!$S$1780</definedName>
    <definedName name="CH_PDL_PreDevLandAcquisition4">Application!$V$1780</definedName>
    <definedName name="CH_PDL_PreDevLandAcquisition5">Application!$Y$1780</definedName>
    <definedName name="CH_PDL_PreDevLandAcquisition6">Application!$AB$1780</definedName>
    <definedName name="CH_PDL_PreDevLegalFees1">Application!$M$1793</definedName>
    <definedName name="CH_PDL_PreDevLegalFees2">Application!$P$1793</definedName>
    <definedName name="CH_PDL_PreDevLegalFees3">Application!$S$1793</definedName>
    <definedName name="CH_PDL_PreDevLegalFees4">Application!$V$1793</definedName>
    <definedName name="CH_PDL_PreDevLegalFees5">Application!$Y$1793</definedName>
    <definedName name="CH_PDL_PreDevLegalFees6">Application!$AB$1793</definedName>
    <definedName name="CH_PDL_PreDevLienPosition1">Application!$F$1770</definedName>
    <definedName name="CH_PDL_PreDevLienPosition2">Application!$F$1771</definedName>
    <definedName name="CH_PDL_PreDevLienPosition3">Application!$F$1772</definedName>
    <definedName name="CH_PDL_PreDevLienPosition4">Application!$F$1773</definedName>
    <definedName name="CH_PDL_PreDevLienPosition5">Application!$F$1774</definedName>
    <definedName name="CH_PDL_PreDevLienPosition6">Application!$F$1775</definedName>
    <definedName name="CH_PDL_PreDevOnsiteImprovements1">Application!$M$1785</definedName>
    <definedName name="CH_PDL_PreDevOnsiteImprovements2">Application!$P$1785</definedName>
    <definedName name="CH_PDL_PreDevOnsiteImprovements3">Application!$S$1785</definedName>
    <definedName name="CH_PDL_PreDevOnsiteImprovements4">Application!$V$1785</definedName>
    <definedName name="CH_PDL_PreDevOnsiteImprovements5">Application!$Y$1785</definedName>
    <definedName name="CH_PDL_PreDevOnsiteImprovements6">Application!$AB$1785</definedName>
    <definedName name="CH_PDL_PreDevPaymentTerms1">Application!$Z$1770</definedName>
    <definedName name="CH_PDL_PreDevPaymentTerms2">Application!$Z$1771</definedName>
    <definedName name="CH_PDL_PreDevPaymentTerms3">Application!$Z$1772</definedName>
    <definedName name="CH_PDL_PreDevPaymentTerms4">Application!$Z$1773</definedName>
    <definedName name="CH_PDL_PreDevPaymentTerms5">Application!$Z$1774</definedName>
    <definedName name="CH_PDL_PreDevPaymentTerms6">Application!$Z$1775</definedName>
    <definedName name="CH_PDL_PreDevRate1">Application!$X$1770</definedName>
    <definedName name="CH_PDL_PreDevRate2">Application!$X$1771</definedName>
    <definedName name="CH_PDL_PreDevRate3">Application!$X$1772</definedName>
    <definedName name="CH_PDL_PreDevRate4">Application!$X$1773</definedName>
    <definedName name="CH_PDL_PreDevRate5">Application!$X$1774</definedName>
    <definedName name="CH_PDL_PreDevRate6">Application!$X$1775</definedName>
    <definedName name="CH_PDL_PreDevReqDebtService1">Application!$AD$1770</definedName>
    <definedName name="CH_PDL_PreDevReqDebtService2">Application!$AD$1771</definedName>
    <definedName name="CH_PDL_PreDevReqDebtService3">Application!$AD$1772</definedName>
    <definedName name="CH_PDL_PreDevReqDebtService4">Application!$AD$1773</definedName>
    <definedName name="CH_PDL_PreDevReqDebtService5">Application!$AD$1774</definedName>
    <definedName name="CH_PDL_PreDevReqDebtService6">Application!$AD$1775</definedName>
    <definedName name="CH_PDL_PreDevSource2">Application!$I$1771</definedName>
    <definedName name="CH_PDL_PreDevSource3">Application!$I$1772</definedName>
    <definedName name="CH_PDL_PreDevSource4">Application!$I$1773</definedName>
    <definedName name="CH_PDL_PreDevSource5">Application!$I$1774</definedName>
    <definedName name="CH_PDL_PreDevSource6">Application!$I$1775</definedName>
    <definedName name="CH_PDL_PreDevStateLocalFees1">Application!$M$1781</definedName>
    <definedName name="CH_PDL_PreDevStateLocalFees2">Application!$P$1781</definedName>
    <definedName name="CH_PDL_PreDevStateLocalFees3">Application!$S$1781</definedName>
    <definedName name="CH_PDL_PreDevStateLocalFees4">Application!$V$1781</definedName>
    <definedName name="CH_PDL_PreDevStateLocalFees5">Application!$Y$1781</definedName>
    <definedName name="CH_PDL_PreDevStateLocalFees6">Application!$AB$1781</definedName>
    <definedName name="CH_PDL_PreDevTaxes1">Application!$M$1788</definedName>
    <definedName name="CH_PDL_PreDevTaxes2">Application!$P$1788</definedName>
    <definedName name="CH_PDL_PreDevTaxes3">Application!$S$1788</definedName>
    <definedName name="CH_PDL_PreDevTaxes4">Application!$V$1788</definedName>
    <definedName name="CH_PDL_PreDevTaxes5">Application!$Y$1788</definedName>
    <definedName name="CH_PDL_PreDevTaxes6">Application!$AB$1788</definedName>
    <definedName name="CH_PDL_PrepaidLeaseUsed">Application!$Z$1734</definedName>
    <definedName name="CH_PDL_PreviousProgramUnits1">Application!$AA$1643</definedName>
    <definedName name="CH_PDL_PreviousProgramUnits2">Application!$AA$1645</definedName>
    <definedName name="CH_PDL_PreviousProgramUnits3">Application!$AA$1647</definedName>
    <definedName name="CH_PDL_PreviousProgramUnits4">Application!$AA$1649</definedName>
    <definedName name="CH_PDL_PreviousProgramUnits5">Application!$AA$1651</definedName>
    <definedName name="CH_PDL_PreviousProject1">Application!$B$1643</definedName>
    <definedName name="CH_PDL_PreviousProject2">Application!$B$1645</definedName>
    <definedName name="CH_PDL_PreviousProject3">Application!$B$1647</definedName>
    <definedName name="CH_PDL_PreviousProject4">Application!$B$1649</definedName>
    <definedName name="CH_PDL_PreviousProject5">Application!$B$1651</definedName>
    <definedName name="CH_PDL_PreviousProjectDate1">Application!$AD$1643</definedName>
    <definedName name="CH_PDL_PreviousProjectDate2">Application!$AD$1645</definedName>
    <definedName name="CH_PDL_PreviousProjectDate3">Application!$AD$1647</definedName>
    <definedName name="CH_PDL_PreviousProjectDate4">Application!$AD$1649</definedName>
    <definedName name="CH_PDL_PreviousProjectDate5">Application!$AD$1651</definedName>
    <definedName name="CH_PDL_ProHousingPoints">Application!$O$1911</definedName>
    <definedName name="CH_PDL_ProjectName">Application!$F$1663</definedName>
    <definedName name="CH_PDL_PurchasePrice">Application!$L$1696</definedName>
    <definedName name="CH_PDL_RentBasedOnRestrictedLandValue">Application!$Z$1732</definedName>
    <definedName name="CH_PDL_RevitalizationPoints">Application!$O$1908</definedName>
    <definedName name="CH_PDL_SalesDateSource1">Application!$AC$1753</definedName>
    <definedName name="CH_PDL_SalesDateSource10">Application!$AC$1762</definedName>
    <definedName name="CH_PDL_SalesDateSource2">Application!$AC$1754</definedName>
    <definedName name="CH_PDL_SalesDateSource3">Application!$AC$1755</definedName>
    <definedName name="CH_PDL_SalesDateSource4">Application!$AC$1756</definedName>
    <definedName name="CH_PDL_SalesDateSource5">Application!$AC$1757</definedName>
    <definedName name="CH_PDL_SalesDateSource6">Application!$AC$1758</definedName>
    <definedName name="CH_PDL_SalesDateSource7">Application!$AC$1759</definedName>
    <definedName name="CH_PDL_SalesDateSource8">Application!$AC$1760</definedName>
    <definedName name="CH_PDL_SalesDateSource9">Application!$AC$1761</definedName>
    <definedName name="CH_PDL_SEGReportsPrepared">Application!$AD$1722</definedName>
    <definedName name="CH_PDL_SelfHelpHours">Application!$B$1895</definedName>
    <definedName name="CH_PDL_SewerAvailable">Application!$K$1700</definedName>
    <definedName name="CH_PDL_SiteControlDocument">Application!$K$1725</definedName>
    <definedName name="CH_PDL_SiteControlDocumentDate">Application!$AD$1725</definedName>
    <definedName name="CH_PDL_SiteControlSpecialCircumstances">Application!$B$1727</definedName>
    <definedName name="CH_PDL_SiteImprovements">Application!$B$1707</definedName>
    <definedName name="CH_PDL_SitePlanReviewApproval">Application!$T$1743</definedName>
    <definedName name="CH_PDL_SitePlanReviewDate">Application!$P$1743</definedName>
    <definedName name="CH_PDL_SitePlanReviewIssuer">Application!$B$1743</definedName>
    <definedName name="CH_PDL_SufficientStaffAndCapacity">Application!$AF$1654</definedName>
    <definedName name="CH_PDL_TentativeMapApproved">Application!$AB$1711</definedName>
    <definedName name="CH_PDL_TentativeMapDate">Application!$AD$1711</definedName>
    <definedName name="CH_PDL_TotalRequested">Application!$Y$1903</definedName>
    <definedName name="CH_PDL_TotalUnits">Application!$Y$1900</definedName>
    <definedName name="CH_PDL_TypeOfHomeToDevelop">Application!$V$1665</definedName>
    <definedName name="CH_PDL_UnitBathCount1">Application!$P$1753</definedName>
    <definedName name="CH_PDL_UnitBathCount10">Application!$P$1762</definedName>
    <definedName name="CH_PDL_UnitBathCount2">Application!$P$1754</definedName>
    <definedName name="CH_PDL_UnitBathCount3">Application!$P$1755</definedName>
    <definedName name="CH_PDL_UnitBathCount4">Application!$P$1756</definedName>
    <definedName name="CH_PDL_UnitBathCount5">Application!$P$1757</definedName>
    <definedName name="CH_PDL_UnitBathCount6">Application!$P$1758</definedName>
    <definedName name="CH_PDL_UnitBathCount7">Application!$P$1759</definedName>
    <definedName name="CH_PDL_UnitBathCount8">Application!$P$1760</definedName>
    <definedName name="CH_PDL_UnitBathCount9">Application!$P$1761</definedName>
    <definedName name="CH_PDL_UnitBdrmCount1">Application!$N$1753</definedName>
    <definedName name="CH_PDL_UnitBdrmCount10">Application!$N$1762</definedName>
    <definedName name="CH_PDL_UnitBdrmCount2">Application!$N$1754</definedName>
    <definedName name="CH_PDL_UnitBdrmCount3">Application!$N$1755</definedName>
    <definedName name="CH_PDL_UnitBdrmCount4">Application!$N$1756</definedName>
    <definedName name="CH_PDL_UnitBdrmCount5">Application!$N$1757</definedName>
    <definedName name="CH_PDL_UnitBdrmCount6">Application!$N$1758</definedName>
    <definedName name="CH_PDL_UnitBdrmCount7">Application!$N$1759</definedName>
    <definedName name="CH_PDL_UnitBdrmCount8">Application!$N$1760</definedName>
    <definedName name="CH_PDL_UnitBdrmCount9">Application!$N$1761</definedName>
    <definedName name="CH_PDL_UnitCost1">Application!$B$1753</definedName>
    <definedName name="CH_PDL_UnitCost10">Application!$B$1762</definedName>
    <definedName name="CH_PDL_UnitCost2">Application!$B$1754</definedName>
    <definedName name="CH_PDL_UnitCost3">Application!$B$1755</definedName>
    <definedName name="CH_PDL_UnitCost4">Application!$B$1756</definedName>
    <definedName name="CH_PDL_UnitCost5">Application!$B$1757</definedName>
    <definedName name="CH_PDL_UnitCost6">Application!$B$1758</definedName>
    <definedName name="CH_PDL_UnitCost7">Application!$B$1759</definedName>
    <definedName name="CH_PDL_UnitCost8">Application!$B$1760</definedName>
    <definedName name="CH_PDL_UnitCost9">Application!$B$1761</definedName>
    <definedName name="CH_PDL_UnitCount1">Application!$G$1753</definedName>
    <definedName name="CH_PDL_UnitCount10">Application!$G$1762</definedName>
    <definedName name="CH_PDL_UnitCount2">Application!$G$1754</definedName>
    <definedName name="CH_PDL_UnitCount3">Application!$G$1755</definedName>
    <definedName name="CH_PDL_UnitCount4">Application!$G$1756</definedName>
    <definedName name="CH_PDL_UnitCount5">Application!$G$1757</definedName>
    <definedName name="CH_PDL_UnitCount6">Application!$G$1758</definedName>
    <definedName name="CH_PDL_UnitCount7">Application!$G$1759</definedName>
    <definedName name="CH_PDL_UnitCount8">Application!$G$1760</definedName>
    <definedName name="CH_PDL_UnitCount9">Application!$G$1761</definedName>
    <definedName name="CH_PDL_UnitsAlreadyCompleted">Application!$I$1693</definedName>
    <definedName name="CH_PDL_UnitSqft1">Application!$I$1753</definedName>
    <definedName name="CH_PDL_UnitSqft10">Application!$I$1762</definedName>
    <definedName name="CH_PDL_UnitSqft2">Application!$I$1754</definedName>
    <definedName name="CH_PDL_UnitSqft3">Application!$I$1755</definedName>
    <definedName name="CH_PDL_UnitSqft4">Application!$I$1756</definedName>
    <definedName name="CH_PDL_UnitSqft5">Application!$I$1757</definedName>
    <definedName name="CH_PDL_UnitSqft6">Application!$I$1758</definedName>
    <definedName name="CH_PDL_UnitSqft7">Application!$I$1759</definedName>
    <definedName name="CH_PDL_UnitSqft8">Application!$I$1760</definedName>
    <definedName name="CH_PDL_UnitSqft9">Application!$I$1761</definedName>
    <definedName name="CH_PDL_VolunteerAndTrainingPoints">Application!$O$1909</definedName>
    <definedName name="CH_PDL_VolunteerHours">Application!$B$1894</definedName>
    <definedName name="CH_PDL_WaterAvailable">Application!$E$1699</definedName>
    <definedName name="CH_PDL_YouthTrainingHours">Application!$B$1896</definedName>
    <definedName name="CH_PDL_Zip1">Application!$V$1669</definedName>
    <definedName name="CH_PDL_Zip10">Application!$V$1678</definedName>
    <definedName name="CH_PDL_Zip2">Application!$V$1670</definedName>
    <definedName name="CH_PDL_Zip3">Application!$V$1671</definedName>
    <definedName name="CH_PDL_Zip4">Application!$V$1672</definedName>
    <definedName name="CH_PDL_Zip5">Application!$V$1673</definedName>
    <definedName name="CH_PDL_Zip6">Application!$V$1674</definedName>
    <definedName name="CH_PDL_Zip7">Application!$V$1675</definedName>
    <definedName name="CH_PDL_Zip8">Application!$V$1676</definedName>
    <definedName name="CH_PDL_Zip9">Application!$V$1677</definedName>
    <definedName name="CH_PDL_ZoningApproval">Application!$T$1745</definedName>
    <definedName name="CH_PDL_ZoningApprovalIssuer">Application!$B$1745</definedName>
    <definedName name="CH_PDL_ZoningDate">Application!$P$1745</definedName>
    <definedName name="CH_SH_2YearsExpInLast4Years">Application!$AF$1439</definedName>
    <definedName name="CH_SH_AdministrationPlan">Application!$B$1469</definedName>
    <definedName name="CH_SH_ApplyingForRuralAreaSetAside">CHSHData!$K$61</definedName>
    <definedName name="CH_SH_CompletionStatus">Application!$I$1437</definedName>
    <definedName name="CH_SH_IncludesRequiredFeatures">Application!$AF$1454</definedName>
    <definedName name="CH_SH_InHighResourceArea">CHSHData!$J$61</definedName>
    <definedName name="CH_SH_NoRentingMoreThan2Rooms">Application!$AF$1455</definedName>
    <definedName name="CH_SH_PreviousProgram1">Application!$B$1443</definedName>
    <definedName name="CH_SH_PreviousProgram2">Application!$B$1445</definedName>
    <definedName name="CH_SH_PreviousProgram3">Application!$B$1447</definedName>
    <definedName name="CH_SH_PreviousProgram4">Application!$B$1449</definedName>
    <definedName name="CH_SH_PreviousProgram5">Application!$B$1451</definedName>
    <definedName name="CH_SH_PreviousProgramEnd1">Application!$AB$1443</definedName>
    <definedName name="CH_SH_PreviousProgramEnd2">Application!$AB$1445</definedName>
    <definedName name="CH_SH_PreviousProgramEnd3">Application!$AB$1447</definedName>
    <definedName name="CH_SH_PreviousProgramEnd4">Application!$AB$1449</definedName>
    <definedName name="CH_SH_PreviousProgramEnd5">Application!$AB$1451</definedName>
    <definedName name="CH_SH_PreviousProgramStart1">Application!$Y$1443</definedName>
    <definedName name="CH_SH_PreviousProgramStart2">Application!$Y$1445</definedName>
    <definedName name="CH_SH_PreviousProgramStart3">Application!$Y$1447</definedName>
    <definedName name="CH_SH_PreviousProgramStart4">Application!$Y$1449</definedName>
    <definedName name="CH_SH_PreviousProgramStart5">Application!$Y$1451</definedName>
    <definedName name="CH_SH_PreviousProgramUnits1">Application!$V$1443</definedName>
    <definedName name="CH_SH_PreviousProgramUnits2">Application!$V$1445</definedName>
    <definedName name="CH_SH_PreviousProgramUnits3">Application!$V$1447</definedName>
    <definedName name="CH_SH_PreviousProgramUnits4">Application!$V$1449</definedName>
    <definedName name="CH_SH_PreviousProgramUnits5">Application!$V$1451</definedName>
    <definedName name="CH_SH_ProgramDescription">Application!$B$1462</definedName>
    <definedName name="CH_SH_RuralCapabilityPoints">Application!$O$1622</definedName>
    <definedName name="CH_SH_RuralCommunityNeedPoints">Application!$O$1623</definedName>
    <definedName name="CH_SH_RuralFeasibilityPoints">Application!$O$1624</definedName>
    <definedName name="CH_SH_RuralHousingSupplyPoints">Application!$O$1627</definedName>
    <definedName name="CH_SH_RuralProHousingPoints">Application!$O$1628</definedName>
    <definedName name="CH_SH_RuralRevitalizationPoints">Application!$O$1625</definedName>
    <definedName name="CH_SH_RuralTotalRequested">CHSHData!$Q$61</definedName>
    <definedName name="CH_SH_TotalRequested" localSheetId="3">CHSHData!#REF!</definedName>
    <definedName name="CH_SH_TotalRequested">CHSHData!#REF!</definedName>
    <definedName name="CH_SH_UnrestrictedCapabilityPoints">Application!$O$1541</definedName>
    <definedName name="CH_SH_UnrestrictedCommunityNeedPoints">Application!$O$1542</definedName>
    <definedName name="CH_SH_UnrestrictedFeasibilityPoints">Application!$O$1543</definedName>
    <definedName name="CH_SH_UnrestrictedHousingSupplyPoints">Application!$O$1546</definedName>
    <definedName name="CH_SH_UnrestrictedProHousingPoints">Application!$O$1547</definedName>
    <definedName name="CH_SH_UnrestrictedRevitalizationPoints">Application!$O$1544</definedName>
    <definedName name="CH_SH_UnrestrictedTotalRequested">CHSHData!$L$61</definedName>
    <definedName name="CH_SH_WillNotExceed50PctBudget">Application!$AF$1456</definedName>
    <definedName name="CH_SHTA_2YearsExpInLast4Years">Application!$AF$1067</definedName>
    <definedName name="CH_SHTA_AdministrationPlan">Application!$B$1096</definedName>
    <definedName name="CH_SHTA_ApplyingForManufacturedHomeSetAside">CHSHTAData!$U$61</definedName>
    <definedName name="CH_SHTA_ApplyingForRuralAreaSetAside">CHSHTAData!$V$61</definedName>
    <definedName name="CH_SHTA_CompletionStatus">Application!$I$1065</definedName>
    <definedName name="CH_SHTA_DevelopEmployGuidelines">Application!$AF$1083</definedName>
    <definedName name="CH_SHTA_InHighResourceArea">CHSHTAData!$T$61</definedName>
    <definedName name="CH_SHTA_ManufacturedCapabilityPoints">Application!$O$1260</definedName>
    <definedName name="CH_SHTA_ManufacturedCommunityNeedPoints">Application!$O$1261</definedName>
    <definedName name="CH_SHTA_ManufacturedFeasibilityPoints">Application!$O$1262</definedName>
    <definedName name="CH_SHTA_ManufacturedHousingSupplyPoints">Application!$O$1265</definedName>
    <definedName name="CH_SHTA_ManufacturedProHousingPoints">Application!$O$1266</definedName>
    <definedName name="CH_SHTA_ManufacturedRevitalizationPoints">Application!$O$1263</definedName>
    <definedName name="CH_SHTA_ManufacturedTotalRequested">CHSHTAData!$AH$61</definedName>
    <definedName name="CH_SHTA_ManufacturedTotalUnits">CHSHTAData!$AE$61</definedName>
    <definedName name="CH_SHTA_ManufacturedVolunteerAndTrainingPoints">Application!$O$1264</definedName>
    <definedName name="CH_SHTA_MFDRuralCapabilityPoints">Application!$O$1422</definedName>
    <definedName name="CH_SHTA_MFDRuralCommunityNeedPoints">Application!$O$1423</definedName>
    <definedName name="CH_SHTA_MFDRuralFeasibilityPoints">Application!$O$1424</definedName>
    <definedName name="CH_SHTA_MFDRuralHousingSupplyPoints">Application!$O$1427</definedName>
    <definedName name="CH_SHTA_MFDRuralProHousingPoints">Application!$O$1428</definedName>
    <definedName name="CH_SHTA_MFDRuralRevitalizationPoints">Application!$O$1425</definedName>
    <definedName name="CH_SHTA_MFDRuralTotalRequested">CHSHTAData!$AX$61</definedName>
    <definedName name="CH_SHTA_MFDRuralTotalUnits">CHSHTAData!$AU$61</definedName>
    <definedName name="CH_SHTA_MFDRuralVolunteerAndTrainingPoints">Application!$O$1426</definedName>
    <definedName name="CH_SHTA_PreviousProgram1">Application!$B$1071</definedName>
    <definedName name="CH_SHTA_PreviousProgram2">Application!$B$1073</definedName>
    <definedName name="CH_SHTA_PreviousProgram3">Application!$B$1075</definedName>
    <definedName name="CH_SHTA_PreviousProgram4">Application!$B$1077</definedName>
    <definedName name="CH_SHTA_PreviousProgram5">Application!$B$1079</definedName>
    <definedName name="CH_SHTA_PreviousProgramEnd1">Application!$AB$1071</definedName>
    <definedName name="CH_SHTA_PreviousProgramEnd2">Application!$AB$1073</definedName>
    <definedName name="CH_SHTA_PreviousProgramEnd3">Application!$AB$1075</definedName>
    <definedName name="CH_SHTA_PreviousProgramEnd4">Application!$AB$1077</definedName>
    <definedName name="CH_SHTA_PreviousProgramEnd5">Application!$AB$1079</definedName>
    <definedName name="CH_SHTA_PreviousProgramStart1">Application!$Y$1071</definedName>
    <definedName name="CH_SHTA_PreviousProgramStart2">Application!$Y$1073</definedName>
    <definedName name="CH_SHTA_PreviousProgramStart3">Application!$Y$1075</definedName>
    <definedName name="CH_SHTA_PreviousProgramStart4">Application!$Y$1077</definedName>
    <definedName name="CH_SHTA_PreviousProgramStart5">Application!$Y$1079</definedName>
    <definedName name="CH_SHTA_PreviousProgramUnits1">Application!$V$1071</definedName>
    <definedName name="CH_SHTA_PreviousProgramUnits2">Application!$V$1073</definedName>
    <definedName name="CH_SHTA_PreviousProgramUnits3">Application!$V$1075</definedName>
    <definedName name="CH_SHTA_PreviousProgramUnits4">Application!$V$1077</definedName>
    <definedName name="CH_SHTA_PreviousProgramUnits5">Application!$V$1079</definedName>
    <definedName name="CH_SHTA_ProgramDescription">Application!$B$1089</definedName>
    <definedName name="CH_SHTA_RuralCapabilityPoints">Application!$O$1341</definedName>
    <definedName name="CH_SHTA_RuralCommunityNeedPoints">Application!$O$1342</definedName>
    <definedName name="CH_SHTA_RuralFeasibilityPoints">Application!$O$1343</definedName>
    <definedName name="CH_SHTA_RuralHousingSupplyPoints">Application!$O$1346</definedName>
    <definedName name="CH_SHTA_RuralProHousingPoints">Application!$O$1347</definedName>
    <definedName name="CH_SHTA_RuralRevitalizationPoints">Application!$O$1344</definedName>
    <definedName name="CH_SHTA_RuralTotalRequested">CHSHTAData!$AP$61</definedName>
    <definedName name="CH_SHTA_RuralTotalUnits">CHSHTAData!$AM$61</definedName>
    <definedName name="CH_SHTA_RuralVolunteerAndTrainingPoints">Application!$O$1345</definedName>
    <definedName name="CH_SHTA_SelfHelpHours">Application!$B$1107</definedName>
    <definedName name="CH_SHTA_SoldHomeNotExceedAppraisedValue">Application!$AF$1082</definedName>
    <definedName name="CH_SHTA_TotalRequested">CHSHTAData!$X$61</definedName>
    <definedName name="CH_SHTA_UnrestrictedCapabilityPoints">Application!$O$1179</definedName>
    <definedName name="CH_SHTA_UnrestrictedCommunityNeedPoints">Application!$O$1180</definedName>
    <definedName name="CH_SHTA_UnrestrictedFeasibilityPoints">Application!$O$1181</definedName>
    <definedName name="CH_SHTA_UnrestrictedHousingSupplyPoints">Application!$O$1184</definedName>
    <definedName name="CH_SHTA_UnrestrictedProHousingPoints">Application!$O$1185</definedName>
    <definedName name="CH_SHTA_UnrestrictedRevitalizationPoints">Application!$O$1182</definedName>
    <definedName name="CH_SHTA_UnrestrictedTotalRequested">CHSHTAData!$Z$61</definedName>
    <definedName name="CH_SHTA_UnrestrictedTotalUnits">CHSHTAData!$W$61</definedName>
    <definedName name="CH_SHTA_UnrestrictedVolunteerAndTrainingPoints">Application!$O$1183</definedName>
    <definedName name="CH_SHTA_VolunteerHours">Application!$B$1106</definedName>
    <definedName name="CH_SHTA_YouthTrainingHours">Application!$B$1108</definedName>
    <definedName name="_xlnm.Print_Area" localSheetId="6">Application!$A$1:$AH$1886</definedName>
    <definedName name="_xlnm.Print_Area" localSheetId="5">CoverPage!$1:$25</definedName>
    <definedName name="_xlnm.Print_Area" localSheetId="3">Instructions!$B$1:$C$68</definedName>
    <definedName name="_xlnm.Print_Area" localSheetId="7">ProjectData!$A$1:$I$60</definedName>
    <definedName name="S1_AMH_2YearsExpInLast4Years">Application!$AF$2241</definedName>
    <definedName name="S1_AMH_AdministrationPlan">Application!$B$2310</definedName>
    <definedName name="S1_AMH_ApplyingForRuralSetAside">S1AMHData!$M$61</definedName>
    <definedName name="S1_AMH_AreaNeedsAgHousing">Application!$AF$2257</definedName>
    <definedName name="S1_AMH_CompletionStatus">Application!$I$2239</definedName>
    <definedName name="S1_AMH_HighResourceArea">S1AMHData!$L$61</definedName>
    <definedName name="S1_AMH_MarketStudy">Application!$B$2355</definedName>
    <definedName name="S1_AMH_NewHomesFromLicensedSupplier">Application!$AF$2258</definedName>
    <definedName name="S1_AMH_OwnerOccupiedAgWorker">Application!$AF$2256</definedName>
    <definedName name="S1_AMH_PreviousProgram1">Application!$B$2245</definedName>
    <definedName name="S1_AMH_PreviousProgram2">Application!$B$2247</definedName>
    <definedName name="S1_AMH_PreviousProgram3">Application!$B$2249</definedName>
    <definedName name="S1_AMH_PreviousProgram4">Application!$B$2251</definedName>
    <definedName name="S1_AMH_PreviousProgram5">Application!$B$2253</definedName>
    <definedName name="S1_AMH_PreviousProgramEnd1">Application!$AB$2245</definedName>
    <definedName name="S1_AMH_PreviousProgramEnd2">Application!$AB$2247</definedName>
    <definedName name="S1_AMH_PreviousProgramEnd3">Application!$AB$2249</definedName>
    <definedName name="S1_AMH_PreviousProgramEnd4">Application!$AB$2251</definedName>
    <definedName name="S1_AMH_PreviousProgramEnd5">Application!$AB$2253</definedName>
    <definedName name="S1_AMH_PreviousProgramStart1">Application!$Y$2245</definedName>
    <definedName name="S1_AMH_PreviousProgramStart2">Application!$Y$2247</definedName>
    <definedName name="S1_AMH_PreviousProgramStart3">Application!$Y$2249</definedName>
    <definedName name="S1_AMH_PreviousProgramStart4">Application!$Y$2251</definedName>
    <definedName name="S1_AMH_PreviousProgramStart5">Application!$Y$2253</definedName>
    <definedName name="S1_AMH_PreviousProgramUnits1">Application!$V$2245</definedName>
    <definedName name="S1_AMH_PreviousProgramUnits2">Application!$V$2247</definedName>
    <definedName name="S1_AMH_PreviousProgramUnits3">Application!$V$2249</definedName>
    <definedName name="S1_AMH_PreviousProgramUnits4">Application!$V$2251</definedName>
    <definedName name="S1_AMH_PreviousProgramUnits5">Application!$V$2253</definedName>
    <definedName name="S1_AMH_ProgramDescription">Application!$B$2265</definedName>
    <definedName name="S1_AMH_RuralCapabilityPoints">Application!$O$2546</definedName>
    <definedName name="S1_AMH_RuralCommunityNeedPoints">Application!$O$2547</definedName>
    <definedName name="S1_AMH_RuralFarmworkerNeedPoints">Application!$O$2553</definedName>
    <definedName name="S1_AMH_RuralFeasibilityPoints">Application!$O$2548</definedName>
    <definedName name="S1_AMH_RuralHousingSupplyPoints">Application!$O$2551</definedName>
    <definedName name="S1_AMH_RuralProHousingPoints">Application!$O$2552</definedName>
    <definedName name="S1_AMH_RuralRevitalizationPoints">Application!$O$2549</definedName>
    <definedName name="S1_AMH_RuralTotalRequested">S1AMHData!$AA$61</definedName>
    <definedName name="S1_AMH_UnrestrictedCapabilityPoints">Application!$O$2464</definedName>
    <definedName name="S1_AMH_UnrestrictedCommunityNeedPoints">Application!$O$2465</definedName>
    <definedName name="S1_AMH_UnrestrictedFarmworkerNeedPoints">Application!$O$2471</definedName>
    <definedName name="S1_AMH_UnrestrictedFeasibilityPoints">Application!$O$2466</definedName>
    <definedName name="S1_AMH_UnrestrictedHousingSupplyPoints">Application!$O$2469</definedName>
    <definedName name="S1_AMH_UnrestrictedProHousingPoints">Application!$O$2470</definedName>
    <definedName name="S1_AMH_UnrestrictedRevitalizationPoints">Application!$O$2467</definedName>
    <definedName name="S1_AMH_UnrestrictedTotalRequested">S1AMHData!$R$61</definedName>
    <definedName name="S1_AMH_UnrestrictedTotalUnits">S1AMHData!$O$61</definedName>
    <definedName name="S1_ER_ADUsNotInHousehold">Application!$AF$1932</definedName>
    <definedName name="S1_ER_CBD2ProgramsIn10Mi">Application!$AF$1981</definedName>
    <definedName name="S1_ER_CBD2YHousingDevExperience">Application!$AF$2008</definedName>
    <definedName name="S1_ER_CBD2YHousingDevExpOr523Grant">Application!$AF$2006</definedName>
    <definedName name="S1_ER_CBD2YrsInModResOrHighSegPov">Application!$AF$1978</definedName>
    <definedName name="S1_ER_CBD5YrExpToLowIncome">Application!$AF$1979</definedName>
    <definedName name="S1_ER_CBDCultAndLingCompet">Application!$AF$1997</definedName>
    <definedName name="S1_ER_CBDDemKnowAndCommit">Application!$AF$1995</definedName>
    <definedName name="S1_ER_CBDEduAndLiteracy">Application!$AF$1982</definedName>
    <definedName name="S1_ER_CBDEmergencyAndCrisis">Application!$AF$1983</definedName>
    <definedName name="S1_ER_CBDEntityType">Application!$N$2005</definedName>
    <definedName name="S1_ER_CBDEnvironmental">Application!$AF$1984</definedName>
    <definedName name="S1_ER_CBDGrantFundsForServices">Application!$AF$1996</definedName>
    <definedName name="S1_ER_CBDHealthAndWellness">Application!$AF$1985</definedName>
    <definedName name="S1_ER_CBDHousingAndEconDev">Application!$AF$1986</definedName>
    <definedName name="S1_ER_CBDHQOr3ProjectsIn10mi">Application!$AF$1980</definedName>
    <definedName name="S1_ER_CBDHumanAndSocialServices">Application!$AF$1987</definedName>
    <definedName name="S1_ER_CBDMembershipAndRecruitment">Application!$AF$1999</definedName>
    <definedName name="S1_ER_CBDMissionIncludesHousing">Application!$AF$2010</definedName>
    <definedName name="S1_ER_CBDNotControlled">Application!$AF$2009</definedName>
    <definedName name="S1_ER_CBDNutritionAndFoodSecurity">Application!$AF$1988</definedName>
    <definedName name="S1_ER_CBDRecHiringfromCommunity">Application!$AF$1998</definedName>
    <definedName name="S1_ER_CBDSeniorPrograms">Application!$AF$1994</definedName>
    <definedName name="S1_ER_CBDTaxExemptPurposeActivity">Application!$AF$2007</definedName>
    <definedName name="S1_ER_ComplyWithAdminRequirements">Application!$AF$1929</definedName>
    <definedName name="S1_ER_ConstructionNotStarted">Application!$AF$1928</definedName>
    <definedName name="S1_ER_EligibleApplicant">Application!$AF$1945</definedName>
    <definedName name="S1_ER_HasAuthorityAndMeetsPrereqs">Application!$AF$1920</definedName>
    <definedName name="S1_ER_LLC2YHousingDevExperience">Application!$AF$1960</definedName>
    <definedName name="S1_ER_LLCMissionIncludesHousing">Application!$AF$1962</definedName>
    <definedName name="S1_ER_LLCNotControlled">Application!$AF$1961</definedName>
    <definedName name="S1_ER_LoanServicingPlan">Application!$AF$1933</definedName>
    <definedName name="S1_ER_LoansWillIncludeTerms">Application!$AF$1931</definedName>
    <definedName name="S1_ER_LP2YHousingDevExperience">Application!$AF$1969</definedName>
    <definedName name="S1_ER_LPE2YHousingDevExp">Application!$AF$1951</definedName>
    <definedName name="S1_ER_LPEProHousingDesignation">Application!$AF$1953</definedName>
    <definedName name="S1_ER_LPEProjectInJusisdiction">Application!$AF$1950</definedName>
    <definedName name="S1_ER_LPESingleAdministrator">Application!$AF$1952</definedName>
    <definedName name="S1_ER_LPMissionIncludesHousing">Application!$AF$1971</definedName>
    <definedName name="S1_ER_LPNotControlled">Application!$AF$1970</definedName>
    <definedName name="S1_ER_NP2YHousingDevExperience">Application!$AF$1939</definedName>
    <definedName name="S1_ER_NP2YrProgramExpOr523Grant">Application!$AF$1940</definedName>
    <definedName name="S1_ER_NPMissionIncludesHousing">Application!$AF$1943</definedName>
    <definedName name="S1_ER_NPNotControlled">Application!$AF$1942</definedName>
    <definedName name="S1_ER_NPTaxExemptPurposeActivity">Application!$AF$1941</definedName>
    <definedName name="S1_ER_OnlyEligibleCostsPaidWithAward">Application!$AF$1921</definedName>
    <definedName name="S1_ER_OnlyEligibleHouseholds">Application!$AF$1922</definedName>
    <definedName name="S1_ER_PendingLawsuits">Application!$AF$1925</definedName>
    <definedName name="S1_ER_ReuseAccountPlan">Application!$AF$1934</definedName>
    <definedName name="S1_ER_SubmittedOutstandingReports">Application!$AF$1927</definedName>
    <definedName name="S1_ER_SufficientStability">Application!$AF$1924</definedName>
    <definedName name="S1_ER_UnresolvedFinding">Application!$AF$1926</definedName>
    <definedName name="S1_ER_WillDevelopUnderwritingGuidelines">Application!$AF$1930</definedName>
    <definedName name="S1_ER_WillImplement">Application!$AF$1923</definedName>
    <definedName name="S1_MA_2YearsExpInLast4Years">Application!$AF$2017</definedName>
    <definedName name="S1_MA_AdministrationPlan">Application!$B$2049</definedName>
    <definedName name="S1_MA_ApplyingForRuralAreaSetAside">S1MAData!$M$61</definedName>
    <definedName name="S1_MA_CompletionStatus">Application!$I$2015</definedName>
    <definedName name="S1_MA_DevelopEmployGuidelines">Application!$AF$2036</definedName>
    <definedName name="S1_MA_InfillArea">S1MAData!$AM$61</definedName>
    <definedName name="S1_MA_InformAndAssistHomebuyer">Application!$AF$2032</definedName>
    <definedName name="S1_MA_InHighResourceArea">S1MAData!$L$61</definedName>
    <definedName name="S1_MA_MarketStudy">Application!$B$2056</definedName>
    <definedName name="S1_MA_NoUnpermittedMobilehomeParks">Application!$AF$2035</definedName>
    <definedName name="S1_MA_ObtainAppraisalsRequired">Application!$AF$2033</definedName>
    <definedName name="S1_MA_PreviousProgram1">Application!$B$2021</definedName>
    <definedName name="S1_MA_PreviousProgram2">Application!$B$2023</definedName>
    <definedName name="S1_MA_PreviousProgram3">Application!$B$2025</definedName>
    <definedName name="S1_MA_PreviousProgram4">Application!$B$2027</definedName>
    <definedName name="S1_MA_PreviousProgram5">Application!$B$2029</definedName>
    <definedName name="S1_MA_PreviousProgramEnd1">Application!$AB$2021</definedName>
    <definedName name="S1_MA_PreviousProgramEnd2">Application!$AB$2023</definedName>
    <definedName name="S1_MA_PreviousProgramEnd3">Application!$AB$2025</definedName>
    <definedName name="S1_MA_PreviousProgramEnd4">Application!$AB$2027</definedName>
    <definedName name="S1_MA_PreviousProgramEnd5">Application!$AB$2029</definedName>
    <definedName name="S1_MA_PreviousProgramStart1">Application!$Y$2021</definedName>
    <definedName name="S1_MA_PreviousProgramStart2">Application!$Y$2023</definedName>
    <definedName name="S1_MA_PreviousProgramStart3">Application!$Y$2025</definedName>
    <definedName name="S1_MA_PreviousProgramStart4">Application!$Y$2027</definedName>
    <definedName name="S1_MA_PreviousProgramStart5">Application!$Y$2029</definedName>
    <definedName name="S1_MA_PreviousProgramUnits1">Application!$V$2021</definedName>
    <definedName name="S1_MA_PreviousProgramUnits2">Application!$V$2023</definedName>
    <definedName name="S1_MA_PreviousProgramUnits3">Application!$V$2025</definedName>
    <definedName name="S1_MA_PreviousProgramUnits4">Application!$V$2027</definedName>
    <definedName name="S1_MA_PreviousProgramUnits5">Application!$V$2029</definedName>
    <definedName name="S1_MA_ProgramDescription">Application!$B$2042</definedName>
    <definedName name="S1_MA_ResponsibleForInspections">Application!$AF$2034</definedName>
    <definedName name="S1_MA_RuralCapabilityPoints">Application!$O$2223</definedName>
    <definedName name="S1_MA_RuralCommunityNeedPoints">Application!$O$2224</definedName>
    <definedName name="S1_MA_RuralFarmworkerNeedPoints">Application!$O$2230</definedName>
    <definedName name="S1_MA_RuralFeasibilityPoints">Application!$O$2225</definedName>
    <definedName name="S1_MA_RuralHousingSupplyPoints">Application!$O$2228</definedName>
    <definedName name="S1_MA_RuralPctOfTotalRequested">S1MAData!$AG$61</definedName>
    <definedName name="S1_MA_RuralProHousingPoints">Application!$O$2229</definedName>
    <definedName name="S1_MA_RuralRevitalizationPoints">Application!$O$2226</definedName>
    <definedName name="S1_MA_RuralTotalRequested">S1MAData!$AF$61</definedName>
    <definedName name="S1_MA_RuralTotalUnits">S1MAData!$AA$61</definedName>
    <definedName name="S1_MA_RuralVolunteerAndTrainingPoints">Application!$O$2227</definedName>
    <definedName name="S1_MA_SelfHelpHours">Application!$B$2069</definedName>
    <definedName name="S1_MA_UnrestrictedCapabilityPoints">Application!$O$2141</definedName>
    <definedName name="S1_MA_UnrestrictedCommunityNeedPoints">Application!$O$2142</definedName>
    <definedName name="S1_MA_UnrestrictedFeasibilityPoints">Application!$O$2143</definedName>
    <definedName name="S1_MA_UnrestrictedHousingSupplyPoints">Application!$O$2146</definedName>
    <definedName name="S1_MA_UnrestrictedPctOfTotalRequested">S1MAData!$U$61</definedName>
    <definedName name="S1_MA_UnrestrictedProHousingPoints">Application!$O$2147</definedName>
    <definedName name="S1_MA_UnrestrictedRevitalizationPoints">Application!$O$2144</definedName>
    <definedName name="S1_MA_UnrestrictedTotalRequested">S1MAData!$T$61</definedName>
    <definedName name="S1_MA_UnrestrictedTotalUnits">S1MAData!$O$61</definedName>
    <definedName name="S1_MA_UnrestrictedVolunteerAndTrainingPoints">Application!$O$2145</definedName>
    <definedName name="S1_MA_VolunteerHours">Application!$B$2068</definedName>
    <definedName name="S1_MA_YouthTrainingHours">Application!$B$2070</definedName>
    <definedName name="S1_OOR_2YearsExpInLast4Years">Application!$AF$2564</definedName>
    <definedName name="S1_OOR_AdministrationPlan">Application!$B$2596</definedName>
    <definedName name="S1_OOR_ApplyingForRuralAreaSetAside">S1OORData!$M$61</definedName>
    <definedName name="S1_OOR_AppraisalBeforeStartingRehab">Application!$AF$2580</definedName>
    <definedName name="S1_OOR_BorrowersMaintainInsurance">Application!$AF$2583</definedName>
    <definedName name="S1_OOR_CompletionStatus">Application!$I$2562</definedName>
    <definedName name="S1_OOR_DevelopAndEmployGuidelines">Application!$AF$2579</definedName>
    <definedName name="S1_OOR_InHighRescArea">S1OORData!$L$61</definedName>
    <definedName name="S1_OOR_MarketStudy">Application!$B$2603</definedName>
    <definedName name="S1_OOR_NoCashWithdrawnFromEscrow">Application!$AF$2581</definedName>
    <definedName name="S1_OOR_ObtainTitleInsurance">Application!$AF$2582</definedName>
    <definedName name="S1_OOR_PreviousProgram1">Application!$B$2568</definedName>
    <definedName name="S1_OOR_PreviousProgram2">Application!$B$2570</definedName>
    <definedName name="S1_OOR_PreviousProgram3">Application!$B$2572</definedName>
    <definedName name="S1_OOR_PreviousProgram4">Application!$B$2574</definedName>
    <definedName name="S1_OOR_PreviousProgram5">Application!$B$2576</definedName>
    <definedName name="S1_OOR_PreviousProgramEnd1">Application!$AB$2568</definedName>
    <definedName name="S1_OOR_PreviousProgramEnd2">Application!$AB$2570</definedName>
    <definedName name="S1_OOR_PreviousProgramEnd3">Application!$AB$2572</definedName>
    <definedName name="S1_OOR_PreviousProgramEnd4">Application!$AB$2574</definedName>
    <definedName name="S1_OOR_PreviousProgramEnd5">Application!$AB$2576</definedName>
    <definedName name="S1_OOR_PreviousProgramStart1">Application!$Y$2568</definedName>
    <definedName name="S1_OOR_PreviousProgramStart2">Application!$Y$2570</definedName>
    <definedName name="S1_OOR_PreviousProgramStart3">Application!$Y$2572</definedName>
    <definedName name="S1_OOR_PreviousProgramStart4">Application!$Y$2574</definedName>
    <definedName name="S1_OOR_PreviousProgramStart5">Application!$Y$2576</definedName>
    <definedName name="S1_OOR_PreviousProgramUnits1">Application!$V$2568</definedName>
    <definedName name="S1_OOR_PreviousProgramUnits2">Application!$V$2570</definedName>
    <definedName name="S1_OOR_PreviousProgramUnits3">Application!$V$2572</definedName>
    <definedName name="S1_OOR_PreviousProgramUnits4">Application!$V$2574</definedName>
    <definedName name="S1_OOR_PreviousProgramUnits5">Application!$V$2576</definedName>
    <definedName name="S1_OOR_ProgramDescription">Application!$B$2589</definedName>
    <definedName name="S1_OOR_RuralCapabilityPoints">Application!$O$2757</definedName>
    <definedName name="S1_OOR_RuralCommunityNeedPoints">Application!$O$2758</definedName>
    <definedName name="S1_OOR_RuralFarmworkerNeedPoints">Application!$O$2764</definedName>
    <definedName name="S1_OOR_RuralFeasibilityPoints">Application!$O$2759</definedName>
    <definedName name="S1_OOR_RuralProHousingPoints">Application!$O$2763</definedName>
    <definedName name="S1_OOR_RuralRevitalizationPoints">Application!$O$2760</definedName>
    <definedName name="S1_OOR_RuralTotalRequested">S1OORData!$AK$61</definedName>
    <definedName name="S1_OOR_RuralTotalUnits">S1OORData!$H$61</definedName>
    <definedName name="S1_OOR_UnrestrictedCapabilityPoints">Application!$O$2675</definedName>
    <definedName name="S1_OOR_UnrestrictedCommunityNeedPoints">Application!$O$2676</definedName>
    <definedName name="S1_OOR_UnrestrictedFarmworkerNeedPoints">Application!$O$2682</definedName>
    <definedName name="S1_OOR_UnrestrictedFeasibilityPoints">Application!$O$2677</definedName>
    <definedName name="S1_OOR_UnrestrictedProHousingPoints">Application!$O$2681</definedName>
    <definedName name="S1_OOR_UnrestrictedRevitalizationPoints">Application!$O$2678</definedName>
    <definedName name="S1_OOR_UnrestrictedTotalRequested">S1OORData!$AI$61</definedName>
    <definedName name="S1_OOR_UnrestrictedTotalUnits">S1OORData!$D$61</definedName>
    <definedName name="S1_PDL_2SimilarProjectsInLast4yrs">Application!$AF$2995</definedName>
    <definedName name="S1_PDL_AcquisitionCost0InDevBudget">Application!$Z$3091</definedName>
    <definedName name="S1_PDL_Address1">Application!$B$3026</definedName>
    <definedName name="S1_PDL_Address10">Application!$B$3035</definedName>
    <definedName name="S1_PDL_Address2">Application!$B$3027</definedName>
    <definedName name="S1_PDL_Address3">Application!$B$3028</definedName>
    <definedName name="S1_PDL_Address4">Application!$B$3029</definedName>
    <definedName name="S1_PDL_Address5">Application!$B$3030</definedName>
    <definedName name="S1_PDL_Address6">Application!$B$3031</definedName>
    <definedName name="S1_PDL_Address7">Application!$B$3032</definedName>
    <definedName name="S1_PDL_Address8">Application!$B$3033</definedName>
    <definedName name="S1_PDL_Address9">Application!$B$3034</definedName>
    <definedName name="S1_PDL_AdministrationPlan">Application!$B$3328</definedName>
    <definedName name="S1_PDL_AdverseEnvConds">Application!$AD$3074</definedName>
    <definedName name="S1_PDL_AdverseEnvCondsDescription">Application!$B$3076</definedName>
    <definedName name="S1_PDL_AllHomesInRuralArea">Application!$AD$3038</definedName>
    <definedName name="S1_PDL_AppraisedValue">Application!$AC$3053</definedName>
    <definedName name="S1_PDL_AssistanceRequesting">Application!$W$3380</definedName>
    <definedName name="S1_PDL_CapabilityPoints">Application!$O$3383</definedName>
    <definedName name="S1_PDL_CensusTrack1">Application!$Y$3026</definedName>
    <definedName name="S1_PDL_CensusTrack10">Application!$Y$3035</definedName>
    <definedName name="S1_PDL_CensusTrack2">Application!$Y$3027</definedName>
    <definedName name="S1_PDL_CensusTrack3">Application!$Y$3028</definedName>
    <definedName name="S1_PDL_CensusTrack4">Application!$Y$3029</definedName>
    <definedName name="S1_PDL_CensusTrack5">Application!$Y$3030</definedName>
    <definedName name="S1_PDL_CensusTrack6">Application!$Y$3031</definedName>
    <definedName name="S1_PDL_CensusTrack7">Application!$Y$3032</definedName>
    <definedName name="S1_PDL_CensusTrack8">Application!$Y$3033</definedName>
    <definedName name="S1_PDL_CensusTrack9">Application!$Y$3034</definedName>
    <definedName name="S1_PDL_City1">Application!$P$3026</definedName>
    <definedName name="S1_PDL_City10">Application!$P$3035</definedName>
    <definedName name="S1_PDL_City2">Application!$P$3027</definedName>
    <definedName name="S1_PDL_City3">Application!$P$3028</definedName>
    <definedName name="S1_PDL_City4">Application!$P$3029</definedName>
    <definedName name="S1_PDL_City5">Application!$P$3030</definedName>
    <definedName name="S1_PDL_City6">Application!$P$3031</definedName>
    <definedName name="S1_PDL_City7">Application!$P$3032</definedName>
    <definedName name="S1_PDL_City8">Application!$P$3033</definedName>
    <definedName name="S1_PDL_City9">Application!$P$3034</definedName>
    <definedName name="S1_PDL_ClassFeeRequesting">Application!$W$3381</definedName>
    <definedName name="S1_PDL_CommunityNeedPoints">Application!$O$3384</definedName>
    <definedName name="S1_PDL_CompletionStatus">Application!$I$2993</definedName>
    <definedName name="S1_PDL_ConditionalUsePermitsApproval">Application!$T$3104</definedName>
    <definedName name="S1_PDL_ConditionalUsePermitsDate">Application!$P$3104</definedName>
    <definedName name="S1_PDL_ConditionalUsePermitsIssuer">Application!$B$3104</definedName>
    <definedName name="S1_PDL_Construction1OtherUse">Application!$B$3194</definedName>
    <definedName name="S1_PDL_Construction1OtherUse1">Application!$M$3194</definedName>
    <definedName name="S1_PDL_Construction1OtherUse2">Application!$P$3194</definedName>
    <definedName name="S1_PDL_Construction1OtherUse3">Application!$S$3194</definedName>
    <definedName name="S1_PDL_Construction1OtherUse4">Application!$V$3194</definedName>
    <definedName name="S1_PDL_Construction1OtherUse5">Application!$Y$3194</definedName>
    <definedName name="S1_PDL_Construction1OtherUse6">Application!$AB$3194</definedName>
    <definedName name="S1_PDL_Construction2OtherUse">Application!$B$3195</definedName>
    <definedName name="S1_PDL_Construction2OtherUse1">Application!$M$3195</definedName>
    <definedName name="S1_PDL_Construction2OtherUse2">Application!$P$3195</definedName>
    <definedName name="S1_PDL_Construction2OtherUse3">Application!$S$3195</definedName>
    <definedName name="S1_PDL_Construction2OtherUse4">Application!$V$3195</definedName>
    <definedName name="S1_PDL_Construction2OtherUse5">Application!$Y$3195</definedName>
    <definedName name="S1_PDL_Construction2OtherUse6">Application!$AB$3195</definedName>
    <definedName name="S1_PDL_Construction3OtherUse">Application!$B$3196</definedName>
    <definedName name="S1_PDL_Construction3OtherUse1">Application!$M$3196</definedName>
    <definedName name="S1_PDL_Construction3OtherUse2">Application!$P$3196</definedName>
    <definedName name="S1_PDL_Construction3OtherUse3">Application!$S$3196</definedName>
    <definedName name="S1_PDL_Construction3OtherUse4">Application!$V$3196</definedName>
    <definedName name="S1_PDL_Construction3OtherUse5">Application!$Y$3196</definedName>
    <definedName name="S1_PDL_Construction3OtherUse6">Application!$AB$3196</definedName>
    <definedName name="S1_PDL_ConstructionAmount1">Application!$W$3170</definedName>
    <definedName name="S1_PDL_ConstructionAmount2">Application!$W$3171</definedName>
    <definedName name="S1_PDL_ConstructionAmount3">Application!$W$3172</definedName>
    <definedName name="S1_PDL_ConstructionAmount4">Application!$W$3173</definedName>
    <definedName name="S1_PDL_ConstructionAmount5">Application!$W$3174</definedName>
    <definedName name="S1_PDL_ConstructionAmount6">Application!$W$3175</definedName>
    <definedName name="S1_PDL_ConstructionArchitectural1">Application!$M$3183</definedName>
    <definedName name="S1_PDL_ConstructionArchitectural2">Application!$P$3183</definedName>
    <definedName name="S1_PDL_ConstructionArchitectural3">Application!$S$3183</definedName>
    <definedName name="S1_PDL_ConstructionArchitectural4">Application!$V$3183</definedName>
    <definedName name="S1_PDL_ConstructionArchitectural5">Application!$Y$3183</definedName>
    <definedName name="S1_PDL_ConstructionArchitectural6">Application!$AB$3183</definedName>
    <definedName name="S1_PDL_ConstructionBridgeLoanPayoff1">Application!$M$3192</definedName>
    <definedName name="S1_PDL_ConstructionBridgeLoanPayoff2">Application!$P$3192</definedName>
    <definedName name="S1_PDL_ConstructionBridgeLoanPayoff3">Application!$S$3192</definedName>
    <definedName name="S1_PDL_ConstructionBridgeLoanPayoff4">Application!$V$3192</definedName>
    <definedName name="S1_PDL_ConstructionBridgeLoanPayoff5">Application!$Y$3192</definedName>
    <definedName name="S1_PDL_ConstructionBridgeLoanPayoff6">Application!$AB$3192</definedName>
    <definedName name="S1_PDL_ConstructionBuildingPermits1">Application!$M$3182</definedName>
    <definedName name="S1_PDL_ConstructionBuildingPermits2">Application!$P$3182</definedName>
    <definedName name="S1_PDL_ConstructionBuildingPermits3">Application!$S$3182</definedName>
    <definedName name="S1_PDL_ConstructionBuildingPermits4">Application!$V$3182</definedName>
    <definedName name="S1_PDL_ConstructionBuildingPermits5">Application!$Y$3182</definedName>
    <definedName name="S1_PDL_ConstructionBuildingPermits6">Application!$AB$3182</definedName>
    <definedName name="S1_PDL_ConstructionCommitted1">Application!$B$3170</definedName>
    <definedName name="S1_PDL_ConstructionCommitted2">Application!$B$3171</definedName>
    <definedName name="S1_PDL_ConstructionCommitted3">Application!$B$3172</definedName>
    <definedName name="S1_PDL_ConstructionCommitted4">Application!$B$3173</definedName>
    <definedName name="S1_PDL_ConstructionCommitted5">Application!$B$3174</definedName>
    <definedName name="S1_PDL_ConstructionCommitted6">Application!$B$3175</definedName>
    <definedName name="S1_PDL_ConstructionContractorBonds1">Application!$M$3190</definedName>
    <definedName name="S1_PDL_ConstructionContractorBonds2">Application!$P$3190</definedName>
    <definedName name="S1_PDL_ConstructionContractorBonds3">Application!$S$3190</definedName>
    <definedName name="S1_PDL_ConstructionContractorBonds4">Application!$V$3190</definedName>
    <definedName name="S1_PDL_ConstructionContractorBonds5">Application!$Y$3190</definedName>
    <definedName name="S1_PDL_ConstructionContractorBonds6">Application!$AB$3190</definedName>
    <definedName name="S1_PDL_ConstructionEngineering1">Application!$M$3184</definedName>
    <definedName name="S1_PDL_ConstructionEngineering2">Application!$P$3184</definedName>
    <definedName name="S1_PDL_ConstructionEngineering3">Application!$S$3184</definedName>
    <definedName name="S1_PDL_ConstructionEngineering4">Application!$V$3184</definedName>
    <definedName name="S1_PDL_ConstructionEngineering5">Application!$Y$3184</definedName>
    <definedName name="S1_PDL_ConstructionEngineering6">Application!$AB$3184</definedName>
    <definedName name="S1_PDL_ConstructionEnvironmentalReports1">Application!$M$3191</definedName>
    <definedName name="S1_PDL_ConstructionEnvironmentalReports2">Application!$P$3191</definedName>
    <definedName name="S1_PDL_ConstructionEnvironmentalReports3">Application!$S$3191</definedName>
    <definedName name="S1_PDL_ConstructionEnvironmentalReports4">Application!$V$3191</definedName>
    <definedName name="S1_PDL_ConstructionEnvironmentalReports5">Application!$Y$3191</definedName>
    <definedName name="S1_PDL_ConstructionEnvironmentalReports6">Application!$AB$3191</definedName>
    <definedName name="S1_PDL_ConstructionEscrowFees1">Application!$M$3189</definedName>
    <definedName name="S1_PDL_ConstructionEscrowFees2">Application!$P$3189</definedName>
    <definedName name="S1_PDL_ConstructionEscrowFees3">Application!$S$3189</definedName>
    <definedName name="S1_PDL_ConstructionEscrowFees4">Application!$V$3189</definedName>
    <definedName name="S1_PDL_ConstructionEscrowFees5">Application!$Y$3189</definedName>
    <definedName name="S1_PDL_ConstructionEscrowFees6">Application!$AB$3189</definedName>
    <definedName name="S1_PDL_ConstructionFinancingFeesInterest1">Application!$M$3187</definedName>
    <definedName name="S1_PDL_ConstructionFinancingFeesInterest2">Application!$P$3187</definedName>
    <definedName name="S1_PDL_ConstructionFinancingFeesInterest3">Application!$S$3187</definedName>
    <definedName name="S1_PDL_ConstructionFinancingFeesInterest4">Application!$V$3187</definedName>
    <definedName name="S1_PDL_ConstructionFinancingFeesInterest5">Application!$Y$3187</definedName>
    <definedName name="S1_PDL_ConstructionFinancingFeesInterest6">Application!$AB$3187</definedName>
    <definedName name="S1_PDL_ConstructionInsurance1">Application!$M$3186</definedName>
    <definedName name="S1_PDL_ConstructionInsurance2">Application!$P$3186</definedName>
    <definedName name="S1_PDL_ConstructionInsurance3">Application!$S$3186</definedName>
    <definedName name="S1_PDL_ConstructionInsurance4">Application!$V$3186</definedName>
    <definedName name="S1_PDL_ConstructionInsurance5">Application!$Y$3186</definedName>
    <definedName name="S1_PDL_ConstructionInsurance6">Application!$AB$3186</definedName>
    <definedName name="S1_PDL_ConstructionLandAcquisition1">Application!$M$3180</definedName>
    <definedName name="S1_PDL_ConstructionLandAcquisition2">Application!$P$3180</definedName>
    <definedName name="S1_PDL_ConstructionLandAcquisition3">Application!$S$3180</definedName>
    <definedName name="S1_PDL_ConstructionLandAcquisition4">Application!$V$3180</definedName>
    <definedName name="S1_PDL_ConstructionLandAcquisition5">Application!$Y$3180</definedName>
    <definedName name="S1_PDL_ConstructionLandAcquisition6">Application!$AB$3180</definedName>
    <definedName name="S1_PDL_ConstructionLegalFees1">Application!$M$3193</definedName>
    <definedName name="S1_PDL_ConstructionLegalFees2">Application!$P$3193</definedName>
    <definedName name="S1_PDL_ConstructionLegalFees3">Application!$S$3193</definedName>
    <definedName name="S1_PDL_ConstructionLegalFees4">Application!$V$3193</definedName>
    <definedName name="S1_PDL_ConstructionLegalFees5">Application!$Y$3193</definedName>
    <definedName name="S1_PDL_ConstructionLegalFees6">Application!$AB$3193</definedName>
    <definedName name="S1_PDL_ConstructionLienPosition1">Application!$D$3170</definedName>
    <definedName name="S1_PDL_ConstructionLienPosition2">Application!$D$3171</definedName>
    <definedName name="S1_PDL_ConstructionLienPosition3">Application!$D$3172</definedName>
    <definedName name="S1_PDL_ConstructionLienPosition4">Application!$D$3173</definedName>
    <definedName name="S1_PDL_ConstructionLienPosition5">Application!$D$3174</definedName>
    <definedName name="S1_PDL_ConstructionLienPosition6">Application!$D$3175</definedName>
    <definedName name="S1_PDL_ConstructionOnsiteImprovements1">Application!$M$3185</definedName>
    <definedName name="S1_PDL_ConstructionOnsiteImprovements2">Application!$P$3185</definedName>
    <definedName name="S1_PDL_ConstructionOnsiteImprovements3">Application!$S$3185</definedName>
    <definedName name="S1_PDL_ConstructionOnsiteImprovements4">Application!$V$3185</definedName>
    <definedName name="S1_PDL_ConstructionOnsiteImprovements5">Application!$Y$3185</definedName>
    <definedName name="S1_PDL_ConstructionOnsiteImprovements6">Application!$AB$3185</definedName>
    <definedName name="S1_PDL_ConstructionPaymentTerms1">Application!$AC$3170</definedName>
    <definedName name="S1_PDL_ConstructionPaymentTerms2">Application!$AC$3171</definedName>
    <definedName name="S1_PDL_ConstructionPaymentTerms3">Application!$AC$3172</definedName>
    <definedName name="S1_PDL_ConstructionPaymentTerms4">Application!$AC$3173</definedName>
    <definedName name="S1_PDL_ConstructionPaymentTerms5">Application!$AC$3174</definedName>
    <definedName name="S1_PDL_ConstructionPaymentTerms6">Application!$AC$3175</definedName>
    <definedName name="S1_PDL_ConstructionRate1">Application!$AA$3170</definedName>
    <definedName name="S1_PDL_ConstructionRate2">Application!$AA$3171</definedName>
    <definedName name="S1_PDL_ConstructionRate3">Application!$AA$3172</definedName>
    <definedName name="S1_PDL_ConstructionRate4">Application!$AA$3173</definedName>
    <definedName name="S1_PDL_ConstructionRate5">Application!$AA$3174</definedName>
    <definedName name="S1_PDL_ConstructionRate6">Application!$AA$3175</definedName>
    <definedName name="S1_PDL_ConstructionReqDebtService1">Application!$AE$3170</definedName>
    <definedName name="S1_PDL_ConstructionReqDebtService2">Application!$AE$3171</definedName>
    <definedName name="S1_PDL_ConstructionReqDebtService3">Application!$AE$3172</definedName>
    <definedName name="S1_PDL_ConstructionReqDebtService4">Application!$AE$3173</definedName>
    <definedName name="S1_PDL_ConstructionReqDebtService5">Application!$AE$3174</definedName>
    <definedName name="S1_PDL_ConstructionReqDebtService6">Application!$AE$3175</definedName>
    <definedName name="S1_PDL_ConstructionSource2">Application!$F$3171</definedName>
    <definedName name="S1_PDL_ConstructionSource3">Application!$F$3172</definedName>
    <definedName name="S1_PDL_ConstructionSource4">Application!$F$3173</definedName>
    <definedName name="S1_PDL_ConstructionSource5">Application!$F$3174</definedName>
    <definedName name="S1_PDL_ConstructionSource6">Application!$F$3175</definedName>
    <definedName name="S1_PDL_ConstructionStateLocalFees1">Application!$M$3181</definedName>
    <definedName name="S1_PDL_ConstructionStateLocalFees2">Application!$P$3181</definedName>
    <definedName name="S1_PDL_ConstructionStateLocalFees3">Application!$S$3181</definedName>
    <definedName name="S1_PDL_ConstructionStateLocalFees4">Application!$V$3181</definedName>
    <definedName name="S1_PDL_ConstructionStateLocalFees5">Application!$Y$3181</definedName>
    <definedName name="S1_PDL_ConstructionStateLocalFees6">Application!$AB$3181</definedName>
    <definedName name="S1_PDL_ConstructionTaxes1">Application!$M$3188</definedName>
    <definedName name="S1_PDL_ConstructionTaxes2">Application!$P$3188</definedName>
    <definedName name="S1_PDL_ConstructionTaxes3">Application!$S$3188</definedName>
    <definedName name="S1_PDL_ConstructionTaxes4">Application!$V$3188</definedName>
    <definedName name="S1_PDL_ConstructionTaxes5">Application!$Y$3188</definedName>
    <definedName name="S1_PDL_ConstructionTaxes6">Application!$AB$3188</definedName>
    <definedName name="S1_PDL_County">Application!$V$3021</definedName>
    <definedName name="S1_PDL_DevProjectRequirements">Application!$AF$3014</definedName>
    <definedName name="S1_PDL_ElectricAvailable">Application!$E$3057</definedName>
    <definedName name="S1_PDL_EstimatedSalePrice1">Application!$W$3114</definedName>
    <definedName name="S1_PDL_EstimatedSalePrice10">Application!$W$3123</definedName>
    <definedName name="S1_PDL_EstimatedSalePrice2">Application!$W$3115</definedName>
    <definedName name="S1_PDL_EstimatedSalePrice3">Application!$W$3116</definedName>
    <definedName name="S1_PDL_EstimatedSalePrice4">Application!$W$3117</definedName>
    <definedName name="S1_PDL_EstimatedSalePrice5">Application!$W$3118</definedName>
    <definedName name="S1_PDL_EstimatedSalePrice6">Application!$W$3119</definedName>
    <definedName name="S1_PDL_EstimatedSalePrice7">Application!$W$3120</definedName>
    <definedName name="S1_PDL_EstimatedSalePrice8">Application!$W$3121</definedName>
    <definedName name="S1_PDL_EstimatedSalePrice9">Application!$W$3122</definedName>
    <definedName name="S1_PDL_FarmworkerNeedPoints">Application!$O$3390</definedName>
    <definedName name="S1_PDL_FeasibilityPoints">Application!$O$3385</definedName>
    <definedName name="S1_PDL_FinalMapApproved">Application!$AB$3071</definedName>
    <definedName name="S1_PDL_FinalMapDate">Application!$AD$3071</definedName>
    <definedName name="S1_PDL_FundingBasedOnLeasePaymentPV">Application!$Z$3093</definedName>
    <definedName name="S1_PDL_GasAvailable">Application!$K$3056</definedName>
    <definedName name="S1_PDL_GPSLat1">Application!$AB$3026</definedName>
    <definedName name="S1_PDL_GPSLat10">Application!$AB$3035</definedName>
    <definedName name="S1_PDL_GPSLat2">Application!$AB$3027</definedName>
    <definedName name="S1_PDL_GPSLat3">Application!$AB$3028</definedName>
    <definedName name="S1_PDL_GPSLat4">Application!$AB$3029</definedName>
    <definedName name="S1_PDL_GPSLat5">Application!$AB$3030</definedName>
    <definedName name="S1_PDL_GPSLat6">Application!$AB$3031</definedName>
    <definedName name="S1_PDL_GPSLat7">Application!$AB$3032</definedName>
    <definedName name="S1_PDL_GPSLat8">Application!$AB$3033</definedName>
    <definedName name="S1_PDL_GPSLat9">Application!$AB$3034</definedName>
    <definedName name="S1_PDL_GPSLong1">Application!$AE$3026</definedName>
    <definedName name="S1_PDL_GPSLong10">Application!$AE$3035</definedName>
    <definedName name="S1_PDL_GPSLong2">Application!$AE$3027</definedName>
    <definedName name="S1_PDL_GPSLong3">Application!$AE$3028</definedName>
    <definedName name="S1_PDL_GPSLong4">Application!$AE$3029</definedName>
    <definedName name="S1_PDL_GPSLong5">Application!$AE$3030</definedName>
    <definedName name="S1_PDL_GPSLong6">Application!$AE$3031</definedName>
    <definedName name="S1_PDL_GPSLong7">Application!$AE$3032</definedName>
    <definedName name="S1_PDL_GPSLong8">Application!$AE$3033</definedName>
    <definedName name="S1_PDL_GPSLong9">Application!$AE$3034</definedName>
    <definedName name="S1_PDL_HasLeaseholderEstate">Application!$Z$3089</definedName>
    <definedName name="S1_PDL_HasSiteControl">Application!$AF$3011</definedName>
    <definedName name="S1_PDL_HouseholdIncome1">Application!$Z$3114</definedName>
    <definedName name="S1_PDL_HouseholdIncome10">Application!$Z$3123</definedName>
    <definedName name="S1_PDL_HouseholdIncome2">Application!$Z$3115</definedName>
    <definedName name="S1_PDL_HouseholdIncome3">Application!$Z$3116</definedName>
    <definedName name="S1_PDL_HouseholdIncome4">Application!$Z$3117</definedName>
    <definedName name="S1_PDL_HouseholdIncome5">Application!$Z$3118</definedName>
    <definedName name="S1_PDL_HouseholdIncome6">Application!$Z$3119</definedName>
    <definedName name="S1_PDL_HouseholdIncome7">Application!$Z$3120</definedName>
    <definedName name="S1_PDL_HouseholdIncome8">Application!$Z$3121</definedName>
    <definedName name="S1_PDL_HouseholdIncome9">Application!$Z$3122</definedName>
    <definedName name="S1_PDL_HousingSupplyPoints">Application!$O$3388</definedName>
    <definedName name="S1_PDL_InfillSite">Application!$AD$3040</definedName>
    <definedName name="S1_PDL_InfillSiteExplain">Application!$B$3042</definedName>
    <definedName name="S1_PDL_InHighOrHighestResourceArea">Application!$AD$3047</definedName>
    <definedName name="S1_PDL_LandUseApprovalType1">Application!$T$3106</definedName>
    <definedName name="S1_PDL_LandUseApprovalType2">Application!$T$3107</definedName>
    <definedName name="S1_PDL_LandUseApprovalType3">Application!$T$3108</definedName>
    <definedName name="S1_PDL_LandUseDate1">Application!$P$3106</definedName>
    <definedName name="S1_PDL_LandUseDate2">Application!$P$3107</definedName>
    <definedName name="S1_PDL_LandUseDate3">Application!$P$3108</definedName>
    <definedName name="S1_PDL_LandUseIssuer1">Application!$B$3106</definedName>
    <definedName name="S1_PDL_LandUseIssuer2">Application!$B$3107</definedName>
    <definedName name="S1_PDL_LandUseIssuer3">Application!$B$3108</definedName>
    <definedName name="S1_PDL_LandUseTypeComment1">Application!$AA$3106</definedName>
    <definedName name="S1_PDL_LandUseTypeComment2">Application!$AA$3107</definedName>
    <definedName name="S1_PDL_LandUseTypeComment3">Application!$AA$3108</definedName>
    <definedName name="S1_PDL_LastUnitCompleted">Application!$AD$3050</definedName>
    <definedName name="S1_PDL_LenderRequestingResidualReceipts">Application!$Z$3094</definedName>
    <definedName name="S1_PDL_LienAmount1">Application!$R$3114</definedName>
    <definedName name="S1_PDL_LienAmount10">Application!$R$3123</definedName>
    <definedName name="S1_PDL_LienAmount2">Application!$R$3115</definedName>
    <definedName name="S1_PDL_LienAmount3">Application!$R$3116</definedName>
    <definedName name="S1_PDL_LienAmount4">Application!$R$3117</definedName>
    <definedName name="S1_PDL_LienAmount5">Application!$R$3118</definedName>
    <definedName name="S1_PDL_LienAmount6">Application!$R$3119</definedName>
    <definedName name="S1_PDL_LienAmount7">Application!$R$3120</definedName>
    <definedName name="S1_PDL_LienAmount8">Application!$R$3121</definedName>
    <definedName name="S1_PDL_LienAmount9">Application!$R$3122</definedName>
    <definedName name="S1_PDL_LoanLimitRequirements">Application!$AF$3012</definedName>
    <definedName name="S1_PDL_LocalAreaMarketAnalysis">Application!$B$3242</definedName>
    <definedName name="S1_PDL_LTVLimitRequirements">Application!$AF$3013</definedName>
    <definedName name="S1_PDL_NoHomesToDevelop">Application!$V$3020</definedName>
    <definedName name="S1_PDL_NoUnitsCompleted">Application!$R$3050</definedName>
    <definedName name="S1_PDL_OtherUtility">Application!$S$3056</definedName>
    <definedName name="S1_PDL_Permanent1OtherUse">Application!$B$3231</definedName>
    <definedName name="S1_PDL_Permanent1OtherUse1">Application!$M$3231</definedName>
    <definedName name="S1_PDL_Permanent1OtherUse2">Application!$P$3231</definedName>
    <definedName name="S1_PDL_Permanent1OtherUse3">Application!$S$3231</definedName>
    <definedName name="S1_PDL_Permanent1OtherUse4">Application!$V$3231</definedName>
    <definedName name="S1_PDL_Permanent1OtherUse5">Application!$Y$3231</definedName>
    <definedName name="S1_PDL_Permanent1OtherUse6">Application!$AB$3231</definedName>
    <definedName name="S1_PDL_Permanent2OtherUse">Application!$B$3232</definedName>
    <definedName name="S1_PDL_Permanent2OtherUse1">Application!$M$3232</definedName>
    <definedName name="S1_PDL_Permanent2OtherUse2">Application!$P$3232</definedName>
    <definedName name="S1_PDL_Permanent2OtherUse3">Application!$S$3232</definedName>
    <definedName name="S1_PDL_Permanent2OtherUse4">Application!$V$3232</definedName>
    <definedName name="S1_PDL_Permanent2OtherUse5">Application!$Y$3232</definedName>
    <definedName name="S1_PDL_Permanent2OtherUse6">Application!$AB$3232</definedName>
    <definedName name="S1_PDL_Permanent3OtherUse">Application!$B$3233</definedName>
    <definedName name="S1_PDL_Permanent3OtherUse1">Application!$M$3233</definedName>
    <definedName name="S1_PDL_Permanent3OtherUse2">Application!$P$3233</definedName>
    <definedName name="S1_PDL_Permanent3OtherUse3">Application!$S$3233</definedName>
    <definedName name="S1_PDL_Permanent3OtherUse4">Application!$V$3233</definedName>
    <definedName name="S1_PDL_Permanent3OtherUse5">Application!$Y$3233</definedName>
    <definedName name="S1_PDL_Permanent3OtherUse6">Application!$AB$3233</definedName>
    <definedName name="S1_PDL_PermanentAmount1">Application!$L$3207</definedName>
    <definedName name="S1_PDL_PermanentAmount2">Application!$L$3208</definedName>
    <definedName name="S1_PDL_PermanentAmount3">Application!$L$3209</definedName>
    <definedName name="S1_PDL_PermanentAmount4">Application!$L$3210</definedName>
    <definedName name="S1_PDL_PermanentAmount5">Application!$L$3211</definedName>
    <definedName name="S1_PDL_PermanentAmount6">Application!$L$3212</definedName>
    <definedName name="S1_PDL_PermanentArchitectural1">Application!$M$3220</definedName>
    <definedName name="S1_PDL_PermanentArchitectural2">Application!$P$3220</definedName>
    <definedName name="S1_PDL_PermanentArchitectural3">Application!$S$3220</definedName>
    <definedName name="S1_PDL_PermanentArchitectural4">Application!$V$3220</definedName>
    <definedName name="S1_PDL_PermanentArchitectural5">Application!$Y$3220</definedName>
    <definedName name="S1_PDL_PermanentArchitectural6">Application!$AB$3220</definedName>
    <definedName name="S1_PDL_PermanentBridgeLoanPayoff1">Application!$M$3229</definedName>
    <definedName name="S1_PDL_PermanentBridgeLoanPayoff2">Application!$P$3229</definedName>
    <definedName name="S1_PDL_PermanentBridgeLoanPayoff3">Application!$S$3229</definedName>
    <definedName name="S1_PDL_PermanentBridgeLoanPayoff4">Application!$V$3229</definedName>
    <definedName name="S1_PDL_PermanentBridgeLoanPayoff5">Application!$Y$3229</definedName>
    <definedName name="S1_PDL_PermanentBridgeLoanPayoff6">Application!$AB$3229</definedName>
    <definedName name="S1_PDL_PermanentBuildingPermits1">Application!$M$3219</definedName>
    <definedName name="S1_PDL_PermanentBuildingPermits2">Application!$P$3219</definedName>
    <definedName name="S1_PDL_PermanentBuildingPermits3">Application!$S$3219</definedName>
    <definedName name="S1_PDL_PermanentBuildingPermits4">Application!$V$3219</definedName>
    <definedName name="S1_PDL_PermanentBuildingPermits5">Application!$Y$3219</definedName>
    <definedName name="S1_PDL_PermanentBuildingPermits6">Application!$AB$3219</definedName>
    <definedName name="S1_PDL_PermanentCommitted1">Application!$B$3207</definedName>
    <definedName name="S1_PDL_PermanentCommitted2">Application!$B$3208</definedName>
    <definedName name="S1_PDL_PermanentCommitted3">Application!$B$3209</definedName>
    <definedName name="S1_PDL_PermanentCommitted4">Application!$B$3210</definedName>
    <definedName name="S1_PDL_PermanentCommitted5">Application!$B$3211</definedName>
    <definedName name="S1_PDL_PermanentCommitted6">Application!$B$3212</definedName>
    <definedName name="S1_PDL_PermanentContractorBonds1">Application!$M$3227</definedName>
    <definedName name="S1_PDL_PermanentContractorBonds2">Application!$P$3227</definedName>
    <definedName name="S1_PDL_PermanentContractorBonds3">Application!$S$3227</definedName>
    <definedName name="S1_PDL_PermanentContractorBonds4">Application!$V$3227</definedName>
    <definedName name="S1_PDL_PermanentContractorBonds5">Application!$Y$3227</definedName>
    <definedName name="S1_PDL_PermanentContractorBonds6">Application!$AB$3227</definedName>
    <definedName name="S1_PDL_PermanentEngineering1">Application!$M$3221</definedName>
    <definedName name="S1_PDL_PermanentEngineering2">Application!$P$3221</definedName>
    <definedName name="S1_PDL_PermanentEngineering3">Application!$S$3221</definedName>
    <definedName name="S1_PDL_PermanentEngineering4">Application!$V$3221</definedName>
    <definedName name="S1_PDL_PermanentEngineering5">Application!$Y$3221</definedName>
    <definedName name="S1_PDL_PermanentEngineering6">Application!$AB$3221</definedName>
    <definedName name="S1_PDL_PermanentEnvironmentalReports1">Application!$M$3228</definedName>
    <definedName name="S1_PDL_PermanentEnvironmentalReports2">Application!$P$3228</definedName>
    <definedName name="S1_PDL_PermanentEnvironmentalReports3">Application!$S$3228</definedName>
    <definedName name="S1_PDL_PermanentEnvironmentalReports4">Application!$V$3228</definedName>
    <definedName name="S1_PDL_PermanentEnvironmentalReports5">Application!$Y$3228</definedName>
    <definedName name="S1_PDL_PermanentEnvironmentalReports6">Application!$AB$3228</definedName>
    <definedName name="S1_PDL_PermanentEscrowFees1">Application!$M$3226</definedName>
    <definedName name="S1_PDL_PermanentEscrowFees2">Application!$P$3226</definedName>
    <definedName name="S1_PDL_PermanentEscrowFees3">Application!$S$3226</definedName>
    <definedName name="S1_PDL_PermanentEscrowFees4">Application!$V$3226</definedName>
    <definedName name="S1_PDL_PermanentEscrowFees5">Application!$Y$3226</definedName>
    <definedName name="S1_PDL_PermanentEscrowFees6">Application!$AB$3226</definedName>
    <definedName name="S1_PDL_PermanentFinancingFeesInterest1">Application!$M$3224</definedName>
    <definedName name="S1_PDL_PermanentFinancingFeesInterest2">Application!$P$3224</definedName>
    <definedName name="S1_PDL_PermanentFinancingFeesInterest3">Application!$S$3224</definedName>
    <definedName name="S1_PDL_PermanentFinancingFeesInterest4">Application!$V$3224</definedName>
    <definedName name="S1_PDL_PermanentFinancingFeesInterest5">Application!$Y$3224</definedName>
    <definedName name="S1_PDL_PermanentFinancingFeesInterest6">Application!$AB$3224</definedName>
    <definedName name="S1_PDL_PermanentInsurance1">Application!$M$3223</definedName>
    <definedName name="S1_PDL_PermanentInsurance2">Application!$P$3223</definedName>
    <definedName name="S1_PDL_PermanentInsurance3">Application!$S$3223</definedName>
    <definedName name="S1_PDL_PermanentInsurance4">Application!$V$3223</definedName>
    <definedName name="S1_PDL_PermanentInsurance5">Application!$Y$3223</definedName>
    <definedName name="S1_PDL_PermanentInsurance6">Application!$AB$3223</definedName>
    <definedName name="S1_PDL_PermanentLandAcquisition1">Application!$M$3217</definedName>
    <definedName name="S1_PDL_PermanentLandAcquisition2">Application!$P$3217</definedName>
    <definedName name="S1_PDL_PermanentLandAcquisition3">Application!$S$3217</definedName>
    <definedName name="S1_PDL_PermanentLandAcquisition4">Application!$V$3217</definedName>
    <definedName name="S1_PDL_PermanentLandAcquisition5">Application!$Y$3217</definedName>
    <definedName name="S1_PDL_PermanentLandAcquisition6">Application!$AB$3217</definedName>
    <definedName name="S1_PDL_PermanentLegalFees1">Application!$M$3230</definedName>
    <definedName name="S1_PDL_PermanentLegalFees2">Application!$P$3230</definedName>
    <definedName name="S1_PDL_PermanentLegalFees3">Application!$S$3230</definedName>
    <definedName name="S1_PDL_PermanentLegalFees4">Application!$V$3230</definedName>
    <definedName name="S1_PDL_PermanentLegalFees5">Application!$Y$3230</definedName>
    <definedName name="S1_PDL_PermanentLegalFees6">Application!$AB$3230</definedName>
    <definedName name="S1_PDL_PermanentLienPosition1">Application!$C$3207</definedName>
    <definedName name="S1_PDL_PermanentLienPosition2">Application!$C$3208</definedName>
    <definedName name="S1_PDL_PermanentLienPosition3">Application!$C$3209</definedName>
    <definedName name="S1_PDL_PermanentLienPosition4">Application!$C$3210</definedName>
    <definedName name="S1_PDL_PermanentLienPosition5">Application!$C$3211</definedName>
    <definedName name="S1_PDL_PermanentLienPosition6">Application!$C$3212</definedName>
    <definedName name="S1_PDL_PermanentOnsiteImprovements1">Application!$M$3222</definedName>
    <definedName name="S1_PDL_PermanentOnsiteImprovements2">Application!$P$3222</definedName>
    <definedName name="S1_PDL_PermanentOnsiteImprovements3">Application!$S$3222</definedName>
    <definedName name="S1_PDL_PermanentOnsiteImprovements4">Application!$V$3222</definedName>
    <definedName name="S1_PDL_PermanentOnsiteImprovements5">Application!$Y$3222</definedName>
    <definedName name="S1_PDL_PermanentOnsiteImprovements6">Application!$AB$3222</definedName>
    <definedName name="S1_PDL_PermanentPaymentTerms1">Application!$AC$3207</definedName>
    <definedName name="S1_PDL_PermanentPaymentTerms2">Application!$AC$3208</definedName>
    <definedName name="S1_PDL_PermanentPaymentTerms3">Application!$AC$3209</definedName>
    <definedName name="S1_PDL_PermanentPaymentTerms4">Application!$AC$3210</definedName>
    <definedName name="S1_PDL_PermanentPaymentTerms5">Application!$AC$3211</definedName>
    <definedName name="S1_PDL_PermanentPaymentTerms6">Application!$AC$3212</definedName>
    <definedName name="S1_PDL_PermanentRate1">Application!$P$3207</definedName>
    <definedName name="S1_PDL_PermanentRate2">Application!$P$3208</definedName>
    <definedName name="S1_PDL_PermanentRate3">Application!$P$3209</definedName>
    <definedName name="S1_PDL_PermanentRate4">Application!$P$3210</definedName>
    <definedName name="S1_PDL_PermanentRate5">Application!$P$3211</definedName>
    <definedName name="S1_PDL_PermanentRate6">Application!$P$3212</definedName>
    <definedName name="S1_PDL_PermanentRateType1">Application!$R$3207</definedName>
    <definedName name="S1_PDL_PermanentRateType2">Application!$R$3208</definedName>
    <definedName name="S1_PDL_PermanentRateType3">Application!$R$3209</definedName>
    <definedName name="S1_PDL_PermanentRateType4">Application!$R$3210</definedName>
    <definedName name="S1_PDL_PermanentRateType5">Application!$R$3211</definedName>
    <definedName name="S1_PDL_PermanentRateType6">Application!$R$3212</definedName>
    <definedName name="S1_PDL_PermanentRepayment1">Application!$X$3207</definedName>
    <definedName name="S1_PDL_PermanentRepayment2">Application!$X$3208</definedName>
    <definedName name="S1_PDL_PermanentRepayment3">Application!$X$3209</definedName>
    <definedName name="S1_PDL_PermanentRepayment4">Application!$X$3210</definedName>
    <definedName name="S1_PDL_PermanentRepayment5">Application!$X$3211</definedName>
    <definedName name="S1_PDL_PermanentRepayment6">Application!$X$3212</definedName>
    <definedName name="S1_PDL_PermanentReqDebtService1">Application!$AE$3207</definedName>
    <definedName name="S1_PDL_PermanentReqDebtService2">Application!$AE$3208</definedName>
    <definedName name="S1_PDL_PermanentReqDebtService3">Application!$AE$3209</definedName>
    <definedName name="S1_PDL_PermanentReqDebtService4">Application!$AE$3210</definedName>
    <definedName name="S1_PDL_PermanentReqDebtService5">Application!$AE$3211</definedName>
    <definedName name="S1_PDL_PermanentReqDebtService6">Application!$AE$3212</definedName>
    <definedName name="S1_PDL_PermanentSource2">Application!$D$3208</definedName>
    <definedName name="S1_PDL_PermanentSource3">Application!$D$3209</definedName>
    <definedName name="S1_PDL_PermanentSource4">Application!$D$3210</definedName>
    <definedName name="S1_PDL_PermanentSource5">Application!$D$3211</definedName>
    <definedName name="S1_PDL_PermanentSource6">Application!$D$3212</definedName>
    <definedName name="S1_PDL_PermanentStateLocalFees1">Application!$M$3218</definedName>
    <definedName name="S1_PDL_PermanentStateLocalFees2">Application!$P$3218</definedName>
    <definedName name="S1_PDL_PermanentStateLocalFees3">Application!$S$3218</definedName>
    <definedName name="S1_PDL_PermanentStateLocalFees4">Application!$V$3218</definedName>
    <definedName name="S1_PDL_PermanentStateLocalFees5">Application!$Y$3218</definedName>
    <definedName name="S1_PDL_PermanentStateLocalFees6">Application!$AB$3218</definedName>
    <definedName name="S1_PDL_PermanentTaxes1">Application!$M$3225</definedName>
    <definedName name="S1_PDL_PermanentTaxes2">Application!$P$3225</definedName>
    <definedName name="S1_PDL_PermanentTaxes3">Application!$S$3225</definedName>
    <definedName name="S1_PDL_PermanentTaxes4">Application!$V$3225</definedName>
    <definedName name="S1_PDL_PermanentTaxes5">Application!$Y$3225</definedName>
    <definedName name="S1_PDL_PermanentTaxes6">Application!$AB$3225</definedName>
    <definedName name="S1_PDL_PreDev1OtherUse">Application!$B$3157</definedName>
    <definedName name="S1_PDL_PreDev1OtherUse1">Application!$M$3157</definedName>
    <definedName name="S1_PDL_PreDev1OtherUse2">Application!$P$3157</definedName>
    <definedName name="S1_PDL_PreDev1OtherUse3">Application!$S$3157</definedName>
    <definedName name="S1_PDL_PreDev1OtherUse4">Application!$V$3157</definedName>
    <definedName name="S1_PDL_PreDev1OtherUse5">Application!$Y$3157</definedName>
    <definedName name="S1_PDL_PreDev1OtherUse6">Application!$AB$3157</definedName>
    <definedName name="S1_PDL_PreDev2OtherUse">Application!$B$3158</definedName>
    <definedName name="S1_PDL_PreDev2OtherUse1">Application!$M$3158</definedName>
    <definedName name="S1_PDL_PreDev2OtherUse2">Application!$P$3158</definedName>
    <definedName name="S1_PDL_PreDev2OtherUse3">Application!$S$3158</definedName>
    <definedName name="S1_PDL_PreDev2OtherUse4">Application!$V$3158</definedName>
    <definedName name="S1_PDL_PreDev2OtherUse5">Application!$Y$3158</definedName>
    <definedName name="S1_PDL_PreDev2OtherUse6">Application!$AB$3158</definedName>
    <definedName name="S1_PDL_PreDev3OtherUse">Application!$B$3159</definedName>
    <definedName name="S1_PDL_PreDev3OtherUse1">Application!$M$3159</definedName>
    <definedName name="S1_PDL_PreDev3OtherUse2">Application!$P$3159</definedName>
    <definedName name="S1_PDL_PreDev3OtherUse3">Application!$S$3159</definedName>
    <definedName name="S1_PDL_PreDev3OtherUse4">Application!$V$3159</definedName>
    <definedName name="S1_PDL_PreDev3OtherUse5">Application!$Y$3159</definedName>
    <definedName name="S1_PDL_PreDev3OtherUse6">Application!$AB$3159</definedName>
    <definedName name="S1_PDL_PreDevAmount1">Application!$W$3133</definedName>
    <definedName name="S1_PDL_PreDevAmount2">Application!$W$3134</definedName>
    <definedName name="S1_PDL_PreDevAmount3">Application!$W$3135</definedName>
    <definedName name="S1_PDL_PreDevAmount4">Application!$W$3136</definedName>
    <definedName name="S1_PDL_PreDevAmount5">Application!$W$3137</definedName>
    <definedName name="S1_PDL_PreDevAmount6">Application!$W$3138</definedName>
    <definedName name="S1_PDL_PreDevArchitectural1">Application!$M$3146</definedName>
    <definedName name="S1_PDL_PreDevArchitectural2">Application!$P$3146</definedName>
    <definedName name="S1_PDL_PreDevArchitectural3">Application!$S$3146</definedName>
    <definedName name="S1_PDL_PreDevArchitectural4">Application!$V$3146</definedName>
    <definedName name="S1_PDL_PreDevArchitectural5">Application!$Y$3146</definedName>
    <definedName name="S1_PDL_PreDevArchitectural6">Application!$AB$3146</definedName>
    <definedName name="S1_PDL_PreDevBridgeLoanPayoff1">Application!$M$3155</definedName>
    <definedName name="S1_PDL_PreDevBridgeLoanPayoff2">Application!$P$3155</definedName>
    <definedName name="S1_PDL_PreDevBridgeLoanPayoff3">Application!$S$3155</definedName>
    <definedName name="S1_PDL_PreDevBridgeLoanPayoff4">Application!$V$3155</definedName>
    <definedName name="S1_PDL_PreDevBridgeLoanPayoff5">Application!$Y$3155</definedName>
    <definedName name="S1_PDL_PreDevBridgeLoanPayoff6">Application!$AB$3155</definedName>
    <definedName name="S1_PDL_PreDevBuildingPermits1">Application!$M$3145</definedName>
    <definedName name="S1_PDL_PreDevBuildingPermits2">Application!$P$3145</definedName>
    <definedName name="S1_PDL_PreDevBuildingPermits3">Application!$S$3145</definedName>
    <definedName name="S1_PDL_PreDevBuildingPermits4">Application!$V$3145</definedName>
    <definedName name="S1_PDL_PreDevBuildingPermits5">Application!$Y$3145</definedName>
    <definedName name="S1_PDL_PreDevBuildingPermits6">Application!$AB$3145</definedName>
    <definedName name="S1_PDL_PreDevCommitted1">Application!$B$3133</definedName>
    <definedName name="S1_PDL_PreDevCommitted2">Application!$B$3134</definedName>
    <definedName name="S1_PDL_PreDevCommitted3">Application!$B$3135</definedName>
    <definedName name="S1_PDL_PreDevCommitted4">Application!$B$3136</definedName>
    <definedName name="S1_PDL_PreDevCommitted5">Application!$B$3137</definedName>
    <definedName name="S1_PDL_PreDevCommitted6">Application!$B$3138</definedName>
    <definedName name="S1_PDL_PreDevContractorBonds1">Application!$M$3153</definedName>
    <definedName name="S1_PDL_PreDevContractorBonds2">Application!$P$3153</definedName>
    <definedName name="S1_PDL_PreDevContractorBonds3">Application!$S$3153</definedName>
    <definedName name="S1_PDL_PreDevContractorBonds4">Application!$V$3153</definedName>
    <definedName name="S1_PDL_PreDevContractorBonds5">Application!$Y$3153</definedName>
    <definedName name="S1_PDL_PreDevContractorBonds6">Application!$AB$3153</definedName>
    <definedName name="S1_PDL_PreDevEngineering1">Application!$M$3147</definedName>
    <definedName name="S1_PDL_PreDevEngineering2">Application!$P$3147</definedName>
    <definedName name="S1_PDL_PreDevEngineering3">Application!$S$3147</definedName>
    <definedName name="S1_PDL_PreDevEngineering4">Application!$V$3147</definedName>
    <definedName name="S1_PDL_PreDevEngineering5">Application!$Y$3147</definedName>
    <definedName name="S1_PDL_PreDevEngineering6">Application!$AB$3147</definedName>
    <definedName name="S1_PDL_PreDevEnvironmentalReports1">Application!$M$3154</definedName>
    <definedName name="S1_PDL_PreDevEnvironmentalReports2">Application!$P$3154</definedName>
    <definedName name="S1_PDL_PreDevEnvironmentalReports3">Application!$S$3154</definedName>
    <definedName name="S1_PDL_PreDevEnvironmentalReports4">Application!$V$3154</definedName>
    <definedName name="S1_PDL_PreDevEnvironmentalReports5">Application!$Y$3154</definedName>
    <definedName name="S1_PDL_PreDevEnvironmentalReports6">Application!$AB$3154</definedName>
    <definedName name="S1_PDL_PreDevEscrowFees1">Application!$M$3152</definedName>
    <definedName name="S1_PDL_PreDevEscrowFees2">Application!$P$3152</definedName>
    <definedName name="S1_PDL_PreDevEscrowFees3">Application!$S$3152</definedName>
    <definedName name="S1_PDL_PreDevEscrowFees4">Application!$V$3152</definedName>
    <definedName name="S1_PDL_PreDevEscrowFees5">Application!$Y$3152</definedName>
    <definedName name="S1_PDL_PreDevEscrowFees6">Application!$AB$3152</definedName>
    <definedName name="S1_PDL_PreDevFinancingFeesInterest1">Application!$M$3150</definedName>
    <definedName name="S1_PDL_PreDevFinancingFeesInterest2">Application!$P$3150</definedName>
    <definedName name="S1_PDL_PreDevFinancingFeesInterest3">Application!$S$3150</definedName>
    <definedName name="S1_PDL_PreDevFinancingFeesInterest4">Application!$V$3150</definedName>
    <definedName name="S1_PDL_PreDevFinancingFeesInterest5">Application!$Y$3150</definedName>
    <definedName name="S1_PDL_PreDevFinancingFeesInterest6">Application!$AB$3150</definedName>
    <definedName name="S1_PDL_PreDevInsurance1">Application!$M$3149</definedName>
    <definedName name="S1_PDL_PreDevInsurance2">Application!$P$3149</definedName>
    <definedName name="S1_PDL_PreDevInsurance3">Application!$S$3149</definedName>
    <definedName name="S1_PDL_PreDevInsurance4">Application!$V$3149</definedName>
    <definedName name="S1_PDL_PreDevInsurance5">Application!$Y$3149</definedName>
    <definedName name="S1_PDL_PreDevInsurance6">Application!$AB$3149</definedName>
    <definedName name="S1_PDL_PreDevLandAcquisition1">Application!$M$3143</definedName>
    <definedName name="S1_PDL_PreDevLandAcquisition2">Application!$P$3143</definedName>
    <definedName name="S1_PDL_PreDevLandAcquisition3">Application!$S$3143</definedName>
    <definedName name="S1_PDL_PreDevLandAcquisition4">Application!$V$3143</definedName>
    <definedName name="S1_PDL_PreDevLandAcquisition5">Application!$Y$3143</definedName>
    <definedName name="S1_PDL_PreDevLandAcquisition6">Application!$AB$3143</definedName>
    <definedName name="S1_PDL_PreDevLegalFees1">Application!$M$3156</definedName>
    <definedName name="S1_PDL_PreDevLegalFees2">Application!$P$3156</definedName>
    <definedName name="S1_PDL_PreDevLegalFees3">Application!$S$3156</definedName>
    <definedName name="S1_PDL_PreDevLegalFees4">Application!$V$3156</definedName>
    <definedName name="S1_PDL_PreDevLegalFees5">Application!$Y$3156</definedName>
    <definedName name="S1_PDL_PreDevLegalFees6">Application!$AB$3156</definedName>
    <definedName name="S1_PDL_PreDevLienPosition1">Application!$D$3133</definedName>
    <definedName name="S1_PDL_PreDevLienPosition2">Application!$D$3134</definedName>
    <definedName name="S1_PDL_PreDevLienPosition3">Application!$D$3135</definedName>
    <definedName name="S1_PDL_PreDevLienPosition4">Application!$D$3136</definedName>
    <definedName name="S1_PDL_PreDevLienPosition5">Application!$D$3137</definedName>
    <definedName name="S1_PDL_PreDevLienPosition6">Application!$D$3138</definedName>
    <definedName name="S1_PDL_PreDevOnsiteImprovements1">Application!$M$3148</definedName>
    <definedName name="S1_PDL_PreDevOnsiteImprovements2">Application!$P$3148</definedName>
    <definedName name="S1_PDL_PreDevOnsiteImprovements3">Application!$S$3148</definedName>
    <definedName name="S1_PDL_PreDevOnsiteImprovements4">Application!$V$3148</definedName>
    <definedName name="S1_PDL_PreDevOnsiteImprovements5">Application!$Y$3148</definedName>
    <definedName name="S1_PDL_PreDevOnsiteImprovements6">Application!$AB$3148</definedName>
    <definedName name="S1_PDL_PreDevPaymentTerms1">Application!$AC$3133</definedName>
    <definedName name="S1_PDL_PreDevPaymentTerms2">Application!$AC$3134</definedName>
    <definedName name="S1_PDL_PreDevPaymentTerms3">Application!$AC$3135</definedName>
    <definedName name="S1_PDL_PreDevPaymentTerms4">Application!$AC$3136</definedName>
    <definedName name="S1_PDL_PreDevPaymentTerms5">Application!$AC$3137</definedName>
    <definedName name="S1_PDL_PreDevPaymentTerms6">Application!$AC$3138</definedName>
    <definedName name="S1_PDL_PreDevRate1">Application!$AA$3133</definedName>
    <definedName name="S1_PDL_PreDevRate2">Application!$AA$3134</definedName>
    <definedName name="S1_PDL_PreDevRate3">Application!$AA$3135</definedName>
    <definedName name="S1_PDL_PreDevRate4">Application!$AA$3136</definedName>
    <definedName name="S1_PDL_PreDevRate5">Application!$AA$3137</definedName>
    <definedName name="S1_PDL_PreDevRate6">Application!$AA$3138</definedName>
    <definedName name="S1_PDL_PreDevReqDebtService1">Application!$AE$3133</definedName>
    <definedName name="S1_PDL_PreDevReqDebtService2">Application!$AE$3134</definedName>
    <definedName name="S1_PDL_PreDevReqDebtService3">Application!$AE$3135</definedName>
    <definedName name="S1_PDL_PreDevReqDebtService4">Application!$AE$3136</definedName>
    <definedName name="S1_PDL_PreDevReqDebtService5">Application!$AE$3137</definedName>
    <definedName name="S1_PDL_PreDevReqDebtService6">Application!$AE$3138</definedName>
    <definedName name="S1_PDL_PreDevSource2">Application!$F$3134</definedName>
    <definedName name="S1_PDL_PreDevSource3">Application!$F$3135</definedName>
    <definedName name="S1_PDL_PreDevSource4">Application!$F$3136</definedName>
    <definedName name="S1_PDL_PreDevSource5">Application!$F$3137</definedName>
    <definedName name="S1_PDL_PreDevSource6">Application!$F$3138</definedName>
    <definedName name="S1_PDL_PreDevStateLocalFees1">Application!$M$3144</definedName>
    <definedName name="S1_PDL_PreDevStateLocalFees2">Application!$P$3144</definedName>
    <definedName name="S1_PDL_PreDevStateLocalFees3">Application!$S$3144</definedName>
    <definedName name="S1_PDL_PreDevStateLocalFees4">Application!$V$3144</definedName>
    <definedName name="S1_PDL_PreDevStateLocalFees5">Application!$Y$3144</definedName>
    <definedName name="S1_PDL_PreDevStateLocalFees6">Application!$AB$3144</definedName>
    <definedName name="S1_PDL_PreDevTaxes1">Application!$M$3151</definedName>
    <definedName name="S1_PDL_PreDevTaxes2">Application!$P$3151</definedName>
    <definedName name="S1_PDL_PreDevTaxes3">Application!$S$3151</definedName>
    <definedName name="S1_PDL_PreDevTaxes4">Application!$V$3151</definedName>
    <definedName name="S1_PDL_PreDevTaxes5">Application!$Y$3151</definedName>
    <definedName name="S1_PDL_PreDevTaxes6">Application!$AB$3151</definedName>
    <definedName name="S1_PDL_PrepaidLeaseUsed">Application!$Z$3092</definedName>
    <definedName name="S1_PDL_PreviousProgramUnits1">Application!$AA$2999</definedName>
    <definedName name="S1_PDL_PreviousProgramUnits2">Application!$AA$3001</definedName>
    <definedName name="S1_PDL_PreviousProgramUnits3">Application!$AA$3003</definedName>
    <definedName name="S1_PDL_PreviousProgramUnits4">Application!$AA$3005</definedName>
    <definedName name="S1_PDL_PreviousProgramUnits5">Application!$AA$3007</definedName>
    <definedName name="S1_PDL_PreviousProject1">Application!$B$2999</definedName>
    <definedName name="S1_PDL_PreviousProject2">Application!$B$3001</definedName>
    <definedName name="S1_PDL_PreviousProject3">Application!$B$3003</definedName>
    <definedName name="S1_PDL_PreviousProject4">Application!$B$3005</definedName>
    <definedName name="S1_PDL_PreviousProject5">Application!$B$3007</definedName>
    <definedName name="S1_PDL_PreviousProjectDate1">Application!$AD$2999</definedName>
    <definedName name="S1_PDL_PreviousProjectDate2">Application!$AD$3001</definedName>
    <definedName name="S1_PDL_PreviousProjectDate3">Application!$AD$3003</definedName>
    <definedName name="S1_PDL_PreviousProjectDate4">Application!$AD$3005</definedName>
    <definedName name="S1_PDL_PreviousProjectDate5">Application!$AD$3007</definedName>
    <definedName name="S1_PDL_ProgramDescription">Application!$B$3285</definedName>
    <definedName name="S1_PDL_ProHousingPoints">Application!$O$3389</definedName>
    <definedName name="S1_PDL_ProjectName">Application!$F$3020</definedName>
    <definedName name="S1_PDL_PurchasePrice">Application!$L$3053</definedName>
    <definedName name="S1_PDL_RentBasedOnRestrictedLandValue">Application!$Z$3090</definedName>
    <definedName name="S1_PDL_RevitalizationPoints">Application!$O$3386</definedName>
    <definedName name="S1_PDL_SalesDateSource1">Application!$AC$3114</definedName>
    <definedName name="S1_PDL_SalesDateSource10">Application!$AC$3123</definedName>
    <definedName name="S1_PDL_SalesDateSource2">Application!$AC$3115</definedName>
    <definedName name="S1_PDL_SalesDateSource3">Application!$AC$3116</definedName>
    <definedName name="S1_PDL_SalesDateSource4">Application!$AC$3117</definedName>
    <definedName name="S1_PDL_SalesDateSource5">Application!$AC$3118</definedName>
    <definedName name="S1_PDL_SalesDateSource6">Application!$AC$3119</definedName>
    <definedName name="S1_PDL_SalesDateSource7">Application!$AC$3120</definedName>
    <definedName name="S1_PDL_SalesDateSource8">Application!$AC$3121</definedName>
    <definedName name="S1_PDL_SalesDateSource9">Application!$AC$3122</definedName>
    <definedName name="S1_PDL_SEGReportsPrepared">Application!$AD$3080</definedName>
    <definedName name="S1_PDL_SelfHelpHours">Application!$B$3374</definedName>
    <definedName name="S1_PDL_SewerAvailable">Application!$K$3057</definedName>
    <definedName name="S1_PDL_SiteControlDocument">Application!$K$3083</definedName>
    <definedName name="S1_PDL_SiteControlDocumentDate">Application!$AD$3083</definedName>
    <definedName name="S1_PDL_SiteControlSpecialCircumstances">Application!$B$3085</definedName>
    <definedName name="S1_PDL_SiteImprovements">Application!$B$3065</definedName>
    <definedName name="S1_PDL_SitePlanReviewApproval">Application!$T$3103</definedName>
    <definedName name="S1_PDL_SitePlanReviewDate">Application!$P$3103</definedName>
    <definedName name="S1_PDL_SitePlanReviewIssuer">Application!$B$3103</definedName>
    <definedName name="S1_PDL_SufficientStaffAndCapacity">Application!$AF$3010</definedName>
    <definedName name="S1_PDL_TentativeMapApproved">Application!$AB$3069</definedName>
    <definedName name="S1_PDL_TentativeMapDate">Application!$AD$3069</definedName>
    <definedName name="S1_PDL_TotalRequested">Application!$W$3382</definedName>
    <definedName name="S1_PDL_TotalUnits">Application!$W$3379</definedName>
    <definedName name="S1_PDL_TypeOfHomeToDevelop">Application!$V$3022</definedName>
    <definedName name="S1_PDL_UnitBathCount1">Application!$P$3114</definedName>
    <definedName name="S1_PDL_UnitBathCount10">Application!$P$3123</definedName>
    <definedName name="S1_PDL_UnitBathCount2">Application!$P$3115</definedName>
    <definedName name="S1_PDL_UnitBathCount3">Application!$P$3116</definedName>
    <definedName name="S1_PDL_UnitBathCount4">Application!$P$3117</definedName>
    <definedName name="S1_PDL_UnitBathCount5">Application!$P$3118</definedName>
    <definedName name="S1_PDL_UnitBathCount6">Application!$P$3119</definedName>
    <definedName name="S1_PDL_UnitBathCount7">Application!$P$3120</definedName>
    <definedName name="S1_PDL_UnitBathCount8">Application!$P$3121</definedName>
    <definedName name="S1_PDL_UnitBathCount9">Application!$P$3122</definedName>
    <definedName name="S1_PDL_UnitBdrmCount1">Application!$N$3114</definedName>
    <definedName name="S1_PDL_UnitBdrmCount10">Application!$N$3123</definedName>
    <definedName name="S1_PDL_UnitBdrmCount2">Application!$N$3115</definedName>
    <definedName name="S1_PDL_UnitBdrmCount3">Application!$N$3116</definedName>
    <definedName name="S1_PDL_UnitBdrmCount4">Application!$N$3117</definedName>
    <definedName name="S1_PDL_UnitBdrmCount5">Application!$N$3118</definedName>
    <definedName name="S1_PDL_UnitBdrmCount6">Application!$N$3119</definedName>
    <definedName name="S1_PDL_UnitBdrmCount7">Application!$N$3120</definedName>
    <definedName name="S1_PDL_UnitBdrmCount8">Application!$N$3121</definedName>
    <definedName name="S1_PDL_UnitBdrmCount9">Application!$N$3122</definedName>
    <definedName name="S1_PDL_UnitCost1">Application!$B$3114</definedName>
    <definedName name="S1_PDL_UnitCost10">Application!$B$3123</definedName>
    <definedName name="S1_PDL_UnitCost2">Application!$B$3115</definedName>
    <definedName name="S1_PDL_UnitCost3">Application!$B$3116</definedName>
    <definedName name="S1_PDL_UnitCost4">Application!$B$3117</definedName>
    <definedName name="S1_PDL_UnitCost5">Application!$B$3118</definedName>
    <definedName name="S1_PDL_UnitCost6">Application!$B$3119</definedName>
    <definedName name="S1_PDL_UnitCost7">Application!$B$3120</definedName>
    <definedName name="S1_PDL_UnitCost8">Application!$B$3121</definedName>
    <definedName name="S1_PDL_UnitCost9">Application!$B$3122</definedName>
    <definedName name="S1_PDL_UnitCount1">Application!$G$3114</definedName>
    <definedName name="S1_PDL_UnitCount10">Application!$G$3123</definedName>
    <definedName name="S1_PDL_UnitCount2">Application!$G$3115</definedName>
    <definedName name="S1_PDL_UnitCount3">Application!$G$3116</definedName>
    <definedName name="S1_PDL_UnitCount4">Application!$G$3117</definedName>
    <definedName name="S1_PDL_UnitCount5">Application!$G$3118</definedName>
    <definedName name="S1_PDL_UnitCount6">Application!$G$3119</definedName>
    <definedName name="S1_PDL_UnitCount7">Application!$G$3120</definedName>
    <definedName name="S1_PDL_UnitCount8">Application!$G$3121</definedName>
    <definedName name="S1_PDL_UnitCount9">Application!$G$3122</definedName>
    <definedName name="S1_PDL_UnitsAlreadyCompleted">Application!$I$3050</definedName>
    <definedName name="S1_PDL_UnitSqft1">Application!$I$3114</definedName>
    <definedName name="S1_PDL_UnitSqft10">Application!$I$3123</definedName>
    <definedName name="S1_PDL_UnitSqft2">Application!$I$3115</definedName>
    <definedName name="S1_PDL_UnitSqft3">Application!$I$3116</definedName>
    <definedName name="S1_PDL_UnitSqft4">Application!$I$3117</definedName>
    <definedName name="S1_PDL_UnitSqft5">Application!$I$3118</definedName>
    <definedName name="S1_PDL_UnitSqft6">Application!$I$3119</definedName>
    <definedName name="S1_PDL_UnitSqft7">Application!$I$3120</definedName>
    <definedName name="S1_PDL_UnitSqft8">Application!$I$3121</definedName>
    <definedName name="S1_PDL_UnitSqft9">Application!$I$3122</definedName>
    <definedName name="S1_PDL_VolunteerAndTrainingPoints">Application!$O$3387</definedName>
    <definedName name="S1_PDL_VolunteerHours">Application!$B$3373</definedName>
    <definedName name="S1_PDL_WaterAvailable">Application!$E$3056</definedName>
    <definedName name="S1_PDL_YouthTrainingHours">Application!$B$3375</definedName>
    <definedName name="S1_PDL_Zip1">Application!$V$3026</definedName>
    <definedName name="S1_PDL_Zip10">Application!$V$3035</definedName>
    <definedName name="S1_PDL_Zip2">Application!$V$3027</definedName>
    <definedName name="S1_PDL_Zip3">Application!$V$3028</definedName>
    <definedName name="S1_PDL_Zip4">Application!$V$3029</definedName>
    <definedName name="S1_PDL_Zip5">Application!$V$3030</definedName>
    <definedName name="S1_PDL_Zip6">Application!$V$3031</definedName>
    <definedName name="S1_PDL_Zip7">Application!$V$3032</definedName>
    <definedName name="S1_PDL_Zip8">Application!$V$3033</definedName>
    <definedName name="S1_PDL_Zip9">Application!$V$3034</definedName>
    <definedName name="S1_PDL_ZoningApproval">Application!$T$3105</definedName>
    <definedName name="S1_PDL_ZoningApprovalIssuer">Application!$B$3105</definedName>
    <definedName name="S1_PDL_ZoningDate">Application!$P$3105</definedName>
    <definedName name="S1_SHTA_2YearsExpInLast4Years">Application!$AF$2775</definedName>
    <definedName name="S1_SHTA_AdministrationPlan">Application!$B$2804</definedName>
    <definedName name="S1_SHTA_ApplyingForRuralAreaSetAside">S1SHTAData!$M$61</definedName>
    <definedName name="S1_SHTA_CompletionStatus">Application!$I$2773</definedName>
    <definedName name="S1_SHTA_DevelopEmployGuidelines">Application!$AF$2791</definedName>
    <definedName name="S1_SHTA_InHighResourceArea">S1SHTAData!$L$61</definedName>
    <definedName name="S1_SHTA_MarketStudy">Application!$B$2811</definedName>
    <definedName name="S1_SHTA_PreviousProgram1">Application!$B$2779</definedName>
    <definedName name="S1_SHTA_PreviousProgram2">Application!$B$2781</definedName>
    <definedName name="S1_SHTA_PreviousProgram3">Application!$B$2783</definedName>
    <definedName name="S1_SHTA_PreviousProgram4">Application!$B$2785</definedName>
    <definedName name="S1_SHTA_PreviousProgram5">Application!$B$2787</definedName>
    <definedName name="S1_SHTA_PreviousProgramEnd1">Application!$AB$2779</definedName>
    <definedName name="S1_SHTA_PreviousProgramEnd2">Application!$AB$2781</definedName>
    <definedName name="S1_SHTA_PreviousProgramEnd3">Application!$AB$2783</definedName>
    <definedName name="S1_SHTA_PreviousProgramEnd4">Application!$AB$2785</definedName>
    <definedName name="S1_SHTA_PreviousProgramEnd5">Application!$AB$2787</definedName>
    <definedName name="S1_SHTA_PreviousProgramStart1">Application!$Y$2779</definedName>
    <definedName name="S1_SHTA_PreviousProgramStart2">Application!$Y$2781</definedName>
    <definedName name="S1_SHTA_PreviousProgramStart3">Application!$Y$2783</definedName>
    <definedName name="S1_SHTA_PreviousProgramStart4">Application!$Y$2785</definedName>
    <definedName name="S1_SHTA_PreviousProgramStart5">Application!$Y$2787</definedName>
    <definedName name="S1_SHTA_PreviousProgramUnits1">Application!$V$2779</definedName>
    <definedName name="S1_SHTA_PreviousProgramUnits2">Application!$V$2781</definedName>
    <definedName name="S1_SHTA_PreviousProgramUnits3">Application!$V$2783</definedName>
    <definedName name="S1_SHTA_PreviousProgramUnits4">Application!$V$2785</definedName>
    <definedName name="S1_SHTA_PreviousProgramUnits5">Application!$V$2787</definedName>
    <definedName name="S1_SHTA_ProgramDescription">Application!$B$2797</definedName>
    <definedName name="S1_SHTA_RuralCapabilityPoints">Application!$O$2977</definedName>
    <definedName name="S1_SHTA_RuralCommunityNeedPoints">Application!$O$2978</definedName>
    <definedName name="S1_SHTA_RuralFarmworkerNeedPoints">Application!$O$2984</definedName>
    <definedName name="S1_SHTA_RuralFeasibilityPoints">Application!$O$2979</definedName>
    <definedName name="S1_SHTA_RuralHousingSupplyPoints">Application!$O$2982</definedName>
    <definedName name="S1_SHTA_RuralProHousingPoints">Application!$O$2983</definedName>
    <definedName name="S1_SHTA_RuralRevitalizationPoints">Application!$O$2980</definedName>
    <definedName name="S1_SHTA_RuralTotalRequested">S1SHTAData!$Z$61</definedName>
    <definedName name="S1_SHTA_RuralTotalUnits">S1SHTAData!$W$61</definedName>
    <definedName name="S1_SHTA_RuralVolunteerAndTrainingPoints">Application!$O$2981</definedName>
    <definedName name="S1_SHTA_SelfHelpHours">Application!$B$2823</definedName>
    <definedName name="S1_SHTA_SoldHomeNotExceedAppraisedValue">Application!$AF$2790</definedName>
    <definedName name="S1_SHTA_TotalUnits">S1SHTAData!$D$61</definedName>
    <definedName name="S1_SHTA_UnrestrictedCapabilityPoints">Application!$O$2895</definedName>
    <definedName name="S1_SHTA_UnrestrictedCommunityNeedPoints">Application!$O$2896</definedName>
    <definedName name="S1_SHTA_UnrestrictedFarmworkerNeedPoints">Application!$O$2902</definedName>
    <definedName name="S1_SHTA_UnrestrictedFeasibilityPoints">Application!$O$2897</definedName>
    <definedName name="S1_SHTA_UnrestrictedHousingSupplyPoints">Application!$O$2900</definedName>
    <definedName name="S1_SHTA_UnrestrictedProHousingPoints">Application!$O$2901</definedName>
    <definedName name="S1_SHTA_UnrestrictedRevitalizationPoints">Application!$O$2898</definedName>
    <definedName name="S1_SHTA_UnrestrictedTotalRequested">S1SHTAData!$Q$61</definedName>
    <definedName name="S1_SHTA_UnrestrictedTotalUnits">S1SHTAData!$N$61</definedName>
    <definedName name="S1_SHTA_UnrestrictedVolunteerAndTrainingPoints">Application!$O$2899</definedName>
    <definedName name="S1_SHTA_VolunteerHours">Application!$B$2822</definedName>
    <definedName name="S1_SHTA_YouthTrainingHours">Application!$B$2824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31" l="1"/>
  <c r="A9" i="31"/>
  <c r="A8" i="31"/>
  <c r="A7" i="31"/>
  <c r="A6" i="31"/>
  <c r="A5" i="31"/>
  <c r="A4" i="31"/>
  <c r="A3" i="31"/>
  <c r="A2" i="31"/>
  <c r="B71" i="30"/>
  <c r="B70" i="30"/>
  <c r="B69" i="30"/>
  <c r="B68" i="30"/>
  <c r="B67" i="30"/>
  <c r="B66" i="30"/>
  <c r="B65" i="30"/>
  <c r="B64" i="30"/>
  <c r="B63" i="30"/>
  <c r="B62" i="30"/>
  <c r="B61" i="30"/>
  <c r="B60" i="30"/>
  <c r="B59" i="30"/>
  <c r="B58" i="30"/>
  <c r="B57" i="30"/>
  <c r="B56" i="30"/>
  <c r="B55" i="30"/>
  <c r="B54" i="30"/>
  <c r="B53" i="30"/>
  <c r="B52" i="30"/>
  <c r="B51" i="30"/>
  <c r="B50" i="30"/>
  <c r="B49" i="30"/>
  <c r="B48" i="30"/>
  <c r="B47" i="30"/>
  <c r="B46" i="30"/>
  <c r="B45" i="30"/>
  <c r="B44" i="30"/>
  <c r="B43" i="30"/>
  <c r="B42" i="30"/>
  <c r="B41" i="30"/>
  <c r="B40" i="30"/>
  <c r="B39" i="30"/>
  <c r="B38" i="30"/>
  <c r="B37" i="30"/>
  <c r="B36" i="30"/>
  <c r="B35" i="30"/>
  <c r="B34" i="30"/>
  <c r="B33" i="30"/>
  <c r="B32" i="30"/>
  <c r="B31" i="30"/>
  <c r="B30" i="30"/>
  <c r="B29" i="30"/>
  <c r="B28" i="30"/>
  <c r="B27" i="30"/>
  <c r="B26" i="30"/>
  <c r="B25" i="30"/>
  <c r="B24" i="30"/>
  <c r="B23" i="30"/>
  <c r="B22" i="30"/>
  <c r="B21" i="30"/>
  <c r="B20" i="30"/>
  <c r="B19" i="30"/>
  <c r="B18" i="30"/>
  <c r="B17" i="30"/>
  <c r="B16" i="30"/>
  <c r="B15" i="30"/>
  <c r="B14" i="30"/>
  <c r="B13" i="30"/>
  <c r="B12" i="30"/>
  <c r="B11" i="30"/>
  <c r="B10" i="30"/>
  <c r="B9" i="30"/>
  <c r="B8" i="30"/>
  <c r="B7" i="30"/>
  <c r="B6" i="30"/>
  <c r="B5" i="30"/>
  <c r="B4" i="30"/>
  <c r="B3" i="30"/>
  <c r="B2" i="30"/>
  <c r="B1" i="30"/>
  <c r="M3" i="11"/>
  <c r="M4" i="11"/>
  <c r="M5" i="11"/>
  <c r="M6" i="11"/>
  <c r="M7" i="11"/>
  <c r="M8" i="11"/>
  <c r="M9" i="11"/>
  <c r="M10" i="11"/>
  <c r="M11" i="11"/>
  <c r="M12" i="11"/>
  <c r="M13" i="11"/>
  <c r="M14" i="11"/>
  <c r="M15" i="11"/>
  <c r="M16" i="11"/>
  <c r="M17" i="11"/>
  <c r="M18" i="11"/>
  <c r="M19" i="11"/>
  <c r="M20" i="11"/>
  <c r="M21" i="11"/>
  <c r="M22" i="11"/>
  <c r="M23" i="11"/>
  <c r="M24" i="11"/>
  <c r="M25" i="11"/>
  <c r="M26" i="11"/>
  <c r="M27" i="11"/>
  <c r="M28" i="11"/>
  <c r="M29" i="11"/>
  <c r="M30" i="11"/>
  <c r="M31" i="11"/>
  <c r="M32" i="11"/>
  <c r="M33" i="11"/>
  <c r="M34" i="11"/>
  <c r="M35" i="11"/>
  <c r="M36" i="11"/>
  <c r="M37" i="11"/>
  <c r="M38" i="11"/>
  <c r="M39" i="11"/>
  <c r="M40" i="11"/>
  <c r="M41" i="11"/>
  <c r="M42" i="11"/>
  <c r="M43" i="11"/>
  <c r="M44" i="11"/>
  <c r="M45" i="11"/>
  <c r="M46" i="11"/>
  <c r="M47" i="11"/>
  <c r="M48" i="11"/>
  <c r="M49" i="11"/>
  <c r="M50" i="11"/>
  <c r="M51" i="11"/>
  <c r="M52" i="11"/>
  <c r="M53" i="11"/>
  <c r="M54" i="11"/>
  <c r="M55" i="11"/>
  <c r="M56" i="11"/>
  <c r="M57" i="11"/>
  <c r="M58" i="11"/>
  <c r="M59" i="11"/>
  <c r="M60" i="11"/>
  <c r="R3" i="11"/>
  <c r="AZ3" i="10"/>
  <c r="AZ4" i="10"/>
  <c r="AZ5" i="10"/>
  <c r="AZ6" i="10"/>
  <c r="AZ7" i="10"/>
  <c r="AZ8" i="10"/>
  <c r="AZ9" i="10"/>
  <c r="AZ10" i="10"/>
  <c r="AZ11" i="10"/>
  <c r="AZ12" i="10"/>
  <c r="AZ13" i="10"/>
  <c r="AZ14" i="10"/>
  <c r="AZ15" i="10"/>
  <c r="AZ16" i="10"/>
  <c r="AZ17" i="10"/>
  <c r="AZ18" i="10"/>
  <c r="AZ19" i="10"/>
  <c r="AZ20" i="10"/>
  <c r="AZ21" i="10"/>
  <c r="AZ22" i="10"/>
  <c r="AZ23" i="10"/>
  <c r="AZ24" i="10"/>
  <c r="AZ25" i="10"/>
  <c r="AZ26" i="10"/>
  <c r="AZ27" i="10"/>
  <c r="AZ28" i="10"/>
  <c r="AZ29" i="10"/>
  <c r="AZ30" i="10"/>
  <c r="AZ31" i="10"/>
  <c r="AZ32" i="10"/>
  <c r="AZ33" i="10"/>
  <c r="AZ34" i="10"/>
  <c r="AZ35" i="10"/>
  <c r="AZ36" i="10"/>
  <c r="AZ37" i="10"/>
  <c r="AZ38" i="10"/>
  <c r="AZ39" i="10"/>
  <c r="AZ40" i="10"/>
  <c r="AZ41" i="10"/>
  <c r="AZ42" i="10"/>
  <c r="AZ43" i="10"/>
  <c r="AZ44" i="10"/>
  <c r="AZ45" i="10"/>
  <c r="AZ46" i="10"/>
  <c r="AZ47" i="10"/>
  <c r="AZ48" i="10"/>
  <c r="AZ49" i="10"/>
  <c r="AZ50" i="10"/>
  <c r="AZ51" i="10"/>
  <c r="AZ52" i="10"/>
  <c r="AZ53" i="10"/>
  <c r="AZ54" i="10"/>
  <c r="AZ55" i="10"/>
  <c r="AZ56" i="10"/>
  <c r="AZ57" i="10"/>
  <c r="AZ58" i="10"/>
  <c r="AZ59" i="10"/>
  <c r="AZ60" i="10"/>
  <c r="Y46" i="20" l="1"/>
  <c r="Y3" i="20"/>
  <c r="Y4" i="20"/>
  <c r="Y5" i="20"/>
  <c r="Y6" i="20"/>
  <c r="Y7" i="20"/>
  <c r="Y8" i="20"/>
  <c r="Y9" i="20"/>
  <c r="Y10" i="20"/>
  <c r="Y11" i="20"/>
  <c r="Y12" i="20"/>
  <c r="Y13" i="20"/>
  <c r="Y14" i="20"/>
  <c r="Y15" i="20"/>
  <c r="Y16" i="20"/>
  <c r="Y17" i="20"/>
  <c r="Y18" i="20"/>
  <c r="Y19" i="20"/>
  <c r="Y20" i="20"/>
  <c r="Y21" i="20"/>
  <c r="Y22" i="20"/>
  <c r="Y23" i="20"/>
  <c r="Y24" i="20"/>
  <c r="Y25" i="20"/>
  <c r="Y26" i="20"/>
  <c r="Y27" i="20"/>
  <c r="Y28" i="20"/>
  <c r="Y29" i="20"/>
  <c r="Y30" i="20"/>
  <c r="Y31" i="20"/>
  <c r="Y32" i="20"/>
  <c r="Y33" i="20"/>
  <c r="Y34" i="20"/>
  <c r="Y35" i="20"/>
  <c r="Y36" i="20"/>
  <c r="Y37" i="20"/>
  <c r="Y38" i="20"/>
  <c r="Y39" i="20"/>
  <c r="Y40" i="20"/>
  <c r="Y41" i="20"/>
  <c r="Y42" i="20"/>
  <c r="Y43" i="20"/>
  <c r="Y44" i="20"/>
  <c r="Y45" i="20"/>
  <c r="Y47" i="20"/>
  <c r="Y48" i="20"/>
  <c r="Y49" i="20"/>
  <c r="Y50" i="20"/>
  <c r="Y51" i="20"/>
  <c r="Y52" i="20"/>
  <c r="Y53" i="20"/>
  <c r="Y54" i="20"/>
  <c r="Y55" i="20"/>
  <c r="Y56" i="20"/>
  <c r="Y57" i="20"/>
  <c r="Y58" i="20"/>
  <c r="Y59" i="20"/>
  <c r="Y60" i="20"/>
  <c r="Q2972" i="24"/>
  <c r="M2972" i="24"/>
  <c r="Q2971" i="24"/>
  <c r="M2971" i="24"/>
  <c r="U2971" i="24" s="1"/>
  <c r="Q2970" i="24"/>
  <c r="M2970" i="24"/>
  <c r="U2970" i="24" s="1"/>
  <c r="Q2969" i="24"/>
  <c r="M2969" i="24"/>
  <c r="U2969" i="24" s="1"/>
  <c r="Q2968" i="24"/>
  <c r="M2968" i="24"/>
  <c r="U2968" i="24" s="1"/>
  <c r="Q2967" i="24"/>
  <c r="U2967" i="24" s="1"/>
  <c r="M2967" i="24"/>
  <c r="Q2966" i="24"/>
  <c r="M2966" i="24"/>
  <c r="Q2965" i="24"/>
  <c r="M2965" i="24"/>
  <c r="U2965" i="24" s="1"/>
  <c r="Q2964" i="24"/>
  <c r="M2964" i="24"/>
  <c r="U2964" i="24" s="1"/>
  <c r="Q2963" i="24"/>
  <c r="M2963" i="24"/>
  <c r="U2963" i="24" s="1"/>
  <c r="Q2962" i="24"/>
  <c r="M2962" i="24"/>
  <c r="Q2961" i="24"/>
  <c r="M2961" i="24"/>
  <c r="Q2960" i="24"/>
  <c r="M2960" i="24"/>
  <c r="Q2959" i="24"/>
  <c r="M2959" i="24"/>
  <c r="Q2958" i="24"/>
  <c r="M2958" i="24"/>
  <c r="Q2957" i="24"/>
  <c r="M2957" i="24"/>
  <c r="U2957" i="24" s="1"/>
  <c r="Q2956" i="24"/>
  <c r="M2956" i="24"/>
  <c r="U2956" i="24" s="1"/>
  <c r="Q2955" i="24"/>
  <c r="U2955" i="24" s="1"/>
  <c r="M2955" i="24"/>
  <c r="Q2954" i="24"/>
  <c r="M2954" i="24"/>
  <c r="Q2953" i="24"/>
  <c r="M2953" i="24"/>
  <c r="U2953" i="24" s="1"/>
  <c r="Q2952" i="24"/>
  <c r="M2952" i="24"/>
  <c r="U2952" i="24" s="1"/>
  <c r="Q2951" i="24"/>
  <c r="M2951" i="24"/>
  <c r="U2951" i="24" s="1"/>
  <c r="Q2950" i="24"/>
  <c r="M2950" i="24"/>
  <c r="U2950" i="24" s="1"/>
  <c r="Q2949" i="24"/>
  <c r="M2949" i="24"/>
  <c r="Q2948" i="24"/>
  <c r="M2948" i="24"/>
  <c r="Q2947" i="24"/>
  <c r="M2947" i="24"/>
  <c r="Q2946" i="24"/>
  <c r="M2946" i="24"/>
  <c r="Q2945" i="24"/>
  <c r="M2945" i="24"/>
  <c r="Q2944" i="24"/>
  <c r="M2944" i="24"/>
  <c r="Q2943" i="24"/>
  <c r="M2943" i="24"/>
  <c r="Q2942" i="24"/>
  <c r="M2942" i="24"/>
  <c r="Q2941" i="24"/>
  <c r="M2941" i="24"/>
  <c r="U2941" i="24" s="1"/>
  <c r="Q2940" i="24"/>
  <c r="M2940" i="24"/>
  <c r="U2940" i="24" s="1"/>
  <c r="Q2939" i="24"/>
  <c r="M2939" i="24"/>
  <c r="Q2938" i="24"/>
  <c r="M2938" i="24"/>
  <c r="Q2937" i="24"/>
  <c r="M2937" i="24"/>
  <c r="Q2936" i="24"/>
  <c r="M2936" i="24"/>
  <c r="Q2935" i="24"/>
  <c r="M2935" i="24"/>
  <c r="U2935" i="24" s="1"/>
  <c r="Q2934" i="24"/>
  <c r="M2934" i="24"/>
  <c r="U2934" i="24" s="1"/>
  <c r="Q2933" i="24"/>
  <c r="M2933" i="24"/>
  <c r="U2933" i="24" s="1"/>
  <c r="Q2932" i="24"/>
  <c r="M2932" i="24"/>
  <c r="U2932" i="24" s="1"/>
  <c r="Q2931" i="24"/>
  <c r="M2931" i="24"/>
  <c r="Q2930" i="24"/>
  <c r="M2930" i="24"/>
  <c r="Q2929" i="24"/>
  <c r="M2929" i="24"/>
  <c r="U2928" i="24"/>
  <c r="Q2928" i="24"/>
  <c r="M2928" i="24"/>
  <c r="Q2927" i="24"/>
  <c r="M2927" i="24"/>
  <c r="Q2926" i="24"/>
  <c r="M2926" i="24"/>
  <c r="Q2925" i="24"/>
  <c r="M2925" i="24"/>
  <c r="Q2924" i="24"/>
  <c r="M2924" i="24"/>
  <c r="U2924" i="24" s="1"/>
  <c r="Q2923" i="24"/>
  <c r="M2923" i="24"/>
  <c r="Q2922" i="24"/>
  <c r="M2922" i="24"/>
  <c r="U2922" i="24" s="1"/>
  <c r="Q2921" i="24"/>
  <c r="M2921" i="24"/>
  <c r="U2921" i="24" s="1"/>
  <c r="Q2920" i="24"/>
  <c r="M2920" i="24"/>
  <c r="Q2919" i="24"/>
  <c r="M2919" i="24"/>
  <c r="Q2918" i="24"/>
  <c r="M2918" i="24"/>
  <c r="U2918" i="24" s="1"/>
  <c r="Q2917" i="24"/>
  <c r="M2917" i="24"/>
  <c r="Q2916" i="24"/>
  <c r="M2916" i="24"/>
  <c r="U2916" i="24" s="1"/>
  <c r="O1417" i="24"/>
  <c r="K1417" i="24"/>
  <c r="I1417" i="24"/>
  <c r="G1417" i="24"/>
  <c r="O1416" i="24"/>
  <c r="K1416" i="24"/>
  <c r="I1416" i="24"/>
  <c r="G1416" i="24"/>
  <c r="O1415" i="24"/>
  <c r="K1415" i="24"/>
  <c r="S1415" i="24" s="1"/>
  <c r="I1415" i="24"/>
  <c r="G1415" i="24"/>
  <c r="O1414" i="24"/>
  <c r="K1414" i="24"/>
  <c r="S1414" i="24" s="1"/>
  <c r="I1414" i="24"/>
  <c r="G1414" i="24"/>
  <c r="O1413" i="24"/>
  <c r="S1413" i="24" s="1"/>
  <c r="K1413" i="24"/>
  <c r="I1413" i="24"/>
  <c r="G1413" i="24"/>
  <c r="O1412" i="24"/>
  <c r="K1412" i="24"/>
  <c r="I1412" i="24"/>
  <c r="G1412" i="24"/>
  <c r="O1411" i="24"/>
  <c r="K1411" i="24"/>
  <c r="S1411" i="24" s="1"/>
  <c r="I1411" i="24"/>
  <c r="G1411" i="24"/>
  <c r="O1410" i="24"/>
  <c r="K1410" i="24"/>
  <c r="I1410" i="24"/>
  <c r="G1410" i="24"/>
  <c r="O1409" i="24"/>
  <c r="K1409" i="24"/>
  <c r="I1409" i="24"/>
  <c r="G1409" i="24"/>
  <c r="O1408" i="24"/>
  <c r="K1408" i="24"/>
  <c r="I1408" i="24"/>
  <c r="G1408" i="24"/>
  <c r="O1407" i="24"/>
  <c r="K1407" i="24"/>
  <c r="I1407" i="24"/>
  <c r="G1407" i="24"/>
  <c r="O1406" i="24"/>
  <c r="K1406" i="24"/>
  <c r="I1406" i="24"/>
  <c r="G1406" i="24"/>
  <c r="O1405" i="24"/>
  <c r="K1405" i="24"/>
  <c r="I1405" i="24"/>
  <c r="G1405" i="24"/>
  <c r="O1404" i="24"/>
  <c r="K1404" i="24"/>
  <c r="I1404" i="24"/>
  <c r="G1404" i="24"/>
  <c r="O1403" i="24"/>
  <c r="K1403" i="24"/>
  <c r="I1403" i="24"/>
  <c r="G1403" i="24"/>
  <c r="O1402" i="24"/>
  <c r="K1402" i="24"/>
  <c r="I1402" i="24"/>
  <c r="G1402" i="24"/>
  <c r="O1401" i="24"/>
  <c r="K1401" i="24"/>
  <c r="S1401" i="24" s="1"/>
  <c r="I1401" i="24"/>
  <c r="G1401" i="24"/>
  <c r="O1400" i="24"/>
  <c r="K1400" i="24"/>
  <c r="I1400" i="24"/>
  <c r="G1400" i="24"/>
  <c r="O1399" i="24"/>
  <c r="K1399" i="24"/>
  <c r="I1399" i="24"/>
  <c r="G1399" i="24"/>
  <c r="O1398" i="24"/>
  <c r="K1398" i="24"/>
  <c r="I1398" i="24"/>
  <c r="G1398" i="24"/>
  <c r="O1397" i="24"/>
  <c r="K1397" i="24"/>
  <c r="S1397" i="24" s="1"/>
  <c r="I1397" i="24"/>
  <c r="G1397" i="24"/>
  <c r="O1396" i="24"/>
  <c r="K1396" i="24"/>
  <c r="I1396" i="24"/>
  <c r="G1396" i="24"/>
  <c r="O1395" i="24"/>
  <c r="K1395" i="24"/>
  <c r="S1395" i="24" s="1"/>
  <c r="I1395" i="24"/>
  <c r="G1395" i="24"/>
  <c r="O1394" i="24"/>
  <c r="K1394" i="24"/>
  <c r="I1394" i="24"/>
  <c r="G1394" i="24"/>
  <c r="O1393" i="24"/>
  <c r="K1393" i="24"/>
  <c r="I1393" i="24"/>
  <c r="G1393" i="24"/>
  <c r="O1392" i="24"/>
  <c r="K1392" i="24"/>
  <c r="S1392" i="24" s="1"/>
  <c r="I1392" i="24"/>
  <c r="G1392" i="24"/>
  <c r="O1391" i="24"/>
  <c r="K1391" i="24"/>
  <c r="S1391" i="24" s="1"/>
  <c r="I1391" i="24"/>
  <c r="G1391" i="24"/>
  <c r="O1390" i="24"/>
  <c r="K1390" i="24"/>
  <c r="I1390" i="24"/>
  <c r="G1390" i="24"/>
  <c r="O1389" i="24"/>
  <c r="K1389" i="24"/>
  <c r="I1389" i="24"/>
  <c r="G1389" i="24"/>
  <c r="O1388" i="24"/>
  <c r="K1388" i="24"/>
  <c r="S1388" i="24" s="1"/>
  <c r="I1388" i="24"/>
  <c r="G1388" i="24"/>
  <c r="O1387" i="24"/>
  <c r="K1387" i="24"/>
  <c r="I1387" i="24"/>
  <c r="G1387" i="24"/>
  <c r="O1386" i="24"/>
  <c r="K1386" i="24"/>
  <c r="I1386" i="24"/>
  <c r="G1386" i="24"/>
  <c r="O1385" i="24"/>
  <c r="K1385" i="24"/>
  <c r="I1385" i="24"/>
  <c r="G1385" i="24"/>
  <c r="O1384" i="24"/>
  <c r="K1384" i="24"/>
  <c r="I1384" i="24"/>
  <c r="G1384" i="24"/>
  <c r="O1383" i="24"/>
  <c r="K1383" i="24"/>
  <c r="S1383" i="24" s="1"/>
  <c r="I1383" i="24"/>
  <c r="G1383" i="24"/>
  <c r="O1382" i="24"/>
  <c r="K1382" i="24"/>
  <c r="S1382" i="24" s="1"/>
  <c r="I1382" i="24"/>
  <c r="G1382" i="24"/>
  <c r="O1381" i="24"/>
  <c r="K1381" i="24"/>
  <c r="S1381" i="24" s="1"/>
  <c r="I1381" i="24"/>
  <c r="G1381" i="24"/>
  <c r="O1380" i="24"/>
  <c r="K1380" i="24"/>
  <c r="I1380" i="24"/>
  <c r="G1380" i="24"/>
  <c r="O1379" i="24"/>
  <c r="K1379" i="24"/>
  <c r="I1379" i="24"/>
  <c r="G1379" i="24"/>
  <c r="O1378" i="24"/>
  <c r="K1378" i="24"/>
  <c r="S1378" i="24" s="1"/>
  <c r="I1378" i="24"/>
  <c r="G1378" i="24"/>
  <c r="O1377" i="24"/>
  <c r="K1377" i="24"/>
  <c r="I1377" i="24"/>
  <c r="G1377" i="24"/>
  <c r="O1376" i="24"/>
  <c r="K1376" i="24"/>
  <c r="I1376" i="24"/>
  <c r="G1376" i="24"/>
  <c r="O1375" i="24"/>
  <c r="K1375" i="24"/>
  <c r="S1375" i="24" s="1"/>
  <c r="I1375" i="24"/>
  <c r="G1375" i="24"/>
  <c r="O1374" i="24"/>
  <c r="K1374" i="24"/>
  <c r="S1374" i="24" s="1"/>
  <c r="I1374" i="24"/>
  <c r="G1374" i="24"/>
  <c r="O1373" i="24"/>
  <c r="K1373" i="24"/>
  <c r="I1373" i="24"/>
  <c r="G1373" i="24"/>
  <c r="O1372" i="24"/>
  <c r="K1372" i="24"/>
  <c r="S1372" i="24" s="1"/>
  <c r="I1372" i="24"/>
  <c r="G1372" i="24"/>
  <c r="O1371" i="24"/>
  <c r="K1371" i="24"/>
  <c r="S1371" i="24" s="1"/>
  <c r="I1371" i="24"/>
  <c r="G1371" i="24"/>
  <c r="O1370" i="24"/>
  <c r="K1370" i="24"/>
  <c r="I1370" i="24"/>
  <c r="G1370" i="24"/>
  <c r="O1369" i="24"/>
  <c r="K1369" i="24"/>
  <c r="I1369" i="24"/>
  <c r="G1369" i="24"/>
  <c r="O1368" i="24"/>
  <c r="K1368" i="24"/>
  <c r="S1368" i="24" s="1"/>
  <c r="I1368" i="24"/>
  <c r="G1368" i="24"/>
  <c r="O1367" i="24"/>
  <c r="K1367" i="24"/>
  <c r="I1367" i="24"/>
  <c r="G1367" i="24"/>
  <c r="O1366" i="24"/>
  <c r="K1366" i="24"/>
  <c r="S1366" i="24" s="1"/>
  <c r="I1366" i="24"/>
  <c r="G1366" i="24"/>
  <c r="O1365" i="24"/>
  <c r="K1365" i="24"/>
  <c r="I1365" i="24"/>
  <c r="G1365" i="24"/>
  <c r="O1364" i="24"/>
  <c r="K1364" i="24"/>
  <c r="S1364" i="24" s="1"/>
  <c r="I1364" i="24"/>
  <c r="G1364" i="24"/>
  <c r="O1363" i="24"/>
  <c r="K1363" i="24"/>
  <c r="I1363" i="24"/>
  <c r="G1363" i="24"/>
  <c r="O1362" i="24"/>
  <c r="K1362" i="24"/>
  <c r="I1362" i="24"/>
  <c r="G1362" i="24"/>
  <c r="O1361" i="24"/>
  <c r="K1361" i="24"/>
  <c r="I1361" i="24"/>
  <c r="G1361" i="24"/>
  <c r="O1255" i="24"/>
  <c r="O1254" i="24"/>
  <c r="O1253" i="24"/>
  <c r="O1252" i="24"/>
  <c r="O1251" i="24"/>
  <c r="O1250" i="24"/>
  <c r="O1249" i="24"/>
  <c r="O1248" i="24"/>
  <c r="O1247" i="24"/>
  <c r="O1246" i="24"/>
  <c r="O1245" i="24"/>
  <c r="O1244" i="24"/>
  <c r="O1243" i="24"/>
  <c r="O1242" i="24"/>
  <c r="O1241" i="24"/>
  <c r="O1240" i="24"/>
  <c r="O1239" i="24"/>
  <c r="O1238" i="24"/>
  <c r="O1237" i="24"/>
  <c r="O1236" i="24"/>
  <c r="O1235" i="24"/>
  <c r="O1234" i="24"/>
  <c r="O1233" i="24"/>
  <c r="O1232" i="24"/>
  <c r="O1231" i="24"/>
  <c r="O1230" i="24"/>
  <c r="O1229" i="24"/>
  <c r="O1228" i="24"/>
  <c r="O1227" i="24"/>
  <c r="O1226" i="24"/>
  <c r="O1225" i="24"/>
  <c r="O1224" i="24"/>
  <c r="O1223" i="24"/>
  <c r="O1222" i="24"/>
  <c r="O1221" i="24"/>
  <c r="O1220" i="24"/>
  <c r="O1219" i="24"/>
  <c r="O1218" i="24"/>
  <c r="O1217" i="24"/>
  <c r="O1216" i="24"/>
  <c r="O1215" i="24"/>
  <c r="O1214" i="24"/>
  <c r="O1213" i="24"/>
  <c r="O1212" i="24"/>
  <c r="O1211" i="24"/>
  <c r="O1210" i="24"/>
  <c r="O1209" i="24"/>
  <c r="O1208" i="24"/>
  <c r="O1207" i="24"/>
  <c r="O1206" i="24"/>
  <c r="O1205" i="24"/>
  <c r="O1204" i="24"/>
  <c r="O1203" i="24"/>
  <c r="O1202" i="24"/>
  <c r="O1201" i="24"/>
  <c r="O1200" i="24"/>
  <c r="O1199" i="24"/>
  <c r="O1198" i="24"/>
  <c r="R4" i="11"/>
  <c r="M1561" i="24" s="1"/>
  <c r="R5" i="11"/>
  <c r="M1562" i="24" s="1"/>
  <c r="R6" i="11"/>
  <c r="M1563" i="24" s="1"/>
  <c r="R7" i="11"/>
  <c r="M1564" i="24" s="1"/>
  <c r="R8" i="11"/>
  <c r="M1565" i="24" s="1"/>
  <c r="R9" i="11"/>
  <c r="M1566" i="24" s="1"/>
  <c r="R10" i="11"/>
  <c r="M1567" i="24" s="1"/>
  <c r="R11" i="11"/>
  <c r="M1568" i="24" s="1"/>
  <c r="R12" i="11"/>
  <c r="M1569" i="24" s="1"/>
  <c r="R13" i="11"/>
  <c r="M1570" i="24" s="1"/>
  <c r="R14" i="11"/>
  <c r="M1571" i="24" s="1"/>
  <c r="R15" i="11"/>
  <c r="M1572" i="24" s="1"/>
  <c r="R16" i="11"/>
  <c r="M1573" i="24" s="1"/>
  <c r="R17" i="11"/>
  <c r="M1574" i="24" s="1"/>
  <c r="R18" i="11"/>
  <c r="M1575" i="24" s="1"/>
  <c r="R19" i="11"/>
  <c r="M1576" i="24" s="1"/>
  <c r="R20" i="11"/>
  <c r="M1577" i="24" s="1"/>
  <c r="R21" i="11"/>
  <c r="M1578" i="24" s="1"/>
  <c r="R23" i="11"/>
  <c r="M1580" i="24" s="1"/>
  <c r="R24" i="11"/>
  <c r="M1581" i="24" s="1"/>
  <c r="R25" i="11"/>
  <c r="M1582" i="24" s="1"/>
  <c r="R26" i="11"/>
  <c r="M1583" i="24" s="1"/>
  <c r="R27" i="11"/>
  <c r="M1584" i="24" s="1"/>
  <c r="R28" i="11"/>
  <c r="M1585" i="24" s="1"/>
  <c r="R29" i="11"/>
  <c r="M1586" i="24" s="1"/>
  <c r="R30" i="11"/>
  <c r="M1587" i="24" s="1"/>
  <c r="R31" i="11"/>
  <c r="M1588" i="24" s="1"/>
  <c r="R32" i="11"/>
  <c r="M1589" i="24" s="1"/>
  <c r="R33" i="11"/>
  <c r="M1590" i="24" s="1"/>
  <c r="R34" i="11"/>
  <c r="M1591" i="24" s="1"/>
  <c r="R35" i="11"/>
  <c r="M1592" i="24" s="1"/>
  <c r="R36" i="11"/>
  <c r="M1593" i="24" s="1"/>
  <c r="R37" i="11"/>
  <c r="M1594" i="24" s="1"/>
  <c r="R38" i="11"/>
  <c r="M1595" i="24" s="1"/>
  <c r="R39" i="11"/>
  <c r="M1596" i="24" s="1"/>
  <c r="R40" i="11"/>
  <c r="M1597" i="24" s="1"/>
  <c r="R41" i="11"/>
  <c r="M1598" i="24" s="1"/>
  <c r="R42" i="11"/>
  <c r="M1599" i="24" s="1"/>
  <c r="R43" i="11"/>
  <c r="M1600" i="24" s="1"/>
  <c r="R44" i="11"/>
  <c r="M1601" i="24" s="1"/>
  <c r="R45" i="11"/>
  <c r="M1602" i="24" s="1"/>
  <c r="R46" i="11"/>
  <c r="M1603" i="24" s="1"/>
  <c r="R47" i="11"/>
  <c r="M1604" i="24" s="1"/>
  <c r="R48" i="11"/>
  <c r="M1605" i="24" s="1"/>
  <c r="R49" i="11"/>
  <c r="M1606" i="24" s="1"/>
  <c r="R50" i="11"/>
  <c r="M1607" i="24" s="1"/>
  <c r="R51" i="11"/>
  <c r="M1608" i="24" s="1"/>
  <c r="R52" i="11"/>
  <c r="M1609" i="24" s="1"/>
  <c r="R53" i="11"/>
  <c r="M1610" i="24" s="1"/>
  <c r="R54" i="11"/>
  <c r="M1611" i="24" s="1"/>
  <c r="R55" i="11"/>
  <c r="M1612" i="24" s="1"/>
  <c r="R56" i="11"/>
  <c r="M1613" i="24" s="1"/>
  <c r="R57" i="11"/>
  <c r="M1614" i="24" s="1"/>
  <c r="R58" i="11"/>
  <c r="M1615" i="24" s="1"/>
  <c r="R59" i="11"/>
  <c r="M1616" i="24" s="1"/>
  <c r="R60" i="11"/>
  <c r="M1617" i="24" s="1"/>
  <c r="Q2890" i="24"/>
  <c r="M2890" i="24"/>
  <c r="K2890" i="24"/>
  <c r="I2890" i="24"/>
  <c r="G2890" i="24"/>
  <c r="Q2889" i="24"/>
  <c r="M2889" i="24"/>
  <c r="K2889" i="24"/>
  <c r="I2889" i="24"/>
  <c r="G2889" i="24"/>
  <c r="Q2888" i="24"/>
  <c r="M2888" i="24"/>
  <c r="K2888" i="24"/>
  <c r="I2888" i="24"/>
  <c r="G2888" i="24"/>
  <c r="Q2887" i="24"/>
  <c r="M2887" i="24"/>
  <c r="K2887" i="24"/>
  <c r="I2887" i="24"/>
  <c r="G2887" i="24"/>
  <c r="Q2886" i="24"/>
  <c r="M2886" i="24"/>
  <c r="K2886" i="24"/>
  <c r="I2886" i="24"/>
  <c r="G2886" i="24"/>
  <c r="Q2885" i="24"/>
  <c r="M2885" i="24"/>
  <c r="K2885" i="24"/>
  <c r="I2885" i="24"/>
  <c r="G2885" i="24"/>
  <c r="Q2884" i="24"/>
  <c r="M2884" i="24"/>
  <c r="K2884" i="24"/>
  <c r="I2884" i="24"/>
  <c r="G2884" i="24"/>
  <c r="Q2883" i="24"/>
  <c r="M2883" i="24"/>
  <c r="K2883" i="24"/>
  <c r="I2883" i="24"/>
  <c r="G2883" i="24"/>
  <c r="Q2882" i="24"/>
  <c r="M2882" i="24"/>
  <c r="K2882" i="24"/>
  <c r="I2882" i="24"/>
  <c r="G2882" i="24"/>
  <c r="Q2881" i="24"/>
  <c r="M2881" i="24"/>
  <c r="K2881" i="24"/>
  <c r="I2881" i="24"/>
  <c r="G2881" i="24"/>
  <c r="Q2880" i="24"/>
  <c r="M2880" i="24"/>
  <c r="K2880" i="24"/>
  <c r="I2880" i="24"/>
  <c r="G2880" i="24"/>
  <c r="Q2879" i="24"/>
  <c r="M2879" i="24"/>
  <c r="K2879" i="24"/>
  <c r="I2879" i="24"/>
  <c r="G2879" i="24"/>
  <c r="Q2878" i="24"/>
  <c r="M2878" i="24"/>
  <c r="K2878" i="24"/>
  <c r="I2878" i="24"/>
  <c r="G2878" i="24"/>
  <c r="Q2877" i="24"/>
  <c r="M2877" i="24"/>
  <c r="K2877" i="24"/>
  <c r="I2877" i="24"/>
  <c r="G2877" i="24"/>
  <c r="Q2876" i="24"/>
  <c r="M2876" i="24"/>
  <c r="K2876" i="24"/>
  <c r="I2876" i="24"/>
  <c r="G2876" i="24"/>
  <c r="Q2875" i="24"/>
  <c r="M2875" i="24"/>
  <c r="K2875" i="24"/>
  <c r="I2875" i="24"/>
  <c r="G2875" i="24"/>
  <c r="Q2874" i="24"/>
  <c r="M2874" i="24"/>
  <c r="K2874" i="24"/>
  <c r="I2874" i="24"/>
  <c r="G2874" i="24"/>
  <c r="Q2873" i="24"/>
  <c r="M2873" i="24"/>
  <c r="K2873" i="24"/>
  <c r="I2873" i="24"/>
  <c r="G2873" i="24"/>
  <c r="Q2872" i="24"/>
  <c r="M2872" i="24"/>
  <c r="K2872" i="24"/>
  <c r="I2872" i="24"/>
  <c r="G2872" i="24"/>
  <c r="Q2871" i="24"/>
  <c r="M2871" i="24"/>
  <c r="K2871" i="24"/>
  <c r="I2871" i="24"/>
  <c r="G2871" i="24"/>
  <c r="Q2870" i="24"/>
  <c r="M2870" i="24"/>
  <c r="K2870" i="24"/>
  <c r="I2870" i="24"/>
  <c r="G2870" i="24"/>
  <c r="Q2869" i="24"/>
  <c r="M2869" i="24"/>
  <c r="K2869" i="24"/>
  <c r="I2869" i="24"/>
  <c r="G2869" i="24"/>
  <c r="Q2868" i="24"/>
  <c r="M2868" i="24"/>
  <c r="K2868" i="24"/>
  <c r="I2868" i="24"/>
  <c r="G2868" i="24"/>
  <c r="Q2867" i="24"/>
  <c r="M2867" i="24"/>
  <c r="K2867" i="24"/>
  <c r="I2867" i="24"/>
  <c r="G2867" i="24"/>
  <c r="Q2866" i="24"/>
  <c r="M2866" i="24"/>
  <c r="K2866" i="24"/>
  <c r="I2866" i="24"/>
  <c r="G2866" i="24"/>
  <c r="Q2865" i="24"/>
  <c r="M2865" i="24"/>
  <c r="K2865" i="24"/>
  <c r="I2865" i="24"/>
  <c r="G2865" i="24"/>
  <c r="Q2864" i="24"/>
  <c r="M2864" i="24"/>
  <c r="K2864" i="24"/>
  <c r="I2864" i="24"/>
  <c r="G2864" i="24"/>
  <c r="Q2863" i="24"/>
  <c r="M2863" i="24"/>
  <c r="K2863" i="24"/>
  <c r="I2863" i="24"/>
  <c r="G2863" i="24"/>
  <c r="Q2862" i="24"/>
  <c r="M2862" i="24"/>
  <c r="K2862" i="24"/>
  <c r="I2862" i="24"/>
  <c r="G2862" i="24"/>
  <c r="Q2861" i="24"/>
  <c r="M2861" i="24"/>
  <c r="K2861" i="24"/>
  <c r="I2861" i="24"/>
  <c r="G2861" i="24"/>
  <c r="Q2860" i="24"/>
  <c r="M2860" i="24"/>
  <c r="K2860" i="24"/>
  <c r="I2860" i="24"/>
  <c r="G2860" i="24"/>
  <c r="Q2859" i="24"/>
  <c r="M2859" i="24"/>
  <c r="K2859" i="24"/>
  <c r="I2859" i="24"/>
  <c r="G2859" i="24"/>
  <c r="Q2858" i="24"/>
  <c r="M2858" i="24"/>
  <c r="K2858" i="24"/>
  <c r="I2858" i="24"/>
  <c r="G2858" i="24"/>
  <c r="Q2857" i="24"/>
  <c r="M2857" i="24"/>
  <c r="K2857" i="24"/>
  <c r="I2857" i="24"/>
  <c r="G2857" i="24"/>
  <c r="Q2856" i="24"/>
  <c r="M2856" i="24"/>
  <c r="K2856" i="24"/>
  <c r="I2856" i="24"/>
  <c r="G2856" i="24"/>
  <c r="Q2855" i="24"/>
  <c r="M2855" i="24"/>
  <c r="K2855" i="24"/>
  <c r="I2855" i="24"/>
  <c r="G2855" i="24"/>
  <c r="Q2854" i="24"/>
  <c r="M2854" i="24"/>
  <c r="K2854" i="24"/>
  <c r="I2854" i="24"/>
  <c r="G2854" i="24"/>
  <c r="Q2853" i="24"/>
  <c r="M2853" i="24"/>
  <c r="K2853" i="24"/>
  <c r="I2853" i="24"/>
  <c r="G2853" i="24"/>
  <c r="Q2852" i="24"/>
  <c r="M2852" i="24"/>
  <c r="K2852" i="24"/>
  <c r="I2852" i="24"/>
  <c r="G2852" i="24"/>
  <c r="Q2851" i="24"/>
  <c r="M2851" i="24"/>
  <c r="K2851" i="24"/>
  <c r="I2851" i="24"/>
  <c r="G2851" i="24"/>
  <c r="Q2850" i="24"/>
  <c r="M2850" i="24"/>
  <c r="K2850" i="24"/>
  <c r="I2850" i="24"/>
  <c r="G2850" i="24"/>
  <c r="Q2849" i="24"/>
  <c r="M2849" i="24"/>
  <c r="K2849" i="24"/>
  <c r="I2849" i="24"/>
  <c r="G2849" i="24"/>
  <c r="Q2848" i="24"/>
  <c r="M2848" i="24"/>
  <c r="K2848" i="24"/>
  <c r="I2848" i="24"/>
  <c r="G2848" i="24"/>
  <c r="Q2847" i="24"/>
  <c r="M2847" i="24"/>
  <c r="K2847" i="24"/>
  <c r="I2847" i="24"/>
  <c r="G2847" i="24"/>
  <c r="Q2846" i="24"/>
  <c r="M2846" i="24"/>
  <c r="K2846" i="24"/>
  <c r="I2846" i="24"/>
  <c r="G2846" i="24"/>
  <c r="Q2845" i="24"/>
  <c r="M2845" i="24"/>
  <c r="K2845" i="24"/>
  <c r="I2845" i="24"/>
  <c r="G2845" i="24"/>
  <c r="Q2844" i="24"/>
  <c r="M2844" i="24"/>
  <c r="K2844" i="24"/>
  <c r="I2844" i="24"/>
  <c r="G2844" i="24"/>
  <c r="Q2843" i="24"/>
  <c r="M2843" i="24"/>
  <c r="K2843" i="24"/>
  <c r="I2843" i="24"/>
  <c r="G2843" i="24"/>
  <c r="Q2842" i="24"/>
  <c r="M2842" i="24"/>
  <c r="K2842" i="24"/>
  <c r="I2842" i="24"/>
  <c r="G2842" i="24"/>
  <c r="Q2841" i="24"/>
  <c r="M2841" i="24"/>
  <c r="K2841" i="24"/>
  <c r="I2841" i="24"/>
  <c r="G2841" i="24"/>
  <c r="Q2840" i="24"/>
  <c r="M2840" i="24"/>
  <c r="K2840" i="24"/>
  <c r="I2840" i="24"/>
  <c r="G2840" i="24"/>
  <c r="Q2839" i="24"/>
  <c r="M2839" i="24"/>
  <c r="K2839" i="24"/>
  <c r="I2839" i="24"/>
  <c r="G2839" i="24"/>
  <c r="Q2838" i="24"/>
  <c r="M2838" i="24"/>
  <c r="K2838" i="24"/>
  <c r="I2838" i="24"/>
  <c r="G2838" i="24"/>
  <c r="Q2837" i="24"/>
  <c r="M2837" i="24"/>
  <c r="K2837" i="24"/>
  <c r="I2837" i="24"/>
  <c r="G2837" i="24"/>
  <c r="Q2836" i="24"/>
  <c r="M2836" i="24"/>
  <c r="K2836" i="24"/>
  <c r="I2836" i="24"/>
  <c r="G2836" i="24"/>
  <c r="Q2835" i="24"/>
  <c r="M2835" i="24"/>
  <c r="K2835" i="24"/>
  <c r="I2835" i="24"/>
  <c r="G2835" i="24"/>
  <c r="Q2834" i="24"/>
  <c r="M2834" i="24"/>
  <c r="K2834" i="24"/>
  <c r="I2834" i="24"/>
  <c r="G2834" i="24"/>
  <c r="Q2833" i="24"/>
  <c r="M2833" i="24"/>
  <c r="K2833" i="24"/>
  <c r="I2833" i="24"/>
  <c r="G2833" i="24"/>
  <c r="AJ1947" i="24"/>
  <c r="AJ2012" i="24"/>
  <c r="AJ2236" i="24"/>
  <c r="AJ2559" i="24"/>
  <c r="AJ2770" i="24"/>
  <c r="AJ2990" i="24" a="1"/>
  <c r="AJ2990" i="24" s="1"/>
  <c r="AJ1634" i="24"/>
  <c r="AJ1434" i="24"/>
  <c r="B2155" i="24"/>
  <c r="B2060" i="24"/>
  <c r="B2053" i="24"/>
  <c r="B2046" i="24"/>
  <c r="B2039" i="24"/>
  <c r="AJ1062" i="24"/>
  <c r="AJ696" i="24"/>
  <c r="AJ492" i="24"/>
  <c r="AJ119" i="24"/>
  <c r="AJ84" i="24"/>
  <c r="AJ44" i="24"/>
  <c r="AJ63" i="24"/>
  <c r="AJ73" i="24"/>
  <c r="AJ1917" i="24"/>
  <c r="AJ33" i="24"/>
  <c r="AJ14" i="24"/>
  <c r="AJ1975" i="24"/>
  <c r="AJ1966" i="24"/>
  <c r="AJ1957" i="24"/>
  <c r="AJ1936" i="24"/>
  <c r="G1617" i="24"/>
  <c r="G1616" i="24"/>
  <c r="G1615" i="24"/>
  <c r="G1614" i="24"/>
  <c r="G1613" i="24"/>
  <c r="G1612" i="24"/>
  <c r="G1611" i="24"/>
  <c r="G1610" i="24"/>
  <c r="G1609" i="24"/>
  <c r="G1608" i="24"/>
  <c r="G1607" i="24"/>
  <c r="G1606" i="24"/>
  <c r="G1605" i="24"/>
  <c r="G1604" i="24"/>
  <c r="G1603" i="24"/>
  <c r="G1602" i="24"/>
  <c r="G1601" i="24"/>
  <c r="G1600" i="24"/>
  <c r="G1599" i="24"/>
  <c r="G1598" i="24"/>
  <c r="G1597" i="24"/>
  <c r="G1596" i="24"/>
  <c r="G1595" i="24"/>
  <c r="G1594" i="24"/>
  <c r="G1593" i="24"/>
  <c r="G1592" i="24"/>
  <c r="G1591" i="24"/>
  <c r="G1590" i="24"/>
  <c r="G1589" i="24"/>
  <c r="G1588" i="24"/>
  <c r="G1587" i="24"/>
  <c r="G1586" i="24"/>
  <c r="G1585" i="24"/>
  <c r="G1584" i="24"/>
  <c r="G1583" i="24"/>
  <c r="G1582" i="24"/>
  <c r="G1581" i="24"/>
  <c r="G1580" i="24"/>
  <c r="G1579" i="24"/>
  <c r="G1578" i="24"/>
  <c r="G1577" i="24"/>
  <c r="G1576" i="24"/>
  <c r="G1575" i="24"/>
  <c r="G1574" i="24"/>
  <c r="G1573" i="24"/>
  <c r="G1572" i="24"/>
  <c r="G1571" i="24"/>
  <c r="G1570" i="24"/>
  <c r="G1569" i="24"/>
  <c r="G1568" i="24"/>
  <c r="G1567" i="24"/>
  <c r="G1566" i="24"/>
  <c r="G1565" i="24"/>
  <c r="G1564" i="24"/>
  <c r="G1563" i="24"/>
  <c r="G1562" i="24"/>
  <c r="G1561" i="24"/>
  <c r="G1536" i="24"/>
  <c r="G1535" i="24"/>
  <c r="G1534" i="24"/>
  <c r="G1533" i="24"/>
  <c r="G1532" i="24"/>
  <c r="G1531" i="24"/>
  <c r="G1530" i="24"/>
  <c r="G1529" i="24"/>
  <c r="G1528" i="24"/>
  <c r="G1527" i="24"/>
  <c r="G1526" i="24"/>
  <c r="G1525" i="24"/>
  <c r="G1524" i="24"/>
  <c r="G1523" i="24"/>
  <c r="G1522" i="24"/>
  <c r="G1521" i="24"/>
  <c r="G1520" i="24"/>
  <c r="G1519" i="24"/>
  <c r="G1518" i="24"/>
  <c r="G1517" i="24"/>
  <c r="G1516" i="24"/>
  <c r="G1515" i="24"/>
  <c r="G1514" i="24"/>
  <c r="G1513" i="24"/>
  <c r="G1512" i="24"/>
  <c r="G1511" i="24"/>
  <c r="G1510" i="24"/>
  <c r="G1509" i="24"/>
  <c r="G1508" i="24"/>
  <c r="G1507" i="24"/>
  <c r="G1506" i="24"/>
  <c r="G1505" i="24"/>
  <c r="G1504" i="24"/>
  <c r="G1503" i="24"/>
  <c r="G1502" i="24"/>
  <c r="G1501" i="24"/>
  <c r="G1500" i="24"/>
  <c r="G1499" i="24"/>
  <c r="G1498" i="24"/>
  <c r="G1497" i="24"/>
  <c r="G1496" i="24"/>
  <c r="G1495" i="24"/>
  <c r="G1494" i="24"/>
  <c r="G1493" i="24"/>
  <c r="G1492" i="24"/>
  <c r="G1491" i="24"/>
  <c r="G1490" i="24"/>
  <c r="G1489" i="24"/>
  <c r="G1488" i="24"/>
  <c r="G1487" i="24"/>
  <c r="G1486" i="24"/>
  <c r="G1485" i="24"/>
  <c r="G1484" i="24"/>
  <c r="G1483" i="24"/>
  <c r="G1482" i="24"/>
  <c r="G1481" i="24"/>
  <c r="G1480" i="24"/>
  <c r="I1336" i="24"/>
  <c r="G1336" i="24"/>
  <c r="I1335" i="24"/>
  <c r="G1335" i="24"/>
  <c r="I1334" i="24"/>
  <c r="G1334" i="24"/>
  <c r="I1333" i="24"/>
  <c r="G1333" i="24"/>
  <c r="I1332" i="24"/>
  <c r="G1332" i="24"/>
  <c r="I1331" i="24"/>
  <c r="G1331" i="24"/>
  <c r="I1330" i="24"/>
  <c r="G1330" i="24"/>
  <c r="I1329" i="24"/>
  <c r="G1329" i="24"/>
  <c r="I1328" i="24"/>
  <c r="G1328" i="24"/>
  <c r="I1327" i="24"/>
  <c r="G1327" i="24"/>
  <c r="I1326" i="24"/>
  <c r="G1326" i="24"/>
  <c r="I1325" i="24"/>
  <c r="G1325" i="24"/>
  <c r="I1324" i="24"/>
  <c r="G1324" i="24"/>
  <c r="I1323" i="24"/>
  <c r="G1323" i="24"/>
  <c r="I1322" i="24"/>
  <c r="G1322" i="24"/>
  <c r="I1321" i="24"/>
  <c r="G1321" i="24"/>
  <c r="I1320" i="24"/>
  <c r="G1320" i="24"/>
  <c r="I1319" i="24"/>
  <c r="G1319" i="24"/>
  <c r="I1318" i="24"/>
  <c r="G1318" i="24"/>
  <c r="I1317" i="24"/>
  <c r="G1317" i="24"/>
  <c r="I1316" i="24"/>
  <c r="G1316" i="24"/>
  <c r="I1315" i="24"/>
  <c r="G1315" i="24"/>
  <c r="I1314" i="24"/>
  <c r="G1314" i="24"/>
  <c r="I1313" i="24"/>
  <c r="G1313" i="24"/>
  <c r="I1312" i="24"/>
  <c r="G1312" i="24"/>
  <c r="I1311" i="24"/>
  <c r="G1311" i="24"/>
  <c r="I1310" i="24"/>
  <c r="G1310" i="24"/>
  <c r="I1309" i="24"/>
  <c r="G1309" i="24"/>
  <c r="I1308" i="24"/>
  <c r="G1308" i="24"/>
  <c r="I1307" i="24"/>
  <c r="G1307" i="24"/>
  <c r="I1306" i="24"/>
  <c r="G1306" i="24"/>
  <c r="I1305" i="24"/>
  <c r="G1305" i="24"/>
  <c r="I1304" i="24"/>
  <c r="G1304" i="24"/>
  <c r="I1303" i="24"/>
  <c r="G1303" i="24"/>
  <c r="I1302" i="24"/>
  <c r="G1302" i="24"/>
  <c r="I1301" i="24"/>
  <c r="G1301" i="24"/>
  <c r="I1300" i="24"/>
  <c r="G1300" i="24"/>
  <c r="I1299" i="24"/>
  <c r="G1299" i="24"/>
  <c r="I1298" i="24"/>
  <c r="G1298" i="24"/>
  <c r="I1297" i="24"/>
  <c r="G1297" i="24"/>
  <c r="I1296" i="24"/>
  <c r="G1296" i="24"/>
  <c r="I1295" i="24"/>
  <c r="G1295" i="24"/>
  <c r="I1294" i="24"/>
  <c r="G1294" i="24"/>
  <c r="I1293" i="24"/>
  <c r="G1293" i="24"/>
  <c r="I1292" i="24"/>
  <c r="G1292" i="24"/>
  <c r="I1291" i="24"/>
  <c r="G1291" i="24"/>
  <c r="I1290" i="24"/>
  <c r="G1290" i="24"/>
  <c r="I1289" i="24"/>
  <c r="G1289" i="24"/>
  <c r="I1288" i="24"/>
  <c r="G1288" i="24"/>
  <c r="I1287" i="24"/>
  <c r="G1287" i="24"/>
  <c r="I1286" i="24"/>
  <c r="G1286" i="24"/>
  <c r="I1285" i="24"/>
  <c r="G1285" i="24"/>
  <c r="I1284" i="24"/>
  <c r="G1284" i="24"/>
  <c r="I1283" i="24"/>
  <c r="G1283" i="24"/>
  <c r="I1282" i="24"/>
  <c r="G1282" i="24"/>
  <c r="I1281" i="24"/>
  <c r="G1281" i="24"/>
  <c r="I1280" i="24"/>
  <c r="G1280" i="24"/>
  <c r="G1255" i="24"/>
  <c r="G1254" i="24"/>
  <c r="G1253" i="24"/>
  <c r="G1252" i="24"/>
  <c r="G1251" i="24"/>
  <c r="G1250" i="24"/>
  <c r="G1249" i="24"/>
  <c r="G1248" i="24"/>
  <c r="G1247" i="24"/>
  <c r="G1246" i="24"/>
  <c r="G1245" i="24"/>
  <c r="G1244" i="24"/>
  <c r="G1243" i="24"/>
  <c r="G1242" i="24"/>
  <c r="G1241" i="24"/>
  <c r="G1240" i="24"/>
  <c r="G1239" i="24"/>
  <c r="G1238" i="24"/>
  <c r="G1237" i="24"/>
  <c r="G1236" i="24"/>
  <c r="G1235" i="24"/>
  <c r="G1234" i="24"/>
  <c r="G1233" i="24"/>
  <c r="G1232" i="24"/>
  <c r="G1231" i="24"/>
  <c r="G1230" i="24"/>
  <c r="G1229" i="24"/>
  <c r="G1228" i="24"/>
  <c r="G1227" i="24"/>
  <c r="G1226" i="24"/>
  <c r="G1225" i="24"/>
  <c r="G1224" i="24"/>
  <c r="G1223" i="24"/>
  <c r="G1222" i="24"/>
  <c r="G1221" i="24"/>
  <c r="G1220" i="24"/>
  <c r="G1219" i="24"/>
  <c r="G1218" i="24"/>
  <c r="G1217" i="24"/>
  <c r="G1216" i="24"/>
  <c r="G1215" i="24"/>
  <c r="G1214" i="24"/>
  <c r="G1213" i="24"/>
  <c r="G1212" i="24"/>
  <c r="G1211" i="24"/>
  <c r="G1210" i="24"/>
  <c r="G1209" i="24"/>
  <c r="G1208" i="24"/>
  <c r="G1207" i="24"/>
  <c r="G1206" i="24"/>
  <c r="G1205" i="24"/>
  <c r="G1204" i="24"/>
  <c r="G1203" i="24"/>
  <c r="G1202" i="24"/>
  <c r="G1201" i="24"/>
  <c r="G1200" i="24"/>
  <c r="G1199" i="24"/>
  <c r="I1255" i="24"/>
  <c r="I1254" i="24"/>
  <c r="I1253" i="24"/>
  <c r="I1252" i="24"/>
  <c r="I1251" i="24"/>
  <c r="I1250" i="24"/>
  <c r="I1249" i="24"/>
  <c r="I1248" i="24"/>
  <c r="I1247" i="24"/>
  <c r="I1246" i="24"/>
  <c r="I1245" i="24"/>
  <c r="I1244" i="24"/>
  <c r="I1243" i="24"/>
  <c r="I1242" i="24"/>
  <c r="I1241" i="24"/>
  <c r="I1240" i="24"/>
  <c r="I1239" i="24"/>
  <c r="I1238" i="24"/>
  <c r="I1237" i="24"/>
  <c r="I1236" i="24"/>
  <c r="I1235" i="24"/>
  <c r="I1234" i="24"/>
  <c r="I1233" i="24"/>
  <c r="I1232" i="24"/>
  <c r="I1231" i="24"/>
  <c r="I1230" i="24"/>
  <c r="I1229" i="24"/>
  <c r="I1228" i="24"/>
  <c r="I1227" i="24"/>
  <c r="I1226" i="24"/>
  <c r="I1225" i="24"/>
  <c r="I1224" i="24"/>
  <c r="I1223" i="24"/>
  <c r="I1222" i="24"/>
  <c r="I1221" i="24"/>
  <c r="I1220" i="24"/>
  <c r="I1219" i="24"/>
  <c r="I1218" i="24"/>
  <c r="I1217" i="24"/>
  <c r="I1216" i="24"/>
  <c r="I1215" i="24"/>
  <c r="I1214" i="24"/>
  <c r="I1213" i="24"/>
  <c r="I1212" i="24"/>
  <c r="I1211" i="24"/>
  <c r="I1210" i="24"/>
  <c r="I1209" i="24"/>
  <c r="I1208" i="24"/>
  <c r="I1207" i="24"/>
  <c r="I1206" i="24"/>
  <c r="I1205" i="24"/>
  <c r="I1204" i="24"/>
  <c r="I1203" i="24"/>
  <c r="I1202" i="24"/>
  <c r="I1201" i="24"/>
  <c r="I1200" i="24"/>
  <c r="I1199" i="24"/>
  <c r="G1174" i="24"/>
  <c r="G1173" i="24"/>
  <c r="G1172" i="24"/>
  <c r="G1171" i="24"/>
  <c r="G1170" i="24"/>
  <c r="G1169" i="24"/>
  <c r="G1168" i="24"/>
  <c r="G1167" i="24"/>
  <c r="G1166" i="24"/>
  <c r="G1165" i="24"/>
  <c r="G1164" i="24"/>
  <c r="G1163" i="24"/>
  <c r="G1162" i="24"/>
  <c r="G1161" i="24"/>
  <c r="G1160" i="24"/>
  <c r="G1159" i="24"/>
  <c r="G1158" i="24"/>
  <c r="G1157" i="24"/>
  <c r="G1156" i="24"/>
  <c r="G1155" i="24"/>
  <c r="G1154" i="24"/>
  <c r="G1153" i="24"/>
  <c r="G1152" i="24"/>
  <c r="G1151" i="24"/>
  <c r="G1150" i="24"/>
  <c r="G1149" i="24"/>
  <c r="G1148" i="24"/>
  <c r="G1147" i="24"/>
  <c r="G1146" i="24"/>
  <c r="G1145" i="24"/>
  <c r="G1144" i="24"/>
  <c r="G1143" i="24"/>
  <c r="G1142" i="24"/>
  <c r="G1141" i="24"/>
  <c r="G1140" i="24"/>
  <c r="G1139" i="24"/>
  <c r="G1138" i="24"/>
  <c r="G1137" i="24"/>
  <c r="G1136" i="24"/>
  <c r="G1135" i="24"/>
  <c r="G1134" i="24"/>
  <c r="G1133" i="24"/>
  <c r="G1132" i="24"/>
  <c r="G1131" i="24"/>
  <c r="G1130" i="24"/>
  <c r="G1129" i="24"/>
  <c r="G1128" i="24"/>
  <c r="G1127" i="24"/>
  <c r="G1126" i="24"/>
  <c r="G1125" i="24"/>
  <c r="G1124" i="24"/>
  <c r="G1123" i="24"/>
  <c r="G1122" i="24"/>
  <c r="G1121" i="24"/>
  <c r="G1120" i="24"/>
  <c r="G1119" i="24"/>
  <c r="G1118" i="24"/>
  <c r="I1174" i="24"/>
  <c r="I1173" i="24"/>
  <c r="I1172" i="24"/>
  <c r="I1171" i="24"/>
  <c r="I1170" i="24"/>
  <c r="I1169" i="24"/>
  <c r="I1168" i="24"/>
  <c r="I1167" i="24"/>
  <c r="I1166" i="24"/>
  <c r="I1165" i="24"/>
  <c r="I1164" i="24"/>
  <c r="I1163" i="24"/>
  <c r="I1162" i="24"/>
  <c r="I1161" i="24"/>
  <c r="I1160" i="24"/>
  <c r="I1159" i="24"/>
  <c r="I1158" i="24"/>
  <c r="I1157" i="24"/>
  <c r="I1156" i="24"/>
  <c r="I1155" i="24"/>
  <c r="I1154" i="24"/>
  <c r="I1153" i="24"/>
  <c r="I1152" i="24"/>
  <c r="I1151" i="24"/>
  <c r="I1150" i="24"/>
  <c r="I1149" i="24"/>
  <c r="I1148" i="24"/>
  <c r="I1147" i="24"/>
  <c r="I1146" i="24"/>
  <c r="I1145" i="24"/>
  <c r="I1144" i="24"/>
  <c r="I1143" i="24"/>
  <c r="I1142" i="24"/>
  <c r="I1141" i="24"/>
  <c r="I1140" i="24"/>
  <c r="I1139" i="24"/>
  <c r="I1138" i="24"/>
  <c r="I1137" i="24"/>
  <c r="I1136" i="24"/>
  <c r="I1135" i="24"/>
  <c r="I1134" i="24"/>
  <c r="I1133" i="24"/>
  <c r="I1132" i="24"/>
  <c r="I1131" i="24"/>
  <c r="I1130" i="24"/>
  <c r="I1129" i="24"/>
  <c r="I1128" i="24"/>
  <c r="I1127" i="24"/>
  <c r="I1126" i="24"/>
  <c r="I1125" i="24"/>
  <c r="I1124" i="24"/>
  <c r="I1123" i="24"/>
  <c r="I1122" i="24"/>
  <c r="I1121" i="24"/>
  <c r="I1120" i="24"/>
  <c r="I1119" i="24"/>
  <c r="I1118" i="24"/>
  <c r="O1117" i="24"/>
  <c r="K1117" i="24"/>
  <c r="I1117" i="24"/>
  <c r="I599" i="24"/>
  <c r="I598" i="24"/>
  <c r="I597" i="24"/>
  <c r="I596" i="24"/>
  <c r="I595" i="24"/>
  <c r="I594" i="24"/>
  <c r="I593" i="24"/>
  <c r="I592" i="24"/>
  <c r="I591" i="24"/>
  <c r="I590" i="24"/>
  <c r="I589" i="24"/>
  <c r="I588" i="24"/>
  <c r="I587" i="24"/>
  <c r="I586" i="24"/>
  <c r="I585" i="24"/>
  <c r="I584" i="24"/>
  <c r="I583" i="24"/>
  <c r="I582" i="24"/>
  <c r="I581" i="24"/>
  <c r="I580" i="24"/>
  <c r="I579" i="24"/>
  <c r="I578" i="24"/>
  <c r="I577" i="24"/>
  <c r="I576" i="24"/>
  <c r="I575" i="24"/>
  <c r="I574" i="24"/>
  <c r="I573" i="24"/>
  <c r="I572" i="24"/>
  <c r="I571" i="24"/>
  <c r="I570" i="24"/>
  <c r="I569" i="24"/>
  <c r="I568" i="24"/>
  <c r="I567" i="24"/>
  <c r="I566" i="24"/>
  <c r="I565" i="24"/>
  <c r="I564" i="24"/>
  <c r="I563" i="24"/>
  <c r="I562" i="24"/>
  <c r="I561" i="24"/>
  <c r="I560" i="24"/>
  <c r="I559" i="24"/>
  <c r="I558" i="24"/>
  <c r="I557" i="24"/>
  <c r="I556" i="24"/>
  <c r="I555" i="24"/>
  <c r="I554" i="24"/>
  <c r="I553" i="24"/>
  <c r="I552" i="24"/>
  <c r="I551" i="24"/>
  <c r="I550" i="24"/>
  <c r="I549" i="24"/>
  <c r="I548" i="24"/>
  <c r="I547" i="24"/>
  <c r="I546" i="24"/>
  <c r="I545" i="24"/>
  <c r="I544" i="24"/>
  <c r="I543" i="24"/>
  <c r="I542" i="24"/>
  <c r="P599" i="24"/>
  <c r="L599" i="24"/>
  <c r="G599" i="24"/>
  <c r="P598" i="24"/>
  <c r="L598" i="24"/>
  <c r="G598" i="24"/>
  <c r="P597" i="24"/>
  <c r="L597" i="24"/>
  <c r="G597" i="24"/>
  <c r="P596" i="24"/>
  <c r="L596" i="24"/>
  <c r="G596" i="24"/>
  <c r="P595" i="24"/>
  <c r="L595" i="24"/>
  <c r="G595" i="24"/>
  <c r="P594" i="24"/>
  <c r="L594" i="24"/>
  <c r="G594" i="24"/>
  <c r="P593" i="24"/>
  <c r="L593" i="24"/>
  <c r="G593" i="24"/>
  <c r="P592" i="24"/>
  <c r="L592" i="24"/>
  <c r="G592" i="24"/>
  <c r="P591" i="24"/>
  <c r="L591" i="24"/>
  <c r="G591" i="24"/>
  <c r="P590" i="24"/>
  <c r="L590" i="24"/>
  <c r="G590" i="24"/>
  <c r="P589" i="24"/>
  <c r="L589" i="24"/>
  <c r="G589" i="24"/>
  <c r="P588" i="24"/>
  <c r="L588" i="24"/>
  <c r="G588" i="24"/>
  <c r="P587" i="24"/>
  <c r="L587" i="24"/>
  <c r="G587" i="24"/>
  <c r="P586" i="24"/>
  <c r="L586" i="24"/>
  <c r="G586" i="24"/>
  <c r="P585" i="24"/>
  <c r="L585" i="24"/>
  <c r="G585" i="24"/>
  <c r="P584" i="24"/>
  <c r="L584" i="24"/>
  <c r="G584" i="24"/>
  <c r="P583" i="24"/>
  <c r="L583" i="24"/>
  <c r="G583" i="24"/>
  <c r="P582" i="24"/>
  <c r="L582" i="24"/>
  <c r="G582" i="24"/>
  <c r="P581" i="24"/>
  <c r="L581" i="24"/>
  <c r="G581" i="24"/>
  <c r="P580" i="24"/>
  <c r="L580" i="24"/>
  <c r="G580" i="24"/>
  <c r="P579" i="24"/>
  <c r="L579" i="24"/>
  <c r="G579" i="24"/>
  <c r="P578" i="24"/>
  <c r="L578" i="24"/>
  <c r="G578" i="24"/>
  <c r="P577" i="24"/>
  <c r="L577" i="24"/>
  <c r="G577" i="24"/>
  <c r="P576" i="24"/>
  <c r="L576" i="24"/>
  <c r="G576" i="24"/>
  <c r="P575" i="24"/>
  <c r="L575" i="24"/>
  <c r="G575" i="24"/>
  <c r="P574" i="24"/>
  <c r="L574" i="24"/>
  <c r="G574" i="24"/>
  <c r="P573" i="24"/>
  <c r="L573" i="24"/>
  <c r="G573" i="24"/>
  <c r="P572" i="24"/>
  <c r="L572" i="24"/>
  <c r="G572" i="24"/>
  <c r="P571" i="24"/>
  <c r="L571" i="24"/>
  <c r="G571" i="24"/>
  <c r="P570" i="24"/>
  <c r="L570" i="24"/>
  <c r="G570" i="24"/>
  <c r="P569" i="24"/>
  <c r="L569" i="24"/>
  <c r="G569" i="24"/>
  <c r="P568" i="24"/>
  <c r="L568" i="24"/>
  <c r="G568" i="24"/>
  <c r="P567" i="24"/>
  <c r="L567" i="24"/>
  <c r="G567" i="24"/>
  <c r="P566" i="24"/>
  <c r="L566" i="24"/>
  <c r="G566" i="24"/>
  <c r="P565" i="24"/>
  <c r="L565" i="24"/>
  <c r="G565" i="24"/>
  <c r="P564" i="24"/>
  <c r="L564" i="24"/>
  <c r="G564" i="24"/>
  <c r="P563" i="24"/>
  <c r="L563" i="24"/>
  <c r="G563" i="24"/>
  <c r="P562" i="24"/>
  <c r="L562" i="24"/>
  <c r="G562" i="24"/>
  <c r="P561" i="24"/>
  <c r="L561" i="24"/>
  <c r="G561" i="24"/>
  <c r="P560" i="24"/>
  <c r="L560" i="24"/>
  <c r="G560" i="24"/>
  <c r="P559" i="24"/>
  <c r="L559" i="24"/>
  <c r="G559" i="24"/>
  <c r="P558" i="24"/>
  <c r="L558" i="24"/>
  <c r="G558" i="24"/>
  <c r="P557" i="24"/>
  <c r="L557" i="24"/>
  <c r="G557" i="24"/>
  <c r="P556" i="24"/>
  <c r="L556" i="24"/>
  <c r="G556" i="24"/>
  <c r="P555" i="24"/>
  <c r="L555" i="24"/>
  <c r="G555" i="24"/>
  <c r="P554" i="24"/>
  <c r="L554" i="24"/>
  <c r="G554" i="24"/>
  <c r="P553" i="24"/>
  <c r="L553" i="24"/>
  <c r="G553" i="24"/>
  <c r="P552" i="24"/>
  <c r="L552" i="24"/>
  <c r="G552" i="24"/>
  <c r="P551" i="24"/>
  <c r="L551" i="24"/>
  <c r="G551" i="24"/>
  <c r="P550" i="24"/>
  <c r="L550" i="24"/>
  <c r="G550" i="24"/>
  <c r="P549" i="24"/>
  <c r="L549" i="24"/>
  <c r="G549" i="24"/>
  <c r="P548" i="24"/>
  <c r="L548" i="24"/>
  <c r="G548" i="24"/>
  <c r="P547" i="24"/>
  <c r="L547" i="24"/>
  <c r="G547" i="24"/>
  <c r="P546" i="24"/>
  <c r="L546" i="24"/>
  <c r="G546" i="24"/>
  <c r="P545" i="24"/>
  <c r="L545" i="24"/>
  <c r="G545" i="24"/>
  <c r="P544" i="24"/>
  <c r="L544" i="24"/>
  <c r="G544" i="24"/>
  <c r="P543" i="24"/>
  <c r="L543" i="24"/>
  <c r="G543" i="24"/>
  <c r="P542" i="24"/>
  <c r="L542" i="24"/>
  <c r="G542" i="24"/>
  <c r="X394" i="24"/>
  <c r="U394" i="24"/>
  <c r="Q394" i="24"/>
  <c r="M394" i="24"/>
  <c r="K394" i="24"/>
  <c r="J394" i="24"/>
  <c r="I394" i="24"/>
  <c r="G394" i="24"/>
  <c r="X393" i="24"/>
  <c r="U393" i="24"/>
  <c r="Q393" i="24"/>
  <c r="M393" i="24"/>
  <c r="K393" i="24"/>
  <c r="J393" i="24"/>
  <c r="I393" i="24"/>
  <c r="G393" i="24"/>
  <c r="X392" i="24"/>
  <c r="U392" i="24"/>
  <c r="Q392" i="24"/>
  <c r="M392" i="24"/>
  <c r="K392" i="24"/>
  <c r="J392" i="24"/>
  <c r="I392" i="24"/>
  <c r="G392" i="24"/>
  <c r="X391" i="24"/>
  <c r="U391" i="24"/>
  <c r="Q391" i="24"/>
  <c r="M391" i="24"/>
  <c r="K391" i="24"/>
  <c r="J391" i="24"/>
  <c r="I391" i="24"/>
  <c r="G391" i="24"/>
  <c r="X390" i="24"/>
  <c r="U390" i="24"/>
  <c r="Q390" i="24"/>
  <c r="M390" i="24"/>
  <c r="K390" i="24"/>
  <c r="J390" i="24"/>
  <c r="I390" i="24"/>
  <c r="G390" i="24"/>
  <c r="X389" i="24"/>
  <c r="U389" i="24"/>
  <c r="Q389" i="24"/>
  <c r="M389" i="24"/>
  <c r="K389" i="24"/>
  <c r="J389" i="24"/>
  <c r="I389" i="24"/>
  <c r="G389" i="24"/>
  <c r="X388" i="24"/>
  <c r="U388" i="24"/>
  <c r="Q388" i="24"/>
  <c r="M388" i="24"/>
  <c r="K388" i="24"/>
  <c r="J388" i="24"/>
  <c r="I388" i="24"/>
  <c r="G388" i="24"/>
  <c r="X387" i="24"/>
  <c r="U387" i="24"/>
  <c r="Q387" i="24"/>
  <c r="M387" i="24"/>
  <c r="K387" i="24"/>
  <c r="J387" i="24"/>
  <c r="I387" i="24"/>
  <c r="G387" i="24"/>
  <c r="X386" i="24"/>
  <c r="U386" i="24"/>
  <c r="Q386" i="24"/>
  <c r="M386" i="24"/>
  <c r="K386" i="24"/>
  <c r="J386" i="24"/>
  <c r="I386" i="24"/>
  <c r="G386" i="24"/>
  <c r="X385" i="24"/>
  <c r="U385" i="24"/>
  <c r="Q385" i="24"/>
  <c r="M385" i="24"/>
  <c r="K385" i="24"/>
  <c r="J385" i="24"/>
  <c r="I385" i="24"/>
  <c r="G385" i="24"/>
  <c r="X384" i="24"/>
  <c r="U384" i="24"/>
  <c r="Q384" i="24"/>
  <c r="M384" i="24"/>
  <c r="K384" i="24"/>
  <c r="J384" i="24"/>
  <c r="I384" i="24"/>
  <c r="G384" i="24"/>
  <c r="X383" i="24"/>
  <c r="U383" i="24"/>
  <c r="Q383" i="24"/>
  <c r="M383" i="24"/>
  <c r="K383" i="24"/>
  <c r="J383" i="24"/>
  <c r="I383" i="24"/>
  <c r="G383" i="24"/>
  <c r="X382" i="24"/>
  <c r="U382" i="24"/>
  <c r="Q382" i="24"/>
  <c r="M382" i="24"/>
  <c r="K382" i="24"/>
  <c r="J382" i="24"/>
  <c r="I382" i="24"/>
  <c r="G382" i="24"/>
  <c r="X381" i="24"/>
  <c r="U381" i="24"/>
  <c r="Q381" i="24"/>
  <c r="M381" i="24"/>
  <c r="K381" i="24"/>
  <c r="J381" i="24"/>
  <c r="I381" i="24"/>
  <c r="G381" i="24"/>
  <c r="X380" i="24"/>
  <c r="U380" i="24"/>
  <c r="Q380" i="24"/>
  <c r="M380" i="24"/>
  <c r="K380" i="24"/>
  <c r="J380" i="24"/>
  <c r="I380" i="24"/>
  <c r="G380" i="24"/>
  <c r="X379" i="24"/>
  <c r="U379" i="24"/>
  <c r="Q379" i="24"/>
  <c r="M379" i="24"/>
  <c r="K379" i="24"/>
  <c r="J379" i="24"/>
  <c r="I379" i="24"/>
  <c r="G379" i="24"/>
  <c r="X378" i="24"/>
  <c r="U378" i="24"/>
  <c r="Q378" i="24"/>
  <c r="M378" i="24"/>
  <c r="K378" i="24"/>
  <c r="J378" i="24"/>
  <c r="I378" i="24"/>
  <c r="G378" i="24"/>
  <c r="X377" i="24"/>
  <c r="U377" i="24"/>
  <c r="Q377" i="24"/>
  <c r="M377" i="24"/>
  <c r="K377" i="24"/>
  <c r="J377" i="24"/>
  <c r="I377" i="24"/>
  <c r="G377" i="24"/>
  <c r="X376" i="24"/>
  <c r="U376" i="24"/>
  <c r="Q376" i="24"/>
  <c r="M376" i="24"/>
  <c r="K376" i="24"/>
  <c r="J376" i="24"/>
  <c r="I376" i="24"/>
  <c r="G376" i="24"/>
  <c r="X375" i="24"/>
  <c r="U375" i="24"/>
  <c r="Q375" i="24"/>
  <c r="M375" i="24"/>
  <c r="K375" i="24"/>
  <c r="J375" i="24"/>
  <c r="I375" i="24"/>
  <c r="G375" i="24"/>
  <c r="X374" i="24"/>
  <c r="U374" i="24"/>
  <c r="Q374" i="24"/>
  <c r="M374" i="24"/>
  <c r="K374" i="24"/>
  <c r="J374" i="24"/>
  <c r="I374" i="24"/>
  <c r="G374" i="24"/>
  <c r="X373" i="24"/>
  <c r="U373" i="24"/>
  <c r="Q373" i="24"/>
  <c r="M373" i="24"/>
  <c r="K373" i="24"/>
  <c r="J373" i="24"/>
  <c r="I373" i="24"/>
  <c r="G373" i="24"/>
  <c r="X372" i="24"/>
  <c r="U372" i="24"/>
  <c r="Q372" i="24"/>
  <c r="M372" i="24"/>
  <c r="K372" i="24"/>
  <c r="J372" i="24"/>
  <c r="I372" i="24"/>
  <c r="G372" i="24"/>
  <c r="X371" i="24"/>
  <c r="U371" i="24"/>
  <c r="Q371" i="24"/>
  <c r="M371" i="24"/>
  <c r="K371" i="24"/>
  <c r="J371" i="24"/>
  <c r="I371" i="24"/>
  <c r="G371" i="24"/>
  <c r="X370" i="24"/>
  <c r="U370" i="24"/>
  <c r="Q370" i="24"/>
  <c r="M370" i="24"/>
  <c r="K370" i="24"/>
  <c r="J370" i="24"/>
  <c r="I370" i="24"/>
  <c r="G370" i="24"/>
  <c r="X369" i="24"/>
  <c r="U369" i="24"/>
  <c r="Q369" i="24"/>
  <c r="M369" i="24"/>
  <c r="K369" i="24"/>
  <c r="J369" i="24"/>
  <c r="I369" i="24"/>
  <c r="G369" i="24"/>
  <c r="X368" i="24"/>
  <c r="U368" i="24"/>
  <c r="Q368" i="24"/>
  <c r="M368" i="24"/>
  <c r="K368" i="24"/>
  <c r="J368" i="24"/>
  <c r="I368" i="24"/>
  <c r="G368" i="24"/>
  <c r="X367" i="24"/>
  <c r="U367" i="24"/>
  <c r="Q367" i="24"/>
  <c r="M367" i="24"/>
  <c r="K367" i="24"/>
  <c r="J367" i="24"/>
  <c r="I367" i="24"/>
  <c r="G367" i="24"/>
  <c r="X366" i="24"/>
  <c r="U366" i="24"/>
  <c r="Q366" i="24"/>
  <c r="M366" i="24"/>
  <c r="K366" i="24"/>
  <c r="J366" i="24"/>
  <c r="I366" i="24"/>
  <c r="G366" i="24"/>
  <c r="X365" i="24"/>
  <c r="U365" i="24"/>
  <c r="Q365" i="24"/>
  <c r="M365" i="24"/>
  <c r="K365" i="24"/>
  <c r="J365" i="24"/>
  <c r="I365" i="24"/>
  <c r="G365" i="24"/>
  <c r="X364" i="24"/>
  <c r="U364" i="24"/>
  <c r="Q364" i="24"/>
  <c r="M364" i="24"/>
  <c r="K364" i="24"/>
  <c r="J364" i="24"/>
  <c r="I364" i="24"/>
  <c r="G364" i="24"/>
  <c r="X363" i="24"/>
  <c r="U363" i="24"/>
  <c r="Q363" i="24"/>
  <c r="M363" i="24"/>
  <c r="K363" i="24"/>
  <c r="J363" i="24"/>
  <c r="I363" i="24"/>
  <c r="G363" i="24"/>
  <c r="X362" i="24"/>
  <c r="U362" i="24"/>
  <c r="Q362" i="24"/>
  <c r="M362" i="24"/>
  <c r="K362" i="24"/>
  <c r="J362" i="24"/>
  <c r="I362" i="24"/>
  <c r="G362" i="24"/>
  <c r="X361" i="24"/>
  <c r="U361" i="24"/>
  <c r="Q361" i="24"/>
  <c r="M361" i="24"/>
  <c r="K361" i="24"/>
  <c r="J361" i="24"/>
  <c r="I361" i="24"/>
  <c r="G361" i="24"/>
  <c r="X360" i="24"/>
  <c r="U360" i="24"/>
  <c r="Q360" i="24"/>
  <c r="M360" i="24"/>
  <c r="K360" i="24"/>
  <c r="J360" i="24"/>
  <c r="I360" i="24"/>
  <c r="G360" i="24"/>
  <c r="X359" i="24"/>
  <c r="U359" i="24"/>
  <c r="Q359" i="24"/>
  <c r="M359" i="24"/>
  <c r="K359" i="24"/>
  <c r="J359" i="24"/>
  <c r="I359" i="24"/>
  <c r="G359" i="24"/>
  <c r="X358" i="24"/>
  <c r="U358" i="24"/>
  <c r="Q358" i="24"/>
  <c r="M358" i="24"/>
  <c r="K358" i="24"/>
  <c r="J358" i="24"/>
  <c r="I358" i="24"/>
  <c r="G358" i="24"/>
  <c r="X357" i="24"/>
  <c r="U357" i="24"/>
  <c r="Q357" i="24"/>
  <c r="M357" i="24"/>
  <c r="K357" i="24"/>
  <c r="J357" i="24"/>
  <c r="I357" i="24"/>
  <c r="G357" i="24"/>
  <c r="X356" i="24"/>
  <c r="U356" i="24"/>
  <c r="Q356" i="24"/>
  <c r="M356" i="24"/>
  <c r="K356" i="24"/>
  <c r="J356" i="24"/>
  <c r="I356" i="24"/>
  <c r="G356" i="24"/>
  <c r="X355" i="24"/>
  <c r="U355" i="24"/>
  <c r="Q355" i="24"/>
  <c r="M355" i="24"/>
  <c r="K355" i="24"/>
  <c r="J355" i="24"/>
  <c r="I355" i="24"/>
  <c r="G355" i="24"/>
  <c r="X354" i="24"/>
  <c r="U354" i="24"/>
  <c r="Q354" i="24"/>
  <c r="M354" i="24"/>
  <c r="K354" i="24"/>
  <c r="J354" i="24"/>
  <c r="I354" i="24"/>
  <c r="G354" i="24"/>
  <c r="X353" i="24"/>
  <c r="U353" i="24"/>
  <c r="Q353" i="24"/>
  <c r="M353" i="24"/>
  <c r="K353" i="24"/>
  <c r="J353" i="24"/>
  <c r="I353" i="24"/>
  <c r="G353" i="24"/>
  <c r="X352" i="24"/>
  <c r="U352" i="24"/>
  <c r="Q352" i="24"/>
  <c r="M352" i="24"/>
  <c r="K352" i="24"/>
  <c r="J352" i="24"/>
  <c r="I352" i="24"/>
  <c r="G352" i="24"/>
  <c r="X351" i="24"/>
  <c r="U351" i="24"/>
  <c r="Q351" i="24"/>
  <c r="M351" i="24"/>
  <c r="K351" i="24"/>
  <c r="J351" i="24"/>
  <c r="I351" i="24"/>
  <c r="G351" i="24"/>
  <c r="X350" i="24"/>
  <c r="U350" i="24"/>
  <c r="Q350" i="24"/>
  <c r="M350" i="24"/>
  <c r="K350" i="24"/>
  <c r="J350" i="24"/>
  <c r="I350" i="24"/>
  <c r="G350" i="24"/>
  <c r="X349" i="24"/>
  <c r="U349" i="24"/>
  <c r="Q349" i="24"/>
  <c r="M349" i="24"/>
  <c r="K349" i="24"/>
  <c r="J349" i="24"/>
  <c r="I349" i="24"/>
  <c r="G349" i="24"/>
  <c r="X348" i="24"/>
  <c r="U348" i="24"/>
  <c r="Q348" i="24"/>
  <c r="M348" i="24"/>
  <c r="K348" i="24"/>
  <c r="J348" i="24"/>
  <c r="I348" i="24"/>
  <c r="G348" i="24"/>
  <c r="X347" i="24"/>
  <c r="U347" i="24"/>
  <c r="Q347" i="24"/>
  <c r="M347" i="24"/>
  <c r="K347" i="24"/>
  <c r="J347" i="24"/>
  <c r="I347" i="24"/>
  <c r="G347" i="24"/>
  <c r="X346" i="24"/>
  <c r="U346" i="24"/>
  <c r="Q346" i="24"/>
  <c r="M346" i="24"/>
  <c r="K346" i="24"/>
  <c r="J346" i="24"/>
  <c r="I346" i="24"/>
  <c r="G346" i="24"/>
  <c r="X345" i="24"/>
  <c r="U345" i="24"/>
  <c r="Q345" i="24"/>
  <c r="M345" i="24"/>
  <c r="K345" i="24"/>
  <c r="J345" i="24"/>
  <c r="I345" i="24"/>
  <c r="G345" i="24"/>
  <c r="X344" i="24"/>
  <c r="U344" i="24"/>
  <c r="Q344" i="24"/>
  <c r="M344" i="24"/>
  <c r="K344" i="24"/>
  <c r="J344" i="24"/>
  <c r="I344" i="24"/>
  <c r="G344" i="24"/>
  <c r="X343" i="24"/>
  <c r="U343" i="24"/>
  <c r="Q343" i="24"/>
  <c r="M343" i="24"/>
  <c r="K343" i="24"/>
  <c r="J343" i="24"/>
  <c r="I343" i="24"/>
  <c r="G343" i="24"/>
  <c r="X342" i="24"/>
  <c r="U342" i="24"/>
  <c r="Q342" i="24"/>
  <c r="M342" i="24"/>
  <c r="K342" i="24"/>
  <c r="J342" i="24"/>
  <c r="I342" i="24"/>
  <c r="G342" i="24"/>
  <c r="X341" i="24"/>
  <c r="U341" i="24"/>
  <c r="Q341" i="24"/>
  <c r="M341" i="24"/>
  <c r="K341" i="24"/>
  <c r="J341" i="24"/>
  <c r="I341" i="24"/>
  <c r="G341" i="24"/>
  <c r="X340" i="24"/>
  <c r="U340" i="24"/>
  <c r="Q340" i="24"/>
  <c r="M340" i="24"/>
  <c r="K340" i="24"/>
  <c r="J340" i="24"/>
  <c r="I340" i="24"/>
  <c r="G340" i="24"/>
  <c r="X339" i="24"/>
  <c r="U339" i="24"/>
  <c r="Q339" i="24"/>
  <c r="M339" i="24"/>
  <c r="K339" i="24"/>
  <c r="J339" i="24"/>
  <c r="I339" i="24"/>
  <c r="G339" i="24"/>
  <c r="X338" i="24"/>
  <c r="U338" i="24"/>
  <c r="Q338" i="24"/>
  <c r="M338" i="24"/>
  <c r="K338" i="24"/>
  <c r="J338" i="24"/>
  <c r="I338" i="24"/>
  <c r="G338" i="24"/>
  <c r="K337" i="24"/>
  <c r="X337" i="24"/>
  <c r="U337" i="24"/>
  <c r="Q337" i="24"/>
  <c r="M337" i="24"/>
  <c r="X313" i="24"/>
  <c r="U313" i="24"/>
  <c r="Q313" i="24"/>
  <c r="M313" i="24"/>
  <c r="K313" i="24"/>
  <c r="J313" i="24"/>
  <c r="I313" i="24"/>
  <c r="G313" i="24"/>
  <c r="X312" i="24"/>
  <c r="U312" i="24"/>
  <c r="Q312" i="24"/>
  <c r="M312" i="24"/>
  <c r="K312" i="24"/>
  <c r="J312" i="24"/>
  <c r="I312" i="24"/>
  <c r="G312" i="24"/>
  <c r="X311" i="24"/>
  <c r="U311" i="24"/>
  <c r="Q311" i="24"/>
  <c r="M311" i="24"/>
  <c r="K311" i="24"/>
  <c r="J311" i="24"/>
  <c r="I311" i="24"/>
  <c r="G311" i="24"/>
  <c r="X310" i="24"/>
  <c r="U310" i="24"/>
  <c r="Q310" i="24"/>
  <c r="M310" i="24"/>
  <c r="K310" i="24"/>
  <c r="J310" i="24"/>
  <c r="I310" i="24"/>
  <c r="G310" i="24"/>
  <c r="X309" i="24"/>
  <c r="U309" i="24"/>
  <c r="Q309" i="24"/>
  <c r="M309" i="24"/>
  <c r="K309" i="24"/>
  <c r="J309" i="24"/>
  <c r="I309" i="24"/>
  <c r="G309" i="24"/>
  <c r="X308" i="24"/>
  <c r="U308" i="24"/>
  <c r="Q308" i="24"/>
  <c r="M308" i="24"/>
  <c r="K308" i="24"/>
  <c r="J308" i="24"/>
  <c r="I308" i="24"/>
  <c r="G308" i="24"/>
  <c r="X307" i="24"/>
  <c r="U307" i="24"/>
  <c r="Q307" i="24"/>
  <c r="M307" i="24"/>
  <c r="K307" i="24"/>
  <c r="J307" i="24"/>
  <c r="I307" i="24"/>
  <c r="G307" i="24"/>
  <c r="X306" i="24"/>
  <c r="U306" i="24"/>
  <c r="Q306" i="24"/>
  <c r="M306" i="24"/>
  <c r="K306" i="24"/>
  <c r="J306" i="24"/>
  <c r="I306" i="24"/>
  <c r="G306" i="24"/>
  <c r="X305" i="24"/>
  <c r="U305" i="24"/>
  <c r="Q305" i="24"/>
  <c r="M305" i="24"/>
  <c r="K305" i="24"/>
  <c r="J305" i="24"/>
  <c r="I305" i="24"/>
  <c r="G305" i="24"/>
  <c r="X304" i="24"/>
  <c r="U304" i="24"/>
  <c r="Q304" i="24"/>
  <c r="M304" i="24"/>
  <c r="K304" i="24"/>
  <c r="J304" i="24"/>
  <c r="I304" i="24"/>
  <c r="G304" i="24"/>
  <c r="X303" i="24"/>
  <c r="U303" i="24"/>
  <c r="Q303" i="24"/>
  <c r="M303" i="24"/>
  <c r="K303" i="24"/>
  <c r="J303" i="24"/>
  <c r="I303" i="24"/>
  <c r="G303" i="24"/>
  <c r="X302" i="24"/>
  <c r="U302" i="24"/>
  <c r="Q302" i="24"/>
  <c r="M302" i="24"/>
  <c r="K302" i="24"/>
  <c r="J302" i="24"/>
  <c r="I302" i="24"/>
  <c r="G302" i="24"/>
  <c r="X301" i="24"/>
  <c r="U301" i="24"/>
  <c r="Q301" i="24"/>
  <c r="M301" i="24"/>
  <c r="K301" i="24"/>
  <c r="J301" i="24"/>
  <c r="I301" i="24"/>
  <c r="G301" i="24"/>
  <c r="X300" i="24"/>
  <c r="U300" i="24"/>
  <c r="Q300" i="24"/>
  <c r="M300" i="24"/>
  <c r="K300" i="24"/>
  <c r="J300" i="24"/>
  <c r="I300" i="24"/>
  <c r="G300" i="24"/>
  <c r="X299" i="24"/>
  <c r="U299" i="24"/>
  <c r="Q299" i="24"/>
  <c r="M299" i="24"/>
  <c r="K299" i="24"/>
  <c r="J299" i="24"/>
  <c r="I299" i="24"/>
  <c r="G299" i="24"/>
  <c r="X298" i="24"/>
  <c r="U298" i="24"/>
  <c r="Q298" i="24"/>
  <c r="M298" i="24"/>
  <c r="K298" i="24"/>
  <c r="J298" i="24"/>
  <c r="I298" i="24"/>
  <c r="G298" i="24"/>
  <c r="X297" i="24"/>
  <c r="U297" i="24"/>
  <c r="Q297" i="24"/>
  <c r="M297" i="24"/>
  <c r="K297" i="24"/>
  <c r="J297" i="24"/>
  <c r="I297" i="24"/>
  <c r="G297" i="24"/>
  <c r="X296" i="24"/>
  <c r="U296" i="24"/>
  <c r="Q296" i="24"/>
  <c r="M296" i="24"/>
  <c r="K296" i="24"/>
  <c r="J296" i="24"/>
  <c r="I296" i="24"/>
  <c r="G296" i="24"/>
  <c r="X295" i="24"/>
  <c r="U295" i="24"/>
  <c r="Q295" i="24"/>
  <c r="M295" i="24"/>
  <c r="K295" i="24"/>
  <c r="J295" i="24"/>
  <c r="I295" i="24"/>
  <c r="G295" i="24"/>
  <c r="X294" i="24"/>
  <c r="U294" i="24"/>
  <c r="Q294" i="24"/>
  <c r="M294" i="24"/>
  <c r="K294" i="24"/>
  <c r="J294" i="24"/>
  <c r="I294" i="24"/>
  <c r="G294" i="24"/>
  <c r="X293" i="24"/>
  <c r="U293" i="24"/>
  <c r="Q293" i="24"/>
  <c r="M293" i="24"/>
  <c r="K293" i="24"/>
  <c r="J293" i="24"/>
  <c r="I293" i="24"/>
  <c r="G293" i="24"/>
  <c r="X292" i="24"/>
  <c r="U292" i="24"/>
  <c r="Q292" i="24"/>
  <c r="M292" i="24"/>
  <c r="K292" i="24"/>
  <c r="J292" i="24"/>
  <c r="I292" i="24"/>
  <c r="G292" i="24"/>
  <c r="X291" i="24"/>
  <c r="U291" i="24"/>
  <c r="Q291" i="24"/>
  <c r="M291" i="24"/>
  <c r="K291" i="24"/>
  <c r="J291" i="24"/>
  <c r="I291" i="24"/>
  <c r="G291" i="24"/>
  <c r="X290" i="24"/>
  <c r="U290" i="24"/>
  <c r="Q290" i="24"/>
  <c r="M290" i="24"/>
  <c r="K290" i="24"/>
  <c r="J290" i="24"/>
  <c r="I290" i="24"/>
  <c r="G290" i="24"/>
  <c r="X289" i="24"/>
  <c r="U289" i="24"/>
  <c r="Q289" i="24"/>
  <c r="M289" i="24"/>
  <c r="K289" i="24"/>
  <c r="J289" i="24"/>
  <c r="I289" i="24"/>
  <c r="G289" i="24"/>
  <c r="X288" i="24"/>
  <c r="U288" i="24"/>
  <c r="Q288" i="24"/>
  <c r="M288" i="24"/>
  <c r="K288" i="24"/>
  <c r="J288" i="24"/>
  <c r="I288" i="24"/>
  <c r="G288" i="24"/>
  <c r="X287" i="24"/>
  <c r="U287" i="24"/>
  <c r="Q287" i="24"/>
  <c r="M287" i="24"/>
  <c r="K287" i="24"/>
  <c r="J287" i="24"/>
  <c r="I287" i="24"/>
  <c r="G287" i="24"/>
  <c r="X286" i="24"/>
  <c r="U286" i="24"/>
  <c r="Q286" i="24"/>
  <c r="M286" i="24"/>
  <c r="K286" i="24"/>
  <c r="J286" i="24"/>
  <c r="I286" i="24"/>
  <c r="G286" i="24"/>
  <c r="X285" i="24"/>
  <c r="U285" i="24"/>
  <c r="Q285" i="24"/>
  <c r="M285" i="24"/>
  <c r="K285" i="24"/>
  <c r="J285" i="24"/>
  <c r="I285" i="24"/>
  <c r="G285" i="24"/>
  <c r="X284" i="24"/>
  <c r="U284" i="24"/>
  <c r="Q284" i="24"/>
  <c r="M284" i="24"/>
  <c r="K284" i="24"/>
  <c r="J284" i="24"/>
  <c r="I284" i="24"/>
  <c r="G284" i="24"/>
  <c r="X283" i="24"/>
  <c r="U283" i="24"/>
  <c r="Q283" i="24"/>
  <c r="M283" i="24"/>
  <c r="K283" i="24"/>
  <c r="J283" i="24"/>
  <c r="I283" i="24"/>
  <c r="G283" i="24"/>
  <c r="X282" i="24"/>
  <c r="U282" i="24"/>
  <c r="Q282" i="24"/>
  <c r="M282" i="24"/>
  <c r="K282" i="24"/>
  <c r="J282" i="24"/>
  <c r="I282" i="24"/>
  <c r="G282" i="24"/>
  <c r="X281" i="24"/>
  <c r="U281" i="24"/>
  <c r="Q281" i="24"/>
  <c r="M281" i="24"/>
  <c r="K281" i="24"/>
  <c r="J281" i="24"/>
  <c r="I281" i="24"/>
  <c r="G281" i="24"/>
  <c r="X280" i="24"/>
  <c r="U280" i="24"/>
  <c r="Q280" i="24"/>
  <c r="M280" i="24"/>
  <c r="K280" i="24"/>
  <c r="J280" i="24"/>
  <c r="I280" i="24"/>
  <c r="G280" i="24"/>
  <c r="X279" i="24"/>
  <c r="U279" i="24"/>
  <c r="Q279" i="24"/>
  <c r="M279" i="24"/>
  <c r="K279" i="24"/>
  <c r="J279" i="24"/>
  <c r="I279" i="24"/>
  <c r="G279" i="24"/>
  <c r="X278" i="24"/>
  <c r="U278" i="24"/>
  <c r="Q278" i="24"/>
  <c r="M278" i="24"/>
  <c r="K278" i="24"/>
  <c r="J278" i="24"/>
  <c r="I278" i="24"/>
  <c r="G278" i="24"/>
  <c r="X277" i="24"/>
  <c r="U277" i="24"/>
  <c r="Q277" i="24"/>
  <c r="M277" i="24"/>
  <c r="K277" i="24"/>
  <c r="J277" i="24"/>
  <c r="I277" i="24"/>
  <c r="G277" i="24"/>
  <c r="X276" i="24"/>
  <c r="U276" i="24"/>
  <c r="Q276" i="24"/>
  <c r="M276" i="24"/>
  <c r="K276" i="24"/>
  <c r="J276" i="24"/>
  <c r="I276" i="24"/>
  <c r="G276" i="24"/>
  <c r="X275" i="24"/>
  <c r="U275" i="24"/>
  <c r="Q275" i="24"/>
  <c r="M275" i="24"/>
  <c r="K275" i="24"/>
  <c r="J275" i="24"/>
  <c r="I275" i="24"/>
  <c r="G275" i="24"/>
  <c r="X274" i="24"/>
  <c r="U274" i="24"/>
  <c r="Q274" i="24"/>
  <c r="M274" i="24"/>
  <c r="K274" i="24"/>
  <c r="J274" i="24"/>
  <c r="I274" i="24"/>
  <c r="G274" i="24"/>
  <c r="X273" i="24"/>
  <c r="U273" i="24"/>
  <c r="Q273" i="24"/>
  <c r="M273" i="24"/>
  <c r="K273" i="24"/>
  <c r="J273" i="24"/>
  <c r="I273" i="24"/>
  <c r="G273" i="24"/>
  <c r="X272" i="24"/>
  <c r="U272" i="24"/>
  <c r="Q272" i="24"/>
  <c r="M272" i="24"/>
  <c r="K272" i="24"/>
  <c r="J272" i="24"/>
  <c r="I272" i="24"/>
  <c r="G272" i="24"/>
  <c r="X271" i="24"/>
  <c r="U271" i="24"/>
  <c r="Q271" i="24"/>
  <c r="M271" i="24"/>
  <c r="K271" i="24"/>
  <c r="J271" i="24"/>
  <c r="I271" i="24"/>
  <c r="G271" i="24"/>
  <c r="X270" i="24"/>
  <c r="U270" i="24"/>
  <c r="Q270" i="24"/>
  <c r="M270" i="24"/>
  <c r="K270" i="24"/>
  <c r="J270" i="24"/>
  <c r="I270" i="24"/>
  <c r="G270" i="24"/>
  <c r="X269" i="24"/>
  <c r="U269" i="24"/>
  <c r="Q269" i="24"/>
  <c r="M269" i="24"/>
  <c r="K269" i="24"/>
  <c r="J269" i="24"/>
  <c r="I269" i="24"/>
  <c r="G269" i="24"/>
  <c r="X268" i="24"/>
  <c r="U268" i="24"/>
  <c r="Q268" i="24"/>
  <c r="M268" i="24"/>
  <c r="K268" i="24"/>
  <c r="J268" i="24"/>
  <c r="I268" i="24"/>
  <c r="G268" i="24"/>
  <c r="X267" i="24"/>
  <c r="U267" i="24"/>
  <c r="Q267" i="24"/>
  <c r="M267" i="24"/>
  <c r="K267" i="24"/>
  <c r="J267" i="24"/>
  <c r="I267" i="24"/>
  <c r="G267" i="24"/>
  <c r="X266" i="24"/>
  <c r="U266" i="24"/>
  <c r="Q266" i="24"/>
  <c r="M266" i="24"/>
  <c r="K266" i="24"/>
  <c r="J266" i="24"/>
  <c r="I266" i="24"/>
  <c r="G266" i="24"/>
  <c r="X265" i="24"/>
  <c r="U265" i="24"/>
  <c r="Q265" i="24"/>
  <c r="M265" i="24"/>
  <c r="K265" i="24"/>
  <c r="J265" i="24"/>
  <c r="I265" i="24"/>
  <c r="G265" i="24"/>
  <c r="X264" i="24"/>
  <c r="U264" i="24"/>
  <c r="Q264" i="24"/>
  <c r="M264" i="24"/>
  <c r="K264" i="24"/>
  <c r="J264" i="24"/>
  <c r="I264" i="24"/>
  <c r="G264" i="24"/>
  <c r="X263" i="24"/>
  <c r="U263" i="24"/>
  <c r="Q263" i="24"/>
  <c r="M263" i="24"/>
  <c r="K263" i="24"/>
  <c r="J263" i="24"/>
  <c r="I263" i="24"/>
  <c r="G263" i="24"/>
  <c r="X262" i="24"/>
  <c r="U262" i="24"/>
  <c r="Q262" i="24"/>
  <c r="M262" i="24"/>
  <c r="K262" i="24"/>
  <c r="J262" i="24"/>
  <c r="I262" i="24"/>
  <c r="G262" i="24"/>
  <c r="X261" i="24"/>
  <c r="U261" i="24"/>
  <c r="Q261" i="24"/>
  <c r="M261" i="24"/>
  <c r="K261" i="24"/>
  <c r="J261" i="24"/>
  <c r="I261" i="24"/>
  <c r="G261" i="24"/>
  <c r="X260" i="24"/>
  <c r="U260" i="24"/>
  <c r="Q260" i="24"/>
  <c r="M260" i="24"/>
  <c r="K260" i="24"/>
  <c r="J260" i="24"/>
  <c r="I260" i="24"/>
  <c r="G260" i="24"/>
  <c r="X259" i="24"/>
  <c r="U259" i="24"/>
  <c r="Q259" i="24"/>
  <c r="M259" i="24"/>
  <c r="K259" i="24"/>
  <c r="J259" i="24"/>
  <c r="I259" i="24"/>
  <c r="G259" i="24"/>
  <c r="X258" i="24"/>
  <c r="U258" i="24"/>
  <c r="Q258" i="24"/>
  <c r="M258" i="24"/>
  <c r="K258" i="24"/>
  <c r="J258" i="24"/>
  <c r="I258" i="24"/>
  <c r="G258" i="24"/>
  <c r="X257" i="24"/>
  <c r="U257" i="24"/>
  <c r="Q257" i="24"/>
  <c r="M257" i="24"/>
  <c r="K257" i="24"/>
  <c r="J257" i="24"/>
  <c r="I257" i="24"/>
  <c r="G257" i="24"/>
  <c r="X256" i="24"/>
  <c r="U256" i="24"/>
  <c r="Q256" i="24"/>
  <c r="M256" i="24"/>
  <c r="K256" i="24"/>
  <c r="X232" i="24"/>
  <c r="U232" i="24"/>
  <c r="Q232" i="24"/>
  <c r="M232" i="24"/>
  <c r="K232" i="24"/>
  <c r="J232" i="24"/>
  <c r="I232" i="24"/>
  <c r="G232" i="24"/>
  <c r="X231" i="24"/>
  <c r="U231" i="24"/>
  <c r="Q231" i="24"/>
  <c r="M231" i="24"/>
  <c r="K231" i="24"/>
  <c r="J231" i="24"/>
  <c r="I231" i="24"/>
  <c r="G231" i="24"/>
  <c r="X230" i="24"/>
  <c r="U230" i="24"/>
  <c r="Q230" i="24"/>
  <c r="M230" i="24"/>
  <c r="K230" i="24"/>
  <c r="J230" i="24"/>
  <c r="I230" i="24"/>
  <c r="G230" i="24"/>
  <c r="X229" i="24"/>
  <c r="U229" i="24"/>
  <c r="Q229" i="24"/>
  <c r="M229" i="24"/>
  <c r="K229" i="24"/>
  <c r="J229" i="24"/>
  <c r="I229" i="24"/>
  <c r="G229" i="24"/>
  <c r="X228" i="24"/>
  <c r="U228" i="24"/>
  <c r="Q228" i="24"/>
  <c r="M228" i="24"/>
  <c r="K228" i="24"/>
  <c r="J228" i="24"/>
  <c r="I228" i="24"/>
  <c r="G228" i="24"/>
  <c r="X227" i="24"/>
  <c r="U227" i="24"/>
  <c r="Q227" i="24"/>
  <c r="M227" i="24"/>
  <c r="K227" i="24"/>
  <c r="J227" i="24"/>
  <c r="I227" i="24"/>
  <c r="G227" i="24"/>
  <c r="X226" i="24"/>
  <c r="U226" i="24"/>
  <c r="Q226" i="24"/>
  <c r="M226" i="24"/>
  <c r="K226" i="24"/>
  <c r="J226" i="24"/>
  <c r="I226" i="24"/>
  <c r="G226" i="24"/>
  <c r="X225" i="24"/>
  <c r="U225" i="24"/>
  <c r="Q225" i="24"/>
  <c r="M225" i="24"/>
  <c r="K225" i="24"/>
  <c r="J225" i="24"/>
  <c r="I225" i="24"/>
  <c r="G225" i="24"/>
  <c r="X224" i="24"/>
  <c r="U224" i="24"/>
  <c r="Q224" i="24"/>
  <c r="M224" i="24"/>
  <c r="K224" i="24"/>
  <c r="J224" i="24"/>
  <c r="I224" i="24"/>
  <c r="G224" i="24"/>
  <c r="X223" i="24"/>
  <c r="U223" i="24"/>
  <c r="Q223" i="24"/>
  <c r="M223" i="24"/>
  <c r="K223" i="24"/>
  <c r="J223" i="24"/>
  <c r="I223" i="24"/>
  <c r="G223" i="24"/>
  <c r="X222" i="24"/>
  <c r="U222" i="24"/>
  <c r="Q222" i="24"/>
  <c r="M222" i="24"/>
  <c r="K222" i="24"/>
  <c r="J222" i="24"/>
  <c r="I222" i="24"/>
  <c r="G222" i="24"/>
  <c r="X221" i="24"/>
  <c r="U221" i="24"/>
  <c r="Q221" i="24"/>
  <c r="M221" i="24"/>
  <c r="K221" i="24"/>
  <c r="J221" i="24"/>
  <c r="I221" i="24"/>
  <c r="G221" i="24"/>
  <c r="X220" i="24"/>
  <c r="U220" i="24"/>
  <c r="Q220" i="24"/>
  <c r="M220" i="24"/>
  <c r="K220" i="24"/>
  <c r="J220" i="24"/>
  <c r="I220" i="24"/>
  <c r="G220" i="24"/>
  <c r="X219" i="24"/>
  <c r="U219" i="24"/>
  <c r="Q219" i="24"/>
  <c r="M219" i="24"/>
  <c r="K219" i="24"/>
  <c r="J219" i="24"/>
  <c r="I219" i="24"/>
  <c r="G219" i="24"/>
  <c r="X218" i="24"/>
  <c r="U218" i="24"/>
  <c r="Q218" i="24"/>
  <c r="M218" i="24"/>
  <c r="K218" i="24"/>
  <c r="J218" i="24"/>
  <c r="I218" i="24"/>
  <c r="G218" i="24"/>
  <c r="X217" i="24"/>
  <c r="U217" i="24"/>
  <c r="Q217" i="24"/>
  <c r="M217" i="24"/>
  <c r="K217" i="24"/>
  <c r="J217" i="24"/>
  <c r="I217" i="24"/>
  <c r="G217" i="24"/>
  <c r="X216" i="24"/>
  <c r="U216" i="24"/>
  <c r="Q216" i="24"/>
  <c r="M216" i="24"/>
  <c r="K216" i="24"/>
  <c r="J216" i="24"/>
  <c r="I216" i="24"/>
  <c r="G216" i="24"/>
  <c r="X215" i="24"/>
  <c r="U215" i="24"/>
  <c r="Q215" i="24"/>
  <c r="M215" i="24"/>
  <c r="K215" i="24"/>
  <c r="J215" i="24"/>
  <c r="I215" i="24"/>
  <c r="G215" i="24"/>
  <c r="X214" i="24"/>
  <c r="U214" i="24"/>
  <c r="Q214" i="24"/>
  <c r="M214" i="24"/>
  <c r="K214" i="24"/>
  <c r="J214" i="24"/>
  <c r="I214" i="24"/>
  <c r="G214" i="24"/>
  <c r="X213" i="24"/>
  <c r="U213" i="24"/>
  <c r="Q213" i="24"/>
  <c r="M213" i="24"/>
  <c r="K213" i="24"/>
  <c r="J213" i="24"/>
  <c r="I213" i="24"/>
  <c r="G213" i="24"/>
  <c r="X212" i="24"/>
  <c r="U212" i="24"/>
  <c r="Q212" i="24"/>
  <c r="M212" i="24"/>
  <c r="K212" i="24"/>
  <c r="J212" i="24"/>
  <c r="I212" i="24"/>
  <c r="G212" i="24"/>
  <c r="X211" i="24"/>
  <c r="U211" i="24"/>
  <c r="Q211" i="24"/>
  <c r="M211" i="24"/>
  <c r="K211" i="24"/>
  <c r="J211" i="24"/>
  <c r="I211" i="24"/>
  <c r="G211" i="24"/>
  <c r="X210" i="24"/>
  <c r="U210" i="24"/>
  <c r="Q210" i="24"/>
  <c r="M210" i="24"/>
  <c r="K210" i="24"/>
  <c r="J210" i="24"/>
  <c r="I210" i="24"/>
  <c r="G210" i="24"/>
  <c r="X209" i="24"/>
  <c r="U209" i="24"/>
  <c r="Q209" i="24"/>
  <c r="M209" i="24"/>
  <c r="K209" i="24"/>
  <c r="J209" i="24"/>
  <c r="I209" i="24"/>
  <c r="G209" i="24"/>
  <c r="X208" i="24"/>
  <c r="U208" i="24"/>
  <c r="Q208" i="24"/>
  <c r="M208" i="24"/>
  <c r="K208" i="24"/>
  <c r="J208" i="24"/>
  <c r="I208" i="24"/>
  <c r="G208" i="24"/>
  <c r="X207" i="24"/>
  <c r="U207" i="24"/>
  <c r="Q207" i="24"/>
  <c r="M207" i="24"/>
  <c r="K207" i="24"/>
  <c r="J207" i="24"/>
  <c r="I207" i="24"/>
  <c r="G207" i="24"/>
  <c r="X206" i="24"/>
  <c r="U206" i="24"/>
  <c r="Q206" i="24"/>
  <c r="M206" i="24"/>
  <c r="K206" i="24"/>
  <c r="J206" i="24"/>
  <c r="I206" i="24"/>
  <c r="G206" i="24"/>
  <c r="X205" i="24"/>
  <c r="U205" i="24"/>
  <c r="Q205" i="24"/>
  <c r="M205" i="24"/>
  <c r="K205" i="24"/>
  <c r="J205" i="24"/>
  <c r="I205" i="24"/>
  <c r="G205" i="24"/>
  <c r="X204" i="24"/>
  <c r="U204" i="24"/>
  <c r="Q204" i="24"/>
  <c r="M204" i="24"/>
  <c r="K204" i="24"/>
  <c r="J204" i="24"/>
  <c r="I204" i="24"/>
  <c r="G204" i="24"/>
  <c r="X203" i="24"/>
  <c r="U203" i="24"/>
  <c r="Q203" i="24"/>
  <c r="M203" i="24"/>
  <c r="K203" i="24"/>
  <c r="J203" i="24"/>
  <c r="I203" i="24"/>
  <c r="G203" i="24"/>
  <c r="X202" i="24"/>
  <c r="U202" i="24"/>
  <c r="Q202" i="24"/>
  <c r="M202" i="24"/>
  <c r="K202" i="24"/>
  <c r="J202" i="24"/>
  <c r="I202" i="24"/>
  <c r="G202" i="24"/>
  <c r="X201" i="24"/>
  <c r="U201" i="24"/>
  <c r="Q201" i="24"/>
  <c r="M201" i="24"/>
  <c r="K201" i="24"/>
  <c r="J201" i="24"/>
  <c r="I201" i="24"/>
  <c r="G201" i="24"/>
  <c r="X200" i="24"/>
  <c r="U200" i="24"/>
  <c r="Q200" i="24"/>
  <c r="M200" i="24"/>
  <c r="K200" i="24"/>
  <c r="J200" i="24"/>
  <c r="I200" i="24"/>
  <c r="G200" i="24"/>
  <c r="X199" i="24"/>
  <c r="U199" i="24"/>
  <c r="Q199" i="24"/>
  <c r="M199" i="24"/>
  <c r="K199" i="24"/>
  <c r="J199" i="24"/>
  <c r="I199" i="24"/>
  <c r="G199" i="24"/>
  <c r="X198" i="24"/>
  <c r="U198" i="24"/>
  <c r="Q198" i="24"/>
  <c r="M198" i="24"/>
  <c r="K198" i="24"/>
  <c r="J198" i="24"/>
  <c r="I198" i="24"/>
  <c r="G198" i="24"/>
  <c r="X197" i="24"/>
  <c r="U197" i="24"/>
  <c r="Q197" i="24"/>
  <c r="M197" i="24"/>
  <c r="K197" i="24"/>
  <c r="J197" i="24"/>
  <c r="I197" i="24"/>
  <c r="G197" i="24"/>
  <c r="X196" i="24"/>
  <c r="U196" i="24"/>
  <c r="Q196" i="24"/>
  <c r="M196" i="24"/>
  <c r="K196" i="24"/>
  <c r="J196" i="24"/>
  <c r="I196" i="24"/>
  <c r="G196" i="24"/>
  <c r="X195" i="24"/>
  <c r="U195" i="24"/>
  <c r="Q195" i="24"/>
  <c r="M195" i="24"/>
  <c r="K195" i="24"/>
  <c r="J195" i="24"/>
  <c r="I195" i="24"/>
  <c r="G195" i="24"/>
  <c r="X194" i="24"/>
  <c r="U194" i="24"/>
  <c r="Q194" i="24"/>
  <c r="M194" i="24"/>
  <c r="K194" i="24"/>
  <c r="J194" i="24"/>
  <c r="I194" i="24"/>
  <c r="G194" i="24"/>
  <c r="X193" i="24"/>
  <c r="U193" i="24"/>
  <c r="Q193" i="24"/>
  <c r="M193" i="24"/>
  <c r="K193" i="24"/>
  <c r="J193" i="24"/>
  <c r="I193" i="24"/>
  <c r="G193" i="24"/>
  <c r="X192" i="24"/>
  <c r="U192" i="24"/>
  <c r="Q192" i="24"/>
  <c r="M192" i="24"/>
  <c r="K192" i="24"/>
  <c r="J192" i="24"/>
  <c r="I192" i="24"/>
  <c r="G192" i="24"/>
  <c r="X191" i="24"/>
  <c r="U191" i="24"/>
  <c r="Q191" i="24"/>
  <c r="M191" i="24"/>
  <c r="K191" i="24"/>
  <c r="J191" i="24"/>
  <c r="I191" i="24"/>
  <c r="G191" i="24"/>
  <c r="X190" i="24"/>
  <c r="U190" i="24"/>
  <c r="Q190" i="24"/>
  <c r="M190" i="24"/>
  <c r="K190" i="24"/>
  <c r="J190" i="24"/>
  <c r="I190" i="24"/>
  <c r="G190" i="24"/>
  <c r="X189" i="24"/>
  <c r="U189" i="24"/>
  <c r="Q189" i="24"/>
  <c r="M189" i="24"/>
  <c r="K189" i="24"/>
  <c r="J189" i="24"/>
  <c r="I189" i="24"/>
  <c r="G189" i="24"/>
  <c r="X188" i="24"/>
  <c r="U188" i="24"/>
  <c r="Q188" i="24"/>
  <c r="M188" i="24"/>
  <c r="K188" i="24"/>
  <c r="J188" i="24"/>
  <c r="I188" i="24"/>
  <c r="G188" i="24"/>
  <c r="X187" i="24"/>
  <c r="U187" i="24"/>
  <c r="Q187" i="24"/>
  <c r="M187" i="24"/>
  <c r="K187" i="24"/>
  <c r="J187" i="24"/>
  <c r="I187" i="24"/>
  <c r="G187" i="24"/>
  <c r="X186" i="24"/>
  <c r="U186" i="24"/>
  <c r="Q186" i="24"/>
  <c r="M186" i="24"/>
  <c r="K186" i="24"/>
  <c r="J186" i="24"/>
  <c r="I186" i="24"/>
  <c r="G186" i="24"/>
  <c r="X185" i="24"/>
  <c r="U185" i="24"/>
  <c r="Q185" i="24"/>
  <c r="M185" i="24"/>
  <c r="K185" i="24"/>
  <c r="J185" i="24"/>
  <c r="I185" i="24"/>
  <c r="G185" i="24"/>
  <c r="X184" i="24"/>
  <c r="U184" i="24"/>
  <c r="Q184" i="24"/>
  <c r="M184" i="24"/>
  <c r="K184" i="24"/>
  <c r="J184" i="24"/>
  <c r="I184" i="24"/>
  <c r="G184" i="24"/>
  <c r="X183" i="24"/>
  <c r="U183" i="24"/>
  <c r="Q183" i="24"/>
  <c r="M183" i="24"/>
  <c r="K183" i="24"/>
  <c r="J183" i="24"/>
  <c r="I183" i="24"/>
  <c r="G183" i="24"/>
  <c r="X182" i="24"/>
  <c r="U182" i="24"/>
  <c r="Q182" i="24"/>
  <c r="M182" i="24"/>
  <c r="K182" i="24"/>
  <c r="J182" i="24"/>
  <c r="I182" i="24"/>
  <c r="G182" i="24"/>
  <c r="X181" i="24"/>
  <c r="U181" i="24"/>
  <c r="Q181" i="24"/>
  <c r="M181" i="24"/>
  <c r="K181" i="24"/>
  <c r="J181" i="24"/>
  <c r="I181" i="24"/>
  <c r="G181" i="24"/>
  <c r="X180" i="24"/>
  <c r="U180" i="24"/>
  <c r="Q180" i="24"/>
  <c r="M180" i="24"/>
  <c r="K180" i="24"/>
  <c r="J180" i="24"/>
  <c r="I180" i="24"/>
  <c r="G180" i="24"/>
  <c r="X179" i="24"/>
  <c r="U179" i="24"/>
  <c r="Q179" i="24"/>
  <c r="M179" i="24"/>
  <c r="K179" i="24"/>
  <c r="J179" i="24"/>
  <c r="I179" i="24"/>
  <c r="G179" i="24"/>
  <c r="X178" i="24"/>
  <c r="U178" i="24"/>
  <c r="Q178" i="24"/>
  <c r="M178" i="24"/>
  <c r="K178" i="24"/>
  <c r="J178" i="24"/>
  <c r="I178" i="24"/>
  <c r="G178" i="24"/>
  <c r="X177" i="24"/>
  <c r="U177" i="24"/>
  <c r="Q177" i="24"/>
  <c r="M177" i="24"/>
  <c r="K177" i="24"/>
  <c r="J177" i="24"/>
  <c r="I177" i="24"/>
  <c r="G177" i="24"/>
  <c r="X176" i="24"/>
  <c r="U176" i="24"/>
  <c r="Q176" i="24"/>
  <c r="M176" i="24"/>
  <c r="K176" i="24"/>
  <c r="J176" i="24"/>
  <c r="I176" i="24"/>
  <c r="G176" i="24"/>
  <c r="X175" i="24"/>
  <c r="U175" i="24"/>
  <c r="Q175" i="24"/>
  <c r="M175" i="24"/>
  <c r="K175" i="24"/>
  <c r="J175" i="24"/>
  <c r="I175" i="24"/>
  <c r="G175" i="24"/>
  <c r="S2541" i="24"/>
  <c r="O2541" i="24"/>
  <c r="M2541" i="24"/>
  <c r="K2541" i="24"/>
  <c r="I2541" i="24"/>
  <c r="G2541" i="24"/>
  <c r="S2540" i="24"/>
  <c r="O2540" i="24"/>
  <c r="M2540" i="24"/>
  <c r="K2540" i="24"/>
  <c r="I2540" i="24"/>
  <c r="G2540" i="24"/>
  <c r="S2539" i="24"/>
  <c r="O2539" i="24"/>
  <c r="M2539" i="24"/>
  <c r="K2539" i="24"/>
  <c r="I2539" i="24"/>
  <c r="G2539" i="24"/>
  <c r="S2538" i="24"/>
  <c r="O2538" i="24"/>
  <c r="M2538" i="24"/>
  <c r="K2538" i="24"/>
  <c r="I2538" i="24"/>
  <c r="G2538" i="24"/>
  <c r="S2537" i="24"/>
  <c r="O2537" i="24"/>
  <c r="M2537" i="24"/>
  <c r="K2537" i="24"/>
  <c r="I2537" i="24"/>
  <c r="G2537" i="24"/>
  <c r="S2536" i="24"/>
  <c r="O2536" i="24"/>
  <c r="M2536" i="24"/>
  <c r="K2536" i="24"/>
  <c r="I2536" i="24"/>
  <c r="G2536" i="24"/>
  <c r="S2535" i="24"/>
  <c r="O2535" i="24"/>
  <c r="M2535" i="24"/>
  <c r="K2535" i="24"/>
  <c r="I2535" i="24"/>
  <c r="G2535" i="24"/>
  <c r="S2534" i="24"/>
  <c r="O2534" i="24"/>
  <c r="M2534" i="24"/>
  <c r="K2534" i="24"/>
  <c r="I2534" i="24"/>
  <c r="G2534" i="24"/>
  <c r="S2533" i="24"/>
  <c r="O2533" i="24"/>
  <c r="M2533" i="24"/>
  <c r="K2533" i="24"/>
  <c r="I2533" i="24"/>
  <c r="G2533" i="24"/>
  <c r="S2532" i="24"/>
  <c r="O2532" i="24"/>
  <c r="M2532" i="24"/>
  <c r="K2532" i="24"/>
  <c r="I2532" i="24"/>
  <c r="G2532" i="24"/>
  <c r="S2531" i="24"/>
  <c r="O2531" i="24"/>
  <c r="M2531" i="24"/>
  <c r="K2531" i="24"/>
  <c r="I2531" i="24"/>
  <c r="G2531" i="24"/>
  <c r="S2530" i="24"/>
  <c r="O2530" i="24"/>
  <c r="M2530" i="24"/>
  <c r="K2530" i="24"/>
  <c r="I2530" i="24"/>
  <c r="G2530" i="24"/>
  <c r="S2529" i="24"/>
  <c r="O2529" i="24"/>
  <c r="M2529" i="24"/>
  <c r="K2529" i="24"/>
  <c r="I2529" i="24"/>
  <c r="G2529" i="24"/>
  <c r="S2528" i="24"/>
  <c r="O2528" i="24"/>
  <c r="M2528" i="24"/>
  <c r="K2528" i="24"/>
  <c r="I2528" i="24"/>
  <c r="G2528" i="24"/>
  <c r="S2527" i="24"/>
  <c r="O2527" i="24"/>
  <c r="M2527" i="24"/>
  <c r="K2527" i="24"/>
  <c r="I2527" i="24"/>
  <c r="G2527" i="24"/>
  <c r="S2526" i="24"/>
  <c r="O2526" i="24"/>
  <c r="M2526" i="24"/>
  <c r="K2526" i="24"/>
  <c r="I2526" i="24"/>
  <c r="G2526" i="24"/>
  <c r="S2525" i="24"/>
  <c r="O2525" i="24"/>
  <c r="M2525" i="24"/>
  <c r="K2525" i="24"/>
  <c r="I2525" i="24"/>
  <c r="G2525" i="24"/>
  <c r="S2524" i="24"/>
  <c r="O2524" i="24"/>
  <c r="M2524" i="24"/>
  <c r="K2524" i="24"/>
  <c r="I2524" i="24"/>
  <c r="G2524" i="24"/>
  <c r="S2523" i="24"/>
  <c r="O2523" i="24"/>
  <c r="M2523" i="24"/>
  <c r="K2523" i="24"/>
  <c r="I2523" i="24"/>
  <c r="G2523" i="24"/>
  <c r="S2522" i="24"/>
  <c r="O2522" i="24"/>
  <c r="M2522" i="24"/>
  <c r="K2522" i="24"/>
  <c r="I2522" i="24"/>
  <c r="G2522" i="24"/>
  <c r="S2521" i="24"/>
  <c r="O2521" i="24"/>
  <c r="M2521" i="24"/>
  <c r="K2521" i="24"/>
  <c r="I2521" i="24"/>
  <c r="G2521" i="24"/>
  <c r="S2520" i="24"/>
  <c r="O2520" i="24"/>
  <c r="M2520" i="24"/>
  <c r="K2520" i="24"/>
  <c r="I2520" i="24"/>
  <c r="G2520" i="24"/>
  <c r="S2519" i="24"/>
  <c r="O2519" i="24"/>
  <c r="M2519" i="24"/>
  <c r="K2519" i="24"/>
  <c r="I2519" i="24"/>
  <c r="G2519" i="24"/>
  <c r="S2518" i="24"/>
  <c r="O2518" i="24"/>
  <c r="M2518" i="24"/>
  <c r="K2518" i="24"/>
  <c r="I2518" i="24"/>
  <c r="G2518" i="24"/>
  <c r="S2517" i="24"/>
  <c r="O2517" i="24"/>
  <c r="M2517" i="24"/>
  <c r="K2517" i="24"/>
  <c r="I2517" i="24"/>
  <c r="G2517" i="24"/>
  <c r="S2516" i="24"/>
  <c r="O2516" i="24"/>
  <c r="M2516" i="24"/>
  <c r="K2516" i="24"/>
  <c r="I2516" i="24"/>
  <c r="G2516" i="24"/>
  <c r="S2515" i="24"/>
  <c r="O2515" i="24"/>
  <c r="M2515" i="24"/>
  <c r="K2515" i="24"/>
  <c r="I2515" i="24"/>
  <c r="G2515" i="24"/>
  <c r="S2514" i="24"/>
  <c r="O2514" i="24"/>
  <c r="M2514" i="24"/>
  <c r="K2514" i="24"/>
  <c r="I2514" i="24"/>
  <c r="G2514" i="24"/>
  <c r="S2513" i="24"/>
  <c r="O2513" i="24"/>
  <c r="M2513" i="24"/>
  <c r="K2513" i="24"/>
  <c r="I2513" i="24"/>
  <c r="G2513" i="24"/>
  <c r="S2512" i="24"/>
  <c r="O2512" i="24"/>
  <c r="M2512" i="24"/>
  <c r="K2512" i="24"/>
  <c r="I2512" i="24"/>
  <c r="G2512" i="24"/>
  <c r="S2511" i="24"/>
  <c r="O2511" i="24"/>
  <c r="M2511" i="24"/>
  <c r="K2511" i="24"/>
  <c r="I2511" i="24"/>
  <c r="G2511" i="24"/>
  <c r="S2510" i="24"/>
  <c r="O2510" i="24"/>
  <c r="M2510" i="24"/>
  <c r="K2510" i="24"/>
  <c r="I2510" i="24"/>
  <c r="G2510" i="24"/>
  <c r="S2509" i="24"/>
  <c r="O2509" i="24"/>
  <c r="M2509" i="24"/>
  <c r="K2509" i="24"/>
  <c r="I2509" i="24"/>
  <c r="G2509" i="24"/>
  <c r="S2508" i="24"/>
  <c r="O2508" i="24"/>
  <c r="M2508" i="24"/>
  <c r="K2508" i="24"/>
  <c r="I2508" i="24"/>
  <c r="G2508" i="24"/>
  <c r="S2507" i="24"/>
  <c r="O2507" i="24"/>
  <c r="M2507" i="24"/>
  <c r="K2507" i="24"/>
  <c r="I2507" i="24"/>
  <c r="G2507" i="24"/>
  <c r="S2506" i="24"/>
  <c r="O2506" i="24"/>
  <c r="M2506" i="24"/>
  <c r="K2506" i="24"/>
  <c r="I2506" i="24"/>
  <c r="G2506" i="24"/>
  <c r="S2505" i="24"/>
  <c r="O2505" i="24"/>
  <c r="M2505" i="24"/>
  <c r="K2505" i="24"/>
  <c r="I2505" i="24"/>
  <c r="G2505" i="24"/>
  <c r="S2504" i="24"/>
  <c r="O2504" i="24"/>
  <c r="M2504" i="24"/>
  <c r="K2504" i="24"/>
  <c r="I2504" i="24"/>
  <c r="G2504" i="24"/>
  <c r="S2503" i="24"/>
  <c r="O2503" i="24"/>
  <c r="M2503" i="24"/>
  <c r="K2503" i="24"/>
  <c r="I2503" i="24"/>
  <c r="G2503" i="24"/>
  <c r="S2502" i="24"/>
  <c r="O2502" i="24"/>
  <c r="M2502" i="24"/>
  <c r="K2502" i="24"/>
  <c r="I2502" i="24"/>
  <c r="G2502" i="24"/>
  <c r="S2501" i="24"/>
  <c r="O2501" i="24"/>
  <c r="M2501" i="24"/>
  <c r="K2501" i="24"/>
  <c r="I2501" i="24"/>
  <c r="G2501" i="24"/>
  <c r="S2500" i="24"/>
  <c r="O2500" i="24"/>
  <c r="M2500" i="24"/>
  <c r="K2500" i="24"/>
  <c r="I2500" i="24"/>
  <c r="G2500" i="24"/>
  <c r="S2499" i="24"/>
  <c r="O2499" i="24"/>
  <c r="M2499" i="24"/>
  <c r="K2499" i="24"/>
  <c r="I2499" i="24"/>
  <c r="G2499" i="24"/>
  <c r="S2498" i="24"/>
  <c r="O2498" i="24"/>
  <c r="M2498" i="24"/>
  <c r="K2498" i="24"/>
  <c r="I2498" i="24"/>
  <c r="G2498" i="24"/>
  <c r="S2497" i="24"/>
  <c r="O2497" i="24"/>
  <c r="M2497" i="24"/>
  <c r="K2497" i="24"/>
  <c r="I2497" i="24"/>
  <c r="G2497" i="24"/>
  <c r="S2496" i="24"/>
  <c r="O2496" i="24"/>
  <c r="M2496" i="24"/>
  <c r="K2496" i="24"/>
  <c r="I2496" i="24"/>
  <c r="G2496" i="24"/>
  <c r="S2495" i="24"/>
  <c r="O2495" i="24"/>
  <c r="M2495" i="24"/>
  <c r="K2495" i="24"/>
  <c r="I2495" i="24"/>
  <c r="G2495" i="24"/>
  <c r="S2494" i="24"/>
  <c r="O2494" i="24"/>
  <c r="M2494" i="24"/>
  <c r="K2494" i="24"/>
  <c r="I2494" i="24"/>
  <c r="G2494" i="24"/>
  <c r="S2493" i="24"/>
  <c r="O2493" i="24"/>
  <c r="M2493" i="24"/>
  <c r="K2493" i="24"/>
  <c r="I2493" i="24"/>
  <c r="G2493" i="24"/>
  <c r="S2492" i="24"/>
  <c r="O2492" i="24"/>
  <c r="M2492" i="24"/>
  <c r="K2492" i="24"/>
  <c r="I2492" i="24"/>
  <c r="G2492" i="24"/>
  <c r="S2491" i="24"/>
  <c r="O2491" i="24"/>
  <c r="M2491" i="24"/>
  <c r="K2491" i="24"/>
  <c r="I2491" i="24"/>
  <c r="G2491" i="24"/>
  <c r="S2490" i="24"/>
  <c r="O2490" i="24"/>
  <c r="M2490" i="24"/>
  <c r="K2490" i="24"/>
  <c r="I2490" i="24"/>
  <c r="G2490" i="24"/>
  <c r="S2489" i="24"/>
  <c r="O2489" i="24"/>
  <c r="M2489" i="24"/>
  <c r="K2489" i="24"/>
  <c r="I2489" i="24"/>
  <c r="G2489" i="24"/>
  <c r="S2488" i="24"/>
  <c r="O2488" i="24"/>
  <c r="M2488" i="24"/>
  <c r="K2488" i="24"/>
  <c r="I2488" i="24"/>
  <c r="G2488" i="24"/>
  <c r="S2487" i="24"/>
  <c r="O2487" i="24"/>
  <c r="M2487" i="24"/>
  <c r="K2487" i="24"/>
  <c r="I2487" i="24"/>
  <c r="G2487" i="24"/>
  <c r="S2486" i="24"/>
  <c r="O2486" i="24"/>
  <c r="M2486" i="24"/>
  <c r="K2486" i="24"/>
  <c r="I2486" i="24"/>
  <c r="G2486" i="24"/>
  <c r="S2485" i="24"/>
  <c r="O2485" i="24"/>
  <c r="M2485" i="24"/>
  <c r="K2485" i="24"/>
  <c r="I2485" i="24"/>
  <c r="G2485" i="24"/>
  <c r="S2484" i="24"/>
  <c r="O2484" i="24"/>
  <c r="M2484" i="24"/>
  <c r="S2459" i="24"/>
  <c r="O2459" i="24"/>
  <c r="M2459" i="24"/>
  <c r="K2459" i="24"/>
  <c r="I2459" i="24"/>
  <c r="G2459" i="24"/>
  <c r="S2458" i="24"/>
  <c r="O2458" i="24"/>
  <c r="M2458" i="24"/>
  <c r="K2458" i="24"/>
  <c r="I2458" i="24"/>
  <c r="G2458" i="24"/>
  <c r="S2457" i="24"/>
  <c r="O2457" i="24"/>
  <c r="M2457" i="24"/>
  <c r="K2457" i="24"/>
  <c r="I2457" i="24"/>
  <c r="G2457" i="24"/>
  <c r="S2456" i="24"/>
  <c r="O2456" i="24"/>
  <c r="M2456" i="24"/>
  <c r="K2456" i="24"/>
  <c r="I2456" i="24"/>
  <c r="G2456" i="24"/>
  <c r="S2455" i="24"/>
  <c r="O2455" i="24"/>
  <c r="M2455" i="24"/>
  <c r="K2455" i="24"/>
  <c r="I2455" i="24"/>
  <c r="G2455" i="24"/>
  <c r="S2454" i="24"/>
  <c r="O2454" i="24"/>
  <c r="M2454" i="24"/>
  <c r="K2454" i="24"/>
  <c r="I2454" i="24"/>
  <c r="G2454" i="24"/>
  <c r="S2453" i="24"/>
  <c r="O2453" i="24"/>
  <c r="M2453" i="24"/>
  <c r="K2453" i="24"/>
  <c r="I2453" i="24"/>
  <c r="G2453" i="24"/>
  <c r="S2452" i="24"/>
  <c r="O2452" i="24"/>
  <c r="M2452" i="24"/>
  <c r="K2452" i="24"/>
  <c r="I2452" i="24"/>
  <c r="G2452" i="24"/>
  <c r="S2451" i="24"/>
  <c r="O2451" i="24"/>
  <c r="M2451" i="24"/>
  <c r="K2451" i="24"/>
  <c r="I2451" i="24"/>
  <c r="G2451" i="24"/>
  <c r="S2450" i="24"/>
  <c r="O2450" i="24"/>
  <c r="M2450" i="24"/>
  <c r="K2450" i="24"/>
  <c r="I2450" i="24"/>
  <c r="G2450" i="24"/>
  <c r="S2449" i="24"/>
  <c r="O2449" i="24"/>
  <c r="M2449" i="24"/>
  <c r="K2449" i="24"/>
  <c r="I2449" i="24"/>
  <c r="G2449" i="24"/>
  <c r="S2448" i="24"/>
  <c r="O2448" i="24"/>
  <c r="M2448" i="24"/>
  <c r="K2448" i="24"/>
  <c r="I2448" i="24"/>
  <c r="G2448" i="24"/>
  <c r="S2447" i="24"/>
  <c r="O2447" i="24"/>
  <c r="M2447" i="24"/>
  <c r="K2447" i="24"/>
  <c r="I2447" i="24"/>
  <c r="G2447" i="24"/>
  <c r="S2446" i="24"/>
  <c r="O2446" i="24"/>
  <c r="M2446" i="24"/>
  <c r="K2446" i="24"/>
  <c r="I2446" i="24"/>
  <c r="G2446" i="24"/>
  <c r="S2445" i="24"/>
  <c r="O2445" i="24"/>
  <c r="M2445" i="24"/>
  <c r="K2445" i="24"/>
  <c r="I2445" i="24"/>
  <c r="G2445" i="24"/>
  <c r="S2444" i="24"/>
  <c r="O2444" i="24"/>
  <c r="M2444" i="24"/>
  <c r="K2444" i="24"/>
  <c r="I2444" i="24"/>
  <c r="G2444" i="24"/>
  <c r="S2443" i="24"/>
  <c r="O2443" i="24"/>
  <c r="M2443" i="24"/>
  <c r="K2443" i="24"/>
  <c r="I2443" i="24"/>
  <c r="G2443" i="24"/>
  <c r="S2442" i="24"/>
  <c r="O2442" i="24"/>
  <c r="M2442" i="24"/>
  <c r="K2442" i="24"/>
  <c r="I2442" i="24"/>
  <c r="G2442" i="24"/>
  <c r="S2441" i="24"/>
  <c r="O2441" i="24"/>
  <c r="M2441" i="24"/>
  <c r="K2441" i="24"/>
  <c r="I2441" i="24"/>
  <c r="G2441" i="24"/>
  <c r="S2440" i="24"/>
  <c r="O2440" i="24"/>
  <c r="M2440" i="24"/>
  <c r="K2440" i="24"/>
  <c r="I2440" i="24"/>
  <c r="G2440" i="24"/>
  <c r="S2439" i="24"/>
  <c r="O2439" i="24"/>
  <c r="M2439" i="24"/>
  <c r="K2439" i="24"/>
  <c r="I2439" i="24"/>
  <c r="G2439" i="24"/>
  <c r="S2438" i="24"/>
  <c r="O2438" i="24"/>
  <c r="M2438" i="24"/>
  <c r="K2438" i="24"/>
  <c r="I2438" i="24"/>
  <c r="G2438" i="24"/>
  <c r="S2437" i="24"/>
  <c r="O2437" i="24"/>
  <c r="M2437" i="24"/>
  <c r="K2437" i="24"/>
  <c r="I2437" i="24"/>
  <c r="G2437" i="24"/>
  <c r="S2436" i="24"/>
  <c r="O2436" i="24"/>
  <c r="M2436" i="24"/>
  <c r="K2436" i="24"/>
  <c r="I2436" i="24"/>
  <c r="G2436" i="24"/>
  <c r="S2435" i="24"/>
  <c r="O2435" i="24"/>
  <c r="M2435" i="24"/>
  <c r="K2435" i="24"/>
  <c r="I2435" i="24"/>
  <c r="G2435" i="24"/>
  <c r="S2434" i="24"/>
  <c r="O2434" i="24"/>
  <c r="M2434" i="24"/>
  <c r="K2434" i="24"/>
  <c r="I2434" i="24"/>
  <c r="G2434" i="24"/>
  <c r="S2433" i="24"/>
  <c r="O2433" i="24"/>
  <c r="M2433" i="24"/>
  <c r="K2433" i="24"/>
  <c r="I2433" i="24"/>
  <c r="G2433" i="24"/>
  <c r="S2432" i="24"/>
  <c r="O2432" i="24"/>
  <c r="M2432" i="24"/>
  <c r="K2432" i="24"/>
  <c r="I2432" i="24"/>
  <c r="G2432" i="24"/>
  <c r="S2431" i="24"/>
  <c r="O2431" i="24"/>
  <c r="M2431" i="24"/>
  <c r="K2431" i="24"/>
  <c r="I2431" i="24"/>
  <c r="G2431" i="24"/>
  <c r="S2430" i="24"/>
  <c r="O2430" i="24"/>
  <c r="M2430" i="24"/>
  <c r="K2430" i="24"/>
  <c r="I2430" i="24"/>
  <c r="G2430" i="24"/>
  <c r="S2429" i="24"/>
  <c r="O2429" i="24"/>
  <c r="M2429" i="24"/>
  <c r="K2429" i="24"/>
  <c r="I2429" i="24"/>
  <c r="G2429" i="24"/>
  <c r="S2428" i="24"/>
  <c r="O2428" i="24"/>
  <c r="M2428" i="24"/>
  <c r="K2428" i="24"/>
  <c r="I2428" i="24"/>
  <c r="G2428" i="24"/>
  <c r="S2427" i="24"/>
  <c r="O2427" i="24"/>
  <c r="M2427" i="24"/>
  <c r="K2427" i="24"/>
  <c r="I2427" i="24"/>
  <c r="G2427" i="24"/>
  <c r="S2426" i="24"/>
  <c r="O2426" i="24"/>
  <c r="M2426" i="24"/>
  <c r="K2426" i="24"/>
  <c r="I2426" i="24"/>
  <c r="G2426" i="24"/>
  <c r="S2425" i="24"/>
  <c r="O2425" i="24"/>
  <c r="M2425" i="24"/>
  <c r="K2425" i="24"/>
  <c r="I2425" i="24"/>
  <c r="G2425" i="24"/>
  <c r="S2424" i="24"/>
  <c r="O2424" i="24"/>
  <c r="M2424" i="24"/>
  <c r="K2424" i="24"/>
  <c r="I2424" i="24"/>
  <c r="G2424" i="24"/>
  <c r="S2423" i="24"/>
  <c r="O2423" i="24"/>
  <c r="M2423" i="24"/>
  <c r="K2423" i="24"/>
  <c r="I2423" i="24"/>
  <c r="G2423" i="24"/>
  <c r="S2422" i="24"/>
  <c r="O2422" i="24"/>
  <c r="M2422" i="24"/>
  <c r="K2422" i="24"/>
  <c r="I2422" i="24"/>
  <c r="G2422" i="24"/>
  <c r="S2421" i="24"/>
  <c r="O2421" i="24"/>
  <c r="M2421" i="24"/>
  <c r="K2421" i="24"/>
  <c r="I2421" i="24"/>
  <c r="G2421" i="24"/>
  <c r="S2420" i="24"/>
  <c r="O2420" i="24"/>
  <c r="M2420" i="24"/>
  <c r="K2420" i="24"/>
  <c r="I2420" i="24"/>
  <c r="G2420" i="24"/>
  <c r="S2419" i="24"/>
  <c r="O2419" i="24"/>
  <c r="M2419" i="24"/>
  <c r="K2419" i="24"/>
  <c r="I2419" i="24"/>
  <c r="G2419" i="24"/>
  <c r="S2418" i="24"/>
  <c r="O2418" i="24"/>
  <c r="M2418" i="24"/>
  <c r="K2418" i="24"/>
  <c r="I2418" i="24"/>
  <c r="G2418" i="24"/>
  <c r="S2417" i="24"/>
  <c r="O2417" i="24"/>
  <c r="M2417" i="24"/>
  <c r="K2417" i="24"/>
  <c r="I2417" i="24"/>
  <c r="G2417" i="24"/>
  <c r="S2416" i="24"/>
  <c r="O2416" i="24"/>
  <c r="M2416" i="24"/>
  <c r="K2416" i="24"/>
  <c r="I2416" i="24"/>
  <c r="G2416" i="24"/>
  <c r="S2415" i="24"/>
  <c r="O2415" i="24"/>
  <c r="M2415" i="24"/>
  <c r="K2415" i="24"/>
  <c r="I2415" i="24"/>
  <c r="G2415" i="24"/>
  <c r="S2414" i="24"/>
  <c r="O2414" i="24"/>
  <c r="M2414" i="24"/>
  <c r="K2414" i="24"/>
  <c r="I2414" i="24"/>
  <c r="G2414" i="24"/>
  <c r="S2413" i="24"/>
  <c r="O2413" i="24"/>
  <c r="M2413" i="24"/>
  <c r="K2413" i="24"/>
  <c r="I2413" i="24"/>
  <c r="G2413" i="24"/>
  <c r="S2412" i="24"/>
  <c r="O2412" i="24"/>
  <c r="M2412" i="24"/>
  <c r="K2412" i="24"/>
  <c r="I2412" i="24"/>
  <c r="G2412" i="24"/>
  <c r="S2411" i="24"/>
  <c r="O2411" i="24"/>
  <c r="M2411" i="24"/>
  <c r="K2411" i="24"/>
  <c r="I2411" i="24"/>
  <c r="G2411" i="24"/>
  <c r="S2410" i="24"/>
  <c r="O2410" i="24"/>
  <c r="M2410" i="24"/>
  <c r="K2410" i="24"/>
  <c r="I2410" i="24"/>
  <c r="G2410" i="24"/>
  <c r="S2409" i="24"/>
  <c r="O2409" i="24"/>
  <c r="M2409" i="24"/>
  <c r="K2409" i="24"/>
  <c r="I2409" i="24"/>
  <c r="G2409" i="24"/>
  <c r="S2408" i="24"/>
  <c r="O2408" i="24"/>
  <c r="M2408" i="24"/>
  <c r="K2408" i="24"/>
  <c r="I2408" i="24"/>
  <c r="G2408" i="24"/>
  <c r="S2407" i="24"/>
  <c r="O2407" i="24"/>
  <c r="M2407" i="24"/>
  <c r="K2407" i="24"/>
  <c r="I2407" i="24"/>
  <c r="G2407" i="24"/>
  <c r="S2406" i="24"/>
  <c r="O2406" i="24"/>
  <c r="M2406" i="24"/>
  <c r="K2406" i="24"/>
  <c r="I2406" i="24"/>
  <c r="G2406" i="24"/>
  <c r="S2405" i="24"/>
  <c r="O2405" i="24"/>
  <c r="M2405" i="24"/>
  <c r="K2405" i="24"/>
  <c r="I2405" i="24"/>
  <c r="G2405" i="24"/>
  <c r="S2404" i="24"/>
  <c r="O2404" i="24"/>
  <c r="M2404" i="24"/>
  <c r="K2404" i="24"/>
  <c r="I2404" i="24"/>
  <c r="G2404" i="24"/>
  <c r="S2403" i="24"/>
  <c r="O2403" i="24"/>
  <c r="M2403" i="24"/>
  <c r="K2403" i="24"/>
  <c r="I2403" i="24"/>
  <c r="G2403" i="24"/>
  <c r="S2402" i="24"/>
  <c r="O2402" i="24"/>
  <c r="M2402" i="24"/>
  <c r="X2136" i="24"/>
  <c r="U2136" i="24"/>
  <c r="Q2136" i="24"/>
  <c r="M2136" i="24"/>
  <c r="K2136" i="24"/>
  <c r="J2136" i="24"/>
  <c r="I2136" i="24"/>
  <c r="G2136" i="24"/>
  <c r="X2135" i="24"/>
  <c r="U2135" i="24"/>
  <c r="Q2135" i="24"/>
  <c r="M2135" i="24"/>
  <c r="K2135" i="24"/>
  <c r="J2135" i="24"/>
  <c r="I2135" i="24"/>
  <c r="G2135" i="24"/>
  <c r="X2134" i="24"/>
  <c r="U2134" i="24"/>
  <c r="Q2134" i="24"/>
  <c r="M2134" i="24"/>
  <c r="K2134" i="24"/>
  <c r="J2134" i="24"/>
  <c r="I2134" i="24"/>
  <c r="G2134" i="24"/>
  <c r="X2133" i="24"/>
  <c r="U2133" i="24"/>
  <c r="Q2133" i="24"/>
  <c r="M2133" i="24"/>
  <c r="K2133" i="24"/>
  <c r="J2133" i="24"/>
  <c r="I2133" i="24"/>
  <c r="G2133" i="24"/>
  <c r="X2132" i="24"/>
  <c r="U2132" i="24"/>
  <c r="Q2132" i="24"/>
  <c r="M2132" i="24"/>
  <c r="K2132" i="24"/>
  <c r="J2132" i="24"/>
  <c r="I2132" i="24"/>
  <c r="G2132" i="24"/>
  <c r="X2131" i="24"/>
  <c r="U2131" i="24"/>
  <c r="Q2131" i="24"/>
  <c r="M2131" i="24"/>
  <c r="K2131" i="24"/>
  <c r="J2131" i="24"/>
  <c r="I2131" i="24"/>
  <c r="G2131" i="24"/>
  <c r="X2130" i="24"/>
  <c r="U2130" i="24"/>
  <c r="Q2130" i="24"/>
  <c r="M2130" i="24"/>
  <c r="K2130" i="24"/>
  <c r="J2130" i="24"/>
  <c r="I2130" i="24"/>
  <c r="G2130" i="24"/>
  <c r="X2129" i="24"/>
  <c r="U2129" i="24"/>
  <c r="Q2129" i="24"/>
  <c r="M2129" i="24"/>
  <c r="K2129" i="24"/>
  <c r="J2129" i="24"/>
  <c r="I2129" i="24"/>
  <c r="G2129" i="24"/>
  <c r="X2128" i="24"/>
  <c r="U2128" i="24"/>
  <c r="Q2128" i="24"/>
  <c r="M2128" i="24"/>
  <c r="K2128" i="24"/>
  <c r="J2128" i="24"/>
  <c r="I2128" i="24"/>
  <c r="G2128" i="24"/>
  <c r="X2127" i="24"/>
  <c r="U2127" i="24"/>
  <c r="Q2127" i="24"/>
  <c r="M2127" i="24"/>
  <c r="K2127" i="24"/>
  <c r="J2127" i="24"/>
  <c r="I2127" i="24"/>
  <c r="G2127" i="24"/>
  <c r="X2126" i="24"/>
  <c r="U2126" i="24"/>
  <c r="Q2126" i="24"/>
  <c r="M2126" i="24"/>
  <c r="K2126" i="24"/>
  <c r="J2126" i="24"/>
  <c r="I2126" i="24"/>
  <c r="G2126" i="24"/>
  <c r="X2125" i="24"/>
  <c r="U2125" i="24"/>
  <c r="Q2125" i="24"/>
  <c r="M2125" i="24"/>
  <c r="K2125" i="24"/>
  <c r="J2125" i="24"/>
  <c r="I2125" i="24"/>
  <c r="G2125" i="24"/>
  <c r="X2124" i="24"/>
  <c r="U2124" i="24"/>
  <c r="Q2124" i="24"/>
  <c r="M2124" i="24"/>
  <c r="K2124" i="24"/>
  <c r="J2124" i="24"/>
  <c r="I2124" i="24"/>
  <c r="G2124" i="24"/>
  <c r="X2123" i="24"/>
  <c r="U2123" i="24"/>
  <c r="Q2123" i="24"/>
  <c r="M2123" i="24"/>
  <c r="K2123" i="24"/>
  <c r="J2123" i="24"/>
  <c r="I2123" i="24"/>
  <c r="G2123" i="24"/>
  <c r="X2122" i="24"/>
  <c r="U2122" i="24"/>
  <c r="Q2122" i="24"/>
  <c r="M2122" i="24"/>
  <c r="K2122" i="24"/>
  <c r="J2122" i="24"/>
  <c r="I2122" i="24"/>
  <c r="G2122" i="24"/>
  <c r="X2121" i="24"/>
  <c r="U2121" i="24"/>
  <c r="Q2121" i="24"/>
  <c r="M2121" i="24"/>
  <c r="K2121" i="24"/>
  <c r="J2121" i="24"/>
  <c r="I2121" i="24"/>
  <c r="G2121" i="24"/>
  <c r="X2120" i="24"/>
  <c r="U2120" i="24"/>
  <c r="Q2120" i="24"/>
  <c r="M2120" i="24"/>
  <c r="K2120" i="24"/>
  <c r="J2120" i="24"/>
  <c r="I2120" i="24"/>
  <c r="G2120" i="24"/>
  <c r="X2119" i="24"/>
  <c r="U2119" i="24"/>
  <c r="Q2119" i="24"/>
  <c r="M2119" i="24"/>
  <c r="K2119" i="24"/>
  <c r="J2119" i="24"/>
  <c r="I2119" i="24"/>
  <c r="G2119" i="24"/>
  <c r="X2118" i="24"/>
  <c r="U2118" i="24"/>
  <c r="Q2118" i="24"/>
  <c r="M2118" i="24"/>
  <c r="K2118" i="24"/>
  <c r="J2118" i="24"/>
  <c r="I2118" i="24"/>
  <c r="G2118" i="24"/>
  <c r="X2117" i="24"/>
  <c r="U2117" i="24"/>
  <c r="Q2117" i="24"/>
  <c r="M2117" i="24"/>
  <c r="K2117" i="24"/>
  <c r="J2117" i="24"/>
  <c r="I2117" i="24"/>
  <c r="G2117" i="24"/>
  <c r="X2116" i="24"/>
  <c r="U2116" i="24"/>
  <c r="Q2116" i="24"/>
  <c r="M2116" i="24"/>
  <c r="K2116" i="24"/>
  <c r="J2116" i="24"/>
  <c r="I2116" i="24"/>
  <c r="G2116" i="24"/>
  <c r="X2115" i="24"/>
  <c r="U2115" i="24"/>
  <c r="Q2115" i="24"/>
  <c r="M2115" i="24"/>
  <c r="K2115" i="24"/>
  <c r="J2115" i="24"/>
  <c r="I2115" i="24"/>
  <c r="G2115" i="24"/>
  <c r="X2114" i="24"/>
  <c r="U2114" i="24"/>
  <c r="Q2114" i="24"/>
  <c r="M2114" i="24"/>
  <c r="K2114" i="24"/>
  <c r="J2114" i="24"/>
  <c r="I2114" i="24"/>
  <c r="G2114" i="24"/>
  <c r="X2113" i="24"/>
  <c r="U2113" i="24"/>
  <c r="Q2113" i="24"/>
  <c r="M2113" i="24"/>
  <c r="K2113" i="24"/>
  <c r="J2113" i="24"/>
  <c r="I2113" i="24"/>
  <c r="G2113" i="24"/>
  <c r="X2112" i="24"/>
  <c r="U2112" i="24"/>
  <c r="Q2112" i="24"/>
  <c r="M2112" i="24"/>
  <c r="K2112" i="24"/>
  <c r="J2112" i="24"/>
  <c r="I2112" i="24"/>
  <c r="G2112" i="24"/>
  <c r="X2111" i="24"/>
  <c r="U2111" i="24"/>
  <c r="Q2111" i="24"/>
  <c r="M2111" i="24"/>
  <c r="K2111" i="24"/>
  <c r="J2111" i="24"/>
  <c r="I2111" i="24"/>
  <c r="G2111" i="24"/>
  <c r="X2110" i="24"/>
  <c r="U2110" i="24"/>
  <c r="Q2110" i="24"/>
  <c r="M2110" i="24"/>
  <c r="K2110" i="24"/>
  <c r="J2110" i="24"/>
  <c r="I2110" i="24"/>
  <c r="G2110" i="24"/>
  <c r="X2109" i="24"/>
  <c r="U2109" i="24"/>
  <c r="Q2109" i="24"/>
  <c r="M2109" i="24"/>
  <c r="K2109" i="24"/>
  <c r="J2109" i="24"/>
  <c r="I2109" i="24"/>
  <c r="G2109" i="24"/>
  <c r="X2108" i="24"/>
  <c r="U2108" i="24"/>
  <c r="Q2108" i="24"/>
  <c r="M2108" i="24"/>
  <c r="K2108" i="24"/>
  <c r="J2108" i="24"/>
  <c r="I2108" i="24"/>
  <c r="G2108" i="24"/>
  <c r="X2107" i="24"/>
  <c r="U2107" i="24"/>
  <c r="Q2107" i="24"/>
  <c r="M2107" i="24"/>
  <c r="K2107" i="24"/>
  <c r="J2107" i="24"/>
  <c r="I2107" i="24"/>
  <c r="G2107" i="24"/>
  <c r="X2106" i="24"/>
  <c r="U2106" i="24"/>
  <c r="Q2106" i="24"/>
  <c r="M2106" i="24"/>
  <c r="K2106" i="24"/>
  <c r="J2106" i="24"/>
  <c r="I2106" i="24"/>
  <c r="G2106" i="24"/>
  <c r="X2105" i="24"/>
  <c r="U2105" i="24"/>
  <c r="Q2105" i="24"/>
  <c r="M2105" i="24"/>
  <c r="K2105" i="24"/>
  <c r="J2105" i="24"/>
  <c r="I2105" i="24"/>
  <c r="G2105" i="24"/>
  <c r="X2104" i="24"/>
  <c r="U2104" i="24"/>
  <c r="Q2104" i="24"/>
  <c r="M2104" i="24"/>
  <c r="K2104" i="24"/>
  <c r="J2104" i="24"/>
  <c r="I2104" i="24"/>
  <c r="G2104" i="24"/>
  <c r="X2103" i="24"/>
  <c r="U2103" i="24"/>
  <c r="Q2103" i="24"/>
  <c r="M2103" i="24"/>
  <c r="K2103" i="24"/>
  <c r="J2103" i="24"/>
  <c r="I2103" i="24"/>
  <c r="G2103" i="24"/>
  <c r="X2102" i="24"/>
  <c r="U2102" i="24"/>
  <c r="Q2102" i="24"/>
  <c r="M2102" i="24"/>
  <c r="K2102" i="24"/>
  <c r="J2102" i="24"/>
  <c r="I2102" i="24"/>
  <c r="G2102" i="24"/>
  <c r="X2101" i="24"/>
  <c r="U2101" i="24"/>
  <c r="Q2101" i="24"/>
  <c r="M2101" i="24"/>
  <c r="K2101" i="24"/>
  <c r="J2101" i="24"/>
  <c r="I2101" i="24"/>
  <c r="G2101" i="24"/>
  <c r="X2100" i="24"/>
  <c r="U2100" i="24"/>
  <c r="Q2100" i="24"/>
  <c r="M2100" i="24"/>
  <c r="K2100" i="24"/>
  <c r="J2100" i="24"/>
  <c r="I2100" i="24"/>
  <c r="G2100" i="24"/>
  <c r="X2099" i="24"/>
  <c r="U2099" i="24"/>
  <c r="Q2099" i="24"/>
  <c r="M2099" i="24"/>
  <c r="K2099" i="24"/>
  <c r="J2099" i="24"/>
  <c r="I2099" i="24"/>
  <c r="G2099" i="24"/>
  <c r="X2098" i="24"/>
  <c r="U2098" i="24"/>
  <c r="Q2098" i="24"/>
  <c r="M2098" i="24"/>
  <c r="K2098" i="24"/>
  <c r="J2098" i="24"/>
  <c r="I2098" i="24"/>
  <c r="G2098" i="24"/>
  <c r="X2097" i="24"/>
  <c r="U2097" i="24"/>
  <c r="Q2097" i="24"/>
  <c r="M2097" i="24"/>
  <c r="K2097" i="24"/>
  <c r="J2097" i="24"/>
  <c r="I2097" i="24"/>
  <c r="G2097" i="24"/>
  <c r="X2096" i="24"/>
  <c r="U2096" i="24"/>
  <c r="Q2096" i="24"/>
  <c r="M2096" i="24"/>
  <c r="K2096" i="24"/>
  <c r="J2096" i="24"/>
  <c r="I2096" i="24"/>
  <c r="G2096" i="24"/>
  <c r="X2095" i="24"/>
  <c r="U2095" i="24"/>
  <c r="Q2095" i="24"/>
  <c r="M2095" i="24"/>
  <c r="K2095" i="24"/>
  <c r="J2095" i="24"/>
  <c r="I2095" i="24"/>
  <c r="G2095" i="24"/>
  <c r="X2094" i="24"/>
  <c r="U2094" i="24"/>
  <c r="Q2094" i="24"/>
  <c r="M2094" i="24"/>
  <c r="K2094" i="24"/>
  <c r="J2094" i="24"/>
  <c r="I2094" i="24"/>
  <c r="G2094" i="24"/>
  <c r="X2093" i="24"/>
  <c r="U2093" i="24"/>
  <c r="Q2093" i="24"/>
  <c r="M2093" i="24"/>
  <c r="K2093" i="24"/>
  <c r="J2093" i="24"/>
  <c r="I2093" i="24"/>
  <c r="G2093" i="24"/>
  <c r="X2092" i="24"/>
  <c r="U2092" i="24"/>
  <c r="Q2092" i="24"/>
  <c r="M2092" i="24"/>
  <c r="K2092" i="24"/>
  <c r="J2092" i="24"/>
  <c r="I2092" i="24"/>
  <c r="G2092" i="24"/>
  <c r="X2091" i="24"/>
  <c r="U2091" i="24"/>
  <c r="Q2091" i="24"/>
  <c r="M2091" i="24"/>
  <c r="K2091" i="24"/>
  <c r="J2091" i="24"/>
  <c r="I2091" i="24"/>
  <c r="G2091" i="24"/>
  <c r="X2090" i="24"/>
  <c r="U2090" i="24"/>
  <c r="Q2090" i="24"/>
  <c r="M2090" i="24"/>
  <c r="K2090" i="24"/>
  <c r="J2090" i="24"/>
  <c r="I2090" i="24"/>
  <c r="G2090" i="24"/>
  <c r="X2089" i="24"/>
  <c r="U2089" i="24"/>
  <c r="Q2089" i="24"/>
  <c r="M2089" i="24"/>
  <c r="K2089" i="24"/>
  <c r="J2089" i="24"/>
  <c r="I2089" i="24"/>
  <c r="G2089" i="24"/>
  <c r="X2088" i="24"/>
  <c r="U2088" i="24"/>
  <c r="Q2088" i="24"/>
  <c r="M2088" i="24"/>
  <c r="K2088" i="24"/>
  <c r="J2088" i="24"/>
  <c r="I2088" i="24"/>
  <c r="G2088" i="24"/>
  <c r="X2087" i="24"/>
  <c r="U2087" i="24"/>
  <c r="Q2087" i="24"/>
  <c r="M2087" i="24"/>
  <c r="K2087" i="24"/>
  <c r="J2087" i="24"/>
  <c r="I2087" i="24"/>
  <c r="G2087" i="24"/>
  <c r="X2086" i="24"/>
  <c r="U2086" i="24"/>
  <c r="Q2086" i="24"/>
  <c r="M2086" i="24"/>
  <c r="K2086" i="24"/>
  <c r="J2086" i="24"/>
  <c r="I2086" i="24"/>
  <c r="G2086" i="24"/>
  <c r="X2085" i="24"/>
  <c r="U2085" i="24"/>
  <c r="Q2085" i="24"/>
  <c r="M2085" i="24"/>
  <c r="K2085" i="24"/>
  <c r="J2085" i="24"/>
  <c r="I2085" i="24"/>
  <c r="G2085" i="24"/>
  <c r="X2084" i="24"/>
  <c r="U2084" i="24"/>
  <c r="Q2084" i="24"/>
  <c r="M2084" i="24"/>
  <c r="K2084" i="24"/>
  <c r="J2084" i="24"/>
  <c r="I2084" i="24"/>
  <c r="G2084" i="24"/>
  <c r="X2083" i="24"/>
  <c r="U2083" i="24"/>
  <c r="Q2083" i="24"/>
  <c r="M2083" i="24"/>
  <c r="K2083" i="24"/>
  <c r="J2083" i="24"/>
  <c r="I2083" i="24"/>
  <c r="G2083" i="24"/>
  <c r="X2082" i="24"/>
  <c r="U2082" i="24"/>
  <c r="Q2082" i="24"/>
  <c r="M2082" i="24"/>
  <c r="K2082" i="24"/>
  <c r="J2082" i="24"/>
  <c r="I2082" i="24"/>
  <c r="G2082" i="24"/>
  <c r="X2081" i="24"/>
  <c r="U2081" i="24"/>
  <c r="Q2081" i="24"/>
  <c r="M2081" i="24"/>
  <c r="K2081" i="24"/>
  <c r="J2081" i="24"/>
  <c r="I2081" i="24"/>
  <c r="G2081" i="24"/>
  <c r="X2080" i="24"/>
  <c r="U2080" i="24"/>
  <c r="Q2080" i="24"/>
  <c r="M2080" i="24"/>
  <c r="K2080" i="24"/>
  <c r="J2080" i="24"/>
  <c r="I2080" i="24"/>
  <c r="G2080" i="24"/>
  <c r="X2079" i="24"/>
  <c r="U2079" i="24"/>
  <c r="Q2079" i="24"/>
  <c r="M2079" i="24"/>
  <c r="K2079" i="24"/>
  <c r="X2218" i="24"/>
  <c r="U2218" i="24"/>
  <c r="Q2218" i="24"/>
  <c r="M2218" i="24"/>
  <c r="K2218" i="24"/>
  <c r="J2218" i="24"/>
  <c r="I2218" i="24"/>
  <c r="G2218" i="24"/>
  <c r="X2217" i="24"/>
  <c r="U2217" i="24"/>
  <c r="Q2217" i="24"/>
  <c r="M2217" i="24"/>
  <c r="K2217" i="24"/>
  <c r="J2217" i="24"/>
  <c r="I2217" i="24"/>
  <c r="G2217" i="24"/>
  <c r="X2216" i="24"/>
  <c r="U2216" i="24"/>
  <c r="Q2216" i="24"/>
  <c r="M2216" i="24"/>
  <c r="K2216" i="24"/>
  <c r="J2216" i="24"/>
  <c r="I2216" i="24"/>
  <c r="G2216" i="24"/>
  <c r="X2215" i="24"/>
  <c r="U2215" i="24"/>
  <c r="Q2215" i="24"/>
  <c r="M2215" i="24"/>
  <c r="K2215" i="24"/>
  <c r="J2215" i="24"/>
  <c r="I2215" i="24"/>
  <c r="G2215" i="24"/>
  <c r="X2214" i="24"/>
  <c r="U2214" i="24"/>
  <c r="Q2214" i="24"/>
  <c r="M2214" i="24"/>
  <c r="K2214" i="24"/>
  <c r="J2214" i="24"/>
  <c r="I2214" i="24"/>
  <c r="G2214" i="24"/>
  <c r="X2213" i="24"/>
  <c r="U2213" i="24"/>
  <c r="Q2213" i="24"/>
  <c r="M2213" i="24"/>
  <c r="K2213" i="24"/>
  <c r="J2213" i="24"/>
  <c r="I2213" i="24"/>
  <c r="G2213" i="24"/>
  <c r="X2212" i="24"/>
  <c r="U2212" i="24"/>
  <c r="Q2212" i="24"/>
  <c r="M2212" i="24"/>
  <c r="K2212" i="24"/>
  <c r="J2212" i="24"/>
  <c r="I2212" i="24"/>
  <c r="G2212" i="24"/>
  <c r="X2211" i="24"/>
  <c r="U2211" i="24"/>
  <c r="Q2211" i="24"/>
  <c r="M2211" i="24"/>
  <c r="K2211" i="24"/>
  <c r="J2211" i="24"/>
  <c r="I2211" i="24"/>
  <c r="G2211" i="24"/>
  <c r="X2210" i="24"/>
  <c r="U2210" i="24"/>
  <c r="Q2210" i="24"/>
  <c r="M2210" i="24"/>
  <c r="K2210" i="24"/>
  <c r="J2210" i="24"/>
  <c r="I2210" i="24"/>
  <c r="G2210" i="24"/>
  <c r="X2209" i="24"/>
  <c r="U2209" i="24"/>
  <c r="Q2209" i="24"/>
  <c r="M2209" i="24"/>
  <c r="K2209" i="24"/>
  <c r="J2209" i="24"/>
  <c r="I2209" i="24"/>
  <c r="G2209" i="24"/>
  <c r="X2208" i="24"/>
  <c r="U2208" i="24"/>
  <c r="Q2208" i="24"/>
  <c r="M2208" i="24"/>
  <c r="K2208" i="24"/>
  <c r="J2208" i="24"/>
  <c r="I2208" i="24"/>
  <c r="G2208" i="24"/>
  <c r="X2207" i="24"/>
  <c r="U2207" i="24"/>
  <c r="Q2207" i="24"/>
  <c r="M2207" i="24"/>
  <c r="K2207" i="24"/>
  <c r="J2207" i="24"/>
  <c r="I2207" i="24"/>
  <c r="G2207" i="24"/>
  <c r="X2206" i="24"/>
  <c r="U2206" i="24"/>
  <c r="Q2206" i="24"/>
  <c r="M2206" i="24"/>
  <c r="K2206" i="24"/>
  <c r="J2206" i="24"/>
  <c r="I2206" i="24"/>
  <c r="G2206" i="24"/>
  <c r="X2205" i="24"/>
  <c r="U2205" i="24"/>
  <c r="Q2205" i="24"/>
  <c r="M2205" i="24"/>
  <c r="K2205" i="24"/>
  <c r="J2205" i="24"/>
  <c r="I2205" i="24"/>
  <c r="G2205" i="24"/>
  <c r="X2204" i="24"/>
  <c r="U2204" i="24"/>
  <c r="Q2204" i="24"/>
  <c r="M2204" i="24"/>
  <c r="K2204" i="24"/>
  <c r="J2204" i="24"/>
  <c r="I2204" i="24"/>
  <c r="G2204" i="24"/>
  <c r="X2203" i="24"/>
  <c r="U2203" i="24"/>
  <c r="Q2203" i="24"/>
  <c r="M2203" i="24"/>
  <c r="K2203" i="24"/>
  <c r="J2203" i="24"/>
  <c r="I2203" i="24"/>
  <c r="G2203" i="24"/>
  <c r="X2202" i="24"/>
  <c r="U2202" i="24"/>
  <c r="Q2202" i="24"/>
  <c r="M2202" i="24"/>
  <c r="K2202" i="24"/>
  <c r="J2202" i="24"/>
  <c r="I2202" i="24"/>
  <c r="G2202" i="24"/>
  <c r="X2201" i="24"/>
  <c r="U2201" i="24"/>
  <c r="Q2201" i="24"/>
  <c r="M2201" i="24"/>
  <c r="K2201" i="24"/>
  <c r="J2201" i="24"/>
  <c r="I2201" i="24"/>
  <c r="G2201" i="24"/>
  <c r="X2200" i="24"/>
  <c r="U2200" i="24"/>
  <c r="Q2200" i="24"/>
  <c r="M2200" i="24"/>
  <c r="K2200" i="24"/>
  <c r="J2200" i="24"/>
  <c r="I2200" i="24"/>
  <c r="G2200" i="24"/>
  <c r="X2199" i="24"/>
  <c r="U2199" i="24"/>
  <c r="Q2199" i="24"/>
  <c r="M2199" i="24"/>
  <c r="K2199" i="24"/>
  <c r="J2199" i="24"/>
  <c r="I2199" i="24"/>
  <c r="G2199" i="24"/>
  <c r="X2198" i="24"/>
  <c r="U2198" i="24"/>
  <c r="Q2198" i="24"/>
  <c r="M2198" i="24"/>
  <c r="K2198" i="24"/>
  <c r="J2198" i="24"/>
  <c r="I2198" i="24"/>
  <c r="G2198" i="24"/>
  <c r="X2197" i="24"/>
  <c r="U2197" i="24"/>
  <c r="Q2197" i="24"/>
  <c r="M2197" i="24"/>
  <c r="K2197" i="24"/>
  <c r="J2197" i="24"/>
  <c r="I2197" i="24"/>
  <c r="G2197" i="24"/>
  <c r="X2196" i="24"/>
  <c r="U2196" i="24"/>
  <c r="Q2196" i="24"/>
  <c r="M2196" i="24"/>
  <c r="K2196" i="24"/>
  <c r="J2196" i="24"/>
  <c r="I2196" i="24"/>
  <c r="G2196" i="24"/>
  <c r="X2195" i="24"/>
  <c r="U2195" i="24"/>
  <c r="Q2195" i="24"/>
  <c r="M2195" i="24"/>
  <c r="K2195" i="24"/>
  <c r="J2195" i="24"/>
  <c r="I2195" i="24"/>
  <c r="G2195" i="24"/>
  <c r="X2194" i="24"/>
  <c r="U2194" i="24"/>
  <c r="Q2194" i="24"/>
  <c r="M2194" i="24"/>
  <c r="K2194" i="24"/>
  <c r="J2194" i="24"/>
  <c r="I2194" i="24"/>
  <c r="G2194" i="24"/>
  <c r="X2193" i="24"/>
  <c r="U2193" i="24"/>
  <c r="Q2193" i="24"/>
  <c r="M2193" i="24"/>
  <c r="K2193" i="24"/>
  <c r="J2193" i="24"/>
  <c r="I2193" i="24"/>
  <c r="G2193" i="24"/>
  <c r="X2192" i="24"/>
  <c r="U2192" i="24"/>
  <c r="Q2192" i="24"/>
  <c r="M2192" i="24"/>
  <c r="K2192" i="24"/>
  <c r="J2192" i="24"/>
  <c r="I2192" i="24"/>
  <c r="G2192" i="24"/>
  <c r="X2191" i="24"/>
  <c r="U2191" i="24"/>
  <c r="Q2191" i="24"/>
  <c r="M2191" i="24"/>
  <c r="K2191" i="24"/>
  <c r="J2191" i="24"/>
  <c r="I2191" i="24"/>
  <c r="G2191" i="24"/>
  <c r="X2190" i="24"/>
  <c r="U2190" i="24"/>
  <c r="Q2190" i="24"/>
  <c r="M2190" i="24"/>
  <c r="K2190" i="24"/>
  <c r="J2190" i="24"/>
  <c r="I2190" i="24"/>
  <c r="G2190" i="24"/>
  <c r="X2189" i="24"/>
  <c r="U2189" i="24"/>
  <c r="Q2189" i="24"/>
  <c r="M2189" i="24"/>
  <c r="K2189" i="24"/>
  <c r="J2189" i="24"/>
  <c r="I2189" i="24"/>
  <c r="G2189" i="24"/>
  <c r="X2188" i="24"/>
  <c r="U2188" i="24"/>
  <c r="Q2188" i="24"/>
  <c r="M2188" i="24"/>
  <c r="K2188" i="24"/>
  <c r="J2188" i="24"/>
  <c r="I2188" i="24"/>
  <c r="G2188" i="24"/>
  <c r="X2187" i="24"/>
  <c r="U2187" i="24"/>
  <c r="Q2187" i="24"/>
  <c r="M2187" i="24"/>
  <c r="K2187" i="24"/>
  <c r="J2187" i="24"/>
  <c r="I2187" i="24"/>
  <c r="G2187" i="24"/>
  <c r="X2186" i="24"/>
  <c r="U2186" i="24"/>
  <c r="Q2186" i="24"/>
  <c r="M2186" i="24"/>
  <c r="K2186" i="24"/>
  <c r="J2186" i="24"/>
  <c r="I2186" i="24"/>
  <c r="G2186" i="24"/>
  <c r="X2185" i="24"/>
  <c r="U2185" i="24"/>
  <c r="Q2185" i="24"/>
  <c r="M2185" i="24"/>
  <c r="K2185" i="24"/>
  <c r="J2185" i="24"/>
  <c r="I2185" i="24"/>
  <c r="G2185" i="24"/>
  <c r="X2184" i="24"/>
  <c r="U2184" i="24"/>
  <c r="Q2184" i="24"/>
  <c r="M2184" i="24"/>
  <c r="K2184" i="24"/>
  <c r="J2184" i="24"/>
  <c r="I2184" i="24"/>
  <c r="G2184" i="24"/>
  <c r="X2183" i="24"/>
  <c r="U2183" i="24"/>
  <c r="Q2183" i="24"/>
  <c r="M2183" i="24"/>
  <c r="K2183" i="24"/>
  <c r="J2183" i="24"/>
  <c r="I2183" i="24"/>
  <c r="G2183" i="24"/>
  <c r="X2182" i="24"/>
  <c r="U2182" i="24"/>
  <c r="Q2182" i="24"/>
  <c r="M2182" i="24"/>
  <c r="K2182" i="24"/>
  <c r="J2182" i="24"/>
  <c r="I2182" i="24"/>
  <c r="G2182" i="24"/>
  <c r="X2181" i="24"/>
  <c r="U2181" i="24"/>
  <c r="Q2181" i="24"/>
  <c r="M2181" i="24"/>
  <c r="K2181" i="24"/>
  <c r="J2181" i="24"/>
  <c r="I2181" i="24"/>
  <c r="G2181" i="24"/>
  <c r="X2180" i="24"/>
  <c r="U2180" i="24"/>
  <c r="Q2180" i="24"/>
  <c r="M2180" i="24"/>
  <c r="K2180" i="24"/>
  <c r="J2180" i="24"/>
  <c r="I2180" i="24"/>
  <c r="G2180" i="24"/>
  <c r="X2179" i="24"/>
  <c r="U2179" i="24"/>
  <c r="Q2179" i="24"/>
  <c r="M2179" i="24"/>
  <c r="K2179" i="24"/>
  <c r="J2179" i="24"/>
  <c r="I2179" i="24"/>
  <c r="G2179" i="24"/>
  <c r="X2178" i="24"/>
  <c r="U2178" i="24"/>
  <c r="Q2178" i="24"/>
  <c r="M2178" i="24"/>
  <c r="K2178" i="24"/>
  <c r="J2178" i="24"/>
  <c r="I2178" i="24"/>
  <c r="G2178" i="24"/>
  <c r="X2177" i="24"/>
  <c r="U2177" i="24"/>
  <c r="Q2177" i="24"/>
  <c r="M2177" i="24"/>
  <c r="K2177" i="24"/>
  <c r="J2177" i="24"/>
  <c r="I2177" i="24"/>
  <c r="G2177" i="24"/>
  <c r="X2176" i="24"/>
  <c r="U2176" i="24"/>
  <c r="Q2176" i="24"/>
  <c r="M2176" i="24"/>
  <c r="K2176" i="24"/>
  <c r="J2176" i="24"/>
  <c r="I2176" i="24"/>
  <c r="G2176" i="24"/>
  <c r="X2175" i="24"/>
  <c r="U2175" i="24"/>
  <c r="Q2175" i="24"/>
  <c r="M2175" i="24"/>
  <c r="K2175" i="24"/>
  <c r="J2175" i="24"/>
  <c r="I2175" i="24"/>
  <c r="G2175" i="24"/>
  <c r="X2174" i="24"/>
  <c r="U2174" i="24"/>
  <c r="Q2174" i="24"/>
  <c r="M2174" i="24"/>
  <c r="K2174" i="24"/>
  <c r="J2174" i="24"/>
  <c r="I2174" i="24"/>
  <c r="G2174" i="24"/>
  <c r="X2173" i="24"/>
  <c r="U2173" i="24"/>
  <c r="Q2173" i="24"/>
  <c r="M2173" i="24"/>
  <c r="K2173" i="24"/>
  <c r="J2173" i="24"/>
  <c r="I2173" i="24"/>
  <c r="G2173" i="24"/>
  <c r="X2172" i="24"/>
  <c r="U2172" i="24"/>
  <c r="Q2172" i="24"/>
  <c r="M2172" i="24"/>
  <c r="K2172" i="24"/>
  <c r="J2172" i="24"/>
  <c r="I2172" i="24"/>
  <c r="G2172" i="24"/>
  <c r="X2171" i="24"/>
  <c r="U2171" i="24"/>
  <c r="Q2171" i="24"/>
  <c r="M2171" i="24"/>
  <c r="K2171" i="24"/>
  <c r="J2171" i="24"/>
  <c r="I2171" i="24"/>
  <c r="G2171" i="24"/>
  <c r="X2170" i="24"/>
  <c r="U2170" i="24"/>
  <c r="Q2170" i="24"/>
  <c r="M2170" i="24"/>
  <c r="K2170" i="24"/>
  <c r="J2170" i="24"/>
  <c r="I2170" i="24"/>
  <c r="G2170" i="24"/>
  <c r="X2169" i="24"/>
  <c r="U2169" i="24"/>
  <c r="Q2169" i="24"/>
  <c r="M2169" i="24"/>
  <c r="K2169" i="24"/>
  <c r="J2169" i="24"/>
  <c r="I2169" i="24"/>
  <c r="G2169" i="24"/>
  <c r="X2168" i="24"/>
  <c r="U2168" i="24"/>
  <c r="Q2168" i="24"/>
  <c r="M2168" i="24"/>
  <c r="K2168" i="24"/>
  <c r="J2168" i="24"/>
  <c r="I2168" i="24"/>
  <c r="G2168" i="24"/>
  <c r="X2167" i="24"/>
  <c r="U2167" i="24"/>
  <c r="Q2167" i="24"/>
  <c r="M2167" i="24"/>
  <c r="K2167" i="24"/>
  <c r="J2167" i="24"/>
  <c r="I2167" i="24"/>
  <c r="G2167" i="24"/>
  <c r="X2166" i="24"/>
  <c r="U2166" i="24"/>
  <c r="Q2166" i="24"/>
  <c r="M2166" i="24"/>
  <c r="K2166" i="24"/>
  <c r="J2166" i="24"/>
  <c r="I2166" i="24"/>
  <c r="G2166" i="24"/>
  <c r="X2165" i="24"/>
  <c r="U2165" i="24"/>
  <c r="Q2165" i="24"/>
  <c r="M2165" i="24"/>
  <c r="K2165" i="24"/>
  <c r="J2165" i="24"/>
  <c r="I2165" i="24"/>
  <c r="G2165" i="24"/>
  <c r="X2164" i="24"/>
  <c r="U2164" i="24"/>
  <c r="Q2164" i="24"/>
  <c r="M2164" i="24"/>
  <c r="K2164" i="24"/>
  <c r="J2164" i="24"/>
  <c r="I2164" i="24"/>
  <c r="G2164" i="24"/>
  <c r="X2163" i="24"/>
  <c r="U2163" i="24"/>
  <c r="Q2163" i="24"/>
  <c r="M2163" i="24"/>
  <c r="K2163" i="24"/>
  <c r="J2163" i="24"/>
  <c r="I2163" i="24"/>
  <c r="G2163" i="24"/>
  <c r="X2162" i="24"/>
  <c r="U2162" i="24"/>
  <c r="Q2162" i="24"/>
  <c r="M2162" i="24"/>
  <c r="K2162" i="24"/>
  <c r="J2162" i="24"/>
  <c r="I2162" i="24"/>
  <c r="G2162" i="24"/>
  <c r="X2161" i="24"/>
  <c r="U2161" i="24"/>
  <c r="Q2161" i="24"/>
  <c r="M2161" i="24"/>
  <c r="K2161" i="24"/>
  <c r="G1479" i="24"/>
  <c r="D3" i="11"/>
  <c r="D4" i="11"/>
  <c r="D5" i="11"/>
  <c r="D6" i="11"/>
  <c r="D7" i="11"/>
  <c r="D8" i="11"/>
  <c r="D9" i="11"/>
  <c r="D10" i="11"/>
  <c r="D11" i="11"/>
  <c r="D12" i="11"/>
  <c r="D13" i="11"/>
  <c r="D14" i="11"/>
  <c r="D15" i="11"/>
  <c r="D16" i="11"/>
  <c r="D17" i="11"/>
  <c r="D18" i="11"/>
  <c r="D19" i="11"/>
  <c r="D20" i="11"/>
  <c r="D21"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M1479" i="24"/>
  <c r="M1480" i="24"/>
  <c r="M1481" i="24"/>
  <c r="M1482" i="24"/>
  <c r="M1483" i="24"/>
  <c r="M1484" i="24"/>
  <c r="M1485" i="24"/>
  <c r="M1486" i="24"/>
  <c r="M1487" i="24"/>
  <c r="M1488" i="24"/>
  <c r="M1489" i="24"/>
  <c r="M1490" i="24"/>
  <c r="M1491" i="24"/>
  <c r="M1492" i="24"/>
  <c r="M1493" i="24"/>
  <c r="M1494" i="24"/>
  <c r="M1495" i="24"/>
  <c r="M1496" i="24"/>
  <c r="M1497" i="24"/>
  <c r="M1499" i="24"/>
  <c r="M1500" i="24"/>
  <c r="M1501" i="24"/>
  <c r="M1502" i="24"/>
  <c r="M1503" i="24"/>
  <c r="M1504" i="24"/>
  <c r="M1505" i="24"/>
  <c r="M1506" i="24"/>
  <c r="M1507" i="24"/>
  <c r="M1508" i="24"/>
  <c r="M1509" i="24"/>
  <c r="M1510" i="24"/>
  <c r="M1511" i="24"/>
  <c r="M1512" i="24"/>
  <c r="M1513" i="24"/>
  <c r="M1514" i="24"/>
  <c r="M1515" i="24"/>
  <c r="M1516" i="24"/>
  <c r="M1517" i="24"/>
  <c r="M1518" i="24"/>
  <c r="M1519" i="24"/>
  <c r="M1520" i="24"/>
  <c r="M1521" i="24"/>
  <c r="M1522" i="24"/>
  <c r="M1523" i="24"/>
  <c r="M1524" i="24"/>
  <c r="M1525" i="24"/>
  <c r="M1526" i="24"/>
  <c r="M1527" i="24"/>
  <c r="M1528" i="24"/>
  <c r="M1529" i="24"/>
  <c r="M1530" i="24"/>
  <c r="M1531" i="24"/>
  <c r="M1532" i="24"/>
  <c r="M1533" i="24"/>
  <c r="M1534" i="24"/>
  <c r="M1535" i="24"/>
  <c r="M1536" i="24"/>
  <c r="O1360" i="24"/>
  <c r="K1360" i="24"/>
  <c r="I1360" i="24"/>
  <c r="O1336" i="24"/>
  <c r="K1336" i="24"/>
  <c r="O1335" i="24"/>
  <c r="K1335" i="24"/>
  <c r="O1334" i="24"/>
  <c r="K1334" i="24"/>
  <c r="O1333" i="24"/>
  <c r="K1333" i="24"/>
  <c r="O1332" i="24"/>
  <c r="K1332" i="24"/>
  <c r="O1331" i="24"/>
  <c r="K1331" i="24"/>
  <c r="O1330" i="24"/>
  <c r="K1330" i="24"/>
  <c r="O1329" i="24"/>
  <c r="K1329" i="24"/>
  <c r="O1328" i="24"/>
  <c r="K1328" i="24"/>
  <c r="O1327" i="24"/>
  <c r="K1327" i="24"/>
  <c r="O1326" i="24"/>
  <c r="K1326" i="24"/>
  <c r="O1325" i="24"/>
  <c r="K1325" i="24"/>
  <c r="O1324" i="24"/>
  <c r="K1324" i="24"/>
  <c r="O1323" i="24"/>
  <c r="K1323" i="24"/>
  <c r="O1322" i="24"/>
  <c r="K1322" i="24"/>
  <c r="O1321" i="24"/>
  <c r="K1321" i="24"/>
  <c r="O1320" i="24"/>
  <c r="K1320" i="24"/>
  <c r="O1319" i="24"/>
  <c r="K1319" i="24"/>
  <c r="O1318" i="24"/>
  <c r="K1318" i="24"/>
  <c r="O1317" i="24"/>
  <c r="K1317" i="24"/>
  <c r="O1316" i="24"/>
  <c r="K1316" i="24"/>
  <c r="O1315" i="24"/>
  <c r="K1315" i="24"/>
  <c r="O1314" i="24"/>
  <c r="K1314" i="24"/>
  <c r="O1313" i="24"/>
  <c r="K1313" i="24"/>
  <c r="O1312" i="24"/>
  <c r="K1312" i="24"/>
  <c r="O1311" i="24"/>
  <c r="K1311" i="24"/>
  <c r="O1310" i="24"/>
  <c r="K1310" i="24"/>
  <c r="O1309" i="24"/>
  <c r="K1309" i="24"/>
  <c r="O1308" i="24"/>
  <c r="K1308" i="24"/>
  <c r="O1307" i="24"/>
  <c r="K1307" i="24"/>
  <c r="O1306" i="24"/>
  <c r="K1306" i="24"/>
  <c r="O1305" i="24"/>
  <c r="K1305" i="24"/>
  <c r="O1304" i="24"/>
  <c r="K1304" i="24"/>
  <c r="O1303" i="24"/>
  <c r="K1303" i="24"/>
  <c r="O1302" i="24"/>
  <c r="K1302" i="24"/>
  <c r="O1301" i="24"/>
  <c r="K1301" i="24"/>
  <c r="O1300" i="24"/>
  <c r="K1300" i="24"/>
  <c r="O1299" i="24"/>
  <c r="K1299" i="24"/>
  <c r="O1298" i="24"/>
  <c r="K1298" i="24"/>
  <c r="O1297" i="24"/>
  <c r="K1297" i="24"/>
  <c r="O1296" i="24"/>
  <c r="K1296" i="24"/>
  <c r="O1295" i="24"/>
  <c r="K1295" i="24"/>
  <c r="O1294" i="24"/>
  <c r="K1294" i="24"/>
  <c r="O1293" i="24"/>
  <c r="K1293" i="24"/>
  <c r="O1292" i="24"/>
  <c r="K1292" i="24"/>
  <c r="O1291" i="24"/>
  <c r="K1291" i="24"/>
  <c r="O1290" i="24"/>
  <c r="K1290" i="24"/>
  <c r="O1289" i="24"/>
  <c r="K1289" i="24"/>
  <c r="O1288" i="24"/>
  <c r="K1288" i="24"/>
  <c r="O1287" i="24"/>
  <c r="K1287" i="24"/>
  <c r="O1286" i="24"/>
  <c r="K1286" i="24"/>
  <c r="O1285" i="24"/>
  <c r="K1285" i="24"/>
  <c r="O1284" i="24"/>
  <c r="K1284" i="24"/>
  <c r="O1283" i="24"/>
  <c r="K1283" i="24"/>
  <c r="O1282" i="24"/>
  <c r="K1282" i="24"/>
  <c r="O1281" i="24"/>
  <c r="K1281" i="24"/>
  <c r="O1280" i="24"/>
  <c r="K1280" i="24"/>
  <c r="O1279" i="24"/>
  <c r="K1279" i="24"/>
  <c r="I1279" i="24"/>
  <c r="K1255" i="24"/>
  <c r="K1254" i="24"/>
  <c r="K1253" i="24"/>
  <c r="K1252" i="24"/>
  <c r="K1251" i="24"/>
  <c r="K1250" i="24"/>
  <c r="K1249" i="24"/>
  <c r="K1248" i="24"/>
  <c r="K1247" i="24"/>
  <c r="K1246" i="24"/>
  <c r="K1245" i="24"/>
  <c r="K1244" i="24"/>
  <c r="K1243" i="24"/>
  <c r="K1242" i="24"/>
  <c r="K1241" i="24"/>
  <c r="K1240" i="24"/>
  <c r="K1239" i="24"/>
  <c r="K1238" i="24"/>
  <c r="K1237" i="24"/>
  <c r="K1236" i="24"/>
  <c r="K1235" i="24"/>
  <c r="K1234" i="24"/>
  <c r="K1233" i="24"/>
  <c r="K1232" i="24"/>
  <c r="K1231" i="24"/>
  <c r="K1230" i="24"/>
  <c r="K1229" i="24"/>
  <c r="K1228" i="24"/>
  <c r="K1227" i="24"/>
  <c r="K1226" i="24"/>
  <c r="K1225" i="24"/>
  <c r="K1224" i="24"/>
  <c r="K1223" i="24"/>
  <c r="K1222" i="24"/>
  <c r="K1221" i="24"/>
  <c r="K1220" i="24"/>
  <c r="K1219" i="24"/>
  <c r="K1218" i="24"/>
  <c r="K1217" i="24"/>
  <c r="K1216" i="24"/>
  <c r="K1215" i="24"/>
  <c r="K1214" i="24"/>
  <c r="K1213" i="24"/>
  <c r="K1212" i="24"/>
  <c r="K1211" i="24"/>
  <c r="K1210" i="24"/>
  <c r="K1209" i="24"/>
  <c r="K1208" i="24"/>
  <c r="K1207" i="24"/>
  <c r="K1206" i="24"/>
  <c r="K1205" i="24"/>
  <c r="K1204" i="24"/>
  <c r="K1203" i="24"/>
  <c r="K1202" i="24"/>
  <c r="K1201" i="24"/>
  <c r="K1200" i="24"/>
  <c r="K1199" i="24"/>
  <c r="K1198" i="24"/>
  <c r="I1198" i="24"/>
  <c r="O1045" i="24"/>
  <c r="K1045" i="24"/>
  <c r="I1045" i="24"/>
  <c r="G1045" i="24"/>
  <c r="O1044" i="24"/>
  <c r="K1044" i="24"/>
  <c r="I1044" i="24"/>
  <c r="G1044" i="24"/>
  <c r="O1043" i="24"/>
  <c r="K1043" i="24"/>
  <c r="I1043" i="24"/>
  <c r="G1043" i="24"/>
  <c r="O1042" i="24"/>
  <c r="K1042" i="24"/>
  <c r="I1042" i="24"/>
  <c r="G1042" i="24"/>
  <c r="O1041" i="24"/>
  <c r="K1041" i="24"/>
  <c r="I1041" i="24"/>
  <c r="G1041" i="24"/>
  <c r="O1040" i="24"/>
  <c r="K1040" i="24"/>
  <c r="I1040" i="24"/>
  <c r="G1040" i="24"/>
  <c r="O1039" i="24"/>
  <c r="K1039" i="24"/>
  <c r="I1039" i="24"/>
  <c r="G1039" i="24"/>
  <c r="O1038" i="24"/>
  <c r="K1038" i="24"/>
  <c r="I1038" i="24"/>
  <c r="G1038" i="24"/>
  <c r="O1037" i="24"/>
  <c r="K1037" i="24"/>
  <c r="I1037" i="24"/>
  <c r="G1037" i="24"/>
  <c r="O1036" i="24"/>
  <c r="K1036" i="24"/>
  <c r="I1036" i="24"/>
  <c r="G1036" i="24"/>
  <c r="O1035" i="24"/>
  <c r="K1035" i="24"/>
  <c r="I1035" i="24"/>
  <c r="G1035" i="24"/>
  <c r="O1034" i="24"/>
  <c r="K1034" i="24"/>
  <c r="I1034" i="24"/>
  <c r="G1034" i="24"/>
  <c r="O1033" i="24"/>
  <c r="K1033" i="24"/>
  <c r="I1033" i="24"/>
  <c r="G1033" i="24"/>
  <c r="O1032" i="24"/>
  <c r="K1032" i="24"/>
  <c r="I1032" i="24"/>
  <c r="G1032" i="24"/>
  <c r="O1031" i="24"/>
  <c r="K1031" i="24"/>
  <c r="I1031" i="24"/>
  <c r="G1031" i="24"/>
  <c r="O1030" i="24"/>
  <c r="K1030" i="24"/>
  <c r="I1030" i="24"/>
  <c r="G1030" i="24"/>
  <c r="O1029" i="24"/>
  <c r="K1029" i="24"/>
  <c r="I1029" i="24"/>
  <c r="G1029" i="24"/>
  <c r="O1028" i="24"/>
  <c r="K1028" i="24"/>
  <c r="I1028" i="24"/>
  <c r="G1028" i="24"/>
  <c r="O1027" i="24"/>
  <c r="K1027" i="24"/>
  <c r="I1027" i="24"/>
  <c r="G1027" i="24"/>
  <c r="O1026" i="24"/>
  <c r="K1026" i="24"/>
  <c r="I1026" i="24"/>
  <c r="G1026" i="24"/>
  <c r="O1025" i="24"/>
  <c r="K1025" i="24"/>
  <c r="I1025" i="24"/>
  <c r="G1025" i="24"/>
  <c r="O1024" i="24"/>
  <c r="K1024" i="24"/>
  <c r="I1024" i="24"/>
  <c r="G1024" i="24"/>
  <c r="O1023" i="24"/>
  <c r="K1023" i="24"/>
  <c r="I1023" i="24"/>
  <c r="G1023" i="24"/>
  <c r="O1022" i="24"/>
  <c r="K1022" i="24"/>
  <c r="I1022" i="24"/>
  <c r="G1022" i="24"/>
  <c r="O1021" i="24"/>
  <c r="K1021" i="24"/>
  <c r="I1021" i="24"/>
  <c r="G1021" i="24"/>
  <c r="O1020" i="24"/>
  <c r="K1020" i="24"/>
  <c r="I1020" i="24"/>
  <c r="G1020" i="24"/>
  <c r="O1019" i="24"/>
  <c r="K1019" i="24"/>
  <c r="I1019" i="24"/>
  <c r="G1019" i="24"/>
  <c r="O1018" i="24"/>
  <c r="K1018" i="24"/>
  <c r="I1018" i="24"/>
  <c r="G1018" i="24"/>
  <c r="O1017" i="24"/>
  <c r="K1017" i="24"/>
  <c r="I1017" i="24"/>
  <c r="G1017" i="24"/>
  <c r="O1016" i="24"/>
  <c r="K1016" i="24"/>
  <c r="I1016" i="24"/>
  <c r="G1016" i="24"/>
  <c r="O1015" i="24"/>
  <c r="K1015" i="24"/>
  <c r="I1015" i="24"/>
  <c r="G1015" i="24"/>
  <c r="O1014" i="24"/>
  <c r="K1014" i="24"/>
  <c r="I1014" i="24"/>
  <c r="G1014" i="24"/>
  <c r="O1013" i="24"/>
  <c r="K1013" i="24"/>
  <c r="I1013" i="24"/>
  <c r="G1013" i="24"/>
  <c r="O1012" i="24"/>
  <c r="K1012" i="24"/>
  <c r="I1012" i="24"/>
  <c r="G1012" i="24"/>
  <c r="O1011" i="24"/>
  <c r="K1011" i="24"/>
  <c r="I1011" i="24"/>
  <c r="G1011" i="24"/>
  <c r="O1010" i="24"/>
  <c r="K1010" i="24"/>
  <c r="I1010" i="24"/>
  <c r="G1010" i="24"/>
  <c r="O1009" i="24"/>
  <c r="K1009" i="24"/>
  <c r="I1009" i="24"/>
  <c r="G1009" i="24"/>
  <c r="O1008" i="24"/>
  <c r="K1008" i="24"/>
  <c r="I1008" i="24"/>
  <c r="G1008" i="24"/>
  <c r="O1007" i="24"/>
  <c r="K1007" i="24"/>
  <c r="I1007" i="24"/>
  <c r="G1007" i="24"/>
  <c r="O1006" i="24"/>
  <c r="K1006" i="24"/>
  <c r="I1006" i="24"/>
  <c r="G1006" i="24"/>
  <c r="O1005" i="24"/>
  <c r="K1005" i="24"/>
  <c r="I1005" i="24"/>
  <c r="G1005" i="24"/>
  <c r="O1004" i="24"/>
  <c r="K1004" i="24"/>
  <c r="I1004" i="24"/>
  <c r="G1004" i="24"/>
  <c r="O1003" i="24"/>
  <c r="K1003" i="24"/>
  <c r="I1003" i="24"/>
  <c r="G1003" i="24"/>
  <c r="O1002" i="24"/>
  <c r="K1002" i="24"/>
  <c r="I1002" i="24"/>
  <c r="G1002" i="24"/>
  <c r="O1001" i="24"/>
  <c r="K1001" i="24"/>
  <c r="I1001" i="24"/>
  <c r="G1001" i="24"/>
  <c r="O1000" i="24"/>
  <c r="K1000" i="24"/>
  <c r="I1000" i="24"/>
  <c r="G1000" i="24"/>
  <c r="O999" i="24"/>
  <c r="K999" i="24"/>
  <c r="I999" i="24"/>
  <c r="G999" i="24"/>
  <c r="O998" i="24"/>
  <c r="K998" i="24"/>
  <c r="I998" i="24"/>
  <c r="G998" i="24"/>
  <c r="O997" i="24"/>
  <c r="K997" i="24"/>
  <c r="I997" i="24"/>
  <c r="G997" i="24"/>
  <c r="O996" i="24"/>
  <c r="K996" i="24"/>
  <c r="I996" i="24"/>
  <c r="G996" i="24"/>
  <c r="O995" i="24"/>
  <c r="K995" i="24"/>
  <c r="I995" i="24"/>
  <c r="G995" i="24"/>
  <c r="O994" i="24"/>
  <c r="K994" i="24"/>
  <c r="I994" i="24"/>
  <c r="G994" i="24"/>
  <c r="O993" i="24"/>
  <c r="K993" i="24"/>
  <c r="I993" i="24"/>
  <c r="G993" i="24"/>
  <c r="O992" i="24"/>
  <c r="K992" i="24"/>
  <c r="I992" i="24"/>
  <c r="G992" i="24"/>
  <c r="O991" i="24"/>
  <c r="K991" i="24"/>
  <c r="I991" i="24"/>
  <c r="G991" i="24"/>
  <c r="O990" i="24"/>
  <c r="K990" i="24"/>
  <c r="I990" i="24"/>
  <c r="G990" i="24"/>
  <c r="O989" i="24"/>
  <c r="K989" i="24"/>
  <c r="I989" i="24"/>
  <c r="G989" i="24"/>
  <c r="O988" i="24"/>
  <c r="K988" i="24"/>
  <c r="I988" i="24"/>
  <c r="U908" i="24"/>
  <c r="U909" i="24"/>
  <c r="U910" i="24"/>
  <c r="U911" i="24"/>
  <c r="U912" i="24"/>
  <c r="U913" i="24"/>
  <c r="U914" i="24"/>
  <c r="U915" i="24"/>
  <c r="U916" i="24"/>
  <c r="U917" i="24"/>
  <c r="U918" i="24"/>
  <c r="U919" i="24"/>
  <c r="U920" i="24"/>
  <c r="U921" i="24"/>
  <c r="U922" i="24"/>
  <c r="U923" i="24"/>
  <c r="U924" i="24"/>
  <c r="U925" i="24"/>
  <c r="U926" i="24"/>
  <c r="U927" i="24"/>
  <c r="U928" i="24"/>
  <c r="U929" i="24"/>
  <c r="U930" i="24"/>
  <c r="U931" i="24"/>
  <c r="U932" i="24"/>
  <c r="U933" i="24"/>
  <c r="U934" i="24"/>
  <c r="U935" i="24"/>
  <c r="U936" i="24"/>
  <c r="U937" i="24"/>
  <c r="U938" i="24"/>
  <c r="U939" i="24"/>
  <c r="U940" i="24"/>
  <c r="U941" i="24"/>
  <c r="U942" i="24"/>
  <c r="U943" i="24"/>
  <c r="U944" i="24"/>
  <c r="U945" i="24"/>
  <c r="U946" i="24"/>
  <c r="U947" i="24"/>
  <c r="U948" i="24"/>
  <c r="U949" i="24"/>
  <c r="U950" i="24"/>
  <c r="U951" i="24"/>
  <c r="U952" i="24"/>
  <c r="U953" i="24"/>
  <c r="U954" i="24"/>
  <c r="U955" i="24"/>
  <c r="U956" i="24"/>
  <c r="U957" i="24"/>
  <c r="U958" i="24"/>
  <c r="U959" i="24"/>
  <c r="U960" i="24"/>
  <c r="U961" i="24"/>
  <c r="U962" i="24"/>
  <c r="U963" i="24"/>
  <c r="U964" i="24"/>
  <c r="U907" i="24"/>
  <c r="Q964" i="24"/>
  <c r="O964" i="24"/>
  <c r="M964" i="24"/>
  <c r="K964" i="24"/>
  <c r="I964" i="24"/>
  <c r="G964" i="24"/>
  <c r="Q963" i="24"/>
  <c r="O963" i="24"/>
  <c r="M963" i="24"/>
  <c r="K963" i="24"/>
  <c r="I963" i="24"/>
  <c r="G963" i="24"/>
  <c r="Q962" i="24"/>
  <c r="O962" i="24"/>
  <c r="M962" i="24"/>
  <c r="K962" i="24"/>
  <c r="I962" i="24"/>
  <c r="G962" i="24"/>
  <c r="Q961" i="24"/>
  <c r="O961" i="24"/>
  <c r="M961" i="24"/>
  <c r="K961" i="24"/>
  <c r="I961" i="24"/>
  <c r="G961" i="24"/>
  <c r="Q960" i="24"/>
  <c r="O960" i="24"/>
  <c r="M960" i="24"/>
  <c r="K960" i="24"/>
  <c r="I960" i="24"/>
  <c r="G960" i="24"/>
  <c r="Q959" i="24"/>
  <c r="O959" i="24"/>
  <c r="M959" i="24"/>
  <c r="K959" i="24"/>
  <c r="I959" i="24"/>
  <c r="G959" i="24"/>
  <c r="Q958" i="24"/>
  <c r="O958" i="24"/>
  <c r="M958" i="24"/>
  <c r="K958" i="24"/>
  <c r="I958" i="24"/>
  <c r="G958" i="24"/>
  <c r="Q957" i="24"/>
  <c r="O957" i="24"/>
  <c r="M957" i="24"/>
  <c r="K957" i="24"/>
  <c r="I957" i="24"/>
  <c r="G957" i="24"/>
  <c r="Q956" i="24"/>
  <c r="O956" i="24"/>
  <c r="M956" i="24"/>
  <c r="K956" i="24"/>
  <c r="I956" i="24"/>
  <c r="G956" i="24"/>
  <c r="Q955" i="24"/>
  <c r="O955" i="24"/>
  <c r="M955" i="24"/>
  <c r="K955" i="24"/>
  <c r="I955" i="24"/>
  <c r="G955" i="24"/>
  <c r="Q954" i="24"/>
  <c r="O954" i="24"/>
  <c r="M954" i="24"/>
  <c r="K954" i="24"/>
  <c r="I954" i="24"/>
  <c r="G954" i="24"/>
  <c r="Q953" i="24"/>
  <c r="O953" i="24"/>
  <c r="M953" i="24"/>
  <c r="K953" i="24"/>
  <c r="I953" i="24"/>
  <c r="G953" i="24"/>
  <c r="Q952" i="24"/>
  <c r="O952" i="24"/>
  <c r="M952" i="24"/>
  <c r="K952" i="24"/>
  <c r="I952" i="24"/>
  <c r="G952" i="24"/>
  <c r="Q951" i="24"/>
  <c r="O951" i="24"/>
  <c r="M951" i="24"/>
  <c r="K951" i="24"/>
  <c r="I951" i="24"/>
  <c r="G951" i="24"/>
  <c r="Q950" i="24"/>
  <c r="O950" i="24"/>
  <c r="M950" i="24"/>
  <c r="K950" i="24"/>
  <c r="I950" i="24"/>
  <c r="G950" i="24"/>
  <c r="Q949" i="24"/>
  <c r="O949" i="24"/>
  <c r="M949" i="24"/>
  <c r="K949" i="24"/>
  <c r="I949" i="24"/>
  <c r="G949" i="24"/>
  <c r="Q948" i="24"/>
  <c r="O948" i="24"/>
  <c r="M948" i="24"/>
  <c r="K948" i="24"/>
  <c r="I948" i="24"/>
  <c r="G948" i="24"/>
  <c r="Q947" i="24"/>
  <c r="O947" i="24"/>
  <c r="M947" i="24"/>
  <c r="K947" i="24"/>
  <c r="I947" i="24"/>
  <c r="G947" i="24"/>
  <c r="Q946" i="24"/>
  <c r="O946" i="24"/>
  <c r="M946" i="24"/>
  <c r="K946" i="24"/>
  <c r="I946" i="24"/>
  <c r="G946" i="24"/>
  <c r="Q945" i="24"/>
  <c r="O945" i="24"/>
  <c r="M945" i="24"/>
  <c r="K945" i="24"/>
  <c r="I945" i="24"/>
  <c r="G945" i="24"/>
  <c r="Q944" i="24"/>
  <c r="O944" i="24"/>
  <c r="M944" i="24"/>
  <c r="K944" i="24"/>
  <c r="I944" i="24"/>
  <c r="G944" i="24"/>
  <c r="Q943" i="24"/>
  <c r="O943" i="24"/>
  <c r="M943" i="24"/>
  <c r="K943" i="24"/>
  <c r="I943" i="24"/>
  <c r="G943" i="24"/>
  <c r="Q942" i="24"/>
  <c r="O942" i="24"/>
  <c r="M942" i="24"/>
  <c r="K942" i="24"/>
  <c r="I942" i="24"/>
  <c r="G942" i="24"/>
  <c r="Q941" i="24"/>
  <c r="O941" i="24"/>
  <c r="M941" i="24"/>
  <c r="K941" i="24"/>
  <c r="I941" i="24"/>
  <c r="G941" i="24"/>
  <c r="Q940" i="24"/>
  <c r="O940" i="24"/>
  <c r="M940" i="24"/>
  <c r="K940" i="24"/>
  <c r="I940" i="24"/>
  <c r="G940" i="24"/>
  <c r="Q939" i="24"/>
  <c r="O939" i="24"/>
  <c r="M939" i="24"/>
  <c r="K939" i="24"/>
  <c r="I939" i="24"/>
  <c r="G939" i="24"/>
  <c r="Q938" i="24"/>
  <c r="O938" i="24"/>
  <c r="M938" i="24"/>
  <c r="K938" i="24"/>
  <c r="I938" i="24"/>
  <c r="G938" i="24"/>
  <c r="Q937" i="24"/>
  <c r="O937" i="24"/>
  <c r="M937" i="24"/>
  <c r="K937" i="24"/>
  <c r="I937" i="24"/>
  <c r="G937" i="24"/>
  <c r="Q936" i="24"/>
  <c r="O936" i="24"/>
  <c r="M936" i="24"/>
  <c r="K936" i="24"/>
  <c r="I936" i="24"/>
  <c r="G936" i="24"/>
  <c r="Q935" i="24"/>
  <c r="O935" i="24"/>
  <c r="M935" i="24"/>
  <c r="K935" i="24"/>
  <c r="I935" i="24"/>
  <c r="G935" i="24"/>
  <c r="Q934" i="24"/>
  <c r="O934" i="24"/>
  <c r="M934" i="24"/>
  <c r="K934" i="24"/>
  <c r="I934" i="24"/>
  <c r="G934" i="24"/>
  <c r="Q933" i="24"/>
  <c r="O933" i="24"/>
  <c r="M933" i="24"/>
  <c r="K933" i="24"/>
  <c r="I933" i="24"/>
  <c r="G933" i="24"/>
  <c r="Q932" i="24"/>
  <c r="O932" i="24"/>
  <c r="M932" i="24"/>
  <c r="K932" i="24"/>
  <c r="I932" i="24"/>
  <c r="G932" i="24"/>
  <c r="Q931" i="24"/>
  <c r="O931" i="24"/>
  <c r="M931" i="24"/>
  <c r="K931" i="24"/>
  <c r="I931" i="24"/>
  <c r="G931" i="24"/>
  <c r="Q930" i="24"/>
  <c r="O930" i="24"/>
  <c r="M930" i="24"/>
  <c r="K930" i="24"/>
  <c r="I930" i="24"/>
  <c r="G930" i="24"/>
  <c r="Q929" i="24"/>
  <c r="O929" i="24"/>
  <c r="M929" i="24"/>
  <c r="K929" i="24"/>
  <c r="I929" i="24"/>
  <c r="G929" i="24"/>
  <c r="Q928" i="24"/>
  <c r="O928" i="24"/>
  <c r="M928" i="24"/>
  <c r="K928" i="24"/>
  <c r="I928" i="24"/>
  <c r="G928" i="24"/>
  <c r="Q927" i="24"/>
  <c r="O927" i="24"/>
  <c r="M927" i="24"/>
  <c r="K927" i="24"/>
  <c r="I927" i="24"/>
  <c r="G927" i="24"/>
  <c r="Q926" i="24"/>
  <c r="O926" i="24"/>
  <c r="M926" i="24"/>
  <c r="K926" i="24"/>
  <c r="I926" i="24"/>
  <c r="G926" i="24"/>
  <c r="Q925" i="24"/>
  <c r="O925" i="24"/>
  <c r="M925" i="24"/>
  <c r="K925" i="24"/>
  <c r="I925" i="24"/>
  <c r="G925" i="24"/>
  <c r="Q924" i="24"/>
  <c r="O924" i="24"/>
  <c r="M924" i="24"/>
  <c r="K924" i="24"/>
  <c r="I924" i="24"/>
  <c r="G924" i="24"/>
  <c r="Q923" i="24"/>
  <c r="O923" i="24"/>
  <c r="M923" i="24"/>
  <c r="K923" i="24"/>
  <c r="I923" i="24"/>
  <c r="G923" i="24"/>
  <c r="Q922" i="24"/>
  <c r="O922" i="24"/>
  <c r="M922" i="24"/>
  <c r="K922" i="24"/>
  <c r="I922" i="24"/>
  <c r="G922" i="24"/>
  <c r="Q921" i="24"/>
  <c r="O921" i="24"/>
  <c r="M921" i="24"/>
  <c r="K921" i="24"/>
  <c r="I921" i="24"/>
  <c r="G921" i="24"/>
  <c r="Q920" i="24"/>
  <c r="O920" i="24"/>
  <c r="M920" i="24"/>
  <c r="K920" i="24"/>
  <c r="I920" i="24"/>
  <c r="G920" i="24"/>
  <c r="Q919" i="24"/>
  <c r="O919" i="24"/>
  <c r="M919" i="24"/>
  <c r="K919" i="24"/>
  <c r="I919" i="24"/>
  <c r="G919" i="24"/>
  <c r="Q918" i="24"/>
  <c r="O918" i="24"/>
  <c r="M918" i="24"/>
  <c r="K918" i="24"/>
  <c r="I918" i="24"/>
  <c r="G918" i="24"/>
  <c r="Q917" i="24"/>
  <c r="O917" i="24"/>
  <c r="M917" i="24"/>
  <c r="K917" i="24"/>
  <c r="I917" i="24"/>
  <c r="G917" i="24"/>
  <c r="Q916" i="24"/>
  <c r="O916" i="24"/>
  <c r="M916" i="24"/>
  <c r="K916" i="24"/>
  <c r="I916" i="24"/>
  <c r="G916" i="24"/>
  <c r="Q915" i="24"/>
  <c r="O915" i="24"/>
  <c r="M915" i="24"/>
  <c r="K915" i="24"/>
  <c r="I915" i="24"/>
  <c r="G915" i="24"/>
  <c r="Q914" i="24"/>
  <c r="O914" i="24"/>
  <c r="M914" i="24"/>
  <c r="K914" i="24"/>
  <c r="I914" i="24"/>
  <c r="G914" i="24"/>
  <c r="Q913" i="24"/>
  <c r="O913" i="24"/>
  <c r="M913" i="24"/>
  <c r="K913" i="24"/>
  <c r="I913" i="24"/>
  <c r="G913" i="24"/>
  <c r="Q912" i="24"/>
  <c r="O912" i="24"/>
  <c r="M912" i="24"/>
  <c r="K912" i="24"/>
  <c r="I912" i="24"/>
  <c r="G912" i="24"/>
  <c r="Q911" i="24"/>
  <c r="O911" i="24"/>
  <c r="M911" i="24"/>
  <c r="K911" i="24"/>
  <c r="I911" i="24"/>
  <c r="G911" i="24"/>
  <c r="Q910" i="24"/>
  <c r="O910" i="24"/>
  <c r="M910" i="24"/>
  <c r="K910" i="24"/>
  <c r="I910" i="24"/>
  <c r="G910" i="24"/>
  <c r="Q909" i="24"/>
  <c r="O909" i="24"/>
  <c r="M909" i="24"/>
  <c r="K909" i="24"/>
  <c r="I909" i="24"/>
  <c r="G909" i="24"/>
  <c r="Q908" i="24"/>
  <c r="O908" i="24"/>
  <c r="M908" i="24"/>
  <c r="K908" i="24"/>
  <c r="I908" i="24"/>
  <c r="G908" i="24"/>
  <c r="Q907" i="24"/>
  <c r="O907" i="24"/>
  <c r="M907" i="24"/>
  <c r="K907" i="24"/>
  <c r="I907" i="24"/>
  <c r="O883" i="24"/>
  <c r="K883" i="24"/>
  <c r="I883" i="24"/>
  <c r="G883" i="24"/>
  <c r="O882" i="24"/>
  <c r="K882" i="24"/>
  <c r="I882" i="24"/>
  <c r="G882" i="24"/>
  <c r="O881" i="24"/>
  <c r="K881" i="24"/>
  <c r="I881" i="24"/>
  <c r="G881" i="24"/>
  <c r="O880" i="24"/>
  <c r="K880" i="24"/>
  <c r="I880" i="24"/>
  <c r="G880" i="24"/>
  <c r="O879" i="24"/>
  <c r="K879" i="24"/>
  <c r="I879" i="24"/>
  <c r="G879" i="24"/>
  <c r="O878" i="24"/>
  <c r="K878" i="24"/>
  <c r="I878" i="24"/>
  <c r="G878" i="24"/>
  <c r="O877" i="24"/>
  <c r="K877" i="24"/>
  <c r="I877" i="24"/>
  <c r="G877" i="24"/>
  <c r="O876" i="24"/>
  <c r="K876" i="24"/>
  <c r="I876" i="24"/>
  <c r="G876" i="24"/>
  <c r="O875" i="24"/>
  <c r="K875" i="24"/>
  <c r="I875" i="24"/>
  <c r="G875" i="24"/>
  <c r="O874" i="24"/>
  <c r="K874" i="24"/>
  <c r="I874" i="24"/>
  <c r="G874" i="24"/>
  <c r="O873" i="24"/>
  <c r="K873" i="24"/>
  <c r="I873" i="24"/>
  <c r="G873" i="24"/>
  <c r="O872" i="24"/>
  <c r="K872" i="24"/>
  <c r="I872" i="24"/>
  <c r="G872" i="24"/>
  <c r="O871" i="24"/>
  <c r="K871" i="24"/>
  <c r="I871" i="24"/>
  <c r="G871" i="24"/>
  <c r="O870" i="24"/>
  <c r="K870" i="24"/>
  <c r="I870" i="24"/>
  <c r="G870" i="24"/>
  <c r="O869" i="24"/>
  <c r="K869" i="24"/>
  <c r="I869" i="24"/>
  <c r="G869" i="24"/>
  <c r="O868" i="24"/>
  <c r="K868" i="24"/>
  <c r="I868" i="24"/>
  <c r="G868" i="24"/>
  <c r="O867" i="24"/>
  <c r="K867" i="24"/>
  <c r="I867" i="24"/>
  <c r="G867" i="24"/>
  <c r="O866" i="24"/>
  <c r="K866" i="24"/>
  <c r="I866" i="24"/>
  <c r="G866" i="24"/>
  <c r="O865" i="24"/>
  <c r="K865" i="24"/>
  <c r="I865" i="24"/>
  <c r="G865" i="24"/>
  <c r="O864" i="24"/>
  <c r="K864" i="24"/>
  <c r="I864" i="24"/>
  <c r="G864" i="24"/>
  <c r="O863" i="24"/>
  <c r="K863" i="24"/>
  <c r="I863" i="24"/>
  <c r="G863" i="24"/>
  <c r="O862" i="24"/>
  <c r="K862" i="24"/>
  <c r="I862" i="24"/>
  <c r="G862" i="24"/>
  <c r="O861" i="24"/>
  <c r="K861" i="24"/>
  <c r="I861" i="24"/>
  <c r="G861" i="24"/>
  <c r="O860" i="24"/>
  <c r="K860" i="24"/>
  <c r="I860" i="24"/>
  <c r="G860" i="24"/>
  <c r="O859" i="24"/>
  <c r="K859" i="24"/>
  <c r="I859" i="24"/>
  <c r="G859" i="24"/>
  <c r="O858" i="24"/>
  <c r="K858" i="24"/>
  <c r="I858" i="24"/>
  <c r="G858" i="24"/>
  <c r="O857" i="24"/>
  <c r="K857" i="24"/>
  <c r="I857" i="24"/>
  <c r="G857" i="24"/>
  <c r="O856" i="24"/>
  <c r="K856" i="24"/>
  <c r="I856" i="24"/>
  <c r="G856" i="24"/>
  <c r="O855" i="24"/>
  <c r="K855" i="24"/>
  <c r="I855" i="24"/>
  <c r="G855" i="24"/>
  <c r="O854" i="24"/>
  <c r="K854" i="24"/>
  <c r="I854" i="24"/>
  <c r="G854" i="24"/>
  <c r="O853" i="24"/>
  <c r="K853" i="24"/>
  <c r="I853" i="24"/>
  <c r="G853" i="24"/>
  <c r="O852" i="24"/>
  <c r="K852" i="24"/>
  <c r="I852" i="24"/>
  <c r="G852" i="24"/>
  <c r="O851" i="24"/>
  <c r="K851" i="24"/>
  <c r="I851" i="24"/>
  <c r="G851" i="24"/>
  <c r="O850" i="24"/>
  <c r="K850" i="24"/>
  <c r="I850" i="24"/>
  <c r="G850" i="24"/>
  <c r="O849" i="24"/>
  <c r="K849" i="24"/>
  <c r="I849" i="24"/>
  <c r="G849" i="24"/>
  <c r="O848" i="24"/>
  <c r="K848" i="24"/>
  <c r="I848" i="24"/>
  <c r="G848" i="24"/>
  <c r="O847" i="24"/>
  <c r="K847" i="24"/>
  <c r="I847" i="24"/>
  <c r="G847" i="24"/>
  <c r="O846" i="24"/>
  <c r="K846" i="24"/>
  <c r="I846" i="24"/>
  <c r="G846" i="24"/>
  <c r="O845" i="24"/>
  <c r="K845" i="24"/>
  <c r="I845" i="24"/>
  <c r="G845" i="24"/>
  <c r="O844" i="24"/>
  <c r="K844" i="24"/>
  <c r="I844" i="24"/>
  <c r="G844" i="24"/>
  <c r="O843" i="24"/>
  <c r="K843" i="24"/>
  <c r="I843" i="24"/>
  <c r="G843" i="24"/>
  <c r="O842" i="24"/>
  <c r="K842" i="24"/>
  <c r="I842" i="24"/>
  <c r="G842" i="24"/>
  <c r="O841" i="24"/>
  <c r="K841" i="24"/>
  <c r="I841" i="24"/>
  <c r="G841" i="24"/>
  <c r="O840" i="24"/>
  <c r="K840" i="24"/>
  <c r="I840" i="24"/>
  <c r="G840" i="24"/>
  <c r="O839" i="24"/>
  <c r="K839" i="24"/>
  <c r="I839" i="24"/>
  <c r="G839" i="24"/>
  <c r="O838" i="24"/>
  <c r="K838" i="24"/>
  <c r="I838" i="24"/>
  <c r="G838" i="24"/>
  <c r="O837" i="24"/>
  <c r="K837" i="24"/>
  <c r="I837" i="24"/>
  <c r="G837" i="24"/>
  <c r="O836" i="24"/>
  <c r="K836" i="24"/>
  <c r="I836" i="24"/>
  <c r="G836" i="24"/>
  <c r="O835" i="24"/>
  <c r="K835" i="24"/>
  <c r="I835" i="24"/>
  <c r="G835" i="24"/>
  <c r="O834" i="24"/>
  <c r="K834" i="24"/>
  <c r="I834" i="24"/>
  <c r="G834" i="24"/>
  <c r="O833" i="24"/>
  <c r="K833" i="24"/>
  <c r="I833" i="24"/>
  <c r="G833" i="24"/>
  <c r="O832" i="24"/>
  <c r="K832" i="24"/>
  <c r="I832" i="24"/>
  <c r="G832" i="24"/>
  <c r="O831" i="24"/>
  <c r="K831" i="24"/>
  <c r="I831" i="24"/>
  <c r="G831" i="24"/>
  <c r="O830" i="24"/>
  <c r="K830" i="24"/>
  <c r="I830" i="24"/>
  <c r="G830" i="24"/>
  <c r="O829" i="24"/>
  <c r="K829" i="24"/>
  <c r="I829" i="24"/>
  <c r="G829" i="24"/>
  <c r="O828" i="24"/>
  <c r="K828" i="24"/>
  <c r="I828" i="24"/>
  <c r="G828" i="24"/>
  <c r="O827" i="24"/>
  <c r="K827" i="24"/>
  <c r="I827" i="24"/>
  <c r="G827" i="24"/>
  <c r="O826" i="24"/>
  <c r="K826" i="24"/>
  <c r="I826" i="24"/>
  <c r="P679" i="24"/>
  <c r="L679" i="24"/>
  <c r="I679" i="24"/>
  <c r="G679" i="24"/>
  <c r="P678" i="24"/>
  <c r="L678" i="24"/>
  <c r="I678" i="24"/>
  <c r="G678" i="24"/>
  <c r="P677" i="24"/>
  <c r="L677" i="24"/>
  <c r="I677" i="24"/>
  <c r="G677" i="24"/>
  <c r="P676" i="24"/>
  <c r="L676" i="24"/>
  <c r="I676" i="24"/>
  <c r="G676" i="24"/>
  <c r="P675" i="24"/>
  <c r="L675" i="24"/>
  <c r="I675" i="24"/>
  <c r="G675" i="24"/>
  <c r="P674" i="24"/>
  <c r="L674" i="24"/>
  <c r="I674" i="24"/>
  <c r="G674" i="24"/>
  <c r="P673" i="24"/>
  <c r="L673" i="24"/>
  <c r="I673" i="24"/>
  <c r="G673" i="24"/>
  <c r="P672" i="24"/>
  <c r="L672" i="24"/>
  <c r="I672" i="24"/>
  <c r="G672" i="24"/>
  <c r="P671" i="24"/>
  <c r="L671" i="24"/>
  <c r="I671" i="24"/>
  <c r="G671" i="24"/>
  <c r="P670" i="24"/>
  <c r="L670" i="24"/>
  <c r="I670" i="24"/>
  <c r="G670" i="24"/>
  <c r="P669" i="24"/>
  <c r="L669" i="24"/>
  <c r="I669" i="24"/>
  <c r="G669" i="24"/>
  <c r="P668" i="24"/>
  <c r="L668" i="24"/>
  <c r="I668" i="24"/>
  <c r="G668" i="24"/>
  <c r="P667" i="24"/>
  <c r="L667" i="24"/>
  <c r="I667" i="24"/>
  <c r="G667" i="24"/>
  <c r="P666" i="24"/>
  <c r="L666" i="24"/>
  <c r="I666" i="24"/>
  <c r="G666" i="24"/>
  <c r="P665" i="24"/>
  <c r="L665" i="24"/>
  <c r="I665" i="24"/>
  <c r="G665" i="24"/>
  <c r="P664" i="24"/>
  <c r="L664" i="24"/>
  <c r="I664" i="24"/>
  <c r="G664" i="24"/>
  <c r="P663" i="24"/>
  <c r="L663" i="24"/>
  <c r="I663" i="24"/>
  <c r="G663" i="24"/>
  <c r="P662" i="24"/>
  <c r="L662" i="24"/>
  <c r="I662" i="24"/>
  <c r="G662" i="24"/>
  <c r="P661" i="24"/>
  <c r="L661" i="24"/>
  <c r="I661" i="24"/>
  <c r="G661" i="24"/>
  <c r="P660" i="24"/>
  <c r="L660" i="24"/>
  <c r="I660" i="24"/>
  <c r="G660" i="24"/>
  <c r="P659" i="24"/>
  <c r="L659" i="24"/>
  <c r="I659" i="24"/>
  <c r="G659" i="24"/>
  <c r="P658" i="24"/>
  <c r="L658" i="24"/>
  <c r="I658" i="24"/>
  <c r="G658" i="24"/>
  <c r="P657" i="24"/>
  <c r="L657" i="24"/>
  <c r="I657" i="24"/>
  <c r="G657" i="24"/>
  <c r="P656" i="24"/>
  <c r="L656" i="24"/>
  <c r="I656" i="24"/>
  <c r="G656" i="24"/>
  <c r="P655" i="24"/>
  <c r="L655" i="24"/>
  <c r="I655" i="24"/>
  <c r="G655" i="24"/>
  <c r="P654" i="24"/>
  <c r="L654" i="24"/>
  <c r="I654" i="24"/>
  <c r="G654" i="24"/>
  <c r="P653" i="24"/>
  <c r="L653" i="24"/>
  <c r="I653" i="24"/>
  <c r="G653" i="24"/>
  <c r="P652" i="24"/>
  <c r="L652" i="24"/>
  <c r="I652" i="24"/>
  <c r="G652" i="24"/>
  <c r="P651" i="24"/>
  <c r="L651" i="24"/>
  <c r="I651" i="24"/>
  <c r="G651" i="24"/>
  <c r="P650" i="24"/>
  <c r="L650" i="24"/>
  <c r="I650" i="24"/>
  <c r="G650" i="24"/>
  <c r="P649" i="24"/>
  <c r="L649" i="24"/>
  <c r="I649" i="24"/>
  <c r="G649" i="24"/>
  <c r="P648" i="24"/>
  <c r="L648" i="24"/>
  <c r="I648" i="24"/>
  <c r="G648" i="24"/>
  <c r="P647" i="24"/>
  <c r="L647" i="24"/>
  <c r="I647" i="24"/>
  <c r="G647" i="24"/>
  <c r="P646" i="24"/>
  <c r="L646" i="24"/>
  <c r="I646" i="24"/>
  <c r="G646" i="24"/>
  <c r="P645" i="24"/>
  <c r="L645" i="24"/>
  <c r="I645" i="24"/>
  <c r="G645" i="24"/>
  <c r="P644" i="24"/>
  <c r="L644" i="24"/>
  <c r="I644" i="24"/>
  <c r="G644" i="24"/>
  <c r="P643" i="24"/>
  <c r="L643" i="24"/>
  <c r="I643" i="24"/>
  <c r="G643" i="24"/>
  <c r="P642" i="24"/>
  <c r="L642" i="24"/>
  <c r="I642" i="24"/>
  <c r="G642" i="24"/>
  <c r="P641" i="24"/>
  <c r="L641" i="24"/>
  <c r="I641" i="24"/>
  <c r="G641" i="24"/>
  <c r="P640" i="24"/>
  <c r="L640" i="24"/>
  <c r="I640" i="24"/>
  <c r="G640" i="24"/>
  <c r="P639" i="24"/>
  <c r="L639" i="24"/>
  <c r="I639" i="24"/>
  <c r="G639" i="24"/>
  <c r="P638" i="24"/>
  <c r="L638" i="24"/>
  <c r="I638" i="24"/>
  <c r="G638" i="24"/>
  <c r="P637" i="24"/>
  <c r="L637" i="24"/>
  <c r="I637" i="24"/>
  <c r="G637" i="24"/>
  <c r="P636" i="24"/>
  <c r="L636" i="24"/>
  <c r="I636" i="24"/>
  <c r="G636" i="24"/>
  <c r="P635" i="24"/>
  <c r="L635" i="24"/>
  <c r="I635" i="24"/>
  <c r="G635" i="24"/>
  <c r="P634" i="24"/>
  <c r="L634" i="24"/>
  <c r="I634" i="24"/>
  <c r="G634" i="24"/>
  <c r="P633" i="24"/>
  <c r="L633" i="24"/>
  <c r="I633" i="24"/>
  <c r="G633" i="24"/>
  <c r="P632" i="24"/>
  <c r="L632" i="24"/>
  <c r="I632" i="24"/>
  <c r="G632" i="24"/>
  <c r="P631" i="24"/>
  <c r="L631" i="24"/>
  <c r="I631" i="24"/>
  <c r="G631" i="24"/>
  <c r="P630" i="24"/>
  <c r="L630" i="24"/>
  <c r="I630" i="24"/>
  <c r="G630" i="24"/>
  <c r="P629" i="24"/>
  <c r="L629" i="24"/>
  <c r="I629" i="24"/>
  <c r="G629" i="24"/>
  <c r="P628" i="24"/>
  <c r="L628" i="24"/>
  <c r="I628" i="24"/>
  <c r="G628" i="24"/>
  <c r="P627" i="24"/>
  <c r="L627" i="24"/>
  <c r="I627" i="24"/>
  <c r="G627" i="24"/>
  <c r="P626" i="24"/>
  <c r="L626" i="24"/>
  <c r="I626" i="24"/>
  <c r="G626" i="24"/>
  <c r="P625" i="24"/>
  <c r="L625" i="24"/>
  <c r="I625" i="24"/>
  <c r="G625" i="24"/>
  <c r="P624" i="24"/>
  <c r="L624" i="24"/>
  <c r="I624" i="24"/>
  <c r="G624" i="24"/>
  <c r="P623" i="24"/>
  <c r="L623" i="24"/>
  <c r="I623" i="24"/>
  <c r="G623" i="24"/>
  <c r="P622" i="24"/>
  <c r="L622" i="24"/>
  <c r="I622" i="24"/>
  <c r="G622" i="24"/>
  <c r="G802" i="24"/>
  <c r="G801" i="24"/>
  <c r="G800" i="24"/>
  <c r="G799" i="24"/>
  <c r="G798" i="24"/>
  <c r="G797" i="24"/>
  <c r="G796" i="24"/>
  <c r="G795" i="24"/>
  <c r="G794" i="24"/>
  <c r="G793" i="24"/>
  <c r="G792" i="24"/>
  <c r="G791" i="24"/>
  <c r="G790" i="24"/>
  <c r="G789" i="24"/>
  <c r="G788" i="24"/>
  <c r="G787" i="24"/>
  <c r="G786" i="24"/>
  <c r="G785" i="24"/>
  <c r="G784" i="24"/>
  <c r="G783" i="24"/>
  <c r="G782" i="24"/>
  <c r="G781" i="24"/>
  <c r="G780" i="24"/>
  <c r="G779" i="24"/>
  <c r="G778" i="24"/>
  <c r="G777" i="24"/>
  <c r="G776" i="24"/>
  <c r="G775" i="24"/>
  <c r="G774" i="24"/>
  <c r="G773" i="24"/>
  <c r="G772" i="24"/>
  <c r="G771" i="24"/>
  <c r="G770" i="24"/>
  <c r="G769" i="24"/>
  <c r="G768" i="24"/>
  <c r="G767" i="24"/>
  <c r="G766" i="24"/>
  <c r="G764" i="24"/>
  <c r="G763" i="24"/>
  <c r="G762" i="24"/>
  <c r="G761" i="24"/>
  <c r="G760" i="24"/>
  <c r="G759" i="24"/>
  <c r="G758" i="24"/>
  <c r="G757" i="24"/>
  <c r="G756" i="24"/>
  <c r="G755" i="24"/>
  <c r="G754" i="24"/>
  <c r="G753" i="24"/>
  <c r="G752" i="24"/>
  <c r="G751" i="24"/>
  <c r="G750" i="24"/>
  <c r="G749" i="24"/>
  <c r="G748" i="24"/>
  <c r="G747" i="24"/>
  <c r="G746" i="24"/>
  <c r="G745" i="24"/>
  <c r="G765" i="24"/>
  <c r="U802" i="24"/>
  <c r="Q802" i="24"/>
  <c r="O802" i="24"/>
  <c r="M802" i="24"/>
  <c r="K802" i="24"/>
  <c r="I802" i="24"/>
  <c r="U801" i="24"/>
  <c r="Q801" i="24"/>
  <c r="O801" i="24"/>
  <c r="M801" i="24"/>
  <c r="K801" i="24"/>
  <c r="I801" i="24"/>
  <c r="U800" i="24"/>
  <c r="Q800" i="24"/>
  <c r="O800" i="24"/>
  <c r="M800" i="24"/>
  <c r="K800" i="24"/>
  <c r="I800" i="24"/>
  <c r="U799" i="24"/>
  <c r="Q799" i="24"/>
  <c r="O799" i="24"/>
  <c r="M799" i="24"/>
  <c r="K799" i="24"/>
  <c r="I799" i="24"/>
  <c r="U798" i="24"/>
  <c r="Q798" i="24"/>
  <c r="O798" i="24"/>
  <c r="M798" i="24"/>
  <c r="K798" i="24"/>
  <c r="I798" i="24"/>
  <c r="U797" i="24"/>
  <c r="Q797" i="24"/>
  <c r="O797" i="24"/>
  <c r="M797" i="24"/>
  <c r="K797" i="24"/>
  <c r="I797" i="24"/>
  <c r="U796" i="24"/>
  <c r="Q796" i="24"/>
  <c r="O796" i="24"/>
  <c r="M796" i="24"/>
  <c r="K796" i="24"/>
  <c r="I796" i="24"/>
  <c r="U795" i="24"/>
  <c r="Q795" i="24"/>
  <c r="O795" i="24"/>
  <c r="M795" i="24"/>
  <c r="K795" i="24"/>
  <c r="I795" i="24"/>
  <c r="U794" i="24"/>
  <c r="Q794" i="24"/>
  <c r="O794" i="24"/>
  <c r="M794" i="24"/>
  <c r="K794" i="24"/>
  <c r="I794" i="24"/>
  <c r="U793" i="24"/>
  <c r="Q793" i="24"/>
  <c r="O793" i="24"/>
  <c r="M793" i="24"/>
  <c r="K793" i="24"/>
  <c r="I793" i="24"/>
  <c r="U792" i="24"/>
  <c r="Q792" i="24"/>
  <c r="O792" i="24"/>
  <c r="M792" i="24"/>
  <c r="K792" i="24"/>
  <c r="I792" i="24"/>
  <c r="U791" i="24"/>
  <c r="Q791" i="24"/>
  <c r="O791" i="24"/>
  <c r="M791" i="24"/>
  <c r="K791" i="24"/>
  <c r="I791" i="24"/>
  <c r="U790" i="24"/>
  <c r="Q790" i="24"/>
  <c r="O790" i="24"/>
  <c r="M790" i="24"/>
  <c r="K790" i="24"/>
  <c r="I790" i="24"/>
  <c r="U789" i="24"/>
  <c r="Q789" i="24"/>
  <c r="O789" i="24"/>
  <c r="M789" i="24"/>
  <c r="K789" i="24"/>
  <c r="I789" i="24"/>
  <c r="U788" i="24"/>
  <c r="Q788" i="24"/>
  <c r="O788" i="24"/>
  <c r="M788" i="24"/>
  <c r="K788" i="24"/>
  <c r="I788" i="24"/>
  <c r="U787" i="24"/>
  <c r="Q787" i="24"/>
  <c r="O787" i="24"/>
  <c r="M787" i="24"/>
  <c r="K787" i="24"/>
  <c r="I787" i="24"/>
  <c r="U786" i="24"/>
  <c r="Q786" i="24"/>
  <c r="O786" i="24"/>
  <c r="M786" i="24"/>
  <c r="K786" i="24"/>
  <c r="I786" i="24"/>
  <c r="U785" i="24"/>
  <c r="Q785" i="24"/>
  <c r="O785" i="24"/>
  <c r="M785" i="24"/>
  <c r="K785" i="24"/>
  <c r="I785" i="24"/>
  <c r="U784" i="24"/>
  <c r="Q784" i="24"/>
  <c r="O784" i="24"/>
  <c r="M784" i="24"/>
  <c r="K784" i="24"/>
  <c r="I784" i="24"/>
  <c r="U783" i="24"/>
  <c r="Q783" i="24"/>
  <c r="O783" i="24"/>
  <c r="M783" i="24"/>
  <c r="K783" i="24"/>
  <c r="I783" i="24"/>
  <c r="U782" i="24"/>
  <c r="Q782" i="24"/>
  <c r="O782" i="24"/>
  <c r="M782" i="24"/>
  <c r="K782" i="24"/>
  <c r="I782" i="24"/>
  <c r="U781" i="24"/>
  <c r="Q781" i="24"/>
  <c r="O781" i="24"/>
  <c r="M781" i="24"/>
  <c r="K781" i="24"/>
  <c r="I781" i="24"/>
  <c r="U780" i="24"/>
  <c r="Q780" i="24"/>
  <c r="O780" i="24"/>
  <c r="M780" i="24"/>
  <c r="K780" i="24"/>
  <c r="I780" i="24"/>
  <c r="U779" i="24"/>
  <c r="Q779" i="24"/>
  <c r="O779" i="24"/>
  <c r="M779" i="24"/>
  <c r="K779" i="24"/>
  <c r="I779" i="24"/>
  <c r="U778" i="24"/>
  <c r="Q778" i="24"/>
  <c r="O778" i="24"/>
  <c r="M778" i="24"/>
  <c r="K778" i="24"/>
  <c r="I778" i="24"/>
  <c r="U777" i="24"/>
  <c r="Q777" i="24"/>
  <c r="O777" i="24"/>
  <c r="M777" i="24"/>
  <c r="K777" i="24"/>
  <c r="I777" i="24"/>
  <c r="U776" i="24"/>
  <c r="Q776" i="24"/>
  <c r="O776" i="24"/>
  <c r="M776" i="24"/>
  <c r="K776" i="24"/>
  <c r="I776" i="24"/>
  <c r="U775" i="24"/>
  <c r="Q775" i="24"/>
  <c r="O775" i="24"/>
  <c r="M775" i="24"/>
  <c r="K775" i="24"/>
  <c r="I775" i="24"/>
  <c r="U774" i="24"/>
  <c r="Q774" i="24"/>
  <c r="O774" i="24"/>
  <c r="M774" i="24"/>
  <c r="K774" i="24"/>
  <c r="I774" i="24"/>
  <c r="U773" i="24"/>
  <c r="Q773" i="24"/>
  <c r="O773" i="24"/>
  <c r="M773" i="24"/>
  <c r="K773" i="24"/>
  <c r="I773" i="24"/>
  <c r="U772" i="24"/>
  <c r="Q772" i="24"/>
  <c r="O772" i="24"/>
  <c r="M772" i="24"/>
  <c r="K772" i="24"/>
  <c r="I772" i="24"/>
  <c r="U771" i="24"/>
  <c r="Q771" i="24"/>
  <c r="O771" i="24"/>
  <c r="M771" i="24"/>
  <c r="K771" i="24"/>
  <c r="I771" i="24"/>
  <c r="U770" i="24"/>
  <c r="Q770" i="24"/>
  <c r="O770" i="24"/>
  <c r="M770" i="24"/>
  <c r="K770" i="24"/>
  <c r="I770" i="24"/>
  <c r="U769" i="24"/>
  <c r="Q769" i="24"/>
  <c r="O769" i="24"/>
  <c r="M769" i="24"/>
  <c r="K769" i="24"/>
  <c r="I769" i="24"/>
  <c r="U768" i="24"/>
  <c r="Q768" i="24"/>
  <c r="O768" i="24"/>
  <c r="M768" i="24"/>
  <c r="K768" i="24"/>
  <c r="I768" i="24"/>
  <c r="U767" i="24"/>
  <c r="Q767" i="24"/>
  <c r="O767" i="24"/>
  <c r="M767" i="24"/>
  <c r="K767" i="24"/>
  <c r="I767" i="24"/>
  <c r="U766" i="24"/>
  <c r="Q766" i="24"/>
  <c r="O766" i="24"/>
  <c r="M766" i="24"/>
  <c r="K766" i="24"/>
  <c r="I766" i="24"/>
  <c r="U765" i="24"/>
  <c r="Q765" i="24"/>
  <c r="O765" i="24"/>
  <c r="M765" i="24"/>
  <c r="K765" i="24"/>
  <c r="I765" i="24"/>
  <c r="U764" i="24"/>
  <c r="Q764" i="24"/>
  <c r="O764" i="24"/>
  <c r="M764" i="24"/>
  <c r="K764" i="24"/>
  <c r="I764" i="24"/>
  <c r="U763" i="24"/>
  <c r="Q763" i="24"/>
  <c r="O763" i="24"/>
  <c r="M763" i="24"/>
  <c r="K763" i="24"/>
  <c r="I763" i="24"/>
  <c r="U762" i="24"/>
  <c r="Q762" i="24"/>
  <c r="O762" i="24"/>
  <c r="M762" i="24"/>
  <c r="K762" i="24"/>
  <c r="I762" i="24"/>
  <c r="U761" i="24"/>
  <c r="Q761" i="24"/>
  <c r="O761" i="24"/>
  <c r="M761" i="24"/>
  <c r="K761" i="24"/>
  <c r="I761" i="24"/>
  <c r="U760" i="24"/>
  <c r="Q760" i="24"/>
  <c r="O760" i="24"/>
  <c r="M760" i="24"/>
  <c r="K760" i="24"/>
  <c r="I760" i="24"/>
  <c r="U759" i="24"/>
  <c r="Q759" i="24"/>
  <c r="O759" i="24"/>
  <c r="M759" i="24"/>
  <c r="K759" i="24"/>
  <c r="I759" i="24"/>
  <c r="U758" i="24"/>
  <c r="Q758" i="24"/>
  <c r="O758" i="24"/>
  <c r="M758" i="24"/>
  <c r="K758" i="24"/>
  <c r="I758" i="24"/>
  <c r="U757" i="24"/>
  <c r="Q757" i="24"/>
  <c r="O757" i="24"/>
  <c r="M757" i="24"/>
  <c r="K757" i="24"/>
  <c r="I757" i="24"/>
  <c r="U756" i="24"/>
  <c r="Q756" i="24"/>
  <c r="O756" i="24"/>
  <c r="M756" i="24"/>
  <c r="K756" i="24"/>
  <c r="I756" i="24"/>
  <c r="U755" i="24"/>
  <c r="Q755" i="24"/>
  <c r="O755" i="24"/>
  <c r="M755" i="24"/>
  <c r="K755" i="24"/>
  <c r="I755" i="24"/>
  <c r="U754" i="24"/>
  <c r="Q754" i="24"/>
  <c r="O754" i="24"/>
  <c r="M754" i="24"/>
  <c r="K754" i="24"/>
  <c r="I754" i="24"/>
  <c r="U753" i="24"/>
  <c r="Q753" i="24"/>
  <c r="O753" i="24"/>
  <c r="M753" i="24"/>
  <c r="K753" i="24"/>
  <c r="I753" i="24"/>
  <c r="U752" i="24"/>
  <c r="Q752" i="24"/>
  <c r="O752" i="24"/>
  <c r="M752" i="24"/>
  <c r="K752" i="24"/>
  <c r="I752" i="24"/>
  <c r="U751" i="24"/>
  <c r="Q751" i="24"/>
  <c r="O751" i="24"/>
  <c r="M751" i="24"/>
  <c r="K751" i="24"/>
  <c r="I751" i="24"/>
  <c r="U750" i="24"/>
  <c r="Q750" i="24"/>
  <c r="O750" i="24"/>
  <c r="M750" i="24"/>
  <c r="K750" i="24"/>
  <c r="I750" i="24"/>
  <c r="U749" i="24"/>
  <c r="Q749" i="24"/>
  <c r="O749" i="24"/>
  <c r="M749" i="24"/>
  <c r="K749" i="24"/>
  <c r="I749" i="24"/>
  <c r="U748" i="24"/>
  <c r="Q748" i="24"/>
  <c r="O748" i="24"/>
  <c r="M748" i="24"/>
  <c r="K748" i="24"/>
  <c r="I748" i="24"/>
  <c r="U747" i="24"/>
  <c r="Q747" i="24"/>
  <c r="O747" i="24"/>
  <c r="M747" i="24"/>
  <c r="K747" i="24"/>
  <c r="I747" i="24"/>
  <c r="U746" i="24"/>
  <c r="Q746" i="24"/>
  <c r="O746" i="24"/>
  <c r="M746" i="24"/>
  <c r="K746" i="24"/>
  <c r="I746" i="24"/>
  <c r="U745" i="24"/>
  <c r="Q745" i="24"/>
  <c r="O745" i="24"/>
  <c r="M745" i="24"/>
  <c r="K745" i="24"/>
  <c r="I745" i="24"/>
  <c r="AJ22" i="24"/>
  <c r="B1945" i="24"/>
  <c r="B1955" i="24" s="1"/>
  <c r="B1964" i="24" s="1"/>
  <c r="B1973" i="24" s="1"/>
  <c r="O3392" i="24"/>
  <c r="AB3234" i="24"/>
  <c r="Y3234" i="24"/>
  <c r="V3234" i="24"/>
  <c r="S3234" i="24"/>
  <c r="P3234" i="24"/>
  <c r="M3234" i="24"/>
  <c r="AE3233" i="24"/>
  <c r="AE3232" i="24"/>
  <c r="AE3231" i="24"/>
  <c r="AE3230" i="24"/>
  <c r="AE3229" i="24"/>
  <c r="AE3228" i="24"/>
  <c r="AE3227" i="24"/>
  <c r="AE3226" i="24"/>
  <c r="AE3225" i="24"/>
  <c r="AE3224" i="24"/>
  <c r="AE3223" i="24"/>
  <c r="AE3222" i="24"/>
  <c r="AE3221" i="24"/>
  <c r="AE3220" i="24"/>
  <c r="AE3219" i="24"/>
  <c r="AE3218" i="24"/>
  <c r="AE3217" i="24"/>
  <c r="AB3214" i="24"/>
  <c r="Y3214" i="24"/>
  <c r="V3214" i="24"/>
  <c r="S3214" i="24"/>
  <c r="P3214" i="24"/>
  <c r="M3214" i="24"/>
  <c r="AB1847" i="24"/>
  <c r="Y1847" i="24"/>
  <c r="AE3157" i="24"/>
  <c r="AE3158" i="24"/>
  <c r="AE3159" i="24"/>
  <c r="B3018" i="24"/>
  <c r="B3061" i="24" s="1"/>
  <c r="B3098" i="24" s="1"/>
  <c r="B3127" i="24" s="1"/>
  <c r="B3164" i="24" s="1"/>
  <c r="B3201" i="24" s="1"/>
  <c r="B3238" i="24" s="1"/>
  <c r="B3324" i="24" s="1"/>
  <c r="B3368" i="24" s="1"/>
  <c r="AK2990" i="24"/>
  <c r="AB3160" i="24"/>
  <c r="Y3160" i="24"/>
  <c r="V3160" i="24"/>
  <c r="S3160" i="24"/>
  <c r="P3160" i="24"/>
  <c r="M3160" i="24"/>
  <c r="AE3156" i="24"/>
  <c r="AE3155" i="24"/>
  <c r="AE3154" i="24"/>
  <c r="AE3153" i="24"/>
  <c r="AE3152" i="24"/>
  <c r="AE3151" i="24"/>
  <c r="AE3150" i="24"/>
  <c r="AE3149" i="24"/>
  <c r="AE3148" i="24"/>
  <c r="AE3147" i="24"/>
  <c r="AE3146" i="24"/>
  <c r="AE3145" i="24"/>
  <c r="AE3144" i="24"/>
  <c r="AE3143" i="24"/>
  <c r="AB3177" i="24"/>
  <c r="Y3177" i="24"/>
  <c r="V3177" i="24"/>
  <c r="S3177" i="24"/>
  <c r="P3177" i="24"/>
  <c r="M3177" i="24"/>
  <c r="AB3197" i="24"/>
  <c r="Y3197" i="24"/>
  <c r="V3197" i="24"/>
  <c r="S3197" i="24"/>
  <c r="P3197" i="24"/>
  <c r="M3197" i="24"/>
  <c r="AE3196" i="24"/>
  <c r="AE3195" i="24"/>
  <c r="AE3194" i="24"/>
  <c r="AE3193" i="24"/>
  <c r="AE3192" i="24"/>
  <c r="AE3191" i="24"/>
  <c r="AE3190" i="24"/>
  <c r="AE3189" i="24"/>
  <c r="AE3188" i="24"/>
  <c r="AE3187" i="24"/>
  <c r="AE3186" i="24"/>
  <c r="AE3185" i="24"/>
  <c r="AE3184" i="24"/>
  <c r="AE3183" i="24"/>
  <c r="AE3182" i="24"/>
  <c r="AE3181" i="24"/>
  <c r="AE3180" i="24"/>
  <c r="AB3140" i="24"/>
  <c r="Y3140" i="24"/>
  <c r="V3140" i="24"/>
  <c r="S3140" i="24"/>
  <c r="P3140" i="24"/>
  <c r="M3140" i="24"/>
  <c r="K2972" i="24"/>
  <c r="I2972" i="24"/>
  <c r="G2972" i="24"/>
  <c r="K2971" i="24"/>
  <c r="I2971" i="24"/>
  <c r="G2971" i="24"/>
  <c r="K2970" i="24"/>
  <c r="I2970" i="24"/>
  <c r="G2970" i="24"/>
  <c r="K2969" i="24"/>
  <c r="I2969" i="24"/>
  <c r="G2969" i="24"/>
  <c r="K2968" i="24"/>
  <c r="I2968" i="24"/>
  <c r="G2968" i="24"/>
  <c r="K2967" i="24"/>
  <c r="I2967" i="24"/>
  <c r="G2967" i="24"/>
  <c r="K2966" i="24"/>
  <c r="I2966" i="24"/>
  <c r="G2966" i="24"/>
  <c r="K2965" i="24"/>
  <c r="I2965" i="24"/>
  <c r="G2965" i="24"/>
  <c r="K2964" i="24"/>
  <c r="I2964" i="24"/>
  <c r="G2964" i="24"/>
  <c r="K2963" i="24"/>
  <c r="I2963" i="24"/>
  <c r="G2963" i="24"/>
  <c r="K2962" i="24"/>
  <c r="I2962" i="24"/>
  <c r="G2962" i="24"/>
  <c r="K2961" i="24"/>
  <c r="I2961" i="24"/>
  <c r="G2961" i="24"/>
  <c r="K2960" i="24"/>
  <c r="I2960" i="24"/>
  <c r="G2960" i="24"/>
  <c r="K2959" i="24"/>
  <c r="I2959" i="24"/>
  <c r="G2959" i="24"/>
  <c r="K2958" i="24"/>
  <c r="I2958" i="24"/>
  <c r="G2958" i="24"/>
  <c r="K2957" i="24"/>
  <c r="I2957" i="24"/>
  <c r="G2957" i="24"/>
  <c r="K2956" i="24"/>
  <c r="I2956" i="24"/>
  <c r="G2956" i="24"/>
  <c r="K2955" i="24"/>
  <c r="I2955" i="24"/>
  <c r="G2955" i="24"/>
  <c r="K2954" i="24"/>
  <c r="I2954" i="24"/>
  <c r="G2954" i="24"/>
  <c r="K2953" i="24"/>
  <c r="I2953" i="24"/>
  <c r="G2953" i="24"/>
  <c r="K2952" i="24"/>
  <c r="I2952" i="24"/>
  <c r="G2952" i="24"/>
  <c r="K2951" i="24"/>
  <c r="I2951" i="24"/>
  <c r="G2951" i="24"/>
  <c r="K2950" i="24"/>
  <c r="I2950" i="24"/>
  <c r="G2950" i="24"/>
  <c r="K2949" i="24"/>
  <c r="I2949" i="24"/>
  <c r="G2949" i="24"/>
  <c r="K2948" i="24"/>
  <c r="I2948" i="24"/>
  <c r="G2948" i="24"/>
  <c r="K2947" i="24"/>
  <c r="I2947" i="24"/>
  <c r="G2947" i="24"/>
  <c r="K2946" i="24"/>
  <c r="I2946" i="24"/>
  <c r="G2946" i="24"/>
  <c r="K2945" i="24"/>
  <c r="I2945" i="24"/>
  <c r="G2945" i="24"/>
  <c r="K2944" i="24"/>
  <c r="I2944" i="24"/>
  <c r="G2944" i="24"/>
  <c r="K2943" i="24"/>
  <c r="I2943" i="24"/>
  <c r="G2943" i="24"/>
  <c r="K2942" i="24"/>
  <c r="I2942" i="24"/>
  <c r="G2942" i="24"/>
  <c r="K2941" i="24"/>
  <c r="I2941" i="24"/>
  <c r="G2941" i="24"/>
  <c r="K2940" i="24"/>
  <c r="I2940" i="24"/>
  <c r="G2940" i="24"/>
  <c r="K2939" i="24"/>
  <c r="I2939" i="24"/>
  <c r="G2939" i="24"/>
  <c r="K2938" i="24"/>
  <c r="I2938" i="24"/>
  <c r="G2938" i="24"/>
  <c r="K2937" i="24"/>
  <c r="I2937" i="24"/>
  <c r="G2937" i="24"/>
  <c r="K2936" i="24"/>
  <c r="I2936" i="24"/>
  <c r="G2936" i="24"/>
  <c r="K2935" i="24"/>
  <c r="I2935" i="24"/>
  <c r="G2935" i="24"/>
  <c r="K2934" i="24"/>
  <c r="I2934" i="24"/>
  <c r="G2934" i="24"/>
  <c r="K2933" i="24"/>
  <c r="I2933" i="24"/>
  <c r="G2933" i="24"/>
  <c r="K2932" i="24"/>
  <c r="I2932" i="24"/>
  <c r="G2932" i="24"/>
  <c r="K2931" i="24"/>
  <c r="I2931" i="24"/>
  <c r="G2931" i="24"/>
  <c r="K2930" i="24"/>
  <c r="I2930" i="24"/>
  <c r="G2930" i="24"/>
  <c r="K2929" i="24"/>
  <c r="I2929" i="24"/>
  <c r="G2929" i="24"/>
  <c r="K2928" i="24"/>
  <c r="I2928" i="24"/>
  <c r="G2928" i="24"/>
  <c r="K2927" i="24"/>
  <c r="I2927" i="24"/>
  <c r="G2927" i="24"/>
  <c r="K2926" i="24"/>
  <c r="I2926" i="24"/>
  <c r="G2926" i="24"/>
  <c r="K2925" i="24"/>
  <c r="I2925" i="24"/>
  <c r="G2925" i="24"/>
  <c r="K2924" i="24"/>
  <c r="I2924" i="24"/>
  <c r="G2924" i="24"/>
  <c r="K2923" i="24"/>
  <c r="I2923" i="24"/>
  <c r="G2923" i="24"/>
  <c r="K2922" i="24"/>
  <c r="I2922" i="24"/>
  <c r="G2922" i="24"/>
  <c r="K2921" i="24"/>
  <c r="I2921" i="24"/>
  <c r="G2921" i="24"/>
  <c r="K2920" i="24"/>
  <c r="I2920" i="24"/>
  <c r="G2920" i="24"/>
  <c r="K2919" i="24"/>
  <c r="I2919" i="24"/>
  <c r="G2919" i="24"/>
  <c r="K2918" i="24"/>
  <c r="I2918" i="24"/>
  <c r="G2918" i="24"/>
  <c r="K2917" i="24"/>
  <c r="I2917" i="24"/>
  <c r="G2917" i="24"/>
  <c r="K2916" i="24"/>
  <c r="I2916" i="24"/>
  <c r="G2916" i="24"/>
  <c r="Q2915" i="24"/>
  <c r="M2915" i="24"/>
  <c r="K2915" i="24"/>
  <c r="I2915" i="24"/>
  <c r="G2915" i="24"/>
  <c r="O2986" i="24"/>
  <c r="O2904" i="24"/>
  <c r="B2794" i="24"/>
  <c r="B2801" i="24" s="1"/>
  <c r="B2808" i="24" s="1"/>
  <c r="B2827" i="24" s="1"/>
  <c r="AK2770" i="24"/>
  <c r="G2670" i="24"/>
  <c r="G2669" i="24"/>
  <c r="G2668" i="24"/>
  <c r="G2667" i="24"/>
  <c r="G2666" i="24"/>
  <c r="G2665" i="24"/>
  <c r="G2664" i="24"/>
  <c r="G2663" i="24"/>
  <c r="G2662" i="24"/>
  <c r="G2661" i="24"/>
  <c r="G2660" i="24"/>
  <c r="G2659" i="24"/>
  <c r="G2658" i="24"/>
  <c r="G2657" i="24"/>
  <c r="G2656" i="24"/>
  <c r="G2655" i="24"/>
  <c r="G2654" i="24"/>
  <c r="G2653" i="24"/>
  <c r="G2652" i="24"/>
  <c r="G2651" i="24"/>
  <c r="G2650" i="24"/>
  <c r="G2649" i="24"/>
  <c r="G2648" i="24"/>
  <c r="G2647" i="24"/>
  <c r="G2646" i="24"/>
  <c r="G2645" i="24"/>
  <c r="G2644" i="24"/>
  <c r="G2643" i="24"/>
  <c r="G2642" i="24"/>
  <c r="G2641" i="24"/>
  <c r="G2640" i="24"/>
  <c r="G2639" i="24"/>
  <c r="G2638" i="24"/>
  <c r="G2637" i="24"/>
  <c r="G2636" i="24"/>
  <c r="G2635" i="24"/>
  <c r="G2634" i="24"/>
  <c r="G2633" i="24"/>
  <c r="G2632" i="24"/>
  <c r="G2631" i="24"/>
  <c r="G2630" i="24"/>
  <c r="G2629" i="24"/>
  <c r="G2628" i="24"/>
  <c r="G2627" i="24"/>
  <c r="G2626" i="24"/>
  <c r="G2625" i="24"/>
  <c r="G2624" i="24"/>
  <c r="G2623" i="24"/>
  <c r="G2622" i="24"/>
  <c r="G2621" i="24"/>
  <c r="G2620" i="24"/>
  <c r="G2619" i="24"/>
  <c r="G2618" i="24"/>
  <c r="G2617" i="24"/>
  <c r="G2616" i="24"/>
  <c r="G2615" i="24"/>
  <c r="G2614" i="24"/>
  <c r="G2613" i="24"/>
  <c r="AK2559" i="24"/>
  <c r="AK2012" i="24"/>
  <c r="AK2236" i="24"/>
  <c r="U2752" i="24"/>
  <c r="Q2752" i="24"/>
  <c r="O2752" i="24"/>
  <c r="M2752" i="24"/>
  <c r="K2752" i="24"/>
  <c r="I2752" i="24"/>
  <c r="G2752" i="24"/>
  <c r="U2751" i="24"/>
  <c r="Q2751" i="24"/>
  <c r="O2751" i="24"/>
  <c r="M2751" i="24"/>
  <c r="K2751" i="24"/>
  <c r="I2751" i="24"/>
  <c r="G2751" i="24"/>
  <c r="U2750" i="24"/>
  <c r="Q2750" i="24"/>
  <c r="O2750" i="24"/>
  <c r="M2750" i="24"/>
  <c r="K2750" i="24"/>
  <c r="I2750" i="24"/>
  <c r="G2750" i="24"/>
  <c r="U2749" i="24"/>
  <c r="Q2749" i="24"/>
  <c r="O2749" i="24"/>
  <c r="M2749" i="24"/>
  <c r="K2749" i="24"/>
  <c r="I2749" i="24"/>
  <c r="G2749" i="24"/>
  <c r="U2748" i="24"/>
  <c r="Q2748" i="24"/>
  <c r="O2748" i="24"/>
  <c r="M2748" i="24"/>
  <c r="K2748" i="24"/>
  <c r="I2748" i="24"/>
  <c r="G2748" i="24"/>
  <c r="U2747" i="24"/>
  <c r="Q2747" i="24"/>
  <c r="O2747" i="24"/>
  <c r="M2747" i="24"/>
  <c r="K2747" i="24"/>
  <c r="I2747" i="24"/>
  <c r="G2747" i="24"/>
  <c r="U2746" i="24"/>
  <c r="Q2746" i="24"/>
  <c r="O2746" i="24"/>
  <c r="M2746" i="24"/>
  <c r="K2746" i="24"/>
  <c r="I2746" i="24"/>
  <c r="G2746" i="24"/>
  <c r="U2745" i="24"/>
  <c r="Q2745" i="24"/>
  <c r="O2745" i="24"/>
  <c r="M2745" i="24"/>
  <c r="K2745" i="24"/>
  <c r="I2745" i="24"/>
  <c r="G2745" i="24"/>
  <c r="U2744" i="24"/>
  <c r="Q2744" i="24"/>
  <c r="O2744" i="24"/>
  <c r="M2744" i="24"/>
  <c r="K2744" i="24"/>
  <c r="I2744" i="24"/>
  <c r="G2744" i="24"/>
  <c r="U2743" i="24"/>
  <c r="Q2743" i="24"/>
  <c r="O2743" i="24"/>
  <c r="M2743" i="24"/>
  <c r="K2743" i="24"/>
  <c r="I2743" i="24"/>
  <c r="G2743" i="24"/>
  <c r="U2742" i="24"/>
  <c r="Q2742" i="24"/>
  <c r="O2742" i="24"/>
  <c r="M2742" i="24"/>
  <c r="K2742" i="24"/>
  <c r="I2742" i="24"/>
  <c r="G2742" i="24"/>
  <c r="U2741" i="24"/>
  <c r="Q2741" i="24"/>
  <c r="O2741" i="24"/>
  <c r="M2741" i="24"/>
  <c r="K2741" i="24"/>
  <c r="I2741" i="24"/>
  <c r="G2741" i="24"/>
  <c r="U2740" i="24"/>
  <c r="Q2740" i="24"/>
  <c r="O2740" i="24"/>
  <c r="M2740" i="24"/>
  <c r="K2740" i="24"/>
  <c r="I2740" i="24"/>
  <c r="G2740" i="24"/>
  <c r="U2739" i="24"/>
  <c r="Q2739" i="24"/>
  <c r="O2739" i="24"/>
  <c r="M2739" i="24"/>
  <c r="K2739" i="24"/>
  <c r="I2739" i="24"/>
  <c r="G2739" i="24"/>
  <c r="U2738" i="24"/>
  <c r="Q2738" i="24"/>
  <c r="O2738" i="24"/>
  <c r="M2738" i="24"/>
  <c r="K2738" i="24"/>
  <c r="I2738" i="24"/>
  <c r="G2738" i="24"/>
  <c r="U2737" i="24"/>
  <c r="Q2737" i="24"/>
  <c r="O2737" i="24"/>
  <c r="M2737" i="24"/>
  <c r="K2737" i="24"/>
  <c r="I2737" i="24"/>
  <c r="G2737" i="24"/>
  <c r="U2736" i="24"/>
  <c r="Q2736" i="24"/>
  <c r="O2736" i="24"/>
  <c r="M2736" i="24"/>
  <c r="K2736" i="24"/>
  <c r="I2736" i="24"/>
  <c r="G2736" i="24"/>
  <c r="U2735" i="24"/>
  <c r="Q2735" i="24"/>
  <c r="O2735" i="24"/>
  <c r="M2735" i="24"/>
  <c r="K2735" i="24"/>
  <c r="I2735" i="24"/>
  <c r="G2735" i="24"/>
  <c r="U2734" i="24"/>
  <c r="Q2734" i="24"/>
  <c r="O2734" i="24"/>
  <c r="M2734" i="24"/>
  <c r="K2734" i="24"/>
  <c r="I2734" i="24"/>
  <c r="G2734" i="24"/>
  <c r="U2733" i="24"/>
  <c r="Q2733" i="24"/>
  <c r="O2733" i="24"/>
  <c r="M2733" i="24"/>
  <c r="K2733" i="24"/>
  <c r="I2733" i="24"/>
  <c r="G2733" i="24"/>
  <c r="U2732" i="24"/>
  <c r="Q2732" i="24"/>
  <c r="O2732" i="24"/>
  <c r="M2732" i="24"/>
  <c r="K2732" i="24"/>
  <c r="I2732" i="24"/>
  <c r="G2732" i="24"/>
  <c r="U2731" i="24"/>
  <c r="Q2731" i="24"/>
  <c r="O2731" i="24"/>
  <c r="M2731" i="24"/>
  <c r="K2731" i="24"/>
  <c r="I2731" i="24"/>
  <c r="G2731" i="24"/>
  <c r="U2730" i="24"/>
  <c r="Q2730" i="24"/>
  <c r="O2730" i="24"/>
  <c r="M2730" i="24"/>
  <c r="K2730" i="24"/>
  <c r="I2730" i="24"/>
  <c r="G2730" i="24"/>
  <c r="U2729" i="24"/>
  <c r="Q2729" i="24"/>
  <c r="O2729" i="24"/>
  <c r="M2729" i="24"/>
  <c r="K2729" i="24"/>
  <c r="I2729" i="24"/>
  <c r="G2729" i="24"/>
  <c r="U2728" i="24"/>
  <c r="Q2728" i="24"/>
  <c r="O2728" i="24"/>
  <c r="M2728" i="24"/>
  <c r="K2728" i="24"/>
  <c r="I2728" i="24"/>
  <c r="G2728" i="24"/>
  <c r="U2727" i="24"/>
  <c r="Q2727" i="24"/>
  <c r="O2727" i="24"/>
  <c r="M2727" i="24"/>
  <c r="K2727" i="24"/>
  <c r="I2727" i="24"/>
  <c r="G2727" i="24"/>
  <c r="U2726" i="24"/>
  <c r="Q2726" i="24"/>
  <c r="O2726" i="24"/>
  <c r="M2726" i="24"/>
  <c r="K2726" i="24"/>
  <c r="I2726" i="24"/>
  <c r="G2726" i="24"/>
  <c r="U2725" i="24"/>
  <c r="Q2725" i="24"/>
  <c r="O2725" i="24"/>
  <c r="M2725" i="24"/>
  <c r="K2725" i="24"/>
  <c r="I2725" i="24"/>
  <c r="G2725" i="24"/>
  <c r="U2724" i="24"/>
  <c r="Q2724" i="24"/>
  <c r="O2724" i="24"/>
  <c r="M2724" i="24"/>
  <c r="K2724" i="24"/>
  <c r="I2724" i="24"/>
  <c r="G2724" i="24"/>
  <c r="U2723" i="24"/>
  <c r="Q2723" i="24"/>
  <c r="O2723" i="24"/>
  <c r="M2723" i="24"/>
  <c r="K2723" i="24"/>
  <c r="I2723" i="24"/>
  <c r="G2723" i="24"/>
  <c r="U2722" i="24"/>
  <c r="Q2722" i="24"/>
  <c r="O2722" i="24"/>
  <c r="M2722" i="24"/>
  <c r="K2722" i="24"/>
  <c r="I2722" i="24"/>
  <c r="G2722" i="24"/>
  <c r="U2721" i="24"/>
  <c r="Q2721" i="24"/>
  <c r="O2721" i="24"/>
  <c r="M2721" i="24"/>
  <c r="K2721" i="24"/>
  <c r="I2721" i="24"/>
  <c r="G2721" i="24"/>
  <c r="U2720" i="24"/>
  <c r="Q2720" i="24"/>
  <c r="O2720" i="24"/>
  <c r="M2720" i="24"/>
  <c r="K2720" i="24"/>
  <c r="I2720" i="24"/>
  <c r="G2720" i="24"/>
  <c r="U2719" i="24"/>
  <c r="Q2719" i="24"/>
  <c r="O2719" i="24"/>
  <c r="M2719" i="24"/>
  <c r="K2719" i="24"/>
  <c r="I2719" i="24"/>
  <c r="G2719" i="24"/>
  <c r="U2718" i="24"/>
  <c r="Q2718" i="24"/>
  <c r="O2718" i="24"/>
  <c r="M2718" i="24"/>
  <c r="K2718" i="24"/>
  <c r="I2718" i="24"/>
  <c r="G2718" i="24"/>
  <c r="U2717" i="24"/>
  <c r="Q2717" i="24"/>
  <c r="O2717" i="24"/>
  <c r="M2717" i="24"/>
  <c r="K2717" i="24"/>
  <c r="I2717" i="24"/>
  <c r="G2717" i="24"/>
  <c r="U2716" i="24"/>
  <c r="Q2716" i="24"/>
  <c r="O2716" i="24"/>
  <c r="M2716" i="24"/>
  <c r="K2716" i="24"/>
  <c r="I2716" i="24"/>
  <c r="G2716" i="24"/>
  <c r="U2715" i="24"/>
  <c r="Q2715" i="24"/>
  <c r="O2715" i="24"/>
  <c r="M2715" i="24"/>
  <c r="K2715" i="24"/>
  <c r="I2715" i="24"/>
  <c r="G2715" i="24"/>
  <c r="U2714" i="24"/>
  <c r="Q2714" i="24"/>
  <c r="O2714" i="24"/>
  <c r="M2714" i="24"/>
  <c r="K2714" i="24"/>
  <c r="I2714" i="24"/>
  <c r="G2714" i="24"/>
  <c r="U2713" i="24"/>
  <c r="Q2713" i="24"/>
  <c r="O2713" i="24"/>
  <c r="M2713" i="24"/>
  <c r="K2713" i="24"/>
  <c r="I2713" i="24"/>
  <c r="G2713" i="24"/>
  <c r="U2712" i="24"/>
  <c r="Q2712" i="24"/>
  <c r="O2712" i="24"/>
  <c r="M2712" i="24"/>
  <c r="K2712" i="24"/>
  <c r="I2712" i="24"/>
  <c r="G2712" i="24"/>
  <c r="U2711" i="24"/>
  <c r="Q2711" i="24"/>
  <c r="O2711" i="24"/>
  <c r="M2711" i="24"/>
  <c r="K2711" i="24"/>
  <c r="I2711" i="24"/>
  <c r="G2711" i="24"/>
  <c r="U2710" i="24"/>
  <c r="Q2710" i="24"/>
  <c r="O2710" i="24"/>
  <c r="M2710" i="24"/>
  <c r="K2710" i="24"/>
  <c r="I2710" i="24"/>
  <c r="G2710" i="24"/>
  <c r="U2709" i="24"/>
  <c r="Q2709" i="24"/>
  <c r="O2709" i="24"/>
  <c r="M2709" i="24"/>
  <c r="K2709" i="24"/>
  <c r="I2709" i="24"/>
  <c r="G2709" i="24"/>
  <c r="U2708" i="24"/>
  <c r="Q2708" i="24"/>
  <c r="O2708" i="24"/>
  <c r="M2708" i="24"/>
  <c r="K2708" i="24"/>
  <c r="I2708" i="24"/>
  <c r="G2708" i="24"/>
  <c r="U2707" i="24"/>
  <c r="Q2707" i="24"/>
  <c r="O2707" i="24"/>
  <c r="M2707" i="24"/>
  <c r="K2707" i="24"/>
  <c r="I2707" i="24"/>
  <c r="G2707" i="24"/>
  <c r="U2706" i="24"/>
  <c r="Q2706" i="24"/>
  <c r="O2706" i="24"/>
  <c r="M2706" i="24"/>
  <c r="K2706" i="24"/>
  <c r="I2706" i="24"/>
  <c r="G2706" i="24"/>
  <c r="U2705" i="24"/>
  <c r="Q2705" i="24"/>
  <c r="O2705" i="24"/>
  <c r="M2705" i="24"/>
  <c r="K2705" i="24"/>
  <c r="I2705" i="24"/>
  <c r="G2705" i="24"/>
  <c r="U2704" i="24"/>
  <c r="Q2704" i="24"/>
  <c r="O2704" i="24"/>
  <c r="M2704" i="24"/>
  <c r="K2704" i="24"/>
  <c r="I2704" i="24"/>
  <c r="G2704" i="24"/>
  <c r="U2703" i="24"/>
  <c r="Q2703" i="24"/>
  <c r="O2703" i="24"/>
  <c r="M2703" i="24"/>
  <c r="K2703" i="24"/>
  <c r="I2703" i="24"/>
  <c r="G2703" i="24"/>
  <c r="U2702" i="24"/>
  <c r="Q2702" i="24"/>
  <c r="O2702" i="24"/>
  <c r="M2702" i="24"/>
  <c r="K2702" i="24"/>
  <c r="I2702" i="24"/>
  <c r="G2702" i="24"/>
  <c r="U2701" i="24"/>
  <c r="Q2701" i="24"/>
  <c r="O2701" i="24"/>
  <c r="M2701" i="24"/>
  <c r="K2701" i="24"/>
  <c r="I2701" i="24"/>
  <c r="G2701" i="24"/>
  <c r="U2700" i="24"/>
  <c r="Q2700" i="24"/>
  <c r="O2700" i="24"/>
  <c r="M2700" i="24"/>
  <c r="K2700" i="24"/>
  <c r="I2700" i="24"/>
  <c r="G2700" i="24"/>
  <c r="U2699" i="24"/>
  <c r="Q2699" i="24"/>
  <c r="O2699" i="24"/>
  <c r="M2699" i="24"/>
  <c r="K2699" i="24"/>
  <c r="I2699" i="24"/>
  <c r="G2699" i="24"/>
  <c r="U2698" i="24"/>
  <c r="Q2698" i="24"/>
  <c r="O2698" i="24"/>
  <c r="M2698" i="24"/>
  <c r="K2698" i="24"/>
  <c r="I2698" i="24"/>
  <c r="G2698" i="24"/>
  <c r="U2697" i="24"/>
  <c r="Q2697" i="24"/>
  <c r="O2697" i="24"/>
  <c r="M2697" i="24"/>
  <c r="K2697" i="24"/>
  <c r="I2697" i="24"/>
  <c r="G2697" i="24"/>
  <c r="U2696" i="24"/>
  <c r="Q2696" i="24"/>
  <c r="O2696" i="24"/>
  <c r="M2696" i="24"/>
  <c r="K2696" i="24"/>
  <c r="I2696" i="24"/>
  <c r="G2696" i="24"/>
  <c r="U2695" i="24"/>
  <c r="Q2695" i="24"/>
  <c r="O2695" i="24"/>
  <c r="M2695" i="24"/>
  <c r="K2695" i="24"/>
  <c r="I2695" i="24"/>
  <c r="G2695" i="24"/>
  <c r="O2766" i="24"/>
  <c r="O2684" i="24"/>
  <c r="U2670" i="24"/>
  <c r="Q2670" i="24"/>
  <c r="O2670" i="24"/>
  <c r="M2670" i="24"/>
  <c r="K2670" i="24"/>
  <c r="I2670" i="24"/>
  <c r="U2669" i="24"/>
  <c r="Q2669" i="24"/>
  <c r="O2669" i="24"/>
  <c r="M2669" i="24"/>
  <c r="K2669" i="24"/>
  <c r="I2669" i="24"/>
  <c r="U2668" i="24"/>
  <c r="Q2668" i="24"/>
  <c r="O2668" i="24"/>
  <c r="M2668" i="24"/>
  <c r="K2668" i="24"/>
  <c r="I2668" i="24"/>
  <c r="U2667" i="24"/>
  <c r="Q2667" i="24"/>
  <c r="O2667" i="24"/>
  <c r="M2667" i="24"/>
  <c r="K2667" i="24"/>
  <c r="I2667" i="24"/>
  <c r="U2666" i="24"/>
  <c r="Q2666" i="24"/>
  <c r="O2666" i="24"/>
  <c r="M2666" i="24"/>
  <c r="K2666" i="24"/>
  <c r="I2666" i="24"/>
  <c r="U2665" i="24"/>
  <c r="Q2665" i="24"/>
  <c r="O2665" i="24"/>
  <c r="M2665" i="24"/>
  <c r="K2665" i="24"/>
  <c r="I2665" i="24"/>
  <c r="U2664" i="24"/>
  <c r="Q2664" i="24"/>
  <c r="O2664" i="24"/>
  <c r="M2664" i="24"/>
  <c r="K2664" i="24"/>
  <c r="I2664" i="24"/>
  <c r="U2663" i="24"/>
  <c r="Q2663" i="24"/>
  <c r="O2663" i="24"/>
  <c r="M2663" i="24"/>
  <c r="K2663" i="24"/>
  <c r="I2663" i="24"/>
  <c r="U2662" i="24"/>
  <c r="Q2662" i="24"/>
  <c r="O2662" i="24"/>
  <c r="M2662" i="24"/>
  <c r="K2662" i="24"/>
  <c r="I2662" i="24"/>
  <c r="U2661" i="24"/>
  <c r="Q2661" i="24"/>
  <c r="O2661" i="24"/>
  <c r="M2661" i="24"/>
  <c r="K2661" i="24"/>
  <c r="I2661" i="24"/>
  <c r="U2660" i="24"/>
  <c r="Q2660" i="24"/>
  <c r="O2660" i="24"/>
  <c r="M2660" i="24"/>
  <c r="K2660" i="24"/>
  <c r="I2660" i="24"/>
  <c r="U2659" i="24"/>
  <c r="Q2659" i="24"/>
  <c r="O2659" i="24"/>
  <c r="M2659" i="24"/>
  <c r="K2659" i="24"/>
  <c r="I2659" i="24"/>
  <c r="U2658" i="24"/>
  <c r="Q2658" i="24"/>
  <c r="O2658" i="24"/>
  <c r="M2658" i="24"/>
  <c r="K2658" i="24"/>
  <c r="I2658" i="24"/>
  <c r="U2657" i="24"/>
  <c r="Q2657" i="24"/>
  <c r="O2657" i="24"/>
  <c r="M2657" i="24"/>
  <c r="K2657" i="24"/>
  <c r="I2657" i="24"/>
  <c r="U2656" i="24"/>
  <c r="Q2656" i="24"/>
  <c r="O2656" i="24"/>
  <c r="M2656" i="24"/>
  <c r="K2656" i="24"/>
  <c r="I2656" i="24"/>
  <c r="U2655" i="24"/>
  <c r="Q2655" i="24"/>
  <c r="O2655" i="24"/>
  <c r="M2655" i="24"/>
  <c r="K2655" i="24"/>
  <c r="I2655" i="24"/>
  <c r="U2654" i="24"/>
  <c r="Q2654" i="24"/>
  <c r="O2654" i="24"/>
  <c r="M2654" i="24"/>
  <c r="K2654" i="24"/>
  <c r="I2654" i="24"/>
  <c r="U2653" i="24"/>
  <c r="Q2653" i="24"/>
  <c r="O2653" i="24"/>
  <c r="M2653" i="24"/>
  <c r="K2653" i="24"/>
  <c r="I2653" i="24"/>
  <c r="U2652" i="24"/>
  <c r="Q2652" i="24"/>
  <c r="O2652" i="24"/>
  <c r="M2652" i="24"/>
  <c r="K2652" i="24"/>
  <c r="I2652" i="24"/>
  <c r="U2651" i="24"/>
  <c r="Q2651" i="24"/>
  <c r="O2651" i="24"/>
  <c r="M2651" i="24"/>
  <c r="K2651" i="24"/>
  <c r="I2651" i="24"/>
  <c r="U2650" i="24"/>
  <c r="Q2650" i="24"/>
  <c r="O2650" i="24"/>
  <c r="M2650" i="24"/>
  <c r="K2650" i="24"/>
  <c r="I2650" i="24"/>
  <c r="U2649" i="24"/>
  <c r="Q2649" i="24"/>
  <c r="O2649" i="24"/>
  <c r="M2649" i="24"/>
  <c r="K2649" i="24"/>
  <c r="I2649" i="24"/>
  <c r="U2648" i="24"/>
  <c r="Q2648" i="24"/>
  <c r="O2648" i="24"/>
  <c r="M2648" i="24"/>
  <c r="K2648" i="24"/>
  <c r="I2648" i="24"/>
  <c r="U2647" i="24"/>
  <c r="Q2647" i="24"/>
  <c r="O2647" i="24"/>
  <c r="M2647" i="24"/>
  <c r="K2647" i="24"/>
  <c r="I2647" i="24"/>
  <c r="U2646" i="24"/>
  <c r="Q2646" i="24"/>
  <c r="O2646" i="24"/>
  <c r="M2646" i="24"/>
  <c r="K2646" i="24"/>
  <c r="I2646" i="24"/>
  <c r="U2645" i="24"/>
  <c r="Q2645" i="24"/>
  <c r="O2645" i="24"/>
  <c r="M2645" i="24"/>
  <c r="K2645" i="24"/>
  <c r="I2645" i="24"/>
  <c r="U2644" i="24"/>
  <c r="Q2644" i="24"/>
  <c r="O2644" i="24"/>
  <c r="M2644" i="24"/>
  <c r="K2644" i="24"/>
  <c r="I2644" i="24"/>
  <c r="U2643" i="24"/>
  <c r="Q2643" i="24"/>
  <c r="O2643" i="24"/>
  <c r="M2643" i="24"/>
  <c r="K2643" i="24"/>
  <c r="I2643" i="24"/>
  <c r="U2642" i="24"/>
  <c r="Q2642" i="24"/>
  <c r="O2642" i="24"/>
  <c r="M2642" i="24"/>
  <c r="K2642" i="24"/>
  <c r="I2642" i="24"/>
  <c r="U2641" i="24"/>
  <c r="Q2641" i="24"/>
  <c r="O2641" i="24"/>
  <c r="M2641" i="24"/>
  <c r="K2641" i="24"/>
  <c r="I2641" i="24"/>
  <c r="U2640" i="24"/>
  <c r="Q2640" i="24"/>
  <c r="O2640" i="24"/>
  <c r="M2640" i="24"/>
  <c r="K2640" i="24"/>
  <c r="I2640" i="24"/>
  <c r="U2639" i="24"/>
  <c r="Q2639" i="24"/>
  <c r="O2639" i="24"/>
  <c r="M2639" i="24"/>
  <c r="K2639" i="24"/>
  <c r="I2639" i="24"/>
  <c r="U2638" i="24"/>
  <c r="Q2638" i="24"/>
  <c r="O2638" i="24"/>
  <c r="M2638" i="24"/>
  <c r="K2638" i="24"/>
  <c r="I2638" i="24"/>
  <c r="U2637" i="24"/>
  <c r="Q2637" i="24"/>
  <c r="O2637" i="24"/>
  <c r="M2637" i="24"/>
  <c r="K2637" i="24"/>
  <c r="I2637" i="24"/>
  <c r="U2636" i="24"/>
  <c r="Q2636" i="24"/>
  <c r="O2636" i="24"/>
  <c r="M2636" i="24"/>
  <c r="K2636" i="24"/>
  <c r="I2636" i="24"/>
  <c r="U2635" i="24"/>
  <c r="Q2635" i="24"/>
  <c r="O2635" i="24"/>
  <c r="M2635" i="24"/>
  <c r="K2635" i="24"/>
  <c r="I2635" i="24"/>
  <c r="U2634" i="24"/>
  <c r="Q2634" i="24"/>
  <c r="O2634" i="24"/>
  <c r="M2634" i="24"/>
  <c r="K2634" i="24"/>
  <c r="I2634" i="24"/>
  <c r="U2633" i="24"/>
  <c r="Q2633" i="24"/>
  <c r="O2633" i="24"/>
  <c r="M2633" i="24"/>
  <c r="K2633" i="24"/>
  <c r="I2633" i="24"/>
  <c r="U2632" i="24"/>
  <c r="Q2632" i="24"/>
  <c r="O2632" i="24"/>
  <c r="M2632" i="24"/>
  <c r="K2632" i="24"/>
  <c r="I2632" i="24"/>
  <c r="U2631" i="24"/>
  <c r="Q2631" i="24"/>
  <c r="O2631" i="24"/>
  <c r="M2631" i="24"/>
  <c r="K2631" i="24"/>
  <c r="I2631" i="24"/>
  <c r="U2630" i="24"/>
  <c r="Q2630" i="24"/>
  <c r="O2630" i="24"/>
  <c r="M2630" i="24"/>
  <c r="K2630" i="24"/>
  <c r="I2630" i="24"/>
  <c r="U2629" i="24"/>
  <c r="Q2629" i="24"/>
  <c r="O2629" i="24"/>
  <c r="M2629" i="24"/>
  <c r="K2629" i="24"/>
  <c r="I2629" i="24"/>
  <c r="U2628" i="24"/>
  <c r="Q2628" i="24"/>
  <c r="O2628" i="24"/>
  <c r="M2628" i="24"/>
  <c r="K2628" i="24"/>
  <c r="I2628" i="24"/>
  <c r="U2627" i="24"/>
  <c r="Q2627" i="24"/>
  <c r="O2627" i="24"/>
  <c r="M2627" i="24"/>
  <c r="K2627" i="24"/>
  <c r="I2627" i="24"/>
  <c r="U2626" i="24"/>
  <c r="Q2626" i="24"/>
  <c r="O2626" i="24"/>
  <c r="M2626" i="24"/>
  <c r="K2626" i="24"/>
  <c r="I2626" i="24"/>
  <c r="U2625" i="24"/>
  <c r="Q2625" i="24"/>
  <c r="O2625" i="24"/>
  <c r="M2625" i="24"/>
  <c r="K2625" i="24"/>
  <c r="I2625" i="24"/>
  <c r="U2624" i="24"/>
  <c r="Q2624" i="24"/>
  <c r="O2624" i="24"/>
  <c r="M2624" i="24"/>
  <c r="K2624" i="24"/>
  <c r="I2624" i="24"/>
  <c r="U2623" i="24"/>
  <c r="Q2623" i="24"/>
  <c r="O2623" i="24"/>
  <c r="M2623" i="24"/>
  <c r="K2623" i="24"/>
  <c r="I2623" i="24"/>
  <c r="U2622" i="24"/>
  <c r="Q2622" i="24"/>
  <c r="O2622" i="24"/>
  <c r="M2622" i="24"/>
  <c r="K2622" i="24"/>
  <c r="I2622" i="24"/>
  <c r="U2621" i="24"/>
  <c r="Q2621" i="24"/>
  <c r="O2621" i="24"/>
  <c r="M2621" i="24"/>
  <c r="K2621" i="24"/>
  <c r="I2621" i="24"/>
  <c r="U2620" i="24"/>
  <c r="Q2620" i="24"/>
  <c r="O2620" i="24"/>
  <c r="M2620" i="24"/>
  <c r="K2620" i="24"/>
  <c r="I2620" i="24"/>
  <c r="U2619" i="24"/>
  <c r="Q2619" i="24"/>
  <c r="O2619" i="24"/>
  <c r="M2619" i="24"/>
  <c r="K2619" i="24"/>
  <c r="I2619" i="24"/>
  <c r="U2618" i="24"/>
  <c r="Q2618" i="24"/>
  <c r="O2618" i="24"/>
  <c r="M2618" i="24"/>
  <c r="K2618" i="24"/>
  <c r="I2618" i="24"/>
  <c r="U2617" i="24"/>
  <c r="Q2617" i="24"/>
  <c r="O2617" i="24"/>
  <c r="M2617" i="24"/>
  <c r="K2617" i="24"/>
  <c r="I2617" i="24"/>
  <c r="U2616" i="24"/>
  <c r="Q2616" i="24"/>
  <c r="O2616" i="24"/>
  <c r="M2616" i="24"/>
  <c r="K2616" i="24"/>
  <c r="I2616" i="24"/>
  <c r="U2615" i="24"/>
  <c r="Q2615" i="24"/>
  <c r="O2615" i="24"/>
  <c r="M2615" i="24"/>
  <c r="K2615" i="24"/>
  <c r="I2615" i="24"/>
  <c r="U2614" i="24"/>
  <c r="Q2614" i="24"/>
  <c r="O2614" i="24"/>
  <c r="M2614" i="24"/>
  <c r="K2614" i="24"/>
  <c r="I2614" i="24"/>
  <c r="U2613" i="24"/>
  <c r="Q2613" i="24"/>
  <c r="O2613" i="24"/>
  <c r="M2613" i="24"/>
  <c r="K2613" i="24"/>
  <c r="I2613" i="24"/>
  <c r="K2484" i="24"/>
  <c r="I2484" i="24"/>
  <c r="G2484" i="24"/>
  <c r="O2555" i="24"/>
  <c r="K2402" i="24"/>
  <c r="I2402" i="24"/>
  <c r="G2402" i="24"/>
  <c r="O2473" i="24"/>
  <c r="J2161" i="24"/>
  <c r="I2161" i="24"/>
  <c r="G2161" i="24"/>
  <c r="G256" i="24"/>
  <c r="I256" i="24"/>
  <c r="J256" i="24"/>
  <c r="O2150" i="24"/>
  <c r="J2079" i="24"/>
  <c r="I2079" i="24"/>
  <c r="G2079" i="24"/>
  <c r="O2232" i="24"/>
  <c r="B2001" i="24"/>
  <c r="O1913" i="24"/>
  <c r="B1888" i="24"/>
  <c r="AB3" i="20" a="1"/>
  <c r="AB3" i="20" s="1"/>
  <c r="AB4" i="20" a="1"/>
  <c r="AB4" i="20" s="1"/>
  <c r="AB5" i="20" a="1"/>
  <c r="AB5" i="20" s="1"/>
  <c r="AB6" i="20" a="1"/>
  <c r="AB6" i="20" s="1"/>
  <c r="AB7" i="20" a="1"/>
  <c r="AB7" i="20" s="1"/>
  <c r="AB8" i="20" a="1"/>
  <c r="AB8" i="20" s="1"/>
  <c r="AB9" i="20" a="1"/>
  <c r="AB9" i="20" s="1"/>
  <c r="AB10" i="20" a="1"/>
  <c r="AB10" i="20" s="1"/>
  <c r="AB11" i="20" a="1"/>
  <c r="AB11" i="20" s="1"/>
  <c r="AB12" i="20" a="1"/>
  <c r="AB12" i="20" s="1"/>
  <c r="AB13" i="20" a="1"/>
  <c r="AB13" i="20" s="1"/>
  <c r="AB14" i="20" a="1"/>
  <c r="AB14" i="20" s="1"/>
  <c r="AB15" i="20" a="1"/>
  <c r="AB15" i="20" s="1"/>
  <c r="AB16" i="20" a="1"/>
  <c r="AB16" i="20" s="1"/>
  <c r="AB17" i="20" a="1"/>
  <c r="AB17" i="20" s="1"/>
  <c r="AB18" i="20" a="1"/>
  <c r="AB18" i="20" s="1"/>
  <c r="AB19" i="20" a="1"/>
  <c r="AB19" i="20" s="1"/>
  <c r="AB20" i="20" a="1"/>
  <c r="AB20" i="20" s="1"/>
  <c r="AB21" i="20" a="1"/>
  <c r="AB21" i="20" s="1"/>
  <c r="AB22" i="20" a="1"/>
  <c r="AB22" i="20" s="1"/>
  <c r="AB23" i="20" a="1"/>
  <c r="AB23" i="20" s="1"/>
  <c r="AB24" i="20" a="1"/>
  <c r="AB24" i="20" s="1"/>
  <c r="AB25" i="20" a="1"/>
  <c r="AB25" i="20" s="1"/>
  <c r="AB26" i="20" a="1"/>
  <c r="AB26" i="20" s="1"/>
  <c r="AB27" i="20" a="1"/>
  <c r="AB27" i="20" s="1"/>
  <c r="AB28" i="20" a="1"/>
  <c r="AB28" i="20" s="1"/>
  <c r="AB29" i="20" a="1"/>
  <c r="AB29" i="20" s="1"/>
  <c r="AB30" i="20" a="1"/>
  <c r="AB30" i="20" s="1"/>
  <c r="AB31" i="20" a="1"/>
  <c r="AB31" i="20" s="1"/>
  <c r="AB32" i="20" a="1"/>
  <c r="AB32" i="20" s="1"/>
  <c r="AB33" i="20" a="1"/>
  <c r="AB33" i="20" s="1"/>
  <c r="AB34" i="20" a="1"/>
  <c r="AB34" i="20" s="1"/>
  <c r="AB35" i="20" a="1"/>
  <c r="AB35" i="20" s="1"/>
  <c r="AB36" i="20" a="1"/>
  <c r="AB36" i="20" s="1"/>
  <c r="AB37" i="20" a="1"/>
  <c r="AB37" i="20" s="1"/>
  <c r="AB38" i="20" a="1"/>
  <c r="AB38" i="20" s="1"/>
  <c r="AB39" i="20" a="1"/>
  <c r="AB39" i="20" s="1"/>
  <c r="AB40" i="20" a="1"/>
  <c r="AB40" i="20" s="1"/>
  <c r="AB41" i="20" a="1"/>
  <c r="AB41" i="20" s="1"/>
  <c r="AB42" i="20" a="1"/>
  <c r="AB42" i="20" s="1"/>
  <c r="AB43" i="20" a="1"/>
  <c r="AB43" i="20" s="1"/>
  <c r="AB44" i="20" a="1"/>
  <c r="AB44" i="20" s="1"/>
  <c r="AB45" i="20" a="1"/>
  <c r="AB45" i="20" s="1"/>
  <c r="AB46" i="20" a="1"/>
  <c r="AB46" i="20" s="1"/>
  <c r="AB47" i="20" a="1"/>
  <c r="AB47" i="20" s="1"/>
  <c r="AB48" i="20" a="1"/>
  <c r="AB48" i="20" s="1"/>
  <c r="AB49" i="20" a="1"/>
  <c r="AB49" i="20" s="1"/>
  <c r="AB50" i="20" a="1"/>
  <c r="AB50" i="20" s="1"/>
  <c r="AB51" i="20" a="1"/>
  <c r="AB51" i="20" s="1"/>
  <c r="AB52" i="20" a="1"/>
  <c r="AB52" i="20" s="1"/>
  <c r="AB53" i="20" a="1"/>
  <c r="AB53" i="20" s="1"/>
  <c r="AB54" i="20" a="1"/>
  <c r="AB54" i="20" s="1"/>
  <c r="AB55" i="20" a="1"/>
  <c r="AB55" i="20" s="1"/>
  <c r="AB56" i="20" a="1"/>
  <c r="AB56" i="20" s="1"/>
  <c r="AB57" i="20" a="1"/>
  <c r="AB57" i="20" s="1"/>
  <c r="AB58" i="20" a="1"/>
  <c r="AB58" i="20" s="1"/>
  <c r="AB59" i="20" a="1"/>
  <c r="AB59" i="20" s="1"/>
  <c r="AB60" i="20" a="1"/>
  <c r="AB60" i="20" s="1"/>
  <c r="AE2029" i="24" a="1"/>
  <c r="AE2023" i="24" a="1"/>
  <c r="AE1451" i="24" a="1"/>
  <c r="AE2779" i="24" a="1"/>
  <c r="AE2576" i="24" a="1"/>
  <c r="AE2025" i="24" a="1"/>
  <c r="AE2245" i="24" a="1"/>
  <c r="AE2574" i="24" a="1"/>
  <c r="AE2251" i="24" a="1"/>
  <c r="AE2572" i="24" a="1"/>
  <c r="AE2253" i="24" a="1"/>
  <c r="AE1445" i="24" a="1"/>
  <c r="AE2781" i="24" a="1"/>
  <c r="AE1447" i="24" a="1"/>
  <c r="AE2249" i="24" a="1"/>
  <c r="AE2568" i="24" a="1"/>
  <c r="AE2785" i="24" a="1"/>
  <c r="AE2247" i="24" a="1"/>
  <c r="AE2570" i="24" a="1"/>
  <c r="AE2787" i="24" a="1"/>
  <c r="AE2027" i="24" a="1"/>
  <c r="AE2021" i="24" a="1"/>
  <c r="AE1443" i="24" a="1"/>
  <c r="AE2783" i="24" a="1"/>
  <c r="AE1449" i="24" a="1"/>
  <c r="S1404" i="24" l="1"/>
  <c r="U2919" i="24"/>
  <c r="U2925" i="24"/>
  <c r="U2936" i="24"/>
  <c r="U2948" i="24"/>
  <c r="U2954" i="24"/>
  <c r="U2966" i="24"/>
  <c r="U2937" i="24"/>
  <c r="U2944" i="24"/>
  <c r="S1409" i="24"/>
  <c r="U2920" i="24"/>
  <c r="U2960" i="24"/>
  <c r="U2938" i="24"/>
  <c r="U2961" i="24"/>
  <c r="S1396" i="24"/>
  <c r="S1399" i="24"/>
  <c r="S1402" i="24"/>
  <c r="U2945" i="24"/>
  <c r="S1403" i="24"/>
  <c r="S1406" i="24"/>
  <c r="U2929" i="24"/>
  <c r="S1376" i="24"/>
  <c r="U2947" i="24"/>
  <c r="U2931" i="24"/>
  <c r="U2959" i="24"/>
  <c r="S1370" i="24"/>
  <c r="S1405" i="24"/>
  <c r="U2926" i="24"/>
  <c r="U2942" i="24"/>
  <c r="U2958" i="24"/>
  <c r="S1361" i="24"/>
  <c r="S1362" i="24"/>
  <c r="S1365" i="24"/>
  <c r="S1394" i="24"/>
  <c r="S1417" i="24"/>
  <c r="U2927" i="24"/>
  <c r="U2943" i="24"/>
  <c r="S1377" i="24"/>
  <c r="S1380" i="24"/>
  <c r="S1400" i="24"/>
  <c r="U2917" i="24"/>
  <c r="U2949" i="24"/>
  <c r="S1386" i="24"/>
  <c r="S1389" i="24"/>
  <c r="S1412" i="24"/>
  <c r="U2923" i="24"/>
  <c r="U2939" i="24"/>
  <c r="S1363" i="24"/>
  <c r="S1369" i="24"/>
  <c r="S1398" i="24"/>
  <c r="S1407" i="24"/>
  <c r="S1384" i="24"/>
  <c r="S1387" i="24"/>
  <c r="S1390" i="24"/>
  <c r="S1410" i="24"/>
  <c r="U2930" i="24"/>
  <c r="U2946" i="24"/>
  <c r="U2962" i="24"/>
  <c r="U2972" i="24"/>
  <c r="I1490" i="24"/>
  <c r="I1502" i="24"/>
  <c r="I1514" i="24"/>
  <c r="I1526" i="24"/>
  <c r="I1479" i="24"/>
  <c r="I1491" i="24"/>
  <c r="I1503" i="24"/>
  <c r="I1515" i="24"/>
  <c r="I1527" i="24"/>
  <c r="I1480" i="24"/>
  <c r="I1492" i="24"/>
  <c r="I1504" i="24"/>
  <c r="I1516" i="24"/>
  <c r="I1528" i="24"/>
  <c r="I1481" i="24"/>
  <c r="I1493" i="24"/>
  <c r="I1505" i="24"/>
  <c r="I1517" i="24"/>
  <c r="I1529" i="24"/>
  <c r="I1482" i="24"/>
  <c r="I1494" i="24"/>
  <c r="I1506" i="24"/>
  <c r="I1518" i="24"/>
  <c r="I1530" i="24"/>
  <c r="I1483" i="24"/>
  <c r="I1495" i="24"/>
  <c r="I1507" i="24"/>
  <c r="I1519" i="24"/>
  <c r="I1531" i="24"/>
  <c r="I1484" i="24"/>
  <c r="I1496" i="24"/>
  <c r="I1508" i="24"/>
  <c r="I1520" i="24"/>
  <c r="I1532" i="24"/>
  <c r="I1485" i="24"/>
  <c r="I1497" i="24"/>
  <c r="I1509" i="24"/>
  <c r="I1521" i="24"/>
  <c r="I1533" i="24"/>
  <c r="I1486" i="24"/>
  <c r="I1510" i="24"/>
  <c r="I1522" i="24"/>
  <c r="I1534" i="24"/>
  <c r="I1487" i="24"/>
  <c r="I1499" i="24"/>
  <c r="I1511" i="24"/>
  <c r="I1523" i="24"/>
  <c r="I1535" i="24"/>
  <c r="I1488" i="24"/>
  <c r="I1500" i="24"/>
  <c r="I1512" i="24"/>
  <c r="I1524" i="24"/>
  <c r="I1536" i="24"/>
  <c r="I1489" i="24"/>
  <c r="I1501" i="24"/>
  <c r="I1513" i="24"/>
  <c r="I1525" i="24"/>
  <c r="S1379" i="24"/>
  <c r="U2886" i="24"/>
  <c r="U2890" i="24"/>
  <c r="S1373" i="24"/>
  <c r="S1416" i="24"/>
  <c r="S1367" i="24"/>
  <c r="S1393" i="24"/>
  <c r="S1408" i="24"/>
  <c r="S1385" i="24"/>
  <c r="U2833" i="24"/>
  <c r="U2835" i="24"/>
  <c r="U2837" i="24"/>
  <c r="U2841" i="24"/>
  <c r="U2843" i="24"/>
  <c r="U2845" i="24"/>
  <c r="U2847" i="24"/>
  <c r="U2849" i="24"/>
  <c r="U2853" i="24"/>
  <c r="U2855" i="24"/>
  <c r="U2859" i="24"/>
  <c r="U2861" i="24"/>
  <c r="U2869" i="24"/>
  <c r="U2871" i="24"/>
  <c r="U2877" i="24"/>
  <c r="U2879" i="24"/>
  <c r="U2881" i="24"/>
  <c r="U2883" i="24"/>
  <c r="U2885" i="24"/>
  <c r="U2889" i="24"/>
  <c r="U2834" i="24"/>
  <c r="U2836" i="24"/>
  <c r="U2838" i="24"/>
  <c r="U2840" i="24"/>
  <c r="U2842" i="24"/>
  <c r="U2844" i="24"/>
  <c r="U2850" i="24"/>
  <c r="U2852" i="24"/>
  <c r="U2854" i="24"/>
  <c r="U2856" i="24"/>
  <c r="U2858" i="24"/>
  <c r="U2860" i="24"/>
  <c r="U2862" i="24"/>
  <c r="U2864" i="24"/>
  <c r="U2868" i="24"/>
  <c r="U2870" i="24"/>
  <c r="U2876" i="24"/>
  <c r="U2878" i="24"/>
  <c r="U2880" i="24"/>
  <c r="U2839" i="24"/>
  <c r="U2857" i="24"/>
  <c r="U2863" i="24"/>
  <c r="U2882" i="24"/>
  <c r="U2874" i="24"/>
  <c r="U2866" i="24"/>
  <c r="U2875" i="24"/>
  <c r="U2887" i="24"/>
  <c r="U2872" i="24"/>
  <c r="U2851" i="24"/>
  <c r="U2884" i="24"/>
  <c r="U2865" i="24"/>
  <c r="U2867" i="24"/>
  <c r="U2888" i="24"/>
  <c r="U2846" i="24"/>
  <c r="U2848" i="24"/>
  <c r="U2873" i="24"/>
  <c r="S584" i="24"/>
  <c r="S590" i="24"/>
  <c r="S593" i="24"/>
  <c r="S596" i="24"/>
  <c r="S598" i="24"/>
  <c r="S589" i="24"/>
  <c r="S597" i="24"/>
  <c r="S548" i="24"/>
  <c r="S556" i="24"/>
  <c r="S562" i="24"/>
  <c r="S551" i="24"/>
  <c r="S557" i="24"/>
  <c r="S572" i="24"/>
  <c r="S573" i="24"/>
  <c r="S576" i="24"/>
  <c r="S579" i="24"/>
  <c r="S582" i="24"/>
  <c r="S585" i="24"/>
  <c r="S588" i="24"/>
  <c r="S591" i="24"/>
  <c r="S594" i="24"/>
  <c r="S564" i="24"/>
  <c r="AA312" i="24"/>
  <c r="S571" i="24"/>
  <c r="S574" i="24"/>
  <c r="S575" i="24"/>
  <c r="S549" i="24"/>
  <c r="S552" i="24"/>
  <c r="S555" i="24"/>
  <c r="S558" i="24"/>
  <c r="S567" i="24"/>
  <c r="S570" i="24"/>
  <c r="S565" i="24"/>
  <c r="S580" i="24"/>
  <c r="S583" i="24"/>
  <c r="S545" i="24"/>
  <c r="S560" i="24"/>
  <c r="S566" i="24"/>
  <c r="S569" i="24"/>
  <c r="S578" i="24"/>
  <c r="S543" i="24"/>
  <c r="S546" i="24"/>
  <c r="S587" i="24"/>
  <c r="S563" i="24"/>
  <c r="S577" i="24"/>
  <c r="S544" i="24"/>
  <c r="S586" i="24"/>
  <c r="S547" i="24"/>
  <c r="S561" i="24"/>
  <c r="S592" i="24"/>
  <c r="S550" i="24"/>
  <c r="S595" i="24"/>
  <c r="S581" i="24"/>
  <c r="S553" i="24"/>
  <c r="S559" i="24"/>
  <c r="AA376" i="24"/>
  <c r="S568" i="24"/>
  <c r="W2540" i="24"/>
  <c r="AA282" i="24"/>
  <c r="S554" i="24"/>
  <c r="W2491" i="24"/>
  <c r="W2539" i="24"/>
  <c r="AA358" i="24"/>
  <c r="AA370" i="24"/>
  <c r="AA394" i="24"/>
  <c r="AA190" i="24"/>
  <c r="AA202" i="24"/>
  <c r="AA340" i="24"/>
  <c r="AA388" i="24"/>
  <c r="W2528" i="24"/>
  <c r="S599" i="24"/>
  <c r="AA283" i="24"/>
  <c r="AA313" i="24"/>
  <c r="AA285" i="24"/>
  <c r="AA293" i="24"/>
  <c r="AA232" i="24"/>
  <c r="AA258" i="24"/>
  <c r="AA266" i="24"/>
  <c r="AA270" i="24"/>
  <c r="AA209" i="24"/>
  <c r="AA217" i="24"/>
  <c r="AA221" i="24"/>
  <c r="AA267" i="24"/>
  <c r="AA365" i="24"/>
  <c r="AA369" i="24"/>
  <c r="AA191" i="24"/>
  <c r="AA223" i="24"/>
  <c r="AA227" i="24"/>
  <c r="AA379" i="24"/>
  <c r="AA338" i="24"/>
  <c r="AA184" i="24"/>
  <c r="AA196" i="24"/>
  <c r="AA208" i="24"/>
  <c r="AA393" i="24"/>
  <c r="AA176" i="24"/>
  <c r="AA302" i="24"/>
  <c r="AA179" i="24"/>
  <c r="AA207" i="24"/>
  <c r="AA219" i="24"/>
  <c r="AA297" i="24"/>
  <c r="AA344" i="24"/>
  <c r="AA364" i="24"/>
  <c r="AA203" i="24"/>
  <c r="AA264" i="24"/>
  <c r="AA276" i="24"/>
  <c r="AA260" i="24"/>
  <c r="AA288" i="24"/>
  <c r="AA300" i="24"/>
  <c r="AA271" i="24"/>
  <c r="AA279" i="24"/>
  <c r="AA366" i="24"/>
  <c r="AA201" i="24"/>
  <c r="AA291" i="24"/>
  <c r="AA346" i="24"/>
  <c r="AA307" i="24"/>
  <c r="AA311" i="24"/>
  <c r="AA373" i="24"/>
  <c r="AA182" i="24"/>
  <c r="AA194" i="24"/>
  <c r="AA301" i="24"/>
  <c r="AA305" i="24"/>
  <c r="AA368" i="24"/>
  <c r="AA372" i="24"/>
  <c r="AA185" i="24"/>
  <c r="AA384" i="24"/>
  <c r="AA213" i="24"/>
  <c r="AA359" i="24"/>
  <c r="AA380" i="24"/>
  <c r="AA197" i="24"/>
  <c r="AA292" i="24"/>
  <c r="AA262" i="24"/>
  <c r="AA383" i="24"/>
  <c r="AA387" i="24"/>
  <c r="AA188" i="24"/>
  <c r="AA390" i="24"/>
  <c r="AA215" i="24"/>
  <c r="AA274" i="24"/>
  <c r="AA294" i="24"/>
  <c r="AA353" i="24"/>
  <c r="AA357" i="24"/>
  <c r="AA265" i="24"/>
  <c r="AA382" i="24"/>
  <c r="AA277" i="24"/>
  <c r="AA352" i="24"/>
  <c r="AA273" i="24"/>
  <c r="AA289" i="24"/>
  <c r="AA306" i="24"/>
  <c r="AA348" i="24"/>
  <c r="AA360" i="24"/>
  <c r="W2525" i="24"/>
  <c r="W2537" i="24"/>
  <c r="AA175" i="24"/>
  <c r="AA192" i="24"/>
  <c r="AA218" i="24"/>
  <c r="AA226" i="24"/>
  <c r="AA261" i="24"/>
  <c r="AA275" i="24"/>
  <c r="AA280" i="24"/>
  <c r="AA342" i="24"/>
  <c r="AA363" i="24"/>
  <c r="AA367" i="24"/>
  <c r="AA183" i="24"/>
  <c r="AA187" i="24"/>
  <c r="AA204" i="24"/>
  <c r="AA230" i="24"/>
  <c r="AA284" i="24"/>
  <c r="AA298" i="24"/>
  <c r="AA350" i="24"/>
  <c r="AA354" i="24"/>
  <c r="AA371" i="24"/>
  <c r="AA375" i="24"/>
  <c r="AA200" i="24"/>
  <c r="AA225" i="24"/>
  <c r="AA229" i="24"/>
  <c r="AA310" i="24"/>
  <c r="AA341" i="24"/>
  <c r="AA345" i="24"/>
  <c r="AA349" i="24"/>
  <c r="AA392" i="24"/>
  <c r="AA178" i="24"/>
  <c r="AA195" i="24"/>
  <c r="AA199" i="24"/>
  <c r="AA216" i="24"/>
  <c r="AA269" i="24"/>
  <c r="AA362" i="24"/>
  <c r="AA391" i="24"/>
  <c r="W2488" i="24"/>
  <c r="W2512" i="24"/>
  <c r="W2536" i="24"/>
  <c r="AA186" i="24"/>
  <c r="AA212" i="24"/>
  <c r="AA220" i="24"/>
  <c r="AA259" i="24"/>
  <c r="AA278" i="24"/>
  <c r="AA287" i="24"/>
  <c r="AA361" i="24"/>
  <c r="AA211" i="24"/>
  <c r="AA228" i="24"/>
  <c r="AA309" i="24"/>
  <c r="AA374" i="24"/>
  <c r="AA378" i="24"/>
  <c r="AA177" i="24"/>
  <c r="AA181" i="24"/>
  <c r="AA198" i="24"/>
  <c r="AA224" i="24"/>
  <c r="AA263" i="24"/>
  <c r="AA268" i="24"/>
  <c r="AA296" i="24"/>
  <c r="AA272" i="24"/>
  <c r="AA286" i="24"/>
  <c r="AA339" i="24"/>
  <c r="AA343" i="24"/>
  <c r="AA386" i="24"/>
  <c r="AA189" i="24"/>
  <c r="AA193" i="24"/>
  <c r="AA210" i="24"/>
  <c r="AA231" i="24"/>
  <c r="AA281" i="24"/>
  <c r="AA304" i="24"/>
  <c r="AA356" i="24"/>
  <c r="AA381" i="24"/>
  <c r="AA385" i="24"/>
  <c r="AA180" i="24"/>
  <c r="AA206" i="24"/>
  <c r="AA214" i="24"/>
  <c r="AA290" i="24"/>
  <c r="AA295" i="24"/>
  <c r="AA308" i="24"/>
  <c r="AA347" i="24"/>
  <c r="AA351" i="24"/>
  <c r="AA355" i="24"/>
  <c r="AA377" i="24"/>
  <c r="AA389" i="24"/>
  <c r="AA205" i="24"/>
  <c r="AA222" i="24"/>
  <c r="AA257" i="24"/>
  <c r="AA299" i="24"/>
  <c r="AA303" i="24"/>
  <c r="W2509" i="24"/>
  <c r="W2502" i="24"/>
  <c r="W2521" i="24"/>
  <c r="W2533" i="24"/>
  <c r="W2413" i="24"/>
  <c r="W2503" i="24"/>
  <c r="W2515" i="24"/>
  <c r="W2527" i="24"/>
  <c r="W2418" i="24"/>
  <c r="W2454" i="24"/>
  <c r="W2511" i="24"/>
  <c r="W2500" i="24"/>
  <c r="W2437" i="24"/>
  <c r="W2403" i="24"/>
  <c r="W2496" i="24"/>
  <c r="W2520" i="24"/>
  <c r="W2517" i="24"/>
  <c r="W2529" i="24"/>
  <c r="W2541" i="24"/>
  <c r="W2490" i="24"/>
  <c r="W2514" i="24"/>
  <c r="W2526" i="24"/>
  <c r="W2497" i="24"/>
  <c r="W2506" i="24"/>
  <c r="W2530" i="24"/>
  <c r="W2415" i="24"/>
  <c r="W2538" i="24"/>
  <c r="W2449" i="24"/>
  <c r="W2499" i="24"/>
  <c r="W2489" i="24"/>
  <c r="W2523" i="24"/>
  <c r="W2505" i="24"/>
  <c r="W2485" i="24"/>
  <c r="W2519" i="24"/>
  <c r="W2513" i="24"/>
  <c r="W2535" i="24"/>
  <c r="W2498" i="24"/>
  <c r="W2532" i="24"/>
  <c r="W2492" i="24"/>
  <c r="W2494" i="24"/>
  <c r="W2524" i="24"/>
  <c r="W2501" i="24"/>
  <c r="W2516" i="24"/>
  <c r="W2424" i="24"/>
  <c r="W2508" i="24"/>
  <c r="W2518" i="24"/>
  <c r="W2486" i="24"/>
  <c r="W2507" i="24"/>
  <c r="W2504" i="24"/>
  <c r="W2510" i="24"/>
  <c r="W2433" i="24"/>
  <c r="W2445" i="24"/>
  <c r="W2457" i="24"/>
  <c r="W2493" i="24"/>
  <c r="W2534" i="24"/>
  <c r="W2416" i="24"/>
  <c r="W2531" i="24"/>
  <c r="W2487" i="24"/>
  <c r="W2495" i="24"/>
  <c r="W2522" i="24"/>
  <c r="AA2189" i="24"/>
  <c r="AA2201" i="24"/>
  <c r="AA2205" i="24"/>
  <c r="AA2136" i="24"/>
  <c r="W2434" i="24"/>
  <c r="W2435" i="24"/>
  <c r="W2456" i="24"/>
  <c r="W2441" i="24"/>
  <c r="W2452" i="24"/>
  <c r="W2451" i="24"/>
  <c r="W2417" i="24"/>
  <c r="W2448" i="24"/>
  <c r="W2409" i="24"/>
  <c r="W2447" i="24"/>
  <c r="W2412" i="24"/>
  <c r="W2419" i="24"/>
  <c r="W2431" i="24"/>
  <c r="W2436" i="24"/>
  <c r="W2453" i="24"/>
  <c r="W2404" i="24"/>
  <c r="W2421" i="24"/>
  <c r="W2455" i="24"/>
  <c r="W2406" i="24"/>
  <c r="W2440" i="24"/>
  <c r="W2430" i="24"/>
  <c r="W2442" i="24"/>
  <c r="W2427" i="24"/>
  <c r="W2422" i="24"/>
  <c r="W2439" i="24"/>
  <c r="AA2085" i="24"/>
  <c r="AA2089" i="24"/>
  <c r="AA2097" i="24"/>
  <c r="AA2101" i="24"/>
  <c r="AA2109" i="24"/>
  <c r="W2414" i="24"/>
  <c r="W2432" i="24"/>
  <c r="W2450" i="24"/>
  <c r="W2458" i="24"/>
  <c r="W2411" i="24"/>
  <c r="W2429" i="24"/>
  <c r="W2408" i="24"/>
  <c r="W2426" i="24"/>
  <c r="W2444" i="24"/>
  <c r="W2405" i="24"/>
  <c r="W2423" i="24"/>
  <c r="W2410" i="24"/>
  <c r="W2428" i="24"/>
  <c r="W2446" i="24"/>
  <c r="W2459" i="24"/>
  <c r="W2420" i="24"/>
  <c r="W2438" i="24"/>
  <c r="AA2118" i="24"/>
  <c r="W2407" i="24"/>
  <c r="W2425" i="24"/>
  <c r="W2443" i="24"/>
  <c r="AA2113" i="24"/>
  <c r="AA2173" i="24"/>
  <c r="AA2184" i="24"/>
  <c r="AA2121" i="24"/>
  <c r="AA2162" i="24"/>
  <c r="AA2135" i="24"/>
  <c r="AA2125" i="24"/>
  <c r="AA2080" i="24"/>
  <c r="AA2112" i="24"/>
  <c r="AA2110" i="24"/>
  <c r="AA2210" i="24"/>
  <c r="AA2206" i="24"/>
  <c r="AA2084" i="24"/>
  <c r="AA2176" i="24"/>
  <c r="AA2091" i="24"/>
  <c r="AA2095" i="24"/>
  <c r="AA2115" i="24"/>
  <c r="S1200" i="24"/>
  <c r="AA2192" i="24"/>
  <c r="AA2212" i="24"/>
  <c r="AA2216" i="24"/>
  <c r="AA2083" i="24"/>
  <c r="AA2181" i="24"/>
  <c r="AA2194" i="24"/>
  <c r="AA2218" i="24"/>
  <c r="AA2106" i="24"/>
  <c r="AA2185" i="24"/>
  <c r="AA2093" i="24"/>
  <c r="AA2130" i="24"/>
  <c r="AA2217" i="24"/>
  <c r="AA2172" i="24"/>
  <c r="AA2088" i="24"/>
  <c r="AA2129" i="24"/>
  <c r="AA2196" i="24"/>
  <c r="AA2200" i="24"/>
  <c r="AA2100" i="24"/>
  <c r="AA2208" i="24"/>
  <c r="AA2117" i="24"/>
  <c r="AA2175" i="24"/>
  <c r="AA2124" i="24"/>
  <c r="AA2195" i="24"/>
  <c r="AA2199" i="24"/>
  <c r="AA2170" i="24"/>
  <c r="AA2103" i="24"/>
  <c r="AA2107" i="24"/>
  <c r="AA2090" i="24"/>
  <c r="AA2131" i="24"/>
  <c r="AA2183" i="24"/>
  <c r="AA2081" i="24"/>
  <c r="AA2094" i="24"/>
  <c r="AA2134" i="24"/>
  <c r="AA2098" i="24"/>
  <c r="AA2116" i="24"/>
  <c r="AA2187" i="24"/>
  <c r="AA2213" i="24"/>
  <c r="AA2102" i="24"/>
  <c r="AA2111" i="24"/>
  <c r="AA2120" i="24"/>
  <c r="AA2133" i="24"/>
  <c r="AA2166" i="24"/>
  <c r="AA2178" i="24"/>
  <c r="AA2182" i="24"/>
  <c r="AA2190" i="24"/>
  <c r="AA2128" i="24"/>
  <c r="AA2119" i="24"/>
  <c r="AA2132" i="24"/>
  <c r="AA2169" i="24"/>
  <c r="AA2092" i="24"/>
  <c r="AA2096" i="24"/>
  <c r="AA2105" i="24"/>
  <c r="AA2114" i="24"/>
  <c r="AA2123" i="24"/>
  <c r="AA2127" i="24"/>
  <c r="AA2164" i="24"/>
  <c r="AA2177" i="24"/>
  <c r="AA2211" i="24"/>
  <c r="AA2087" i="24"/>
  <c r="AA2193" i="24"/>
  <c r="AA2202" i="24"/>
  <c r="AA2197" i="24"/>
  <c r="AA2082" i="24"/>
  <c r="AA2104" i="24"/>
  <c r="AA2122" i="24"/>
  <c r="AA2126" i="24"/>
  <c r="AA2163" i="24"/>
  <c r="AA2167" i="24"/>
  <c r="AA2188" i="24"/>
  <c r="AA2214" i="24"/>
  <c r="AA2086" i="24"/>
  <c r="AA2099" i="24"/>
  <c r="AA2108" i="24"/>
  <c r="AA2168" i="24"/>
  <c r="AA2207" i="24"/>
  <c r="S1206" i="24"/>
  <c r="S1209" i="24"/>
  <c r="S1212" i="24"/>
  <c r="S1242" i="24"/>
  <c r="S1245" i="24"/>
  <c r="S1290" i="24"/>
  <c r="S1302" i="24"/>
  <c r="S1314" i="24"/>
  <c r="AA2186" i="24"/>
  <c r="AA2191" i="24"/>
  <c r="AA2215" i="24"/>
  <c r="AA2171" i="24"/>
  <c r="AA2180" i="24"/>
  <c r="AA2174" i="24"/>
  <c r="AA2179" i="24"/>
  <c r="AA2209" i="24"/>
  <c r="AA2165" i="24"/>
  <c r="AA2204" i="24"/>
  <c r="AA2198" i="24"/>
  <c r="AA2203" i="24"/>
  <c r="S1043" i="24"/>
  <c r="S1288" i="24"/>
  <c r="S1300" i="24"/>
  <c r="S1205" i="24"/>
  <c r="S1208" i="24"/>
  <c r="S1211" i="24"/>
  <c r="S1214" i="24"/>
  <c r="S1217" i="24"/>
  <c r="S1220" i="24"/>
  <c r="S1223" i="24"/>
  <c r="S1226" i="24"/>
  <c r="S1229" i="24"/>
  <c r="S1235" i="24"/>
  <c r="S1238" i="24"/>
  <c r="S1241" i="24"/>
  <c r="S1244" i="24"/>
  <c r="S1247" i="24"/>
  <c r="S1250" i="24"/>
  <c r="S1253" i="24"/>
  <c r="S1284" i="24"/>
  <c r="S1296" i="24"/>
  <c r="S1308" i="24"/>
  <c r="S1312" i="24"/>
  <c r="S1324" i="24"/>
  <c r="S1336" i="24"/>
  <c r="S1326" i="24"/>
  <c r="S1320" i="24"/>
  <c r="Y909" i="24"/>
  <c r="Y921" i="24"/>
  <c r="Y933" i="24"/>
  <c r="S1287" i="24"/>
  <c r="S1299" i="24"/>
  <c r="S1311" i="24"/>
  <c r="S1323" i="24"/>
  <c r="S1332" i="24"/>
  <c r="S1280" i="24"/>
  <c r="S1292" i="24"/>
  <c r="S1304" i="24"/>
  <c r="S1316" i="24"/>
  <c r="S1335" i="24"/>
  <c r="S1289" i="24"/>
  <c r="S1301" i="24"/>
  <c r="S1313" i="24"/>
  <c r="S1325" i="24"/>
  <c r="S1254" i="24"/>
  <c r="S1041" i="24"/>
  <c r="S1210" i="24"/>
  <c r="S1213" i="24"/>
  <c r="S1222" i="24"/>
  <c r="S1225" i="24"/>
  <c r="S1228" i="24"/>
  <c r="S1234" i="24"/>
  <c r="S1237" i="24"/>
  <c r="S1240" i="24"/>
  <c r="S1243" i="24"/>
  <c r="S1246" i="24"/>
  <c r="S1249" i="24"/>
  <c r="S1252" i="24"/>
  <c r="S1255" i="24"/>
  <c r="S1207" i="24"/>
  <c r="S1219" i="24"/>
  <c r="S1291" i="24"/>
  <c r="S1303" i="24"/>
  <c r="S1315" i="24"/>
  <c r="S1327" i="24"/>
  <c r="S1202" i="24"/>
  <c r="S1232" i="24"/>
  <c r="S1328" i="24"/>
  <c r="S1203" i="24"/>
  <c r="S1215" i="24"/>
  <c r="S1227" i="24"/>
  <c r="S1248" i="24"/>
  <c r="Y912" i="24"/>
  <c r="Y936" i="24"/>
  <c r="Y960" i="24"/>
  <c r="S1006" i="24"/>
  <c r="S1239" i="24"/>
  <c r="Y924" i="24"/>
  <c r="S992" i="24"/>
  <c r="S1028" i="24"/>
  <c r="S1040" i="24"/>
  <c r="S1231" i="24"/>
  <c r="S1282" i="24"/>
  <c r="S1294" i="24"/>
  <c r="S1306" i="24"/>
  <c r="S1318" i="24"/>
  <c r="S1330" i="24"/>
  <c r="Y948" i="24"/>
  <c r="S1251" i="24"/>
  <c r="S1285" i="24"/>
  <c r="S1297" i="24"/>
  <c r="S1309" i="24"/>
  <c r="S1321" i="24"/>
  <c r="S1333" i="24"/>
  <c r="S1218" i="24"/>
  <c r="S1201" i="24"/>
  <c r="S1204" i="24"/>
  <c r="S1221" i="24"/>
  <c r="S1224" i="24"/>
  <c r="S1283" i="24"/>
  <c r="S1295" i="24"/>
  <c r="S1307" i="24"/>
  <c r="S1319" i="24"/>
  <c r="S1331" i="24"/>
  <c r="Y915" i="24"/>
  <c r="Y927" i="24"/>
  <c r="Y939" i="24"/>
  <c r="Y951" i="24"/>
  <c r="S1230" i="24"/>
  <c r="S1281" i="24"/>
  <c r="S1293" i="24"/>
  <c r="S1305" i="24"/>
  <c r="S1317" i="24"/>
  <c r="S1329" i="24"/>
  <c r="S989" i="24"/>
  <c r="S1001" i="24"/>
  <c r="S1025" i="24"/>
  <c r="S1199" i="24"/>
  <c r="S1216" i="24"/>
  <c r="S1233" i="24"/>
  <c r="S1236" i="24"/>
  <c r="S1286" i="24"/>
  <c r="S1298" i="24"/>
  <c r="S1310" i="24"/>
  <c r="S1322" i="24"/>
  <c r="S1334" i="24"/>
  <c r="S1012" i="24"/>
  <c r="S993" i="24"/>
  <c r="Y963" i="24"/>
  <c r="S1027" i="24"/>
  <c r="Y917" i="24"/>
  <c r="Y945" i="24"/>
  <c r="Y957" i="24"/>
  <c r="S995" i="24"/>
  <c r="S1007" i="24"/>
  <c r="S1031" i="24"/>
  <c r="S1045" i="24"/>
  <c r="S879" i="24"/>
  <c r="S991" i="24"/>
  <c r="S1003" i="24"/>
  <c r="S1015" i="24"/>
  <c r="S1039" i="24"/>
  <c r="Y910" i="24"/>
  <c r="Y922" i="24"/>
  <c r="Y934" i="24"/>
  <c r="Y946" i="24"/>
  <c r="Y958" i="24"/>
  <c r="S996" i="24"/>
  <c r="S1037" i="24"/>
  <c r="S628" i="24"/>
  <c r="S640" i="24"/>
  <c r="S652" i="24"/>
  <c r="S882" i="24"/>
  <c r="S1011" i="24"/>
  <c r="S1035" i="24"/>
  <c r="Y914" i="24"/>
  <c r="S997" i="24"/>
  <c r="S1009" i="24"/>
  <c r="S1021" i="24"/>
  <c r="S1033" i="24"/>
  <c r="Y916" i="24"/>
  <c r="Y928" i="24"/>
  <c r="Y940" i="24"/>
  <c r="Y952" i="24"/>
  <c r="Y964" i="24"/>
  <c r="Y911" i="24"/>
  <c r="Y923" i="24"/>
  <c r="Y935" i="24"/>
  <c r="Y947" i="24"/>
  <c r="Y959" i="24"/>
  <c r="S1019" i="24"/>
  <c r="S1017" i="24"/>
  <c r="S1029" i="24"/>
  <c r="S999" i="24"/>
  <c r="S1013" i="24"/>
  <c r="S990" i="24"/>
  <c r="S1020" i="24"/>
  <c r="S1004" i="24"/>
  <c r="S1016" i="24"/>
  <c r="S1023" i="24"/>
  <c r="S1030" i="24"/>
  <c r="Y908" i="24"/>
  <c r="Y920" i="24"/>
  <c r="Y932" i="24"/>
  <c r="Y944" i="24"/>
  <c r="Y956" i="24"/>
  <c r="S1044" i="24"/>
  <c r="S1005" i="24"/>
  <c r="Y926" i="24"/>
  <c r="Y938" i="24"/>
  <c r="S1002" i="24"/>
  <c r="S1026" i="24"/>
  <c r="Y950" i="24"/>
  <c r="S1000" i="24"/>
  <c r="S1024" i="24"/>
  <c r="Y962" i="24"/>
  <c r="S998" i="24"/>
  <c r="S1022" i="24"/>
  <c r="Y913" i="24"/>
  <c r="S994" i="24"/>
  <c r="S1018" i="24"/>
  <c r="S1042" i="24"/>
  <c r="Y925" i="24"/>
  <c r="Y937" i="24"/>
  <c r="Y949" i="24"/>
  <c r="S1014" i="24"/>
  <c r="S1038" i="24"/>
  <c r="Y961" i="24"/>
  <c r="S1036" i="24"/>
  <c r="S863" i="24"/>
  <c r="S1010" i="24"/>
  <c r="S1034" i="24"/>
  <c r="S1008" i="24"/>
  <c r="S1032" i="24"/>
  <c r="S835" i="24"/>
  <c r="S847" i="24"/>
  <c r="S859" i="24"/>
  <c r="Y943" i="24"/>
  <c r="Y907" i="24"/>
  <c r="Y953" i="24"/>
  <c r="Y941" i="24"/>
  <c r="Y929" i="24"/>
  <c r="S632" i="24"/>
  <c r="S644" i="24"/>
  <c r="S656" i="24"/>
  <c r="S668" i="24"/>
  <c r="Y955" i="24"/>
  <c r="Y931" i="24"/>
  <c r="Y919" i="24"/>
  <c r="S867" i="24"/>
  <c r="S664" i="24"/>
  <c r="S834" i="24"/>
  <c r="Y930" i="24"/>
  <c r="Y766" i="24"/>
  <c r="S643" i="24"/>
  <c r="S655" i="24"/>
  <c r="S679" i="24"/>
  <c r="Y918" i="24"/>
  <c r="S831" i="24"/>
  <c r="S869" i="24"/>
  <c r="Y954" i="24"/>
  <c r="Y942" i="24"/>
  <c r="Y755" i="24"/>
  <c r="S630" i="24"/>
  <c r="S642" i="24"/>
  <c r="S654" i="24"/>
  <c r="S666" i="24"/>
  <c r="S659" i="24"/>
  <c r="S853" i="24"/>
  <c r="S870" i="24"/>
  <c r="Y795" i="24"/>
  <c r="S662" i="24"/>
  <c r="S849" i="24"/>
  <c r="S854" i="24"/>
  <c r="S878" i="24"/>
  <c r="S871" i="24"/>
  <c r="S845" i="24"/>
  <c r="S850" i="24"/>
  <c r="S829" i="24"/>
  <c r="S841" i="24"/>
  <c r="S827" i="24"/>
  <c r="S851" i="24"/>
  <c r="S648" i="24"/>
  <c r="S660" i="24"/>
  <c r="S672" i="24"/>
  <c r="S861" i="24"/>
  <c r="S880" i="24"/>
  <c r="S665" i="24"/>
  <c r="S833" i="24"/>
  <c r="S877" i="24"/>
  <c r="S678" i="24"/>
  <c r="S836" i="24"/>
  <c r="S848" i="24"/>
  <c r="S855" i="24"/>
  <c r="Y770" i="24"/>
  <c r="Y782" i="24"/>
  <c r="S627" i="24"/>
  <c r="S639" i="24"/>
  <c r="S651" i="24"/>
  <c r="S858" i="24"/>
  <c r="S865" i="24"/>
  <c r="S875" i="24"/>
  <c r="S838" i="24"/>
  <c r="S852" i="24"/>
  <c r="S873" i="24"/>
  <c r="S638" i="24"/>
  <c r="S650" i="24"/>
  <c r="S669" i="24"/>
  <c r="S674" i="24"/>
  <c r="S843" i="24"/>
  <c r="S857" i="24"/>
  <c r="S876" i="24"/>
  <c r="S839" i="24"/>
  <c r="S862" i="24"/>
  <c r="Y761" i="24"/>
  <c r="S846" i="24"/>
  <c r="S860" i="24"/>
  <c r="S881" i="24"/>
  <c r="S830" i="24"/>
  <c r="S837" i="24"/>
  <c r="S844" i="24"/>
  <c r="S872" i="24"/>
  <c r="S633" i="24"/>
  <c r="S645" i="24"/>
  <c r="S657" i="24"/>
  <c r="S840" i="24"/>
  <c r="S864" i="24"/>
  <c r="S667" i="24"/>
  <c r="S832" i="24"/>
  <c r="S856" i="24"/>
  <c r="S828" i="24"/>
  <c r="S874" i="24"/>
  <c r="Y772" i="24"/>
  <c r="Y796" i="24"/>
  <c r="S625" i="24"/>
  <c r="S637" i="24"/>
  <c r="S649" i="24"/>
  <c r="S883" i="24"/>
  <c r="S868" i="24"/>
  <c r="S671" i="24"/>
  <c r="S676" i="24"/>
  <c r="S842" i="24"/>
  <c r="S866" i="24"/>
  <c r="Y799" i="24"/>
  <c r="S634" i="24"/>
  <c r="S646" i="24"/>
  <c r="S658" i="24"/>
  <c r="S670" i="24"/>
  <c r="S663" i="24"/>
  <c r="S675" i="24"/>
  <c r="Y789" i="24"/>
  <c r="S661" i="24"/>
  <c r="S673" i="24"/>
  <c r="Y774" i="24"/>
  <c r="Y798" i="24"/>
  <c r="S623" i="24"/>
  <c r="S635" i="24"/>
  <c r="S647" i="24"/>
  <c r="Y800" i="24"/>
  <c r="S626" i="24"/>
  <c r="S631" i="24"/>
  <c r="S624" i="24"/>
  <c r="S636" i="24"/>
  <c r="S629" i="24"/>
  <c r="S641" i="24"/>
  <c r="S653" i="24"/>
  <c r="S677" i="24"/>
  <c r="Y753" i="24"/>
  <c r="Y750" i="24"/>
  <c r="Y781" i="24"/>
  <c r="Y756" i="24"/>
  <c r="Y779" i="24"/>
  <c r="Y751" i="24"/>
  <c r="Y759" i="24"/>
  <c r="Y746" i="24"/>
  <c r="Y797" i="24"/>
  <c r="Y758" i="24"/>
  <c r="Y748" i="24"/>
  <c r="Y794" i="24"/>
  <c r="Y760" i="24"/>
  <c r="Y801" i="24"/>
  <c r="Y791" i="24"/>
  <c r="Y786" i="24"/>
  <c r="Y790" i="24"/>
  <c r="Y792" i="24"/>
  <c r="Y765" i="24"/>
  <c r="Y787" i="24"/>
  <c r="Y747" i="24"/>
  <c r="Y752" i="24"/>
  <c r="Y757" i="24"/>
  <c r="Y762" i="24"/>
  <c r="Y749" i="24"/>
  <c r="Y754" i="24"/>
  <c r="Y764" i="24"/>
  <c r="Y788" i="24"/>
  <c r="Y793" i="24"/>
  <c r="Y771" i="24"/>
  <c r="Y778" i="24"/>
  <c r="Y763" i="24"/>
  <c r="Y768" i="24"/>
  <c r="Y780" i="24"/>
  <c r="Y776" i="24"/>
  <c r="Y773" i="24"/>
  <c r="Y783" i="24"/>
  <c r="Y775" i="24"/>
  <c r="Y785" i="24"/>
  <c r="Y767" i="24"/>
  <c r="Y777" i="24"/>
  <c r="Y769" i="24"/>
  <c r="Y784" i="24"/>
  <c r="Y802" i="24"/>
  <c r="AE2029" i="24"/>
  <c r="AE2027" i="24"/>
  <c r="AE2025" i="24"/>
  <c r="AE2023" i="24"/>
  <c r="AE2021" i="24"/>
  <c r="AE2253" i="24"/>
  <c r="AE2251" i="24"/>
  <c r="AE2249" i="24"/>
  <c r="AE2247" i="24"/>
  <c r="AE2245" i="24"/>
  <c r="AE1451" i="24"/>
  <c r="AE1449" i="24"/>
  <c r="AE1447" i="24"/>
  <c r="AE1445" i="24"/>
  <c r="AE1443" i="24"/>
  <c r="B3281" i="24"/>
  <c r="AE3234" i="24"/>
  <c r="AE3160" i="24"/>
  <c r="U2915" i="24"/>
  <c r="B2816" i="24"/>
  <c r="AE3197" i="24"/>
  <c r="AE2787" i="24"/>
  <c r="AE2785" i="24"/>
  <c r="AE2783" i="24"/>
  <c r="AE2781" i="24"/>
  <c r="AE2779" i="24"/>
  <c r="Y2716" i="24"/>
  <c r="Y2740" i="24"/>
  <c r="Y2752" i="24"/>
  <c r="Y2704" i="24"/>
  <c r="Y2728" i="24"/>
  <c r="Y2615" i="24"/>
  <c r="Y2619" i="24"/>
  <c r="Y2627" i="24"/>
  <c r="Y2701" i="24"/>
  <c r="Y2713" i="24"/>
  <c r="Y2737" i="24"/>
  <c r="Y2749" i="24"/>
  <c r="Y2723" i="24"/>
  <c r="Y2735" i="24"/>
  <c r="Y2747" i="24"/>
  <c r="Y2711" i="24"/>
  <c r="Y2669" i="24"/>
  <c r="Y2699" i="24"/>
  <c r="Y2750" i="24"/>
  <c r="Y2631" i="24"/>
  <c r="Y2706" i="24"/>
  <c r="Y2639" i="24"/>
  <c r="Y2643" i="24"/>
  <c r="Y2651" i="24"/>
  <c r="Y2655" i="24"/>
  <c r="Y2663" i="24"/>
  <c r="Y2718" i="24"/>
  <c r="Y2717" i="24"/>
  <c r="Y2729" i="24"/>
  <c r="Y2618" i="24"/>
  <c r="Y2624" i="24"/>
  <c r="Y2630" i="24"/>
  <c r="Y2634" i="24"/>
  <c r="Y2636" i="24"/>
  <c r="Y2642" i="24"/>
  <c r="Y2646" i="24"/>
  <c r="Y2648" i="24"/>
  <c r="Y2658" i="24"/>
  <c r="Y2660" i="24"/>
  <c r="Y2670" i="24"/>
  <c r="Y2700" i="24"/>
  <c r="Y2712" i="24"/>
  <c r="Y2724" i="24"/>
  <c r="Y2736" i="24"/>
  <c r="Y2748" i="24"/>
  <c r="Y2707" i="24"/>
  <c r="Y2719" i="24"/>
  <c r="Y2731" i="24"/>
  <c r="Y2743" i="24"/>
  <c r="Y2667" i="24"/>
  <c r="Y2617" i="24"/>
  <c r="Y2621" i="24"/>
  <c r="Y2629" i="24"/>
  <c r="Y2633" i="24"/>
  <c r="Y2641" i="24"/>
  <c r="Y2645" i="24"/>
  <c r="Y2653" i="24"/>
  <c r="Y2657" i="24"/>
  <c r="Y2665" i="24"/>
  <c r="Y2725" i="24"/>
  <c r="Y2730" i="24"/>
  <c r="Y2742" i="24"/>
  <c r="Y2696" i="24"/>
  <c r="Y2708" i="24"/>
  <c r="Y2720" i="24"/>
  <c r="Y2732" i="24"/>
  <c r="Y2744" i="24"/>
  <c r="Y2703" i="24"/>
  <c r="Y2715" i="24"/>
  <c r="Y2727" i="24"/>
  <c r="Y2739" i="24"/>
  <c r="Y2751" i="24"/>
  <c r="Y2741" i="24"/>
  <c r="Y2697" i="24"/>
  <c r="Y2733" i="24"/>
  <c r="Y2616" i="24"/>
  <c r="Y2628" i="24"/>
  <c r="Y2640" i="24"/>
  <c r="Y2652" i="24"/>
  <c r="Y2664" i="24"/>
  <c r="Y2698" i="24"/>
  <c r="Y2705" i="24"/>
  <c r="Y2710" i="24"/>
  <c r="Y2722" i="24"/>
  <c r="Y2734" i="24"/>
  <c r="Y2746" i="24"/>
  <c r="Y2702" i="24"/>
  <c r="Y2709" i="24"/>
  <c r="Y2714" i="24"/>
  <c r="Y2721" i="24"/>
  <c r="Y2726" i="24"/>
  <c r="Y2738" i="24"/>
  <c r="Y2745" i="24"/>
  <c r="Y2695" i="24"/>
  <c r="Y2614" i="24"/>
  <c r="Y2620" i="24"/>
  <c r="Y2623" i="24"/>
  <c r="Y2626" i="24"/>
  <c r="Y2632" i="24"/>
  <c r="Y2635" i="24"/>
  <c r="Y2638" i="24"/>
  <c r="Y2644" i="24"/>
  <c r="Y2647" i="24"/>
  <c r="Y2650" i="24"/>
  <c r="Y2656" i="24"/>
  <c r="Y2659" i="24"/>
  <c r="Y2662" i="24"/>
  <c r="Y2668" i="24"/>
  <c r="Y2622" i="24"/>
  <c r="Y2625" i="24"/>
  <c r="Y2637" i="24"/>
  <c r="Y2649" i="24"/>
  <c r="Y2661" i="24"/>
  <c r="Y2654" i="24"/>
  <c r="Y2666" i="24"/>
  <c r="Y2613" i="24"/>
  <c r="AE2576" i="24"/>
  <c r="AE2574" i="24"/>
  <c r="AE2572" i="24"/>
  <c r="AE2570" i="24"/>
  <c r="AE2568" i="24"/>
  <c r="W2484" i="24"/>
  <c r="W2402" i="24"/>
  <c r="AA256" i="24"/>
  <c r="AA2161" i="24"/>
  <c r="AA2079" i="24"/>
  <c r="I8" i="19"/>
  <c r="AJ61" i="19"/>
  <c r="AH61" i="19"/>
  <c r="AK3" i="19"/>
  <c r="AC3" i="19" s="1"/>
  <c r="AK4" i="19"/>
  <c r="AC4" i="19" s="1"/>
  <c r="AK5" i="19"/>
  <c r="AC5" i="19" s="1"/>
  <c r="AC2697" i="24" s="1"/>
  <c r="AK6" i="19"/>
  <c r="AC6" i="19" s="1"/>
  <c r="AC2698" i="24" s="1"/>
  <c r="AK7" i="19"/>
  <c r="AC7" i="19" s="1"/>
  <c r="AC2699" i="24" s="1"/>
  <c r="AK8" i="19"/>
  <c r="AC8" i="19" s="1"/>
  <c r="AC2700" i="24" s="1"/>
  <c r="AK9" i="19"/>
  <c r="AC9" i="19" s="1"/>
  <c r="AC2701" i="24" s="1"/>
  <c r="AK10" i="19"/>
  <c r="AC10" i="19" s="1"/>
  <c r="AC2702" i="24" s="1"/>
  <c r="AK11" i="19"/>
  <c r="AC11" i="19" s="1"/>
  <c r="AC2703" i="24" s="1"/>
  <c r="AK12" i="19"/>
  <c r="AC12" i="19" s="1"/>
  <c r="AC2704" i="24" s="1"/>
  <c r="AK13" i="19"/>
  <c r="AC13" i="19" s="1"/>
  <c r="AC2705" i="24" s="1"/>
  <c r="AK14" i="19"/>
  <c r="AC14" i="19" s="1"/>
  <c r="AC2706" i="24" s="1"/>
  <c r="AK15" i="19"/>
  <c r="AC15" i="19" s="1"/>
  <c r="AC2707" i="24" s="1"/>
  <c r="AK16" i="19"/>
  <c r="AC16" i="19" s="1"/>
  <c r="AC2708" i="24" s="1"/>
  <c r="AK17" i="19"/>
  <c r="AC17" i="19" s="1"/>
  <c r="AC2709" i="24" s="1"/>
  <c r="AK18" i="19"/>
  <c r="AC18" i="19" s="1"/>
  <c r="AC2710" i="24" s="1"/>
  <c r="AK19" i="19"/>
  <c r="AC19" i="19" s="1"/>
  <c r="AC2711" i="24" s="1"/>
  <c r="AK20" i="19"/>
  <c r="AC20" i="19" s="1"/>
  <c r="AC2712" i="24" s="1"/>
  <c r="AK21" i="19"/>
  <c r="AC21" i="19" s="1"/>
  <c r="AC2713" i="24" s="1"/>
  <c r="AK22" i="19"/>
  <c r="AC22" i="19" s="1"/>
  <c r="AC2714" i="24" s="1"/>
  <c r="AK23" i="19"/>
  <c r="AC23" i="19" s="1"/>
  <c r="AC2715" i="24" s="1"/>
  <c r="AK24" i="19"/>
  <c r="AC24" i="19" s="1"/>
  <c r="AC2716" i="24" s="1"/>
  <c r="AK25" i="19"/>
  <c r="AC25" i="19" s="1"/>
  <c r="AC2717" i="24" s="1"/>
  <c r="AK26" i="19"/>
  <c r="AC26" i="19" s="1"/>
  <c r="AC2718" i="24" s="1"/>
  <c r="AK27" i="19"/>
  <c r="AC27" i="19" s="1"/>
  <c r="AC2719" i="24" s="1"/>
  <c r="AK28" i="19"/>
  <c r="AC28" i="19" s="1"/>
  <c r="AC2720" i="24" s="1"/>
  <c r="AK29" i="19"/>
  <c r="AC29" i="19" s="1"/>
  <c r="AC2721" i="24" s="1"/>
  <c r="AK30" i="19"/>
  <c r="AC30" i="19" s="1"/>
  <c r="AC2722" i="24" s="1"/>
  <c r="AK31" i="19"/>
  <c r="AC31" i="19" s="1"/>
  <c r="AC2723" i="24" s="1"/>
  <c r="AK32" i="19"/>
  <c r="AC32" i="19" s="1"/>
  <c r="AC2724" i="24" s="1"/>
  <c r="AK33" i="19"/>
  <c r="AC33" i="19" s="1"/>
  <c r="AC2725" i="24" s="1"/>
  <c r="AK34" i="19"/>
  <c r="AC34" i="19" s="1"/>
  <c r="AC2726" i="24" s="1"/>
  <c r="AK35" i="19"/>
  <c r="AC35" i="19" s="1"/>
  <c r="AC2727" i="24" s="1"/>
  <c r="AK36" i="19"/>
  <c r="AC36" i="19" s="1"/>
  <c r="AC2728" i="24" s="1"/>
  <c r="AK37" i="19"/>
  <c r="AC37" i="19" s="1"/>
  <c r="AC2729" i="24" s="1"/>
  <c r="AK38" i="19"/>
  <c r="AC38" i="19" s="1"/>
  <c r="AC2730" i="24" s="1"/>
  <c r="AK39" i="19"/>
  <c r="AC39" i="19" s="1"/>
  <c r="AC2731" i="24" s="1"/>
  <c r="AK40" i="19"/>
  <c r="AC40" i="19" s="1"/>
  <c r="AC2732" i="24" s="1"/>
  <c r="AK41" i="19"/>
  <c r="AC41" i="19" s="1"/>
  <c r="AC2733" i="24" s="1"/>
  <c r="AK42" i="19"/>
  <c r="AC42" i="19" s="1"/>
  <c r="AC2734" i="24" s="1"/>
  <c r="AK43" i="19"/>
  <c r="AC43" i="19" s="1"/>
  <c r="AC2735" i="24" s="1"/>
  <c r="AK44" i="19"/>
  <c r="AC44" i="19" s="1"/>
  <c r="AC2736" i="24" s="1"/>
  <c r="AK45" i="19"/>
  <c r="AC45" i="19" s="1"/>
  <c r="AC2737" i="24" s="1"/>
  <c r="AK46" i="19"/>
  <c r="AC46" i="19" s="1"/>
  <c r="AC2738" i="24" s="1"/>
  <c r="AK47" i="19"/>
  <c r="AC47" i="19" s="1"/>
  <c r="AC2739" i="24" s="1"/>
  <c r="AK48" i="19"/>
  <c r="AC48" i="19" s="1"/>
  <c r="AC2740" i="24" s="1"/>
  <c r="AK49" i="19"/>
  <c r="AC49" i="19" s="1"/>
  <c r="AC2741" i="24" s="1"/>
  <c r="AK50" i="19"/>
  <c r="AC50" i="19" s="1"/>
  <c r="AC2742" i="24" s="1"/>
  <c r="AK51" i="19"/>
  <c r="AC51" i="19" s="1"/>
  <c r="AC2743" i="24" s="1"/>
  <c r="AK52" i="19"/>
  <c r="AC52" i="19" s="1"/>
  <c r="AC2744" i="24" s="1"/>
  <c r="AK53" i="19"/>
  <c r="AC53" i="19" s="1"/>
  <c r="AC2745" i="24" s="1"/>
  <c r="AK54" i="19"/>
  <c r="AC54" i="19" s="1"/>
  <c r="AC2746" i="24" s="1"/>
  <c r="AK55" i="19"/>
  <c r="AC55" i="19" s="1"/>
  <c r="AC2747" i="24" s="1"/>
  <c r="AK56" i="19"/>
  <c r="AC56" i="19" s="1"/>
  <c r="AC2748" i="24" s="1"/>
  <c r="AK57" i="19"/>
  <c r="AC57" i="19" s="1"/>
  <c r="AC2749" i="24" s="1"/>
  <c r="AK58" i="19"/>
  <c r="AC58" i="19" s="1"/>
  <c r="AC2750" i="24" s="1"/>
  <c r="AK59" i="19"/>
  <c r="AC59" i="19" s="1"/>
  <c r="AC2751" i="24" s="1"/>
  <c r="AK60" i="19"/>
  <c r="AC60" i="19" s="1"/>
  <c r="AC2752" i="24" s="1"/>
  <c r="BG61" i="7"/>
  <c r="BE61" i="7"/>
  <c r="BC61" i="7"/>
  <c r="BA61" i="7"/>
  <c r="BH3" i="7"/>
  <c r="AW3" i="7" s="1"/>
  <c r="W988" i="24" s="1"/>
  <c r="BH4" i="7"/>
  <c r="AW4" i="7" s="1"/>
  <c r="W989" i="24" s="1"/>
  <c r="BH5" i="7"/>
  <c r="AW5" i="7" s="1"/>
  <c r="W990" i="24" s="1"/>
  <c r="BH6" i="7"/>
  <c r="AW6" i="7" s="1"/>
  <c r="W991" i="24" s="1"/>
  <c r="BH7" i="7"/>
  <c r="AW7" i="7" s="1"/>
  <c r="W992" i="24" s="1"/>
  <c r="BH8" i="7"/>
  <c r="Q8" i="7" s="1"/>
  <c r="BH9" i="7"/>
  <c r="Q9" i="7" s="1"/>
  <c r="BH10" i="7"/>
  <c r="Q10" i="7" s="1"/>
  <c r="BH11" i="7"/>
  <c r="Q11" i="7" s="1"/>
  <c r="BH12" i="7"/>
  <c r="Q12" i="7" s="1"/>
  <c r="BH13" i="7"/>
  <c r="AW13" i="7" s="1"/>
  <c r="W998" i="24" s="1"/>
  <c r="BH14" i="7"/>
  <c r="AW14" i="7" s="1"/>
  <c r="W999" i="24" s="1"/>
  <c r="BH15" i="7"/>
  <c r="AW15" i="7" s="1"/>
  <c r="W1000" i="24" s="1"/>
  <c r="BH16" i="7"/>
  <c r="AW16" i="7" s="1"/>
  <c r="W1001" i="24" s="1"/>
  <c r="BH17" i="7"/>
  <c r="AW17" i="7" s="1"/>
  <c r="W1002" i="24" s="1"/>
  <c r="BH18" i="7"/>
  <c r="AW18" i="7" s="1"/>
  <c r="W1003" i="24" s="1"/>
  <c r="BH19" i="7"/>
  <c r="AW19" i="7" s="1"/>
  <c r="W1004" i="24" s="1"/>
  <c r="BH20" i="7"/>
  <c r="AW20" i="7" s="1"/>
  <c r="W1005" i="24" s="1"/>
  <c r="BH21" i="7"/>
  <c r="Q21" i="7" s="1"/>
  <c r="BH22" i="7"/>
  <c r="Q22" i="7" s="1"/>
  <c r="BH23" i="7"/>
  <c r="BH24" i="7"/>
  <c r="Q24" i="7" s="1"/>
  <c r="BH25" i="7"/>
  <c r="Q25" i="7" s="1"/>
  <c r="BH26" i="7"/>
  <c r="Q26" i="7" s="1"/>
  <c r="BH27" i="7"/>
  <c r="AW27" i="7" s="1"/>
  <c r="W1012" i="24" s="1"/>
  <c r="BH28" i="7"/>
  <c r="AW28" i="7" s="1"/>
  <c r="W1013" i="24" s="1"/>
  <c r="BH29" i="7"/>
  <c r="AW29" i="7" s="1"/>
  <c r="W1014" i="24" s="1"/>
  <c r="BH30" i="7"/>
  <c r="AW30" i="7" s="1"/>
  <c r="W1015" i="24" s="1"/>
  <c r="BH31" i="7"/>
  <c r="AW31" i="7" s="1"/>
  <c r="W1016" i="24" s="1"/>
  <c r="BH32" i="7"/>
  <c r="AW32" i="7" s="1"/>
  <c r="W1017" i="24" s="1"/>
  <c r="BH33" i="7"/>
  <c r="AW33" i="7" s="1"/>
  <c r="W1018" i="24" s="1"/>
  <c r="BH34" i="7"/>
  <c r="Q34" i="7" s="1"/>
  <c r="BH35" i="7"/>
  <c r="Q35" i="7" s="1"/>
  <c r="BH36" i="7"/>
  <c r="Q36" i="7" s="1"/>
  <c r="BH37" i="7"/>
  <c r="Q37" i="7" s="1"/>
  <c r="BH38" i="7"/>
  <c r="Q38" i="7" s="1"/>
  <c r="BH39" i="7"/>
  <c r="AW39" i="7" s="1"/>
  <c r="W1024" i="24" s="1"/>
  <c r="BH40" i="7"/>
  <c r="AW40" i="7" s="1"/>
  <c r="W1025" i="24" s="1"/>
  <c r="BH41" i="7"/>
  <c r="AW41" i="7" s="1"/>
  <c r="W1026" i="24" s="1"/>
  <c r="BH42" i="7"/>
  <c r="AW42" i="7" s="1"/>
  <c r="W1027" i="24" s="1"/>
  <c r="BH43" i="7"/>
  <c r="AW43" i="7" s="1"/>
  <c r="W1028" i="24" s="1"/>
  <c r="BH44" i="7"/>
  <c r="AW44" i="7" s="1"/>
  <c r="W1029" i="24" s="1"/>
  <c r="BH45" i="7"/>
  <c r="AW45" i="7" s="1"/>
  <c r="W1030" i="24" s="1"/>
  <c r="BH46" i="7"/>
  <c r="Q46" i="7" s="1"/>
  <c r="BH47" i="7"/>
  <c r="Q47" i="7" s="1"/>
  <c r="BH48" i="7"/>
  <c r="Q48" i="7" s="1"/>
  <c r="BH49" i="7"/>
  <c r="Q49" i="7" s="1"/>
  <c r="BH50" i="7"/>
  <c r="Q50" i="7" s="1"/>
  <c r="BH51" i="7"/>
  <c r="AW51" i="7" s="1"/>
  <c r="W1036" i="24" s="1"/>
  <c r="BH52" i="7"/>
  <c r="AW52" i="7" s="1"/>
  <c r="W1037" i="24" s="1"/>
  <c r="BH53" i="7"/>
  <c r="AW53" i="7" s="1"/>
  <c r="W1038" i="24" s="1"/>
  <c r="BH54" i="7"/>
  <c r="AW54" i="7" s="1"/>
  <c r="W1039" i="24" s="1"/>
  <c r="BH55" i="7"/>
  <c r="AW55" i="7" s="1"/>
  <c r="W1040" i="24" s="1"/>
  <c r="BH56" i="7"/>
  <c r="AW56" i="7" s="1"/>
  <c r="W1041" i="24" s="1"/>
  <c r="BH57" i="7"/>
  <c r="BH58" i="7"/>
  <c r="AW58" i="7" s="1"/>
  <c r="W1043" i="24" s="1"/>
  <c r="BH59" i="7"/>
  <c r="Q59" i="7" s="1"/>
  <c r="BH60" i="7"/>
  <c r="Q60" i="7" s="1"/>
  <c r="BF3" i="7"/>
  <c r="AQ3" i="7" s="1"/>
  <c r="AC907" i="24" s="1"/>
  <c r="BF4" i="7"/>
  <c r="M4" i="7" s="1"/>
  <c r="BF5" i="7"/>
  <c r="M5" i="7" s="1"/>
  <c r="BF6" i="7"/>
  <c r="M6" i="7" s="1"/>
  <c r="BF7" i="7"/>
  <c r="AQ7" i="7" s="1"/>
  <c r="AC911" i="24" s="1"/>
  <c r="BF8" i="7"/>
  <c r="AQ8" i="7" s="1"/>
  <c r="AC912" i="24" s="1"/>
  <c r="BF9" i="7"/>
  <c r="AQ9" i="7" s="1"/>
  <c r="AC913" i="24" s="1"/>
  <c r="BF10" i="7"/>
  <c r="AQ10" i="7" s="1"/>
  <c r="AC914" i="24" s="1"/>
  <c r="BF11" i="7"/>
  <c r="AQ11" i="7" s="1"/>
  <c r="AC915" i="24" s="1"/>
  <c r="BF12" i="7"/>
  <c r="AQ12" i="7" s="1"/>
  <c r="AC916" i="24" s="1"/>
  <c r="BF13" i="7"/>
  <c r="AQ13" i="7" s="1"/>
  <c r="AC917" i="24" s="1"/>
  <c r="BF14" i="7"/>
  <c r="BF15" i="7"/>
  <c r="M15" i="7" s="1"/>
  <c r="BF16" i="7"/>
  <c r="M16" i="7" s="1"/>
  <c r="BF17" i="7"/>
  <c r="M17" i="7" s="1"/>
  <c r="BF18" i="7"/>
  <c r="BF19" i="7"/>
  <c r="AQ19" i="7" s="1"/>
  <c r="AC923" i="24" s="1"/>
  <c r="BF20" i="7"/>
  <c r="AQ20" i="7" s="1"/>
  <c r="AC924" i="24" s="1"/>
  <c r="BF21" i="7"/>
  <c r="AQ21" i="7" s="1"/>
  <c r="AC925" i="24" s="1"/>
  <c r="BF22" i="7"/>
  <c r="AQ22" i="7" s="1"/>
  <c r="AC926" i="24" s="1"/>
  <c r="BF23" i="7"/>
  <c r="BF24" i="7"/>
  <c r="AQ24" i="7" s="1"/>
  <c r="AC928" i="24" s="1"/>
  <c r="BF25" i="7"/>
  <c r="AQ25" i="7" s="1"/>
  <c r="AC929" i="24" s="1"/>
  <c r="BF26" i="7"/>
  <c r="AQ26" i="7" s="1"/>
  <c r="AC930" i="24" s="1"/>
  <c r="BF27" i="7"/>
  <c r="M27" i="7" s="1"/>
  <c r="BF28" i="7"/>
  <c r="M28" i="7" s="1"/>
  <c r="BF29" i="7"/>
  <c r="M29" i="7" s="1"/>
  <c r="BF30" i="7"/>
  <c r="M30" i="7" s="1"/>
  <c r="BF31" i="7"/>
  <c r="M31" i="7" s="1"/>
  <c r="BF32" i="7"/>
  <c r="AQ32" i="7" s="1"/>
  <c r="AC936" i="24" s="1"/>
  <c r="BF33" i="7"/>
  <c r="AQ33" i="7" s="1"/>
  <c r="AC937" i="24" s="1"/>
  <c r="BF34" i="7"/>
  <c r="AQ34" i="7" s="1"/>
  <c r="AC938" i="24" s="1"/>
  <c r="BF35" i="7"/>
  <c r="AQ35" i="7" s="1"/>
  <c r="AC939" i="24" s="1"/>
  <c r="BF36" i="7"/>
  <c r="AQ36" i="7" s="1"/>
  <c r="AC940" i="24" s="1"/>
  <c r="BF37" i="7"/>
  <c r="AQ37" i="7" s="1"/>
  <c r="AC941" i="24" s="1"/>
  <c r="BF38" i="7"/>
  <c r="AQ38" i="7" s="1"/>
  <c r="AC942" i="24" s="1"/>
  <c r="BF39" i="7"/>
  <c r="M39" i="7" s="1"/>
  <c r="BF40" i="7"/>
  <c r="M40" i="7" s="1"/>
  <c r="BF41" i="7"/>
  <c r="M41" i="7" s="1"/>
  <c r="BF42" i="7"/>
  <c r="M42" i="7" s="1"/>
  <c r="BF43" i="7"/>
  <c r="M43" i="7" s="1"/>
  <c r="BF44" i="7"/>
  <c r="AQ44" i="7" s="1"/>
  <c r="AC948" i="24" s="1"/>
  <c r="BF45" i="7"/>
  <c r="AQ45" i="7" s="1"/>
  <c r="AC949" i="24" s="1"/>
  <c r="BF46" i="7"/>
  <c r="AQ46" i="7" s="1"/>
  <c r="AC950" i="24" s="1"/>
  <c r="BF47" i="7"/>
  <c r="AQ47" i="7" s="1"/>
  <c r="AC951" i="24" s="1"/>
  <c r="BF48" i="7"/>
  <c r="AQ48" i="7" s="1"/>
  <c r="AC952" i="24" s="1"/>
  <c r="BF49" i="7"/>
  <c r="AQ49" i="7" s="1"/>
  <c r="AC953" i="24" s="1"/>
  <c r="BF50" i="7"/>
  <c r="AQ50" i="7" s="1"/>
  <c r="AC954" i="24" s="1"/>
  <c r="BF51" i="7"/>
  <c r="M51" i="7" s="1"/>
  <c r="BF52" i="7"/>
  <c r="M52" i="7" s="1"/>
  <c r="BF53" i="7"/>
  <c r="M53" i="7" s="1"/>
  <c r="BF54" i="7"/>
  <c r="M54" i="7" s="1"/>
  <c r="BF55" i="7"/>
  <c r="M55" i="7" s="1"/>
  <c r="BF56" i="7"/>
  <c r="AQ56" i="7" s="1"/>
  <c r="AC960" i="24" s="1"/>
  <c r="BF57" i="7"/>
  <c r="M57" i="7" s="1"/>
  <c r="BF58" i="7"/>
  <c r="AQ58" i="7" s="1"/>
  <c r="AC962" i="24" s="1"/>
  <c r="BF59" i="7"/>
  <c r="AQ59" i="7" s="1"/>
  <c r="AC963" i="24" s="1"/>
  <c r="BF60" i="7"/>
  <c r="AQ60" i="7" s="1"/>
  <c r="AC964" i="24" s="1"/>
  <c r="BD3" i="7"/>
  <c r="BD4" i="7"/>
  <c r="AH4" i="7" s="1"/>
  <c r="W827" i="24" s="1"/>
  <c r="BD5" i="7"/>
  <c r="AH5" i="7" s="1"/>
  <c r="W828" i="24" s="1"/>
  <c r="BD6" i="7"/>
  <c r="AH6" i="7" s="1"/>
  <c r="W829" i="24" s="1"/>
  <c r="BD7" i="7"/>
  <c r="AH7" i="7" s="1"/>
  <c r="W830" i="24" s="1"/>
  <c r="BD8" i="7"/>
  <c r="I8" i="7" s="1"/>
  <c r="BD9" i="7"/>
  <c r="BD10" i="7"/>
  <c r="I10" i="7" s="1"/>
  <c r="BD11" i="7"/>
  <c r="I11" i="7" s="1"/>
  <c r="BD12" i="7"/>
  <c r="BD13" i="7"/>
  <c r="AH13" i="7" s="1"/>
  <c r="W836" i="24" s="1"/>
  <c r="BD14" i="7"/>
  <c r="AH14" i="7" s="1"/>
  <c r="W837" i="24" s="1"/>
  <c r="BD15" i="7"/>
  <c r="AH15" i="7" s="1"/>
  <c r="W838" i="24" s="1"/>
  <c r="BD16" i="7"/>
  <c r="AH16" i="7" s="1"/>
  <c r="W839" i="24" s="1"/>
  <c r="BD17" i="7"/>
  <c r="AH17" i="7" s="1"/>
  <c r="W840" i="24" s="1"/>
  <c r="BD18" i="7"/>
  <c r="AH18" i="7" s="1"/>
  <c r="W841" i="24" s="1"/>
  <c r="BD19" i="7"/>
  <c r="AH19" i="7" s="1"/>
  <c r="W842" i="24" s="1"/>
  <c r="BD20" i="7"/>
  <c r="I20" i="7" s="1"/>
  <c r="BD21" i="7"/>
  <c r="BD22" i="7"/>
  <c r="I22" i="7" s="1"/>
  <c r="BD23" i="7"/>
  <c r="BD24" i="7"/>
  <c r="I24" i="7" s="1"/>
  <c r="BD25" i="7"/>
  <c r="I25" i="7" s="1"/>
  <c r="BD26" i="7"/>
  <c r="AH26" i="7" s="1"/>
  <c r="W849" i="24" s="1"/>
  <c r="BD27" i="7"/>
  <c r="AH27" i="7" s="1"/>
  <c r="W850" i="24" s="1"/>
  <c r="BD28" i="7"/>
  <c r="AH28" i="7" s="1"/>
  <c r="W851" i="24" s="1"/>
  <c r="BD29" i="7"/>
  <c r="AH29" i="7" s="1"/>
  <c r="W852" i="24" s="1"/>
  <c r="BD30" i="7"/>
  <c r="AH30" i="7" s="1"/>
  <c r="W853" i="24" s="1"/>
  <c r="BD31" i="7"/>
  <c r="AH31" i="7" s="1"/>
  <c r="W854" i="24" s="1"/>
  <c r="BD32" i="7"/>
  <c r="AH32" i="7" s="1"/>
  <c r="W855" i="24" s="1"/>
  <c r="BD33" i="7"/>
  <c r="I33" i="7" s="1"/>
  <c r="BD34" i="7"/>
  <c r="I34" i="7" s="1"/>
  <c r="BD35" i="7"/>
  <c r="BD36" i="7"/>
  <c r="I36" i="7" s="1"/>
  <c r="BD37" i="7"/>
  <c r="I37" i="7" s="1"/>
  <c r="BD38" i="7"/>
  <c r="AH38" i="7" s="1"/>
  <c r="W861" i="24" s="1"/>
  <c r="BD39" i="7"/>
  <c r="AH39" i="7" s="1"/>
  <c r="W862" i="24" s="1"/>
  <c r="BD40" i="7"/>
  <c r="AH40" i="7" s="1"/>
  <c r="W863" i="24" s="1"/>
  <c r="BD41" i="7"/>
  <c r="AH41" i="7" s="1"/>
  <c r="W864" i="24" s="1"/>
  <c r="BD42" i="7"/>
  <c r="AH42" i="7" s="1"/>
  <c r="W865" i="24" s="1"/>
  <c r="BD43" i="7"/>
  <c r="AH43" i="7" s="1"/>
  <c r="W866" i="24" s="1"/>
  <c r="BD44" i="7"/>
  <c r="AH44" i="7" s="1"/>
  <c r="W867" i="24" s="1"/>
  <c r="BD45" i="7"/>
  <c r="BD46" i="7"/>
  <c r="I46" i="7" s="1"/>
  <c r="BD47" i="7"/>
  <c r="I47" i="7" s="1"/>
  <c r="BD48" i="7"/>
  <c r="I48" i="7" s="1"/>
  <c r="BD49" i="7"/>
  <c r="I49" i="7" s="1"/>
  <c r="BD50" i="7"/>
  <c r="AH50" i="7" s="1"/>
  <c r="W873" i="24" s="1"/>
  <c r="BD51" i="7"/>
  <c r="AH51" i="7" s="1"/>
  <c r="W874" i="24" s="1"/>
  <c r="BD52" i="7"/>
  <c r="AH52" i="7" s="1"/>
  <c r="W875" i="24" s="1"/>
  <c r="BD53" i="7"/>
  <c r="AH53" i="7" s="1"/>
  <c r="W876" i="24" s="1"/>
  <c r="BD54" i="7"/>
  <c r="AH54" i="7" s="1"/>
  <c r="W877" i="24" s="1"/>
  <c r="BD55" i="7"/>
  <c r="AH55" i="7" s="1"/>
  <c r="W878" i="24" s="1"/>
  <c r="BD56" i="7"/>
  <c r="AH56" i="7" s="1"/>
  <c r="W879" i="24" s="1"/>
  <c r="BD57" i="7"/>
  <c r="I57" i="7" s="1"/>
  <c r="BD58" i="7"/>
  <c r="I58" i="7" s="1"/>
  <c r="BD59" i="7"/>
  <c r="I59" i="7" s="1"/>
  <c r="BD60" i="7"/>
  <c r="I60" i="7" s="1"/>
  <c r="BB3" i="7"/>
  <c r="BB4" i="7"/>
  <c r="BB5" i="7"/>
  <c r="BB6" i="7"/>
  <c r="E6" i="7" s="1"/>
  <c r="BB7" i="7"/>
  <c r="E7" i="7" s="1"/>
  <c r="BB8" i="7"/>
  <c r="AB8" i="7" s="1"/>
  <c r="AC750" i="24" s="1"/>
  <c r="BB9" i="7"/>
  <c r="AB9" i="7" s="1"/>
  <c r="AC751" i="24" s="1"/>
  <c r="BB10" i="7"/>
  <c r="AB10" i="7" s="1"/>
  <c r="AC752" i="24" s="1"/>
  <c r="BB11" i="7"/>
  <c r="AB11" i="7" s="1"/>
  <c r="AC753" i="24" s="1"/>
  <c r="BB12" i="7"/>
  <c r="AB12" i="7" s="1"/>
  <c r="AC754" i="24" s="1"/>
  <c r="BB13" i="7"/>
  <c r="AB13" i="7" s="1"/>
  <c r="AC755" i="24" s="1"/>
  <c r="BB14" i="7"/>
  <c r="AB14" i="7" s="1"/>
  <c r="AC756" i="24" s="1"/>
  <c r="BB15" i="7"/>
  <c r="BB16" i="7"/>
  <c r="E16" i="7" s="1"/>
  <c r="BB17" i="7"/>
  <c r="E17" i="7" s="1"/>
  <c r="BB18" i="7"/>
  <c r="BB19" i="7"/>
  <c r="E19" i="7" s="1"/>
  <c r="BB20" i="7"/>
  <c r="AB20" i="7" s="1"/>
  <c r="AC762" i="24" s="1"/>
  <c r="BB21" i="7"/>
  <c r="AB21" i="7" s="1"/>
  <c r="AC763" i="24" s="1"/>
  <c r="BB22" i="7"/>
  <c r="AB22" i="7" s="1"/>
  <c r="AC764" i="24" s="1"/>
  <c r="BB23" i="7"/>
  <c r="AB23" i="7" s="1"/>
  <c r="AC765" i="24" s="1"/>
  <c r="BB24" i="7"/>
  <c r="AB24" i="7" s="1"/>
  <c r="AC766" i="24" s="1"/>
  <c r="BB25" i="7"/>
  <c r="AB25" i="7" s="1"/>
  <c r="AC767" i="24" s="1"/>
  <c r="BB26" i="7"/>
  <c r="AB26" i="7" s="1"/>
  <c r="AC768" i="24" s="1"/>
  <c r="BB27" i="7"/>
  <c r="AB27" i="7" s="1"/>
  <c r="AC769" i="24" s="1"/>
  <c r="BB28" i="7"/>
  <c r="E28" i="7" s="1"/>
  <c r="BB29" i="7"/>
  <c r="BB30" i="7"/>
  <c r="E30" i="7" s="1"/>
  <c r="BB31" i="7"/>
  <c r="E31" i="7" s="1"/>
  <c r="BB32" i="7"/>
  <c r="E32" i="7" s="1"/>
  <c r="BB33" i="7"/>
  <c r="AB33" i="7" s="1"/>
  <c r="AC775" i="24" s="1"/>
  <c r="BB34" i="7"/>
  <c r="AB34" i="7" s="1"/>
  <c r="AC776" i="24" s="1"/>
  <c r="BB35" i="7"/>
  <c r="AB35" i="7" s="1"/>
  <c r="AC777" i="24" s="1"/>
  <c r="BB36" i="7"/>
  <c r="AB36" i="7" s="1"/>
  <c r="AC778" i="24" s="1"/>
  <c r="BB37" i="7"/>
  <c r="AB37" i="7" s="1"/>
  <c r="AC779" i="24" s="1"/>
  <c r="BB38" i="7"/>
  <c r="AB38" i="7" s="1"/>
  <c r="AC780" i="24" s="1"/>
  <c r="BB39" i="7"/>
  <c r="AB39" i="7" s="1"/>
  <c r="AC781" i="24" s="1"/>
  <c r="BB40" i="7"/>
  <c r="E40" i="7" s="1"/>
  <c r="BB41" i="7"/>
  <c r="E41" i="7" s="1"/>
  <c r="BB42" i="7"/>
  <c r="E42" i="7" s="1"/>
  <c r="BB43" i="7"/>
  <c r="E43" i="7" s="1"/>
  <c r="BB44" i="7"/>
  <c r="E44" i="7" s="1"/>
  <c r="BB45" i="7"/>
  <c r="AB45" i="7" s="1"/>
  <c r="AC787" i="24" s="1"/>
  <c r="BB46" i="7"/>
  <c r="BB47" i="7"/>
  <c r="AB47" i="7" s="1"/>
  <c r="AC789" i="24" s="1"/>
  <c r="BB48" i="7"/>
  <c r="AB48" i="7" s="1"/>
  <c r="AC790" i="24" s="1"/>
  <c r="BB49" i="7"/>
  <c r="AB49" i="7" s="1"/>
  <c r="AC791" i="24" s="1"/>
  <c r="BB50" i="7"/>
  <c r="AB50" i="7" s="1"/>
  <c r="AC792" i="24" s="1"/>
  <c r="BB51" i="7"/>
  <c r="AB51" i="7" s="1"/>
  <c r="AC793" i="24" s="1"/>
  <c r="BB52" i="7"/>
  <c r="E52" i="7" s="1"/>
  <c r="BB53" i="7"/>
  <c r="E53" i="7" s="1"/>
  <c r="BB54" i="7"/>
  <c r="E54" i="7" s="1"/>
  <c r="BB55" i="7"/>
  <c r="E55" i="7" s="1"/>
  <c r="BB56" i="7"/>
  <c r="BB57" i="7"/>
  <c r="E57" i="7" s="1"/>
  <c r="BB58" i="7"/>
  <c r="AB58" i="7" s="1"/>
  <c r="AC800" i="24" s="1"/>
  <c r="BB59" i="7"/>
  <c r="AB59" i="7" s="1"/>
  <c r="AC801" i="24" s="1"/>
  <c r="BB60" i="7"/>
  <c r="AB60" i="7" s="1"/>
  <c r="AC802" i="24" s="1"/>
  <c r="V1847" i="24"/>
  <c r="S1847" i="24"/>
  <c r="P1847" i="24"/>
  <c r="M1847" i="24"/>
  <c r="AE1824" i="24"/>
  <c r="AE1825" i="24"/>
  <c r="AE1821" i="24"/>
  <c r="AE1820" i="24"/>
  <c r="AB1812" i="24"/>
  <c r="Y1812" i="24"/>
  <c r="V1812" i="24"/>
  <c r="S1812" i="24"/>
  <c r="P1812" i="24"/>
  <c r="M1812" i="24"/>
  <c r="AB1832" i="24"/>
  <c r="Y1832" i="24"/>
  <c r="V1832" i="24"/>
  <c r="S1832" i="24"/>
  <c r="P1832" i="24"/>
  <c r="M1832" i="24"/>
  <c r="AE1831" i="24"/>
  <c r="AE1830" i="24"/>
  <c r="AE1829" i="24"/>
  <c r="AE1828" i="24"/>
  <c r="AE1827" i="24"/>
  <c r="AE1826" i="24"/>
  <c r="AE1823" i="24"/>
  <c r="AE1822" i="24"/>
  <c r="AE1819" i="24"/>
  <c r="AE1818" i="24"/>
  <c r="AE1817" i="24"/>
  <c r="AE1816" i="24"/>
  <c r="AE1815" i="24"/>
  <c r="AB1797" i="24"/>
  <c r="Y1797" i="24"/>
  <c r="V1797" i="24"/>
  <c r="S1797" i="24"/>
  <c r="P1797" i="24"/>
  <c r="M1797" i="24"/>
  <c r="AE1796" i="24"/>
  <c r="AE1795" i="24"/>
  <c r="AE1794" i="24"/>
  <c r="AE1793" i="24"/>
  <c r="AE1792" i="24"/>
  <c r="AE1791" i="24"/>
  <c r="AE1790" i="24"/>
  <c r="AE1789" i="24"/>
  <c r="AE1788" i="24"/>
  <c r="AE1787" i="24"/>
  <c r="AE1786" i="24"/>
  <c r="AE1785" i="24"/>
  <c r="AE1784" i="24"/>
  <c r="AE1783" i="24"/>
  <c r="AE1782" i="24"/>
  <c r="AE1781" i="24"/>
  <c r="AE1780" i="24"/>
  <c r="AB1777" i="24"/>
  <c r="Y1777" i="24"/>
  <c r="V1777" i="24"/>
  <c r="S1777" i="24"/>
  <c r="P1777" i="24"/>
  <c r="M1777" i="24"/>
  <c r="B1879" i="24"/>
  <c r="B1869" i="24"/>
  <c r="B1835" i="24"/>
  <c r="B1800" i="24"/>
  <c r="B1765" i="24"/>
  <c r="B1739" i="24"/>
  <c r="B1703" i="24"/>
  <c r="B1661" i="24"/>
  <c r="G1560" i="24"/>
  <c r="O1630" i="24"/>
  <c r="B1554" i="24"/>
  <c r="G1360" i="24"/>
  <c r="O1430" i="24"/>
  <c r="B1354" i="24"/>
  <c r="G1198" i="24"/>
  <c r="G1279" i="24"/>
  <c r="O1349" i="24"/>
  <c r="B1273" i="24"/>
  <c r="G1117" i="24"/>
  <c r="O1268" i="24"/>
  <c r="B1192" i="24"/>
  <c r="B1111" i="24"/>
  <c r="B1093" i="24"/>
  <c r="B1100" i="24" s="1"/>
  <c r="B1086" i="24"/>
  <c r="G988" i="24"/>
  <c r="G907" i="24"/>
  <c r="G826" i="24"/>
  <c r="J475" i="24"/>
  <c r="I475" i="24"/>
  <c r="J474" i="24"/>
  <c r="I474" i="24"/>
  <c r="J473" i="24"/>
  <c r="I473" i="24"/>
  <c r="J472" i="24"/>
  <c r="I472" i="24"/>
  <c r="J471" i="24"/>
  <c r="I471" i="24"/>
  <c r="J470" i="24"/>
  <c r="I470" i="24"/>
  <c r="J469" i="24"/>
  <c r="I469" i="24"/>
  <c r="J468" i="24"/>
  <c r="I468" i="24"/>
  <c r="J467" i="24"/>
  <c r="I467" i="24"/>
  <c r="J466" i="24"/>
  <c r="I466" i="24"/>
  <c r="J465" i="24"/>
  <c r="I465" i="24"/>
  <c r="J464" i="24"/>
  <c r="I464" i="24"/>
  <c r="J463" i="24"/>
  <c r="I463" i="24"/>
  <c r="J462" i="24"/>
  <c r="I462" i="24"/>
  <c r="J461" i="24"/>
  <c r="I461" i="24"/>
  <c r="J460" i="24"/>
  <c r="I460" i="24"/>
  <c r="J459" i="24"/>
  <c r="I459" i="24"/>
  <c r="J458" i="24"/>
  <c r="I458" i="24"/>
  <c r="J457" i="24"/>
  <c r="I457" i="24"/>
  <c r="J456" i="24"/>
  <c r="I456" i="24"/>
  <c r="J455" i="24"/>
  <c r="I455" i="24"/>
  <c r="J454" i="24"/>
  <c r="I454" i="24"/>
  <c r="J453" i="24"/>
  <c r="I453" i="24"/>
  <c r="J452" i="24"/>
  <c r="I452" i="24"/>
  <c r="J451" i="24"/>
  <c r="I451" i="24"/>
  <c r="J450" i="24"/>
  <c r="I450" i="24"/>
  <c r="J449" i="24"/>
  <c r="I449" i="24"/>
  <c r="J448" i="24"/>
  <c r="I448" i="24"/>
  <c r="J447" i="24"/>
  <c r="I447" i="24"/>
  <c r="J446" i="24"/>
  <c r="I446" i="24"/>
  <c r="J445" i="24"/>
  <c r="I445" i="24"/>
  <c r="J444" i="24"/>
  <c r="I444" i="24"/>
  <c r="J443" i="24"/>
  <c r="I443" i="24"/>
  <c r="J442" i="24"/>
  <c r="I442" i="24"/>
  <c r="J441" i="24"/>
  <c r="I441" i="24"/>
  <c r="J440" i="24"/>
  <c r="I440" i="24"/>
  <c r="J439" i="24"/>
  <c r="I439" i="24"/>
  <c r="J438" i="24"/>
  <c r="I438" i="24"/>
  <c r="J437" i="24"/>
  <c r="I437" i="24"/>
  <c r="J436" i="24"/>
  <c r="I436" i="24"/>
  <c r="J435" i="24"/>
  <c r="I435" i="24"/>
  <c r="J434" i="24"/>
  <c r="I434" i="24"/>
  <c r="J433" i="24"/>
  <c r="I433" i="24"/>
  <c r="J432" i="24"/>
  <c r="I432" i="24"/>
  <c r="J431" i="24"/>
  <c r="I431" i="24"/>
  <c r="J430" i="24"/>
  <c r="I430" i="24"/>
  <c r="J429" i="24"/>
  <c r="I429" i="24"/>
  <c r="J428" i="24"/>
  <c r="I428" i="24"/>
  <c r="J427" i="24"/>
  <c r="I427" i="24"/>
  <c r="J426" i="24"/>
  <c r="I426" i="24"/>
  <c r="J425" i="24"/>
  <c r="I425" i="24"/>
  <c r="J424" i="24"/>
  <c r="I424" i="24"/>
  <c r="J423" i="24"/>
  <c r="I423" i="24"/>
  <c r="J422" i="24"/>
  <c r="I422" i="24"/>
  <c r="J421" i="24"/>
  <c r="I421" i="24"/>
  <c r="J420" i="24"/>
  <c r="I420" i="24"/>
  <c r="J419" i="24"/>
  <c r="I419" i="24"/>
  <c r="J418" i="24"/>
  <c r="I418" i="24"/>
  <c r="J337" i="24"/>
  <c r="I337" i="24"/>
  <c r="B1473" i="24"/>
  <c r="B1466" i="24"/>
  <c r="B1459" i="24"/>
  <c r="O1549" i="24"/>
  <c r="AH3" i="7" l="1"/>
  <c r="W826" i="24" s="1"/>
  <c r="AB46" i="7"/>
  <c r="AC788" i="24" s="1"/>
  <c r="I20" i="19"/>
  <c r="AW57" i="7"/>
  <c r="W1042" i="24" s="1"/>
  <c r="AB56" i="7"/>
  <c r="AC798" i="24" s="1"/>
  <c r="AB44" i="7"/>
  <c r="AC786" i="24" s="1"/>
  <c r="AB32" i="7"/>
  <c r="AC774" i="24" s="1"/>
  <c r="AB19" i="7"/>
  <c r="AC761" i="24" s="1"/>
  <c r="AB7" i="7"/>
  <c r="AC749" i="24" s="1"/>
  <c r="AH49" i="7"/>
  <c r="W872" i="24" s="1"/>
  <c r="AH37" i="7"/>
  <c r="W860" i="24" s="1"/>
  <c r="AH25" i="7"/>
  <c r="W848" i="24" s="1"/>
  <c r="AH12" i="7"/>
  <c r="W835" i="24" s="1"/>
  <c r="AQ55" i="7"/>
  <c r="AC959" i="24" s="1"/>
  <c r="AQ43" i="7"/>
  <c r="AC947" i="24" s="1"/>
  <c r="AQ31" i="7"/>
  <c r="AC935" i="24" s="1"/>
  <c r="AQ18" i="7"/>
  <c r="AC922" i="24" s="1"/>
  <c r="AQ6" i="7"/>
  <c r="AC910" i="24" s="1"/>
  <c r="AW50" i="7"/>
  <c r="W1035" i="24" s="1"/>
  <c r="AW38" i="7"/>
  <c r="W1023" i="24" s="1"/>
  <c r="AW26" i="7"/>
  <c r="W1011" i="24" s="1"/>
  <c r="AW12" i="7"/>
  <c r="W997" i="24" s="1"/>
  <c r="I56" i="7"/>
  <c r="I44" i="7"/>
  <c r="I32" i="7"/>
  <c r="I19" i="7"/>
  <c r="I7" i="7"/>
  <c r="M50" i="7"/>
  <c r="M38" i="7"/>
  <c r="M26" i="7"/>
  <c r="M13" i="7"/>
  <c r="Q58" i="7"/>
  <c r="Q45" i="7"/>
  <c r="Q33" i="7"/>
  <c r="Q20" i="7"/>
  <c r="Q7" i="7"/>
  <c r="E51" i="7"/>
  <c r="E27" i="7"/>
  <c r="E14" i="7"/>
  <c r="I57" i="19"/>
  <c r="I45" i="19"/>
  <c r="I33" i="19"/>
  <c r="I21" i="19"/>
  <c r="I9" i="19"/>
  <c r="AB55" i="7"/>
  <c r="AC797" i="24" s="1"/>
  <c r="AB43" i="7"/>
  <c r="AC785" i="24" s="1"/>
  <c r="AB31" i="7"/>
  <c r="AC773" i="24" s="1"/>
  <c r="AB18" i="7"/>
  <c r="AC760" i="24" s="1"/>
  <c r="AB6" i="7"/>
  <c r="AC748" i="24" s="1"/>
  <c r="AH48" i="7"/>
  <c r="W871" i="24" s="1"/>
  <c r="AH36" i="7"/>
  <c r="W859" i="24" s="1"/>
  <c r="AH24" i="7"/>
  <c r="W847" i="24" s="1"/>
  <c r="AH11" i="7"/>
  <c r="W834" i="24" s="1"/>
  <c r="AQ54" i="7"/>
  <c r="AC958" i="24" s="1"/>
  <c r="AQ42" i="7"/>
  <c r="AC946" i="24" s="1"/>
  <c r="AQ30" i="7"/>
  <c r="AC934" i="24" s="1"/>
  <c r="AQ17" i="7"/>
  <c r="AC921" i="24" s="1"/>
  <c r="AQ5" i="7"/>
  <c r="AC909" i="24" s="1"/>
  <c r="AW49" i="7"/>
  <c r="W1034" i="24" s="1"/>
  <c r="AW37" i="7"/>
  <c r="W1022" i="24" s="1"/>
  <c r="AW25" i="7"/>
  <c r="W1010" i="24" s="1"/>
  <c r="AW11" i="7"/>
  <c r="W996" i="24" s="1"/>
  <c r="I55" i="7"/>
  <c r="I31" i="7"/>
  <c r="I18" i="7"/>
  <c r="I6" i="7"/>
  <c r="M49" i="7"/>
  <c r="M37" i="7"/>
  <c r="M25" i="7"/>
  <c r="Q56" i="7"/>
  <c r="Q44" i="7"/>
  <c r="Q32" i="7"/>
  <c r="Q19" i="7"/>
  <c r="Q6" i="7"/>
  <c r="E50" i="7"/>
  <c r="E26" i="7"/>
  <c r="E13" i="7"/>
  <c r="I56" i="19"/>
  <c r="I44" i="19"/>
  <c r="I32" i="19"/>
  <c r="AB54" i="7"/>
  <c r="AC796" i="24" s="1"/>
  <c r="AB42" i="7"/>
  <c r="AC784" i="24" s="1"/>
  <c r="AB30" i="7"/>
  <c r="AC772" i="24" s="1"/>
  <c r="AB17" i="7"/>
  <c r="AC759" i="24" s="1"/>
  <c r="AH60" i="7"/>
  <c r="W883" i="24" s="1"/>
  <c r="AH47" i="7"/>
  <c r="W870" i="24" s="1"/>
  <c r="AH35" i="7"/>
  <c r="W858" i="24" s="1"/>
  <c r="AH22" i="7"/>
  <c r="W845" i="24" s="1"/>
  <c r="AH10" i="7"/>
  <c r="W833" i="24" s="1"/>
  <c r="AQ53" i="7"/>
  <c r="AC957" i="24" s="1"/>
  <c r="AQ41" i="7"/>
  <c r="AC945" i="24" s="1"/>
  <c r="AQ29" i="7"/>
  <c r="AC933" i="24" s="1"/>
  <c r="AQ16" i="7"/>
  <c r="AC920" i="24" s="1"/>
  <c r="AQ4" i="7"/>
  <c r="AC908" i="24" s="1"/>
  <c r="AW48" i="7"/>
  <c r="W1033" i="24" s="1"/>
  <c r="AW36" i="7"/>
  <c r="W1021" i="24" s="1"/>
  <c r="AW24" i="7"/>
  <c r="W1009" i="24" s="1"/>
  <c r="AW10" i="7"/>
  <c r="W995" i="24" s="1"/>
  <c r="I54" i="7"/>
  <c r="I42" i="7"/>
  <c r="I30" i="7"/>
  <c r="I17" i="7"/>
  <c r="I5" i="7"/>
  <c r="M48" i="7"/>
  <c r="M36" i="7"/>
  <c r="M24" i="7"/>
  <c r="M11" i="7"/>
  <c r="Q55" i="7"/>
  <c r="Q43" i="7"/>
  <c r="Q31" i="7"/>
  <c r="Q17" i="7"/>
  <c r="Q5" i="7"/>
  <c r="E49" i="7"/>
  <c r="E37" i="7"/>
  <c r="E25" i="7"/>
  <c r="I55" i="19"/>
  <c r="I43" i="19"/>
  <c r="I31" i="19"/>
  <c r="I19" i="19"/>
  <c r="I7" i="19"/>
  <c r="AB53" i="7"/>
  <c r="AC795" i="24" s="1"/>
  <c r="AB41" i="7"/>
  <c r="AC783" i="24" s="1"/>
  <c r="AB29" i="7"/>
  <c r="AC771" i="24" s="1"/>
  <c r="AB16" i="7"/>
  <c r="AC758" i="24" s="1"/>
  <c r="AH59" i="7"/>
  <c r="W882" i="24" s="1"/>
  <c r="AH46" i="7"/>
  <c r="W869" i="24" s="1"/>
  <c r="AH34" i="7"/>
  <c r="W857" i="24" s="1"/>
  <c r="AH21" i="7"/>
  <c r="W844" i="24" s="1"/>
  <c r="AH9" i="7"/>
  <c r="W832" i="24" s="1"/>
  <c r="AQ52" i="7"/>
  <c r="AC956" i="24" s="1"/>
  <c r="AQ40" i="7"/>
  <c r="AC944" i="24" s="1"/>
  <c r="AQ28" i="7"/>
  <c r="AC932" i="24" s="1"/>
  <c r="AQ15" i="7"/>
  <c r="AC919" i="24" s="1"/>
  <c r="AW60" i="7"/>
  <c r="W1045" i="24" s="1"/>
  <c r="AW47" i="7"/>
  <c r="W1032" i="24" s="1"/>
  <c r="AW35" i="7"/>
  <c r="W1020" i="24" s="1"/>
  <c r="AW22" i="7"/>
  <c r="W1007" i="24" s="1"/>
  <c r="AW9" i="7"/>
  <c r="W994" i="24" s="1"/>
  <c r="I53" i="7"/>
  <c r="I41" i="7"/>
  <c r="I29" i="7"/>
  <c r="I16" i="7"/>
  <c r="M60" i="7"/>
  <c r="M47" i="7"/>
  <c r="M35" i="7"/>
  <c r="M22" i="7"/>
  <c r="M10" i="7"/>
  <c r="Q54" i="7"/>
  <c r="Q42" i="7"/>
  <c r="Q30" i="7"/>
  <c r="Q16" i="7"/>
  <c r="Q4" i="7"/>
  <c r="E48" i="7"/>
  <c r="E36" i="7"/>
  <c r="E24" i="7"/>
  <c r="E11" i="7"/>
  <c r="I54" i="19"/>
  <c r="I42" i="19"/>
  <c r="I30" i="19"/>
  <c r="I18" i="19"/>
  <c r="I6" i="19"/>
  <c r="AB52" i="7"/>
  <c r="AC794" i="24" s="1"/>
  <c r="AB40" i="7"/>
  <c r="AC782" i="24" s="1"/>
  <c r="AB28" i="7"/>
  <c r="AC770" i="24" s="1"/>
  <c r="AB15" i="7"/>
  <c r="AC757" i="24" s="1"/>
  <c r="AH58" i="7"/>
  <c r="W881" i="24" s="1"/>
  <c r="AH45" i="7"/>
  <c r="W868" i="24" s="1"/>
  <c r="AH33" i="7"/>
  <c r="W856" i="24" s="1"/>
  <c r="AH20" i="7"/>
  <c r="W843" i="24" s="1"/>
  <c r="AH8" i="7"/>
  <c r="W831" i="24" s="1"/>
  <c r="AQ51" i="7"/>
  <c r="AC955" i="24" s="1"/>
  <c r="AQ39" i="7"/>
  <c r="AC943" i="24" s="1"/>
  <c r="AQ27" i="7"/>
  <c r="AC931" i="24" s="1"/>
  <c r="AQ14" i="7"/>
  <c r="AC918" i="24" s="1"/>
  <c r="AW59" i="7"/>
  <c r="W1044" i="24" s="1"/>
  <c r="AW46" i="7"/>
  <c r="W1031" i="24" s="1"/>
  <c r="AW34" i="7"/>
  <c r="W1019" i="24" s="1"/>
  <c r="AW21" i="7"/>
  <c r="W1006" i="24" s="1"/>
  <c r="AW8" i="7"/>
  <c r="W993" i="24" s="1"/>
  <c r="I52" i="7"/>
  <c r="I40" i="7"/>
  <c r="I28" i="7"/>
  <c r="I15" i="7"/>
  <c r="M59" i="7"/>
  <c r="M46" i="7"/>
  <c r="M34" i="7"/>
  <c r="M21" i="7"/>
  <c r="M9" i="7"/>
  <c r="Q53" i="7"/>
  <c r="Q41" i="7"/>
  <c r="Q29" i="7"/>
  <c r="Q15" i="7"/>
  <c r="E60" i="7"/>
  <c r="E47" i="7"/>
  <c r="E22" i="7"/>
  <c r="E10" i="7"/>
  <c r="I53" i="19"/>
  <c r="I41" i="19"/>
  <c r="I29" i="19"/>
  <c r="I17" i="19"/>
  <c r="I5" i="19"/>
  <c r="I51" i="7"/>
  <c r="I27" i="7"/>
  <c r="I14" i="7"/>
  <c r="M58" i="7"/>
  <c r="M45" i="7"/>
  <c r="M33" i="7"/>
  <c r="M20" i="7"/>
  <c r="M8" i="7"/>
  <c r="Q52" i="7"/>
  <c r="Q40" i="7"/>
  <c r="Q28" i="7"/>
  <c r="E59" i="7"/>
  <c r="E34" i="7"/>
  <c r="E9" i="7"/>
  <c r="I52" i="19"/>
  <c r="I40" i="19"/>
  <c r="I28" i="19"/>
  <c r="I16" i="19"/>
  <c r="I50" i="7"/>
  <c r="I26" i="7"/>
  <c r="I13" i="7"/>
  <c r="M44" i="7"/>
  <c r="M32" i="7"/>
  <c r="M7" i="7"/>
  <c r="Q51" i="7"/>
  <c r="Q39" i="7"/>
  <c r="Q27" i="7"/>
  <c r="Q13" i="7"/>
  <c r="E58" i="7"/>
  <c r="E33" i="7"/>
  <c r="E20" i="7"/>
  <c r="E8" i="7"/>
  <c r="I51" i="19"/>
  <c r="I39" i="19"/>
  <c r="I27" i="19"/>
  <c r="I15" i="19"/>
  <c r="I50" i="19"/>
  <c r="I38" i="19"/>
  <c r="I26" i="19"/>
  <c r="I14" i="19"/>
  <c r="I49" i="19"/>
  <c r="I37" i="19"/>
  <c r="I25" i="19"/>
  <c r="I13" i="19"/>
  <c r="I60" i="19"/>
  <c r="I48" i="19"/>
  <c r="I36" i="19"/>
  <c r="I24" i="19"/>
  <c r="I12" i="19"/>
  <c r="I59" i="19"/>
  <c r="I47" i="19"/>
  <c r="I35" i="19"/>
  <c r="I23" i="19"/>
  <c r="I11" i="19"/>
  <c r="I58" i="19"/>
  <c r="I46" i="19"/>
  <c r="I34" i="19"/>
  <c r="I22" i="19"/>
  <c r="I10" i="19"/>
  <c r="AQ57" i="7"/>
  <c r="AC961" i="24" s="1"/>
  <c r="AH57" i="7"/>
  <c r="W880" i="24" s="1"/>
  <c r="AB57" i="7"/>
  <c r="AC799" i="24" s="1"/>
  <c r="L6" i="28"/>
  <c r="AW23" i="7"/>
  <c r="W1008" i="24" s="1"/>
  <c r="AQ23" i="7"/>
  <c r="AC927" i="24" s="1"/>
  <c r="AH23" i="7"/>
  <c r="W846" i="24" s="1"/>
  <c r="AC2696" i="24"/>
  <c r="AC2695" i="24"/>
  <c r="AB5" i="7"/>
  <c r="AC747" i="24" s="1"/>
  <c r="AB3" i="7"/>
  <c r="AC745" i="24" s="1"/>
  <c r="AK61" i="19"/>
  <c r="AB4" i="7"/>
  <c r="AC746" i="24" s="1"/>
  <c r="BH61" i="7"/>
  <c r="BF61" i="7"/>
  <c r="AJ900" i="24" s="1"/>
  <c r="BD61" i="7"/>
  <c r="I43" i="7" s="1"/>
  <c r="BB61" i="7"/>
  <c r="E21" i="7" s="1"/>
  <c r="AE1797" i="24"/>
  <c r="AE1832" i="24"/>
  <c r="S1198" i="24"/>
  <c r="S1360" i="24"/>
  <c r="S1279" i="24"/>
  <c r="AA60" i="20" a="1"/>
  <c r="AA60" i="20" s="1"/>
  <c r="AA59" i="20" a="1"/>
  <c r="AA59" i="20" s="1"/>
  <c r="AA58" i="20" a="1"/>
  <c r="AA58" i="20" s="1"/>
  <c r="AA57" i="20" a="1"/>
  <c r="AA57" i="20" s="1"/>
  <c r="AA56" i="20" a="1"/>
  <c r="AA56" i="20" s="1"/>
  <c r="AA55" i="20" a="1"/>
  <c r="AA55" i="20" s="1"/>
  <c r="AA54" i="20" a="1"/>
  <c r="AA54" i="20" s="1"/>
  <c r="AA53" i="20" a="1"/>
  <c r="AA53" i="20" s="1"/>
  <c r="AA52" i="20" a="1"/>
  <c r="AA52" i="20" s="1"/>
  <c r="AA51" i="20" a="1"/>
  <c r="AA51" i="20" s="1"/>
  <c r="AA50" i="20" a="1"/>
  <c r="AA50" i="20" s="1"/>
  <c r="AA49" i="20" a="1"/>
  <c r="AA49" i="20" s="1"/>
  <c r="AA48" i="20" a="1"/>
  <c r="AA48" i="20" s="1"/>
  <c r="AA47" i="20" a="1"/>
  <c r="AA47" i="20" s="1"/>
  <c r="AA46" i="20" a="1"/>
  <c r="AA46" i="20" s="1"/>
  <c r="AA45" i="20" a="1"/>
  <c r="AA45" i="20" s="1"/>
  <c r="AA3" i="20" a="1"/>
  <c r="AA3" i="20" s="1"/>
  <c r="AA4" i="20" a="1"/>
  <c r="AA4" i="20" s="1"/>
  <c r="AA5" i="20" a="1"/>
  <c r="AA5" i="20" s="1"/>
  <c r="AA6" i="20" a="1"/>
  <c r="AA6" i="20" s="1"/>
  <c r="AA7" i="20" a="1"/>
  <c r="AA7" i="20" s="1"/>
  <c r="AA8" i="20" a="1"/>
  <c r="AA8" i="20" s="1"/>
  <c r="AA9" i="20" a="1"/>
  <c r="AA9" i="20" s="1"/>
  <c r="AA10" i="20" a="1"/>
  <c r="AA10" i="20" s="1"/>
  <c r="AA11" i="20" a="1"/>
  <c r="AA11" i="20" s="1"/>
  <c r="AA12" i="20" a="1"/>
  <c r="AA12" i="20" s="1"/>
  <c r="AA13" i="20" a="1"/>
  <c r="AA13" i="20" s="1"/>
  <c r="AA14" i="20" a="1"/>
  <c r="AA14" i="20" s="1"/>
  <c r="AA15" i="20" a="1"/>
  <c r="AA15" i="20" s="1"/>
  <c r="AA16" i="20" a="1"/>
  <c r="AA16" i="20" s="1"/>
  <c r="AA17" i="20" a="1"/>
  <c r="AA17" i="20" s="1"/>
  <c r="AA18" i="20" a="1"/>
  <c r="AA18" i="20" s="1"/>
  <c r="AA19" i="20" a="1"/>
  <c r="AA19" i="20" s="1"/>
  <c r="AA20" i="20" a="1"/>
  <c r="AA20" i="20" s="1"/>
  <c r="AA21" i="20" a="1"/>
  <c r="AA21" i="20" s="1"/>
  <c r="AA22" i="20" a="1"/>
  <c r="AA22" i="20" s="1"/>
  <c r="AA23" i="20" a="1"/>
  <c r="AA23" i="20" s="1"/>
  <c r="AA24" i="20" a="1"/>
  <c r="AA24" i="20" s="1"/>
  <c r="AA25" i="20" a="1"/>
  <c r="AA25" i="20" s="1"/>
  <c r="AA26" i="20" a="1"/>
  <c r="AA26" i="20" s="1"/>
  <c r="AA27" i="20" a="1"/>
  <c r="AA27" i="20" s="1"/>
  <c r="AA28" i="20" a="1"/>
  <c r="AA28" i="20" s="1"/>
  <c r="AA29" i="20" a="1"/>
  <c r="AA29" i="20" s="1"/>
  <c r="AA30" i="20" a="1"/>
  <c r="AA30" i="20" s="1"/>
  <c r="AA31" i="20" a="1"/>
  <c r="AA31" i="20" s="1"/>
  <c r="AA32" i="20" a="1"/>
  <c r="AA32" i="20" s="1"/>
  <c r="AA33" i="20" a="1"/>
  <c r="AA33" i="20" s="1"/>
  <c r="AA34" i="20" a="1"/>
  <c r="AA34" i="20" s="1"/>
  <c r="AA35" i="20" a="1"/>
  <c r="AA35" i="20" s="1"/>
  <c r="AA36" i="20" a="1"/>
  <c r="AA36" i="20" s="1"/>
  <c r="AA37" i="20" a="1"/>
  <c r="AA37" i="20" s="1"/>
  <c r="AA38" i="20" a="1"/>
  <c r="AA38" i="20" s="1"/>
  <c r="AA39" i="20" a="1"/>
  <c r="AA39" i="20" s="1"/>
  <c r="AA40" i="20" a="1"/>
  <c r="AA40" i="20" s="1"/>
  <c r="AA41" i="20" a="1"/>
  <c r="AA41" i="20" s="1"/>
  <c r="AA42" i="20" a="1"/>
  <c r="AA42" i="20" s="1"/>
  <c r="AA43" i="20" a="1"/>
  <c r="AA43" i="20" s="1"/>
  <c r="AA44" i="20" a="1"/>
  <c r="AA44" i="20" s="1"/>
  <c r="X475" i="24"/>
  <c r="X474" i="24"/>
  <c r="X473" i="24"/>
  <c r="X472" i="24"/>
  <c r="X471" i="24"/>
  <c r="X470" i="24"/>
  <c r="X469" i="24"/>
  <c r="X468" i="24"/>
  <c r="X467" i="24"/>
  <c r="X466" i="24"/>
  <c r="X465" i="24"/>
  <c r="X464" i="24"/>
  <c r="X463" i="24"/>
  <c r="X462" i="24"/>
  <c r="X461" i="24"/>
  <c r="X460" i="24"/>
  <c r="X459" i="24"/>
  <c r="X458" i="24"/>
  <c r="X457" i="24"/>
  <c r="X456" i="24"/>
  <c r="X455" i="24"/>
  <c r="X454" i="24"/>
  <c r="X453" i="24"/>
  <c r="X452" i="24"/>
  <c r="X451" i="24"/>
  <c r="X450" i="24"/>
  <c r="X449" i="24"/>
  <c r="X448" i="24"/>
  <c r="X447" i="24"/>
  <c r="X446" i="24"/>
  <c r="X445" i="24"/>
  <c r="X444" i="24"/>
  <c r="X443" i="24"/>
  <c r="X442" i="24"/>
  <c r="X441" i="24"/>
  <c r="X440" i="24"/>
  <c r="X439" i="24"/>
  <c r="X438" i="24"/>
  <c r="X437" i="24"/>
  <c r="X436" i="24"/>
  <c r="X435" i="24"/>
  <c r="X434" i="24"/>
  <c r="X433" i="24"/>
  <c r="X432" i="24"/>
  <c r="X431" i="24"/>
  <c r="X430" i="24"/>
  <c r="X429" i="24"/>
  <c r="X428" i="24"/>
  <c r="X427" i="24"/>
  <c r="X426" i="24"/>
  <c r="X425" i="24"/>
  <c r="X424" i="24"/>
  <c r="X423" i="24"/>
  <c r="X422" i="24"/>
  <c r="X421" i="24"/>
  <c r="X420" i="24"/>
  <c r="X419" i="24"/>
  <c r="X418" i="24"/>
  <c r="U475" i="24"/>
  <c r="U474" i="24"/>
  <c r="U473" i="24"/>
  <c r="U472" i="24"/>
  <c r="U471" i="24"/>
  <c r="U470" i="24"/>
  <c r="U469" i="24"/>
  <c r="U468" i="24"/>
  <c r="U467" i="24"/>
  <c r="U466" i="24"/>
  <c r="U465" i="24"/>
  <c r="U464" i="24"/>
  <c r="U463" i="24"/>
  <c r="U462" i="24"/>
  <c r="U461" i="24"/>
  <c r="U460" i="24"/>
  <c r="U459" i="24"/>
  <c r="U458" i="24"/>
  <c r="U457" i="24"/>
  <c r="U456" i="24"/>
  <c r="U455" i="24"/>
  <c r="U454" i="24"/>
  <c r="U453" i="24"/>
  <c r="U452" i="24"/>
  <c r="U451" i="24"/>
  <c r="U450" i="24"/>
  <c r="U449" i="24"/>
  <c r="U448" i="24"/>
  <c r="U447" i="24"/>
  <c r="U446" i="24"/>
  <c r="U445" i="24"/>
  <c r="U444" i="24"/>
  <c r="U443" i="24"/>
  <c r="U442" i="24"/>
  <c r="U441" i="24"/>
  <c r="U440" i="24"/>
  <c r="U439" i="24"/>
  <c r="U438" i="24"/>
  <c r="U437" i="24"/>
  <c r="U436" i="24"/>
  <c r="U435" i="24"/>
  <c r="U434" i="24"/>
  <c r="U433" i="24"/>
  <c r="U432" i="24"/>
  <c r="U431" i="24"/>
  <c r="U430" i="24"/>
  <c r="U429" i="24"/>
  <c r="U428" i="24"/>
  <c r="U427" i="24"/>
  <c r="U426" i="24"/>
  <c r="U425" i="24"/>
  <c r="U424" i="24"/>
  <c r="U423" i="24"/>
  <c r="U422" i="24"/>
  <c r="U421" i="24"/>
  <c r="U420" i="24"/>
  <c r="U419" i="24"/>
  <c r="U418" i="24"/>
  <c r="Q475" i="24"/>
  <c r="Q474" i="24"/>
  <c r="Q473" i="24"/>
  <c r="Q472" i="24"/>
  <c r="Q471" i="24"/>
  <c r="Q470" i="24"/>
  <c r="Q469" i="24"/>
  <c r="Q468" i="24"/>
  <c r="Q467" i="24"/>
  <c r="Q466" i="24"/>
  <c r="Q465" i="24"/>
  <c r="Q464" i="24"/>
  <c r="Q463" i="24"/>
  <c r="Q462" i="24"/>
  <c r="Q461" i="24"/>
  <c r="Q460" i="24"/>
  <c r="Q459" i="24"/>
  <c r="Q458" i="24"/>
  <c r="Q457" i="24"/>
  <c r="Q456" i="24"/>
  <c r="Q455" i="24"/>
  <c r="Q454" i="24"/>
  <c r="Q453" i="24"/>
  <c r="Q452" i="24"/>
  <c r="Q451" i="24"/>
  <c r="Q450" i="24"/>
  <c r="Q449" i="24"/>
  <c r="Q448" i="24"/>
  <c r="Q447" i="24"/>
  <c r="Q446" i="24"/>
  <c r="Q445" i="24"/>
  <c r="Q444" i="24"/>
  <c r="Q443" i="24"/>
  <c r="Q442" i="24"/>
  <c r="Q441" i="24"/>
  <c r="Q440" i="24"/>
  <c r="Q439" i="24"/>
  <c r="Q438" i="24"/>
  <c r="Q437" i="24"/>
  <c r="Q436" i="24"/>
  <c r="Q435" i="24"/>
  <c r="Q434" i="24"/>
  <c r="Q433" i="24"/>
  <c r="Q432" i="24"/>
  <c r="Q431" i="24"/>
  <c r="Q430" i="24"/>
  <c r="Q429" i="24"/>
  <c r="Q428" i="24"/>
  <c r="Q427" i="24"/>
  <c r="Q426" i="24"/>
  <c r="Q425" i="24"/>
  <c r="Q424" i="24"/>
  <c r="Q423" i="24"/>
  <c r="Q422" i="24"/>
  <c r="Q421" i="24"/>
  <c r="Q420" i="24"/>
  <c r="Q419" i="24"/>
  <c r="Q418" i="24"/>
  <c r="M475" i="24"/>
  <c r="M474" i="24"/>
  <c r="M473" i="24"/>
  <c r="M472" i="24"/>
  <c r="M471" i="24"/>
  <c r="M470" i="24"/>
  <c r="M469" i="24"/>
  <c r="M468" i="24"/>
  <c r="M467" i="24"/>
  <c r="M466" i="24"/>
  <c r="M465" i="24"/>
  <c r="M464" i="24"/>
  <c r="M463" i="24"/>
  <c r="M462" i="24"/>
  <c r="M461" i="24"/>
  <c r="M460" i="24"/>
  <c r="M459" i="24"/>
  <c r="M458" i="24"/>
  <c r="M457" i="24"/>
  <c r="M456" i="24"/>
  <c r="M455" i="24"/>
  <c r="M454" i="24"/>
  <c r="M453" i="24"/>
  <c r="M452" i="24"/>
  <c r="M451" i="24"/>
  <c r="M450" i="24"/>
  <c r="M449" i="24"/>
  <c r="M448" i="24"/>
  <c r="M447" i="24"/>
  <c r="M446" i="24"/>
  <c r="M445" i="24"/>
  <c r="M444" i="24"/>
  <c r="M443" i="24"/>
  <c r="M442" i="24"/>
  <c r="M441" i="24"/>
  <c r="M440" i="24"/>
  <c r="M439" i="24"/>
  <c r="M438" i="24"/>
  <c r="M437" i="24"/>
  <c r="M436" i="24"/>
  <c r="M435" i="24"/>
  <c r="M434" i="24"/>
  <c r="M433" i="24"/>
  <c r="M432" i="24"/>
  <c r="M431" i="24"/>
  <c r="M430" i="24"/>
  <c r="M429" i="24"/>
  <c r="M428" i="24"/>
  <c r="M427" i="24"/>
  <c r="M426" i="24"/>
  <c r="M425" i="24"/>
  <c r="M424" i="24"/>
  <c r="M423" i="24"/>
  <c r="M422" i="24"/>
  <c r="M421" i="24"/>
  <c r="M420" i="24"/>
  <c r="M419" i="24"/>
  <c r="M418" i="24"/>
  <c r="K475" i="24"/>
  <c r="K474" i="24"/>
  <c r="K473" i="24"/>
  <c r="K472" i="24"/>
  <c r="K471" i="24"/>
  <c r="K470" i="24"/>
  <c r="K469" i="24"/>
  <c r="K468" i="24"/>
  <c r="K467" i="24"/>
  <c r="K466" i="24"/>
  <c r="K465" i="24"/>
  <c r="K464" i="24"/>
  <c r="K463" i="24"/>
  <c r="K462" i="24"/>
  <c r="K461" i="24"/>
  <c r="K460" i="24"/>
  <c r="K459" i="24"/>
  <c r="K458" i="24"/>
  <c r="K457" i="24"/>
  <c r="K456" i="24"/>
  <c r="K455" i="24"/>
  <c r="K454" i="24"/>
  <c r="K453" i="24"/>
  <c r="K452" i="24"/>
  <c r="K451" i="24"/>
  <c r="K450" i="24"/>
  <c r="K449" i="24"/>
  <c r="K448" i="24"/>
  <c r="K447" i="24"/>
  <c r="K446" i="24"/>
  <c r="K445" i="24"/>
  <c r="K444" i="24"/>
  <c r="K443" i="24"/>
  <c r="K442" i="24"/>
  <c r="K441" i="24"/>
  <c r="K440" i="24"/>
  <c r="K439" i="24"/>
  <c r="K438" i="24"/>
  <c r="K437" i="24"/>
  <c r="K436" i="24"/>
  <c r="K435" i="24"/>
  <c r="K434" i="24"/>
  <c r="K433" i="24"/>
  <c r="K432" i="24"/>
  <c r="K431" i="24"/>
  <c r="K430" i="24"/>
  <c r="K429" i="24"/>
  <c r="K428" i="24"/>
  <c r="K427" i="24"/>
  <c r="K426" i="24"/>
  <c r="K425" i="24"/>
  <c r="K424" i="24"/>
  <c r="K423" i="24"/>
  <c r="K422" i="24"/>
  <c r="K421" i="24"/>
  <c r="K420" i="24"/>
  <c r="K419" i="24"/>
  <c r="K418" i="24"/>
  <c r="E35" i="7" l="1"/>
  <c r="E18" i="7"/>
  <c r="I45" i="7"/>
  <c r="I9" i="7"/>
  <c r="L9" i="28" s="1"/>
  <c r="L31" i="28"/>
  <c r="M14" i="7"/>
  <c r="L37" i="28"/>
  <c r="L50" i="28"/>
  <c r="E45" i="7"/>
  <c r="E15" i="7"/>
  <c r="L15" i="28" s="1"/>
  <c r="L25" i="28"/>
  <c r="E38" i="7"/>
  <c r="L55" i="28"/>
  <c r="E46" i="7"/>
  <c r="L46" i="28" s="1"/>
  <c r="E29" i="7"/>
  <c r="L29" i="28" s="1"/>
  <c r="L40" i="28"/>
  <c r="E39" i="7"/>
  <c r="L11" i="28"/>
  <c r="L47" i="28"/>
  <c r="L43" i="28"/>
  <c r="M56" i="7"/>
  <c r="L60" i="28"/>
  <c r="E56" i="7"/>
  <c r="M12" i="7"/>
  <c r="M19" i="7"/>
  <c r="L19" i="28" s="1"/>
  <c r="L10" i="28"/>
  <c r="L36" i="28"/>
  <c r="L42" i="28"/>
  <c r="L16" i="28"/>
  <c r="L41" i="28"/>
  <c r="L28" i="28"/>
  <c r="E12" i="7"/>
  <c r="L54" i="28"/>
  <c r="L17" i="28"/>
  <c r="L22" i="28"/>
  <c r="L58" i="28"/>
  <c r="L34" i="28"/>
  <c r="L30" i="28"/>
  <c r="L26" i="28"/>
  <c r="L59" i="28"/>
  <c r="L32" i="28"/>
  <c r="L33" i="28"/>
  <c r="L24" i="28"/>
  <c r="L20" i="28"/>
  <c r="L8" i="28"/>
  <c r="L48" i="28"/>
  <c r="L44" i="28"/>
  <c r="L52" i="28"/>
  <c r="L13" i="28"/>
  <c r="L51" i="28"/>
  <c r="L53" i="28"/>
  <c r="L49" i="28"/>
  <c r="L27" i="28"/>
  <c r="L7" i="28"/>
  <c r="H2754" i="24"/>
  <c r="AJ2688" i="24"/>
  <c r="H885" i="24"/>
  <c r="AJ819" i="24"/>
  <c r="E5" i="7"/>
  <c r="L5" i="28" s="1"/>
  <c r="H804" i="24"/>
  <c r="AJ738" i="24"/>
  <c r="H1047" i="24"/>
  <c r="AJ981" i="24"/>
  <c r="AJ965" i="24"/>
  <c r="AJ962" i="24"/>
  <c r="AJ950" i="24"/>
  <c r="AJ938" i="24"/>
  <c r="AJ926" i="24"/>
  <c r="AJ914" i="24"/>
  <c r="AJ961" i="24"/>
  <c r="AJ949" i="24"/>
  <c r="AJ937" i="24"/>
  <c r="AJ925" i="24"/>
  <c r="AJ913" i="24"/>
  <c r="AJ960" i="24"/>
  <c r="AJ948" i="24"/>
  <c r="AJ936" i="24"/>
  <c r="AJ924" i="24"/>
  <c r="AJ912" i="24"/>
  <c r="AJ959" i="24"/>
  <c r="AJ958" i="24"/>
  <c r="AJ946" i="24"/>
  <c r="AJ934" i="24"/>
  <c r="AJ922" i="24"/>
  <c r="AJ910" i="24"/>
  <c r="AJ957" i="24"/>
  <c r="AJ945" i="24"/>
  <c r="AJ933" i="24"/>
  <c r="AJ921" i="24"/>
  <c r="AJ909" i="24"/>
  <c r="AJ956" i="24"/>
  <c r="AJ944" i="24"/>
  <c r="AJ932" i="24"/>
  <c r="AJ920" i="24"/>
  <c r="AJ908" i="24"/>
  <c r="AJ947" i="24"/>
  <c r="AJ911" i="24"/>
  <c r="AJ955" i="24"/>
  <c r="AJ943" i="24"/>
  <c r="AJ931" i="24"/>
  <c r="AJ919" i="24"/>
  <c r="AJ954" i="24"/>
  <c r="AJ942" i="24"/>
  <c r="AJ930" i="24"/>
  <c r="AJ918" i="24"/>
  <c r="AJ951" i="24"/>
  <c r="AJ935" i="24"/>
  <c r="AJ953" i="24"/>
  <c r="AJ941" i="24"/>
  <c r="AJ929" i="24"/>
  <c r="AJ917" i="24"/>
  <c r="AJ964" i="24"/>
  <c r="AJ952" i="24"/>
  <c r="AJ940" i="24"/>
  <c r="AJ928" i="24"/>
  <c r="AJ916" i="24"/>
  <c r="AJ963" i="24"/>
  <c r="AJ939" i="24"/>
  <c r="AJ927" i="24"/>
  <c r="AJ915" i="24"/>
  <c r="AJ923" i="24"/>
  <c r="AJ907" i="24"/>
  <c r="E23" i="7"/>
  <c r="S622" i="24"/>
  <c r="G475" i="24"/>
  <c r="AA474" i="24"/>
  <c r="G474" i="24"/>
  <c r="AA473" i="24"/>
  <c r="G473" i="24"/>
  <c r="G472" i="24"/>
  <c r="G471" i="24"/>
  <c r="G470" i="24"/>
  <c r="G469" i="24"/>
  <c r="AA468" i="24"/>
  <c r="G468" i="24"/>
  <c r="AA467" i="24"/>
  <c r="G467" i="24"/>
  <c r="G466" i="24"/>
  <c r="AA465" i="24"/>
  <c r="G465" i="24"/>
  <c r="G464" i="24"/>
  <c r="G463" i="24"/>
  <c r="AA462" i="24"/>
  <c r="G462" i="24"/>
  <c r="AA461" i="24"/>
  <c r="G461" i="24"/>
  <c r="AA460" i="24"/>
  <c r="G460" i="24"/>
  <c r="G459" i="24"/>
  <c r="G458" i="24"/>
  <c r="G457" i="24"/>
  <c r="G456" i="24"/>
  <c r="G455" i="24"/>
  <c r="G454" i="24"/>
  <c r="G453" i="24"/>
  <c r="G452" i="24"/>
  <c r="AA451" i="24"/>
  <c r="G451" i="24"/>
  <c r="G450" i="24"/>
  <c r="G449" i="24"/>
  <c r="AA448" i="24"/>
  <c r="G448" i="24"/>
  <c r="G447" i="24"/>
  <c r="G446" i="24"/>
  <c r="G445" i="24"/>
  <c r="G444" i="24"/>
  <c r="G443" i="24"/>
  <c r="AA442" i="24"/>
  <c r="G442" i="24"/>
  <c r="G441" i="24"/>
  <c r="G440" i="24"/>
  <c r="AA439" i="24"/>
  <c r="G439" i="24"/>
  <c r="G438" i="24"/>
  <c r="AA437" i="24"/>
  <c r="G437" i="24"/>
  <c r="G436" i="24"/>
  <c r="G435" i="24"/>
  <c r="AA434" i="24"/>
  <c r="G434" i="24"/>
  <c r="G433" i="24"/>
  <c r="G432" i="24"/>
  <c r="G431" i="24"/>
  <c r="G430" i="24"/>
  <c r="G429" i="24"/>
  <c r="G428" i="24"/>
  <c r="G427" i="24"/>
  <c r="G426" i="24"/>
  <c r="AA425" i="24"/>
  <c r="G425" i="24"/>
  <c r="G424" i="24"/>
  <c r="G423" i="24"/>
  <c r="G422" i="24"/>
  <c r="AA421" i="24"/>
  <c r="G421" i="24"/>
  <c r="G420" i="24"/>
  <c r="G419" i="24"/>
  <c r="AA418" i="24"/>
  <c r="G418" i="24"/>
  <c r="G337" i="24"/>
  <c r="B117" i="24"/>
  <c r="AO61" i="16"/>
  <c r="AN61" i="16"/>
  <c r="BR61" i="4"/>
  <c r="BQ61" i="4"/>
  <c r="L45" i="28" l="1"/>
  <c r="L56" i="28"/>
  <c r="AJ2753" i="24"/>
  <c r="AJ2695" i="24"/>
  <c r="AJ884" i="24"/>
  <c r="AJ867" i="24"/>
  <c r="AJ844" i="24"/>
  <c r="AJ830" i="24"/>
  <c r="AJ848" i="24"/>
  <c r="AJ883" i="24"/>
  <c r="AJ876" i="24"/>
  <c r="AJ849" i="24"/>
  <c r="AJ831" i="24"/>
  <c r="AJ827" i="24"/>
  <c r="AJ840" i="24"/>
  <c r="AJ858" i="24"/>
  <c r="AJ859" i="24"/>
  <c r="AJ835" i="24"/>
  <c r="AJ853" i="24"/>
  <c r="AJ862" i="24"/>
  <c r="AJ871" i="24"/>
  <c r="AJ857" i="24"/>
  <c r="AJ856" i="24"/>
  <c r="AJ846" i="24"/>
  <c r="AJ875" i="24"/>
  <c r="AJ834" i="24"/>
  <c r="AJ880" i="24"/>
  <c r="AJ881" i="24"/>
  <c r="AJ852" i="24"/>
  <c r="AJ877" i="24"/>
  <c r="AJ878" i="24"/>
  <c r="AJ855" i="24"/>
  <c r="AJ836" i="24"/>
  <c r="AJ850" i="24"/>
  <c r="AJ874" i="24"/>
  <c r="AJ851" i="24"/>
  <c r="AJ841" i="24"/>
  <c r="AJ839" i="24"/>
  <c r="AJ837" i="24"/>
  <c r="AJ870" i="24"/>
  <c r="AJ882" i="24"/>
  <c r="AJ865" i="24"/>
  <c r="AJ872" i="24"/>
  <c r="AJ869" i="24"/>
  <c r="AJ842" i="24"/>
  <c r="AJ868" i="24"/>
  <c r="AJ833" i="24"/>
  <c r="AJ843" i="24"/>
  <c r="AJ847" i="24"/>
  <c r="AJ832" i="24"/>
  <c r="AJ864" i="24"/>
  <c r="AJ845" i="24"/>
  <c r="AJ861" i="24"/>
  <c r="AJ866" i="24"/>
  <c r="AJ860" i="24"/>
  <c r="AJ838" i="24"/>
  <c r="AJ863" i="24"/>
  <c r="AJ854" i="24"/>
  <c r="AJ828" i="24"/>
  <c r="AJ873" i="24"/>
  <c r="AJ829" i="24"/>
  <c r="AJ879" i="24"/>
  <c r="AJ803" i="24"/>
  <c r="AJ801" i="24"/>
  <c r="AJ758" i="24"/>
  <c r="AJ793" i="24"/>
  <c r="AJ750" i="24"/>
  <c r="AJ768" i="24"/>
  <c r="AJ778" i="24"/>
  <c r="AJ790" i="24"/>
  <c r="AJ796" i="24"/>
  <c r="AJ747" i="24"/>
  <c r="AJ765" i="24"/>
  <c r="AJ779" i="24"/>
  <c r="AJ797" i="24"/>
  <c r="AJ767" i="24"/>
  <c r="AJ773" i="24"/>
  <c r="AJ783" i="24"/>
  <c r="AJ759" i="24"/>
  <c r="AJ762" i="24"/>
  <c r="AJ776" i="24"/>
  <c r="AJ749" i="24"/>
  <c r="AJ757" i="24"/>
  <c r="AJ761" i="24"/>
  <c r="AJ788" i="24"/>
  <c r="AJ785" i="24"/>
  <c r="AJ760" i="24"/>
  <c r="AJ748" i="24"/>
  <c r="AJ786" i="24"/>
  <c r="AJ789" i="24"/>
  <c r="AJ794" i="24"/>
  <c r="AJ795" i="24"/>
  <c r="AJ798" i="24"/>
  <c r="AJ764" i="24"/>
  <c r="AJ753" i="24"/>
  <c r="AJ802" i="24"/>
  <c r="AJ769" i="24"/>
  <c r="AJ756" i="24"/>
  <c r="AJ782" i="24"/>
  <c r="AJ791" i="24"/>
  <c r="AJ799" i="24"/>
  <c r="AJ763" i="24"/>
  <c r="AJ771" i="24"/>
  <c r="AJ800" i="24"/>
  <c r="AJ766" i="24"/>
  <c r="AJ781" i="24"/>
  <c r="AJ772" i="24"/>
  <c r="AJ787" i="24"/>
  <c r="AJ792" i="24"/>
  <c r="AJ755" i="24"/>
  <c r="AJ770" i="24"/>
  <c r="AJ746" i="24"/>
  <c r="AJ751" i="24"/>
  <c r="AJ775" i="24"/>
  <c r="AJ780" i="24"/>
  <c r="AJ754" i="24"/>
  <c r="AJ752" i="24"/>
  <c r="AJ774" i="24"/>
  <c r="AJ777" i="24"/>
  <c r="AJ784" i="24"/>
  <c r="AA337" i="24"/>
  <c r="AA447" i="24"/>
  <c r="AA471" i="24"/>
  <c r="AA443" i="24"/>
  <c r="AA449" i="24"/>
  <c r="AA455" i="24"/>
  <c r="AA458" i="24"/>
  <c r="AA430" i="24"/>
  <c r="AA433" i="24"/>
  <c r="AA436" i="24"/>
  <c r="AA420" i="24"/>
  <c r="AA445" i="24"/>
  <c r="AA457" i="24"/>
  <c r="AA463" i="24"/>
  <c r="AA466" i="24"/>
  <c r="AA426" i="24"/>
  <c r="AA429" i="24"/>
  <c r="AA469" i="24"/>
  <c r="AA438" i="24"/>
  <c r="AA441" i="24"/>
  <c r="AA444" i="24"/>
  <c r="AA450" i="24"/>
  <c r="AA453" i="24"/>
  <c r="AA456" i="24"/>
  <c r="AA459" i="24"/>
  <c r="AA446" i="24"/>
  <c r="AA470" i="24"/>
  <c r="AA423" i="24"/>
  <c r="AA432" i="24"/>
  <c r="AA452" i="24"/>
  <c r="AA422" i="24"/>
  <c r="AA427" i="24"/>
  <c r="AA419" i="24"/>
  <c r="AA428" i="24"/>
  <c r="AA435" i="24"/>
  <c r="AA472" i="24"/>
  <c r="AA475" i="24"/>
  <c r="AA424" i="24"/>
  <c r="AA431" i="24"/>
  <c r="AA454" i="24"/>
  <c r="AA440" i="24"/>
  <c r="AA464" i="24"/>
  <c r="Q3" i="12"/>
  <c r="Q4" i="12"/>
  <c r="R4" i="12" s="1"/>
  <c r="W543" i="24" s="1"/>
  <c r="Q5" i="12"/>
  <c r="R5" i="12" s="1"/>
  <c r="W544" i="24" s="1"/>
  <c r="AG61" i="17"/>
  <c r="Z61" i="17"/>
  <c r="Y61" i="17"/>
  <c r="X61" i="17"/>
  <c r="Q61" i="17"/>
  <c r="P61" i="17"/>
  <c r="O61" i="17"/>
  <c r="N61" i="17"/>
  <c r="M61" i="17"/>
  <c r="L61" i="17"/>
  <c r="AD61" i="12"/>
  <c r="AF61" i="18"/>
  <c r="BC61" i="10"/>
  <c r="AM61" i="16"/>
  <c r="BP61" i="4"/>
  <c r="AD3" i="20"/>
  <c r="AF3" i="20" s="1"/>
  <c r="AH3" i="20" s="1"/>
  <c r="AD4" i="20"/>
  <c r="AF4" i="20" s="1"/>
  <c r="AH4" i="20" s="1"/>
  <c r="AD5" i="20"/>
  <c r="AF5" i="20" s="1"/>
  <c r="AH5" i="20" s="1"/>
  <c r="AD6" i="20"/>
  <c r="AF6" i="20" s="1"/>
  <c r="AH6" i="20" s="1"/>
  <c r="AD7" i="20"/>
  <c r="AF7" i="20" s="1"/>
  <c r="AH7" i="20" s="1"/>
  <c r="AD8" i="20"/>
  <c r="AF8" i="20" s="1"/>
  <c r="AH8" i="20" s="1"/>
  <c r="AD9" i="20"/>
  <c r="AF9" i="20" s="1"/>
  <c r="AH9" i="20" s="1"/>
  <c r="AD10" i="20"/>
  <c r="AF10" i="20" s="1"/>
  <c r="AH10" i="20" s="1"/>
  <c r="AD11" i="20"/>
  <c r="AF11" i="20" s="1"/>
  <c r="AH11" i="20" s="1"/>
  <c r="AD12" i="20"/>
  <c r="AF12" i="20" s="1"/>
  <c r="AH12" i="20" s="1"/>
  <c r="AD13" i="20"/>
  <c r="AF13" i="20" s="1"/>
  <c r="AH13" i="20" s="1"/>
  <c r="AD14" i="20"/>
  <c r="AF14" i="20" s="1"/>
  <c r="AH14" i="20" s="1"/>
  <c r="AD15" i="20"/>
  <c r="AF15" i="20" s="1"/>
  <c r="AH15" i="20" s="1"/>
  <c r="AD16" i="20"/>
  <c r="AF16" i="20" s="1"/>
  <c r="AH16" i="20" s="1"/>
  <c r="AD17" i="20"/>
  <c r="AF17" i="20" s="1"/>
  <c r="AH17" i="20" s="1"/>
  <c r="AD18" i="20"/>
  <c r="AF18" i="20" s="1"/>
  <c r="AH18" i="20" s="1"/>
  <c r="AD19" i="20"/>
  <c r="AF19" i="20" s="1"/>
  <c r="AH19" i="20" s="1"/>
  <c r="AD20" i="20"/>
  <c r="AF20" i="20" s="1"/>
  <c r="AH20" i="20" s="1"/>
  <c r="AD21" i="20"/>
  <c r="AF21" i="20" s="1"/>
  <c r="AH21" i="20" s="1"/>
  <c r="AD22" i="20"/>
  <c r="AF22" i="20" s="1"/>
  <c r="AH22" i="20" s="1"/>
  <c r="AD23" i="20"/>
  <c r="AF23" i="20" s="1"/>
  <c r="AH23" i="20" s="1"/>
  <c r="AD24" i="20"/>
  <c r="AF24" i="20" s="1"/>
  <c r="AH24" i="20" s="1"/>
  <c r="AD25" i="20"/>
  <c r="AF25" i="20" s="1"/>
  <c r="AH25" i="20" s="1"/>
  <c r="AD26" i="20"/>
  <c r="AF26" i="20" s="1"/>
  <c r="AH26" i="20" s="1"/>
  <c r="AD27" i="20"/>
  <c r="AF27" i="20" s="1"/>
  <c r="AH27" i="20" s="1"/>
  <c r="AD28" i="20"/>
  <c r="AF28" i="20" s="1"/>
  <c r="AH28" i="20" s="1"/>
  <c r="AD29" i="20"/>
  <c r="AF29" i="20" s="1"/>
  <c r="AH29" i="20" s="1"/>
  <c r="AD30" i="20"/>
  <c r="AF30" i="20" s="1"/>
  <c r="AH30" i="20" s="1"/>
  <c r="AD31" i="20"/>
  <c r="AF31" i="20" s="1"/>
  <c r="AH31" i="20" s="1"/>
  <c r="AD32" i="20"/>
  <c r="AF32" i="20" s="1"/>
  <c r="AH32" i="20" s="1"/>
  <c r="AD33" i="20"/>
  <c r="AF33" i="20" s="1"/>
  <c r="AH33" i="20" s="1"/>
  <c r="AD34" i="20"/>
  <c r="AF34" i="20" s="1"/>
  <c r="AH34" i="20" s="1"/>
  <c r="AD35" i="20"/>
  <c r="AF35" i="20" s="1"/>
  <c r="AH35" i="20" s="1"/>
  <c r="AD36" i="20"/>
  <c r="AF36" i="20" s="1"/>
  <c r="AH36" i="20" s="1"/>
  <c r="AD37" i="20"/>
  <c r="AF37" i="20" s="1"/>
  <c r="AH37" i="20" s="1"/>
  <c r="AD38" i="20"/>
  <c r="AF38" i="20" s="1"/>
  <c r="AH38" i="20" s="1"/>
  <c r="AD39" i="20"/>
  <c r="AF39" i="20" s="1"/>
  <c r="AH39" i="20" s="1"/>
  <c r="AD40" i="20"/>
  <c r="AF40" i="20" s="1"/>
  <c r="AH40" i="20" s="1"/>
  <c r="AD41" i="20"/>
  <c r="AF41" i="20" s="1"/>
  <c r="AH41" i="20" s="1"/>
  <c r="AD42" i="20"/>
  <c r="AF42" i="20" s="1"/>
  <c r="AH42" i="20" s="1"/>
  <c r="AD43" i="20"/>
  <c r="AF43" i="20" s="1"/>
  <c r="AH43" i="20" s="1"/>
  <c r="AD44" i="20"/>
  <c r="AF44" i="20" s="1"/>
  <c r="AH44" i="20" s="1"/>
  <c r="AD45" i="20"/>
  <c r="AF45" i="20" s="1"/>
  <c r="AH45" i="20" s="1"/>
  <c r="AD46" i="20"/>
  <c r="AF46" i="20" s="1"/>
  <c r="AH46" i="20" s="1"/>
  <c r="AD47" i="20"/>
  <c r="AF47" i="20" s="1"/>
  <c r="AH47" i="20" s="1"/>
  <c r="AD48" i="20"/>
  <c r="AF48" i="20" s="1"/>
  <c r="AH48" i="20" s="1"/>
  <c r="AD49" i="20"/>
  <c r="AF49" i="20" s="1"/>
  <c r="AH49" i="20" s="1"/>
  <c r="AD50" i="20"/>
  <c r="AF50" i="20" s="1"/>
  <c r="AH50" i="20" s="1"/>
  <c r="AD51" i="20"/>
  <c r="AF51" i="20" s="1"/>
  <c r="AH51" i="20" s="1"/>
  <c r="AD52" i="20"/>
  <c r="AF52" i="20" s="1"/>
  <c r="AH52" i="20" s="1"/>
  <c r="AD53" i="20"/>
  <c r="AF53" i="20" s="1"/>
  <c r="AH53" i="20" s="1"/>
  <c r="AD54" i="20"/>
  <c r="AF54" i="20" s="1"/>
  <c r="AH54" i="20" s="1"/>
  <c r="AD55" i="20"/>
  <c r="AF55" i="20" s="1"/>
  <c r="AH55" i="20" s="1"/>
  <c r="AD56" i="20"/>
  <c r="AF56" i="20" s="1"/>
  <c r="AH56" i="20" s="1"/>
  <c r="AD57" i="20"/>
  <c r="AF57" i="20" s="1"/>
  <c r="AH57" i="20" s="1"/>
  <c r="AD58" i="20"/>
  <c r="AF58" i="20" s="1"/>
  <c r="AH58" i="20" s="1"/>
  <c r="AD59" i="20"/>
  <c r="AF59" i="20" s="1"/>
  <c r="AH59" i="20" s="1"/>
  <c r="AD60" i="20"/>
  <c r="AF60" i="20" s="1"/>
  <c r="AH60" i="20" s="1"/>
  <c r="O1174" i="24"/>
  <c r="K1174" i="24"/>
  <c r="O1173" i="24"/>
  <c r="K1173" i="24"/>
  <c r="O1172" i="24"/>
  <c r="K1172" i="24"/>
  <c r="O1171" i="24"/>
  <c r="K1171" i="24"/>
  <c r="O1170" i="24"/>
  <c r="K1170" i="24"/>
  <c r="O1169" i="24"/>
  <c r="K1169" i="24"/>
  <c r="O1168" i="24"/>
  <c r="K1168" i="24"/>
  <c r="O1167" i="24"/>
  <c r="K1167" i="24"/>
  <c r="O1166" i="24"/>
  <c r="K1166" i="24"/>
  <c r="O1165" i="24"/>
  <c r="K1165" i="24"/>
  <c r="O1164" i="24"/>
  <c r="K1164" i="24"/>
  <c r="O1163" i="24"/>
  <c r="K1163" i="24"/>
  <c r="O1162" i="24"/>
  <c r="K1162" i="24"/>
  <c r="O1161" i="24"/>
  <c r="K1161" i="24"/>
  <c r="O1160" i="24"/>
  <c r="K1160" i="24"/>
  <c r="O1159" i="24"/>
  <c r="K1159" i="24"/>
  <c r="O1158" i="24"/>
  <c r="K1158" i="24"/>
  <c r="O1157" i="24"/>
  <c r="K1157" i="24"/>
  <c r="O1156" i="24"/>
  <c r="K1156" i="24"/>
  <c r="O1155" i="24"/>
  <c r="K1155" i="24"/>
  <c r="O1154" i="24"/>
  <c r="K1154" i="24"/>
  <c r="O1153" i="24"/>
  <c r="K1153" i="24"/>
  <c r="O1152" i="24"/>
  <c r="K1152" i="24"/>
  <c r="O1151" i="24"/>
  <c r="K1151" i="24"/>
  <c r="O1150" i="24"/>
  <c r="K1150" i="24"/>
  <c r="O1149" i="24"/>
  <c r="K1149" i="24"/>
  <c r="O1148" i="24"/>
  <c r="K1148" i="24"/>
  <c r="O1147" i="24"/>
  <c r="K1147" i="24"/>
  <c r="O1146" i="24"/>
  <c r="K1146" i="24"/>
  <c r="O1145" i="24"/>
  <c r="K1145" i="24"/>
  <c r="O1144" i="24"/>
  <c r="K1144" i="24"/>
  <c r="O1143" i="24"/>
  <c r="K1143" i="24"/>
  <c r="O1142" i="24"/>
  <c r="K1142" i="24"/>
  <c r="O1141" i="24"/>
  <c r="K1141" i="24"/>
  <c r="O1140" i="24"/>
  <c r="K1140" i="24"/>
  <c r="O1139" i="24"/>
  <c r="K1139" i="24"/>
  <c r="O1138" i="24"/>
  <c r="K1138" i="24"/>
  <c r="O1137" i="24"/>
  <c r="K1137" i="24"/>
  <c r="O1136" i="24"/>
  <c r="K1136" i="24"/>
  <c r="O1135" i="24"/>
  <c r="K1135" i="24"/>
  <c r="O1134" i="24"/>
  <c r="K1134" i="24"/>
  <c r="O1133" i="24"/>
  <c r="K1133" i="24"/>
  <c r="O1132" i="24"/>
  <c r="K1132" i="24"/>
  <c r="O1131" i="24"/>
  <c r="K1131" i="24"/>
  <c r="O1130" i="24"/>
  <c r="K1130" i="24"/>
  <c r="O1129" i="24"/>
  <c r="K1129" i="24"/>
  <c r="O1128" i="24"/>
  <c r="K1128" i="24"/>
  <c r="O1127" i="24"/>
  <c r="K1127" i="24"/>
  <c r="O1126" i="24"/>
  <c r="K1126" i="24"/>
  <c r="O1125" i="24"/>
  <c r="K1125" i="24"/>
  <c r="O1124" i="24"/>
  <c r="K1124" i="24"/>
  <c r="O1123" i="24"/>
  <c r="K1123" i="24"/>
  <c r="O1122" i="24"/>
  <c r="K1122" i="24"/>
  <c r="O1121" i="24"/>
  <c r="K1121" i="24"/>
  <c r="O1120" i="24"/>
  <c r="K1120" i="24"/>
  <c r="O1119" i="24"/>
  <c r="K1119" i="24"/>
  <c r="O1118" i="24"/>
  <c r="K1118" i="24"/>
  <c r="S988" i="24"/>
  <c r="S826" i="24"/>
  <c r="AJ826" i="24" s="1"/>
  <c r="Y745" i="24"/>
  <c r="AJ745" i="24" s="1"/>
  <c r="B109" i="24"/>
  <c r="B82" i="24"/>
  <c r="B71" i="24"/>
  <c r="AE1079" i="24" a="1"/>
  <c r="AE128" i="24" a="1"/>
  <c r="AE707" i="24" a="1"/>
  <c r="AE507" i="24" a="1"/>
  <c r="AE1071" i="24" a="1"/>
  <c r="AE1073" i="24" a="1"/>
  <c r="AE130" i="24" a="1"/>
  <c r="AE711" i="24" a="1"/>
  <c r="AE134" i="24" a="1"/>
  <c r="AE132" i="24" a="1"/>
  <c r="AE713" i="24" a="1"/>
  <c r="AE509" i="24" a="1"/>
  <c r="AE1075" i="24" a="1"/>
  <c r="AE1077" i="24" a="1"/>
  <c r="AE136" i="24" a="1"/>
  <c r="AE513" i="24" a="1"/>
  <c r="AE715" i="24" a="1"/>
  <c r="AE709" i="24" a="1"/>
  <c r="AE511" i="24" a="1"/>
  <c r="AE505" i="24" a="1"/>
  <c r="S1153" i="24" l="1"/>
  <c r="S1123" i="24"/>
  <c r="S1131" i="24"/>
  <c r="S1122" i="24"/>
  <c r="S1147" i="24"/>
  <c r="S1155" i="24"/>
  <c r="S1171" i="24"/>
  <c r="S1149" i="24"/>
  <c r="S1173" i="24"/>
  <c r="S1120" i="24"/>
  <c r="S1128" i="24"/>
  <c r="S1136" i="24"/>
  <c r="S1144" i="24"/>
  <c r="S1152" i="24"/>
  <c r="S1160" i="24"/>
  <c r="S1168" i="24"/>
  <c r="S1126" i="24"/>
  <c r="S1148" i="24"/>
  <c r="S1172" i="24"/>
  <c r="S1119" i="24"/>
  <c r="S1135" i="24"/>
  <c r="S1151" i="24"/>
  <c r="S1134" i="24"/>
  <c r="S1139" i="24"/>
  <c r="S1163" i="24"/>
  <c r="S1142" i="24"/>
  <c r="S1158" i="24"/>
  <c r="S1166" i="24"/>
  <c r="S1124" i="24"/>
  <c r="S1132" i="24"/>
  <c r="S1145" i="24"/>
  <c r="S1169" i="24"/>
  <c r="S1174" i="24"/>
  <c r="S1140" i="24"/>
  <c r="S1164" i="24"/>
  <c r="S1125" i="24"/>
  <c r="S1138" i="24"/>
  <c r="S1154" i="24"/>
  <c r="S1162" i="24"/>
  <c r="S1117" i="24"/>
  <c r="S1118" i="24"/>
  <c r="S1121" i="24"/>
  <c r="S1127" i="24"/>
  <c r="S1130" i="24"/>
  <c r="S1133" i="24"/>
  <c r="S1141" i="24"/>
  <c r="S1150" i="24"/>
  <c r="S1156" i="24"/>
  <c r="S1159" i="24"/>
  <c r="S1165" i="24"/>
  <c r="S1157" i="24"/>
  <c r="S1137" i="24"/>
  <c r="S1143" i="24"/>
  <c r="S1146" i="24"/>
  <c r="S1129" i="24"/>
  <c r="S1161" i="24"/>
  <c r="S1167" i="24"/>
  <c r="S1170" i="24"/>
  <c r="AE1079" i="24"/>
  <c r="AE1077" i="24"/>
  <c r="AE1075" i="24"/>
  <c r="AE1073" i="24"/>
  <c r="AE1071" i="24"/>
  <c r="AE715" i="24"/>
  <c r="AE713" i="24"/>
  <c r="AE711" i="24"/>
  <c r="AE709" i="24"/>
  <c r="AE707" i="24"/>
  <c r="S542" i="24"/>
  <c r="AE513" i="24"/>
  <c r="AE511" i="24"/>
  <c r="AE509" i="24"/>
  <c r="AE507" i="24"/>
  <c r="AE505" i="24"/>
  <c r="AE136" i="24"/>
  <c r="AE134" i="24"/>
  <c r="AE132" i="24"/>
  <c r="AE130" i="24"/>
  <c r="AE128" i="24"/>
  <c r="Y61" i="18"/>
  <c r="X61" i="18"/>
  <c r="W61" i="18"/>
  <c r="P61" i="18"/>
  <c r="O61" i="18"/>
  <c r="N61" i="18"/>
  <c r="M61" i="18"/>
  <c r="L61" i="18"/>
  <c r="AB60" i="18"/>
  <c r="Z60" i="18"/>
  <c r="S60" i="18"/>
  <c r="Q60" i="18"/>
  <c r="R60" i="18" s="1"/>
  <c r="Y2890" i="24" s="1"/>
  <c r="H60" i="18"/>
  <c r="E60" i="18"/>
  <c r="D60" i="18"/>
  <c r="AB59" i="18"/>
  <c r="Z59" i="18"/>
  <c r="S59" i="18"/>
  <c r="Q59" i="18"/>
  <c r="R59" i="18" s="1"/>
  <c r="Y2889" i="24" s="1"/>
  <c r="H59" i="18"/>
  <c r="D59" i="18"/>
  <c r="AB58" i="18"/>
  <c r="Z58" i="18"/>
  <c r="AA58" i="18" s="1"/>
  <c r="S58" i="18"/>
  <c r="Q58" i="18"/>
  <c r="H58" i="18"/>
  <c r="D58" i="18"/>
  <c r="AB57" i="18"/>
  <c r="Z57" i="18"/>
  <c r="S57" i="18"/>
  <c r="Q57" i="18"/>
  <c r="R57" i="18" s="1"/>
  <c r="Y2887" i="24" s="1"/>
  <c r="H57" i="18"/>
  <c r="D57" i="18"/>
  <c r="AB56" i="18"/>
  <c r="Z56" i="18"/>
  <c r="AA56" i="18" s="1"/>
  <c r="S56" i="18"/>
  <c r="Q56" i="18"/>
  <c r="R56" i="18" s="1"/>
  <c r="Y2886" i="24" s="1"/>
  <c r="I56" i="18"/>
  <c r="H56" i="18"/>
  <c r="D56" i="18"/>
  <c r="AB55" i="18"/>
  <c r="Z55" i="18"/>
  <c r="S55" i="18"/>
  <c r="Q55" i="18"/>
  <c r="R55" i="18" s="1"/>
  <c r="Y2885" i="24" s="1"/>
  <c r="H55" i="18"/>
  <c r="D55" i="18"/>
  <c r="AB54" i="18"/>
  <c r="Z54" i="18"/>
  <c r="S54" i="18"/>
  <c r="Q54" i="18"/>
  <c r="R54" i="18" s="1"/>
  <c r="Y2884" i="24" s="1"/>
  <c r="H54" i="18"/>
  <c r="D54" i="18"/>
  <c r="AB53" i="18"/>
  <c r="Z53" i="18"/>
  <c r="S53" i="18"/>
  <c r="Q53" i="18"/>
  <c r="R53" i="18" s="1"/>
  <c r="Y2883" i="24" s="1"/>
  <c r="H53" i="18"/>
  <c r="D53" i="18"/>
  <c r="AB52" i="18"/>
  <c r="Z52" i="18"/>
  <c r="S52" i="18"/>
  <c r="Q52" i="18"/>
  <c r="R52" i="18" s="1"/>
  <c r="Y2882" i="24" s="1"/>
  <c r="H52" i="18"/>
  <c r="D52" i="18"/>
  <c r="AB51" i="18"/>
  <c r="Z51" i="18"/>
  <c r="S51" i="18"/>
  <c r="Q51" i="18"/>
  <c r="R51" i="18" s="1"/>
  <c r="Y2881" i="24" s="1"/>
  <c r="H51" i="18"/>
  <c r="D51" i="18"/>
  <c r="AB50" i="18"/>
  <c r="Z50" i="18"/>
  <c r="S50" i="18"/>
  <c r="Q50" i="18"/>
  <c r="R50" i="18" s="1"/>
  <c r="Y2880" i="24" s="1"/>
  <c r="H50" i="18"/>
  <c r="D50" i="18"/>
  <c r="AB49" i="18"/>
  <c r="Z49" i="18"/>
  <c r="S49" i="18"/>
  <c r="Q49" i="18"/>
  <c r="R49" i="18" s="1"/>
  <c r="Y2879" i="24" s="1"/>
  <c r="H49" i="18"/>
  <c r="D49" i="18"/>
  <c r="AB48" i="18"/>
  <c r="Z48" i="18"/>
  <c r="S48" i="18"/>
  <c r="Q48" i="18"/>
  <c r="R48" i="18" s="1"/>
  <c r="Y2878" i="24" s="1"/>
  <c r="H48" i="18"/>
  <c r="D48" i="18"/>
  <c r="AB47" i="18"/>
  <c r="Z47" i="18"/>
  <c r="S47" i="18"/>
  <c r="Q47" i="18"/>
  <c r="R47" i="18" s="1"/>
  <c r="Y2877" i="24" s="1"/>
  <c r="H47" i="18"/>
  <c r="D47" i="18"/>
  <c r="AB46" i="18"/>
  <c r="Z46" i="18"/>
  <c r="S46" i="18"/>
  <c r="Q46" i="18"/>
  <c r="H46" i="18"/>
  <c r="D46" i="18"/>
  <c r="AB45" i="18"/>
  <c r="Z45" i="18"/>
  <c r="S45" i="18"/>
  <c r="Q45" i="18"/>
  <c r="R45" i="18" s="1"/>
  <c r="Y2875" i="24" s="1"/>
  <c r="H45" i="18"/>
  <c r="D45" i="18"/>
  <c r="AB44" i="18"/>
  <c r="Z44" i="18"/>
  <c r="S44" i="18"/>
  <c r="Q44" i="18"/>
  <c r="H44" i="18"/>
  <c r="D44" i="18"/>
  <c r="AB43" i="18"/>
  <c r="Z43" i="18"/>
  <c r="S43" i="18"/>
  <c r="Q43" i="18"/>
  <c r="R43" i="18" s="1"/>
  <c r="Y2873" i="24" s="1"/>
  <c r="H43" i="18"/>
  <c r="D43" i="18"/>
  <c r="AB42" i="18"/>
  <c r="Z42" i="18"/>
  <c r="S42" i="18"/>
  <c r="Q42" i="18"/>
  <c r="R42" i="18" s="1"/>
  <c r="Y2872" i="24" s="1"/>
  <c r="H42" i="18"/>
  <c r="D42" i="18"/>
  <c r="AB41" i="18"/>
  <c r="Z41" i="18"/>
  <c r="S41" i="18"/>
  <c r="Q41" i="18"/>
  <c r="R41" i="18" s="1"/>
  <c r="Y2871" i="24" s="1"/>
  <c r="H41" i="18"/>
  <c r="D41" i="18"/>
  <c r="AB40" i="18"/>
  <c r="Z40" i="18"/>
  <c r="S40" i="18"/>
  <c r="Q40" i="18"/>
  <c r="H40" i="18"/>
  <c r="D40" i="18"/>
  <c r="AB39" i="18"/>
  <c r="Z39" i="18"/>
  <c r="S39" i="18"/>
  <c r="Q39" i="18"/>
  <c r="R39" i="18" s="1"/>
  <c r="Y2869" i="24" s="1"/>
  <c r="H39" i="18"/>
  <c r="D39" i="18"/>
  <c r="AB38" i="18"/>
  <c r="Z38" i="18"/>
  <c r="S38" i="18"/>
  <c r="Q38" i="18"/>
  <c r="R38" i="18" s="1"/>
  <c r="Y2868" i="24" s="1"/>
  <c r="H38" i="18"/>
  <c r="E38" i="18"/>
  <c r="D38" i="18"/>
  <c r="AB37" i="18"/>
  <c r="Z37" i="18"/>
  <c r="S37" i="18"/>
  <c r="Q37" i="18"/>
  <c r="R37" i="18" s="1"/>
  <c r="Y2867" i="24" s="1"/>
  <c r="H37" i="18"/>
  <c r="E37" i="18"/>
  <c r="D37" i="18"/>
  <c r="AB36" i="18"/>
  <c r="Z36" i="18"/>
  <c r="S36" i="18"/>
  <c r="Q36" i="18"/>
  <c r="H36" i="18"/>
  <c r="D36" i="18"/>
  <c r="AB35" i="18"/>
  <c r="Z35" i="18"/>
  <c r="S35" i="18"/>
  <c r="Q35" i="18"/>
  <c r="R35" i="18" s="1"/>
  <c r="Y2865" i="24" s="1"/>
  <c r="H35" i="18"/>
  <c r="D35" i="18"/>
  <c r="AB34" i="18"/>
  <c r="Z34" i="18"/>
  <c r="S34" i="18"/>
  <c r="Q34" i="18"/>
  <c r="R34" i="18" s="1"/>
  <c r="Y2864" i="24" s="1"/>
  <c r="H34" i="18"/>
  <c r="D34" i="18"/>
  <c r="AB33" i="18"/>
  <c r="Z33" i="18"/>
  <c r="S33" i="18"/>
  <c r="Q33" i="18"/>
  <c r="R33" i="18" s="1"/>
  <c r="Y2863" i="24" s="1"/>
  <c r="H33" i="18"/>
  <c r="D33" i="18"/>
  <c r="AB32" i="18"/>
  <c r="Z32" i="18"/>
  <c r="S32" i="18"/>
  <c r="Q32" i="18"/>
  <c r="H32" i="18"/>
  <c r="D32" i="18"/>
  <c r="AB31" i="18"/>
  <c r="Z31" i="18"/>
  <c r="S31" i="18"/>
  <c r="Q31" i="18"/>
  <c r="R31" i="18" s="1"/>
  <c r="Y2861" i="24" s="1"/>
  <c r="H31" i="18"/>
  <c r="D31" i="18"/>
  <c r="AB30" i="18"/>
  <c r="Z30" i="18"/>
  <c r="S30" i="18"/>
  <c r="Q30" i="18"/>
  <c r="H30" i="18"/>
  <c r="D30" i="18"/>
  <c r="AB29" i="18"/>
  <c r="Z29" i="18"/>
  <c r="S29" i="18"/>
  <c r="Q29" i="18"/>
  <c r="H29" i="18"/>
  <c r="D29" i="18"/>
  <c r="AB28" i="18"/>
  <c r="Z28" i="18"/>
  <c r="I28" i="18" s="1"/>
  <c r="S28" i="18"/>
  <c r="Q28" i="18"/>
  <c r="R28" i="18" s="1"/>
  <c r="Y2858" i="24" s="1"/>
  <c r="H28" i="18"/>
  <c r="D28" i="18"/>
  <c r="AB27" i="18"/>
  <c r="Z27" i="18"/>
  <c r="S27" i="18"/>
  <c r="Q27" i="18"/>
  <c r="R27" i="18" s="1"/>
  <c r="Y2857" i="24" s="1"/>
  <c r="H27" i="18"/>
  <c r="D27" i="18"/>
  <c r="AB26" i="18"/>
  <c r="Z26" i="18"/>
  <c r="S26" i="18"/>
  <c r="Q26" i="18"/>
  <c r="R26" i="18" s="1"/>
  <c r="Y2856" i="24" s="1"/>
  <c r="H26" i="18"/>
  <c r="D26" i="18"/>
  <c r="AB25" i="18"/>
  <c r="Z25" i="18"/>
  <c r="S25" i="18"/>
  <c r="Q25" i="18"/>
  <c r="R25" i="18" s="1"/>
  <c r="Y2855" i="24" s="1"/>
  <c r="H25" i="18"/>
  <c r="D25" i="18"/>
  <c r="AB24" i="18"/>
  <c r="Z24" i="18"/>
  <c r="S24" i="18"/>
  <c r="Q24" i="18"/>
  <c r="R24" i="18" s="1"/>
  <c r="Y2854" i="24" s="1"/>
  <c r="H24" i="18"/>
  <c r="D24" i="18"/>
  <c r="AB23" i="18"/>
  <c r="Z23" i="18"/>
  <c r="S23" i="18"/>
  <c r="Q23" i="18"/>
  <c r="R23" i="18" s="1"/>
  <c r="Y2853" i="24" s="1"/>
  <c r="H23" i="18"/>
  <c r="D23" i="18"/>
  <c r="AB22" i="18"/>
  <c r="Z22" i="18"/>
  <c r="S22" i="18"/>
  <c r="Q22" i="18"/>
  <c r="R22" i="18" s="1"/>
  <c r="Y2852" i="24" s="1"/>
  <c r="H22" i="18"/>
  <c r="D22" i="18"/>
  <c r="AB21" i="18"/>
  <c r="Z21" i="18"/>
  <c r="S21" i="18"/>
  <c r="Q21" i="18"/>
  <c r="H21" i="18"/>
  <c r="D21" i="18"/>
  <c r="AB20" i="18"/>
  <c r="Z20" i="18"/>
  <c r="S20" i="18"/>
  <c r="Q20" i="18"/>
  <c r="H20" i="18"/>
  <c r="D20" i="18"/>
  <c r="AB19" i="18"/>
  <c r="Z19" i="18"/>
  <c r="S19" i="18"/>
  <c r="Q19" i="18"/>
  <c r="R19" i="18" s="1"/>
  <c r="Y2849" i="24" s="1"/>
  <c r="H19" i="18"/>
  <c r="D19" i="18"/>
  <c r="AB18" i="18"/>
  <c r="Z18" i="18"/>
  <c r="S18" i="18"/>
  <c r="Q18" i="18"/>
  <c r="H18" i="18"/>
  <c r="D18" i="18"/>
  <c r="AB17" i="18"/>
  <c r="Z17" i="18"/>
  <c r="S17" i="18"/>
  <c r="Q17" i="18"/>
  <c r="R17" i="18" s="1"/>
  <c r="Y2847" i="24" s="1"/>
  <c r="H17" i="18"/>
  <c r="D17" i="18"/>
  <c r="AB16" i="18"/>
  <c r="Z16" i="18"/>
  <c r="S16" i="18"/>
  <c r="Q16" i="18"/>
  <c r="H16" i="18"/>
  <c r="D16" i="18"/>
  <c r="AB15" i="18"/>
  <c r="Z15" i="18"/>
  <c r="S15" i="18"/>
  <c r="Q15" i="18"/>
  <c r="R15" i="18" s="1"/>
  <c r="Y2845" i="24" s="1"/>
  <c r="H15" i="18"/>
  <c r="D15" i="18"/>
  <c r="AB14" i="18"/>
  <c r="Z14" i="18"/>
  <c r="S14" i="18"/>
  <c r="Q14" i="18"/>
  <c r="H14" i="18"/>
  <c r="D14" i="18"/>
  <c r="AB13" i="18"/>
  <c r="Z13" i="18"/>
  <c r="S13" i="18"/>
  <c r="Q13" i="18"/>
  <c r="R13" i="18" s="1"/>
  <c r="Y2843" i="24" s="1"/>
  <c r="H13" i="18"/>
  <c r="D13" i="18"/>
  <c r="AB12" i="18"/>
  <c r="Z12" i="18"/>
  <c r="S12" i="18"/>
  <c r="Q12" i="18"/>
  <c r="H12" i="18"/>
  <c r="D12" i="18"/>
  <c r="AB11" i="18"/>
  <c r="Z11" i="18"/>
  <c r="S11" i="18"/>
  <c r="Q11" i="18"/>
  <c r="R11" i="18" s="1"/>
  <c r="Y2841" i="24" s="1"/>
  <c r="H11" i="18"/>
  <c r="D11" i="18"/>
  <c r="AB10" i="18"/>
  <c r="Z10" i="18"/>
  <c r="S10" i="18"/>
  <c r="Q10" i="18"/>
  <c r="H10" i="18"/>
  <c r="D10" i="18"/>
  <c r="AB9" i="18"/>
  <c r="Z9" i="18"/>
  <c r="S9" i="18"/>
  <c r="Q9" i="18"/>
  <c r="R9" i="18" s="1"/>
  <c r="Y2839" i="24" s="1"/>
  <c r="H9" i="18"/>
  <c r="D9" i="18"/>
  <c r="AB8" i="18"/>
  <c r="Z8" i="18"/>
  <c r="S8" i="18"/>
  <c r="Q8" i="18"/>
  <c r="H8" i="18"/>
  <c r="D8" i="18"/>
  <c r="AB7" i="18"/>
  <c r="Z7" i="18"/>
  <c r="S7" i="18"/>
  <c r="Q7" i="18"/>
  <c r="R7" i="18" s="1"/>
  <c r="Y2837" i="24" s="1"/>
  <c r="H7" i="18"/>
  <c r="D7" i="18"/>
  <c r="AB6" i="18"/>
  <c r="Z6" i="18"/>
  <c r="S6" i="18"/>
  <c r="Q6" i="18"/>
  <c r="H6" i="18"/>
  <c r="D6" i="18"/>
  <c r="AB5" i="18"/>
  <c r="Z5" i="18"/>
  <c r="S5" i="18"/>
  <c r="Q5" i="18"/>
  <c r="R5" i="18" s="1"/>
  <c r="Y2835" i="24" s="1"/>
  <c r="H5" i="18"/>
  <c r="D5" i="18"/>
  <c r="AB4" i="18"/>
  <c r="Z4" i="18"/>
  <c r="S4" i="18"/>
  <c r="Q4" i="18"/>
  <c r="H4" i="18"/>
  <c r="D4" i="18"/>
  <c r="Z3" i="18"/>
  <c r="Q3" i="18"/>
  <c r="R3" i="18" s="1"/>
  <c r="H3" i="18"/>
  <c r="D3" i="18"/>
  <c r="AB61" i="19"/>
  <c r="AA61" i="19"/>
  <c r="Z61" i="19"/>
  <c r="Y61" i="19"/>
  <c r="X61" i="19"/>
  <c r="R61" i="19"/>
  <c r="Q61" i="19"/>
  <c r="P61" i="19"/>
  <c r="O61" i="19"/>
  <c r="N61" i="19"/>
  <c r="M61" i="19"/>
  <c r="L61" i="19"/>
  <c r="AD60" i="19"/>
  <c r="J60" i="19"/>
  <c r="T60" i="19"/>
  <c r="H60" i="19"/>
  <c r="D60" i="19"/>
  <c r="AD59" i="19"/>
  <c r="J59" i="19"/>
  <c r="T59" i="19"/>
  <c r="H59" i="19"/>
  <c r="D59" i="19"/>
  <c r="AD58" i="19"/>
  <c r="J58" i="19"/>
  <c r="T58" i="19"/>
  <c r="H58" i="19"/>
  <c r="D58" i="19"/>
  <c r="AD57" i="19"/>
  <c r="J57" i="19"/>
  <c r="T57" i="19"/>
  <c r="H57" i="19"/>
  <c r="D57" i="19"/>
  <c r="AD56" i="19"/>
  <c r="J56" i="19"/>
  <c r="T56" i="19"/>
  <c r="H56" i="19"/>
  <c r="D56" i="19"/>
  <c r="AD55" i="19"/>
  <c r="J55" i="19"/>
  <c r="T55" i="19"/>
  <c r="H55" i="19"/>
  <c r="D55" i="19"/>
  <c r="AD54" i="19"/>
  <c r="AG54" i="19" a="1"/>
  <c r="AG54" i="19" s="1"/>
  <c r="T54" i="19"/>
  <c r="H54" i="19"/>
  <c r="D54" i="19"/>
  <c r="AD53" i="19"/>
  <c r="AG53" i="19" a="1"/>
  <c r="AG53" i="19" s="1"/>
  <c r="T53" i="19"/>
  <c r="H53" i="19"/>
  <c r="D53" i="19"/>
  <c r="AD52" i="19"/>
  <c r="AG52" i="19" a="1"/>
  <c r="AG52" i="19" s="1"/>
  <c r="T52" i="19"/>
  <c r="H52" i="19"/>
  <c r="D52" i="19"/>
  <c r="AD51" i="19"/>
  <c r="AG51" i="19" a="1"/>
  <c r="AG51" i="19" s="1"/>
  <c r="T51" i="19"/>
  <c r="H51" i="19"/>
  <c r="D51" i="19"/>
  <c r="AD50" i="19"/>
  <c r="AG50" i="19" a="1"/>
  <c r="AG50" i="19" s="1"/>
  <c r="T50" i="19"/>
  <c r="H50" i="19"/>
  <c r="D50" i="19"/>
  <c r="AD49" i="19"/>
  <c r="J49" i="19"/>
  <c r="T49" i="19"/>
  <c r="H49" i="19"/>
  <c r="D49" i="19"/>
  <c r="AD48" i="19"/>
  <c r="AG48" i="19" a="1"/>
  <c r="AG48" i="19" s="1"/>
  <c r="T48" i="19"/>
  <c r="H48" i="19"/>
  <c r="D48" i="19"/>
  <c r="AD47" i="19"/>
  <c r="J47" i="19"/>
  <c r="T47" i="19"/>
  <c r="H47" i="19"/>
  <c r="D47" i="19"/>
  <c r="AD46" i="19"/>
  <c r="J46" i="19"/>
  <c r="T46" i="19"/>
  <c r="H46" i="19"/>
  <c r="D46" i="19"/>
  <c r="AD45" i="19"/>
  <c r="J45" i="19"/>
  <c r="T45" i="19"/>
  <c r="H45" i="19"/>
  <c r="D45" i="19"/>
  <c r="AD44" i="19"/>
  <c r="J44" i="19"/>
  <c r="T44" i="19"/>
  <c r="H44" i="19"/>
  <c r="D44" i="19"/>
  <c r="AD43" i="19"/>
  <c r="AG43" i="19" a="1"/>
  <c r="AG43" i="19" s="1"/>
  <c r="T43" i="19"/>
  <c r="H43" i="19"/>
  <c r="D43" i="19"/>
  <c r="AD42" i="19"/>
  <c r="AF42" i="19" a="1"/>
  <c r="AF42" i="19" s="1"/>
  <c r="T42" i="19"/>
  <c r="H42" i="19"/>
  <c r="D42" i="19"/>
  <c r="AD41" i="19"/>
  <c r="AG41" i="19" a="1"/>
  <c r="AG41" i="19" s="1"/>
  <c r="T41" i="19"/>
  <c r="H41" i="19"/>
  <c r="D41" i="19"/>
  <c r="AD40" i="19"/>
  <c r="AG40" i="19" a="1"/>
  <c r="AG40" i="19" s="1"/>
  <c r="T40" i="19"/>
  <c r="H40" i="19"/>
  <c r="D40" i="19"/>
  <c r="AD39" i="19"/>
  <c r="AG39" i="19" a="1"/>
  <c r="AG39" i="19" s="1"/>
  <c r="T39" i="19"/>
  <c r="H39" i="19"/>
  <c r="D39" i="19"/>
  <c r="AD38" i="19"/>
  <c r="AG38" i="19" a="1"/>
  <c r="AG38" i="19" s="1"/>
  <c r="T38" i="19"/>
  <c r="H38" i="19"/>
  <c r="D38" i="19"/>
  <c r="AD37" i="19"/>
  <c r="J37" i="19"/>
  <c r="T37" i="19"/>
  <c r="H37" i="19"/>
  <c r="D37" i="19"/>
  <c r="AD36" i="19"/>
  <c r="AG36" i="19" a="1"/>
  <c r="AG36" i="19" s="1"/>
  <c r="T36" i="19"/>
  <c r="H36" i="19"/>
  <c r="D36" i="19"/>
  <c r="AD35" i="19"/>
  <c r="J35" i="19"/>
  <c r="H35" i="19"/>
  <c r="D35" i="19"/>
  <c r="AD34" i="19"/>
  <c r="J34" i="19"/>
  <c r="T34" i="19"/>
  <c r="H34" i="19"/>
  <c r="D34" i="19"/>
  <c r="AD33" i="19"/>
  <c r="J33" i="19"/>
  <c r="T33" i="19"/>
  <c r="H33" i="19"/>
  <c r="D33" i="19"/>
  <c r="AD32" i="19"/>
  <c r="J32" i="19"/>
  <c r="T32" i="19"/>
  <c r="H32" i="19"/>
  <c r="D32" i="19"/>
  <c r="AD31" i="19"/>
  <c r="J31" i="19"/>
  <c r="T31" i="19"/>
  <c r="H31" i="19"/>
  <c r="D31" i="19"/>
  <c r="AD30" i="19"/>
  <c r="AF30" i="19" a="1"/>
  <c r="AF30" i="19" s="1"/>
  <c r="T30" i="19"/>
  <c r="H30" i="19"/>
  <c r="D30" i="19"/>
  <c r="AD29" i="19"/>
  <c r="AG29" i="19" a="1"/>
  <c r="AG29" i="19" s="1"/>
  <c r="T29" i="19"/>
  <c r="H29" i="19"/>
  <c r="D29" i="19"/>
  <c r="AD28" i="19"/>
  <c r="AG28" i="19" a="1"/>
  <c r="AG28" i="19" s="1"/>
  <c r="T28" i="19"/>
  <c r="H28" i="19"/>
  <c r="D28" i="19"/>
  <c r="AD27" i="19"/>
  <c r="AG27" i="19" a="1"/>
  <c r="AG27" i="19" s="1"/>
  <c r="T27" i="19"/>
  <c r="H27" i="19"/>
  <c r="D27" i="19"/>
  <c r="AD26" i="19"/>
  <c r="AG26" i="19" a="1"/>
  <c r="AG26" i="19" s="1"/>
  <c r="T26" i="19"/>
  <c r="H26" i="19"/>
  <c r="D26" i="19"/>
  <c r="AD25" i="19"/>
  <c r="AF25" i="19" a="1"/>
  <c r="AF25" i="19" s="1"/>
  <c r="T25" i="19"/>
  <c r="H25" i="19"/>
  <c r="D25" i="19"/>
  <c r="AD24" i="19"/>
  <c r="AG24" i="19" a="1"/>
  <c r="AG24" i="19" s="1"/>
  <c r="T24" i="19"/>
  <c r="H24" i="19"/>
  <c r="D24" i="19"/>
  <c r="AD23" i="19"/>
  <c r="J23" i="19"/>
  <c r="T23" i="19"/>
  <c r="H23" i="19"/>
  <c r="D23" i="19"/>
  <c r="AD22" i="19"/>
  <c r="J22" i="19"/>
  <c r="T22" i="19"/>
  <c r="H22" i="19"/>
  <c r="D22" i="19"/>
  <c r="AD21" i="19"/>
  <c r="AG21" i="19" a="1"/>
  <c r="AG21" i="19" s="1"/>
  <c r="T21" i="19"/>
  <c r="H21" i="19"/>
  <c r="D21" i="19"/>
  <c r="AD20" i="19"/>
  <c r="AF20" i="19" a="1"/>
  <c r="AF20" i="19" s="1"/>
  <c r="T20" i="19"/>
  <c r="H20" i="19"/>
  <c r="D20" i="19"/>
  <c r="AD19" i="19"/>
  <c r="J19" i="19"/>
  <c r="T19" i="19"/>
  <c r="H19" i="19"/>
  <c r="D19" i="19"/>
  <c r="AD18" i="19"/>
  <c r="AF18" i="19" a="1"/>
  <c r="AF18" i="19" s="1"/>
  <c r="T18" i="19"/>
  <c r="H18" i="19"/>
  <c r="D18" i="19"/>
  <c r="AD17" i="19"/>
  <c r="AG17" i="19" a="1"/>
  <c r="AG17" i="19" s="1"/>
  <c r="T17" i="19"/>
  <c r="H17" i="19"/>
  <c r="D17" i="19"/>
  <c r="AD16" i="19"/>
  <c r="AG16" i="19" a="1"/>
  <c r="AG16" i="19" s="1"/>
  <c r="T16" i="19"/>
  <c r="H16" i="19"/>
  <c r="D16" i="19"/>
  <c r="AD15" i="19"/>
  <c r="AG15" i="19" a="1"/>
  <c r="AG15" i="19" s="1"/>
  <c r="T15" i="19"/>
  <c r="H15" i="19"/>
  <c r="D15" i="19"/>
  <c r="AD14" i="19"/>
  <c r="AG14" i="19" a="1"/>
  <c r="AG14" i="19" s="1"/>
  <c r="T14" i="19"/>
  <c r="H14" i="19"/>
  <c r="D14" i="19"/>
  <c r="AD13" i="19"/>
  <c r="J13" i="19"/>
  <c r="T13" i="19"/>
  <c r="H13" i="19"/>
  <c r="D13" i="19"/>
  <c r="AD12" i="19"/>
  <c r="AG12" i="19" a="1"/>
  <c r="AG12" i="19" s="1"/>
  <c r="T12" i="19"/>
  <c r="H12" i="19"/>
  <c r="D12" i="19"/>
  <c r="AD11" i="19"/>
  <c r="J11" i="19"/>
  <c r="T11" i="19"/>
  <c r="H11" i="19"/>
  <c r="D11" i="19"/>
  <c r="AD10" i="19"/>
  <c r="J10" i="19"/>
  <c r="T10" i="19"/>
  <c r="H10" i="19"/>
  <c r="D10" i="19"/>
  <c r="AD9" i="19"/>
  <c r="AG9" i="19" a="1"/>
  <c r="AG9" i="19" s="1"/>
  <c r="T9" i="19"/>
  <c r="H9" i="19"/>
  <c r="D9" i="19"/>
  <c r="AD8" i="19"/>
  <c r="J8" i="19"/>
  <c r="T8" i="19"/>
  <c r="H8" i="19"/>
  <c r="D8" i="19"/>
  <c r="AD7" i="19"/>
  <c r="J7" i="19"/>
  <c r="T7" i="19"/>
  <c r="H7" i="19"/>
  <c r="D7" i="19"/>
  <c r="AD6" i="19"/>
  <c r="AF6" i="19" a="1"/>
  <c r="AF6" i="19" s="1"/>
  <c r="T6" i="19"/>
  <c r="H6" i="19"/>
  <c r="D6" i="19"/>
  <c r="AD5" i="19"/>
  <c r="AG5" i="19" a="1"/>
  <c r="AG5" i="19" s="1"/>
  <c r="T5" i="19"/>
  <c r="H5" i="19"/>
  <c r="D5" i="19"/>
  <c r="AD4" i="19"/>
  <c r="AG4" i="19" a="1"/>
  <c r="AG4" i="19" s="1"/>
  <c r="H4" i="19"/>
  <c r="D4" i="19"/>
  <c r="AG3" i="19" a="1"/>
  <c r="AG3" i="19" s="1"/>
  <c r="H3" i="19"/>
  <c r="D3" i="19"/>
  <c r="AE61" i="16"/>
  <c r="AD61" i="16"/>
  <c r="AC61" i="16"/>
  <c r="AB61" i="16"/>
  <c r="AA61" i="16"/>
  <c r="S61" i="16"/>
  <c r="R61" i="16"/>
  <c r="Q61" i="16"/>
  <c r="P61" i="16"/>
  <c r="O61" i="16"/>
  <c r="N61" i="16"/>
  <c r="M61" i="16"/>
  <c r="L61" i="16"/>
  <c r="AI60" i="16"/>
  <c r="AF60" i="16"/>
  <c r="W60" i="16"/>
  <c r="T60" i="16"/>
  <c r="H60" i="16"/>
  <c r="D60" i="16"/>
  <c r="AI59" i="16"/>
  <c r="AF59" i="16"/>
  <c r="W59" i="16"/>
  <c r="T59" i="16"/>
  <c r="H59" i="16"/>
  <c r="D59" i="16"/>
  <c r="AI58" i="16"/>
  <c r="AF58" i="16"/>
  <c r="W58" i="16"/>
  <c r="T58" i="16"/>
  <c r="H58" i="16"/>
  <c r="D58" i="16"/>
  <c r="AI57" i="16"/>
  <c r="AF57" i="16"/>
  <c r="AG57" i="16" s="1"/>
  <c r="W57" i="16"/>
  <c r="T57" i="16"/>
  <c r="H57" i="16"/>
  <c r="D57" i="16"/>
  <c r="AI56" i="16"/>
  <c r="AF56" i="16"/>
  <c r="W56" i="16"/>
  <c r="T56" i="16"/>
  <c r="H56" i="16"/>
  <c r="D56" i="16"/>
  <c r="AI55" i="16"/>
  <c r="AF55" i="16"/>
  <c r="AG55" i="16" s="1"/>
  <c r="W55" i="16"/>
  <c r="T55" i="16"/>
  <c r="H55" i="16"/>
  <c r="D55" i="16"/>
  <c r="AI54" i="16"/>
  <c r="AF54" i="16"/>
  <c r="AG54" i="16" s="1"/>
  <c r="W54" i="16"/>
  <c r="T54" i="16"/>
  <c r="H54" i="16"/>
  <c r="D54" i="16"/>
  <c r="AI53" i="16"/>
  <c r="AF53" i="16"/>
  <c r="AG53" i="16" s="1"/>
  <c r="W53" i="16"/>
  <c r="T53" i="16"/>
  <c r="H53" i="16"/>
  <c r="D53" i="16"/>
  <c r="AI52" i="16"/>
  <c r="AF52" i="16"/>
  <c r="AG52" i="16" s="1"/>
  <c r="W52" i="16"/>
  <c r="T52" i="16"/>
  <c r="H52" i="16"/>
  <c r="D52" i="16"/>
  <c r="AI51" i="16"/>
  <c r="AF51" i="16"/>
  <c r="W51" i="16"/>
  <c r="T51" i="16"/>
  <c r="H51" i="16"/>
  <c r="D51" i="16"/>
  <c r="AI50" i="16"/>
  <c r="AF50" i="16"/>
  <c r="W50" i="16"/>
  <c r="T50" i="16"/>
  <c r="H50" i="16"/>
  <c r="D50" i="16"/>
  <c r="AI49" i="16"/>
  <c r="AF49" i="16"/>
  <c r="W49" i="16"/>
  <c r="T49" i="16"/>
  <c r="H49" i="16"/>
  <c r="D49" i="16"/>
  <c r="AI48" i="16"/>
  <c r="AF48" i="16"/>
  <c r="AG48" i="16" s="1"/>
  <c r="W48" i="16"/>
  <c r="T48" i="16"/>
  <c r="H48" i="16"/>
  <c r="D48" i="16"/>
  <c r="AI47" i="16"/>
  <c r="AF47" i="16"/>
  <c r="W47" i="16"/>
  <c r="T47" i="16"/>
  <c r="H47" i="16"/>
  <c r="D47" i="16"/>
  <c r="AI46" i="16"/>
  <c r="AF46" i="16"/>
  <c r="W46" i="16"/>
  <c r="T46" i="16"/>
  <c r="H46" i="16"/>
  <c r="D46" i="16"/>
  <c r="AI45" i="16"/>
  <c r="AF45" i="16"/>
  <c r="W45" i="16"/>
  <c r="T45" i="16"/>
  <c r="H45" i="16"/>
  <c r="D45" i="16"/>
  <c r="AI44" i="16"/>
  <c r="AF44" i="16"/>
  <c r="AG44" i="16" s="1"/>
  <c r="W44" i="16"/>
  <c r="T44" i="16"/>
  <c r="H44" i="16"/>
  <c r="D44" i="16"/>
  <c r="AI43" i="16"/>
  <c r="AF43" i="16"/>
  <c r="W43" i="16"/>
  <c r="T43" i="16"/>
  <c r="H43" i="16"/>
  <c r="D43" i="16"/>
  <c r="AI42" i="16"/>
  <c r="AF42" i="16"/>
  <c r="AG42" i="16" s="1"/>
  <c r="W42" i="16"/>
  <c r="T42" i="16"/>
  <c r="H42" i="16"/>
  <c r="D42" i="16"/>
  <c r="AI41" i="16"/>
  <c r="AF41" i="16"/>
  <c r="AG41" i="16" s="1"/>
  <c r="W41" i="16"/>
  <c r="T41" i="16"/>
  <c r="H41" i="16"/>
  <c r="D41" i="16"/>
  <c r="AI40" i="16"/>
  <c r="AF40" i="16"/>
  <c r="AG40" i="16" s="1"/>
  <c r="W40" i="16"/>
  <c r="T40" i="16"/>
  <c r="H40" i="16"/>
  <c r="D40" i="16"/>
  <c r="AI39" i="16"/>
  <c r="AF39" i="16"/>
  <c r="W39" i="16"/>
  <c r="T39" i="16"/>
  <c r="H39" i="16"/>
  <c r="D39" i="16"/>
  <c r="AI38" i="16"/>
  <c r="AF38" i="16"/>
  <c r="AG38" i="16" s="1"/>
  <c r="W38" i="16"/>
  <c r="T38" i="16"/>
  <c r="I38" i="16"/>
  <c r="H38" i="16"/>
  <c r="D38" i="16"/>
  <c r="AI37" i="16"/>
  <c r="AF37" i="16"/>
  <c r="AG37" i="16" s="1"/>
  <c r="W37" i="16"/>
  <c r="T37" i="16"/>
  <c r="H37" i="16"/>
  <c r="D37" i="16"/>
  <c r="AI36" i="16"/>
  <c r="AF36" i="16"/>
  <c r="AG36" i="16" s="1"/>
  <c r="W36" i="16"/>
  <c r="T36" i="16"/>
  <c r="H36" i="16"/>
  <c r="D36" i="16"/>
  <c r="AI35" i="16"/>
  <c r="AF35" i="16"/>
  <c r="W35" i="16"/>
  <c r="T35" i="16"/>
  <c r="H35" i="16"/>
  <c r="D35" i="16"/>
  <c r="AI34" i="16"/>
  <c r="AF34" i="16"/>
  <c r="W34" i="16"/>
  <c r="T34" i="16"/>
  <c r="H34" i="16"/>
  <c r="D34" i="16"/>
  <c r="AI33" i="16"/>
  <c r="AF33" i="16"/>
  <c r="W33" i="16"/>
  <c r="T33" i="16"/>
  <c r="H33" i="16"/>
  <c r="D33" i="16"/>
  <c r="AI32" i="16"/>
  <c r="AF32" i="16"/>
  <c r="W32" i="16"/>
  <c r="T32" i="16"/>
  <c r="H32" i="16"/>
  <c r="D32" i="16"/>
  <c r="AI31" i="16"/>
  <c r="AF31" i="16"/>
  <c r="AG31" i="16" s="1"/>
  <c r="W31" i="16"/>
  <c r="T31" i="16"/>
  <c r="H31" i="16"/>
  <c r="D31" i="16"/>
  <c r="AI30" i="16"/>
  <c r="AF30" i="16"/>
  <c r="W30" i="16"/>
  <c r="T30" i="16"/>
  <c r="H30" i="16"/>
  <c r="D30" i="16"/>
  <c r="AI29" i="16"/>
  <c r="AF29" i="16"/>
  <c r="W29" i="16"/>
  <c r="T29" i="16"/>
  <c r="H29" i="16"/>
  <c r="D29" i="16"/>
  <c r="AI28" i="16"/>
  <c r="AF28" i="16"/>
  <c r="W28" i="16"/>
  <c r="T28" i="16"/>
  <c r="H28" i="16"/>
  <c r="D28" i="16"/>
  <c r="AI27" i="16"/>
  <c r="AF27" i="16"/>
  <c r="AG27" i="16" s="1"/>
  <c r="W27" i="16"/>
  <c r="T27" i="16"/>
  <c r="H27" i="16"/>
  <c r="D27" i="16"/>
  <c r="AI26" i="16"/>
  <c r="AF26" i="16"/>
  <c r="W26" i="16"/>
  <c r="T26" i="16"/>
  <c r="H26" i="16"/>
  <c r="D26" i="16"/>
  <c r="AI25" i="16"/>
  <c r="AF25" i="16"/>
  <c r="AG25" i="16" s="1"/>
  <c r="W25" i="16"/>
  <c r="T25" i="16"/>
  <c r="I25" i="16"/>
  <c r="H25" i="16"/>
  <c r="D25" i="16"/>
  <c r="AI24" i="16"/>
  <c r="AF24" i="16"/>
  <c r="AG24" i="16" s="1"/>
  <c r="W24" i="16"/>
  <c r="T24" i="16"/>
  <c r="H24" i="16"/>
  <c r="D24" i="16"/>
  <c r="AI23" i="16"/>
  <c r="AF23" i="16"/>
  <c r="AG23" i="16" s="1"/>
  <c r="W23" i="16"/>
  <c r="T23" i="16"/>
  <c r="H23" i="16"/>
  <c r="D23" i="16"/>
  <c r="AI22" i="16"/>
  <c r="AF22" i="16"/>
  <c r="W22" i="16"/>
  <c r="T22" i="16"/>
  <c r="H22" i="16"/>
  <c r="D22" i="16"/>
  <c r="AI21" i="16"/>
  <c r="AF21" i="16"/>
  <c r="W21" i="16"/>
  <c r="T21" i="16"/>
  <c r="H21" i="16"/>
  <c r="D21" i="16"/>
  <c r="AI20" i="16"/>
  <c r="AF20" i="16"/>
  <c r="AG20" i="16" s="1"/>
  <c r="W20" i="16"/>
  <c r="T20" i="16"/>
  <c r="H20" i="16"/>
  <c r="D20" i="16"/>
  <c r="AI19" i="16"/>
  <c r="AF19" i="16"/>
  <c r="W19" i="16"/>
  <c r="T19" i="16"/>
  <c r="H19" i="16"/>
  <c r="D19" i="16"/>
  <c r="AI18" i="16"/>
  <c r="AF18" i="16"/>
  <c r="AG18" i="16" s="1"/>
  <c r="W18" i="16"/>
  <c r="T18" i="16"/>
  <c r="H18" i="16"/>
  <c r="D18" i="16"/>
  <c r="AI17" i="16"/>
  <c r="AF17" i="16"/>
  <c r="W17" i="16"/>
  <c r="T17" i="16"/>
  <c r="H17" i="16"/>
  <c r="D17" i="16"/>
  <c r="AI16" i="16"/>
  <c r="AF16" i="16"/>
  <c r="AG16" i="16" s="1"/>
  <c r="W16" i="16"/>
  <c r="T16" i="16"/>
  <c r="H16" i="16"/>
  <c r="D16" i="16"/>
  <c r="AI15" i="16"/>
  <c r="AF15" i="16"/>
  <c r="W15" i="16"/>
  <c r="T15" i="16"/>
  <c r="H15" i="16"/>
  <c r="D15" i="16"/>
  <c r="AI14" i="16"/>
  <c r="AF14" i="16"/>
  <c r="AG14" i="16" s="1"/>
  <c r="W14" i="16"/>
  <c r="T14" i="16"/>
  <c r="H14" i="16"/>
  <c r="D14" i="16"/>
  <c r="AI13" i="16"/>
  <c r="AF13" i="16"/>
  <c r="W13" i="16"/>
  <c r="T13" i="16"/>
  <c r="H13" i="16"/>
  <c r="D13" i="16"/>
  <c r="AI12" i="16"/>
  <c r="AF12" i="16"/>
  <c r="W12" i="16"/>
  <c r="T12" i="16"/>
  <c r="H12" i="16"/>
  <c r="D12" i="16"/>
  <c r="AI11" i="16"/>
  <c r="AF11" i="16"/>
  <c r="AG11" i="16" s="1"/>
  <c r="W11" i="16"/>
  <c r="T11" i="16"/>
  <c r="H11" i="16"/>
  <c r="D11" i="16"/>
  <c r="AI10" i="16"/>
  <c r="AF10" i="16"/>
  <c r="W10" i="16"/>
  <c r="T10" i="16"/>
  <c r="H10" i="16"/>
  <c r="D10" i="16"/>
  <c r="AI9" i="16"/>
  <c r="AF9" i="16"/>
  <c r="AG9" i="16" s="1"/>
  <c r="W9" i="16"/>
  <c r="T9" i="16"/>
  <c r="H9" i="16"/>
  <c r="D9" i="16"/>
  <c r="AI8" i="16"/>
  <c r="AF8" i="16"/>
  <c r="W8" i="16"/>
  <c r="T8" i="16"/>
  <c r="H8" i="16"/>
  <c r="D8" i="16"/>
  <c r="AI7" i="16"/>
  <c r="AF7" i="16"/>
  <c r="AG7" i="16" s="1"/>
  <c r="W7" i="16"/>
  <c r="T7" i="16"/>
  <c r="H7" i="16"/>
  <c r="D7" i="16"/>
  <c r="AI6" i="16"/>
  <c r="AF6" i="16"/>
  <c r="AG6" i="16" s="1"/>
  <c r="W6" i="16"/>
  <c r="T6" i="16"/>
  <c r="H6" i="16"/>
  <c r="D6" i="16"/>
  <c r="AI5" i="16"/>
  <c r="AF5" i="16"/>
  <c r="W5" i="16"/>
  <c r="T5" i="16"/>
  <c r="H5" i="16"/>
  <c r="D5" i="16"/>
  <c r="AF4" i="16"/>
  <c r="AG4" i="16" s="1"/>
  <c r="T4" i="16"/>
  <c r="H4" i="16"/>
  <c r="D4" i="16"/>
  <c r="AF3" i="16"/>
  <c r="AG3" i="16" s="1"/>
  <c r="T3" i="16"/>
  <c r="H3" i="16"/>
  <c r="D3" i="16"/>
  <c r="AC60" i="17"/>
  <c r="AA60" i="17"/>
  <c r="I60" i="17" s="1"/>
  <c r="T60" i="17"/>
  <c r="R60" i="17"/>
  <c r="H60" i="17"/>
  <c r="D60" i="17"/>
  <c r="AC59" i="17"/>
  <c r="AA59" i="17"/>
  <c r="T59" i="17"/>
  <c r="R59" i="17"/>
  <c r="H59" i="17"/>
  <c r="D59" i="17"/>
  <c r="AC58" i="17"/>
  <c r="AA58" i="17"/>
  <c r="T58" i="17"/>
  <c r="R58" i="17"/>
  <c r="S58" i="17" s="1"/>
  <c r="H58" i="17"/>
  <c r="D58" i="17"/>
  <c r="AC57" i="17"/>
  <c r="AA57" i="17"/>
  <c r="T57" i="17"/>
  <c r="R57" i="17"/>
  <c r="S57" i="17" s="1"/>
  <c r="H57" i="17"/>
  <c r="D57" i="17"/>
  <c r="AC56" i="17"/>
  <c r="AA56" i="17"/>
  <c r="AB56" i="17" s="1"/>
  <c r="T56" i="17"/>
  <c r="R56" i="17"/>
  <c r="H56" i="17"/>
  <c r="D56" i="17"/>
  <c r="AC55" i="17"/>
  <c r="AA55" i="17"/>
  <c r="T55" i="17"/>
  <c r="R55" i="17"/>
  <c r="S55" i="17" s="1"/>
  <c r="H55" i="17"/>
  <c r="D55" i="17"/>
  <c r="AC54" i="17"/>
  <c r="AA54" i="17"/>
  <c r="T54" i="17"/>
  <c r="R54" i="17"/>
  <c r="S54" i="17" s="1"/>
  <c r="H54" i="17"/>
  <c r="D54" i="17"/>
  <c r="AC53" i="17"/>
  <c r="AA53" i="17"/>
  <c r="AB53" i="17" s="1"/>
  <c r="T53" i="17"/>
  <c r="R53" i="17"/>
  <c r="H53" i="17"/>
  <c r="D53" i="17"/>
  <c r="AC52" i="17"/>
  <c r="AA52" i="17"/>
  <c r="T52" i="17"/>
  <c r="R52" i="17"/>
  <c r="S52" i="17" s="1"/>
  <c r="H52" i="17"/>
  <c r="D52" i="17"/>
  <c r="AC51" i="17"/>
  <c r="AA51" i="17"/>
  <c r="T51" i="17"/>
  <c r="R51" i="17"/>
  <c r="S51" i="17" s="1"/>
  <c r="H51" i="17"/>
  <c r="D51" i="17"/>
  <c r="AC50" i="17"/>
  <c r="AA50" i="17"/>
  <c r="AB50" i="17" s="1"/>
  <c r="T50" i="17"/>
  <c r="R50" i="17"/>
  <c r="H50" i="17"/>
  <c r="D50" i="17"/>
  <c r="AC49" i="17"/>
  <c r="AA49" i="17"/>
  <c r="T49" i="17"/>
  <c r="R49" i="17"/>
  <c r="S49" i="17" s="1"/>
  <c r="H49" i="17"/>
  <c r="D49" i="17"/>
  <c r="AC48" i="17"/>
  <c r="AA48" i="17"/>
  <c r="T48" i="17"/>
  <c r="R48" i="17"/>
  <c r="S48" i="17" s="1"/>
  <c r="H48" i="17"/>
  <c r="D48" i="17"/>
  <c r="AC47" i="17"/>
  <c r="AA47" i="17"/>
  <c r="AB47" i="17" s="1"/>
  <c r="T47" i="17"/>
  <c r="R47" i="17"/>
  <c r="H47" i="17"/>
  <c r="D47" i="17"/>
  <c r="AC46" i="17"/>
  <c r="AA46" i="17"/>
  <c r="T46" i="17"/>
  <c r="R46" i="17"/>
  <c r="S46" i="17" s="1"/>
  <c r="H46" i="17"/>
  <c r="D46" i="17"/>
  <c r="AC45" i="17"/>
  <c r="AA45" i="17"/>
  <c r="T45" i="17"/>
  <c r="R45" i="17"/>
  <c r="S45" i="17" s="1"/>
  <c r="H45" i="17"/>
  <c r="D45" i="17"/>
  <c r="AC44" i="17"/>
  <c r="AA44" i="17"/>
  <c r="AB44" i="17" s="1"/>
  <c r="T44" i="17"/>
  <c r="R44" i="17"/>
  <c r="H44" i="17"/>
  <c r="D44" i="17"/>
  <c r="AC43" i="17"/>
  <c r="AA43" i="17"/>
  <c r="T43" i="17"/>
  <c r="R43" i="17"/>
  <c r="S43" i="17" s="1"/>
  <c r="H43" i="17"/>
  <c r="D43" i="17"/>
  <c r="AC42" i="17"/>
  <c r="AA42" i="17"/>
  <c r="T42" i="17"/>
  <c r="R42" i="17"/>
  <c r="S42" i="17" s="1"/>
  <c r="H42" i="17"/>
  <c r="D42" i="17"/>
  <c r="AC41" i="17"/>
  <c r="AA41" i="17"/>
  <c r="AB41" i="17" s="1"/>
  <c r="T41" i="17"/>
  <c r="R41" i="17"/>
  <c r="H41" i="17"/>
  <c r="D41" i="17"/>
  <c r="AC40" i="17"/>
  <c r="AA40" i="17"/>
  <c r="T40" i="17"/>
  <c r="R40" i="17"/>
  <c r="S40" i="17" s="1"/>
  <c r="H40" i="17"/>
  <c r="D40" i="17"/>
  <c r="AC39" i="17"/>
  <c r="AA39" i="17"/>
  <c r="T39" i="17"/>
  <c r="R39" i="17"/>
  <c r="S39" i="17" s="1"/>
  <c r="H39" i="17"/>
  <c r="D39" i="17"/>
  <c r="AC38" i="17"/>
  <c r="AA38" i="17"/>
  <c r="AB38" i="17" s="1"/>
  <c r="T38" i="17"/>
  <c r="R38" i="17"/>
  <c r="H38" i="17"/>
  <c r="D38" i="17"/>
  <c r="AC37" i="17"/>
  <c r="AA37" i="17"/>
  <c r="T37" i="17"/>
  <c r="R37" i="17"/>
  <c r="S37" i="17" s="1"/>
  <c r="H37" i="17"/>
  <c r="D37" i="17"/>
  <c r="AC36" i="17"/>
  <c r="AA36" i="17"/>
  <c r="T36" i="17"/>
  <c r="R36" i="17"/>
  <c r="S36" i="17" s="1"/>
  <c r="H36" i="17"/>
  <c r="D36" i="17"/>
  <c r="AC35" i="17"/>
  <c r="AA35" i="17"/>
  <c r="AB35" i="17" s="1"/>
  <c r="T35" i="17"/>
  <c r="R35" i="17"/>
  <c r="H35" i="17"/>
  <c r="D35" i="17"/>
  <c r="AC34" i="17"/>
  <c r="AA34" i="17"/>
  <c r="T34" i="17"/>
  <c r="R34" i="17"/>
  <c r="S34" i="17" s="1"/>
  <c r="H34" i="17"/>
  <c r="D34" i="17"/>
  <c r="AC33" i="17"/>
  <c r="AA33" i="17"/>
  <c r="T33" i="17"/>
  <c r="R33" i="17"/>
  <c r="S33" i="17" s="1"/>
  <c r="H33" i="17"/>
  <c r="D33" i="17"/>
  <c r="AC32" i="17"/>
  <c r="AA32" i="17"/>
  <c r="AB32" i="17" s="1"/>
  <c r="T32" i="17"/>
  <c r="R32" i="17"/>
  <c r="H32" i="17"/>
  <c r="D32" i="17"/>
  <c r="AC31" i="17"/>
  <c r="AA31" i="17"/>
  <c r="T31" i="17"/>
  <c r="R31" i="17"/>
  <c r="S31" i="17" s="1"/>
  <c r="H31" i="17"/>
  <c r="D31" i="17"/>
  <c r="AC30" i="17"/>
  <c r="AA30" i="17"/>
  <c r="T30" i="17"/>
  <c r="R30" i="17"/>
  <c r="S30" i="17" s="1"/>
  <c r="H30" i="17"/>
  <c r="D30" i="17"/>
  <c r="AC29" i="17"/>
  <c r="AA29" i="17"/>
  <c r="AB29" i="17" s="1"/>
  <c r="T29" i="17"/>
  <c r="R29" i="17"/>
  <c r="H29" i="17"/>
  <c r="D29" i="17"/>
  <c r="AC28" i="17"/>
  <c r="AA28" i="17"/>
  <c r="T28" i="17"/>
  <c r="R28" i="17"/>
  <c r="S28" i="17" s="1"/>
  <c r="H28" i="17"/>
  <c r="D28" i="17"/>
  <c r="AC27" i="17"/>
  <c r="AA27" i="17"/>
  <c r="T27" i="17"/>
  <c r="R27" i="17"/>
  <c r="S27" i="17" s="1"/>
  <c r="H27" i="17"/>
  <c r="D27" i="17"/>
  <c r="AC26" i="17"/>
  <c r="AA26" i="17"/>
  <c r="AB26" i="17" s="1"/>
  <c r="T26" i="17"/>
  <c r="R26" i="17"/>
  <c r="H26" i="17"/>
  <c r="D26" i="17"/>
  <c r="AC25" i="17"/>
  <c r="AA25" i="17"/>
  <c r="T25" i="17"/>
  <c r="R25" i="17"/>
  <c r="S25" i="17" s="1"/>
  <c r="H25" i="17"/>
  <c r="D25" i="17"/>
  <c r="AC24" i="17"/>
  <c r="AA24" i="17"/>
  <c r="T24" i="17"/>
  <c r="R24" i="17"/>
  <c r="S24" i="17" s="1"/>
  <c r="H24" i="17"/>
  <c r="D24" i="17"/>
  <c r="AC23" i="17"/>
  <c r="AA23" i="17"/>
  <c r="AB23" i="17" s="1"/>
  <c r="T23" i="17"/>
  <c r="R23" i="17"/>
  <c r="H23" i="17"/>
  <c r="D23" i="17"/>
  <c r="AC22" i="17"/>
  <c r="AA22" i="17"/>
  <c r="T22" i="17"/>
  <c r="R22" i="17"/>
  <c r="S22" i="17" s="1"/>
  <c r="H22" i="17"/>
  <c r="D22" i="17"/>
  <c r="AC21" i="17"/>
  <c r="AA21" i="17"/>
  <c r="T21" i="17"/>
  <c r="R21" i="17"/>
  <c r="S21" i="17" s="1"/>
  <c r="H21" i="17"/>
  <c r="D21" i="17"/>
  <c r="AC20" i="17"/>
  <c r="AA20" i="17"/>
  <c r="AB20" i="17" s="1"/>
  <c r="T20" i="17"/>
  <c r="R20" i="17"/>
  <c r="H20" i="17"/>
  <c r="D20" i="17"/>
  <c r="AC19" i="17"/>
  <c r="AA19" i="17"/>
  <c r="T19" i="17"/>
  <c r="R19" i="17"/>
  <c r="S19" i="17" s="1"/>
  <c r="H19" i="17"/>
  <c r="D19" i="17"/>
  <c r="AC18" i="17"/>
  <c r="AA18" i="17"/>
  <c r="T18" i="17"/>
  <c r="R18" i="17"/>
  <c r="S18" i="17" s="1"/>
  <c r="H18" i="17"/>
  <c r="D18" i="17"/>
  <c r="AC17" i="17"/>
  <c r="AA17" i="17"/>
  <c r="AB17" i="17" s="1"/>
  <c r="T17" i="17"/>
  <c r="R17" i="17"/>
  <c r="H17" i="17"/>
  <c r="D17" i="17"/>
  <c r="AC16" i="17"/>
  <c r="AA16" i="17"/>
  <c r="T16" i="17"/>
  <c r="R16" i="17"/>
  <c r="S16" i="17" s="1"/>
  <c r="H16" i="17"/>
  <c r="D16" i="17"/>
  <c r="AC15" i="17"/>
  <c r="AA15" i="17"/>
  <c r="T15" i="17"/>
  <c r="R15" i="17"/>
  <c r="S15" i="17" s="1"/>
  <c r="H15" i="17"/>
  <c r="D15" i="17"/>
  <c r="AC14" i="17"/>
  <c r="AA14" i="17"/>
  <c r="AB14" i="17" s="1"/>
  <c r="T14" i="17"/>
  <c r="R14" i="17"/>
  <c r="H14" i="17"/>
  <c r="D14" i="17"/>
  <c r="AC13" i="17"/>
  <c r="AA13" i="17"/>
  <c r="T13" i="17"/>
  <c r="R13" i="17"/>
  <c r="S13" i="17" s="1"/>
  <c r="H13" i="17"/>
  <c r="D13" i="17"/>
  <c r="AA12" i="17"/>
  <c r="T12" i="17"/>
  <c r="R12" i="17"/>
  <c r="S12" i="17" s="1"/>
  <c r="H12" i="17"/>
  <c r="D12" i="17"/>
  <c r="AC11" i="17"/>
  <c r="AA11" i="17"/>
  <c r="AB11" i="17" s="1"/>
  <c r="T11" i="17"/>
  <c r="R11" i="17"/>
  <c r="H11" i="17"/>
  <c r="D11" i="17"/>
  <c r="AC10" i="17"/>
  <c r="AA10" i="17"/>
  <c r="T10" i="17"/>
  <c r="R10" i="17"/>
  <c r="S10" i="17" s="1"/>
  <c r="H10" i="17"/>
  <c r="D10" i="17"/>
  <c r="AC9" i="17"/>
  <c r="AA9" i="17"/>
  <c r="T9" i="17"/>
  <c r="R9" i="17"/>
  <c r="S9" i="17" s="1"/>
  <c r="H9" i="17"/>
  <c r="D9" i="17"/>
  <c r="AC8" i="17"/>
  <c r="AA8" i="17"/>
  <c r="AB8" i="17" s="1"/>
  <c r="T8" i="17"/>
  <c r="R8" i="17"/>
  <c r="H8" i="17"/>
  <c r="D8" i="17"/>
  <c r="AC7" i="17"/>
  <c r="AA7" i="17"/>
  <c r="T7" i="17"/>
  <c r="R7" i="17"/>
  <c r="S7" i="17" s="1"/>
  <c r="H7" i="17"/>
  <c r="D7" i="17"/>
  <c r="AC6" i="17"/>
  <c r="AA6" i="17"/>
  <c r="T6" i="17"/>
  <c r="R6" i="17"/>
  <c r="S6" i="17" s="1"/>
  <c r="H6" i="17"/>
  <c r="D6" i="17"/>
  <c r="AC5" i="17"/>
  <c r="AA5" i="17"/>
  <c r="AB5" i="17" s="1"/>
  <c r="T5" i="17"/>
  <c r="R5" i="17"/>
  <c r="S5" i="17" s="1"/>
  <c r="H5" i="17"/>
  <c r="D5" i="17"/>
  <c r="AC4" i="17"/>
  <c r="AA4" i="17"/>
  <c r="T4" i="17"/>
  <c r="R4" i="17"/>
  <c r="S4" i="17" s="1"/>
  <c r="H4" i="17"/>
  <c r="D4" i="17"/>
  <c r="AA3" i="17"/>
  <c r="AB3" i="17" s="1"/>
  <c r="R3" i="17"/>
  <c r="S3" i="17" s="1"/>
  <c r="H3" i="17"/>
  <c r="D3" i="17"/>
  <c r="X61" i="12"/>
  <c r="W61" i="12"/>
  <c r="V61" i="12"/>
  <c r="P61" i="12"/>
  <c r="O61" i="12"/>
  <c r="N61" i="12"/>
  <c r="M61" i="12"/>
  <c r="L61" i="12"/>
  <c r="AA60" i="12"/>
  <c r="Z60" i="12"/>
  <c r="W679" i="24" s="1"/>
  <c r="Y60" i="12"/>
  <c r="S60" i="12"/>
  <c r="Q60" i="12"/>
  <c r="R60" i="12" s="1"/>
  <c r="W599" i="24" s="1"/>
  <c r="I60" i="12"/>
  <c r="H60" i="12"/>
  <c r="D60" i="12"/>
  <c r="G60" i="28" s="1"/>
  <c r="AA59" i="12"/>
  <c r="Y59" i="12"/>
  <c r="I59" i="12" s="1"/>
  <c r="S59" i="12"/>
  <c r="Q59" i="12"/>
  <c r="R59" i="12" s="1"/>
  <c r="W598" i="24" s="1"/>
  <c r="H59" i="12"/>
  <c r="D59" i="12"/>
  <c r="AA58" i="12"/>
  <c r="Y58" i="12"/>
  <c r="Z58" i="12" s="1"/>
  <c r="W677" i="24" s="1"/>
  <c r="S58" i="12"/>
  <c r="Q58" i="12"/>
  <c r="H58" i="12"/>
  <c r="D58" i="12"/>
  <c r="G58" i="28" s="1"/>
  <c r="AA57" i="12"/>
  <c r="Y57" i="12"/>
  <c r="Z57" i="12" s="1"/>
  <c r="W676" i="24" s="1"/>
  <c r="S57" i="12"/>
  <c r="Q57" i="12"/>
  <c r="H57" i="12"/>
  <c r="D57" i="12"/>
  <c r="AA56" i="12"/>
  <c r="Y56" i="12"/>
  <c r="Z56" i="12" s="1"/>
  <c r="W675" i="24" s="1"/>
  <c r="S56" i="12"/>
  <c r="Q56" i="12"/>
  <c r="R56" i="12" s="1"/>
  <c r="W595" i="24" s="1"/>
  <c r="H56" i="12"/>
  <c r="D56" i="12"/>
  <c r="G56" i="28" s="1"/>
  <c r="AA55" i="12"/>
  <c r="Y55" i="12"/>
  <c r="Z55" i="12" s="1"/>
  <c r="W674" i="24" s="1"/>
  <c r="S55" i="12"/>
  <c r="Q55" i="12"/>
  <c r="R55" i="12" s="1"/>
  <c r="W594" i="24" s="1"/>
  <c r="H55" i="12"/>
  <c r="D55" i="12"/>
  <c r="AA54" i="12"/>
  <c r="Y54" i="12"/>
  <c r="Z54" i="12" s="1"/>
  <c r="W673" i="24" s="1"/>
  <c r="S54" i="12"/>
  <c r="Q54" i="12"/>
  <c r="R54" i="12" s="1"/>
  <c r="W593" i="24" s="1"/>
  <c r="H54" i="12"/>
  <c r="D54" i="12"/>
  <c r="AA53" i="12"/>
  <c r="Y53" i="12"/>
  <c r="I53" i="12" s="1"/>
  <c r="S53" i="12"/>
  <c r="Q53" i="12"/>
  <c r="R53" i="12" s="1"/>
  <c r="W592" i="24" s="1"/>
  <c r="H53" i="12"/>
  <c r="D53" i="12"/>
  <c r="AA52" i="12"/>
  <c r="Y52" i="12"/>
  <c r="Z52" i="12" s="1"/>
  <c r="W671" i="24" s="1"/>
  <c r="S52" i="12"/>
  <c r="Q52" i="12"/>
  <c r="H52" i="12"/>
  <c r="D52" i="12"/>
  <c r="G52" i="28" s="1"/>
  <c r="AA51" i="12"/>
  <c r="Y51" i="12"/>
  <c r="I51" i="12" s="1"/>
  <c r="S51" i="12"/>
  <c r="Q51" i="12"/>
  <c r="R51" i="12" s="1"/>
  <c r="W590" i="24" s="1"/>
  <c r="H51" i="12"/>
  <c r="D51" i="12"/>
  <c r="AA50" i="12"/>
  <c r="Y50" i="12"/>
  <c r="Z50" i="12" s="1"/>
  <c r="W669" i="24" s="1"/>
  <c r="S50" i="12"/>
  <c r="Q50" i="12"/>
  <c r="H50" i="12"/>
  <c r="D50" i="12"/>
  <c r="G50" i="28" s="1"/>
  <c r="AA49" i="12"/>
  <c r="Y49" i="12"/>
  <c r="Z49" i="12" s="1"/>
  <c r="W668" i="24" s="1"/>
  <c r="S49" i="12"/>
  <c r="Q49" i="12"/>
  <c r="R49" i="12" s="1"/>
  <c r="W588" i="24" s="1"/>
  <c r="H49" i="12"/>
  <c r="D49" i="12"/>
  <c r="AA48" i="12"/>
  <c r="Y48" i="12"/>
  <c r="Z48" i="12" s="1"/>
  <c r="W667" i="24" s="1"/>
  <c r="S48" i="12"/>
  <c r="Q48" i="12"/>
  <c r="R48" i="12" s="1"/>
  <c r="W587" i="24" s="1"/>
  <c r="H48" i="12"/>
  <c r="D48" i="12"/>
  <c r="G48" i="28" s="1"/>
  <c r="AA47" i="12"/>
  <c r="Y47" i="12"/>
  <c r="I47" i="12" s="1"/>
  <c r="S47" i="12"/>
  <c r="Q47" i="12"/>
  <c r="R47" i="12" s="1"/>
  <c r="W586" i="24" s="1"/>
  <c r="H47" i="12"/>
  <c r="D47" i="12"/>
  <c r="AA46" i="12"/>
  <c r="Y46" i="12"/>
  <c r="Z46" i="12" s="1"/>
  <c r="W665" i="24" s="1"/>
  <c r="S46" i="12"/>
  <c r="Q46" i="12"/>
  <c r="H46" i="12"/>
  <c r="D46" i="12"/>
  <c r="G46" i="28" s="1"/>
  <c r="AA45" i="12"/>
  <c r="Y45" i="12"/>
  <c r="Z45" i="12" s="1"/>
  <c r="W664" i="24" s="1"/>
  <c r="S45" i="12"/>
  <c r="Q45" i="12"/>
  <c r="H45" i="12"/>
  <c r="D45" i="12"/>
  <c r="AA44" i="12"/>
  <c r="Y44" i="12"/>
  <c r="Z44" i="12" s="1"/>
  <c r="W663" i="24" s="1"/>
  <c r="S44" i="12"/>
  <c r="Q44" i="12"/>
  <c r="R44" i="12" s="1"/>
  <c r="W583" i="24" s="1"/>
  <c r="H44" i="12"/>
  <c r="D44" i="12"/>
  <c r="G44" i="28" s="1"/>
  <c r="AA43" i="12"/>
  <c r="Y43" i="12"/>
  <c r="I43" i="12" s="1"/>
  <c r="Q43" i="12"/>
  <c r="H43" i="12"/>
  <c r="D43" i="12"/>
  <c r="AA42" i="12"/>
  <c r="Y42" i="12"/>
  <c r="Z42" i="12" s="1"/>
  <c r="W661" i="24" s="1"/>
  <c r="S42" i="12"/>
  <c r="Q42" i="12"/>
  <c r="R42" i="12" s="1"/>
  <c r="W581" i="24" s="1"/>
  <c r="H42" i="12"/>
  <c r="D42" i="12"/>
  <c r="G42" i="28" s="1"/>
  <c r="AA41" i="12"/>
  <c r="Y41" i="12"/>
  <c r="I41" i="12" s="1"/>
  <c r="S41" i="12"/>
  <c r="Q41" i="12"/>
  <c r="R41" i="12" s="1"/>
  <c r="W580" i="24" s="1"/>
  <c r="H41" i="12"/>
  <c r="D41" i="12"/>
  <c r="AA40" i="12"/>
  <c r="Y40" i="12"/>
  <c r="Z40" i="12" s="1"/>
  <c r="W659" i="24" s="1"/>
  <c r="S40" i="12"/>
  <c r="Q40" i="12"/>
  <c r="H40" i="12"/>
  <c r="D40" i="12"/>
  <c r="G40" i="28" s="1"/>
  <c r="AA39" i="12"/>
  <c r="Y39" i="12"/>
  <c r="I39" i="12" s="1"/>
  <c r="S39" i="12"/>
  <c r="Q39" i="12"/>
  <c r="H39" i="12"/>
  <c r="D39" i="12"/>
  <c r="AA38" i="12"/>
  <c r="Y38" i="12"/>
  <c r="Z38" i="12" s="1"/>
  <c r="W657" i="24" s="1"/>
  <c r="Q38" i="12"/>
  <c r="H38" i="12"/>
  <c r="D38" i="12"/>
  <c r="G38" i="28" s="1"/>
  <c r="AA37" i="12"/>
  <c r="Y37" i="12"/>
  <c r="Z37" i="12" s="1"/>
  <c r="W656" i="24" s="1"/>
  <c r="Q37" i="12"/>
  <c r="H37" i="12"/>
  <c r="D37" i="12"/>
  <c r="AA36" i="12"/>
  <c r="Y36" i="12"/>
  <c r="Z36" i="12" s="1"/>
  <c r="W655" i="24" s="1"/>
  <c r="S36" i="12"/>
  <c r="Q36" i="12"/>
  <c r="R36" i="12" s="1"/>
  <c r="W575" i="24" s="1"/>
  <c r="H36" i="12"/>
  <c r="D36" i="12"/>
  <c r="AA35" i="12"/>
  <c r="Y35" i="12"/>
  <c r="I35" i="12" s="1"/>
  <c r="S35" i="12"/>
  <c r="Q35" i="12"/>
  <c r="R35" i="12" s="1"/>
  <c r="W574" i="24" s="1"/>
  <c r="H35" i="12"/>
  <c r="D35" i="12"/>
  <c r="AA34" i="12"/>
  <c r="Y34" i="12"/>
  <c r="Z34" i="12" s="1"/>
  <c r="W653" i="24" s="1"/>
  <c r="S34" i="12"/>
  <c r="Q34" i="12"/>
  <c r="H34" i="12"/>
  <c r="D34" i="12"/>
  <c r="AA33" i="12"/>
  <c r="Y33" i="12"/>
  <c r="I33" i="12" s="1"/>
  <c r="S33" i="12"/>
  <c r="Q33" i="12"/>
  <c r="H33" i="12"/>
  <c r="D33" i="12"/>
  <c r="AA32" i="12"/>
  <c r="Y32" i="12"/>
  <c r="Z32" i="12" s="1"/>
  <c r="W651" i="24" s="1"/>
  <c r="S32" i="12"/>
  <c r="Q32" i="12"/>
  <c r="R32" i="12" s="1"/>
  <c r="W571" i="24" s="1"/>
  <c r="H32" i="12"/>
  <c r="E32" i="12"/>
  <c r="D32" i="12"/>
  <c r="AA31" i="12"/>
  <c r="Y31" i="12"/>
  <c r="Z31" i="12" s="1"/>
  <c r="W650" i="24" s="1"/>
  <c r="S31" i="12"/>
  <c r="Q31" i="12"/>
  <c r="R31" i="12" s="1"/>
  <c r="W570" i="24" s="1"/>
  <c r="H31" i="12"/>
  <c r="D31" i="12"/>
  <c r="G31" i="28" s="1"/>
  <c r="AA30" i="12"/>
  <c r="Y30" i="12"/>
  <c r="I30" i="12" s="1"/>
  <c r="S30" i="12"/>
  <c r="Q30" i="12"/>
  <c r="R30" i="12" s="1"/>
  <c r="W569" i="24" s="1"/>
  <c r="H30" i="12"/>
  <c r="D30" i="12"/>
  <c r="AA29" i="12"/>
  <c r="Y29" i="12"/>
  <c r="I29" i="12" s="1"/>
  <c r="S29" i="12"/>
  <c r="Q29" i="12"/>
  <c r="R29" i="12" s="1"/>
  <c r="W568" i="24" s="1"/>
  <c r="H29" i="12"/>
  <c r="D29" i="12"/>
  <c r="G29" i="28" s="1"/>
  <c r="AA28" i="12"/>
  <c r="Y28" i="12"/>
  <c r="Z28" i="12" s="1"/>
  <c r="W647" i="24" s="1"/>
  <c r="S28" i="12"/>
  <c r="Q28" i="12"/>
  <c r="H28" i="12"/>
  <c r="D28" i="12"/>
  <c r="AA27" i="12"/>
  <c r="Y27" i="12"/>
  <c r="I27" i="12" s="1"/>
  <c r="S27" i="12"/>
  <c r="Q27" i="12"/>
  <c r="H27" i="12"/>
  <c r="D27" i="12"/>
  <c r="G27" i="28" s="1"/>
  <c r="AA26" i="12"/>
  <c r="Y26" i="12"/>
  <c r="Z26" i="12" s="1"/>
  <c r="W645" i="24" s="1"/>
  <c r="S26" i="12"/>
  <c r="Q26" i="12"/>
  <c r="R26" i="12" s="1"/>
  <c r="W565" i="24" s="1"/>
  <c r="H26" i="12"/>
  <c r="D26" i="12"/>
  <c r="AA25" i="12"/>
  <c r="Y25" i="12"/>
  <c r="Z25" i="12" s="1"/>
  <c r="W644" i="24" s="1"/>
  <c r="S25" i="12"/>
  <c r="Q25" i="12"/>
  <c r="R25" i="12" s="1"/>
  <c r="W564" i="24" s="1"/>
  <c r="H25" i="12"/>
  <c r="D25" i="12"/>
  <c r="G25" i="28" s="1"/>
  <c r="AA24" i="12"/>
  <c r="Y24" i="12"/>
  <c r="I24" i="12" s="1"/>
  <c r="S24" i="12"/>
  <c r="Q24" i="12"/>
  <c r="R24" i="12" s="1"/>
  <c r="W563" i="24" s="1"/>
  <c r="H24" i="12"/>
  <c r="D24" i="12"/>
  <c r="AA23" i="12"/>
  <c r="Y23" i="12"/>
  <c r="I23" i="12" s="1"/>
  <c r="S23" i="12"/>
  <c r="Q23" i="12"/>
  <c r="R23" i="12" s="1"/>
  <c r="W562" i="24" s="1"/>
  <c r="H23" i="12"/>
  <c r="D23" i="12"/>
  <c r="G23" i="28" s="1"/>
  <c r="AA22" i="12"/>
  <c r="Y22" i="12"/>
  <c r="Z22" i="12" s="1"/>
  <c r="W641" i="24" s="1"/>
  <c r="S22" i="12"/>
  <c r="Q22" i="12"/>
  <c r="H22" i="12"/>
  <c r="D22" i="12"/>
  <c r="AA21" i="12"/>
  <c r="Y21" i="12"/>
  <c r="I21" i="12" s="1"/>
  <c r="Q21" i="12"/>
  <c r="H21" i="12"/>
  <c r="D21" i="12"/>
  <c r="G21" i="28" s="1"/>
  <c r="AA20" i="12"/>
  <c r="Y20" i="12"/>
  <c r="Z20" i="12" s="1"/>
  <c r="W639" i="24" s="1"/>
  <c r="S20" i="12"/>
  <c r="Q20" i="12"/>
  <c r="H20" i="12"/>
  <c r="D20" i="12"/>
  <c r="AA19" i="12"/>
  <c r="Y19" i="12"/>
  <c r="Z19" i="12" s="1"/>
  <c r="W638" i="24" s="1"/>
  <c r="S19" i="12"/>
  <c r="Q19" i="12"/>
  <c r="R19" i="12" s="1"/>
  <c r="W558" i="24" s="1"/>
  <c r="H19" i="12"/>
  <c r="D19" i="12"/>
  <c r="G19" i="28" s="1"/>
  <c r="Y18" i="12"/>
  <c r="Q18" i="12"/>
  <c r="R18" i="12" s="1"/>
  <c r="W557" i="24" s="1"/>
  <c r="H18" i="12"/>
  <c r="D18" i="12"/>
  <c r="AA17" i="12"/>
  <c r="Y17" i="12"/>
  <c r="I17" i="12" s="1"/>
  <c r="S17" i="12"/>
  <c r="Q17" i="12"/>
  <c r="R17" i="12" s="1"/>
  <c r="W556" i="24" s="1"/>
  <c r="H17" i="12"/>
  <c r="D17" i="12"/>
  <c r="G17" i="28" s="1"/>
  <c r="AA16" i="12"/>
  <c r="Y16" i="12"/>
  <c r="Z16" i="12" s="1"/>
  <c r="W635" i="24" s="1"/>
  <c r="S16" i="12"/>
  <c r="Q16" i="12"/>
  <c r="H16" i="12"/>
  <c r="D16" i="12"/>
  <c r="AA15" i="12"/>
  <c r="Y15" i="12"/>
  <c r="Z15" i="12" s="1"/>
  <c r="W634" i="24" s="1"/>
  <c r="S15" i="12"/>
  <c r="Q15" i="12"/>
  <c r="R15" i="12" s="1"/>
  <c r="W554" i="24" s="1"/>
  <c r="H15" i="12"/>
  <c r="D15" i="12"/>
  <c r="G15" i="28" s="1"/>
  <c r="AA14" i="12"/>
  <c r="Y14" i="12"/>
  <c r="S14" i="12"/>
  <c r="Q14" i="12"/>
  <c r="H14" i="12"/>
  <c r="D14" i="12"/>
  <c r="AA13" i="12"/>
  <c r="Y13" i="12"/>
  <c r="Z13" i="12" s="1"/>
  <c r="W632" i="24" s="1"/>
  <c r="S13" i="12"/>
  <c r="Q13" i="12"/>
  <c r="R13" i="12" s="1"/>
  <c r="W552" i="24" s="1"/>
  <c r="H13" i="12"/>
  <c r="D13" i="12"/>
  <c r="Y12" i="12"/>
  <c r="S12" i="12"/>
  <c r="Q12" i="12"/>
  <c r="R12" i="12" s="1"/>
  <c r="W551" i="24" s="1"/>
  <c r="H12" i="12"/>
  <c r="D12" i="12"/>
  <c r="AA11" i="12"/>
  <c r="Y11" i="12"/>
  <c r="Z11" i="12" s="1"/>
  <c r="W630" i="24" s="1"/>
  <c r="S11" i="12"/>
  <c r="Q11" i="12"/>
  <c r="H11" i="12"/>
  <c r="D11" i="12"/>
  <c r="AA10" i="12"/>
  <c r="Y10" i="12"/>
  <c r="I10" i="12" s="1"/>
  <c r="S10" i="12"/>
  <c r="Q10" i="12"/>
  <c r="H10" i="12"/>
  <c r="D10" i="12"/>
  <c r="AA9" i="12"/>
  <c r="Y9" i="12"/>
  <c r="Z9" i="12" s="1"/>
  <c r="W628" i="24" s="1"/>
  <c r="S9" i="12"/>
  <c r="Q9" i="12"/>
  <c r="R9" i="12" s="1"/>
  <c r="W548" i="24" s="1"/>
  <c r="H9" i="12"/>
  <c r="D9" i="12"/>
  <c r="AA8" i="12"/>
  <c r="Y8" i="12"/>
  <c r="Z8" i="12" s="1"/>
  <c r="W627" i="24" s="1"/>
  <c r="S8" i="12"/>
  <c r="Q8" i="12"/>
  <c r="R8" i="12" s="1"/>
  <c r="W547" i="24" s="1"/>
  <c r="H8" i="12"/>
  <c r="D8" i="12"/>
  <c r="AA7" i="12"/>
  <c r="Y7" i="12"/>
  <c r="I7" i="12" s="1"/>
  <c r="S7" i="12"/>
  <c r="Q7" i="12"/>
  <c r="R7" i="12" s="1"/>
  <c r="W546" i="24" s="1"/>
  <c r="H7" i="12"/>
  <c r="D7" i="12"/>
  <c r="AA6" i="12"/>
  <c r="Y6" i="12"/>
  <c r="I6" i="12" s="1"/>
  <c r="S6" i="12"/>
  <c r="Q6" i="12"/>
  <c r="R6" i="12" s="1"/>
  <c r="W545" i="24" s="1"/>
  <c r="H6" i="12"/>
  <c r="D6" i="12"/>
  <c r="Y5" i="12"/>
  <c r="H5" i="12"/>
  <c r="D5" i="12"/>
  <c r="Y4" i="12"/>
  <c r="H4" i="12"/>
  <c r="D4" i="12"/>
  <c r="Y3" i="12"/>
  <c r="H3" i="12"/>
  <c r="D3" i="12"/>
  <c r="Q61" i="11"/>
  <c r="R22" i="11" s="1"/>
  <c r="M1579" i="24" s="1"/>
  <c r="L61" i="11"/>
  <c r="K61" i="11"/>
  <c r="J61" i="11"/>
  <c r="S60" i="11"/>
  <c r="N60" i="11"/>
  <c r="E60" i="11"/>
  <c r="G60" i="11"/>
  <c r="S59" i="11"/>
  <c r="N59" i="11"/>
  <c r="E59" i="11"/>
  <c r="G59" i="11"/>
  <c r="S58" i="11"/>
  <c r="N58" i="11"/>
  <c r="E58" i="11"/>
  <c r="G58" i="11"/>
  <c r="S57" i="11"/>
  <c r="N57" i="11"/>
  <c r="P57" i="11" a="1"/>
  <c r="P57" i="11" s="1"/>
  <c r="G57" i="11"/>
  <c r="S56" i="11"/>
  <c r="N56" i="11"/>
  <c r="E56" i="11"/>
  <c r="G56" i="11"/>
  <c r="S55" i="11"/>
  <c r="N55" i="11"/>
  <c r="E55" i="11"/>
  <c r="G55" i="11"/>
  <c r="S54" i="11"/>
  <c r="N54" i="11"/>
  <c r="P54" i="11" a="1"/>
  <c r="P54" i="11" s="1"/>
  <c r="G54" i="11"/>
  <c r="S53" i="11"/>
  <c r="N53" i="11"/>
  <c r="E53" i="11"/>
  <c r="G53" i="11"/>
  <c r="S52" i="11"/>
  <c r="N52" i="11"/>
  <c r="E52" i="11"/>
  <c r="G52" i="11"/>
  <c r="S51" i="11"/>
  <c r="N51" i="11"/>
  <c r="P51" i="11" a="1"/>
  <c r="P51" i="11" s="1"/>
  <c r="G51" i="11"/>
  <c r="S50" i="11"/>
  <c r="N50" i="11"/>
  <c r="E50" i="11"/>
  <c r="G50" i="11"/>
  <c r="S49" i="11"/>
  <c r="N49" i="11"/>
  <c r="E49" i="11"/>
  <c r="G49" i="11"/>
  <c r="S48" i="11"/>
  <c r="N48" i="11"/>
  <c r="P48" i="11" a="1"/>
  <c r="P48" i="11" s="1"/>
  <c r="G48" i="11"/>
  <c r="S47" i="11"/>
  <c r="N47" i="11"/>
  <c r="E47" i="11"/>
  <c r="G47" i="11"/>
  <c r="S46" i="11"/>
  <c r="N46" i="11"/>
  <c r="E46" i="11"/>
  <c r="G46" i="11"/>
  <c r="S45" i="11"/>
  <c r="N45" i="11"/>
  <c r="P45" i="11" a="1"/>
  <c r="P45" i="11" s="1"/>
  <c r="G45" i="11"/>
  <c r="S44" i="11"/>
  <c r="N44" i="11"/>
  <c r="E44" i="11"/>
  <c r="G44" i="11"/>
  <c r="S43" i="11"/>
  <c r="N43" i="11"/>
  <c r="E43" i="11"/>
  <c r="G43" i="11"/>
  <c r="S42" i="11"/>
  <c r="N42" i="11"/>
  <c r="P42" i="11" a="1"/>
  <c r="P42" i="11" s="1"/>
  <c r="G42" i="11"/>
  <c r="S41" i="11"/>
  <c r="N41" i="11"/>
  <c r="E41" i="11"/>
  <c r="G41" i="11"/>
  <c r="S40" i="11"/>
  <c r="N40" i="11"/>
  <c r="E40" i="11"/>
  <c r="G40" i="11"/>
  <c r="S39" i="11"/>
  <c r="N39" i="11"/>
  <c r="P39" i="11" a="1"/>
  <c r="P39" i="11" s="1"/>
  <c r="G39" i="11"/>
  <c r="S38" i="11"/>
  <c r="N38" i="11"/>
  <c r="E38" i="11"/>
  <c r="G38" i="11"/>
  <c r="S37" i="11"/>
  <c r="N37" i="11"/>
  <c r="E37" i="11"/>
  <c r="G37" i="11"/>
  <c r="S36" i="11"/>
  <c r="N36" i="11"/>
  <c r="P36" i="11" a="1"/>
  <c r="P36" i="11" s="1"/>
  <c r="G36" i="11"/>
  <c r="S35" i="11"/>
  <c r="N35" i="11"/>
  <c r="E35" i="11"/>
  <c r="G35" i="11"/>
  <c r="S34" i="11"/>
  <c r="N34" i="11"/>
  <c r="E34" i="11"/>
  <c r="G34" i="11"/>
  <c r="S33" i="11"/>
  <c r="N33" i="11"/>
  <c r="P33" i="11" a="1"/>
  <c r="P33" i="11" s="1"/>
  <c r="G33" i="11"/>
  <c r="S32" i="11"/>
  <c r="N32" i="11"/>
  <c r="E32" i="11"/>
  <c r="G32" i="11"/>
  <c r="S31" i="11"/>
  <c r="N31" i="11"/>
  <c r="E31" i="11"/>
  <c r="G31" i="11"/>
  <c r="S30" i="11"/>
  <c r="N30" i="11"/>
  <c r="P30" i="11" a="1"/>
  <c r="P30" i="11" s="1"/>
  <c r="G30" i="11"/>
  <c r="S29" i="11"/>
  <c r="N29" i="11"/>
  <c r="E29" i="11"/>
  <c r="G29" i="11"/>
  <c r="S28" i="11"/>
  <c r="N28" i="11"/>
  <c r="E28" i="11"/>
  <c r="G28" i="11"/>
  <c r="S27" i="11"/>
  <c r="N27" i="11"/>
  <c r="P27" i="11" a="1"/>
  <c r="P27" i="11" s="1"/>
  <c r="G27" i="11"/>
  <c r="S26" i="11"/>
  <c r="N26" i="11"/>
  <c r="E26" i="11"/>
  <c r="G26" i="11"/>
  <c r="S25" i="11"/>
  <c r="N25" i="11"/>
  <c r="E25" i="11"/>
  <c r="G25" i="11"/>
  <c r="S24" i="11"/>
  <c r="N24" i="11"/>
  <c r="P24" i="11" a="1"/>
  <c r="P24" i="11" s="1"/>
  <c r="G24" i="11"/>
  <c r="S23" i="11"/>
  <c r="N23" i="11"/>
  <c r="E23" i="11"/>
  <c r="G23" i="11"/>
  <c r="S21" i="11"/>
  <c r="N21" i="11"/>
  <c r="P21" i="11" a="1"/>
  <c r="P21" i="11" s="1"/>
  <c r="G21" i="11"/>
  <c r="E20" i="11"/>
  <c r="S19" i="11"/>
  <c r="N19" i="11"/>
  <c r="E19" i="11"/>
  <c r="G19" i="11"/>
  <c r="S18" i="11"/>
  <c r="N18" i="11"/>
  <c r="P18" i="11" a="1"/>
  <c r="P18" i="11" s="1"/>
  <c r="G18" i="11"/>
  <c r="S17" i="11"/>
  <c r="N17" i="11"/>
  <c r="E17" i="11"/>
  <c r="G17" i="11"/>
  <c r="S16" i="11"/>
  <c r="N16" i="11"/>
  <c r="E16" i="11"/>
  <c r="G16" i="11"/>
  <c r="S15" i="11"/>
  <c r="N15" i="11"/>
  <c r="P15" i="11" a="1"/>
  <c r="P15" i="11" s="1"/>
  <c r="G15" i="11"/>
  <c r="S14" i="11"/>
  <c r="N14" i="11"/>
  <c r="E14" i="11"/>
  <c r="G14" i="11"/>
  <c r="S13" i="11"/>
  <c r="N13" i="11"/>
  <c r="E13" i="11"/>
  <c r="G13" i="11"/>
  <c r="S12" i="11"/>
  <c r="N12" i="11"/>
  <c r="P12" i="11" a="1"/>
  <c r="P12" i="11" s="1"/>
  <c r="G12" i="11"/>
  <c r="S11" i="11"/>
  <c r="N11" i="11"/>
  <c r="E11" i="11"/>
  <c r="G11" i="11"/>
  <c r="S10" i="11"/>
  <c r="N10" i="11"/>
  <c r="E10" i="11"/>
  <c r="G10" i="11"/>
  <c r="S9" i="11"/>
  <c r="N9" i="11"/>
  <c r="P9" i="11" a="1"/>
  <c r="P9" i="11" s="1"/>
  <c r="G9" i="11"/>
  <c r="S8" i="11"/>
  <c r="N8" i="11"/>
  <c r="E8" i="11"/>
  <c r="G8" i="11"/>
  <c r="S7" i="11"/>
  <c r="N7" i="11"/>
  <c r="E7" i="11"/>
  <c r="G7" i="11"/>
  <c r="S6" i="11"/>
  <c r="N6" i="11"/>
  <c r="P6" i="11" a="1"/>
  <c r="P6" i="11" s="1"/>
  <c r="G6" i="11"/>
  <c r="S5" i="11"/>
  <c r="N5" i="11"/>
  <c r="E5" i="11"/>
  <c r="G5" i="11"/>
  <c r="S4" i="11"/>
  <c r="N4" i="11"/>
  <c r="E4" i="11"/>
  <c r="G4" i="11"/>
  <c r="M1560" i="24"/>
  <c r="AW61" i="10"/>
  <c r="AV61" i="10"/>
  <c r="AU61" i="10"/>
  <c r="AO61" i="10"/>
  <c r="AN61" i="10"/>
  <c r="AM61" i="10"/>
  <c r="AG61" i="10"/>
  <c r="AF61" i="10"/>
  <c r="AE61" i="10"/>
  <c r="Y61" i="10"/>
  <c r="X61" i="10"/>
  <c r="W61" i="10"/>
  <c r="V61" i="10"/>
  <c r="U61" i="10"/>
  <c r="T61" i="10"/>
  <c r="AX60" i="10"/>
  <c r="AR60" i="10"/>
  <c r="AP60" i="10"/>
  <c r="AJ60" i="10"/>
  <c r="AH60" i="10"/>
  <c r="I60" i="10" s="1"/>
  <c r="Z60" i="10"/>
  <c r="P60" i="10"/>
  <c r="L60" i="10"/>
  <c r="H60" i="10"/>
  <c r="D60" i="10"/>
  <c r="H60" i="28" s="1"/>
  <c r="AX59" i="10"/>
  <c r="AR59" i="10"/>
  <c r="AP59" i="10"/>
  <c r="AJ59" i="10"/>
  <c r="AH59" i="10"/>
  <c r="AI59" i="10" s="1"/>
  <c r="W1254" i="24" s="1"/>
  <c r="AB59" i="10"/>
  <c r="Z59" i="10"/>
  <c r="AA59" i="10" s="1"/>
  <c r="P59" i="10"/>
  <c r="L59" i="10"/>
  <c r="H59" i="10"/>
  <c r="D59" i="10"/>
  <c r="H59" i="28" s="1"/>
  <c r="AX58" i="10"/>
  <c r="AR58" i="10"/>
  <c r="AP58" i="10"/>
  <c r="AJ58" i="10"/>
  <c r="AH58" i="10"/>
  <c r="I58" i="10" s="1"/>
  <c r="AB58" i="10"/>
  <c r="Z58" i="10"/>
  <c r="AA58" i="10" s="1"/>
  <c r="P58" i="10"/>
  <c r="L58" i="10"/>
  <c r="H58" i="10"/>
  <c r="D58" i="10"/>
  <c r="AX57" i="10"/>
  <c r="AR57" i="10"/>
  <c r="AP57" i="10"/>
  <c r="AQ57" i="10" s="1"/>
  <c r="W1333" i="24" s="1"/>
  <c r="AJ57" i="10"/>
  <c r="AH57" i="10"/>
  <c r="AI57" i="10" s="1"/>
  <c r="W1252" i="24" s="1"/>
  <c r="AB57" i="10"/>
  <c r="Z57" i="10"/>
  <c r="AA57" i="10" s="1"/>
  <c r="P57" i="10"/>
  <c r="L57" i="10"/>
  <c r="H57" i="10"/>
  <c r="D57" i="10"/>
  <c r="AX56" i="10"/>
  <c r="AY56" i="10" s="1"/>
  <c r="BB56" i="10" s="1" a="1"/>
  <c r="BB56" i="10" s="1"/>
  <c r="AR56" i="10"/>
  <c r="AP56" i="10"/>
  <c r="AJ56" i="10"/>
  <c r="AH56" i="10"/>
  <c r="AI56" i="10" s="1"/>
  <c r="W1251" i="24" s="1"/>
  <c r="AB56" i="10"/>
  <c r="Z56" i="10"/>
  <c r="AA56" i="10" s="1"/>
  <c r="Q56" i="10"/>
  <c r="P56" i="10"/>
  <c r="L56" i="10"/>
  <c r="H56" i="10"/>
  <c r="D56" i="10"/>
  <c r="AX55" i="10"/>
  <c r="AR55" i="10"/>
  <c r="AP55" i="10"/>
  <c r="AQ55" i="10" s="1"/>
  <c r="W1331" i="24" s="1"/>
  <c r="AJ55" i="10"/>
  <c r="AH55" i="10"/>
  <c r="AI55" i="10" s="1"/>
  <c r="W1250" i="24" s="1"/>
  <c r="AB55" i="10"/>
  <c r="Z55" i="10"/>
  <c r="AA55" i="10" s="1"/>
  <c r="P55" i="10"/>
  <c r="L55" i="10"/>
  <c r="H55" i="10"/>
  <c r="D55" i="10"/>
  <c r="AX54" i="10"/>
  <c r="AR54" i="10"/>
  <c r="AP54" i="10"/>
  <c r="AJ54" i="10"/>
  <c r="AH54" i="10"/>
  <c r="AI54" i="10" s="1"/>
  <c r="W1249" i="24" s="1"/>
  <c r="AB54" i="10"/>
  <c r="Z54" i="10"/>
  <c r="AA54" i="10" s="1"/>
  <c r="P54" i="10"/>
  <c r="L54" i="10"/>
  <c r="H54" i="10"/>
  <c r="D54" i="10"/>
  <c r="AX53" i="10"/>
  <c r="AR53" i="10"/>
  <c r="AP53" i="10"/>
  <c r="AQ53" i="10" s="1"/>
  <c r="W1329" i="24" s="1"/>
  <c r="AJ53" i="10"/>
  <c r="AH53" i="10"/>
  <c r="I53" i="10" s="1"/>
  <c r="AB53" i="10"/>
  <c r="Z53" i="10"/>
  <c r="E53" i="10" s="1"/>
  <c r="P53" i="10"/>
  <c r="L53" i="10"/>
  <c r="H53" i="10"/>
  <c r="D53" i="10"/>
  <c r="H53" i="28" s="1"/>
  <c r="AX52" i="10"/>
  <c r="AR52" i="10"/>
  <c r="AP52" i="10"/>
  <c r="AJ52" i="10"/>
  <c r="AH52" i="10"/>
  <c r="AI52" i="10" s="1"/>
  <c r="W1247" i="24" s="1"/>
  <c r="AB52" i="10"/>
  <c r="Z52" i="10"/>
  <c r="AA52" i="10" s="1"/>
  <c r="P52" i="10"/>
  <c r="L52" i="10"/>
  <c r="H52" i="10"/>
  <c r="D52" i="10"/>
  <c r="H52" i="28" s="1"/>
  <c r="AX51" i="10"/>
  <c r="AR51" i="10"/>
  <c r="AP51" i="10"/>
  <c r="AQ51" i="10" s="1"/>
  <c r="W1327" i="24" s="1"/>
  <c r="AJ51" i="10"/>
  <c r="AH51" i="10"/>
  <c r="AI51" i="10" s="1"/>
  <c r="W1246" i="24" s="1"/>
  <c r="AB51" i="10"/>
  <c r="Z51" i="10"/>
  <c r="E51" i="10" s="1"/>
  <c r="P51" i="10"/>
  <c r="L51" i="10"/>
  <c r="H51" i="10"/>
  <c r="D51" i="10"/>
  <c r="AX50" i="10"/>
  <c r="AY50" i="10" s="1"/>
  <c r="BB50" i="10" s="1" a="1"/>
  <c r="BB50" i="10" s="1"/>
  <c r="AR50" i="10"/>
  <c r="AP50" i="10"/>
  <c r="AJ50" i="10"/>
  <c r="AH50" i="10"/>
  <c r="AI50" i="10" s="1"/>
  <c r="W1245" i="24" s="1"/>
  <c r="AB50" i="10"/>
  <c r="Z50" i="10"/>
  <c r="AA50" i="10" s="1"/>
  <c r="Q50" i="10"/>
  <c r="P50" i="10"/>
  <c r="L50" i="10"/>
  <c r="H50" i="10"/>
  <c r="D50" i="10"/>
  <c r="AX49" i="10"/>
  <c r="AR49" i="10"/>
  <c r="AP49" i="10"/>
  <c r="AQ49" i="10" s="1"/>
  <c r="W1325" i="24" s="1"/>
  <c r="AJ49" i="10"/>
  <c r="AH49" i="10"/>
  <c r="AI49" i="10" s="1"/>
  <c r="W1244" i="24" s="1"/>
  <c r="AB49" i="10"/>
  <c r="Z49" i="10"/>
  <c r="E49" i="10" s="1"/>
  <c r="P49" i="10"/>
  <c r="L49" i="10"/>
  <c r="H49" i="10"/>
  <c r="D49" i="10"/>
  <c r="AX48" i="10"/>
  <c r="AR48" i="10"/>
  <c r="AP48" i="10"/>
  <c r="AJ48" i="10"/>
  <c r="AH48" i="10"/>
  <c r="AI48" i="10" s="1"/>
  <c r="W1243" i="24" s="1"/>
  <c r="AB48" i="10"/>
  <c r="Z48" i="10"/>
  <c r="AA48" i="10" s="1"/>
  <c r="P48" i="10"/>
  <c r="L48" i="10"/>
  <c r="H48" i="10"/>
  <c r="D48" i="10"/>
  <c r="AX47" i="10"/>
  <c r="AR47" i="10"/>
  <c r="AP47" i="10"/>
  <c r="AQ47" i="10" s="1"/>
  <c r="W1323" i="24" s="1"/>
  <c r="AJ47" i="10"/>
  <c r="AH47" i="10"/>
  <c r="AI47" i="10" s="1"/>
  <c r="W1242" i="24" s="1"/>
  <c r="AB47" i="10"/>
  <c r="Z47" i="10"/>
  <c r="E47" i="10" s="1"/>
  <c r="P47" i="10"/>
  <c r="L47" i="10"/>
  <c r="H47" i="10"/>
  <c r="D47" i="10"/>
  <c r="AX46" i="10"/>
  <c r="AR46" i="10"/>
  <c r="AP46" i="10"/>
  <c r="AJ46" i="10"/>
  <c r="AH46" i="10"/>
  <c r="AI46" i="10" s="1"/>
  <c r="W1241" i="24" s="1"/>
  <c r="AB46" i="10"/>
  <c r="Z46" i="10"/>
  <c r="P46" i="10"/>
  <c r="L46" i="10"/>
  <c r="H46" i="10"/>
  <c r="D46" i="10"/>
  <c r="H46" i="28" s="1"/>
  <c r="AX45" i="10"/>
  <c r="AR45" i="10"/>
  <c r="AP45" i="10"/>
  <c r="AQ45" i="10" s="1"/>
  <c r="W1321" i="24" s="1"/>
  <c r="AJ45" i="10"/>
  <c r="AH45" i="10"/>
  <c r="AI45" i="10" s="1"/>
  <c r="W1240" i="24" s="1"/>
  <c r="AB45" i="10"/>
  <c r="Z45" i="10"/>
  <c r="E45" i="10" s="1"/>
  <c r="P45" i="10"/>
  <c r="L45" i="10"/>
  <c r="H45" i="10"/>
  <c r="D45" i="10"/>
  <c r="H45" i="28" s="1"/>
  <c r="AX44" i="10"/>
  <c r="AR44" i="10"/>
  <c r="AP44" i="10"/>
  <c r="AJ44" i="10"/>
  <c r="AH44" i="10"/>
  <c r="AI44" i="10" s="1"/>
  <c r="W1239" i="24" s="1"/>
  <c r="AB44" i="10"/>
  <c r="Z44" i="10"/>
  <c r="P44" i="10"/>
  <c r="L44" i="10"/>
  <c r="H44" i="10"/>
  <c r="D44" i="10"/>
  <c r="AX43" i="10"/>
  <c r="AR43" i="10"/>
  <c r="AP43" i="10"/>
  <c r="AQ43" i="10" s="1"/>
  <c r="W1319" i="24" s="1"/>
  <c r="AJ43" i="10"/>
  <c r="AH43" i="10"/>
  <c r="AI43" i="10" s="1"/>
  <c r="W1238" i="24" s="1"/>
  <c r="AB43" i="10"/>
  <c r="Z43" i="10"/>
  <c r="E43" i="10" s="1"/>
  <c r="P43" i="10"/>
  <c r="L43" i="10"/>
  <c r="H43" i="10"/>
  <c r="D43" i="10"/>
  <c r="AX42" i="10"/>
  <c r="AR42" i="10"/>
  <c r="AP42" i="10"/>
  <c r="AJ42" i="10"/>
  <c r="AH42" i="10"/>
  <c r="AI42" i="10" s="1"/>
  <c r="W1237" i="24" s="1"/>
  <c r="AB42" i="10"/>
  <c r="Z42" i="10"/>
  <c r="AA42" i="10" s="1"/>
  <c r="P42" i="10"/>
  <c r="L42" i="10"/>
  <c r="H42" i="10"/>
  <c r="D42" i="10"/>
  <c r="AX41" i="10"/>
  <c r="AR41" i="10"/>
  <c r="AP41" i="10"/>
  <c r="AQ41" i="10" s="1"/>
  <c r="W1317" i="24" s="1"/>
  <c r="AJ41" i="10"/>
  <c r="AH41" i="10"/>
  <c r="AI41" i="10" s="1"/>
  <c r="W1236" i="24" s="1"/>
  <c r="AB41" i="10"/>
  <c r="Z41" i="10"/>
  <c r="AA41" i="10" s="1"/>
  <c r="P41" i="10"/>
  <c r="L41" i="10"/>
  <c r="H41" i="10"/>
  <c r="D41" i="10"/>
  <c r="AX40" i="10"/>
  <c r="AR40" i="10"/>
  <c r="AP40" i="10"/>
  <c r="AJ40" i="10"/>
  <c r="AH40" i="10"/>
  <c r="AI40" i="10" s="1"/>
  <c r="W1235" i="24" s="1"/>
  <c r="AB40" i="10"/>
  <c r="Z40" i="10"/>
  <c r="AA40" i="10" s="1"/>
  <c r="P40" i="10"/>
  <c r="L40" i="10"/>
  <c r="H40" i="10"/>
  <c r="D40" i="10"/>
  <c r="H40" i="28" s="1"/>
  <c r="AX39" i="10"/>
  <c r="AR39" i="10"/>
  <c r="AP39" i="10"/>
  <c r="AQ39" i="10" s="1"/>
  <c r="W1315" i="24" s="1"/>
  <c r="AJ39" i="10"/>
  <c r="AH39" i="10"/>
  <c r="AI39" i="10" s="1"/>
  <c r="W1234" i="24" s="1"/>
  <c r="AB39" i="10"/>
  <c r="Z39" i="10"/>
  <c r="P39" i="10"/>
  <c r="L39" i="10"/>
  <c r="H39" i="10"/>
  <c r="D39" i="10"/>
  <c r="H39" i="28" s="1"/>
  <c r="AX38" i="10"/>
  <c r="AR38" i="10"/>
  <c r="AP38" i="10"/>
  <c r="AJ38" i="10"/>
  <c r="AH38" i="10"/>
  <c r="AI38" i="10" s="1"/>
  <c r="W1233" i="24" s="1"/>
  <c r="AB38" i="10"/>
  <c r="Z38" i="10"/>
  <c r="AA38" i="10" s="1"/>
  <c r="P38" i="10"/>
  <c r="L38" i="10"/>
  <c r="H38" i="10"/>
  <c r="D38" i="10"/>
  <c r="H38" i="28" s="1"/>
  <c r="AX37" i="10"/>
  <c r="AR37" i="10"/>
  <c r="AP37" i="10"/>
  <c r="AQ37" i="10" s="1"/>
  <c r="W1313" i="24" s="1"/>
  <c r="AJ37" i="10"/>
  <c r="AH37" i="10"/>
  <c r="AI37" i="10" s="1"/>
  <c r="W1232" i="24" s="1"/>
  <c r="AB37" i="10"/>
  <c r="Z37" i="10"/>
  <c r="E37" i="10" s="1"/>
  <c r="P37" i="10"/>
  <c r="L37" i="10"/>
  <c r="H37" i="10"/>
  <c r="D37" i="10"/>
  <c r="AX36" i="10"/>
  <c r="AR36" i="10"/>
  <c r="AP36" i="10"/>
  <c r="AJ36" i="10"/>
  <c r="AH36" i="10"/>
  <c r="AI36" i="10" s="1"/>
  <c r="W1231" i="24" s="1"/>
  <c r="Z36" i="10"/>
  <c r="P36" i="10"/>
  <c r="L36" i="10"/>
  <c r="H36" i="10"/>
  <c r="D36" i="10"/>
  <c r="AX35" i="10"/>
  <c r="AR35" i="10"/>
  <c r="AP35" i="10"/>
  <c r="AQ35" i="10" s="1"/>
  <c r="W1311" i="24" s="1"/>
  <c r="AJ35" i="10"/>
  <c r="AH35" i="10"/>
  <c r="AI35" i="10" s="1"/>
  <c r="W1230" i="24" s="1"/>
  <c r="AB35" i="10"/>
  <c r="Z35" i="10"/>
  <c r="E35" i="10" s="1"/>
  <c r="P35" i="10"/>
  <c r="L35" i="10"/>
  <c r="H35" i="10"/>
  <c r="D35" i="10"/>
  <c r="AX34" i="10"/>
  <c r="AR34" i="10"/>
  <c r="AP34" i="10"/>
  <c r="M34" i="10" s="1"/>
  <c r="AJ34" i="10"/>
  <c r="AH34" i="10"/>
  <c r="AI34" i="10" s="1"/>
  <c r="W1229" i="24" s="1"/>
  <c r="AB34" i="10"/>
  <c r="Z34" i="10"/>
  <c r="AA34" i="10" s="1"/>
  <c r="BD34" i="10" s="1"/>
  <c r="P34" i="10"/>
  <c r="L34" i="10"/>
  <c r="H34" i="10"/>
  <c r="D34" i="10"/>
  <c r="AX33" i="10"/>
  <c r="AR33" i="10"/>
  <c r="AP33" i="10"/>
  <c r="AQ33" i="10" s="1"/>
  <c r="W1309" i="24" s="1"/>
  <c r="AJ33" i="10"/>
  <c r="AH33" i="10"/>
  <c r="AI33" i="10" s="1"/>
  <c r="W1228" i="24" s="1"/>
  <c r="AB33" i="10"/>
  <c r="Z33" i="10"/>
  <c r="AA33" i="10" s="1"/>
  <c r="P33" i="10"/>
  <c r="L33" i="10"/>
  <c r="H33" i="10"/>
  <c r="D33" i="10"/>
  <c r="H33" i="28" s="1"/>
  <c r="AX32" i="10"/>
  <c r="AR32" i="10"/>
  <c r="AP32" i="10"/>
  <c r="M32" i="10" s="1"/>
  <c r="AJ32" i="10"/>
  <c r="AH32" i="10"/>
  <c r="AI32" i="10" s="1"/>
  <c r="W1227" i="24" s="1"/>
  <c r="AB32" i="10"/>
  <c r="Z32" i="10"/>
  <c r="E32" i="10" s="1"/>
  <c r="P32" i="10"/>
  <c r="L32" i="10"/>
  <c r="H32" i="10"/>
  <c r="D32" i="10"/>
  <c r="AX31" i="10"/>
  <c r="AR31" i="10"/>
  <c r="AP31" i="10"/>
  <c r="AQ31" i="10" s="1"/>
  <c r="W1307" i="24" s="1"/>
  <c r="AJ31" i="10"/>
  <c r="AH31" i="10"/>
  <c r="AI31" i="10" s="1"/>
  <c r="W1226" i="24" s="1"/>
  <c r="AB31" i="10"/>
  <c r="Z31" i="10"/>
  <c r="AA31" i="10" s="1"/>
  <c r="P31" i="10"/>
  <c r="L31" i="10"/>
  <c r="H31" i="10"/>
  <c r="D31" i="10"/>
  <c r="AX30" i="10"/>
  <c r="AR30" i="10"/>
  <c r="AP30" i="10"/>
  <c r="M30" i="10" s="1"/>
  <c r="AJ30" i="10"/>
  <c r="AH30" i="10"/>
  <c r="AI30" i="10" s="1"/>
  <c r="W1225" i="24" s="1"/>
  <c r="AB30" i="10"/>
  <c r="Z30" i="10"/>
  <c r="E30" i="10" s="1"/>
  <c r="P30" i="10"/>
  <c r="L30" i="10"/>
  <c r="H30" i="10"/>
  <c r="D30" i="10"/>
  <c r="AX29" i="10"/>
  <c r="AR29" i="10"/>
  <c r="AP29" i="10"/>
  <c r="AQ29" i="10" s="1"/>
  <c r="W1305" i="24" s="1"/>
  <c r="AJ29" i="10"/>
  <c r="AH29" i="10"/>
  <c r="AI29" i="10" s="1"/>
  <c r="W1224" i="24" s="1"/>
  <c r="AB29" i="10"/>
  <c r="Z29" i="10"/>
  <c r="AA29" i="10" s="1"/>
  <c r="P29" i="10"/>
  <c r="L29" i="10"/>
  <c r="H29" i="10"/>
  <c r="D29" i="10"/>
  <c r="AX28" i="10"/>
  <c r="AR28" i="10"/>
  <c r="AP28" i="10"/>
  <c r="M28" i="10" s="1"/>
  <c r="AJ28" i="10"/>
  <c r="AH28" i="10"/>
  <c r="AI28" i="10" s="1"/>
  <c r="W1223" i="24" s="1"/>
  <c r="AB28" i="10"/>
  <c r="Z28" i="10"/>
  <c r="E28" i="10" s="1"/>
  <c r="P28" i="10"/>
  <c r="L28" i="10"/>
  <c r="H28" i="10"/>
  <c r="D28" i="10"/>
  <c r="H28" i="28" s="1"/>
  <c r="AX27" i="10"/>
  <c r="AR27" i="10"/>
  <c r="AP27" i="10"/>
  <c r="AQ27" i="10" s="1"/>
  <c r="W1303" i="24" s="1"/>
  <c r="AJ27" i="10"/>
  <c r="AH27" i="10"/>
  <c r="AI27" i="10" s="1"/>
  <c r="W1222" i="24" s="1"/>
  <c r="AB27" i="10"/>
  <c r="Z27" i="10"/>
  <c r="AA27" i="10" s="1"/>
  <c r="P27" i="10"/>
  <c r="L27" i="10"/>
  <c r="H27" i="10"/>
  <c r="D27" i="10"/>
  <c r="H27" i="28" s="1"/>
  <c r="AX26" i="10"/>
  <c r="AR26" i="10"/>
  <c r="AP26" i="10"/>
  <c r="M26" i="10" s="1"/>
  <c r="AJ26" i="10"/>
  <c r="AH26" i="10"/>
  <c r="AI26" i="10" s="1"/>
  <c r="W1221" i="24" s="1"/>
  <c r="AB26" i="10"/>
  <c r="Z26" i="10"/>
  <c r="E26" i="10" s="1"/>
  <c r="P26" i="10"/>
  <c r="L26" i="10"/>
  <c r="H26" i="10"/>
  <c r="D26" i="10"/>
  <c r="H26" i="28" s="1"/>
  <c r="AX25" i="10"/>
  <c r="AR25" i="10"/>
  <c r="AP25" i="10"/>
  <c r="AQ25" i="10" s="1"/>
  <c r="W1301" i="24" s="1"/>
  <c r="AJ25" i="10"/>
  <c r="AH25" i="10"/>
  <c r="AI25" i="10" s="1"/>
  <c r="W1220" i="24" s="1"/>
  <c r="AB25" i="10"/>
  <c r="Z25" i="10"/>
  <c r="AA25" i="10" s="1"/>
  <c r="P25" i="10"/>
  <c r="L25" i="10"/>
  <c r="H25" i="10"/>
  <c r="D25" i="10"/>
  <c r="AX24" i="10"/>
  <c r="AR24" i="10"/>
  <c r="AP24" i="10"/>
  <c r="M24" i="10" s="1"/>
  <c r="AJ24" i="10"/>
  <c r="AH24" i="10"/>
  <c r="AI24" i="10" s="1"/>
  <c r="W1219" i="24" s="1"/>
  <c r="AB24" i="10"/>
  <c r="Z24" i="10"/>
  <c r="AA24" i="10" s="1"/>
  <c r="P24" i="10"/>
  <c r="L24" i="10"/>
  <c r="H24" i="10"/>
  <c r="D24" i="10"/>
  <c r="AX23" i="10"/>
  <c r="AR23" i="10"/>
  <c r="AP23" i="10"/>
  <c r="AQ23" i="10" s="1"/>
  <c r="W1299" i="24" s="1"/>
  <c r="AJ23" i="10"/>
  <c r="AH23" i="10"/>
  <c r="AI23" i="10" s="1"/>
  <c r="W1218" i="24" s="1"/>
  <c r="AB23" i="10"/>
  <c r="Z23" i="10"/>
  <c r="AA23" i="10" s="1"/>
  <c r="P23" i="10"/>
  <c r="L23" i="10"/>
  <c r="H23" i="10"/>
  <c r="D23" i="10"/>
  <c r="AX22" i="10"/>
  <c r="AR22" i="10"/>
  <c r="AP22" i="10"/>
  <c r="M22" i="10" s="1"/>
  <c r="AJ22" i="10"/>
  <c r="AH22" i="10"/>
  <c r="AI22" i="10" s="1"/>
  <c r="W1217" i="24" s="1"/>
  <c r="AB22" i="10"/>
  <c r="Z22" i="10"/>
  <c r="AA22" i="10" s="1"/>
  <c r="P22" i="10"/>
  <c r="L22" i="10"/>
  <c r="H22" i="10"/>
  <c r="D22" i="10"/>
  <c r="AX21" i="10"/>
  <c r="AR21" i="10"/>
  <c r="AP21" i="10"/>
  <c r="AQ21" i="10" s="1"/>
  <c r="W1297" i="24" s="1"/>
  <c r="AJ21" i="10"/>
  <c r="AH21" i="10"/>
  <c r="I21" i="10" s="1"/>
  <c r="AB21" i="10"/>
  <c r="Z21" i="10"/>
  <c r="AA21" i="10" s="1"/>
  <c r="P21" i="10"/>
  <c r="L21" i="10"/>
  <c r="H21" i="10"/>
  <c r="D21" i="10"/>
  <c r="AX20" i="10"/>
  <c r="AR20" i="10"/>
  <c r="AP20" i="10"/>
  <c r="M20" i="10" s="1"/>
  <c r="AJ20" i="10"/>
  <c r="AH20" i="10"/>
  <c r="AI20" i="10" s="1"/>
  <c r="W1215" i="24" s="1"/>
  <c r="AB20" i="10"/>
  <c r="Z20" i="10"/>
  <c r="AA20" i="10" s="1"/>
  <c r="P20" i="10"/>
  <c r="L20" i="10"/>
  <c r="H20" i="10"/>
  <c r="D20" i="10"/>
  <c r="AX19" i="10"/>
  <c r="AP19" i="10"/>
  <c r="AJ19" i="10"/>
  <c r="AH19" i="10"/>
  <c r="I19" i="10" s="1"/>
  <c r="AB19" i="10"/>
  <c r="Z19" i="10"/>
  <c r="AA19" i="10" s="1"/>
  <c r="P19" i="10"/>
  <c r="L19" i="10"/>
  <c r="H19" i="10"/>
  <c r="D19" i="10"/>
  <c r="AX18" i="10"/>
  <c r="AR18" i="10"/>
  <c r="AP18" i="10"/>
  <c r="M18" i="10" s="1"/>
  <c r="AJ18" i="10"/>
  <c r="AH18" i="10"/>
  <c r="AI18" i="10" s="1"/>
  <c r="W1213" i="24" s="1"/>
  <c r="AB18" i="10"/>
  <c r="Z18" i="10"/>
  <c r="AA18" i="10" s="1"/>
  <c r="P18" i="10"/>
  <c r="L18" i="10"/>
  <c r="H18" i="10"/>
  <c r="D18" i="10"/>
  <c r="AX17" i="10"/>
  <c r="AR17" i="10"/>
  <c r="AP17" i="10"/>
  <c r="AQ17" i="10" s="1"/>
  <c r="W1293" i="24" s="1"/>
  <c r="AJ17" i="10"/>
  <c r="AH17" i="10"/>
  <c r="I17" i="10" s="1"/>
  <c r="AB17" i="10"/>
  <c r="Z17" i="10"/>
  <c r="AA17" i="10" s="1"/>
  <c r="P17" i="10"/>
  <c r="M17" i="10"/>
  <c r="L17" i="10"/>
  <c r="H17" i="10"/>
  <c r="D17" i="10"/>
  <c r="AX16" i="10"/>
  <c r="AR16" i="10"/>
  <c r="AP16" i="10"/>
  <c r="M16" i="10" s="1"/>
  <c r="AJ16" i="10"/>
  <c r="AH16" i="10"/>
  <c r="AI16" i="10" s="1"/>
  <c r="W1211" i="24" s="1"/>
  <c r="AB16" i="10"/>
  <c r="Z16" i="10"/>
  <c r="AA16" i="10" s="1"/>
  <c r="P16" i="10"/>
  <c r="L16" i="10"/>
  <c r="H16" i="10"/>
  <c r="D16" i="10"/>
  <c r="AX15" i="10"/>
  <c r="AR15" i="10"/>
  <c r="AP15" i="10"/>
  <c r="AQ15" i="10" s="1"/>
  <c r="W1291" i="24" s="1"/>
  <c r="AJ15" i="10"/>
  <c r="AH15" i="10"/>
  <c r="AI15" i="10" s="1"/>
  <c r="W1210" i="24" s="1"/>
  <c r="AB15" i="10"/>
  <c r="Z15" i="10"/>
  <c r="AA15" i="10" s="1"/>
  <c r="P15" i="10"/>
  <c r="L15" i="10"/>
  <c r="H15" i="10"/>
  <c r="D15" i="10"/>
  <c r="H15" i="28" s="1"/>
  <c r="AX14" i="10"/>
  <c r="AR14" i="10"/>
  <c r="AP14" i="10"/>
  <c r="M14" i="10" s="1"/>
  <c r="AJ14" i="10"/>
  <c r="AH14" i="10"/>
  <c r="AI14" i="10" s="1"/>
  <c r="W1209" i="24" s="1"/>
  <c r="AB14" i="10"/>
  <c r="Z14" i="10"/>
  <c r="E14" i="10" s="1"/>
  <c r="P14" i="10"/>
  <c r="L14" i="10"/>
  <c r="H14" i="10"/>
  <c r="D14" i="10"/>
  <c r="H14" i="28" s="1"/>
  <c r="AX13" i="10"/>
  <c r="AP13" i="10"/>
  <c r="AJ13" i="10"/>
  <c r="AH13" i="10"/>
  <c r="I13" i="10" s="1"/>
  <c r="AB13" i="10"/>
  <c r="Z13" i="10"/>
  <c r="AA13" i="10" s="1"/>
  <c r="P13" i="10"/>
  <c r="L13" i="10"/>
  <c r="H13" i="10"/>
  <c r="D13" i="10"/>
  <c r="AX12" i="10"/>
  <c r="AR12" i="10"/>
  <c r="AP12" i="10"/>
  <c r="AJ12" i="10"/>
  <c r="AH12" i="10"/>
  <c r="AI12" i="10" s="1"/>
  <c r="W1207" i="24" s="1"/>
  <c r="AB12" i="10"/>
  <c r="Z12" i="10"/>
  <c r="E12" i="10" s="1"/>
  <c r="P12" i="10"/>
  <c r="L12" i="10"/>
  <c r="H12" i="10"/>
  <c r="D12" i="10"/>
  <c r="AX11" i="10"/>
  <c r="AR11" i="10"/>
  <c r="AP11" i="10"/>
  <c r="AQ11" i="10" s="1"/>
  <c r="W1287" i="24" s="1"/>
  <c r="AJ11" i="10"/>
  <c r="AH11" i="10"/>
  <c r="I11" i="10" s="1"/>
  <c r="AB11" i="10"/>
  <c r="Z11" i="10"/>
  <c r="AA11" i="10" s="1"/>
  <c r="P11" i="10"/>
  <c r="L11" i="10"/>
  <c r="H11" i="10"/>
  <c r="D11" i="10"/>
  <c r="H11" i="28" s="1"/>
  <c r="AX10" i="10"/>
  <c r="AR10" i="10"/>
  <c r="AP10" i="10"/>
  <c r="M10" i="10" s="1"/>
  <c r="AJ10" i="10"/>
  <c r="AH10" i="10"/>
  <c r="AI10" i="10" s="1"/>
  <c r="W1205" i="24" s="1"/>
  <c r="AB10" i="10"/>
  <c r="Z10" i="10"/>
  <c r="E10" i="10" s="1"/>
  <c r="P10" i="10"/>
  <c r="L10" i="10"/>
  <c r="H10" i="10"/>
  <c r="D10" i="10"/>
  <c r="AX9" i="10"/>
  <c r="AR9" i="10"/>
  <c r="AP9" i="10"/>
  <c r="AQ9" i="10" s="1"/>
  <c r="W1285" i="24" s="1"/>
  <c r="AJ9" i="10"/>
  <c r="AH9" i="10"/>
  <c r="AI9" i="10" s="1"/>
  <c r="W1204" i="24" s="1"/>
  <c r="AB9" i="10"/>
  <c r="Z9" i="10"/>
  <c r="AA9" i="10" s="1"/>
  <c r="P9" i="10"/>
  <c r="L9" i="10"/>
  <c r="H9" i="10"/>
  <c r="D9" i="10"/>
  <c r="AX8" i="10"/>
  <c r="AR8" i="10"/>
  <c r="AP8" i="10"/>
  <c r="M8" i="10" s="1"/>
  <c r="AJ8" i="10"/>
  <c r="AH8" i="10"/>
  <c r="I8" i="10" s="1"/>
  <c r="AB8" i="10"/>
  <c r="Z8" i="10"/>
  <c r="AA8" i="10" s="1"/>
  <c r="P8" i="10"/>
  <c r="L8" i="10"/>
  <c r="H8" i="10"/>
  <c r="D8" i="10"/>
  <c r="AX7" i="10"/>
  <c r="AR7" i="10"/>
  <c r="AP7" i="10"/>
  <c r="AQ7" i="10" s="1"/>
  <c r="W1283" i="24" s="1"/>
  <c r="AJ7" i="10"/>
  <c r="AH7" i="10"/>
  <c r="AI7" i="10" s="1"/>
  <c r="W1202" i="24" s="1"/>
  <c r="AB7" i="10"/>
  <c r="Z7" i="10"/>
  <c r="AA7" i="10" s="1"/>
  <c r="P7" i="10"/>
  <c r="L7" i="10"/>
  <c r="H7" i="10"/>
  <c r="D7" i="10"/>
  <c r="AX6" i="10"/>
  <c r="AP6" i="10"/>
  <c r="AJ6" i="10"/>
  <c r="AH6" i="10"/>
  <c r="AI6" i="10" s="1"/>
  <c r="W1201" i="24" s="1"/>
  <c r="AB6" i="10"/>
  <c r="Z6" i="10"/>
  <c r="E6" i="10" s="1"/>
  <c r="P6" i="10"/>
  <c r="L6" i="10"/>
  <c r="H6" i="10"/>
  <c r="D6" i="10"/>
  <c r="AX5" i="10"/>
  <c r="AR5" i="10"/>
  <c r="AP5" i="10"/>
  <c r="AQ5" i="10" s="1"/>
  <c r="W1281" i="24" s="1"/>
  <c r="AJ5" i="10"/>
  <c r="AH5" i="10"/>
  <c r="AI5" i="10" s="1"/>
  <c r="W1200" i="24" s="1"/>
  <c r="AB5" i="10"/>
  <c r="Z5" i="10"/>
  <c r="AA5" i="10" s="1"/>
  <c r="P5" i="10"/>
  <c r="L5" i="10"/>
  <c r="H5" i="10"/>
  <c r="D5" i="10"/>
  <c r="AX4" i="10"/>
  <c r="AY4" i="10" s="1"/>
  <c r="BB4" i="10" s="1" a="1"/>
  <c r="BB4" i="10" s="1"/>
  <c r="AP4" i="10"/>
  <c r="AH4" i="10"/>
  <c r="Z4" i="10"/>
  <c r="P4" i="10"/>
  <c r="L4" i="10"/>
  <c r="H4" i="10"/>
  <c r="D4" i="10"/>
  <c r="H4" i="28" s="1"/>
  <c r="AX3" i="10"/>
  <c r="AY3" i="10" s="1"/>
  <c r="BB3" i="10" s="1" a="1"/>
  <c r="BB3" i="10" s="1"/>
  <c r="AP3" i="10"/>
  <c r="AH3" i="10"/>
  <c r="Z3" i="10"/>
  <c r="P3" i="10"/>
  <c r="L3" i="10"/>
  <c r="H3" i="10"/>
  <c r="D3" i="10"/>
  <c r="AV61" i="7"/>
  <c r="AU61" i="7"/>
  <c r="AP61" i="7"/>
  <c r="AO61" i="7"/>
  <c r="AN61" i="7"/>
  <c r="AM61" i="7"/>
  <c r="AL61" i="7"/>
  <c r="AG61" i="7"/>
  <c r="AF61" i="7"/>
  <c r="AA61" i="7"/>
  <c r="E3" i="7" s="1"/>
  <c r="Z61" i="7"/>
  <c r="Y61" i="7"/>
  <c r="X61" i="7"/>
  <c r="W61" i="7"/>
  <c r="V61" i="7"/>
  <c r="U61" i="7"/>
  <c r="T61" i="7"/>
  <c r="AX60" i="7"/>
  <c r="AR60" i="7"/>
  <c r="AI60" i="7"/>
  <c r="AC60" i="7"/>
  <c r="P60" i="7"/>
  <c r="L60" i="7"/>
  <c r="H60" i="7"/>
  <c r="D60" i="7"/>
  <c r="AX59" i="7"/>
  <c r="AR59" i="7"/>
  <c r="AI59" i="7"/>
  <c r="AC59" i="7"/>
  <c r="P59" i="7"/>
  <c r="L59" i="7"/>
  <c r="H59" i="7"/>
  <c r="D59" i="7"/>
  <c r="AX58" i="7"/>
  <c r="AR58" i="7"/>
  <c r="AI58" i="7"/>
  <c r="AC58" i="7"/>
  <c r="P58" i="7"/>
  <c r="L58" i="7"/>
  <c r="H58" i="7"/>
  <c r="D58" i="7"/>
  <c r="AX57" i="7"/>
  <c r="AZ57" i="7" a="1"/>
  <c r="AZ57" i="7" s="1"/>
  <c r="AR57" i="7"/>
  <c r="AI57" i="7"/>
  <c r="AC57" i="7"/>
  <c r="P57" i="7"/>
  <c r="L57" i="7"/>
  <c r="H57" i="7"/>
  <c r="D57" i="7"/>
  <c r="AX56" i="7"/>
  <c r="AR56" i="7"/>
  <c r="AT56" i="7" a="1"/>
  <c r="AT56" i="7" s="1"/>
  <c r="AI56" i="7"/>
  <c r="AC56" i="7"/>
  <c r="P56" i="7"/>
  <c r="L56" i="7"/>
  <c r="H56" i="7"/>
  <c r="D56" i="7"/>
  <c r="AX55" i="7"/>
  <c r="AR55" i="7"/>
  <c r="AI55" i="7"/>
  <c r="AC55" i="7"/>
  <c r="P55" i="7"/>
  <c r="L55" i="7"/>
  <c r="H55" i="7"/>
  <c r="D55" i="7"/>
  <c r="AX54" i="7"/>
  <c r="AR54" i="7"/>
  <c r="AI54" i="7"/>
  <c r="AC54" i="7"/>
  <c r="P54" i="7"/>
  <c r="L54" i="7"/>
  <c r="H54" i="7"/>
  <c r="D54" i="7"/>
  <c r="AX53" i="7"/>
  <c r="AR53" i="7"/>
  <c r="AI53" i="7"/>
  <c r="AC53" i="7"/>
  <c r="P53" i="7"/>
  <c r="L53" i="7"/>
  <c r="H53" i="7"/>
  <c r="D53" i="7"/>
  <c r="AX52" i="7"/>
  <c r="AR52" i="7"/>
  <c r="AI52" i="7"/>
  <c r="AC52" i="7"/>
  <c r="P52" i="7"/>
  <c r="L52" i="7"/>
  <c r="H52" i="7"/>
  <c r="D52" i="7"/>
  <c r="AX51" i="7"/>
  <c r="AR51" i="7"/>
  <c r="AI51" i="7"/>
  <c r="AC51" i="7"/>
  <c r="P51" i="7"/>
  <c r="L51" i="7"/>
  <c r="H51" i="7"/>
  <c r="D51" i="7"/>
  <c r="AX50" i="7"/>
  <c r="AR50" i="7"/>
  <c r="AI50" i="7"/>
  <c r="AC50" i="7"/>
  <c r="P50" i="7"/>
  <c r="L50" i="7"/>
  <c r="H50" i="7"/>
  <c r="D50" i="7"/>
  <c r="AX49" i="7"/>
  <c r="AR49" i="7"/>
  <c r="AI49" i="7"/>
  <c r="AC49" i="7"/>
  <c r="P49" i="7"/>
  <c r="L49" i="7"/>
  <c r="H49" i="7"/>
  <c r="D49" i="7"/>
  <c r="AX48" i="7"/>
  <c r="AR48" i="7"/>
  <c r="AI48" i="7"/>
  <c r="AC48" i="7"/>
  <c r="P48" i="7"/>
  <c r="L48" i="7"/>
  <c r="H48" i="7"/>
  <c r="D48" i="7"/>
  <c r="AX47" i="7"/>
  <c r="AR47" i="7"/>
  <c r="AI47" i="7"/>
  <c r="AC47" i="7"/>
  <c r="P47" i="7"/>
  <c r="L47" i="7"/>
  <c r="H47" i="7"/>
  <c r="D47" i="7"/>
  <c r="AX46" i="7"/>
  <c r="AR46" i="7"/>
  <c r="AI46" i="7"/>
  <c r="AC46" i="7"/>
  <c r="P46" i="7"/>
  <c r="L46" i="7"/>
  <c r="H46" i="7"/>
  <c r="D46" i="7"/>
  <c r="AX45" i="7"/>
  <c r="AR45" i="7"/>
  <c r="AI45" i="7"/>
  <c r="AC45" i="7"/>
  <c r="P45" i="7"/>
  <c r="L45" i="7"/>
  <c r="H45" i="7"/>
  <c r="D45" i="7"/>
  <c r="AX44" i="7"/>
  <c r="AR44" i="7"/>
  <c r="AI44" i="7"/>
  <c r="AC44" i="7"/>
  <c r="P44" i="7"/>
  <c r="L44" i="7"/>
  <c r="H44" i="7"/>
  <c r="D44" i="7"/>
  <c r="AX43" i="7"/>
  <c r="AR43" i="7"/>
  <c r="AI43" i="7"/>
  <c r="AC43" i="7"/>
  <c r="P43" i="7"/>
  <c r="L43" i="7"/>
  <c r="H43" i="7"/>
  <c r="D43" i="7"/>
  <c r="AX42" i="7"/>
  <c r="AR42" i="7"/>
  <c r="AI42" i="7"/>
  <c r="AC42" i="7"/>
  <c r="P42" i="7"/>
  <c r="L42" i="7"/>
  <c r="H42" i="7"/>
  <c r="D42" i="7"/>
  <c r="AX41" i="7"/>
  <c r="AR41" i="7"/>
  <c r="AI41" i="7"/>
  <c r="AC41" i="7"/>
  <c r="P41" i="7"/>
  <c r="L41" i="7"/>
  <c r="H41" i="7"/>
  <c r="D41" i="7"/>
  <c r="AX40" i="7"/>
  <c r="AR40" i="7"/>
  <c r="AI40" i="7"/>
  <c r="AC40" i="7"/>
  <c r="P40" i="7"/>
  <c r="L40" i="7"/>
  <c r="H40" i="7"/>
  <c r="D40" i="7"/>
  <c r="AX39" i="7"/>
  <c r="AR39" i="7"/>
  <c r="AI39" i="7"/>
  <c r="AC39" i="7"/>
  <c r="P39" i="7"/>
  <c r="L39" i="7"/>
  <c r="H39" i="7"/>
  <c r="D39" i="7"/>
  <c r="AX38" i="7"/>
  <c r="AR38" i="7"/>
  <c r="AI38" i="7"/>
  <c r="AC38" i="7"/>
  <c r="P38" i="7"/>
  <c r="L38" i="7"/>
  <c r="H38" i="7"/>
  <c r="D38" i="7"/>
  <c r="AX37" i="7"/>
  <c r="AR37" i="7"/>
  <c r="AI37" i="7"/>
  <c r="AC37" i="7"/>
  <c r="P37" i="7"/>
  <c r="L37" i="7"/>
  <c r="H37" i="7"/>
  <c r="D37" i="7"/>
  <c r="AX36" i="7"/>
  <c r="AR36" i="7"/>
  <c r="AI36" i="7"/>
  <c r="AC36" i="7"/>
  <c r="P36" i="7"/>
  <c r="L36" i="7"/>
  <c r="H36" i="7"/>
  <c r="D36" i="7"/>
  <c r="AX35" i="7"/>
  <c r="AR35" i="7"/>
  <c r="AT35" i="7" a="1"/>
  <c r="AT35" i="7" s="1"/>
  <c r="AI35" i="7"/>
  <c r="AC35" i="7"/>
  <c r="P35" i="7"/>
  <c r="L35" i="7"/>
  <c r="H35" i="7"/>
  <c r="D35" i="7"/>
  <c r="AX34" i="7"/>
  <c r="AR34" i="7"/>
  <c r="AI34" i="7"/>
  <c r="AC34" i="7"/>
  <c r="P34" i="7"/>
  <c r="L34" i="7"/>
  <c r="H34" i="7"/>
  <c r="D34" i="7"/>
  <c r="AX33" i="7"/>
  <c r="AR33" i="7"/>
  <c r="AI33" i="7"/>
  <c r="AC33" i="7"/>
  <c r="P33" i="7"/>
  <c r="L33" i="7"/>
  <c r="H33" i="7"/>
  <c r="D33" i="7"/>
  <c r="AX32" i="7"/>
  <c r="AR32" i="7"/>
  <c r="AI32" i="7"/>
  <c r="AC32" i="7"/>
  <c r="P32" i="7"/>
  <c r="L32" i="7"/>
  <c r="H32" i="7"/>
  <c r="D32" i="7"/>
  <c r="AX31" i="7"/>
  <c r="AR31" i="7"/>
  <c r="AI31" i="7"/>
  <c r="AC31" i="7"/>
  <c r="P31" i="7"/>
  <c r="L31" i="7"/>
  <c r="H31" i="7"/>
  <c r="D31" i="7"/>
  <c r="AX30" i="7"/>
  <c r="AR30" i="7"/>
  <c r="AI30" i="7"/>
  <c r="AC30" i="7"/>
  <c r="P30" i="7"/>
  <c r="L30" i="7"/>
  <c r="H30" i="7"/>
  <c r="D30" i="7"/>
  <c r="AX29" i="7"/>
  <c r="AR29" i="7"/>
  <c r="AI29" i="7"/>
  <c r="AC29" i="7"/>
  <c r="P29" i="7"/>
  <c r="L29" i="7"/>
  <c r="H29" i="7"/>
  <c r="D29" i="7"/>
  <c r="AX28" i="7"/>
  <c r="AR28" i="7"/>
  <c r="AI28" i="7"/>
  <c r="AC28" i="7"/>
  <c r="P28" i="7"/>
  <c r="L28" i="7"/>
  <c r="H28" i="7"/>
  <c r="D28" i="7"/>
  <c r="AX27" i="7"/>
  <c r="AR27" i="7"/>
  <c r="AT27" i="7" a="1"/>
  <c r="AT27" i="7" s="1"/>
  <c r="AI27" i="7"/>
  <c r="AC27" i="7"/>
  <c r="P27" i="7"/>
  <c r="L27" i="7"/>
  <c r="H27" i="7"/>
  <c r="D27" i="7"/>
  <c r="AX26" i="7"/>
  <c r="AR26" i="7"/>
  <c r="AI26" i="7"/>
  <c r="AC26" i="7"/>
  <c r="P26" i="7"/>
  <c r="L26" i="7"/>
  <c r="H26" i="7"/>
  <c r="D26" i="7"/>
  <c r="AX25" i="7"/>
  <c r="AR25" i="7"/>
  <c r="AI25" i="7"/>
  <c r="AC25" i="7"/>
  <c r="P25" i="7"/>
  <c r="L25" i="7"/>
  <c r="H25" i="7"/>
  <c r="D25" i="7"/>
  <c r="AX24" i="7"/>
  <c r="AR24" i="7"/>
  <c r="AI24" i="7"/>
  <c r="AC24" i="7"/>
  <c r="P24" i="7"/>
  <c r="L24" i="7"/>
  <c r="H24" i="7"/>
  <c r="D24" i="7"/>
  <c r="AX23" i="7"/>
  <c r="AR23" i="7"/>
  <c r="AI23" i="7"/>
  <c r="AC23" i="7"/>
  <c r="P23" i="7"/>
  <c r="L23" i="7"/>
  <c r="H23" i="7"/>
  <c r="D23" i="7"/>
  <c r="AX22" i="7"/>
  <c r="AR22" i="7"/>
  <c r="AI22" i="7"/>
  <c r="P22" i="7"/>
  <c r="L22" i="7"/>
  <c r="H22" i="7"/>
  <c r="D22" i="7"/>
  <c r="AX21" i="7"/>
  <c r="AR21" i="7"/>
  <c r="AI21" i="7"/>
  <c r="AC21" i="7"/>
  <c r="P21" i="7"/>
  <c r="L21" i="7"/>
  <c r="H21" i="7"/>
  <c r="D21" i="7"/>
  <c r="AX20" i="7"/>
  <c r="AR20" i="7"/>
  <c r="AI20" i="7"/>
  <c r="AC20" i="7"/>
  <c r="P20" i="7"/>
  <c r="L20" i="7"/>
  <c r="H20" i="7"/>
  <c r="D20" i="7"/>
  <c r="AX19" i="7"/>
  <c r="AR19" i="7"/>
  <c r="AI19" i="7"/>
  <c r="AC19" i="7"/>
  <c r="P19" i="7"/>
  <c r="L19" i="7"/>
  <c r="H19" i="7"/>
  <c r="D19" i="7"/>
  <c r="AX18" i="7"/>
  <c r="AR18" i="7"/>
  <c r="AI18" i="7"/>
  <c r="AC18" i="7"/>
  <c r="P18" i="7"/>
  <c r="L18" i="7"/>
  <c r="H18" i="7"/>
  <c r="D18" i="7"/>
  <c r="AX17" i="7"/>
  <c r="AR17" i="7"/>
  <c r="AI17" i="7"/>
  <c r="AC17" i="7"/>
  <c r="P17" i="7"/>
  <c r="L17" i="7"/>
  <c r="H17" i="7"/>
  <c r="D17" i="7"/>
  <c r="AX16" i="7"/>
  <c r="AR16" i="7"/>
  <c r="AI16" i="7"/>
  <c r="AC16" i="7"/>
  <c r="P16" i="7"/>
  <c r="L16" i="7"/>
  <c r="H16" i="7"/>
  <c r="D16" i="7"/>
  <c r="AX15" i="7"/>
  <c r="AR15" i="7"/>
  <c r="AI15" i="7"/>
  <c r="AC15" i="7"/>
  <c r="P15" i="7"/>
  <c r="L15" i="7"/>
  <c r="H15" i="7"/>
  <c r="D15" i="7"/>
  <c r="AX14" i="7"/>
  <c r="AR14" i="7"/>
  <c r="AI14" i="7"/>
  <c r="AC14" i="7"/>
  <c r="P14" i="7"/>
  <c r="L14" i="7"/>
  <c r="H14" i="7"/>
  <c r="D14" i="7"/>
  <c r="AX13" i="7"/>
  <c r="AR13" i="7"/>
  <c r="AI13" i="7"/>
  <c r="AC13" i="7"/>
  <c r="P13" i="7"/>
  <c r="L13" i="7"/>
  <c r="H13" i="7"/>
  <c r="D13" i="7"/>
  <c r="AX12" i="7"/>
  <c r="AR12" i="7"/>
  <c r="AI12" i="7"/>
  <c r="AC12" i="7"/>
  <c r="P12" i="7"/>
  <c r="L12" i="7"/>
  <c r="H12" i="7"/>
  <c r="D12" i="7"/>
  <c r="AX11" i="7"/>
  <c r="AR11" i="7"/>
  <c r="AI11" i="7"/>
  <c r="AC11" i="7"/>
  <c r="P11" i="7"/>
  <c r="L11" i="7"/>
  <c r="H11" i="7"/>
  <c r="D11" i="7"/>
  <c r="AX10" i="7"/>
  <c r="AR10" i="7"/>
  <c r="AI10" i="7"/>
  <c r="AC10" i="7"/>
  <c r="P10" i="7"/>
  <c r="L10" i="7"/>
  <c r="H10" i="7"/>
  <c r="D10" i="7"/>
  <c r="AX9" i="7"/>
  <c r="AR9" i="7"/>
  <c r="AI9" i="7"/>
  <c r="AC9" i="7"/>
  <c r="P9" i="7"/>
  <c r="L9" i="7"/>
  <c r="H9" i="7"/>
  <c r="D9" i="7"/>
  <c r="AX8" i="7"/>
  <c r="AR8" i="7"/>
  <c r="AI8" i="7"/>
  <c r="AC8" i="7"/>
  <c r="P8" i="7"/>
  <c r="L8" i="7"/>
  <c r="H8" i="7"/>
  <c r="D8" i="7"/>
  <c r="AX7" i="7"/>
  <c r="AR7" i="7"/>
  <c r="AI7" i="7"/>
  <c r="AC7" i="7"/>
  <c r="P7" i="7"/>
  <c r="L7" i="7"/>
  <c r="H7" i="7"/>
  <c r="D7" i="7"/>
  <c r="AX6" i="7"/>
  <c r="AR6" i="7"/>
  <c r="AI6" i="7"/>
  <c r="AC6" i="7"/>
  <c r="P6" i="7"/>
  <c r="L6" i="7"/>
  <c r="H6" i="7"/>
  <c r="D6" i="7"/>
  <c r="AX5" i="7"/>
  <c r="AR5" i="7"/>
  <c r="AI5" i="7"/>
  <c r="AC5" i="7"/>
  <c r="P5" i="7"/>
  <c r="L5" i="7"/>
  <c r="H5" i="7"/>
  <c r="D5" i="7"/>
  <c r="AX4" i="7"/>
  <c r="AR4" i="7"/>
  <c r="AI4" i="7"/>
  <c r="P4" i="7"/>
  <c r="L4" i="7"/>
  <c r="H4" i="7"/>
  <c r="D4" i="7"/>
  <c r="P3" i="7"/>
  <c r="L3" i="7"/>
  <c r="H3" i="7"/>
  <c r="D3" i="7"/>
  <c r="BI61" i="4"/>
  <c r="BH61" i="4"/>
  <c r="BG61" i="4"/>
  <c r="BF61" i="4"/>
  <c r="BE61" i="4"/>
  <c r="AX61" i="4"/>
  <c r="AW61" i="4"/>
  <c r="AV61" i="4"/>
  <c r="AU61" i="4"/>
  <c r="AT61" i="4"/>
  <c r="AM61" i="4"/>
  <c r="AL61" i="4"/>
  <c r="AK61" i="4"/>
  <c r="AJ61" i="4"/>
  <c r="AI61" i="4"/>
  <c r="AB61" i="4"/>
  <c r="AA61" i="4"/>
  <c r="Z61" i="4"/>
  <c r="Y61" i="4"/>
  <c r="X61" i="4"/>
  <c r="W61" i="4"/>
  <c r="V61" i="4"/>
  <c r="U61" i="4"/>
  <c r="T61" i="4"/>
  <c r="BM60" i="4"/>
  <c r="BJ60" i="4"/>
  <c r="BK60" i="4" s="1"/>
  <c r="BB60" i="4"/>
  <c r="AY60" i="4"/>
  <c r="AQ60" i="4"/>
  <c r="AN60" i="4"/>
  <c r="AF60" i="4"/>
  <c r="AC60" i="4"/>
  <c r="P60" i="4"/>
  <c r="L60" i="4"/>
  <c r="I60" i="4"/>
  <c r="H60" i="4"/>
  <c r="D60" i="4"/>
  <c r="BM59" i="4"/>
  <c r="BJ59" i="4"/>
  <c r="BK59" i="4" s="1"/>
  <c r="BB59" i="4"/>
  <c r="AY59" i="4"/>
  <c r="AQ59" i="4"/>
  <c r="AN59" i="4"/>
  <c r="AF59" i="4"/>
  <c r="AC59" i="4"/>
  <c r="P59" i="4"/>
  <c r="L59" i="4"/>
  <c r="H59" i="4"/>
  <c r="D59" i="4"/>
  <c r="BM58" i="4"/>
  <c r="BJ58" i="4"/>
  <c r="BK58" i="4" s="1"/>
  <c r="BB58" i="4"/>
  <c r="AY58" i="4"/>
  <c r="AQ58" i="4"/>
  <c r="AN58" i="4"/>
  <c r="AF58" i="4"/>
  <c r="AC58" i="4"/>
  <c r="P58" i="4"/>
  <c r="L58" i="4"/>
  <c r="H58" i="4"/>
  <c r="D58" i="4"/>
  <c r="BM57" i="4"/>
  <c r="BJ57" i="4"/>
  <c r="BK57" i="4" s="1"/>
  <c r="AY57" i="4"/>
  <c r="AN57" i="4"/>
  <c r="AC57" i="4"/>
  <c r="P57" i="4"/>
  <c r="L57" i="4"/>
  <c r="H57" i="4"/>
  <c r="D57" i="4"/>
  <c r="BM56" i="4"/>
  <c r="BJ56" i="4"/>
  <c r="BK56" i="4" s="1"/>
  <c r="AY56" i="4"/>
  <c r="AQ56" i="4"/>
  <c r="AN56" i="4"/>
  <c r="AC56" i="4"/>
  <c r="P56" i="4"/>
  <c r="L56" i="4"/>
  <c r="H56" i="4"/>
  <c r="D56" i="4"/>
  <c r="BM55" i="4"/>
  <c r="BJ55" i="4"/>
  <c r="BK55" i="4" s="1"/>
  <c r="BB55" i="4"/>
  <c r="AY55" i="4"/>
  <c r="AQ55" i="4"/>
  <c r="AN55" i="4"/>
  <c r="AF55" i="4"/>
  <c r="AC55" i="4"/>
  <c r="P55" i="4"/>
  <c r="L55" i="4"/>
  <c r="H55" i="4"/>
  <c r="D55" i="4"/>
  <c r="BM54" i="4"/>
  <c r="BJ54" i="4"/>
  <c r="BK54" i="4" s="1"/>
  <c r="BB54" i="4"/>
  <c r="AY54" i="4"/>
  <c r="AQ54" i="4"/>
  <c r="AN54" i="4"/>
  <c r="AF54" i="4"/>
  <c r="AC54" i="4"/>
  <c r="P54" i="4"/>
  <c r="L54" i="4"/>
  <c r="H54" i="4"/>
  <c r="D54" i="4"/>
  <c r="BM53" i="4"/>
  <c r="BJ53" i="4"/>
  <c r="BK53" i="4" s="1"/>
  <c r="BB53" i="4"/>
  <c r="AY53" i="4"/>
  <c r="AQ53" i="4"/>
  <c r="AN53" i="4"/>
  <c r="AF53" i="4"/>
  <c r="AC53" i="4"/>
  <c r="P53" i="4"/>
  <c r="L53" i="4"/>
  <c r="H53" i="4"/>
  <c r="D53" i="4"/>
  <c r="BM52" i="4"/>
  <c r="BJ52" i="4"/>
  <c r="BK52" i="4" s="1"/>
  <c r="BB52" i="4"/>
  <c r="AY52" i="4"/>
  <c r="AQ52" i="4"/>
  <c r="AN52" i="4"/>
  <c r="AF52" i="4"/>
  <c r="AC52" i="4"/>
  <c r="P52" i="4"/>
  <c r="L52" i="4"/>
  <c r="H52" i="4"/>
  <c r="D52" i="4"/>
  <c r="BM51" i="4"/>
  <c r="BJ51" i="4"/>
  <c r="BK51" i="4" s="1"/>
  <c r="BB51" i="4"/>
  <c r="AY51" i="4"/>
  <c r="AQ51" i="4"/>
  <c r="AN51" i="4"/>
  <c r="AF51" i="4"/>
  <c r="AC51" i="4"/>
  <c r="P51" i="4"/>
  <c r="L51" i="4"/>
  <c r="H51" i="4"/>
  <c r="D51" i="4"/>
  <c r="BM50" i="4"/>
  <c r="BJ50" i="4"/>
  <c r="BK50" i="4" s="1"/>
  <c r="BB50" i="4"/>
  <c r="AY50" i="4"/>
  <c r="AQ50" i="4"/>
  <c r="AN50" i="4"/>
  <c r="AF50" i="4"/>
  <c r="AC50" i="4"/>
  <c r="P50" i="4"/>
  <c r="L50" i="4"/>
  <c r="H50" i="4"/>
  <c r="D50" i="4"/>
  <c r="BM49" i="4"/>
  <c r="BJ49" i="4"/>
  <c r="BK49" i="4" s="1"/>
  <c r="BB49" i="4"/>
  <c r="AY49" i="4"/>
  <c r="AQ49" i="4"/>
  <c r="AN49" i="4"/>
  <c r="AF49" i="4"/>
  <c r="AC49" i="4"/>
  <c r="P49" i="4"/>
  <c r="L49" i="4"/>
  <c r="H49" i="4"/>
  <c r="D49" i="4"/>
  <c r="BM48" i="4"/>
  <c r="BJ48" i="4"/>
  <c r="BK48" i="4" s="1"/>
  <c r="BB48" i="4"/>
  <c r="AY48" i="4"/>
  <c r="AQ48" i="4"/>
  <c r="AN48" i="4"/>
  <c r="AF48" i="4"/>
  <c r="AC48" i="4"/>
  <c r="P48" i="4"/>
  <c r="L48" i="4"/>
  <c r="H48" i="4"/>
  <c r="D48" i="4"/>
  <c r="BM47" i="4"/>
  <c r="BJ47" i="4"/>
  <c r="BK47" i="4" s="1"/>
  <c r="BB47" i="4"/>
  <c r="AY47" i="4"/>
  <c r="AQ47" i="4"/>
  <c r="AN47" i="4"/>
  <c r="AF47" i="4"/>
  <c r="AC47" i="4"/>
  <c r="P47" i="4"/>
  <c r="L47" i="4"/>
  <c r="H47" i="4"/>
  <c r="D47" i="4"/>
  <c r="BM46" i="4"/>
  <c r="BJ46" i="4"/>
  <c r="BK46" i="4" s="1"/>
  <c r="BB46" i="4"/>
  <c r="AY46" i="4"/>
  <c r="AQ46" i="4"/>
  <c r="AN46" i="4"/>
  <c r="AF46" i="4"/>
  <c r="AC46" i="4"/>
  <c r="P46" i="4"/>
  <c r="L46" i="4"/>
  <c r="H46" i="4"/>
  <c r="D46" i="4"/>
  <c r="BM45" i="4"/>
  <c r="BJ45" i="4"/>
  <c r="BK45" i="4" s="1"/>
  <c r="BB45" i="4"/>
  <c r="AY45" i="4"/>
  <c r="AQ45" i="4"/>
  <c r="AN45" i="4"/>
  <c r="AF45" i="4"/>
  <c r="AC45" i="4"/>
  <c r="P45" i="4"/>
  <c r="L45" i="4"/>
  <c r="H45" i="4"/>
  <c r="D45" i="4"/>
  <c r="BM44" i="4"/>
  <c r="BJ44" i="4"/>
  <c r="BK44" i="4" s="1"/>
  <c r="BB44" i="4"/>
  <c r="AY44" i="4"/>
  <c r="AQ44" i="4"/>
  <c r="AN44" i="4"/>
  <c r="AF44" i="4"/>
  <c r="AC44" i="4"/>
  <c r="P44" i="4"/>
  <c r="L44" i="4"/>
  <c r="H44" i="4"/>
  <c r="D44" i="4"/>
  <c r="BM43" i="4"/>
  <c r="BJ43" i="4"/>
  <c r="BK43" i="4" s="1"/>
  <c r="BB43" i="4"/>
  <c r="AY43" i="4"/>
  <c r="AQ43" i="4"/>
  <c r="AN43" i="4"/>
  <c r="AF43" i="4"/>
  <c r="AC43" i="4"/>
  <c r="P43" i="4"/>
  <c r="L43" i="4"/>
  <c r="H43" i="4"/>
  <c r="D43" i="4"/>
  <c r="BM42" i="4"/>
  <c r="BJ42" i="4"/>
  <c r="BK42" i="4" s="1"/>
  <c r="BB42" i="4"/>
  <c r="AY42" i="4"/>
  <c r="AQ42" i="4"/>
  <c r="AN42" i="4"/>
  <c r="AF42" i="4"/>
  <c r="AC42" i="4"/>
  <c r="AD42" i="4" s="1"/>
  <c r="P42" i="4"/>
  <c r="L42" i="4"/>
  <c r="H42" i="4"/>
  <c r="D42" i="4"/>
  <c r="BM41" i="4"/>
  <c r="BJ41" i="4"/>
  <c r="BB41" i="4"/>
  <c r="AY41" i="4"/>
  <c r="AZ41" i="4" s="1"/>
  <c r="AQ41" i="4"/>
  <c r="AN41" i="4"/>
  <c r="AF41" i="4"/>
  <c r="AC41" i="4"/>
  <c r="AD41" i="4" s="1"/>
  <c r="P41" i="4"/>
  <c r="L41" i="4"/>
  <c r="H41" i="4"/>
  <c r="D41" i="4"/>
  <c r="BM40" i="4"/>
  <c r="BJ40" i="4"/>
  <c r="BB40" i="4"/>
  <c r="AY40" i="4"/>
  <c r="AZ40" i="4" s="1"/>
  <c r="AQ40" i="4"/>
  <c r="AN40" i="4"/>
  <c r="AF40" i="4"/>
  <c r="AC40" i="4"/>
  <c r="AD40" i="4" s="1"/>
  <c r="P40" i="4"/>
  <c r="L40" i="4"/>
  <c r="H40" i="4"/>
  <c r="D40" i="4"/>
  <c r="BM39" i="4"/>
  <c r="BJ39" i="4"/>
  <c r="BK39" i="4" s="1"/>
  <c r="BB39" i="4"/>
  <c r="AY39" i="4"/>
  <c r="AZ39" i="4" s="1"/>
  <c r="AQ39" i="4"/>
  <c r="AN39" i="4"/>
  <c r="AC39" i="4"/>
  <c r="P39" i="4"/>
  <c r="L39" i="4"/>
  <c r="H39" i="4"/>
  <c r="D39" i="4"/>
  <c r="BM38" i="4"/>
  <c r="BJ38" i="4"/>
  <c r="BB38" i="4"/>
  <c r="AY38" i="4"/>
  <c r="AZ38" i="4" s="1"/>
  <c r="AN38" i="4"/>
  <c r="AC38" i="4"/>
  <c r="P38" i="4"/>
  <c r="L38" i="4"/>
  <c r="H38" i="4"/>
  <c r="D38" i="4"/>
  <c r="BM37" i="4"/>
  <c r="BJ37" i="4"/>
  <c r="BK37" i="4" s="1"/>
  <c r="BB37" i="4"/>
  <c r="AY37" i="4"/>
  <c r="AZ37" i="4" s="1"/>
  <c r="AQ37" i="4"/>
  <c r="AN37" i="4"/>
  <c r="AF37" i="4"/>
  <c r="AC37" i="4"/>
  <c r="AD37" i="4" s="1"/>
  <c r="P37" i="4"/>
  <c r="L37" i="4"/>
  <c r="H37" i="4"/>
  <c r="D37" i="4"/>
  <c r="BM36" i="4"/>
  <c r="BJ36" i="4"/>
  <c r="BB36" i="4"/>
  <c r="AY36" i="4"/>
  <c r="AZ36" i="4" s="1"/>
  <c r="AQ36" i="4"/>
  <c r="AN36" i="4"/>
  <c r="AC36" i="4"/>
  <c r="P36" i="4"/>
  <c r="L36" i="4"/>
  <c r="H36" i="4"/>
  <c r="D36" i="4"/>
  <c r="BM35" i="4"/>
  <c r="BJ35" i="4"/>
  <c r="BK35" i="4" s="1"/>
  <c r="AY35" i="4"/>
  <c r="AN35" i="4"/>
  <c r="AC35" i="4"/>
  <c r="P35" i="4"/>
  <c r="L35" i="4"/>
  <c r="H35" i="4"/>
  <c r="D35" i="4"/>
  <c r="BM34" i="4"/>
  <c r="BJ34" i="4"/>
  <c r="BB34" i="4"/>
  <c r="AY34" i="4"/>
  <c r="AZ34" i="4" s="1"/>
  <c r="AQ34" i="4"/>
  <c r="AN34" i="4"/>
  <c r="AF34" i="4"/>
  <c r="AC34" i="4"/>
  <c r="AD34" i="4" s="1"/>
  <c r="P34" i="4"/>
  <c r="L34" i="4"/>
  <c r="H34" i="4"/>
  <c r="D34" i="4"/>
  <c r="BM33" i="4"/>
  <c r="BJ33" i="4"/>
  <c r="BB33" i="4"/>
  <c r="AY33" i="4"/>
  <c r="AZ33" i="4" s="1"/>
  <c r="AQ33" i="4"/>
  <c r="AN33" i="4"/>
  <c r="AF33" i="4"/>
  <c r="AC33" i="4"/>
  <c r="AD33" i="4" s="1"/>
  <c r="P33" i="4"/>
  <c r="L33" i="4"/>
  <c r="H33" i="4"/>
  <c r="D33" i="4"/>
  <c r="BM32" i="4"/>
  <c r="BJ32" i="4"/>
  <c r="BB32" i="4"/>
  <c r="AY32" i="4"/>
  <c r="AZ32" i="4" s="1"/>
  <c r="AQ32" i="4"/>
  <c r="AN32" i="4"/>
  <c r="AC32" i="4"/>
  <c r="P32" i="4"/>
  <c r="L32" i="4"/>
  <c r="H32" i="4"/>
  <c r="D32" i="4"/>
  <c r="BM31" i="4"/>
  <c r="BJ31" i="4"/>
  <c r="AY31" i="4"/>
  <c r="AZ31" i="4" s="1"/>
  <c r="BB31" i="4" s="1"/>
  <c r="AQ31" i="4"/>
  <c r="AN31" i="4"/>
  <c r="AC31" i="4"/>
  <c r="P31" i="4"/>
  <c r="L31" i="4"/>
  <c r="H31" i="4"/>
  <c r="D31" i="4"/>
  <c r="BM30" i="4"/>
  <c r="BJ30" i="4"/>
  <c r="BB30" i="4"/>
  <c r="AY30" i="4"/>
  <c r="AZ30" i="4" s="1"/>
  <c r="AQ30" i="4"/>
  <c r="AN30" i="4"/>
  <c r="AC30" i="4"/>
  <c r="P30" i="4"/>
  <c r="L30" i="4"/>
  <c r="H30" i="4"/>
  <c r="D30" i="4"/>
  <c r="BM29" i="4"/>
  <c r="BJ29" i="4"/>
  <c r="BB29" i="4"/>
  <c r="AY29" i="4"/>
  <c r="AZ29" i="4" s="1"/>
  <c r="AQ29" i="4"/>
  <c r="AN29" i="4"/>
  <c r="AF29" i="4"/>
  <c r="AC29" i="4"/>
  <c r="AD29" i="4" s="1"/>
  <c r="P29" i="4"/>
  <c r="L29" i="4"/>
  <c r="H29" i="4"/>
  <c r="D29" i="4"/>
  <c r="BM28" i="4"/>
  <c r="BJ28" i="4"/>
  <c r="BB28" i="4"/>
  <c r="AY28" i="4"/>
  <c r="AQ28" i="4"/>
  <c r="AN28" i="4"/>
  <c r="AF28" i="4"/>
  <c r="AC28" i="4"/>
  <c r="AD28" i="4" s="1"/>
  <c r="P28" i="4"/>
  <c r="L28" i="4"/>
  <c r="H28" i="4"/>
  <c r="D28" i="4"/>
  <c r="BM27" i="4"/>
  <c r="BJ27" i="4"/>
  <c r="BK27" i="4" s="1"/>
  <c r="BB27" i="4"/>
  <c r="AY27" i="4"/>
  <c r="AQ27" i="4"/>
  <c r="AN27" i="4"/>
  <c r="AF27" i="4"/>
  <c r="AC27" i="4"/>
  <c r="AD27" i="4" s="1"/>
  <c r="P27" i="4"/>
  <c r="L27" i="4"/>
  <c r="H27" i="4"/>
  <c r="D27" i="4"/>
  <c r="BM26" i="4"/>
  <c r="BJ26" i="4"/>
  <c r="BB26" i="4"/>
  <c r="AY26" i="4"/>
  <c r="AQ26" i="4"/>
  <c r="AN26" i="4"/>
  <c r="AF26" i="4"/>
  <c r="AC26" i="4"/>
  <c r="AD26" i="4" s="1"/>
  <c r="P26" i="4"/>
  <c r="L26" i="4"/>
  <c r="H26" i="4"/>
  <c r="D26" i="4"/>
  <c r="BM25" i="4"/>
  <c r="BJ25" i="4"/>
  <c r="BK25" i="4" s="1"/>
  <c r="BB25" i="4"/>
  <c r="AY25" i="4"/>
  <c r="AQ25" i="4"/>
  <c r="AN25" i="4"/>
  <c r="AF25" i="4"/>
  <c r="AC25" i="4"/>
  <c r="AD25" i="4" s="1"/>
  <c r="P25" i="4"/>
  <c r="L25" i="4"/>
  <c r="H25" i="4"/>
  <c r="D25" i="4"/>
  <c r="BM24" i="4"/>
  <c r="BJ24" i="4"/>
  <c r="BK24" i="4" s="1"/>
  <c r="BB24" i="4"/>
  <c r="AY24" i="4"/>
  <c r="AQ24" i="4"/>
  <c r="AN24" i="4"/>
  <c r="AF24" i="4"/>
  <c r="AC24" i="4"/>
  <c r="AD24" i="4" s="1"/>
  <c r="P24" i="4"/>
  <c r="L24" i="4"/>
  <c r="H24" i="4"/>
  <c r="D24" i="4"/>
  <c r="BM23" i="4"/>
  <c r="BJ23" i="4"/>
  <c r="BB23" i="4"/>
  <c r="AY23" i="4"/>
  <c r="AN23" i="4"/>
  <c r="AC23" i="4"/>
  <c r="P23" i="4"/>
  <c r="L23" i="4"/>
  <c r="H23" i="4"/>
  <c r="D23" i="4"/>
  <c r="BM22" i="4"/>
  <c r="BJ22" i="4"/>
  <c r="BB22" i="4"/>
  <c r="AY22" i="4"/>
  <c r="AQ22" i="4"/>
  <c r="AN22" i="4"/>
  <c r="AF22" i="4"/>
  <c r="AC22" i="4"/>
  <c r="AD22" i="4" s="1"/>
  <c r="P22" i="4"/>
  <c r="L22" i="4"/>
  <c r="H22" i="4"/>
  <c r="D22" i="4"/>
  <c r="BJ21" i="4"/>
  <c r="BK21" i="4" s="1"/>
  <c r="AY21" i="4"/>
  <c r="AN21" i="4"/>
  <c r="AC21" i="4"/>
  <c r="P21" i="4"/>
  <c r="L21" i="4"/>
  <c r="H21" i="4"/>
  <c r="D21" i="4"/>
  <c r="BM20" i="4"/>
  <c r="BJ20" i="4"/>
  <c r="BK20" i="4" s="1"/>
  <c r="BB20" i="4"/>
  <c r="AY20" i="4"/>
  <c r="AQ20" i="4"/>
  <c r="AN20" i="4"/>
  <c r="AF20" i="4"/>
  <c r="AC20" i="4"/>
  <c r="AD20" i="4" s="1"/>
  <c r="P20" i="4"/>
  <c r="L20" i="4"/>
  <c r="H20" i="4"/>
  <c r="D20" i="4"/>
  <c r="E20" i="28" s="1"/>
  <c r="BM19" i="4"/>
  <c r="BJ19" i="4"/>
  <c r="AY19" i="4"/>
  <c r="AQ19" i="4"/>
  <c r="AN19" i="4"/>
  <c r="AF19" i="4"/>
  <c r="AC19" i="4"/>
  <c r="AD19" i="4" s="1"/>
  <c r="P19" i="4"/>
  <c r="L19" i="4"/>
  <c r="I19" i="4"/>
  <c r="H19" i="4"/>
  <c r="D19" i="4"/>
  <c r="BM18" i="4"/>
  <c r="BJ18" i="4"/>
  <c r="BK18" i="4" s="1"/>
  <c r="AY18" i="4"/>
  <c r="AQ18" i="4"/>
  <c r="AN18" i="4"/>
  <c r="AC18" i="4"/>
  <c r="P18" i="4"/>
  <c r="L18" i="4"/>
  <c r="H18" i="4"/>
  <c r="D18" i="4"/>
  <c r="BM17" i="4"/>
  <c r="BJ17" i="4"/>
  <c r="BB17" i="4"/>
  <c r="AY17" i="4"/>
  <c r="AQ17" i="4"/>
  <c r="AN17" i="4"/>
  <c r="AF17" i="4"/>
  <c r="AC17" i="4"/>
  <c r="AD17" i="4" s="1"/>
  <c r="P17" i="4"/>
  <c r="L17" i="4"/>
  <c r="H17" i="4"/>
  <c r="D17" i="4"/>
  <c r="BM16" i="4"/>
  <c r="BJ16" i="4"/>
  <c r="BB16" i="4"/>
  <c r="AY16" i="4"/>
  <c r="AQ16" i="4"/>
  <c r="AN16" i="4"/>
  <c r="AF16" i="4"/>
  <c r="AC16" i="4"/>
  <c r="AD16" i="4" s="1"/>
  <c r="P16" i="4"/>
  <c r="L16" i="4"/>
  <c r="H16" i="4"/>
  <c r="D16" i="4"/>
  <c r="BM15" i="4"/>
  <c r="BJ15" i="4"/>
  <c r="BK15" i="4" s="1"/>
  <c r="BB15" i="4"/>
  <c r="AY15" i="4"/>
  <c r="AQ15" i="4"/>
  <c r="AN15" i="4"/>
  <c r="AF15" i="4"/>
  <c r="AC15" i="4"/>
  <c r="P15" i="4"/>
  <c r="L15" i="4"/>
  <c r="H15" i="4"/>
  <c r="D15" i="4"/>
  <c r="BJ14" i="4"/>
  <c r="AY14" i="4"/>
  <c r="AQ14" i="4"/>
  <c r="AN14" i="4"/>
  <c r="AF14" i="4"/>
  <c r="AC14" i="4"/>
  <c r="P14" i="4"/>
  <c r="L14" i="4"/>
  <c r="H14" i="4"/>
  <c r="D14" i="4"/>
  <c r="BM13" i="4"/>
  <c r="BJ13" i="4"/>
  <c r="AY13" i="4"/>
  <c r="AQ13" i="4"/>
  <c r="AN13" i="4"/>
  <c r="AF13" i="4"/>
  <c r="AC13" i="4"/>
  <c r="P13" i="4"/>
  <c r="L13" i="4"/>
  <c r="H13" i="4"/>
  <c r="D13" i="4"/>
  <c r="BM12" i="4"/>
  <c r="BJ12" i="4"/>
  <c r="AY12" i="4"/>
  <c r="AN12" i="4"/>
  <c r="AC12" i="4"/>
  <c r="P12" i="4"/>
  <c r="L12" i="4"/>
  <c r="H12" i="4"/>
  <c r="D12" i="4"/>
  <c r="BM11" i="4"/>
  <c r="BJ11" i="4"/>
  <c r="BB11" i="4"/>
  <c r="AY11" i="4"/>
  <c r="AQ11" i="4"/>
  <c r="AN11" i="4"/>
  <c r="AF11" i="4"/>
  <c r="AC11" i="4"/>
  <c r="P11" i="4"/>
  <c r="L11" i="4"/>
  <c r="H11" i="4"/>
  <c r="D11" i="4"/>
  <c r="BM10" i="4"/>
  <c r="BJ10" i="4"/>
  <c r="BB10" i="4"/>
  <c r="AY10" i="4"/>
  <c r="M10" i="4" s="1"/>
  <c r="AQ10" i="4"/>
  <c r="AN10" i="4"/>
  <c r="AF10" i="4"/>
  <c r="AC10" i="4"/>
  <c r="P10" i="4"/>
  <c r="L10" i="4"/>
  <c r="I10" i="4"/>
  <c r="H10" i="4"/>
  <c r="D10" i="4"/>
  <c r="BM9" i="4"/>
  <c r="BJ9" i="4"/>
  <c r="BB9" i="4"/>
  <c r="AY9" i="4"/>
  <c r="AQ9" i="4"/>
  <c r="AN9" i="4"/>
  <c r="AF9" i="4"/>
  <c r="AC9" i="4"/>
  <c r="P9" i="4"/>
  <c r="L9" i="4"/>
  <c r="H9" i="4"/>
  <c r="D9" i="4"/>
  <c r="BM8" i="4"/>
  <c r="BJ8" i="4"/>
  <c r="BB8" i="4"/>
  <c r="AY8" i="4"/>
  <c r="AQ8" i="4"/>
  <c r="AN8" i="4"/>
  <c r="AF8" i="4"/>
  <c r="AC8" i="4"/>
  <c r="P8" i="4"/>
  <c r="L8" i="4"/>
  <c r="H8" i="4"/>
  <c r="D8" i="4"/>
  <c r="BM7" i="4"/>
  <c r="BJ7" i="4"/>
  <c r="BB7" i="4"/>
  <c r="AY7" i="4"/>
  <c r="AQ7" i="4"/>
  <c r="AN7" i="4"/>
  <c r="AF7" i="4"/>
  <c r="AC7" i="4"/>
  <c r="P7" i="4"/>
  <c r="L7" i="4"/>
  <c r="H7" i="4"/>
  <c r="D7" i="4"/>
  <c r="BM6" i="4"/>
  <c r="BJ6" i="4"/>
  <c r="BB6" i="4"/>
  <c r="AY6" i="4"/>
  <c r="AQ6" i="4"/>
  <c r="AN6" i="4"/>
  <c r="AF6" i="4"/>
  <c r="AC6" i="4"/>
  <c r="P6" i="4"/>
  <c r="L6" i="4"/>
  <c r="H6" i="4"/>
  <c r="D6" i="4"/>
  <c r="BM5" i="4"/>
  <c r="BJ5" i="4"/>
  <c r="BB5" i="4"/>
  <c r="AY5" i="4"/>
  <c r="AQ5" i="4"/>
  <c r="AN5" i="4"/>
  <c r="AF5" i="4"/>
  <c r="AC5" i="4"/>
  <c r="P5" i="4"/>
  <c r="L5" i="4"/>
  <c r="H5" i="4"/>
  <c r="D5" i="4"/>
  <c r="BM4" i="4"/>
  <c r="BJ4" i="4"/>
  <c r="BB4" i="4"/>
  <c r="AY4" i="4"/>
  <c r="AQ4" i="4"/>
  <c r="AN4" i="4"/>
  <c r="AF4" i="4"/>
  <c r="AC4" i="4"/>
  <c r="P4" i="4"/>
  <c r="L4" i="4"/>
  <c r="H4" i="4"/>
  <c r="D4" i="4"/>
  <c r="BJ3" i="4"/>
  <c r="BK3" i="4" s="1"/>
  <c r="AY3" i="4"/>
  <c r="AZ3" i="4" s="1"/>
  <c r="AN3" i="4"/>
  <c r="AO3" i="4" s="1"/>
  <c r="AC3" i="4"/>
  <c r="P3" i="4"/>
  <c r="L3" i="4"/>
  <c r="H3" i="4"/>
  <c r="D3" i="4"/>
  <c r="AS60" i="20"/>
  <c r="AP60" i="20"/>
  <c r="AK60" i="20"/>
  <c r="AI60" i="20"/>
  <c r="AC60" i="20"/>
  <c r="AE60" i="20" s="1"/>
  <c r="AG60" i="20" s="1"/>
  <c r="S60" i="20"/>
  <c r="J60" i="20"/>
  <c r="AS59" i="20"/>
  <c r="AP59" i="20"/>
  <c r="AK59" i="20"/>
  <c r="AI59" i="20"/>
  <c r="AC59" i="20"/>
  <c r="AE59" i="20" s="1"/>
  <c r="AG59" i="20" s="1"/>
  <c r="S59" i="20"/>
  <c r="J59" i="20"/>
  <c r="AS58" i="20"/>
  <c r="AP58" i="20"/>
  <c r="AK58" i="20"/>
  <c r="AI58" i="20"/>
  <c r="AC58" i="20"/>
  <c r="AE58" i="20" s="1"/>
  <c r="AG58" i="20" s="1"/>
  <c r="S58" i="20"/>
  <c r="J58" i="20"/>
  <c r="AS57" i="20"/>
  <c r="AP57" i="20"/>
  <c r="AK57" i="20"/>
  <c r="AI57" i="20"/>
  <c r="AC57" i="20"/>
  <c r="AE57" i="20" s="1"/>
  <c r="AG57" i="20" s="1"/>
  <c r="S57" i="20"/>
  <c r="J57" i="20"/>
  <c r="AS56" i="20"/>
  <c r="AP56" i="20"/>
  <c r="AK56" i="20"/>
  <c r="AI56" i="20"/>
  <c r="AC56" i="20"/>
  <c r="AE56" i="20" s="1"/>
  <c r="AG56" i="20" s="1"/>
  <c r="S56" i="20"/>
  <c r="J56" i="20"/>
  <c r="BA56" i="10" s="1" a="1"/>
  <c r="BA56" i="10" s="1"/>
  <c r="AS55" i="20"/>
  <c r="AP55" i="20"/>
  <c r="AK55" i="20"/>
  <c r="AI55" i="20"/>
  <c r="AC55" i="20"/>
  <c r="AE55" i="20" s="1"/>
  <c r="AG55" i="20" s="1"/>
  <c r="S55" i="20"/>
  <c r="J55" i="20"/>
  <c r="AS54" i="20"/>
  <c r="AP54" i="20"/>
  <c r="AK54" i="20"/>
  <c r="AI54" i="20"/>
  <c r="AC54" i="20"/>
  <c r="AE54" i="20" s="1"/>
  <c r="AG54" i="20" s="1"/>
  <c r="S54" i="20"/>
  <c r="J54" i="20"/>
  <c r="AS53" i="20"/>
  <c r="AP53" i="20"/>
  <c r="AK53" i="20"/>
  <c r="AI53" i="20"/>
  <c r="AC53" i="20"/>
  <c r="AE53" i="20" s="1"/>
  <c r="AG53" i="20" s="1"/>
  <c r="S53" i="20"/>
  <c r="J53" i="20"/>
  <c r="AS52" i="20"/>
  <c r="AP52" i="20"/>
  <c r="AK52" i="20"/>
  <c r="AI52" i="20"/>
  <c r="AC52" i="20"/>
  <c r="AE52" i="20" s="1"/>
  <c r="AG52" i="20" s="1"/>
  <c r="S52" i="20"/>
  <c r="J52" i="20"/>
  <c r="AS51" i="20"/>
  <c r="AP51" i="20"/>
  <c r="AK51" i="20"/>
  <c r="AI51" i="20"/>
  <c r="AC51" i="20"/>
  <c r="AE51" i="20" s="1"/>
  <c r="AG51" i="20" s="1"/>
  <c r="S51" i="20"/>
  <c r="J51" i="20"/>
  <c r="AS50" i="20"/>
  <c r="AP50" i="20"/>
  <c r="AK50" i="20"/>
  <c r="AI50" i="20"/>
  <c r="AC50" i="20"/>
  <c r="AE50" i="20" s="1"/>
  <c r="AG50" i="20" s="1"/>
  <c r="S50" i="20"/>
  <c r="J50" i="20"/>
  <c r="BA50" i="10" s="1" a="1"/>
  <c r="BA50" i="10" s="1"/>
  <c r="AS49" i="20"/>
  <c r="AP49" i="20"/>
  <c r="AK49" i="20"/>
  <c r="AI49" i="20"/>
  <c r="AC49" i="20"/>
  <c r="AE49" i="20" s="1"/>
  <c r="AG49" i="20" s="1"/>
  <c r="S49" i="20"/>
  <c r="J49" i="20"/>
  <c r="AS48" i="20"/>
  <c r="AP48" i="20"/>
  <c r="AK48" i="20"/>
  <c r="AI48" i="20"/>
  <c r="AC48" i="20"/>
  <c r="AE48" i="20" s="1"/>
  <c r="AG48" i="20" s="1"/>
  <c r="S48" i="20"/>
  <c r="J48" i="20"/>
  <c r="AS47" i="20"/>
  <c r="AP47" i="20"/>
  <c r="AK47" i="20"/>
  <c r="AI47" i="20"/>
  <c r="AC47" i="20"/>
  <c r="AE47" i="20" s="1"/>
  <c r="AG47" i="20" s="1"/>
  <c r="S47" i="20"/>
  <c r="J47" i="20"/>
  <c r="AS46" i="20"/>
  <c r="AP46" i="20"/>
  <c r="AK46" i="20"/>
  <c r="AI46" i="20"/>
  <c r="AC46" i="20"/>
  <c r="AE46" i="20" s="1"/>
  <c r="AG46" i="20" s="1"/>
  <c r="S46" i="20"/>
  <c r="J46" i="20"/>
  <c r="AS45" i="20"/>
  <c r="AP45" i="20"/>
  <c r="AK45" i="20"/>
  <c r="AI45" i="20"/>
  <c r="AC45" i="20"/>
  <c r="AE45" i="20" s="1"/>
  <c r="AG45" i="20" s="1"/>
  <c r="S45" i="20"/>
  <c r="J45" i="20"/>
  <c r="AS44" i="20"/>
  <c r="AP44" i="20"/>
  <c r="AK44" i="20"/>
  <c r="AI44" i="20"/>
  <c r="AC44" i="20"/>
  <c r="AE44" i="20" s="1"/>
  <c r="AG44" i="20" s="1"/>
  <c r="S44" i="20"/>
  <c r="J44" i="20"/>
  <c r="AS43" i="20"/>
  <c r="AP43" i="20"/>
  <c r="AK43" i="20"/>
  <c r="AI43" i="20"/>
  <c r="AC43" i="20"/>
  <c r="AE43" i="20" s="1"/>
  <c r="AG43" i="20" s="1"/>
  <c r="S43" i="20"/>
  <c r="J43" i="20"/>
  <c r="AS42" i="20"/>
  <c r="AP42" i="20"/>
  <c r="AK42" i="20"/>
  <c r="AI42" i="20"/>
  <c r="AC42" i="20"/>
  <c r="AE42" i="20" s="1"/>
  <c r="AG42" i="20" s="1"/>
  <c r="S42" i="20"/>
  <c r="J42" i="20"/>
  <c r="AS41" i="20"/>
  <c r="AP41" i="20"/>
  <c r="AK41" i="20"/>
  <c r="AI41" i="20"/>
  <c r="AC41" i="20"/>
  <c r="AE41" i="20" s="1"/>
  <c r="AG41" i="20" s="1"/>
  <c r="S41" i="20"/>
  <c r="J41" i="20"/>
  <c r="AS40" i="20"/>
  <c r="AP40" i="20"/>
  <c r="AK40" i="20"/>
  <c r="AI40" i="20"/>
  <c r="AC40" i="20"/>
  <c r="AE40" i="20" s="1"/>
  <c r="AG40" i="20" s="1"/>
  <c r="S40" i="20"/>
  <c r="J40" i="20"/>
  <c r="AS39" i="20"/>
  <c r="AP39" i="20"/>
  <c r="AK39" i="20"/>
  <c r="AI39" i="20"/>
  <c r="AC39" i="20"/>
  <c r="AE39" i="20" s="1"/>
  <c r="AG39" i="20" s="1"/>
  <c r="S39" i="20"/>
  <c r="J39" i="20"/>
  <c r="AS38" i="20"/>
  <c r="AP38" i="20"/>
  <c r="AK38" i="20"/>
  <c r="AI38" i="20"/>
  <c r="AC38" i="20"/>
  <c r="AE38" i="20" s="1"/>
  <c r="AG38" i="20" s="1"/>
  <c r="S38" i="20"/>
  <c r="J38" i="20"/>
  <c r="AS37" i="20"/>
  <c r="AP37" i="20"/>
  <c r="AK37" i="20"/>
  <c r="AI37" i="20"/>
  <c r="AC37" i="20"/>
  <c r="AE37" i="20" s="1"/>
  <c r="AG37" i="20" s="1"/>
  <c r="S37" i="20"/>
  <c r="J37" i="20"/>
  <c r="AS36" i="20"/>
  <c r="AP36" i="20"/>
  <c r="AK36" i="20"/>
  <c r="AI36" i="20"/>
  <c r="AC36" i="20"/>
  <c r="AE36" i="20" s="1"/>
  <c r="AG36" i="20" s="1"/>
  <c r="S36" i="20"/>
  <c r="J36" i="20"/>
  <c r="AS35" i="20"/>
  <c r="AP35" i="20"/>
  <c r="AK35" i="20"/>
  <c r="AI35" i="20"/>
  <c r="AC35" i="20"/>
  <c r="AE35" i="20" s="1"/>
  <c r="AG35" i="20" s="1"/>
  <c r="S35" i="20"/>
  <c r="J35" i="20"/>
  <c r="AS34" i="20"/>
  <c r="AP34" i="20"/>
  <c r="AK34" i="20"/>
  <c r="AI34" i="20"/>
  <c r="AC34" i="20"/>
  <c r="AE34" i="20" s="1"/>
  <c r="AG34" i="20" s="1"/>
  <c r="S34" i="20"/>
  <c r="J34" i="20"/>
  <c r="AS33" i="20"/>
  <c r="AP33" i="20"/>
  <c r="AK33" i="20"/>
  <c r="AI33" i="20"/>
  <c r="AC33" i="20"/>
  <c r="AE33" i="20" s="1"/>
  <c r="AG33" i="20" s="1"/>
  <c r="S33" i="20"/>
  <c r="J33" i="20"/>
  <c r="AS32" i="20"/>
  <c r="AP32" i="20"/>
  <c r="AK32" i="20"/>
  <c r="AI32" i="20"/>
  <c r="AC32" i="20"/>
  <c r="AE32" i="20" s="1"/>
  <c r="AG32" i="20" s="1"/>
  <c r="S32" i="20"/>
  <c r="J32" i="20"/>
  <c r="AS31" i="20"/>
  <c r="AP31" i="20"/>
  <c r="AK31" i="20"/>
  <c r="AI31" i="20"/>
  <c r="AC31" i="20"/>
  <c r="AE31" i="20" s="1"/>
  <c r="AG31" i="20" s="1"/>
  <c r="S31" i="20"/>
  <c r="J31" i="20"/>
  <c r="AS30" i="20"/>
  <c r="AP30" i="20"/>
  <c r="AK30" i="20"/>
  <c r="AI30" i="20"/>
  <c r="AC30" i="20"/>
  <c r="AE30" i="20" s="1"/>
  <c r="AG30" i="20" s="1"/>
  <c r="S30" i="20"/>
  <c r="J30" i="20"/>
  <c r="AS29" i="20"/>
  <c r="AP29" i="20"/>
  <c r="AK29" i="20"/>
  <c r="AI29" i="20"/>
  <c r="AC29" i="20"/>
  <c r="AE29" i="20" s="1"/>
  <c r="AG29" i="20" s="1"/>
  <c r="S29" i="20"/>
  <c r="J29" i="20"/>
  <c r="AS28" i="20"/>
  <c r="AP28" i="20"/>
  <c r="AK28" i="20"/>
  <c r="AI28" i="20"/>
  <c r="AC28" i="20"/>
  <c r="AE28" i="20" s="1"/>
  <c r="AG28" i="20" s="1"/>
  <c r="S28" i="20"/>
  <c r="J28" i="20"/>
  <c r="AS27" i="20"/>
  <c r="AP27" i="20"/>
  <c r="AK27" i="20"/>
  <c r="AI27" i="20"/>
  <c r="AC27" i="20"/>
  <c r="AE27" i="20" s="1"/>
  <c r="AG27" i="20" s="1"/>
  <c r="S27" i="20"/>
  <c r="J27" i="20"/>
  <c r="AS26" i="20"/>
  <c r="AP26" i="20"/>
  <c r="AK26" i="20"/>
  <c r="AI26" i="20"/>
  <c r="AC26" i="20"/>
  <c r="AE26" i="20" s="1"/>
  <c r="AG26" i="20" s="1"/>
  <c r="S26" i="20"/>
  <c r="J26" i="20"/>
  <c r="AS25" i="20"/>
  <c r="AP25" i="20"/>
  <c r="AK25" i="20"/>
  <c r="AI25" i="20"/>
  <c r="AC25" i="20"/>
  <c r="AE25" i="20" s="1"/>
  <c r="AG25" i="20" s="1"/>
  <c r="S25" i="20"/>
  <c r="J25" i="20"/>
  <c r="AS24" i="20"/>
  <c r="AP24" i="20"/>
  <c r="AK24" i="20"/>
  <c r="AI24" i="20"/>
  <c r="AC24" i="20"/>
  <c r="AE24" i="20" s="1"/>
  <c r="AG24" i="20" s="1"/>
  <c r="S24" i="20"/>
  <c r="J24" i="20"/>
  <c r="AS23" i="20"/>
  <c r="AP23" i="20"/>
  <c r="AK23" i="20"/>
  <c r="AI23" i="20"/>
  <c r="AC23" i="20"/>
  <c r="AE23" i="20" s="1"/>
  <c r="AG23" i="20" s="1"/>
  <c r="S23" i="20"/>
  <c r="J23" i="20"/>
  <c r="AS22" i="20"/>
  <c r="AP22" i="20"/>
  <c r="AK22" i="20"/>
  <c r="AI22" i="20"/>
  <c r="AC22" i="20"/>
  <c r="AE22" i="20" s="1"/>
  <c r="AG22" i="20" s="1"/>
  <c r="S22" i="20"/>
  <c r="J22" i="20"/>
  <c r="AS21" i="20"/>
  <c r="AP21" i="20"/>
  <c r="AK21" i="20"/>
  <c r="AI21" i="20"/>
  <c r="AC21" i="20"/>
  <c r="AE21" i="20" s="1"/>
  <c r="AG21" i="20" s="1"/>
  <c r="S21" i="20"/>
  <c r="J21" i="20"/>
  <c r="AS20" i="20"/>
  <c r="AP20" i="20"/>
  <c r="AK20" i="20"/>
  <c r="AI20" i="20"/>
  <c r="AC20" i="20"/>
  <c r="AE20" i="20" s="1"/>
  <c r="AG20" i="20" s="1"/>
  <c r="S20" i="20"/>
  <c r="J20" i="20"/>
  <c r="AS19" i="20"/>
  <c r="AP19" i="20"/>
  <c r="AK19" i="20"/>
  <c r="AI19" i="20"/>
  <c r="AC19" i="20"/>
  <c r="AE19" i="20" s="1"/>
  <c r="AG19" i="20" s="1"/>
  <c r="S19" i="20"/>
  <c r="J19" i="20"/>
  <c r="AS18" i="20"/>
  <c r="AP18" i="20"/>
  <c r="AK18" i="20"/>
  <c r="AI18" i="20"/>
  <c r="AC18" i="20"/>
  <c r="AE18" i="20" s="1"/>
  <c r="AG18" i="20" s="1"/>
  <c r="S18" i="20"/>
  <c r="J18" i="20"/>
  <c r="AS17" i="20"/>
  <c r="AP17" i="20"/>
  <c r="AK17" i="20"/>
  <c r="AI17" i="20"/>
  <c r="AC17" i="20"/>
  <c r="AE17" i="20" s="1"/>
  <c r="AG17" i="20" s="1"/>
  <c r="S17" i="20"/>
  <c r="J17" i="20"/>
  <c r="AS16" i="20"/>
  <c r="AP16" i="20"/>
  <c r="AK16" i="20"/>
  <c r="AI16" i="20"/>
  <c r="AC16" i="20"/>
  <c r="AE16" i="20" s="1"/>
  <c r="AG16" i="20" s="1"/>
  <c r="S16" i="20"/>
  <c r="J16" i="20"/>
  <c r="AS15" i="20"/>
  <c r="AP15" i="20"/>
  <c r="AK15" i="20"/>
  <c r="AI15" i="20"/>
  <c r="AC15" i="20"/>
  <c r="AE15" i="20" s="1"/>
  <c r="AG15" i="20" s="1"/>
  <c r="S15" i="20"/>
  <c r="J15" i="20"/>
  <c r="AS14" i="20"/>
  <c r="AP14" i="20"/>
  <c r="AK14" i="20"/>
  <c r="AI14" i="20"/>
  <c r="AC14" i="20"/>
  <c r="AE14" i="20" s="1"/>
  <c r="AG14" i="20" s="1"/>
  <c r="S14" i="20"/>
  <c r="J14" i="20"/>
  <c r="AS13" i="20"/>
  <c r="AP13" i="20"/>
  <c r="AK13" i="20"/>
  <c r="AI13" i="20"/>
  <c r="AC13" i="20"/>
  <c r="AE13" i="20" s="1"/>
  <c r="AG13" i="20" s="1"/>
  <c r="S13" i="20"/>
  <c r="J13" i="20"/>
  <c r="AS12" i="20"/>
  <c r="AP12" i="20"/>
  <c r="AK12" i="20"/>
  <c r="AI12" i="20"/>
  <c r="AC12" i="20"/>
  <c r="AE12" i="20" s="1"/>
  <c r="AG12" i="20" s="1"/>
  <c r="S12" i="20"/>
  <c r="J12" i="20"/>
  <c r="AS11" i="20"/>
  <c r="AP11" i="20"/>
  <c r="AK11" i="20"/>
  <c r="AI11" i="20"/>
  <c r="AC11" i="20"/>
  <c r="AE11" i="20" s="1"/>
  <c r="AG11" i="20" s="1"/>
  <c r="S11" i="20"/>
  <c r="J11" i="20"/>
  <c r="AS10" i="20"/>
  <c r="AP10" i="20"/>
  <c r="AK10" i="20"/>
  <c r="AI10" i="20"/>
  <c r="AC10" i="20"/>
  <c r="AE10" i="20" s="1"/>
  <c r="AG10" i="20" s="1"/>
  <c r="S10" i="20"/>
  <c r="J10" i="20"/>
  <c r="AS9" i="20"/>
  <c r="AP9" i="20"/>
  <c r="AK9" i="20"/>
  <c r="AI9" i="20"/>
  <c r="AC9" i="20"/>
  <c r="AE9" i="20" s="1"/>
  <c r="AG9" i="20" s="1"/>
  <c r="S9" i="20"/>
  <c r="J9" i="20"/>
  <c r="AS8" i="20"/>
  <c r="AP8" i="20"/>
  <c r="AK8" i="20"/>
  <c r="AI8" i="20"/>
  <c r="AC8" i="20"/>
  <c r="AE8" i="20" s="1"/>
  <c r="AG8" i="20" s="1"/>
  <c r="S8" i="20"/>
  <c r="J8" i="20"/>
  <c r="AS7" i="20"/>
  <c r="AP7" i="20"/>
  <c r="AK7" i="20"/>
  <c r="AI7" i="20"/>
  <c r="AC7" i="20"/>
  <c r="AE7" i="20" s="1"/>
  <c r="AG7" i="20" s="1"/>
  <c r="S7" i="20"/>
  <c r="J7" i="20"/>
  <c r="AS6" i="20"/>
  <c r="AP6" i="20"/>
  <c r="AK6" i="20"/>
  <c r="AI6" i="20"/>
  <c r="AC6" i="20"/>
  <c r="AE6" i="20" s="1"/>
  <c r="AG6" i="20" s="1"/>
  <c r="S6" i="20"/>
  <c r="J6" i="20"/>
  <c r="AS5" i="20"/>
  <c r="AP5" i="20"/>
  <c r="AK5" i="20"/>
  <c r="AI5" i="20"/>
  <c r="AC5" i="20"/>
  <c r="AE5" i="20" s="1"/>
  <c r="AG5" i="20" s="1"/>
  <c r="S5" i="20"/>
  <c r="J5" i="20"/>
  <c r="AS4" i="20"/>
  <c r="AP4" i="20"/>
  <c r="AK4" i="20"/>
  <c r="AI4" i="20"/>
  <c r="AC4" i="20"/>
  <c r="AE4" i="20" s="1"/>
  <c r="AG4" i="20" s="1"/>
  <c r="S4" i="20"/>
  <c r="J4" i="20"/>
  <c r="AS3" i="20"/>
  <c r="AP3" i="20"/>
  <c r="AK3" i="20"/>
  <c r="AI3" i="20"/>
  <c r="AC3" i="20"/>
  <c r="S3" i="20"/>
  <c r="J3" i="20"/>
  <c r="BA3" i="10" s="1" a="1"/>
  <c r="BA3" i="10" s="1"/>
  <c r="W1413" i="24" l="1"/>
  <c r="W1407" i="24"/>
  <c r="E21" i="28"/>
  <c r="H13" i="28"/>
  <c r="S18" i="12"/>
  <c r="H12" i="28"/>
  <c r="H29" i="28"/>
  <c r="H41" i="28"/>
  <c r="H54" i="28"/>
  <c r="G53" i="28"/>
  <c r="H50" i="28"/>
  <c r="H51" i="28"/>
  <c r="H25" i="28"/>
  <c r="H37" i="28"/>
  <c r="H24" i="28"/>
  <c r="G34" i="28"/>
  <c r="G36" i="28"/>
  <c r="G3" i="28"/>
  <c r="H7" i="28"/>
  <c r="H20" i="28"/>
  <c r="H32" i="28"/>
  <c r="H44" i="28"/>
  <c r="H6" i="28"/>
  <c r="H19" i="28"/>
  <c r="H31" i="28"/>
  <c r="H17" i="28"/>
  <c r="H30" i="28"/>
  <c r="H55" i="28"/>
  <c r="I25" i="17"/>
  <c r="AB25" i="17"/>
  <c r="I39" i="16"/>
  <c r="AG39" i="16"/>
  <c r="E30" i="18"/>
  <c r="R30" i="18"/>
  <c r="Y2860" i="24" s="1"/>
  <c r="AO5" i="4"/>
  <c r="AE258" i="24" s="1"/>
  <c r="AD10" i="4"/>
  <c r="AE10" i="4" s="1"/>
  <c r="E13" i="28"/>
  <c r="E15" i="28"/>
  <c r="E17" i="28"/>
  <c r="AD4" i="4"/>
  <c r="AE176" i="24" s="1"/>
  <c r="AD5" i="4"/>
  <c r="AE177" i="24" s="1"/>
  <c r="AD6" i="4"/>
  <c r="AE178" i="24" s="1"/>
  <c r="AD7" i="4"/>
  <c r="AE179" i="24" s="1"/>
  <c r="AD8" i="4"/>
  <c r="AE180" i="24" s="1"/>
  <c r="AD9" i="4"/>
  <c r="AE181" i="24" s="1"/>
  <c r="E19" i="28"/>
  <c r="E34" i="28"/>
  <c r="E35" i="28"/>
  <c r="E53" i="28"/>
  <c r="E54" i="28"/>
  <c r="E55" i="28"/>
  <c r="E56" i="28"/>
  <c r="E57" i="28"/>
  <c r="Q6" i="10"/>
  <c r="AY6" i="10"/>
  <c r="BB6" i="10" s="1" a="1"/>
  <c r="BB6" i="10" s="1"/>
  <c r="H8" i="28"/>
  <c r="Q19" i="10"/>
  <c r="AY19" i="10"/>
  <c r="BB19" i="10" s="1" a="1"/>
  <c r="BB19" i="10" s="1"/>
  <c r="H21" i="28"/>
  <c r="Q32" i="10"/>
  <c r="AY32" i="10"/>
  <c r="BB32" i="10" s="1" a="1"/>
  <c r="BB32" i="10" s="1"/>
  <c r="H34" i="28"/>
  <c r="Q45" i="10"/>
  <c r="AY45" i="10"/>
  <c r="BB45" i="10" s="1" a="1"/>
  <c r="BB45" i="10" s="1"/>
  <c r="H47" i="28"/>
  <c r="Q60" i="10"/>
  <c r="AY60" i="10"/>
  <c r="BB60" i="10" s="1" a="1"/>
  <c r="BB60" i="10" s="1"/>
  <c r="G14" i="28"/>
  <c r="G16" i="28"/>
  <c r="G18" i="28"/>
  <c r="G20" i="28"/>
  <c r="G22" i="28"/>
  <c r="G24" i="28"/>
  <c r="G26" i="28"/>
  <c r="G28" i="28"/>
  <c r="G30" i="28"/>
  <c r="G32" i="28"/>
  <c r="G55" i="28"/>
  <c r="G57" i="28"/>
  <c r="G59" i="28"/>
  <c r="H61" i="17"/>
  <c r="U3" i="16"/>
  <c r="AE2079" i="24" s="1"/>
  <c r="I33" i="16"/>
  <c r="AG33" i="16"/>
  <c r="I35" i="16"/>
  <c r="AG35" i="16"/>
  <c r="E14" i="18"/>
  <c r="R14" i="18"/>
  <c r="Y2844" i="24" s="1"/>
  <c r="E16" i="18"/>
  <c r="R16" i="18"/>
  <c r="Y2846" i="24" s="1"/>
  <c r="E18" i="18"/>
  <c r="R18" i="18"/>
  <c r="Y2848" i="24" s="1"/>
  <c r="E20" i="18"/>
  <c r="R20" i="18"/>
  <c r="Y2850" i="24" s="1"/>
  <c r="I57" i="18"/>
  <c r="AA57" i="18"/>
  <c r="I59" i="18"/>
  <c r="AA59" i="18"/>
  <c r="Q44" i="10"/>
  <c r="AY44" i="10"/>
  <c r="BB44" i="10" s="1" a="1"/>
  <c r="BB44" i="10" s="1"/>
  <c r="I27" i="17"/>
  <c r="AB27" i="17"/>
  <c r="AB51" i="17"/>
  <c r="AA2532" i="24" s="1"/>
  <c r="Y2916" i="24"/>
  <c r="AA4" i="18"/>
  <c r="E36" i="18"/>
  <c r="R36" i="18"/>
  <c r="Y2866" i="24" s="1"/>
  <c r="AQ28" i="10"/>
  <c r="W1304" i="24" s="1"/>
  <c r="Q58" i="10"/>
  <c r="AY58" i="10"/>
  <c r="BB58" i="10" s="1" a="1"/>
  <c r="BB58" i="10" s="1"/>
  <c r="E14" i="12"/>
  <c r="R14" i="12"/>
  <c r="W553" i="24" s="1"/>
  <c r="E22" i="12"/>
  <c r="R22" i="12"/>
  <c r="W561" i="24" s="1"/>
  <c r="E18" i="16"/>
  <c r="U18" i="16"/>
  <c r="AE2094" i="24" s="1"/>
  <c r="I16" i="18"/>
  <c r="AA16" i="18"/>
  <c r="I24" i="18"/>
  <c r="AA24" i="18"/>
  <c r="AD13" i="4"/>
  <c r="AE185" i="24" s="1"/>
  <c r="AD14" i="4"/>
  <c r="AE186" i="24" s="1"/>
  <c r="AD15" i="4"/>
  <c r="AE187" i="24" s="1"/>
  <c r="Q18" i="4"/>
  <c r="AD47" i="4"/>
  <c r="AE219" i="24" s="1"/>
  <c r="E48" i="4"/>
  <c r="AD48" i="4"/>
  <c r="AE220" i="24" s="1"/>
  <c r="AD49" i="4"/>
  <c r="AE221" i="24" s="1"/>
  <c r="AD50" i="4"/>
  <c r="AE222" i="24" s="1"/>
  <c r="E51" i="4"/>
  <c r="AD51" i="4"/>
  <c r="AE223" i="24" s="1"/>
  <c r="E52" i="4"/>
  <c r="AD52" i="4"/>
  <c r="AE224" i="24" s="1"/>
  <c r="E59" i="4"/>
  <c r="AD59" i="4"/>
  <c r="AE231" i="24" s="1"/>
  <c r="H5" i="28"/>
  <c r="Q15" i="10"/>
  <c r="AY15" i="10"/>
  <c r="BB15" i="10" s="1" a="1"/>
  <c r="BB15" i="10" s="1"/>
  <c r="H18" i="28"/>
  <c r="Q29" i="10"/>
  <c r="AY29" i="10"/>
  <c r="BB29" i="10" s="1" a="1"/>
  <c r="BB29" i="10" s="1"/>
  <c r="Q42" i="10"/>
  <c r="AY42" i="10"/>
  <c r="BB42" i="10" s="1" a="1"/>
  <c r="BB42" i="10" s="1"/>
  <c r="Q57" i="10"/>
  <c r="AY57" i="10"/>
  <c r="BB57" i="10" s="1" a="1"/>
  <c r="BB57" i="10" s="1"/>
  <c r="E34" i="12"/>
  <c r="R34" i="12"/>
  <c r="W573" i="24" s="1"/>
  <c r="U26" i="16"/>
  <c r="AE2102" i="24" s="1"/>
  <c r="U28" i="16"/>
  <c r="AE2104" i="24" s="1"/>
  <c r="U30" i="16"/>
  <c r="AE2106" i="24" s="1"/>
  <c r="E32" i="16"/>
  <c r="U32" i="16"/>
  <c r="AA28" i="18"/>
  <c r="Y2940" i="24" s="1"/>
  <c r="AA30" i="18"/>
  <c r="Y2942" i="24" s="1"/>
  <c r="I32" i="18"/>
  <c r="AA32" i="18"/>
  <c r="AA34" i="18"/>
  <c r="Y2946" i="24" s="1"/>
  <c r="AA36" i="18"/>
  <c r="Y2948" i="24" s="1"/>
  <c r="E40" i="18"/>
  <c r="R40" i="18"/>
  <c r="Y2870" i="24" s="1"/>
  <c r="I13" i="17"/>
  <c r="AB13" i="17"/>
  <c r="AB33" i="17"/>
  <c r="AA2514" i="24" s="1"/>
  <c r="I45" i="16"/>
  <c r="AG45" i="16"/>
  <c r="I12" i="18"/>
  <c r="AA12" i="18"/>
  <c r="Y2924" i="24" s="1"/>
  <c r="I6" i="4"/>
  <c r="AO6" i="4"/>
  <c r="AE259" i="24" s="1"/>
  <c r="AD11" i="4"/>
  <c r="AE183" i="24" s="1"/>
  <c r="E20" i="12"/>
  <c r="R20" i="12"/>
  <c r="W559" i="24" s="1"/>
  <c r="E14" i="16"/>
  <c r="U14" i="16"/>
  <c r="AE2090" i="24" s="1"/>
  <c r="AZ4" i="4"/>
  <c r="AE338" i="24" s="1"/>
  <c r="AZ5" i="4"/>
  <c r="AE339" i="24" s="1"/>
  <c r="AZ6" i="4"/>
  <c r="AE340" i="24" s="1"/>
  <c r="AZ7" i="4"/>
  <c r="AE341" i="24" s="1"/>
  <c r="AZ8" i="4"/>
  <c r="AE342" i="24" s="1"/>
  <c r="AZ9" i="4"/>
  <c r="AE343" i="24" s="1"/>
  <c r="AO10" i="4"/>
  <c r="AE263" i="24" s="1"/>
  <c r="AO11" i="4"/>
  <c r="AE264" i="24" s="1"/>
  <c r="I22" i="4"/>
  <c r="AO22" i="4"/>
  <c r="AE275" i="24" s="1"/>
  <c r="I24" i="4"/>
  <c r="AO24" i="4"/>
  <c r="AE277" i="24" s="1"/>
  <c r="AO25" i="4"/>
  <c r="AP25" i="4" s="1"/>
  <c r="AO26" i="4"/>
  <c r="AE279" i="24" s="1"/>
  <c r="I27" i="4"/>
  <c r="AO27" i="4"/>
  <c r="AE280" i="24" s="1"/>
  <c r="E53" i="4"/>
  <c r="AD53" i="4"/>
  <c r="AE225" i="24" s="1"/>
  <c r="AD54" i="4"/>
  <c r="AE226" i="24" s="1"/>
  <c r="E55" i="4"/>
  <c r="AD55" i="4"/>
  <c r="AE227" i="24" s="1"/>
  <c r="E57" i="4"/>
  <c r="AD57" i="4"/>
  <c r="AF57" i="4" s="1"/>
  <c r="E60" i="4"/>
  <c r="AD60" i="4"/>
  <c r="AE232" i="24" s="1"/>
  <c r="Q14" i="10"/>
  <c r="AY14" i="10"/>
  <c r="BB14" i="10" s="1" a="1"/>
  <c r="BB14" i="10" s="1"/>
  <c r="H16" i="28"/>
  <c r="Q27" i="10"/>
  <c r="AY27" i="10"/>
  <c r="BB27" i="10" s="1" a="1"/>
  <c r="BB27" i="10" s="1"/>
  <c r="Q28" i="10"/>
  <c r="AY28" i="10"/>
  <c r="BB28" i="10" s="1" a="1"/>
  <c r="BB28" i="10" s="1"/>
  <c r="Q41" i="10"/>
  <c r="AY41" i="10"/>
  <c r="BB41" i="10" s="1" a="1"/>
  <c r="BB41" i="10" s="1"/>
  <c r="H43" i="28"/>
  <c r="Q55" i="10"/>
  <c r="AY55" i="10"/>
  <c r="BB55" i="10" s="1" a="1"/>
  <c r="BB55" i="10" s="1"/>
  <c r="H58" i="28"/>
  <c r="E40" i="12"/>
  <c r="R40" i="12"/>
  <c r="W579" i="24" s="1"/>
  <c r="E46" i="12"/>
  <c r="R46" i="12"/>
  <c r="W585" i="24" s="1"/>
  <c r="E50" i="12"/>
  <c r="R50" i="12"/>
  <c r="W589" i="24" s="1"/>
  <c r="I8" i="16"/>
  <c r="AG8" i="16"/>
  <c r="I10" i="16"/>
  <c r="AG10" i="16"/>
  <c r="I12" i="16"/>
  <c r="AG12" i="16"/>
  <c r="U34" i="16"/>
  <c r="AE2110" i="24" s="1"/>
  <c r="E36" i="16"/>
  <c r="U36" i="16"/>
  <c r="AE2112" i="24" s="1"/>
  <c r="E58" i="18"/>
  <c r="R58" i="18"/>
  <c r="Y2888" i="24" s="1"/>
  <c r="E10" i="12"/>
  <c r="R10" i="12"/>
  <c r="W549" i="24" s="1"/>
  <c r="AO7" i="4"/>
  <c r="AE260" i="24" s="1"/>
  <c r="E20" i="16"/>
  <c r="U20" i="16"/>
  <c r="AE2096" i="24" s="1"/>
  <c r="AA18" i="18"/>
  <c r="Y2930" i="24" s="1"/>
  <c r="BA60" i="10" a="1"/>
  <c r="BA60" i="10" s="1"/>
  <c r="AO13" i="4"/>
  <c r="AE266" i="24" s="1"/>
  <c r="AO14" i="4"/>
  <c r="AE267" i="24" s="1"/>
  <c r="I15" i="4"/>
  <c r="AO15" i="4"/>
  <c r="AE268" i="24" s="1"/>
  <c r="AO16" i="4"/>
  <c r="AE269" i="24" s="1"/>
  <c r="AO17" i="4"/>
  <c r="AE270" i="24" s="1"/>
  <c r="AO28" i="4"/>
  <c r="AE281" i="24" s="1"/>
  <c r="I29" i="4"/>
  <c r="AO29" i="4"/>
  <c r="AE282" i="24" s="1"/>
  <c r="AO30" i="4"/>
  <c r="AS30" i="4" s="1" a="1"/>
  <c r="AS30" i="4" s="1"/>
  <c r="I31" i="4"/>
  <c r="AO31" i="4"/>
  <c r="AE284" i="24" s="1"/>
  <c r="AO32" i="4"/>
  <c r="AE285" i="24" s="1"/>
  <c r="I33" i="4"/>
  <c r="AO33" i="4"/>
  <c r="AE286" i="24" s="1"/>
  <c r="AO36" i="4"/>
  <c r="AE289" i="24" s="1"/>
  <c r="AO37" i="4"/>
  <c r="AE290" i="24" s="1"/>
  <c r="I39" i="4"/>
  <c r="AO39" i="4"/>
  <c r="AR39" i="4" s="1" a="1"/>
  <c r="AR39" i="4" s="1"/>
  <c r="AO40" i="4"/>
  <c r="AE293" i="24" s="1"/>
  <c r="AO41" i="4"/>
  <c r="AE294" i="24" s="1"/>
  <c r="AO42" i="4"/>
  <c r="AE295" i="24" s="1"/>
  <c r="AO43" i="4"/>
  <c r="AE296" i="24" s="1"/>
  <c r="AO44" i="4"/>
  <c r="AE297" i="24" s="1"/>
  <c r="AO45" i="4"/>
  <c r="AE298" i="24" s="1"/>
  <c r="AO46" i="4"/>
  <c r="AE299" i="24" s="1"/>
  <c r="AO47" i="4"/>
  <c r="AR47" i="4" s="1" a="1"/>
  <c r="AR47" i="4" s="1"/>
  <c r="AO48" i="4"/>
  <c r="AE301" i="24" s="1"/>
  <c r="AO49" i="4"/>
  <c r="AE302" i="24" s="1"/>
  <c r="AO50" i="4"/>
  <c r="AE303" i="24" s="1"/>
  <c r="AO51" i="4"/>
  <c r="AE304" i="24" s="1"/>
  <c r="AO58" i="4"/>
  <c r="AE311" i="24" s="1"/>
  <c r="AO59" i="4"/>
  <c r="AE312" i="24" s="1"/>
  <c r="Q13" i="10"/>
  <c r="AY13" i="10"/>
  <c r="BB13" i="10" s="1" a="1"/>
  <c r="BB13" i="10" s="1"/>
  <c r="Q26" i="10"/>
  <c r="AY26" i="10"/>
  <c r="BB26" i="10" s="1" a="1"/>
  <c r="BB26" i="10" s="1"/>
  <c r="Q40" i="10"/>
  <c r="AY40" i="10"/>
  <c r="BB40" i="10" s="1" a="1"/>
  <c r="BB40" i="10" s="1"/>
  <c r="H42" i="28"/>
  <c r="Q54" i="10"/>
  <c r="AY54" i="10"/>
  <c r="BB54" i="10" s="1" a="1"/>
  <c r="BB54" i="10" s="1"/>
  <c r="H56" i="28"/>
  <c r="H57" i="28"/>
  <c r="G4" i="28"/>
  <c r="G7" i="28"/>
  <c r="G9" i="28"/>
  <c r="G11" i="28"/>
  <c r="G13" i="28"/>
  <c r="G54" i="28"/>
  <c r="E8" i="17"/>
  <c r="S8" i="17"/>
  <c r="AA2407" i="24" s="1"/>
  <c r="E14" i="17"/>
  <c r="S14" i="17"/>
  <c r="E20" i="17"/>
  <c r="S20" i="17"/>
  <c r="E26" i="17"/>
  <c r="S26" i="17"/>
  <c r="E32" i="17"/>
  <c r="S32" i="17"/>
  <c r="E38" i="17"/>
  <c r="S38" i="17"/>
  <c r="E44" i="17"/>
  <c r="S44" i="17"/>
  <c r="AA2443" i="24" s="1"/>
  <c r="E50" i="17"/>
  <c r="S50" i="17"/>
  <c r="E56" i="17"/>
  <c r="S56" i="17"/>
  <c r="I28" i="16"/>
  <c r="AG28" i="16"/>
  <c r="I30" i="16"/>
  <c r="AG30" i="16"/>
  <c r="E38" i="16"/>
  <c r="U38" i="16"/>
  <c r="AE2114" i="24" s="1"/>
  <c r="E40" i="16"/>
  <c r="U40" i="16"/>
  <c r="AE2116" i="24" s="1"/>
  <c r="E42" i="16"/>
  <c r="U42" i="16"/>
  <c r="AE2118" i="24" s="1"/>
  <c r="E44" i="16"/>
  <c r="U44" i="16"/>
  <c r="AE2120" i="24" s="1"/>
  <c r="E48" i="16"/>
  <c r="U48" i="16"/>
  <c r="AE2124" i="24" s="1"/>
  <c r="E50" i="16"/>
  <c r="U50" i="16"/>
  <c r="AE2126" i="24" s="1"/>
  <c r="U52" i="16"/>
  <c r="AE2128" i="24" s="1"/>
  <c r="U54" i="16"/>
  <c r="AE2130" i="24" s="1"/>
  <c r="U56" i="16"/>
  <c r="AE2132" i="24" s="1"/>
  <c r="U58" i="16"/>
  <c r="AE2134" i="24" s="1"/>
  <c r="E60" i="16"/>
  <c r="U60" i="16"/>
  <c r="AE2136" i="24" s="1"/>
  <c r="AA38" i="18"/>
  <c r="Y2950" i="24" s="1"/>
  <c r="AA40" i="18"/>
  <c r="Y2952" i="24" s="1"/>
  <c r="AA42" i="18"/>
  <c r="Y2954" i="24" s="1"/>
  <c r="I44" i="18"/>
  <c r="AA44" i="18"/>
  <c r="AA46" i="18"/>
  <c r="Y2958" i="24" s="1"/>
  <c r="I48" i="18"/>
  <c r="AA48" i="18"/>
  <c r="AA50" i="18"/>
  <c r="Y2962" i="24" s="1"/>
  <c r="I52" i="18"/>
  <c r="AA52" i="18"/>
  <c r="AA54" i="18"/>
  <c r="Y2966" i="24" s="1"/>
  <c r="Q5" i="10"/>
  <c r="AY5" i="10"/>
  <c r="BB5" i="10" s="1" a="1"/>
  <c r="BB5" i="10" s="1"/>
  <c r="I7" i="17"/>
  <c r="AB7" i="17"/>
  <c r="I45" i="17"/>
  <c r="AB45" i="17"/>
  <c r="AA2526" i="24" s="1"/>
  <c r="I59" i="17"/>
  <c r="AB59" i="17"/>
  <c r="I47" i="16"/>
  <c r="AG47" i="16"/>
  <c r="AA6" i="18"/>
  <c r="Y2918" i="24" s="1"/>
  <c r="E16" i="12"/>
  <c r="R16" i="12"/>
  <c r="W555" i="24" s="1"/>
  <c r="E28" i="12"/>
  <c r="R28" i="12"/>
  <c r="W567" i="24" s="1"/>
  <c r="U12" i="16"/>
  <c r="AE2088" i="24" s="1"/>
  <c r="U24" i="16"/>
  <c r="AE2100" i="24" s="1"/>
  <c r="BA55" i="10" a="1"/>
  <c r="BA55" i="10" s="1"/>
  <c r="Q4" i="4"/>
  <c r="BK4" i="4"/>
  <c r="Q5" i="4"/>
  <c r="BK5" i="4"/>
  <c r="Q6" i="4"/>
  <c r="BK6" i="4"/>
  <c r="Q7" i="4"/>
  <c r="BK7" i="4"/>
  <c r="Q8" i="4"/>
  <c r="BK8" i="4"/>
  <c r="Q9" i="4"/>
  <c r="BK9" i="4"/>
  <c r="AZ10" i="4"/>
  <c r="AE344" i="24" s="1"/>
  <c r="AZ11" i="4"/>
  <c r="AE345" i="24" s="1"/>
  <c r="AO18" i="4"/>
  <c r="AE271" i="24" s="1"/>
  <c r="AZ23" i="4"/>
  <c r="AE357" i="24" s="1"/>
  <c r="AZ24" i="4"/>
  <c r="AE358" i="24" s="1"/>
  <c r="AZ25" i="4"/>
  <c r="AE359" i="24" s="1"/>
  <c r="AO34" i="4"/>
  <c r="AE287" i="24" s="1"/>
  <c r="AO52" i="4"/>
  <c r="AE305" i="24" s="1"/>
  <c r="AO53" i="4"/>
  <c r="AE306" i="24" s="1"/>
  <c r="AO54" i="4"/>
  <c r="AE307" i="24" s="1"/>
  <c r="AO55" i="4"/>
  <c r="AE308" i="24" s="1"/>
  <c r="AO56" i="4"/>
  <c r="AE309" i="24" s="1"/>
  <c r="AO57" i="4"/>
  <c r="AQ57" i="4" s="1"/>
  <c r="AO60" i="4"/>
  <c r="AE313" i="24" s="1"/>
  <c r="Q12" i="10"/>
  <c r="AY12" i="10"/>
  <c r="BB12" i="10" s="1" a="1"/>
  <c r="BB12" i="10" s="1"/>
  <c r="Q25" i="10"/>
  <c r="AY25" i="10"/>
  <c r="BB25" i="10" s="1" a="1"/>
  <c r="BB25" i="10" s="1"/>
  <c r="Q39" i="10"/>
  <c r="AY39" i="10"/>
  <c r="BB39" i="10" s="1" a="1"/>
  <c r="BB39" i="10" s="1"/>
  <c r="Q53" i="10"/>
  <c r="AY53" i="10"/>
  <c r="BB53" i="10" s="1" a="1"/>
  <c r="BB53" i="10" s="1"/>
  <c r="E52" i="12"/>
  <c r="R52" i="12"/>
  <c r="W591" i="24" s="1"/>
  <c r="E60" i="17"/>
  <c r="S60" i="17"/>
  <c r="I32" i="16"/>
  <c r="AG32" i="16"/>
  <c r="AJ32" i="16" s="1" a="1"/>
  <c r="AJ32" i="16" s="1"/>
  <c r="I34" i="16"/>
  <c r="AG34" i="16"/>
  <c r="E21" i="18"/>
  <c r="R21" i="18"/>
  <c r="Y2851" i="24" s="1"/>
  <c r="Q18" i="10"/>
  <c r="AY18" i="10"/>
  <c r="BB18" i="10" s="1" a="1"/>
  <c r="BB18" i="10" s="1"/>
  <c r="Q31" i="10"/>
  <c r="AY31" i="10"/>
  <c r="BB31" i="10" s="1" a="1"/>
  <c r="BB31" i="10" s="1"/>
  <c r="W1399" i="24"/>
  <c r="I9" i="17"/>
  <c r="AB9" i="17"/>
  <c r="AB21" i="17"/>
  <c r="AA2502" i="24" s="1"/>
  <c r="I37" i="17"/>
  <c r="AB37" i="17"/>
  <c r="I55" i="17"/>
  <c r="AB55" i="17"/>
  <c r="Z51" i="12"/>
  <c r="W670" i="24" s="1"/>
  <c r="E57" i="12"/>
  <c r="R57" i="12"/>
  <c r="W596" i="24" s="1"/>
  <c r="U10" i="16"/>
  <c r="AE2086" i="24" s="1"/>
  <c r="AA22" i="18"/>
  <c r="Y2934" i="24" s="1"/>
  <c r="AZ15" i="4"/>
  <c r="AE349" i="24" s="1"/>
  <c r="AZ16" i="4"/>
  <c r="AE350" i="24" s="1"/>
  <c r="AO19" i="4"/>
  <c r="AE272" i="24" s="1"/>
  <c r="I20" i="4"/>
  <c r="AO20" i="4"/>
  <c r="AE273" i="24" s="1"/>
  <c r="AZ27" i="4"/>
  <c r="AE361" i="24" s="1"/>
  <c r="AZ28" i="4"/>
  <c r="AE362" i="24" s="1"/>
  <c r="M42" i="4"/>
  <c r="AZ42" i="4"/>
  <c r="AE376" i="24" s="1"/>
  <c r="M43" i="4"/>
  <c r="AZ43" i="4"/>
  <c r="AE377" i="24" s="1"/>
  <c r="M44" i="4"/>
  <c r="AZ44" i="4"/>
  <c r="AE378" i="24" s="1"/>
  <c r="M45" i="4"/>
  <c r="AZ45" i="4"/>
  <c r="M46" i="4"/>
  <c r="AZ46" i="4"/>
  <c r="AE380" i="24" s="1"/>
  <c r="M47" i="4"/>
  <c r="AZ47" i="4"/>
  <c r="M48" i="4"/>
  <c r="AZ48" i="4"/>
  <c r="AE382" i="24" s="1"/>
  <c r="M49" i="4"/>
  <c r="AZ49" i="4"/>
  <c r="M50" i="4"/>
  <c r="AZ50" i="4"/>
  <c r="AE384" i="24" s="1"/>
  <c r="M51" i="4"/>
  <c r="AZ51" i="4"/>
  <c r="AE385" i="24" s="1"/>
  <c r="M58" i="4"/>
  <c r="AZ58" i="4"/>
  <c r="AE392" i="24" s="1"/>
  <c r="M59" i="4"/>
  <c r="AZ59" i="4"/>
  <c r="Q11" i="10"/>
  <c r="AY11" i="10"/>
  <c r="BB11" i="10" s="1" a="1"/>
  <c r="BB11" i="10" s="1"/>
  <c r="Q24" i="10"/>
  <c r="AY24" i="10"/>
  <c r="BB24" i="10" s="1" a="1"/>
  <c r="BB24" i="10" s="1"/>
  <c r="Q37" i="10"/>
  <c r="AY37" i="10"/>
  <c r="BB37" i="10" s="1" a="1"/>
  <c r="BB37" i="10" s="1"/>
  <c r="Q38" i="10"/>
  <c r="AY38" i="10"/>
  <c r="BB38" i="10" s="1" a="1"/>
  <c r="BB38" i="10" s="1"/>
  <c r="Q51" i="10"/>
  <c r="AY51" i="10"/>
  <c r="BB51" i="10" s="1" a="1"/>
  <c r="BB51" i="10" s="1"/>
  <c r="Q52" i="10"/>
  <c r="AY52" i="10"/>
  <c r="BB52" i="10" s="1" a="1"/>
  <c r="BB52" i="10" s="1"/>
  <c r="E11" i="12"/>
  <c r="R11" i="12"/>
  <c r="W550" i="24" s="1"/>
  <c r="I13" i="12"/>
  <c r="G33" i="28"/>
  <c r="G35" i="28"/>
  <c r="G37" i="28"/>
  <c r="I54" i="12"/>
  <c r="E60" i="12"/>
  <c r="M60" i="28" s="1"/>
  <c r="I4" i="17"/>
  <c r="AB4" i="17"/>
  <c r="I6" i="17"/>
  <c r="AB6" i="17"/>
  <c r="I10" i="17"/>
  <c r="AB10" i="17"/>
  <c r="I16" i="17"/>
  <c r="AB16" i="17"/>
  <c r="I18" i="17"/>
  <c r="AB18" i="17"/>
  <c r="I22" i="17"/>
  <c r="AB22" i="17"/>
  <c r="AA2503" i="24" s="1"/>
  <c r="I24" i="17"/>
  <c r="AB24" i="17"/>
  <c r="I28" i="17"/>
  <c r="AB28" i="17"/>
  <c r="I30" i="17"/>
  <c r="AB30" i="17"/>
  <c r="I34" i="17"/>
  <c r="AB34" i="17"/>
  <c r="I36" i="17"/>
  <c r="AB36" i="17"/>
  <c r="I40" i="17"/>
  <c r="AB40" i="17"/>
  <c r="I42" i="17"/>
  <c r="AB42" i="17"/>
  <c r="AA2523" i="24" s="1"/>
  <c r="I46" i="17"/>
  <c r="AB46" i="17"/>
  <c r="I48" i="17"/>
  <c r="AB48" i="17"/>
  <c r="AA2529" i="24" s="1"/>
  <c r="I52" i="17"/>
  <c r="AB52" i="17"/>
  <c r="AD52" i="17" s="1" a="1"/>
  <c r="AD52" i="17" s="1"/>
  <c r="I54" i="17"/>
  <c r="AB54" i="17"/>
  <c r="I58" i="17"/>
  <c r="AB58" i="17"/>
  <c r="I46" i="16"/>
  <c r="AG46" i="16"/>
  <c r="I50" i="16"/>
  <c r="AG50" i="16"/>
  <c r="I56" i="16"/>
  <c r="AG56" i="16"/>
  <c r="AE2214" i="24" s="1"/>
  <c r="I58" i="16"/>
  <c r="AG58" i="16"/>
  <c r="I60" i="16"/>
  <c r="AG60" i="16"/>
  <c r="I5" i="18"/>
  <c r="AA5" i="18"/>
  <c r="I7" i="18"/>
  <c r="AA7" i="18"/>
  <c r="Y2919" i="24" s="1"/>
  <c r="I9" i="18"/>
  <c r="AA9" i="18"/>
  <c r="I11" i="18"/>
  <c r="AA11" i="18"/>
  <c r="I13" i="18"/>
  <c r="AA13" i="18"/>
  <c r="Y2925" i="24" s="1"/>
  <c r="E29" i="18"/>
  <c r="R29" i="18"/>
  <c r="Y2859" i="24" s="1"/>
  <c r="AA60" i="18"/>
  <c r="Y2972" i="24" s="1"/>
  <c r="AB15" i="17"/>
  <c r="AA2496" i="24" s="1"/>
  <c r="I49" i="16"/>
  <c r="AG49" i="16"/>
  <c r="Y2920" i="24"/>
  <c r="AA8" i="18"/>
  <c r="Q16" i="10"/>
  <c r="AY16" i="10"/>
  <c r="BB16" i="10" s="1" a="1"/>
  <c r="BB16" i="10" s="1"/>
  <c r="Q43" i="10"/>
  <c r="AY43" i="10"/>
  <c r="BB43" i="10" s="1" a="1"/>
  <c r="BB43" i="10" s="1"/>
  <c r="E6" i="16"/>
  <c r="U6" i="16"/>
  <c r="AE2082" i="24" s="1"/>
  <c r="BA45" i="10" a="1"/>
  <c r="BA45" i="10" s="1"/>
  <c r="E4" i="28"/>
  <c r="E5" i="28"/>
  <c r="E6" i="28"/>
  <c r="E7" i="28"/>
  <c r="E8" i="28"/>
  <c r="E9" i="28"/>
  <c r="E10" i="28"/>
  <c r="Q10" i="4"/>
  <c r="BK10" i="4"/>
  <c r="Q11" i="4"/>
  <c r="BK11" i="4"/>
  <c r="AZ21" i="4"/>
  <c r="AE355" i="24" s="1"/>
  <c r="Q22" i="4"/>
  <c r="BK22" i="4"/>
  <c r="Q23" i="4"/>
  <c r="BK23" i="4"/>
  <c r="Q26" i="4"/>
  <c r="BK26" i="4"/>
  <c r="M52" i="4"/>
  <c r="AZ52" i="4"/>
  <c r="BC52" i="4" s="1" a="1"/>
  <c r="BC52" i="4" s="1"/>
  <c r="M53" i="4"/>
  <c r="AZ53" i="4"/>
  <c r="AE387" i="24" s="1"/>
  <c r="M54" i="4"/>
  <c r="AZ54" i="4"/>
  <c r="AE388" i="24" s="1"/>
  <c r="M55" i="4"/>
  <c r="AZ55" i="4"/>
  <c r="AE389" i="24" s="1"/>
  <c r="M60" i="4"/>
  <c r="AZ60" i="4"/>
  <c r="Q10" i="10"/>
  <c r="AY10" i="10"/>
  <c r="BB10" i="10" s="1" a="1"/>
  <c r="BB10" i="10" s="1"/>
  <c r="Q23" i="10"/>
  <c r="AY23" i="10"/>
  <c r="BB23" i="10" s="1" a="1"/>
  <c r="BB23" i="10" s="1"/>
  <c r="Q36" i="10"/>
  <c r="AY36" i="10"/>
  <c r="BB36" i="10" s="1" a="1"/>
  <c r="BB36" i="10" s="1"/>
  <c r="Q49" i="10"/>
  <c r="AY49" i="10"/>
  <c r="BB49" i="10" s="1" a="1"/>
  <c r="BB49" i="10" s="1"/>
  <c r="G5" i="28"/>
  <c r="E27" i="12"/>
  <c r="R27" i="12"/>
  <c r="W566" i="24" s="1"/>
  <c r="G39" i="28"/>
  <c r="G41" i="28"/>
  <c r="G43" i="28"/>
  <c r="G45" i="28"/>
  <c r="G47" i="28"/>
  <c r="G49" i="28"/>
  <c r="G51" i="28"/>
  <c r="E58" i="12"/>
  <c r="R58" i="12"/>
  <c r="W597" i="24" s="1"/>
  <c r="AB60" i="17"/>
  <c r="AA2541" i="24" s="1"/>
  <c r="U5" i="16"/>
  <c r="AE2081" i="24" s="1"/>
  <c r="E7" i="16"/>
  <c r="U7" i="16"/>
  <c r="AE2083" i="24" s="1"/>
  <c r="E9" i="16"/>
  <c r="U9" i="16"/>
  <c r="AE2085" i="24" s="1"/>
  <c r="E11" i="16"/>
  <c r="U11" i="16"/>
  <c r="AE2087" i="24" s="1"/>
  <c r="U13" i="16"/>
  <c r="AE2089" i="24" s="1"/>
  <c r="E15" i="16"/>
  <c r="U15" i="16"/>
  <c r="AE2091" i="24" s="1"/>
  <c r="E17" i="16"/>
  <c r="U17" i="16"/>
  <c r="AE2093" i="24" s="1"/>
  <c r="U19" i="16"/>
  <c r="AE2095" i="24" s="1"/>
  <c r="U21" i="16"/>
  <c r="AE2097" i="24" s="1"/>
  <c r="I15" i="18"/>
  <c r="AA15" i="18"/>
  <c r="AA17" i="18"/>
  <c r="Y2929" i="24" s="1"/>
  <c r="I19" i="18"/>
  <c r="AA19" i="18"/>
  <c r="I21" i="18"/>
  <c r="AA21" i="18"/>
  <c r="I23" i="18"/>
  <c r="AA23" i="18"/>
  <c r="AA25" i="18"/>
  <c r="Y2937" i="24" s="1"/>
  <c r="I27" i="18"/>
  <c r="AA27" i="18"/>
  <c r="BA32" i="10" a="1"/>
  <c r="BA32" i="10" s="1"/>
  <c r="I31" i="17"/>
  <c r="AB31" i="17"/>
  <c r="I49" i="17"/>
  <c r="AB49" i="17"/>
  <c r="I43" i="16"/>
  <c r="AG43" i="16"/>
  <c r="I59" i="16"/>
  <c r="AG59" i="16"/>
  <c r="BA51" i="10" a="1"/>
  <c r="BA51" i="10" s="1"/>
  <c r="AO9" i="4"/>
  <c r="AE262" i="24" s="1"/>
  <c r="U8" i="16"/>
  <c r="AE2084" i="24" s="1"/>
  <c r="E16" i="16"/>
  <c r="U16" i="16"/>
  <c r="AE2092" i="24" s="1"/>
  <c r="E22" i="16"/>
  <c r="U22" i="16"/>
  <c r="AE2098" i="24" s="1"/>
  <c r="Y2926" i="24"/>
  <c r="AA14" i="18"/>
  <c r="AA20" i="18"/>
  <c r="Y2932" i="24" s="1"/>
  <c r="AA26" i="18"/>
  <c r="J26" i="18" s="1"/>
  <c r="BA4" i="10" a="1"/>
  <c r="BA4" i="10" s="1"/>
  <c r="BA28" i="10" a="1"/>
  <c r="BA28" i="10" s="1"/>
  <c r="Q12" i="4"/>
  <c r="BK12" i="4"/>
  <c r="Q13" i="4"/>
  <c r="BK13" i="4"/>
  <c r="Q16" i="4"/>
  <c r="BK16" i="4"/>
  <c r="Q17" i="4"/>
  <c r="BK17" i="4"/>
  <c r="Q28" i="4"/>
  <c r="BK28" i="4"/>
  <c r="Q29" i="4"/>
  <c r="BK29" i="4"/>
  <c r="Q30" i="4"/>
  <c r="BK30" i="4"/>
  <c r="Q31" i="4"/>
  <c r="BK31" i="4"/>
  <c r="Q32" i="4"/>
  <c r="BK32" i="4"/>
  <c r="Q36" i="4"/>
  <c r="BK36" i="4"/>
  <c r="Q38" i="4"/>
  <c r="BK38" i="4"/>
  <c r="Q40" i="4"/>
  <c r="BK40" i="4"/>
  <c r="BN40" i="4" s="1" a="1"/>
  <c r="BN40" i="4" s="1"/>
  <c r="Q41" i="4"/>
  <c r="BK41" i="4"/>
  <c r="Q9" i="10"/>
  <c r="AY9" i="10"/>
  <c r="BB9" i="10" s="1" a="1"/>
  <c r="BB9" i="10" s="1"/>
  <c r="Q22" i="10"/>
  <c r="AY22" i="10"/>
  <c r="BB22" i="10" s="1" a="1"/>
  <c r="BB22" i="10" s="1"/>
  <c r="Q35" i="10"/>
  <c r="AY35" i="10"/>
  <c r="BB35" i="10" s="1" a="1"/>
  <c r="BB35" i="10" s="1"/>
  <c r="Q48" i="10"/>
  <c r="AY48" i="10"/>
  <c r="BB48" i="10" s="1" a="1"/>
  <c r="BB48" i="10" s="1"/>
  <c r="E33" i="12"/>
  <c r="M33" i="28" s="1"/>
  <c r="R33" i="12"/>
  <c r="W572" i="24" s="1"/>
  <c r="E25" i="16"/>
  <c r="U25" i="16"/>
  <c r="AE2101" i="24" s="1"/>
  <c r="E27" i="16"/>
  <c r="U27" i="16"/>
  <c r="AE2103" i="24" s="1"/>
  <c r="E29" i="16"/>
  <c r="U29" i="16"/>
  <c r="AE2105" i="24" s="1"/>
  <c r="E31" i="16"/>
  <c r="U31" i="16"/>
  <c r="AE2107" i="24" s="1"/>
  <c r="AA29" i="18"/>
  <c r="Y2941" i="24" s="1"/>
  <c r="I31" i="18"/>
  <c r="AA31" i="18"/>
  <c r="I33" i="18"/>
  <c r="AA33" i="18"/>
  <c r="I35" i="18"/>
  <c r="AA35" i="18"/>
  <c r="I19" i="17"/>
  <c r="AB19" i="17"/>
  <c r="I39" i="17"/>
  <c r="AB39" i="17"/>
  <c r="I57" i="17"/>
  <c r="AB57" i="17"/>
  <c r="AA10" i="18"/>
  <c r="Y2922" i="24" s="1"/>
  <c r="I8" i="4"/>
  <c r="AO8" i="4"/>
  <c r="AE261" i="24" s="1"/>
  <c r="Q17" i="10"/>
  <c r="AY17" i="10"/>
  <c r="BB17" i="10" s="1" a="1"/>
  <c r="BB17" i="10" s="1"/>
  <c r="Q30" i="10"/>
  <c r="AY30" i="10"/>
  <c r="BB30" i="10" s="1" a="1"/>
  <c r="BB30" i="10" s="1"/>
  <c r="E11" i="28"/>
  <c r="E12" i="28"/>
  <c r="AZ20" i="4"/>
  <c r="AE354" i="24" s="1"/>
  <c r="E22" i="28"/>
  <c r="E23" i="28"/>
  <c r="E24" i="28"/>
  <c r="E25" i="28"/>
  <c r="E26" i="28"/>
  <c r="E27" i="28"/>
  <c r="Q33" i="4"/>
  <c r="BK33" i="4"/>
  <c r="BN33" i="4" s="1" a="1"/>
  <c r="BN33" i="4" s="1"/>
  <c r="Q34" i="4"/>
  <c r="BK34" i="4"/>
  <c r="Q8" i="10"/>
  <c r="AY8" i="10"/>
  <c r="BB8" i="10" s="1" a="1"/>
  <c r="BB8" i="10" s="1"/>
  <c r="H10" i="28"/>
  <c r="Q21" i="10"/>
  <c r="AY21" i="10"/>
  <c r="BB21" i="10" s="1" a="1"/>
  <c r="BB21" i="10" s="1"/>
  <c r="H23" i="28"/>
  <c r="Q34" i="10"/>
  <c r="AY34" i="10"/>
  <c r="BB34" i="10" s="1" a="1"/>
  <c r="BB34" i="10" s="1"/>
  <c r="H36" i="28"/>
  <c r="Q47" i="10"/>
  <c r="AY47" i="10"/>
  <c r="BB47" i="10" s="1" a="1"/>
  <c r="BB47" i="10" s="1"/>
  <c r="H49" i="28"/>
  <c r="W1417" i="24"/>
  <c r="E39" i="12"/>
  <c r="M39" i="28" s="1"/>
  <c r="R39" i="12"/>
  <c r="W578" i="24" s="1"/>
  <c r="I5" i="16"/>
  <c r="AG5" i="16"/>
  <c r="I13" i="16"/>
  <c r="AG13" i="16"/>
  <c r="I15" i="16"/>
  <c r="AG15" i="16"/>
  <c r="AE2173" i="24" s="1"/>
  <c r="I19" i="16"/>
  <c r="AG19" i="16"/>
  <c r="AH19" i="16" s="1"/>
  <c r="I21" i="16"/>
  <c r="AG21" i="16"/>
  <c r="E33" i="16"/>
  <c r="U33" i="16"/>
  <c r="AE2109" i="24" s="1"/>
  <c r="E35" i="16"/>
  <c r="U35" i="16"/>
  <c r="AE2111" i="24" s="1"/>
  <c r="U37" i="16"/>
  <c r="AE2113" i="24" s="1"/>
  <c r="Y2949" i="24"/>
  <c r="AA37" i="18"/>
  <c r="BA44" i="10" a="1"/>
  <c r="BA44" i="10" s="1"/>
  <c r="Q59" i="10"/>
  <c r="AY59" i="10"/>
  <c r="BB59" i="10" s="1" a="1"/>
  <c r="BB59" i="10" s="1"/>
  <c r="I51" i="16"/>
  <c r="AG51" i="16"/>
  <c r="E32" i="18"/>
  <c r="R32" i="18"/>
  <c r="Y2862" i="24" s="1"/>
  <c r="AO4" i="4"/>
  <c r="AE257" i="24" s="1"/>
  <c r="BA54" i="10" a="1"/>
  <c r="BA54" i="10" s="1"/>
  <c r="E14" i="28"/>
  <c r="E16" i="28"/>
  <c r="E18" i="28"/>
  <c r="Q19" i="4"/>
  <c r="BK19" i="4"/>
  <c r="E28" i="28"/>
  <c r="E29" i="28"/>
  <c r="E30" i="28"/>
  <c r="E31" i="28"/>
  <c r="E32" i="28"/>
  <c r="E33" i="28"/>
  <c r="E36" i="28"/>
  <c r="E37" i="28"/>
  <c r="E38" i="28"/>
  <c r="E39" i="28"/>
  <c r="E40" i="28"/>
  <c r="E41" i="28"/>
  <c r="E42" i="28"/>
  <c r="E43" i="28"/>
  <c r="E44" i="28"/>
  <c r="E45" i="28"/>
  <c r="E46" i="28"/>
  <c r="E47" i="28"/>
  <c r="E48" i="28"/>
  <c r="E49" i="28"/>
  <c r="E50" i="28"/>
  <c r="E51" i="28"/>
  <c r="E52" i="28"/>
  <c r="E58" i="28"/>
  <c r="E59" i="28"/>
  <c r="E60" i="28"/>
  <c r="Q7" i="10"/>
  <c r="AY7" i="10"/>
  <c r="BB7" i="10" s="1" a="1"/>
  <c r="BB7" i="10" s="1"/>
  <c r="H9" i="28"/>
  <c r="Q20" i="10"/>
  <c r="AY20" i="10"/>
  <c r="BB20" i="10" s="1" a="1"/>
  <c r="BB20" i="10" s="1"/>
  <c r="H22" i="28"/>
  <c r="Q33" i="10"/>
  <c r="AY33" i="10"/>
  <c r="BB33" i="10" s="1" a="1"/>
  <c r="BB33" i="10" s="1"/>
  <c r="H35" i="28"/>
  <c r="M38" i="10"/>
  <c r="W1401" i="24"/>
  <c r="Q46" i="10"/>
  <c r="AY46" i="10"/>
  <c r="BB46" i="10" s="1" a="1"/>
  <c r="BB46" i="10" s="1"/>
  <c r="H48" i="28"/>
  <c r="M52" i="10"/>
  <c r="G6" i="28"/>
  <c r="G8" i="28"/>
  <c r="G10" i="28"/>
  <c r="G12" i="28"/>
  <c r="E53" i="12"/>
  <c r="M53" i="28" s="1"/>
  <c r="E11" i="17"/>
  <c r="S11" i="17"/>
  <c r="E17" i="17"/>
  <c r="S17" i="17"/>
  <c r="E23" i="17"/>
  <c r="S23" i="17"/>
  <c r="E29" i="17"/>
  <c r="S29" i="17"/>
  <c r="E35" i="17"/>
  <c r="S35" i="17"/>
  <c r="E41" i="17"/>
  <c r="S41" i="17"/>
  <c r="AA2440" i="24" s="1"/>
  <c r="E47" i="17"/>
  <c r="S47" i="17"/>
  <c r="E53" i="17"/>
  <c r="S53" i="17"/>
  <c r="E59" i="17"/>
  <c r="S59" i="17"/>
  <c r="I29" i="16"/>
  <c r="AG29" i="16"/>
  <c r="U39" i="16"/>
  <c r="AE2115" i="24" s="1"/>
  <c r="U41" i="16"/>
  <c r="AE2117" i="24" s="1"/>
  <c r="U43" i="16"/>
  <c r="AE2119" i="24" s="1"/>
  <c r="U45" i="16"/>
  <c r="AE2121" i="24" s="1"/>
  <c r="E47" i="16"/>
  <c r="U47" i="16"/>
  <c r="AE2123" i="24" s="1"/>
  <c r="U49" i="16"/>
  <c r="AE2125" i="24" s="1"/>
  <c r="U51" i="16"/>
  <c r="AE2127" i="24" s="1"/>
  <c r="E53" i="16"/>
  <c r="U53" i="16"/>
  <c r="AE2129" i="24" s="1"/>
  <c r="E55" i="16"/>
  <c r="U55" i="16"/>
  <c r="AE2131" i="24" s="1"/>
  <c r="E57" i="16"/>
  <c r="U57" i="16"/>
  <c r="AE2133" i="24" s="1"/>
  <c r="E59" i="16"/>
  <c r="U59" i="16"/>
  <c r="AE2135" i="24" s="1"/>
  <c r="R4" i="18"/>
  <c r="Y2834" i="24" s="1"/>
  <c r="E6" i="18"/>
  <c r="R6" i="18"/>
  <c r="Y2836" i="24" s="1"/>
  <c r="R8" i="18"/>
  <c r="Y2838" i="24" s="1"/>
  <c r="E10" i="18"/>
  <c r="R10" i="18"/>
  <c r="Y2840" i="24" s="1"/>
  <c r="E12" i="18"/>
  <c r="R12" i="18"/>
  <c r="Y2842" i="24" s="1"/>
  <c r="I39" i="18"/>
  <c r="AA39" i="18"/>
  <c r="AA41" i="18"/>
  <c r="Y2953" i="24" s="1"/>
  <c r="I43" i="18"/>
  <c r="AA43" i="18"/>
  <c r="I45" i="18"/>
  <c r="AA45" i="18"/>
  <c r="I47" i="18"/>
  <c r="AA47" i="18"/>
  <c r="I49" i="18"/>
  <c r="AA49" i="18"/>
  <c r="I51" i="18"/>
  <c r="AA51" i="18"/>
  <c r="AA53" i="18"/>
  <c r="Y2965" i="24" s="1"/>
  <c r="I55" i="18"/>
  <c r="AA55" i="18"/>
  <c r="Y2967" i="24" s="1"/>
  <c r="F58" i="28"/>
  <c r="F59" i="28"/>
  <c r="F60" i="28"/>
  <c r="F5" i="28"/>
  <c r="F8" i="28"/>
  <c r="F11" i="28"/>
  <c r="F14" i="28"/>
  <c r="F17" i="28"/>
  <c r="F20" i="28"/>
  <c r="F29" i="28"/>
  <c r="F32" i="28"/>
  <c r="F6" i="28"/>
  <c r="F9" i="28"/>
  <c r="F12" i="28"/>
  <c r="F15" i="28"/>
  <c r="F18" i="28"/>
  <c r="F36" i="28"/>
  <c r="F39" i="28"/>
  <c r="AH37" i="16"/>
  <c r="AE2195" i="24"/>
  <c r="AH41" i="16"/>
  <c r="AE2199" i="24"/>
  <c r="AH53" i="16"/>
  <c r="AE2211" i="24"/>
  <c r="AH55" i="16"/>
  <c r="AE2213" i="24"/>
  <c r="AH57" i="16"/>
  <c r="AE2215" i="24"/>
  <c r="AH6" i="16"/>
  <c r="AE2164" i="24"/>
  <c r="AH14" i="16"/>
  <c r="AE2172" i="24"/>
  <c r="AH16" i="16"/>
  <c r="AE2174" i="24"/>
  <c r="AH18" i="16"/>
  <c r="AE2176" i="24"/>
  <c r="AH4" i="16"/>
  <c r="AE2162" i="24"/>
  <c r="AH20" i="16"/>
  <c r="AE2178" i="24"/>
  <c r="AH24" i="16"/>
  <c r="AE2182" i="24"/>
  <c r="AH36" i="16"/>
  <c r="AE2194" i="24"/>
  <c r="AH38" i="16"/>
  <c r="AE2196" i="24"/>
  <c r="AH40" i="16"/>
  <c r="AE2198" i="24"/>
  <c r="AH42" i="16"/>
  <c r="AE2200" i="24"/>
  <c r="AH44" i="16"/>
  <c r="AE2202" i="24"/>
  <c r="AH48" i="16"/>
  <c r="AE2206" i="24"/>
  <c r="AH52" i="16"/>
  <c r="AE2210" i="24"/>
  <c r="AH54" i="16"/>
  <c r="AE2212" i="24"/>
  <c r="AH9" i="16"/>
  <c r="AE2167" i="24"/>
  <c r="AH11" i="16"/>
  <c r="AE2169" i="24"/>
  <c r="AH23" i="16"/>
  <c r="AE2181" i="24"/>
  <c r="AH25" i="16"/>
  <c r="AE2183" i="24"/>
  <c r="AH27" i="16"/>
  <c r="AE2185" i="24"/>
  <c r="AH31" i="16"/>
  <c r="AE2189" i="24"/>
  <c r="AI5" i="17"/>
  <c r="AA2486" i="24"/>
  <c r="AI11" i="17"/>
  <c r="AA2492" i="24"/>
  <c r="AI17" i="17"/>
  <c r="AA2498" i="24"/>
  <c r="AI23" i="17"/>
  <c r="AA2504" i="24"/>
  <c r="AI29" i="17"/>
  <c r="AA2510" i="24"/>
  <c r="AI35" i="17"/>
  <c r="AA2516" i="24"/>
  <c r="AI41" i="17"/>
  <c r="AA2522" i="24"/>
  <c r="AI47" i="17"/>
  <c r="AA2528" i="24"/>
  <c r="AI53" i="17"/>
  <c r="AA2534" i="24"/>
  <c r="AI8" i="17"/>
  <c r="AA2489" i="24"/>
  <c r="AI14" i="17"/>
  <c r="AA2495" i="24"/>
  <c r="AI20" i="17"/>
  <c r="AA2501" i="24"/>
  <c r="AI26" i="17"/>
  <c r="AA2507" i="24"/>
  <c r="AI32" i="17"/>
  <c r="AA2513" i="24"/>
  <c r="AI38" i="17"/>
  <c r="AA2519" i="24"/>
  <c r="AI44" i="17"/>
  <c r="AA2525" i="24"/>
  <c r="AI50" i="17"/>
  <c r="AA2531" i="24"/>
  <c r="AI56" i="17"/>
  <c r="AA2537" i="24"/>
  <c r="AH4" i="17"/>
  <c r="AA2403" i="24"/>
  <c r="AH6" i="17"/>
  <c r="AA2405" i="24"/>
  <c r="AH10" i="17"/>
  <c r="AA2409" i="24"/>
  <c r="AH12" i="17"/>
  <c r="AA2411" i="24"/>
  <c r="AH16" i="17"/>
  <c r="AA2415" i="24"/>
  <c r="AH18" i="17"/>
  <c r="AA2417" i="24"/>
  <c r="AH22" i="17"/>
  <c r="AA2421" i="24"/>
  <c r="AH24" i="17"/>
  <c r="AA2423" i="24"/>
  <c r="AH28" i="17"/>
  <c r="AA2427" i="24"/>
  <c r="AH30" i="17"/>
  <c r="AA2429" i="24"/>
  <c r="AH34" i="17"/>
  <c r="AA2433" i="24"/>
  <c r="AH36" i="17"/>
  <c r="AA2435" i="24"/>
  <c r="AH40" i="17"/>
  <c r="AA2439" i="24"/>
  <c r="AH42" i="17"/>
  <c r="AA2441" i="24"/>
  <c r="AH46" i="17"/>
  <c r="AA2445" i="24"/>
  <c r="AH48" i="17"/>
  <c r="AA2447" i="24"/>
  <c r="AH52" i="17"/>
  <c r="AA2451" i="24"/>
  <c r="AH54" i="17"/>
  <c r="AA2453" i="24"/>
  <c r="AH58" i="17"/>
  <c r="AA2457" i="24"/>
  <c r="AH7" i="17"/>
  <c r="AA2406" i="24"/>
  <c r="AH9" i="17"/>
  <c r="AA2408" i="24"/>
  <c r="AH13" i="17"/>
  <c r="AA2412" i="24"/>
  <c r="AH15" i="17"/>
  <c r="AA2414" i="24"/>
  <c r="AH19" i="17"/>
  <c r="AA2418" i="24"/>
  <c r="AH21" i="17"/>
  <c r="AA2420" i="24"/>
  <c r="AH25" i="17"/>
  <c r="AA2424" i="24"/>
  <c r="AH27" i="17"/>
  <c r="AA2426" i="24"/>
  <c r="AH31" i="17"/>
  <c r="AA2430" i="24"/>
  <c r="AH33" i="17"/>
  <c r="AA2432" i="24"/>
  <c r="AH37" i="17"/>
  <c r="AA2436" i="24"/>
  <c r="AH39" i="17"/>
  <c r="AA2438" i="24"/>
  <c r="AH43" i="17"/>
  <c r="AA2442" i="24"/>
  <c r="AH45" i="17"/>
  <c r="AA2444" i="24"/>
  <c r="AH49" i="17"/>
  <c r="AA2448" i="24"/>
  <c r="AH51" i="17"/>
  <c r="AA2450" i="24"/>
  <c r="AH55" i="17"/>
  <c r="AA2454" i="24"/>
  <c r="AH57" i="17"/>
  <c r="AA2456" i="24"/>
  <c r="M27" i="28"/>
  <c r="M10" i="28"/>
  <c r="I1580" i="24"/>
  <c r="I23" i="28" a="1"/>
  <c r="I23" i="28" s="1"/>
  <c r="O23" i="28"/>
  <c r="I1583" i="24"/>
  <c r="I26" i="28" a="1"/>
  <c r="I26" i="28" s="1"/>
  <c r="O26" i="28"/>
  <c r="I1586" i="24"/>
  <c r="I29" i="28" a="1"/>
  <c r="I29" i="28" s="1"/>
  <c r="O29" i="28"/>
  <c r="I1589" i="24"/>
  <c r="O32" i="28"/>
  <c r="I32" i="28" a="1"/>
  <c r="I32" i="28" s="1"/>
  <c r="I1592" i="24"/>
  <c r="O35" i="28"/>
  <c r="I35" i="28" a="1"/>
  <c r="I35" i="28" s="1"/>
  <c r="I1595" i="24"/>
  <c r="I38" i="28" a="1"/>
  <c r="I38" i="28" s="1"/>
  <c r="O38" i="28"/>
  <c r="I1598" i="24"/>
  <c r="I41" i="28" a="1"/>
  <c r="I41" i="28" s="1"/>
  <c r="O41" i="28"/>
  <c r="I1601" i="24"/>
  <c r="O44" i="28"/>
  <c r="I44" i="28" a="1"/>
  <c r="I44" i="28" s="1"/>
  <c r="I1604" i="24"/>
  <c r="O47" i="28"/>
  <c r="I47" i="28" a="1"/>
  <c r="I47" i="28" s="1"/>
  <c r="I1607" i="24"/>
  <c r="I50" i="28" a="1"/>
  <c r="I50" i="28" s="1"/>
  <c r="O50" i="28"/>
  <c r="I1610" i="24"/>
  <c r="O53" i="28"/>
  <c r="I53" i="28" a="1"/>
  <c r="I53" i="28" s="1"/>
  <c r="I1613" i="24"/>
  <c r="O56" i="28"/>
  <c r="I56" i="28" a="1"/>
  <c r="I56" i="28" s="1"/>
  <c r="I1616" i="24"/>
  <c r="O59" i="28"/>
  <c r="I59" i="28" a="1"/>
  <c r="I59" i="28" s="1"/>
  <c r="I1561" i="24"/>
  <c r="I4" i="28" a="1"/>
  <c r="I4" i="28" s="1"/>
  <c r="O4" i="28"/>
  <c r="I1564" i="24"/>
  <c r="I7" i="28" a="1"/>
  <c r="I7" i="28" s="1"/>
  <c r="O7" i="28"/>
  <c r="I1567" i="24"/>
  <c r="I10" i="28" a="1"/>
  <c r="I10" i="28" s="1"/>
  <c r="O10" i="28"/>
  <c r="I1570" i="24"/>
  <c r="I13" i="28" a="1"/>
  <c r="I13" i="28" s="1"/>
  <c r="O13" i="28"/>
  <c r="I1573" i="24"/>
  <c r="O16" i="28"/>
  <c r="I16" i="28" a="1"/>
  <c r="I16" i="28" s="1"/>
  <c r="I1576" i="24"/>
  <c r="O19" i="28"/>
  <c r="I19" i="28" a="1"/>
  <c r="I19" i="28" s="1"/>
  <c r="I1581" i="24"/>
  <c r="O24" i="28"/>
  <c r="I24" i="28" a="1"/>
  <c r="I24" i="28" s="1"/>
  <c r="I1584" i="24"/>
  <c r="I27" i="28" a="1"/>
  <c r="I27" i="28" s="1"/>
  <c r="O27" i="28"/>
  <c r="I1587" i="24"/>
  <c r="O30" i="28"/>
  <c r="I30" i="28" a="1"/>
  <c r="I30" i="28" s="1"/>
  <c r="I1590" i="24"/>
  <c r="I33" i="28" a="1"/>
  <c r="I33" i="28" s="1"/>
  <c r="O33" i="28"/>
  <c r="I1593" i="24"/>
  <c r="O36" i="28"/>
  <c r="I36" i="28" a="1"/>
  <c r="I36" i="28" s="1"/>
  <c r="I1596" i="24"/>
  <c r="I39" i="28" a="1"/>
  <c r="I39" i="28" s="1"/>
  <c r="O39" i="28"/>
  <c r="I1599" i="24"/>
  <c r="I42" i="28" a="1"/>
  <c r="I42" i="28" s="1"/>
  <c r="O42" i="28"/>
  <c r="I1602" i="24"/>
  <c r="O45" i="28"/>
  <c r="I45" i="28" a="1"/>
  <c r="I45" i="28" s="1"/>
  <c r="I1605" i="24"/>
  <c r="I48" i="28" a="1"/>
  <c r="I48" i="28" s="1"/>
  <c r="O48" i="28"/>
  <c r="I1608" i="24"/>
  <c r="I51" i="28" a="1"/>
  <c r="I51" i="28" s="1"/>
  <c r="O51" i="28"/>
  <c r="I1611" i="24"/>
  <c r="I54" i="28" a="1"/>
  <c r="I54" i="28" s="1"/>
  <c r="O54" i="28"/>
  <c r="I1614" i="24"/>
  <c r="O57" i="28"/>
  <c r="I57" i="28" a="1"/>
  <c r="I57" i="28" s="1"/>
  <c r="I1617" i="24"/>
  <c r="O60" i="28"/>
  <c r="I60" i="28" a="1"/>
  <c r="I60" i="28" s="1"/>
  <c r="I1562" i="24"/>
  <c r="O5" i="28"/>
  <c r="I5" i="28" a="1"/>
  <c r="I5" i="28" s="1"/>
  <c r="I1565" i="24"/>
  <c r="O8" i="28"/>
  <c r="I8" i="28" a="1"/>
  <c r="I8" i="28" s="1"/>
  <c r="I1568" i="24"/>
  <c r="O11" i="28"/>
  <c r="I11" i="28" a="1"/>
  <c r="I11" i="28" s="1"/>
  <c r="I1571" i="24"/>
  <c r="I14" i="28" a="1"/>
  <c r="I14" i="28" s="1"/>
  <c r="O14" i="28"/>
  <c r="I1574" i="24"/>
  <c r="O17" i="28"/>
  <c r="I17" i="28" a="1"/>
  <c r="I17" i="28" s="1"/>
  <c r="I1578" i="24"/>
  <c r="O21" i="28"/>
  <c r="I21" i="28" a="1"/>
  <c r="I21" i="28" s="1"/>
  <c r="I1582" i="24"/>
  <c r="I25" i="28" a="1"/>
  <c r="I25" i="28" s="1"/>
  <c r="O25" i="28"/>
  <c r="I1585" i="24"/>
  <c r="O28" i="28"/>
  <c r="I28" i="28" a="1"/>
  <c r="I28" i="28" s="1"/>
  <c r="I1588" i="24"/>
  <c r="I31" i="28" a="1"/>
  <c r="I31" i="28" s="1"/>
  <c r="O31" i="28"/>
  <c r="I1591" i="24"/>
  <c r="O34" i="28"/>
  <c r="I34" i="28" a="1"/>
  <c r="I34" i="28" s="1"/>
  <c r="I1594" i="24"/>
  <c r="I37" i="28" a="1"/>
  <c r="I37" i="28" s="1"/>
  <c r="O37" i="28"/>
  <c r="I1597" i="24"/>
  <c r="O40" i="28"/>
  <c r="I40" i="28" a="1"/>
  <c r="I40" i="28" s="1"/>
  <c r="I1600" i="24"/>
  <c r="I43" i="28" a="1"/>
  <c r="I43" i="28" s="1"/>
  <c r="O43" i="28"/>
  <c r="I1603" i="24"/>
  <c r="I46" i="28" a="1"/>
  <c r="I46" i="28" s="1"/>
  <c r="O46" i="28"/>
  <c r="I1606" i="24"/>
  <c r="I49" i="28" a="1"/>
  <c r="I49" i="28" s="1"/>
  <c r="O49" i="28"/>
  <c r="I1609" i="24"/>
  <c r="O52" i="28"/>
  <c r="I52" i="28" a="1"/>
  <c r="I52" i="28" s="1"/>
  <c r="I1612" i="24"/>
  <c r="I55" i="28" a="1"/>
  <c r="I55" i="28" s="1"/>
  <c r="O55" i="28"/>
  <c r="I1615" i="24"/>
  <c r="I58" i="28" a="1"/>
  <c r="I58" i="28" s="1"/>
  <c r="O58" i="28"/>
  <c r="I1563" i="24"/>
  <c r="O6" i="28"/>
  <c r="I6" i="28" a="1"/>
  <c r="I6" i="28" s="1"/>
  <c r="I1566" i="24"/>
  <c r="I9" i="28" a="1"/>
  <c r="I9" i="28" s="1"/>
  <c r="O9" i="28"/>
  <c r="I1569" i="24"/>
  <c r="I12" i="28" a="1"/>
  <c r="I12" i="28" s="1"/>
  <c r="O12" i="28"/>
  <c r="I1572" i="24"/>
  <c r="I15" i="28" a="1"/>
  <c r="I15" i="28" s="1"/>
  <c r="O15" i="28"/>
  <c r="I1575" i="24"/>
  <c r="I18" i="28" a="1"/>
  <c r="I18" i="28" s="1"/>
  <c r="O18" i="28"/>
  <c r="D22" i="11"/>
  <c r="AJ1472" i="24"/>
  <c r="H3" i="28"/>
  <c r="F3" i="28"/>
  <c r="F7" i="28"/>
  <c r="F10" i="28"/>
  <c r="F13" i="28"/>
  <c r="F16" i="28"/>
  <c r="F19" i="28"/>
  <c r="F4" i="28"/>
  <c r="F37" i="28"/>
  <c r="F40" i="28"/>
  <c r="F21" i="28"/>
  <c r="F22" i="28"/>
  <c r="F43" i="28"/>
  <c r="F30" i="28"/>
  <c r="F42" i="28"/>
  <c r="F45" i="28"/>
  <c r="F38" i="28"/>
  <c r="F41" i="28"/>
  <c r="F28" i="28"/>
  <c r="F31" i="28"/>
  <c r="F46" i="28"/>
  <c r="F49" i="28"/>
  <c r="F52" i="28"/>
  <c r="F48" i="28"/>
  <c r="F35" i="28"/>
  <c r="F44" i="28"/>
  <c r="F47" i="28"/>
  <c r="F34" i="28"/>
  <c r="F51" i="28"/>
  <c r="F50" i="28"/>
  <c r="F55" i="28"/>
  <c r="F53" i="28"/>
  <c r="F57" i="28"/>
  <c r="F23" i="28"/>
  <c r="F26" i="28"/>
  <c r="F56" i="28"/>
  <c r="F25" i="28"/>
  <c r="F24" i="28"/>
  <c r="F27" i="28"/>
  <c r="F33" i="28"/>
  <c r="F54" i="28"/>
  <c r="E3" i="28"/>
  <c r="S22" i="11"/>
  <c r="S20" i="11"/>
  <c r="AH32" i="18"/>
  <c r="Y2944" i="24"/>
  <c r="AH56" i="18"/>
  <c r="Y2968" i="24"/>
  <c r="AH58" i="18"/>
  <c r="Y2970" i="24"/>
  <c r="AI4" i="16"/>
  <c r="N22" i="11"/>
  <c r="N20" i="11"/>
  <c r="BE6" i="10"/>
  <c r="BE9" i="10"/>
  <c r="BE15" i="10"/>
  <c r="AE25" i="19" a="1"/>
  <c r="AE25" i="19" s="1"/>
  <c r="E4" i="7"/>
  <c r="H61" i="7"/>
  <c r="H4" i="11"/>
  <c r="H6" i="11"/>
  <c r="U8" i="11" a="1"/>
  <c r="U8" i="11" s="1"/>
  <c r="U10" i="11" a="1"/>
  <c r="U10" i="11" s="1"/>
  <c r="U12" i="11" a="1"/>
  <c r="U12" i="11" s="1"/>
  <c r="U14" i="11" a="1"/>
  <c r="U14" i="11" s="1"/>
  <c r="H16" i="11"/>
  <c r="H18" i="11"/>
  <c r="H20" i="11"/>
  <c r="U22" i="11" a="1"/>
  <c r="U22" i="11" s="1"/>
  <c r="U24" i="11" a="1"/>
  <c r="U24" i="11" s="1"/>
  <c r="U26" i="11" a="1"/>
  <c r="U26" i="11" s="1"/>
  <c r="H28" i="11"/>
  <c r="H30" i="11"/>
  <c r="U34" i="11" a="1"/>
  <c r="U34" i="11" s="1"/>
  <c r="U36" i="11" a="1"/>
  <c r="U36" i="11" s="1"/>
  <c r="U38" i="11" a="1"/>
  <c r="U38" i="11" s="1"/>
  <c r="H40" i="11"/>
  <c r="H42" i="11"/>
  <c r="U46" i="11" a="1"/>
  <c r="U46" i="11" s="1"/>
  <c r="H48" i="11"/>
  <c r="H50" i="11"/>
  <c r="H52" i="11"/>
  <c r="U54" i="11" a="1"/>
  <c r="U54" i="11" s="1"/>
  <c r="U58" i="11" a="1"/>
  <c r="U58" i="11" s="1"/>
  <c r="H60" i="11"/>
  <c r="H5" i="11"/>
  <c r="U9" i="11" a="1"/>
  <c r="U9" i="11" s="1"/>
  <c r="U13" i="11" a="1"/>
  <c r="U13" i="11" s="1"/>
  <c r="U15" i="11" a="1"/>
  <c r="U15" i="11" s="1"/>
  <c r="H17" i="11"/>
  <c r="U21" i="11" a="1"/>
  <c r="U21" i="11" s="1"/>
  <c r="U25" i="11" a="1"/>
  <c r="U25" i="11" s="1"/>
  <c r="U27" i="11" a="1"/>
  <c r="U27" i="11" s="1"/>
  <c r="U29" i="11" a="1"/>
  <c r="U29" i="11" s="1"/>
  <c r="U33" i="11" a="1"/>
  <c r="U33" i="11" s="1"/>
  <c r="H35" i="11"/>
  <c r="H39" i="11"/>
  <c r="U41" i="11" a="1"/>
  <c r="U41" i="11" s="1"/>
  <c r="U45" i="11" a="1"/>
  <c r="U45" i="11" s="1"/>
  <c r="H47" i="11"/>
  <c r="U51" i="11" a="1"/>
  <c r="U51" i="11" s="1"/>
  <c r="U53" i="11" a="1"/>
  <c r="U53" i="11" s="1"/>
  <c r="U57" i="11" a="1"/>
  <c r="U57" i="11" s="1"/>
  <c r="H59" i="11"/>
  <c r="H3" i="11"/>
  <c r="AE13" i="19" a="1"/>
  <c r="AE13" i="19" s="1"/>
  <c r="AF37" i="12"/>
  <c r="AF42" i="12"/>
  <c r="AF56" i="12"/>
  <c r="AF11" i="12"/>
  <c r="AF16" i="12"/>
  <c r="AF20" i="12"/>
  <c r="AF28" i="12"/>
  <c r="AF32" i="12"/>
  <c r="AF36" i="12"/>
  <c r="AF45" i="12"/>
  <c r="AF49" i="12"/>
  <c r="AF55" i="12"/>
  <c r="AF15" i="12"/>
  <c r="AF19" i="12"/>
  <c r="AF31" i="12"/>
  <c r="AF38" i="12"/>
  <c r="AF46" i="12"/>
  <c r="AF50" i="12"/>
  <c r="AF40" i="12"/>
  <c r="AF44" i="12"/>
  <c r="AF48" i="12"/>
  <c r="AF54" i="12"/>
  <c r="AF58" i="12"/>
  <c r="AF60" i="12"/>
  <c r="AF9" i="12"/>
  <c r="AF22" i="12"/>
  <c r="AF26" i="12"/>
  <c r="AF13" i="12"/>
  <c r="AF34" i="12"/>
  <c r="AF52" i="12"/>
  <c r="AF57" i="12"/>
  <c r="AF8" i="12"/>
  <c r="AF25" i="12"/>
  <c r="AE32" i="12"/>
  <c r="AE36" i="12"/>
  <c r="AE41" i="12"/>
  <c r="AE49" i="12"/>
  <c r="AE55" i="12"/>
  <c r="AE59" i="12"/>
  <c r="AE19" i="12"/>
  <c r="AE23" i="12"/>
  <c r="AE31" i="12"/>
  <c r="AE60" i="12"/>
  <c r="AE35" i="12"/>
  <c r="AE44" i="12"/>
  <c r="AE9" i="12"/>
  <c r="AE14" i="12"/>
  <c r="AE26" i="12"/>
  <c r="AE30" i="12"/>
  <c r="AE53" i="12"/>
  <c r="AE13" i="12"/>
  <c r="AE47" i="12"/>
  <c r="AE8" i="12"/>
  <c r="AE12" i="12"/>
  <c r="AE17" i="12"/>
  <c r="AE25" i="12"/>
  <c r="AE29" i="12"/>
  <c r="AE42" i="12"/>
  <c r="AE56" i="12"/>
  <c r="AE7" i="12"/>
  <c r="AJ55" i="7" a="1"/>
  <c r="AJ55" i="7" s="1"/>
  <c r="AK55" i="7" a="1"/>
  <c r="AK55" i="7" s="1"/>
  <c r="BL20" i="4"/>
  <c r="AE435" i="24"/>
  <c r="BL44" i="4"/>
  <c r="AE459" i="24"/>
  <c r="BL15" i="4"/>
  <c r="AE430" i="24"/>
  <c r="BL25" i="4"/>
  <c r="AE440" i="24"/>
  <c r="BL36" i="4"/>
  <c r="AE451" i="24"/>
  <c r="BL42" i="4"/>
  <c r="AE457" i="24"/>
  <c r="BL27" i="4"/>
  <c r="AE442" i="24"/>
  <c r="BL35" i="4"/>
  <c r="AE450" i="24"/>
  <c r="BL37" i="4"/>
  <c r="AE452" i="24"/>
  <c r="BL39" i="4"/>
  <c r="AE454" i="24"/>
  <c r="BL22" i="4"/>
  <c r="AE437" i="24"/>
  <c r="BL24" i="4"/>
  <c r="AE439" i="24"/>
  <c r="BL18" i="4"/>
  <c r="AE433" i="24"/>
  <c r="BA27" i="4"/>
  <c r="BA15" i="4"/>
  <c r="BA25" i="4"/>
  <c r="BA24" i="4"/>
  <c r="BA28" i="4"/>
  <c r="AP41" i="4"/>
  <c r="AP53" i="4"/>
  <c r="AP59" i="4"/>
  <c r="AP28" i="4"/>
  <c r="AP11" i="4"/>
  <c r="AP54" i="4"/>
  <c r="AP17" i="4"/>
  <c r="AE4" i="4"/>
  <c r="AE8" i="4"/>
  <c r="AE9" i="4"/>
  <c r="AE49" i="4"/>
  <c r="AC4" i="7"/>
  <c r="P61" i="7"/>
  <c r="BB21" i="4"/>
  <c r="AC22" i="7"/>
  <c r="AH5" i="4" a="1"/>
  <c r="AH5" i="4" s="1"/>
  <c r="Y5" i="16" a="1"/>
  <c r="Y5" i="16" s="1"/>
  <c r="AS11" i="4" a="1"/>
  <c r="AS11" i="4" s="1"/>
  <c r="AK11" i="16" a="1"/>
  <c r="AK11" i="16" s="1"/>
  <c r="AK20" i="16" a="1"/>
  <c r="AK20" i="16" s="1"/>
  <c r="BO20" i="4" a="1"/>
  <c r="BO20" i="4" s="1"/>
  <c r="Y26" i="16" a="1"/>
  <c r="Y26" i="16" s="1"/>
  <c r="Y32" i="16" a="1"/>
  <c r="Y32" i="16" s="1"/>
  <c r="AK38" i="16" a="1"/>
  <c r="AK38" i="16" s="1"/>
  <c r="BO22" i="4" a="1"/>
  <c r="BO22" i="4" s="1"/>
  <c r="Y34" i="16" a="1"/>
  <c r="Y34" i="16" s="1"/>
  <c r="AK16" i="16" a="1"/>
  <c r="AK16" i="16" s="1"/>
  <c r="AK25" i="16" a="1"/>
  <c r="AK25" i="16" s="1"/>
  <c r="BD25" i="4" a="1"/>
  <c r="BD25" i="4" s="1"/>
  <c r="BO25" i="4" a="1"/>
  <c r="BO25" i="4" s="1"/>
  <c r="AK37" i="16" a="1"/>
  <c r="AK37" i="16" s="1"/>
  <c r="BO37" i="4" a="1"/>
  <c r="BO37" i="4" s="1"/>
  <c r="Y37" i="16" a="1"/>
  <c r="Y37" i="16" s="1"/>
  <c r="AK40" i="16" a="1"/>
  <c r="AK40" i="16" s="1"/>
  <c r="AH49" i="4" a="1"/>
  <c r="AH49" i="4" s="1"/>
  <c r="Y49" i="16" a="1"/>
  <c r="Y49" i="16" s="1"/>
  <c r="AK55" i="16" a="1"/>
  <c r="AK55" i="16" s="1"/>
  <c r="AH7" i="4" a="1"/>
  <c r="AH7" i="4" s="1"/>
  <c r="Y19" i="16" a="1"/>
  <c r="Y19" i="16" s="1"/>
  <c r="AS28" i="4" a="1"/>
  <c r="AS28" i="4" s="1"/>
  <c r="Y28" i="16" a="1"/>
  <c r="Y28" i="16" s="1"/>
  <c r="BD28" i="4" a="1"/>
  <c r="BD28" i="4" s="1"/>
  <c r="Y52" i="16" a="1"/>
  <c r="Y52" i="16" s="1"/>
  <c r="AK52" i="16" a="1"/>
  <c r="AK52" i="16" s="1"/>
  <c r="AK31" i="16" a="1"/>
  <c r="AK31" i="16" s="1"/>
  <c r="AK6" i="16" a="1"/>
  <c r="AK6" i="16" s="1"/>
  <c r="BO18" i="4" a="1"/>
  <c r="BO18" i="4" s="1"/>
  <c r="AK18" i="16" a="1"/>
  <c r="AK18" i="16" s="1"/>
  <c r="AK27" i="16" a="1"/>
  <c r="AK27" i="16" s="1"/>
  <c r="BD27" i="4" a="1"/>
  <c r="BD27" i="4" s="1"/>
  <c r="BO27" i="4" a="1"/>
  <c r="BO27" i="4" s="1"/>
  <c r="BO36" i="4" a="1"/>
  <c r="BO36" i="4" s="1"/>
  <c r="AK36" i="16" a="1"/>
  <c r="AK36" i="16" s="1"/>
  <c r="AK4" i="16" a="1"/>
  <c r="AK4" i="16" s="1"/>
  <c r="AH4" i="4" a="1"/>
  <c r="AH4" i="4" s="1"/>
  <c r="Y12" i="16" a="1"/>
  <c r="Y12" i="16" s="1"/>
  <c r="AK24" i="16" a="1"/>
  <c r="AK24" i="16" s="1"/>
  <c r="Y24" i="16" a="1"/>
  <c r="Y24" i="16" s="1"/>
  <c r="BD24" i="4" a="1"/>
  <c r="BD24" i="4" s="1"/>
  <c r="BO24" i="4" a="1"/>
  <c r="BO24" i="4" s="1"/>
  <c r="BO42" i="4" a="1"/>
  <c r="BO42" i="4" s="1"/>
  <c r="AK42" i="16" a="1"/>
  <c r="AK42" i="16" s="1"/>
  <c r="AK57" i="16" a="1"/>
  <c r="AK57" i="16" s="1"/>
  <c r="AH9" i="4" a="1"/>
  <c r="AH9" i="4" s="1"/>
  <c r="AK9" i="16" a="1"/>
  <c r="AK9" i="16" s="1"/>
  <c r="Y30" i="16" a="1"/>
  <c r="Y30" i="16" s="1"/>
  <c r="BO39" i="4" a="1"/>
  <c r="BO39" i="4" s="1"/>
  <c r="Y39" i="16" a="1"/>
  <c r="Y39" i="16" s="1"/>
  <c r="AK48" i="16" a="1"/>
  <c r="AK48" i="16" s="1"/>
  <c r="AS54" i="4" a="1"/>
  <c r="AS54" i="4" s="1"/>
  <c r="AK54" i="16" a="1"/>
  <c r="AK54" i="16" s="1"/>
  <c r="BO15" i="4" a="1"/>
  <c r="BO15" i="4" s="1"/>
  <c r="BD15" i="4" a="1"/>
  <c r="BD15" i="4" s="1"/>
  <c r="AH8" i="4" a="1"/>
  <c r="AH8" i="4" s="1"/>
  <c r="Y8" i="16" a="1"/>
  <c r="Y8" i="16" s="1"/>
  <c r="AK14" i="16" a="1"/>
  <c r="AK14" i="16" s="1"/>
  <c r="AS17" i="4" a="1"/>
  <c r="AS17" i="4" s="1"/>
  <c r="AK23" i="16" a="1"/>
  <c r="AK23" i="16" s="1"/>
  <c r="BO35" i="4" a="1"/>
  <c r="BO35" i="4" s="1"/>
  <c r="AS41" i="4" a="1"/>
  <c r="AS41" i="4" s="1"/>
  <c r="AK41" i="16" a="1"/>
  <c r="AK41" i="16" s="1"/>
  <c r="Y41" i="16" a="1"/>
  <c r="Y41" i="16" s="1"/>
  <c r="BO44" i="4" a="1"/>
  <c r="BO44" i="4" s="1"/>
  <c r="AK44" i="16" a="1"/>
  <c r="AK44" i="16" s="1"/>
  <c r="AS53" i="4" a="1"/>
  <c r="AS53" i="4" s="1"/>
  <c r="AK53" i="16" a="1"/>
  <c r="AK53" i="16" s="1"/>
  <c r="AS59" i="4" a="1"/>
  <c r="AS59" i="4" s="1"/>
  <c r="V53" i="16"/>
  <c r="V44" i="16"/>
  <c r="I41" i="16"/>
  <c r="E26" i="16"/>
  <c r="E49" i="16"/>
  <c r="I9" i="16"/>
  <c r="E19" i="16"/>
  <c r="E34" i="16"/>
  <c r="V29" i="16"/>
  <c r="I31" i="16"/>
  <c r="V50" i="16"/>
  <c r="E54" i="16"/>
  <c r="E24" i="16"/>
  <c r="I54" i="16"/>
  <c r="I42" i="16"/>
  <c r="E39" i="16"/>
  <c r="E41" i="16"/>
  <c r="I16" i="16"/>
  <c r="E30" i="16"/>
  <c r="I11" i="16"/>
  <c r="E13" i="16"/>
  <c r="I18" i="16"/>
  <c r="I48" i="16"/>
  <c r="V15" i="16"/>
  <c r="I20" i="16"/>
  <c r="I55" i="16"/>
  <c r="E37" i="16"/>
  <c r="I14" i="16"/>
  <c r="E45" i="16"/>
  <c r="I52" i="16"/>
  <c r="E58" i="16"/>
  <c r="V25" i="16"/>
  <c r="V48" i="16"/>
  <c r="I57" i="16"/>
  <c r="V31" i="16"/>
  <c r="I27" i="16"/>
  <c r="I44" i="16"/>
  <c r="I6" i="16"/>
  <c r="I24" i="16"/>
  <c r="I37" i="16"/>
  <c r="V57" i="16"/>
  <c r="V60" i="16"/>
  <c r="V42" i="16"/>
  <c r="I40" i="16"/>
  <c r="E43" i="16"/>
  <c r="V55" i="16"/>
  <c r="I53" i="16"/>
  <c r="E56" i="16"/>
  <c r="I23" i="16"/>
  <c r="I36" i="16"/>
  <c r="E52" i="16"/>
  <c r="E28" i="16"/>
  <c r="I26" i="4"/>
  <c r="BN12" i="4" a="1"/>
  <c r="BN12" i="4" s="1"/>
  <c r="Q24" i="4"/>
  <c r="Q39" i="4"/>
  <c r="I46" i="4"/>
  <c r="E47" i="4"/>
  <c r="I28" i="4"/>
  <c r="I47" i="4"/>
  <c r="I49" i="4"/>
  <c r="M15" i="4"/>
  <c r="E50" i="4"/>
  <c r="Q35" i="4"/>
  <c r="Q20" i="4"/>
  <c r="BN23" i="4" a="1"/>
  <c r="BN23" i="4" s="1"/>
  <c r="M27" i="4"/>
  <c r="I41" i="4"/>
  <c r="E54" i="4"/>
  <c r="M4" i="4"/>
  <c r="BN6" i="4" a="1"/>
  <c r="BN6" i="4" s="1"/>
  <c r="I55" i="4"/>
  <c r="I4" i="4"/>
  <c r="BN26" i="4" a="1"/>
  <c r="BN26" i="4" s="1"/>
  <c r="I53" i="4"/>
  <c r="Q15" i="4"/>
  <c r="I16" i="4"/>
  <c r="I37" i="4"/>
  <c r="I56" i="4"/>
  <c r="L61" i="4"/>
  <c r="Q27" i="4"/>
  <c r="I43" i="4"/>
  <c r="M16" i="4"/>
  <c r="M20" i="4"/>
  <c r="M24" i="4"/>
  <c r="I58" i="4"/>
  <c r="M6" i="4"/>
  <c r="I17" i="4"/>
  <c r="BN21" i="4" a="1"/>
  <c r="BN21" i="4" s="1"/>
  <c r="M28" i="4"/>
  <c r="Q37" i="4"/>
  <c r="I44" i="4"/>
  <c r="I51" i="4"/>
  <c r="I14" i="4"/>
  <c r="I52" i="4"/>
  <c r="M8" i="4"/>
  <c r="I18" i="4"/>
  <c r="Q25" i="4"/>
  <c r="AE4" i="18" a="1"/>
  <c r="AE4" i="18" s="1"/>
  <c r="AH4" i="18"/>
  <c r="AE6" i="18" a="1"/>
  <c r="AE6" i="18" s="1"/>
  <c r="AH6" i="18"/>
  <c r="J8" i="18"/>
  <c r="AH8" i="18"/>
  <c r="AD10" i="18" a="1"/>
  <c r="AD10" i="18" s="1"/>
  <c r="AH10" i="18"/>
  <c r="J41" i="18"/>
  <c r="AH41" i="18"/>
  <c r="AE53" i="18" a="1"/>
  <c r="AE53" i="18" s="1"/>
  <c r="AH53" i="18"/>
  <c r="J14" i="18"/>
  <c r="AH14" i="18"/>
  <c r="J18" i="18"/>
  <c r="AH18" i="18"/>
  <c r="J20" i="18"/>
  <c r="AH20" i="18"/>
  <c r="AD22" i="18" a="1"/>
  <c r="AD22" i="18" s="1"/>
  <c r="AH22" i="18"/>
  <c r="AE28" i="18" a="1"/>
  <c r="AE28" i="18" s="1"/>
  <c r="AH28" i="18"/>
  <c r="J30" i="18"/>
  <c r="AH30" i="18"/>
  <c r="AD34" i="18" a="1"/>
  <c r="AD34" i="18" s="1"/>
  <c r="AH34" i="18"/>
  <c r="AE36" i="18" a="1"/>
  <c r="AE36" i="18" s="1"/>
  <c r="AH36" i="18"/>
  <c r="J38" i="18"/>
  <c r="AE40" i="18" a="1"/>
  <c r="AE40" i="18" s="1"/>
  <c r="AH40" i="18"/>
  <c r="J42" i="18"/>
  <c r="AH42" i="18"/>
  <c r="AD46" i="18" a="1"/>
  <c r="AD46" i="18" s="1"/>
  <c r="AH46" i="18"/>
  <c r="J50" i="18"/>
  <c r="AH50" i="18"/>
  <c r="J54" i="18"/>
  <c r="AH54" i="18"/>
  <c r="J13" i="18"/>
  <c r="AH13" i="18"/>
  <c r="J17" i="18"/>
  <c r="AH17" i="18"/>
  <c r="J60" i="18"/>
  <c r="AH60" i="18"/>
  <c r="J29" i="18"/>
  <c r="AH29" i="18"/>
  <c r="J37" i="18"/>
  <c r="AH37" i="18"/>
  <c r="R56" i="10"/>
  <c r="BG56" i="10"/>
  <c r="BF57" i="10"/>
  <c r="R58" i="10"/>
  <c r="BG58" i="10"/>
  <c r="R59" i="10"/>
  <c r="BG59" i="10"/>
  <c r="R60" i="10"/>
  <c r="BG60" i="10"/>
  <c r="N5" i="10"/>
  <c r="BF5" i="10"/>
  <c r="N7" i="10"/>
  <c r="BF7" i="10"/>
  <c r="N9" i="10"/>
  <c r="BF9" i="10"/>
  <c r="N11" i="10"/>
  <c r="BF11" i="10"/>
  <c r="N15" i="10"/>
  <c r="BF15" i="10"/>
  <c r="N17" i="10"/>
  <c r="BF17" i="10"/>
  <c r="N21" i="10"/>
  <c r="BF21" i="10"/>
  <c r="AT23" i="10" a="1"/>
  <c r="AT23" i="10" s="1"/>
  <c r="BF23" i="10"/>
  <c r="AT25" i="10" a="1"/>
  <c r="AT25" i="10" s="1"/>
  <c r="BF25" i="10"/>
  <c r="AT27" i="10" a="1"/>
  <c r="AT27" i="10" s="1"/>
  <c r="BF27" i="10"/>
  <c r="AT29" i="10" a="1"/>
  <c r="AT29" i="10" s="1"/>
  <c r="BF29" i="10"/>
  <c r="AT31" i="10" a="1"/>
  <c r="AT31" i="10" s="1"/>
  <c r="BF31" i="10"/>
  <c r="AT33" i="10" a="1"/>
  <c r="AT33" i="10" s="1"/>
  <c r="BF33" i="10"/>
  <c r="BF35" i="10"/>
  <c r="R36" i="10"/>
  <c r="BG36" i="10"/>
  <c r="N37" i="10"/>
  <c r="BF37" i="10"/>
  <c r="N39" i="10"/>
  <c r="BF39" i="10"/>
  <c r="N41" i="10"/>
  <c r="BF41" i="10"/>
  <c r="N43" i="10"/>
  <c r="BF43" i="10"/>
  <c r="R44" i="10"/>
  <c r="BG44" i="10"/>
  <c r="N45" i="10"/>
  <c r="BF45" i="10"/>
  <c r="R46" i="10"/>
  <c r="BG46" i="10"/>
  <c r="N47" i="10"/>
  <c r="BF47" i="10"/>
  <c r="R48" i="10"/>
  <c r="BG48" i="10"/>
  <c r="N49" i="10"/>
  <c r="BF49" i="10"/>
  <c r="R50" i="10"/>
  <c r="BG50" i="10"/>
  <c r="N51" i="10"/>
  <c r="BF51" i="10"/>
  <c r="R52" i="10"/>
  <c r="BG52" i="10"/>
  <c r="BF53" i="10"/>
  <c r="R54" i="10"/>
  <c r="BG54" i="10"/>
  <c r="BF55" i="10"/>
  <c r="R61" i="17"/>
  <c r="D61" i="17"/>
  <c r="AF33" i="17" a="1"/>
  <c r="AF33" i="17" s="1"/>
  <c r="AI33" i="17"/>
  <c r="AF51" i="17" a="1"/>
  <c r="AF51" i="17" s="1"/>
  <c r="AI51" i="17"/>
  <c r="U48" i="12" a="1"/>
  <c r="U48" i="12" s="1"/>
  <c r="AE48" i="12"/>
  <c r="U54" i="12" a="1"/>
  <c r="U54" i="12" s="1"/>
  <c r="AE54" i="12"/>
  <c r="U6" i="12" a="1"/>
  <c r="U6" i="12" s="1"/>
  <c r="AE6" i="12"/>
  <c r="U51" i="12" a="1"/>
  <c r="U51" i="12" s="1"/>
  <c r="AE51" i="12"/>
  <c r="U18" i="12" a="1"/>
  <c r="U18" i="12" s="1"/>
  <c r="AE18" i="12"/>
  <c r="U24" i="12" a="1"/>
  <c r="U24" i="12" s="1"/>
  <c r="AE24" i="12"/>
  <c r="U4" i="12" a="1"/>
  <c r="U4" i="12" s="1"/>
  <c r="AE4" i="12"/>
  <c r="AA61" i="17"/>
  <c r="I43" i="17" s="1"/>
  <c r="I17" i="17"/>
  <c r="AA2518" i="24"/>
  <c r="I21" i="17"/>
  <c r="I8" i="17"/>
  <c r="I53" i="17"/>
  <c r="AA2499" i="24"/>
  <c r="AA2517" i="24"/>
  <c r="I44" i="17"/>
  <c r="I35" i="17"/>
  <c r="I15" i="17"/>
  <c r="I26" i="17"/>
  <c r="AA2538" i="24"/>
  <c r="AA2485" i="24"/>
  <c r="AA2527" i="24"/>
  <c r="I11" i="17"/>
  <c r="I29" i="17"/>
  <c r="I47" i="17"/>
  <c r="AA2487" i="24"/>
  <c r="AD51" i="17" a="1"/>
  <c r="AD51" i="17" s="1"/>
  <c r="I5" i="17"/>
  <c r="I23" i="17"/>
  <c r="I41" i="17"/>
  <c r="I33" i="17"/>
  <c r="I51" i="17"/>
  <c r="AA2494" i="24"/>
  <c r="I20" i="17"/>
  <c r="AA2512" i="24"/>
  <c r="I38" i="17"/>
  <c r="I56" i="17"/>
  <c r="AA2488" i="24"/>
  <c r="I14" i="17"/>
  <c r="AA2506" i="24"/>
  <c r="I32" i="17"/>
  <c r="I50" i="17"/>
  <c r="W13" i="17" a="1"/>
  <c r="W13" i="17" s="1"/>
  <c r="V13" i="17"/>
  <c r="W6" i="17" a="1"/>
  <c r="W6" i="17" s="1"/>
  <c r="V6" i="17"/>
  <c r="W24" i="17" a="1"/>
  <c r="W24" i="17" s="1"/>
  <c r="V24" i="17"/>
  <c r="W42" i="17" a="1"/>
  <c r="W42" i="17" s="1"/>
  <c r="V42" i="17"/>
  <c r="W31" i="17" a="1"/>
  <c r="W31" i="17" s="1"/>
  <c r="V31" i="17"/>
  <c r="AF47" i="17" a="1"/>
  <c r="AF47" i="17" s="1"/>
  <c r="AE47" i="17"/>
  <c r="AF14" i="17" a="1"/>
  <c r="AF14" i="17" s="1"/>
  <c r="AE14" i="17"/>
  <c r="W16" i="17" a="1"/>
  <c r="W16" i="17" s="1"/>
  <c r="V16" i="17"/>
  <c r="AF32" i="17" a="1"/>
  <c r="AF32" i="17" s="1"/>
  <c r="AE32" i="17"/>
  <c r="W34" i="17" a="1"/>
  <c r="W34" i="17" s="1"/>
  <c r="V34" i="17"/>
  <c r="AF50" i="17" a="1"/>
  <c r="AF50" i="17" s="1"/>
  <c r="AE50" i="17"/>
  <c r="W52" i="17" a="1"/>
  <c r="W52" i="17" s="1"/>
  <c r="V52" i="17"/>
  <c r="AF29" i="17" a="1"/>
  <c r="AF29" i="17" s="1"/>
  <c r="AE29" i="17"/>
  <c r="W21" i="17" a="1"/>
  <c r="W21" i="17" s="1"/>
  <c r="V21" i="17"/>
  <c r="W39" i="17" a="1"/>
  <c r="W39" i="17" s="1"/>
  <c r="V39" i="17"/>
  <c r="W57" i="17" a="1"/>
  <c r="W57" i="17" s="1"/>
  <c r="V57" i="17"/>
  <c r="AF8" i="17" a="1"/>
  <c r="AF8" i="17" s="1"/>
  <c r="AE8" i="17"/>
  <c r="W10" i="17" a="1"/>
  <c r="W10" i="17" s="1"/>
  <c r="V10" i="17"/>
  <c r="AF26" i="17" a="1"/>
  <c r="AF26" i="17" s="1"/>
  <c r="AE26" i="17"/>
  <c r="W28" i="17" a="1"/>
  <c r="W28" i="17" s="1"/>
  <c r="V28" i="17"/>
  <c r="AF44" i="17" a="1"/>
  <c r="AF44" i="17" s="1"/>
  <c r="AE44" i="17"/>
  <c r="W46" i="17" a="1"/>
  <c r="W46" i="17" s="1"/>
  <c r="V46" i="17"/>
  <c r="AF11" i="17" a="1"/>
  <c r="AF11" i="17" s="1"/>
  <c r="AE11" i="17"/>
  <c r="W15" i="17" a="1"/>
  <c r="W15" i="17" s="1"/>
  <c r="V15" i="17"/>
  <c r="W33" i="17" a="1"/>
  <c r="W33" i="17" s="1"/>
  <c r="V33" i="17"/>
  <c r="W51" i="17" a="1"/>
  <c r="W51" i="17" s="1"/>
  <c r="V51" i="17"/>
  <c r="W18" i="17" a="1"/>
  <c r="W18" i="17" s="1"/>
  <c r="V18" i="17"/>
  <c r="W36" i="17" a="1"/>
  <c r="W36" i="17" s="1"/>
  <c r="V36" i="17"/>
  <c r="AF5" i="17" a="1"/>
  <c r="AF5" i="17" s="1"/>
  <c r="AE5" i="17"/>
  <c r="W7" i="17" a="1"/>
  <c r="W7" i="17" s="1"/>
  <c r="V7" i="17"/>
  <c r="AF23" i="17" a="1"/>
  <c r="AF23" i="17" s="1"/>
  <c r="AE23" i="17"/>
  <c r="W25" i="17" a="1"/>
  <c r="W25" i="17" s="1"/>
  <c r="V25" i="17"/>
  <c r="AF41" i="17" a="1"/>
  <c r="AF41" i="17" s="1"/>
  <c r="AE41" i="17"/>
  <c r="W43" i="17" a="1"/>
  <c r="W43" i="17" s="1"/>
  <c r="V43" i="17"/>
  <c r="W12" i="17" a="1"/>
  <c r="W12" i="17" s="1"/>
  <c r="V12" i="17"/>
  <c r="W30" i="17" a="1"/>
  <c r="W30" i="17" s="1"/>
  <c r="V30" i="17"/>
  <c r="W48" i="17" a="1"/>
  <c r="W48" i="17" s="1"/>
  <c r="V48" i="17"/>
  <c r="W49" i="17" a="1"/>
  <c r="W49" i="17" s="1"/>
  <c r="V49" i="17"/>
  <c r="W54" i="17" a="1"/>
  <c r="W54" i="17" s="1"/>
  <c r="V54" i="17"/>
  <c r="W4" i="17" a="1"/>
  <c r="W4" i="17" s="1"/>
  <c r="V4" i="17"/>
  <c r="AF20" i="17" a="1"/>
  <c r="AF20" i="17" s="1"/>
  <c r="AE20" i="17"/>
  <c r="W22" i="17" a="1"/>
  <c r="W22" i="17" s="1"/>
  <c r="V22" i="17"/>
  <c r="AF38" i="17" a="1"/>
  <c r="AF38" i="17" s="1"/>
  <c r="AE38" i="17"/>
  <c r="W40" i="17" a="1"/>
  <c r="W40" i="17" s="1"/>
  <c r="V40" i="17"/>
  <c r="AF56" i="17" a="1"/>
  <c r="AF56" i="17" s="1"/>
  <c r="AE56" i="17"/>
  <c r="W58" i="17" a="1"/>
  <c r="W58" i="17" s="1"/>
  <c r="V58" i="17"/>
  <c r="W9" i="17" a="1"/>
  <c r="W9" i="17" s="1"/>
  <c r="V9" i="17"/>
  <c r="W27" i="17" a="1"/>
  <c r="W27" i="17" s="1"/>
  <c r="V27" i="17"/>
  <c r="W45" i="17" a="1"/>
  <c r="W45" i="17" s="1"/>
  <c r="V45" i="17"/>
  <c r="AF17" i="17" a="1"/>
  <c r="AF17" i="17" s="1"/>
  <c r="AE17" i="17"/>
  <c r="W19" i="17" a="1"/>
  <c r="W19" i="17" s="1"/>
  <c r="V19" i="17"/>
  <c r="AF35" i="17" a="1"/>
  <c r="AF35" i="17" s="1"/>
  <c r="AE35" i="17"/>
  <c r="W37" i="17" a="1"/>
  <c r="W37" i="17" s="1"/>
  <c r="V37" i="17"/>
  <c r="AF53" i="17" a="1"/>
  <c r="AF53" i="17" s="1"/>
  <c r="AE53" i="17"/>
  <c r="W55" i="17" a="1"/>
  <c r="W55" i="17" s="1"/>
  <c r="V55" i="17"/>
  <c r="U7" i="17" a="1"/>
  <c r="U7" i="17" s="1"/>
  <c r="U25" i="17" a="1"/>
  <c r="U25" i="17" s="1"/>
  <c r="U55" i="17" a="1"/>
  <c r="U55" i="17" s="1"/>
  <c r="E6" i="17"/>
  <c r="E9" i="17"/>
  <c r="E12" i="17"/>
  <c r="E15" i="17"/>
  <c r="E18" i="17"/>
  <c r="E21" i="17"/>
  <c r="E24" i="17"/>
  <c r="E27" i="17"/>
  <c r="E30" i="17"/>
  <c r="E33" i="17"/>
  <c r="E36" i="17"/>
  <c r="E39" i="17"/>
  <c r="E42" i="17"/>
  <c r="E45" i="17"/>
  <c r="E48" i="17"/>
  <c r="E51" i="17"/>
  <c r="E54" i="17"/>
  <c r="E57" i="17"/>
  <c r="AE33" i="17"/>
  <c r="AE36" i="17"/>
  <c r="AE51" i="17"/>
  <c r="AA2404" i="24"/>
  <c r="AA2416" i="24"/>
  <c r="AA2419" i="24"/>
  <c r="AA2431" i="24"/>
  <c r="AA2434" i="24"/>
  <c r="AA2449" i="24"/>
  <c r="AA2452" i="24"/>
  <c r="AA2455" i="24"/>
  <c r="AA2458" i="24"/>
  <c r="U21" i="17" a="1"/>
  <c r="U21" i="17" s="1"/>
  <c r="U45" i="17" a="1"/>
  <c r="U45" i="17" s="1"/>
  <c r="E4" i="17"/>
  <c r="E7" i="17"/>
  <c r="E10" i="17"/>
  <c r="E13" i="17"/>
  <c r="E16" i="17"/>
  <c r="E19" i="17"/>
  <c r="E22" i="17"/>
  <c r="E25" i="17"/>
  <c r="E28" i="17"/>
  <c r="E31" i="17"/>
  <c r="E34" i="17"/>
  <c r="E37" i="17"/>
  <c r="E40" i="17"/>
  <c r="E43" i="17"/>
  <c r="E46" i="17"/>
  <c r="E49" i="17"/>
  <c r="E52" i="17"/>
  <c r="E55" i="17"/>
  <c r="E58" i="17"/>
  <c r="U36" i="17" a="1"/>
  <c r="U36" i="17" s="1"/>
  <c r="U39" i="17" a="1"/>
  <c r="U39" i="17" s="1"/>
  <c r="E17" i="12"/>
  <c r="M17" i="28" s="1"/>
  <c r="I20" i="12"/>
  <c r="M20" i="28" s="1"/>
  <c r="E7" i="12"/>
  <c r="M7" i="28" s="1"/>
  <c r="E25" i="12"/>
  <c r="E9" i="12"/>
  <c r="I49" i="12"/>
  <c r="I15" i="12"/>
  <c r="E8" i="12"/>
  <c r="I38" i="12"/>
  <c r="I48" i="12"/>
  <c r="Z17" i="12"/>
  <c r="W636" i="24" s="1"/>
  <c r="I31" i="12"/>
  <c r="Z41" i="12"/>
  <c r="W660" i="24" s="1"/>
  <c r="E18" i="12"/>
  <c r="E35" i="12"/>
  <c r="M35" i="28" s="1"/>
  <c r="E26" i="12"/>
  <c r="I8" i="12"/>
  <c r="E44" i="12"/>
  <c r="E48" i="12"/>
  <c r="E12" i="12"/>
  <c r="E41" i="12"/>
  <c r="M41" i="28" s="1"/>
  <c r="I19" i="12"/>
  <c r="I42" i="12"/>
  <c r="Z47" i="12"/>
  <c r="W666" i="24" s="1"/>
  <c r="Z21" i="12"/>
  <c r="W640" i="24" s="1"/>
  <c r="E31" i="12"/>
  <c r="E55" i="12"/>
  <c r="E19" i="12"/>
  <c r="I55" i="12"/>
  <c r="I26" i="12"/>
  <c r="I57" i="12"/>
  <c r="E59" i="12"/>
  <c r="M59" i="28" s="1"/>
  <c r="Z24" i="12"/>
  <c r="W643" i="24" s="1"/>
  <c r="E29" i="12"/>
  <c r="M29" i="28" s="1"/>
  <c r="I36" i="12"/>
  <c r="E42" i="12"/>
  <c r="E49" i="12"/>
  <c r="I50" i="12"/>
  <c r="I56" i="12"/>
  <c r="Z7" i="12"/>
  <c r="W626" i="24" s="1"/>
  <c r="Z30" i="12"/>
  <c r="W649" i="24" s="1"/>
  <c r="Z23" i="12"/>
  <c r="W642" i="24" s="1"/>
  <c r="Z27" i="12"/>
  <c r="W646" i="24" s="1"/>
  <c r="Z53" i="12"/>
  <c r="W672" i="24" s="1"/>
  <c r="Z59" i="12"/>
  <c r="W678" i="24" s="1"/>
  <c r="Z6" i="12"/>
  <c r="W625" i="24" s="1"/>
  <c r="Z43" i="12"/>
  <c r="W662" i="24" s="1"/>
  <c r="I9" i="12"/>
  <c r="Z10" i="12"/>
  <c r="W629" i="24" s="1"/>
  <c r="I25" i="12"/>
  <c r="Z29" i="12"/>
  <c r="W648" i="24" s="1"/>
  <c r="I32" i="12"/>
  <c r="M32" i="28" s="1"/>
  <c r="Z33" i="12"/>
  <c r="W652" i="24" s="1"/>
  <c r="I45" i="12"/>
  <c r="E24" i="12"/>
  <c r="M24" i="28" s="1"/>
  <c r="E54" i="12"/>
  <c r="Z35" i="12"/>
  <c r="W654" i="24" s="1"/>
  <c r="Z39" i="12"/>
  <c r="W658" i="24" s="1"/>
  <c r="E47" i="12"/>
  <c r="M47" i="28" s="1"/>
  <c r="E30" i="12"/>
  <c r="M30" i="28" s="1"/>
  <c r="I37" i="12"/>
  <c r="I44" i="12"/>
  <c r="E23" i="12"/>
  <c r="M23" i="28" s="1"/>
  <c r="E36" i="12"/>
  <c r="E56" i="12"/>
  <c r="E6" i="12"/>
  <c r="M6" i="28" s="1"/>
  <c r="E13" i="12"/>
  <c r="I11" i="12"/>
  <c r="M11" i="28" s="1"/>
  <c r="I16" i="12"/>
  <c r="I22" i="12"/>
  <c r="M22" i="28" s="1"/>
  <c r="I28" i="12"/>
  <c r="M28" i="28" s="1"/>
  <c r="I34" i="12"/>
  <c r="I40" i="12"/>
  <c r="I46" i="12"/>
  <c r="E51" i="12"/>
  <c r="M51" i="28" s="1"/>
  <c r="I52" i="12"/>
  <c r="I58" i="12"/>
  <c r="V17" i="18" a="1"/>
  <c r="V17" i="18" s="1"/>
  <c r="AG17" i="18"/>
  <c r="F56" i="18"/>
  <c r="AG56" i="18"/>
  <c r="F21" i="18"/>
  <c r="AG21" i="18"/>
  <c r="F25" i="18"/>
  <c r="AG25" i="18"/>
  <c r="F34" i="18"/>
  <c r="AG34" i="18"/>
  <c r="F39" i="18"/>
  <c r="AG39" i="18"/>
  <c r="F43" i="18"/>
  <c r="AG43" i="18"/>
  <c r="F47" i="18"/>
  <c r="AG47" i="18"/>
  <c r="F51" i="18"/>
  <c r="AG51" i="18"/>
  <c r="F55" i="18"/>
  <c r="AG55" i="18"/>
  <c r="F60" i="18"/>
  <c r="AG60" i="18"/>
  <c r="F59" i="18"/>
  <c r="AG59" i="18"/>
  <c r="F7" i="18"/>
  <c r="AG7" i="18"/>
  <c r="V11" i="18" a="1"/>
  <c r="V11" i="18" s="1"/>
  <c r="AG11" i="18"/>
  <c r="F24" i="18"/>
  <c r="AG24" i="18"/>
  <c r="F33" i="18"/>
  <c r="AG33" i="18"/>
  <c r="F38" i="18"/>
  <c r="AG38" i="18"/>
  <c r="F42" i="18"/>
  <c r="AG42" i="18"/>
  <c r="F50" i="18"/>
  <c r="AG50" i="18"/>
  <c r="F54" i="18"/>
  <c r="AG54" i="18"/>
  <c r="V15" i="18" a="1"/>
  <c r="V15" i="18" s="1"/>
  <c r="AG15" i="18"/>
  <c r="F19" i="18"/>
  <c r="AG19" i="18"/>
  <c r="F28" i="18"/>
  <c r="AG28" i="18"/>
  <c r="F37" i="18"/>
  <c r="AG37" i="18"/>
  <c r="F23" i="18"/>
  <c r="AG23" i="18"/>
  <c r="F27" i="18"/>
  <c r="AG27" i="18"/>
  <c r="F41" i="18"/>
  <c r="AG41" i="18"/>
  <c r="F45" i="18"/>
  <c r="AG45" i="18"/>
  <c r="F49" i="18"/>
  <c r="AG49" i="18"/>
  <c r="F53" i="18"/>
  <c r="AG53" i="18"/>
  <c r="F31" i="18"/>
  <c r="AG31" i="18"/>
  <c r="F57" i="18"/>
  <c r="AG57" i="18"/>
  <c r="V5" i="18" a="1"/>
  <c r="V5" i="18" s="1"/>
  <c r="AG5" i="18"/>
  <c r="V9" i="18" a="1"/>
  <c r="V9" i="18" s="1"/>
  <c r="AG9" i="18"/>
  <c r="U13" i="18" a="1"/>
  <c r="U13" i="18" s="1"/>
  <c r="AG13" i="18"/>
  <c r="F22" i="18"/>
  <c r="AG22" i="18"/>
  <c r="F26" i="18"/>
  <c r="AG26" i="18"/>
  <c r="F35" i="18"/>
  <c r="AG35" i="18"/>
  <c r="F48" i="18"/>
  <c r="AG48" i="18"/>
  <c r="F52" i="18"/>
  <c r="AG52" i="18"/>
  <c r="AL38" i="10" a="1"/>
  <c r="AL38" i="10" s="1"/>
  <c r="BE38" i="10"/>
  <c r="J40" i="10"/>
  <c r="BE40" i="10"/>
  <c r="J42" i="10"/>
  <c r="BE42" i="10"/>
  <c r="AL44" i="10" a="1"/>
  <c r="AL44" i="10" s="1"/>
  <c r="BE44" i="10"/>
  <c r="J46" i="10"/>
  <c r="BE46" i="10"/>
  <c r="J48" i="10"/>
  <c r="BE48" i="10"/>
  <c r="AL5" i="10" a="1"/>
  <c r="AL5" i="10" s="1"/>
  <c r="BE5" i="10"/>
  <c r="J7" i="10"/>
  <c r="BE7" i="10"/>
  <c r="AL50" i="10" a="1"/>
  <c r="AL50" i="10" s="1"/>
  <c r="BE50" i="10"/>
  <c r="AL23" i="10" a="1"/>
  <c r="AL23" i="10" s="1"/>
  <c r="BE23" i="10"/>
  <c r="J25" i="10"/>
  <c r="BE25" i="10"/>
  <c r="J27" i="10"/>
  <c r="BE27" i="10"/>
  <c r="J52" i="10"/>
  <c r="BE52" i="10"/>
  <c r="J54" i="10"/>
  <c r="BE54" i="10"/>
  <c r="AL29" i="10" a="1"/>
  <c r="AL29" i="10" s="1"/>
  <c r="BE29" i="10"/>
  <c r="J31" i="10"/>
  <c r="BE31" i="10"/>
  <c r="J33" i="10"/>
  <c r="BE33" i="10"/>
  <c r="AL35" i="10" a="1"/>
  <c r="AL35" i="10" s="1"/>
  <c r="BE35" i="10"/>
  <c r="J37" i="10"/>
  <c r="BE37" i="10"/>
  <c r="J56" i="10"/>
  <c r="BE56" i="10"/>
  <c r="J39" i="10"/>
  <c r="BE39" i="10"/>
  <c r="AL41" i="10" a="1"/>
  <c r="AL41" i="10" s="1"/>
  <c r="BE41" i="10"/>
  <c r="J43" i="10"/>
  <c r="BE43" i="10"/>
  <c r="J45" i="10"/>
  <c r="BE45" i="10"/>
  <c r="AL47" i="10" a="1"/>
  <c r="AL47" i="10" s="1"/>
  <c r="BE47" i="10"/>
  <c r="J49" i="10"/>
  <c r="BE49" i="10"/>
  <c r="J10" i="10"/>
  <c r="BE10" i="10"/>
  <c r="J12" i="10"/>
  <c r="BE12" i="10"/>
  <c r="AL14" i="10" a="1"/>
  <c r="AL14" i="10" s="1"/>
  <c r="BE14" i="10"/>
  <c r="J16" i="10"/>
  <c r="BE16" i="10"/>
  <c r="J51" i="10"/>
  <c r="BE51" i="10"/>
  <c r="J18" i="10"/>
  <c r="BE18" i="10"/>
  <c r="AL20" i="10" a="1"/>
  <c r="AL20" i="10" s="1"/>
  <c r="BE20" i="10"/>
  <c r="J22" i="10"/>
  <c r="BE22" i="10"/>
  <c r="J24" i="10"/>
  <c r="BE24" i="10"/>
  <c r="AL26" i="10" a="1"/>
  <c r="AL26" i="10" s="1"/>
  <c r="BE26" i="10"/>
  <c r="J28" i="10"/>
  <c r="BE28" i="10"/>
  <c r="J55" i="10"/>
  <c r="BE55" i="10"/>
  <c r="J30" i="10"/>
  <c r="BE30" i="10"/>
  <c r="AL32" i="10" a="1"/>
  <c r="AL32" i="10" s="1"/>
  <c r="BE32" i="10"/>
  <c r="J34" i="10"/>
  <c r="BE34" i="10"/>
  <c r="J36" i="10"/>
  <c r="BE36" i="10"/>
  <c r="J57" i="10"/>
  <c r="BE57" i="10"/>
  <c r="J59" i="10"/>
  <c r="BE59" i="10"/>
  <c r="W1131" i="24"/>
  <c r="BD17" i="10"/>
  <c r="W1135" i="24"/>
  <c r="BD21" i="10"/>
  <c r="W1141" i="24"/>
  <c r="BD27" i="10"/>
  <c r="W1166" i="24"/>
  <c r="BD52" i="10"/>
  <c r="W1168" i="24"/>
  <c r="BD54" i="10"/>
  <c r="W1143" i="24"/>
  <c r="BD29" i="10"/>
  <c r="W1145" i="24"/>
  <c r="BD31" i="10"/>
  <c r="W1147" i="24"/>
  <c r="BD33" i="10"/>
  <c r="W1170" i="24"/>
  <c r="BD56" i="10"/>
  <c r="W1172" i="24"/>
  <c r="BD58" i="10"/>
  <c r="W1155" i="24"/>
  <c r="BD41" i="10"/>
  <c r="W1122" i="24"/>
  <c r="BD8" i="10"/>
  <c r="W1130" i="24"/>
  <c r="BD16" i="10"/>
  <c r="W1133" i="24"/>
  <c r="BD19" i="10"/>
  <c r="W1137" i="24"/>
  <c r="BD23" i="10"/>
  <c r="W1139" i="24"/>
  <c r="BD25" i="10"/>
  <c r="W1132" i="24"/>
  <c r="BD18" i="10"/>
  <c r="W1134" i="24"/>
  <c r="BD20" i="10"/>
  <c r="W1136" i="24"/>
  <c r="BD22" i="10"/>
  <c r="W1138" i="24"/>
  <c r="BD24" i="10"/>
  <c r="W1169" i="24"/>
  <c r="BD55" i="10"/>
  <c r="W1171" i="24"/>
  <c r="BD57" i="10"/>
  <c r="W1173" i="24"/>
  <c r="BD59" i="10"/>
  <c r="W1152" i="24"/>
  <c r="BD38" i="10"/>
  <c r="W1154" i="24"/>
  <c r="BD40" i="10"/>
  <c r="W1156" i="24"/>
  <c r="BD42" i="10"/>
  <c r="W1162" i="24"/>
  <c r="BD48" i="10"/>
  <c r="W1119" i="24"/>
  <c r="BD5" i="10"/>
  <c r="W1121" i="24"/>
  <c r="BD7" i="10"/>
  <c r="W1123" i="24"/>
  <c r="BD9" i="10"/>
  <c r="W1125" i="24"/>
  <c r="BD11" i="10"/>
  <c r="W1127" i="24"/>
  <c r="BD13" i="10"/>
  <c r="W1129" i="24"/>
  <c r="BD15" i="10"/>
  <c r="W1164" i="24"/>
  <c r="BD50" i="10"/>
  <c r="T18" i="18" a="1"/>
  <c r="T18" i="18" s="1"/>
  <c r="I8" i="18"/>
  <c r="I36" i="18"/>
  <c r="E54" i="18"/>
  <c r="I29" i="18"/>
  <c r="I60" i="18"/>
  <c r="I25" i="18"/>
  <c r="Y2921" i="24"/>
  <c r="AG14" i="18"/>
  <c r="I41" i="18"/>
  <c r="I53" i="18"/>
  <c r="I4" i="18"/>
  <c r="E17" i="18"/>
  <c r="E24" i="18"/>
  <c r="E26" i="18"/>
  <c r="E50" i="18"/>
  <c r="E8" i="18"/>
  <c r="Y2933" i="24"/>
  <c r="E34" i="18"/>
  <c r="E49" i="18"/>
  <c r="E53" i="18"/>
  <c r="M54" i="10"/>
  <c r="I26" i="10"/>
  <c r="M56" i="10"/>
  <c r="M29" i="10"/>
  <c r="I35" i="10"/>
  <c r="M40" i="10"/>
  <c r="I52" i="10"/>
  <c r="E58" i="10"/>
  <c r="AI58" i="10"/>
  <c r="W1253" i="24" s="1"/>
  <c r="I59" i="10"/>
  <c r="E16" i="10"/>
  <c r="M23" i="10"/>
  <c r="AA6" i="10"/>
  <c r="AD6" i="10" s="1" a="1"/>
  <c r="AD6" i="10" s="1"/>
  <c r="E22" i="10"/>
  <c r="W1404" i="24"/>
  <c r="E57" i="10"/>
  <c r="E34" i="10"/>
  <c r="M27" i="10"/>
  <c r="E41" i="10"/>
  <c r="M50" i="10"/>
  <c r="E8" i="10"/>
  <c r="AI8" i="10"/>
  <c r="W1203" i="24" s="1"/>
  <c r="I9" i="10"/>
  <c r="E18" i="10"/>
  <c r="I30" i="10"/>
  <c r="M42" i="10"/>
  <c r="I50" i="10"/>
  <c r="I51" i="10"/>
  <c r="E55" i="10"/>
  <c r="AI60" i="10"/>
  <c r="W1255" i="24" s="1"/>
  <c r="AA14" i="10"/>
  <c r="AC14" i="10" s="1" a="1"/>
  <c r="AC14" i="10" s="1"/>
  <c r="M46" i="10"/>
  <c r="I56" i="10"/>
  <c r="M5" i="10"/>
  <c r="AA10" i="10"/>
  <c r="F10" i="10" s="1"/>
  <c r="E24" i="10"/>
  <c r="I29" i="10"/>
  <c r="M31" i="10"/>
  <c r="I34" i="10"/>
  <c r="I37" i="10"/>
  <c r="AA43" i="10"/>
  <c r="I54" i="10"/>
  <c r="I38" i="10"/>
  <c r="W1362" i="24"/>
  <c r="M15" i="10"/>
  <c r="M25" i="10"/>
  <c r="W1402" i="24"/>
  <c r="I48" i="10"/>
  <c r="I49" i="10"/>
  <c r="I55" i="10"/>
  <c r="AQ10" i="10"/>
  <c r="W1286" i="24" s="1"/>
  <c r="I31" i="10"/>
  <c r="AQ14" i="10"/>
  <c r="W1290" i="24" s="1"/>
  <c r="E20" i="10"/>
  <c r="AQ24" i="10"/>
  <c r="W1300" i="24" s="1"/>
  <c r="I33" i="10"/>
  <c r="W1398" i="24"/>
  <c r="AQ44" i="10"/>
  <c r="W1320" i="24" s="1"/>
  <c r="I7" i="10"/>
  <c r="AA12" i="10"/>
  <c r="AC12" i="10" s="1" a="1"/>
  <c r="AC12" i="10" s="1"/>
  <c r="I27" i="10"/>
  <c r="W1386" i="24"/>
  <c r="M36" i="10"/>
  <c r="M44" i="10"/>
  <c r="I47" i="10"/>
  <c r="M48" i="10"/>
  <c r="AQ48" i="10"/>
  <c r="W1324" i="24" s="1"/>
  <c r="W1406" i="24"/>
  <c r="I10" i="10"/>
  <c r="I12" i="10"/>
  <c r="I14" i="10"/>
  <c r="AA26" i="10"/>
  <c r="AQ30" i="10"/>
  <c r="W1306" i="24" s="1"/>
  <c r="I40" i="10"/>
  <c r="AA45" i="10"/>
  <c r="AD45" i="10" s="1" a="1"/>
  <c r="AD45" i="10" s="1"/>
  <c r="AQ50" i="10"/>
  <c r="W1326" i="24" s="1"/>
  <c r="F58" i="10"/>
  <c r="M7" i="10"/>
  <c r="I15" i="10"/>
  <c r="I16" i="10"/>
  <c r="I18" i="10"/>
  <c r="I20" i="10"/>
  <c r="I22" i="10"/>
  <c r="AA28" i="10"/>
  <c r="AC28" i="10" s="1" a="1"/>
  <c r="AC28" i="10" s="1"/>
  <c r="AQ32" i="10"/>
  <c r="W1308" i="24" s="1"/>
  <c r="M33" i="10"/>
  <c r="AQ36" i="10"/>
  <c r="W1312" i="24" s="1"/>
  <c r="I39" i="10"/>
  <c r="I42" i="10"/>
  <c r="AA47" i="10"/>
  <c r="AQ52" i="10"/>
  <c r="W1328" i="24" s="1"/>
  <c r="AQ54" i="10"/>
  <c r="W1330" i="24" s="1"/>
  <c r="I57" i="10"/>
  <c r="AX61" i="10"/>
  <c r="AJ1353" i="24" s="1"/>
  <c r="W1364" i="24"/>
  <c r="AQ8" i="10"/>
  <c r="W1284" i="24" s="1"/>
  <c r="M9" i="10"/>
  <c r="M11" i="10"/>
  <c r="I23" i="10"/>
  <c r="I24" i="10"/>
  <c r="AA30" i="10"/>
  <c r="W1390" i="24"/>
  <c r="W1392" i="24"/>
  <c r="AQ38" i="10"/>
  <c r="W1314" i="24" s="1"/>
  <c r="I41" i="10"/>
  <c r="I44" i="10"/>
  <c r="AA49" i="10"/>
  <c r="F49" i="10" s="1"/>
  <c r="W1408" i="24"/>
  <c r="AQ56" i="10"/>
  <c r="W1332" i="24" s="1"/>
  <c r="W1370" i="24"/>
  <c r="M21" i="10"/>
  <c r="I25" i="10"/>
  <c r="AA32" i="10"/>
  <c r="AA35" i="10"/>
  <c r="W1394" i="24"/>
  <c r="AQ40" i="10"/>
  <c r="W1316" i="24" s="1"/>
  <c r="I43" i="10"/>
  <c r="I46" i="10"/>
  <c r="AA51" i="10"/>
  <c r="F51" i="10" s="1"/>
  <c r="AA53" i="10"/>
  <c r="F53" i="10" s="1"/>
  <c r="W1412" i="24"/>
  <c r="AQ59" i="10"/>
  <c r="W1335" i="24" s="1"/>
  <c r="H61" i="10"/>
  <c r="W1372" i="24"/>
  <c r="AQ16" i="10"/>
  <c r="W1292" i="24" s="1"/>
  <c r="AQ18" i="10"/>
  <c r="W1294" i="24" s="1"/>
  <c r="W1376" i="24"/>
  <c r="AQ20" i="10"/>
  <c r="W1296" i="24" s="1"/>
  <c r="AQ22" i="10"/>
  <c r="W1298" i="24" s="1"/>
  <c r="I28" i="10"/>
  <c r="N28" i="28" s="1"/>
  <c r="AA37" i="10"/>
  <c r="W1396" i="24"/>
  <c r="AQ42" i="10"/>
  <c r="W1318" i="24" s="1"/>
  <c r="I45" i="10"/>
  <c r="M59" i="10"/>
  <c r="I6" i="10"/>
  <c r="W1382" i="24"/>
  <c r="AQ26" i="10"/>
  <c r="W1302" i="24" s="1"/>
  <c r="I32" i="10"/>
  <c r="I36" i="10"/>
  <c r="W1400" i="24"/>
  <c r="AQ46" i="10"/>
  <c r="W1322" i="24" s="1"/>
  <c r="W1148" i="24"/>
  <c r="F34" i="10"/>
  <c r="I5" i="10"/>
  <c r="D61" i="10"/>
  <c r="AI11" i="10"/>
  <c r="W1206" i="24" s="1"/>
  <c r="AI13" i="10"/>
  <c r="W1208" i="24" s="1"/>
  <c r="AI17" i="10"/>
  <c r="W1212" i="24" s="1"/>
  <c r="AI19" i="10"/>
  <c r="W1214" i="24" s="1"/>
  <c r="AI21" i="10"/>
  <c r="W1216" i="24" s="1"/>
  <c r="AQ34" i="10"/>
  <c r="AS34" i="10" s="1" a="1"/>
  <c r="AS34" i="10" s="1"/>
  <c r="M58" i="10"/>
  <c r="E59" i="10"/>
  <c r="M60" i="10"/>
  <c r="L61" i="10"/>
  <c r="W1363" i="24"/>
  <c r="W1365" i="24"/>
  <c r="W1367" i="24"/>
  <c r="W1371" i="24"/>
  <c r="W1377" i="24"/>
  <c r="W1379" i="24"/>
  <c r="W1381" i="24"/>
  <c r="W1385" i="24"/>
  <c r="W1389" i="24"/>
  <c r="AI53" i="10"/>
  <c r="W1248" i="24" s="1"/>
  <c r="AQ58" i="10"/>
  <c r="W1334" i="24" s="1"/>
  <c r="AQ60" i="10"/>
  <c r="W1336" i="24" s="1"/>
  <c r="AC34" i="10" a="1"/>
  <c r="AC34" i="10" s="1"/>
  <c r="P61" i="10"/>
  <c r="W1391" i="24"/>
  <c r="M35" i="10"/>
  <c r="M37" i="10"/>
  <c r="E38" i="10"/>
  <c r="M39" i="10"/>
  <c r="E40" i="10"/>
  <c r="M41" i="10"/>
  <c r="E42" i="10"/>
  <c r="M43" i="10"/>
  <c r="M45" i="10"/>
  <c r="M47" i="10"/>
  <c r="E48" i="10"/>
  <c r="M49" i="10"/>
  <c r="E50" i="10"/>
  <c r="M51" i="10"/>
  <c r="E52" i="10"/>
  <c r="M53" i="10"/>
  <c r="E54" i="10"/>
  <c r="M55" i="10"/>
  <c r="E56" i="10"/>
  <c r="M57" i="10"/>
  <c r="AH61" i="10"/>
  <c r="E5" i="10"/>
  <c r="E7" i="10"/>
  <c r="E9" i="10"/>
  <c r="E11" i="10"/>
  <c r="E13" i="10"/>
  <c r="E15" i="10"/>
  <c r="E17" i="10"/>
  <c r="E19" i="10"/>
  <c r="E21" i="10"/>
  <c r="E23" i="10"/>
  <c r="E25" i="10"/>
  <c r="E27" i="10"/>
  <c r="E29" i="10"/>
  <c r="E31" i="10"/>
  <c r="E33" i="10"/>
  <c r="AP61" i="10"/>
  <c r="AJ1272" i="24" s="1"/>
  <c r="I20" i="18"/>
  <c r="T29" i="18" a="1"/>
  <c r="T29" i="18" s="1"/>
  <c r="Y2960" i="24"/>
  <c r="Y2964" i="24"/>
  <c r="V10" i="18" a="1"/>
  <c r="V10" i="18" s="1"/>
  <c r="AG16" i="18"/>
  <c r="I17" i="18"/>
  <c r="T30" i="18" a="1"/>
  <c r="T30" i="18" s="1"/>
  <c r="I37" i="18"/>
  <c r="I40" i="18"/>
  <c r="E41" i="18"/>
  <c r="E48" i="18"/>
  <c r="E52" i="18"/>
  <c r="E4" i="18"/>
  <c r="E22" i="18"/>
  <c r="E25" i="18"/>
  <c r="E28" i="18"/>
  <c r="E42" i="18"/>
  <c r="E45" i="18"/>
  <c r="E56" i="18"/>
  <c r="E5" i="18"/>
  <c r="E57" i="18"/>
  <c r="E9" i="18"/>
  <c r="H61" i="18"/>
  <c r="E13" i="18"/>
  <c r="E33" i="18"/>
  <c r="Q61" i="18"/>
  <c r="R46" i="18" s="1"/>
  <c r="Y2927" i="24"/>
  <c r="Y2931" i="24"/>
  <c r="Y2943" i="24"/>
  <c r="Y2951" i="24"/>
  <c r="Y2959" i="24"/>
  <c r="Y2963" i="24"/>
  <c r="Z61" i="18"/>
  <c r="AJ2908" i="24" s="1"/>
  <c r="I6" i="18"/>
  <c r="E7" i="18"/>
  <c r="I10" i="18"/>
  <c r="E11" i="18"/>
  <c r="I14" i="18"/>
  <c r="E15" i="18"/>
  <c r="I18" i="18"/>
  <c r="E19" i="18"/>
  <c r="I22" i="18"/>
  <c r="E23" i="18"/>
  <c r="I26" i="18"/>
  <c r="E27" i="18"/>
  <c r="I30" i="18"/>
  <c r="E31" i="18"/>
  <c r="I34" i="18"/>
  <c r="E35" i="18"/>
  <c r="I38" i="18"/>
  <c r="E39" i="18"/>
  <c r="I42" i="18"/>
  <c r="E43" i="18"/>
  <c r="I46" i="18"/>
  <c r="E47" i="18"/>
  <c r="I50" i="18"/>
  <c r="E51" i="18"/>
  <c r="I54" i="18"/>
  <c r="E55" i="18"/>
  <c r="I58" i="18"/>
  <c r="E59" i="18"/>
  <c r="D61" i="18"/>
  <c r="AL18" i="16" a="1"/>
  <c r="AL18" i="16" s="1"/>
  <c r="AL37" i="16" a="1"/>
  <c r="AL37" i="16" s="1"/>
  <c r="AL38" i="16" a="1"/>
  <c r="AL38" i="16" s="1"/>
  <c r="AL54" i="16" a="1"/>
  <c r="AL54" i="16" s="1"/>
  <c r="AL55" i="16" a="1"/>
  <c r="AL55" i="16" s="1"/>
  <c r="AL57" i="16" a="1"/>
  <c r="AL57" i="16" s="1"/>
  <c r="AL59" i="16" a="1"/>
  <c r="AL59" i="16" s="1"/>
  <c r="AL4" i="16" a="1"/>
  <c r="AL4" i="16" s="1"/>
  <c r="AL9" i="16" a="1"/>
  <c r="AL9" i="16" s="1"/>
  <c r="AL40" i="16" a="1"/>
  <c r="AL40" i="16" s="1"/>
  <c r="AL27" i="16" a="1"/>
  <c r="AL27" i="16" s="1"/>
  <c r="AL41" i="16" a="1"/>
  <c r="AL41" i="16" s="1"/>
  <c r="AL23" i="16" a="1"/>
  <c r="AL23" i="16" s="1"/>
  <c r="AL43" i="16" a="1"/>
  <c r="AL43" i="16" s="1"/>
  <c r="AL44" i="16" a="1"/>
  <c r="AL44" i="16" s="1"/>
  <c r="AL25" i="16" a="1"/>
  <c r="AL25" i="16" s="1"/>
  <c r="AL31" i="16" a="1"/>
  <c r="AL31" i="16" s="1"/>
  <c r="AL14" i="16" a="1"/>
  <c r="AL14" i="16" s="1"/>
  <c r="AL16" i="16" a="1"/>
  <c r="AL16" i="16" s="1"/>
  <c r="AL48" i="16" a="1"/>
  <c r="AL48" i="16" s="1"/>
  <c r="AL11" i="16" a="1"/>
  <c r="AL11" i="16" s="1"/>
  <c r="AL20" i="16" a="1"/>
  <c r="AL20" i="16" s="1"/>
  <c r="AL52" i="16" a="1"/>
  <c r="AL52" i="16" s="1"/>
  <c r="AL53" i="16" a="1"/>
  <c r="AL53" i="16" s="1"/>
  <c r="Z49" i="16" a="1"/>
  <c r="Z49" i="16" s="1"/>
  <c r="W3" i="16"/>
  <c r="Z52" i="16" a="1"/>
  <c r="Z52" i="16" s="1"/>
  <c r="Z3" i="16" a="1"/>
  <c r="Z3" i="16" s="1"/>
  <c r="Z5" i="16" a="1"/>
  <c r="Z5" i="16" s="1"/>
  <c r="Z37" i="16" a="1"/>
  <c r="Z37" i="16" s="1"/>
  <c r="Z8" i="16" a="1"/>
  <c r="Z8" i="16" s="1"/>
  <c r="Z39" i="16" a="1"/>
  <c r="Z39" i="16" s="1"/>
  <c r="Z41" i="16" a="1"/>
  <c r="Z41" i="16" s="1"/>
  <c r="Z12" i="16" a="1"/>
  <c r="Z12" i="16" s="1"/>
  <c r="Z51" i="16" a="1"/>
  <c r="Z51" i="16" s="1"/>
  <c r="V14" i="16"/>
  <c r="V16" i="16"/>
  <c r="V18" i="16"/>
  <c r="AE2186" i="24"/>
  <c r="AE2203" i="24"/>
  <c r="AE2161" i="24"/>
  <c r="E5" i="16"/>
  <c r="V6" i="16"/>
  <c r="H61" i="16"/>
  <c r="E8" i="16"/>
  <c r="AE2166" i="24"/>
  <c r="V9" i="16"/>
  <c r="E10" i="16"/>
  <c r="E12" i="16"/>
  <c r="V20" i="16"/>
  <c r="E21" i="16"/>
  <c r="V35" i="16"/>
  <c r="E51" i="16"/>
  <c r="D61" i="16"/>
  <c r="AF61" i="16"/>
  <c r="AG17" i="16" s="1"/>
  <c r="M5" i="4"/>
  <c r="M7" i="4"/>
  <c r="M9" i="4"/>
  <c r="M11" i="4"/>
  <c r="Q42" i="4"/>
  <c r="E49" i="4"/>
  <c r="P61" i="4"/>
  <c r="I54" i="4"/>
  <c r="AE394" i="24"/>
  <c r="AN61" i="4"/>
  <c r="I35" i="4" s="1"/>
  <c r="I30" i="4"/>
  <c r="I32" i="4"/>
  <c r="I34" i="4"/>
  <c r="I36" i="4"/>
  <c r="I40" i="4"/>
  <c r="I42" i="4"/>
  <c r="I45" i="4"/>
  <c r="I50" i="4"/>
  <c r="I59" i="4"/>
  <c r="I5" i="4"/>
  <c r="I7" i="4"/>
  <c r="I9" i="4"/>
  <c r="I11" i="4"/>
  <c r="I13" i="4"/>
  <c r="I25" i="4"/>
  <c r="I57" i="4"/>
  <c r="I48" i="4"/>
  <c r="AE194" i="24"/>
  <c r="E22" i="4"/>
  <c r="AE189" i="24"/>
  <c r="E17" i="4"/>
  <c r="AE191" i="24"/>
  <c r="E19" i="4"/>
  <c r="AE199" i="24"/>
  <c r="E27" i="4"/>
  <c r="M29" i="4"/>
  <c r="AE363" i="24"/>
  <c r="M31" i="4"/>
  <c r="AE365" i="24"/>
  <c r="M33" i="4"/>
  <c r="AE367" i="24"/>
  <c r="M37" i="4"/>
  <c r="AE371" i="24"/>
  <c r="M39" i="4"/>
  <c r="AE373" i="24"/>
  <c r="M41" i="4"/>
  <c r="AE375" i="24"/>
  <c r="AE200" i="24"/>
  <c r="E28" i="4"/>
  <c r="AY61" i="4"/>
  <c r="AJ330" i="24" s="1"/>
  <c r="AE188" i="24"/>
  <c r="E16" i="4"/>
  <c r="M23" i="4"/>
  <c r="AE196" i="24"/>
  <c r="E24" i="4"/>
  <c r="AE201" i="24"/>
  <c r="E29" i="4"/>
  <c r="AE205" i="24"/>
  <c r="E33" i="4"/>
  <c r="AE209" i="24"/>
  <c r="E37" i="4"/>
  <c r="AE213" i="24"/>
  <c r="E41" i="4"/>
  <c r="AE192" i="24"/>
  <c r="E20" i="4"/>
  <c r="AE206" i="24"/>
  <c r="E34" i="4"/>
  <c r="AE212" i="24"/>
  <c r="E40" i="4"/>
  <c r="BJ61" i="4"/>
  <c r="AJ411" i="24" s="1"/>
  <c r="Q43" i="4"/>
  <c r="M25" i="4"/>
  <c r="AE198" i="24"/>
  <c r="E26" i="4"/>
  <c r="AE214" i="24"/>
  <c r="E42" i="4"/>
  <c r="AE3" i="20"/>
  <c r="AG3" i="20" s="1"/>
  <c r="AE197" i="24"/>
  <c r="E25" i="4"/>
  <c r="D61" i="4"/>
  <c r="H61" i="4"/>
  <c r="E5" i="4"/>
  <c r="E6" i="4"/>
  <c r="E7" i="4"/>
  <c r="E8" i="4"/>
  <c r="E9" i="4"/>
  <c r="E10" i="4"/>
  <c r="E11" i="4"/>
  <c r="E13" i="4"/>
  <c r="E14" i="4"/>
  <c r="E15" i="4"/>
  <c r="M30" i="4"/>
  <c r="AE364" i="24"/>
  <c r="M32" i="4"/>
  <c r="AE366" i="24"/>
  <c r="M34" i="4"/>
  <c r="AE368" i="24"/>
  <c r="M36" i="4"/>
  <c r="AE370" i="24"/>
  <c r="M38" i="4"/>
  <c r="AE372" i="24"/>
  <c r="M40" i="4"/>
  <c r="AE374" i="24"/>
  <c r="Q44" i="4"/>
  <c r="BN45" i="4" a="1"/>
  <c r="BN45" i="4" s="1"/>
  <c r="Q45" i="4"/>
  <c r="Q47" i="4"/>
  <c r="Q49" i="4"/>
  <c r="Q51" i="4"/>
  <c r="Q53" i="4"/>
  <c r="AE470" i="24"/>
  <c r="Q55" i="4"/>
  <c r="Q57" i="4"/>
  <c r="Q59" i="4"/>
  <c r="Q46" i="4"/>
  <c r="Q48" i="4"/>
  <c r="Q50" i="4"/>
  <c r="Q52" i="4"/>
  <c r="Q54" i="4"/>
  <c r="Q56" i="4"/>
  <c r="Q58" i="4"/>
  <c r="BN60" i="4" a="1"/>
  <c r="BN60" i="4" s="1"/>
  <c r="Q60" i="4"/>
  <c r="AE381" i="24"/>
  <c r="AE393" i="24"/>
  <c r="AC58" i="10" a="1"/>
  <c r="AC58" i="10" s="1"/>
  <c r="AD58" i="10" a="1"/>
  <c r="AD58" i="10" s="1"/>
  <c r="AC38" i="10" a="1"/>
  <c r="AC38" i="10" s="1"/>
  <c r="AC48" i="10" a="1"/>
  <c r="AC48" i="10" s="1"/>
  <c r="AG37" i="19" a="1"/>
  <c r="AG37" i="19" s="1"/>
  <c r="AL59" i="10" a="1"/>
  <c r="AL59" i="10" s="1"/>
  <c r="AC22" i="10" a="1"/>
  <c r="AC22" i="10" s="1"/>
  <c r="AE9" i="19" a="1"/>
  <c r="AE9" i="19" s="1"/>
  <c r="AE3" i="19" a="1"/>
  <c r="AE3" i="19" s="1"/>
  <c r="AF53" i="19" a="1"/>
  <c r="AF53" i="19" s="1"/>
  <c r="AG8" i="19" a="1"/>
  <c r="AG8" i="19" s="1"/>
  <c r="AG42" i="19" a="1"/>
  <c r="AG42" i="19" s="1"/>
  <c r="J25" i="19"/>
  <c r="AG25" i="19" a="1"/>
  <c r="AG25" i="19" s="1"/>
  <c r="AF50" i="19" a="1"/>
  <c r="AF50" i="19" s="1"/>
  <c r="AF4" i="19" a="1"/>
  <c r="AF4" i="19" s="1"/>
  <c r="J9" i="19"/>
  <c r="AF16" i="19" a="1"/>
  <c r="AF16" i="19" s="1"/>
  <c r="AF41" i="19" a="1"/>
  <c r="AF41" i="19" s="1"/>
  <c r="AF5" i="19" a="1"/>
  <c r="AF5" i="19" s="1"/>
  <c r="AF38" i="19" a="1"/>
  <c r="AF38" i="19" s="1"/>
  <c r="J20" i="19"/>
  <c r="AF37" i="19" a="1"/>
  <c r="AF37" i="19" s="1"/>
  <c r="J40" i="19"/>
  <c r="AG6" i="19" a="1"/>
  <c r="AG6" i="19" s="1"/>
  <c r="J52" i="19"/>
  <c r="AF13" i="19" a="1"/>
  <c r="AF13" i="19" s="1"/>
  <c r="AG20" i="19" a="1"/>
  <c r="AG20" i="19" s="1"/>
  <c r="AG13" i="19" a="1"/>
  <c r="AG13" i="19" s="1"/>
  <c r="J38" i="19"/>
  <c r="AF12" i="19" a="1"/>
  <c r="AF12" i="19" s="1"/>
  <c r="AF8" i="19" a="1"/>
  <c r="AF8" i="19" s="1"/>
  <c r="J54" i="19"/>
  <c r="AF33" i="19" a="1"/>
  <c r="AF33" i="19" s="1"/>
  <c r="J24" i="19"/>
  <c r="AF29" i="19" a="1"/>
  <c r="AF29" i="19" s="1"/>
  <c r="J43" i="19"/>
  <c r="AF32" i="19" a="1"/>
  <c r="AF32" i="19" s="1"/>
  <c r="AG32" i="19" a="1"/>
  <c r="AG32" i="19" s="1"/>
  <c r="J4" i="19"/>
  <c r="J12" i="19"/>
  <c r="J16" i="19"/>
  <c r="AF24" i="19" a="1"/>
  <c r="AF24" i="19" s="1"/>
  <c r="AF28" i="19" a="1"/>
  <c r="AF28" i="19" s="1"/>
  <c r="AF36" i="19" a="1"/>
  <c r="AF36" i="19" s="1"/>
  <c r="AF49" i="19" a="1"/>
  <c r="AF49" i="19" s="1"/>
  <c r="AF60" i="19" a="1"/>
  <c r="AF60" i="19" s="1"/>
  <c r="AG49" i="19" a="1"/>
  <c r="AG49" i="19" s="1"/>
  <c r="AG60" i="19" a="1"/>
  <c r="AG60" i="19" s="1"/>
  <c r="AF14" i="19" a="1"/>
  <c r="AF14" i="19" s="1"/>
  <c r="AG18" i="19" a="1"/>
  <c r="AG18" i="19" s="1"/>
  <c r="J21" i="19"/>
  <c r="AF35" i="19" a="1"/>
  <c r="AF35" i="19" s="1"/>
  <c r="AF44" i="19" a="1"/>
  <c r="AF44" i="19" s="1"/>
  <c r="AF48" i="19" a="1"/>
  <c r="AF48" i="19" s="1"/>
  <c r="AF59" i="19" a="1"/>
  <c r="AF59" i="19" s="1"/>
  <c r="AF9" i="19" a="1"/>
  <c r="AF9" i="19" s="1"/>
  <c r="AF47" i="19" a="1"/>
  <c r="AF47" i="19" s="1"/>
  <c r="AG59" i="19" a="1"/>
  <c r="AG59" i="19" s="1"/>
  <c r="AG47" i="19" a="1"/>
  <c r="AG47" i="19" s="1"/>
  <c r="AF17" i="19" a="1"/>
  <c r="AF17" i="19" s="1"/>
  <c r="AF26" i="19" a="1"/>
  <c r="AF26" i="19" s="1"/>
  <c r="AG30" i="19" a="1"/>
  <c r="AG30" i="19" s="1"/>
  <c r="AF21" i="19" a="1"/>
  <c r="AF21" i="19" s="1"/>
  <c r="J28" i="19"/>
  <c r="J36" i="19"/>
  <c r="J48" i="19"/>
  <c r="J6" i="19"/>
  <c r="AF11" i="19" a="1"/>
  <c r="AF11" i="19" s="1"/>
  <c r="J18" i="19"/>
  <c r="AF23" i="19" a="1"/>
  <c r="AF23" i="19" s="1"/>
  <c r="J30" i="19"/>
  <c r="J42" i="19"/>
  <c r="J5" i="19"/>
  <c r="AF10" i="19" a="1"/>
  <c r="AF10" i="19" s="1"/>
  <c r="AG11" i="19" a="1"/>
  <c r="AG11" i="19" s="1"/>
  <c r="J17" i="19"/>
  <c r="AF22" i="19" a="1"/>
  <c r="AF22" i="19" s="1"/>
  <c r="AG23" i="19" a="1"/>
  <c r="AG23" i="19" s="1"/>
  <c r="J29" i="19"/>
  <c r="AF34" i="19" a="1"/>
  <c r="AF34" i="19" s="1"/>
  <c r="AG35" i="19" a="1"/>
  <c r="AG35" i="19" s="1"/>
  <c r="J41" i="19"/>
  <c r="AF46" i="19" a="1"/>
  <c r="AF46" i="19" s="1"/>
  <c r="J53" i="19"/>
  <c r="AF58" i="19" a="1"/>
  <c r="AF58" i="19" s="1"/>
  <c r="AG10" i="19" a="1"/>
  <c r="AG10" i="19" s="1"/>
  <c r="AG22" i="19" a="1"/>
  <c r="AG22" i="19" s="1"/>
  <c r="AG34" i="19" a="1"/>
  <c r="AG34" i="19" s="1"/>
  <c r="AF45" i="19" a="1"/>
  <c r="AF45" i="19" s="1"/>
  <c r="AG46" i="19" a="1"/>
  <c r="AG46" i="19" s="1"/>
  <c r="AF57" i="19" a="1"/>
  <c r="AF57" i="19" s="1"/>
  <c r="AG58" i="19" a="1"/>
  <c r="AG58" i="19" s="1"/>
  <c r="AC61" i="19"/>
  <c r="J15" i="19"/>
  <c r="J27" i="19"/>
  <c r="AG33" i="19" a="1"/>
  <c r="AG33" i="19" s="1"/>
  <c r="J39" i="19"/>
  <c r="AG45" i="19" a="1"/>
  <c r="AG45" i="19" s="1"/>
  <c r="J51" i="19"/>
  <c r="AF56" i="19" a="1"/>
  <c r="AF56" i="19" s="1"/>
  <c r="AG57" i="19" a="1"/>
  <c r="AG57" i="19" s="1"/>
  <c r="J3" i="19"/>
  <c r="AF7" i="19" a="1"/>
  <c r="AF7" i="19" s="1"/>
  <c r="J14" i="19"/>
  <c r="AF19" i="19" a="1"/>
  <c r="AF19" i="19" s="1"/>
  <c r="J26" i="19"/>
  <c r="AF31" i="19" a="1"/>
  <c r="AF31" i="19" s="1"/>
  <c r="AF43" i="19" a="1"/>
  <c r="AF43" i="19" s="1"/>
  <c r="AG44" i="19" a="1"/>
  <c r="AG44" i="19" s="1"/>
  <c r="J50" i="19"/>
  <c r="AF55" i="19" a="1"/>
  <c r="AF55" i="19" s="1"/>
  <c r="AG56" i="19" a="1"/>
  <c r="AG56" i="19" s="1"/>
  <c r="AG7" i="19" a="1"/>
  <c r="AG7" i="19" s="1"/>
  <c r="AG19" i="19" a="1"/>
  <c r="AG19" i="19" s="1"/>
  <c r="AG31" i="19" a="1"/>
  <c r="AG31" i="19" s="1"/>
  <c r="AF54" i="19" a="1"/>
  <c r="AF54" i="19" s="1"/>
  <c r="AG55" i="19" a="1"/>
  <c r="AG55" i="19" s="1"/>
  <c r="AD3" i="19"/>
  <c r="AD61" i="19" s="1"/>
  <c r="AF40" i="19" a="1"/>
  <c r="AF40" i="19" s="1"/>
  <c r="AF52" i="19" a="1"/>
  <c r="AF52" i="19" s="1"/>
  <c r="AF3" i="19" a="1"/>
  <c r="AF3" i="19" s="1"/>
  <c r="AF15" i="19" a="1"/>
  <c r="AF15" i="19" s="1"/>
  <c r="AF27" i="19" a="1"/>
  <c r="AF27" i="19" s="1"/>
  <c r="AF39" i="19" a="1"/>
  <c r="AF39" i="19" s="1"/>
  <c r="AF51" i="19" a="1"/>
  <c r="AF51" i="19" s="1"/>
  <c r="AS37" i="10" a="1"/>
  <c r="AS37" i="10" s="1"/>
  <c r="AT7" i="10" a="1"/>
  <c r="AT7" i="10" s="1"/>
  <c r="AS49" i="10" a="1"/>
  <c r="AS49" i="10" s="1"/>
  <c r="AT39" i="10" a="1"/>
  <c r="AT39" i="10" s="1"/>
  <c r="AT49" i="10" a="1"/>
  <c r="AT49" i="10" s="1"/>
  <c r="AT51" i="10" a="1"/>
  <c r="AT51" i="10" s="1"/>
  <c r="N53" i="10"/>
  <c r="N55" i="10"/>
  <c r="N57" i="10"/>
  <c r="AT53" i="10" a="1"/>
  <c r="AT53" i="10" s="1"/>
  <c r="AT55" i="10" a="1"/>
  <c r="AT55" i="10" s="1"/>
  <c r="AT57" i="10" a="1"/>
  <c r="AT57" i="10" s="1"/>
  <c r="AT11" i="10" a="1"/>
  <c r="AT11" i="10" s="1"/>
  <c r="AT37" i="10" a="1"/>
  <c r="AT37" i="10" s="1"/>
  <c r="AT21" i="10" a="1"/>
  <c r="AT21" i="10" s="1"/>
  <c r="AT9" i="10" a="1"/>
  <c r="AT9" i="10" s="1"/>
  <c r="AT43" i="10" a="1"/>
  <c r="AT43" i="10" s="1"/>
  <c r="N35" i="10"/>
  <c r="AT35" i="10" a="1"/>
  <c r="AT35" i="10" s="1"/>
  <c r="AT47" i="10" a="1"/>
  <c r="AT47" i="10" s="1"/>
  <c r="AT5" i="10" a="1"/>
  <c r="AT5" i="10" s="1"/>
  <c r="AT17" i="10" a="1"/>
  <c r="AT17" i="10" s="1"/>
  <c r="AT45" i="10" a="1"/>
  <c r="AT45" i="10" s="1"/>
  <c r="AT15" i="10" a="1"/>
  <c r="AT15" i="10" s="1"/>
  <c r="AT41" i="10" a="1"/>
  <c r="AT41" i="10" s="1"/>
  <c r="AQ3" i="10"/>
  <c r="W1279" i="24" s="1"/>
  <c r="N23" i="10"/>
  <c r="N25" i="10"/>
  <c r="N27" i="10"/>
  <c r="N29" i="10"/>
  <c r="N31" i="10"/>
  <c r="N33" i="10"/>
  <c r="AC24" i="10" a="1"/>
  <c r="AC24" i="10" s="1"/>
  <c r="AC27" i="10" a="1"/>
  <c r="AC27" i="10" s="1"/>
  <c r="F55" i="10"/>
  <c r="AD55" i="10" a="1"/>
  <c r="AD55" i="10" s="1"/>
  <c r="AC15" i="10" a="1"/>
  <c r="AC15" i="10" s="1"/>
  <c r="F9" i="10"/>
  <c r="F16" i="10"/>
  <c r="AD16" i="10" a="1"/>
  <c r="AD16" i="10" s="1"/>
  <c r="F57" i="10"/>
  <c r="AD57" i="10" a="1"/>
  <c r="AD57" i="10" s="1"/>
  <c r="F56" i="10"/>
  <c r="AD56" i="10" a="1"/>
  <c r="AD56" i="10" s="1"/>
  <c r="F20" i="10"/>
  <c r="AD20" i="10" a="1"/>
  <c r="AD20" i="10" s="1"/>
  <c r="F50" i="10"/>
  <c r="AD50" i="10" a="1"/>
  <c r="AD50" i="10" s="1"/>
  <c r="F19" i="10"/>
  <c r="F40" i="10"/>
  <c r="AD40" i="10" a="1"/>
  <c r="AD40" i="10" s="1"/>
  <c r="F41" i="10"/>
  <c r="AD41" i="10" a="1"/>
  <c r="AD41" i="10" s="1"/>
  <c r="F33" i="10"/>
  <c r="AC40" i="10" a="1"/>
  <c r="AC40" i="10" s="1"/>
  <c r="F25" i="10"/>
  <c r="AD25" i="10" a="1"/>
  <c r="AD25" i="10" s="1"/>
  <c r="AD34" i="10" a="1"/>
  <c r="AD34" i="10" s="1"/>
  <c r="F15" i="10"/>
  <c r="F27" i="10"/>
  <c r="AD27" i="10" a="1"/>
  <c r="AD27" i="10" s="1"/>
  <c r="F8" i="10"/>
  <c r="AD8" i="10" a="1"/>
  <c r="AD8" i="10" s="1"/>
  <c r="F22" i="10"/>
  <c r="AD22" i="10" a="1"/>
  <c r="AD22" i="10" s="1"/>
  <c r="AD33" i="10" a="1"/>
  <c r="AD33" i="10" s="1"/>
  <c r="F7" i="10"/>
  <c r="AD15" i="10" a="1"/>
  <c r="AD15" i="10" s="1"/>
  <c r="AD7" i="10" a="1"/>
  <c r="AD7" i="10" s="1"/>
  <c r="AD9" i="10" a="1"/>
  <c r="AD9" i="10" s="1"/>
  <c r="AD19" i="10" a="1"/>
  <c r="AD19" i="10" s="1"/>
  <c r="F13" i="10"/>
  <c r="AD13" i="10" a="1"/>
  <c r="AD13" i="10" s="1"/>
  <c r="F21" i="10"/>
  <c r="AD21" i="10" a="1"/>
  <c r="AD21" i="10" s="1"/>
  <c r="F31" i="10"/>
  <c r="AD31" i="10" a="1"/>
  <c r="AD31" i="10" s="1"/>
  <c r="F38" i="10"/>
  <c r="AD38" i="10" a="1"/>
  <c r="AD38" i="10" s="1"/>
  <c r="F52" i="10"/>
  <c r="AD52" i="10" a="1"/>
  <c r="AD52" i="10" s="1"/>
  <c r="F59" i="10"/>
  <c r="AD59" i="10" a="1"/>
  <c r="AD59" i="10" s="1"/>
  <c r="F5" i="10"/>
  <c r="AD5" i="10" a="1"/>
  <c r="AD5" i="10" s="1"/>
  <c r="F11" i="10"/>
  <c r="AD11" i="10" a="1"/>
  <c r="AD11" i="10" s="1"/>
  <c r="F17" i="10"/>
  <c r="AD17" i="10" a="1"/>
  <c r="AD17" i="10" s="1"/>
  <c r="F23" i="10"/>
  <c r="AD23" i="10" a="1"/>
  <c r="AD23" i="10" s="1"/>
  <c r="F29" i="10"/>
  <c r="AD29" i="10" a="1"/>
  <c r="AD29" i="10" s="1"/>
  <c r="Z61" i="10"/>
  <c r="AA36" i="10" s="1"/>
  <c r="AB36" i="10" s="1"/>
  <c r="F18" i="10"/>
  <c r="AD18" i="10" a="1"/>
  <c r="AD18" i="10" s="1"/>
  <c r="F24" i="10"/>
  <c r="AD24" i="10" a="1"/>
  <c r="AD24" i="10" s="1"/>
  <c r="F42" i="10"/>
  <c r="AD42" i="10" a="1"/>
  <c r="AD42" i="10" s="1"/>
  <c r="F48" i="10"/>
  <c r="AD48" i="10" a="1"/>
  <c r="AD48" i="10" s="1"/>
  <c r="F54" i="10"/>
  <c r="AD54" i="10" a="1"/>
  <c r="AD54" i="10" s="1"/>
  <c r="T7" i="11" a="1"/>
  <c r="T7" i="11" s="1"/>
  <c r="T19" i="11" a="1"/>
  <c r="T19" i="11" s="1"/>
  <c r="T31" i="11" a="1"/>
  <c r="T31" i="11" s="1"/>
  <c r="T37" i="11" a="1"/>
  <c r="T37" i="11" s="1"/>
  <c r="T43" i="11" a="1"/>
  <c r="T43" i="11" s="1"/>
  <c r="T49" i="11" a="1"/>
  <c r="T49" i="11" s="1"/>
  <c r="T55" i="11" a="1"/>
  <c r="T55" i="11" s="1"/>
  <c r="AC7" i="10" a="1"/>
  <c r="AC7" i="10" s="1"/>
  <c r="U40" i="17" a="1"/>
  <c r="U40" i="17" s="1"/>
  <c r="AD50" i="17" a="1"/>
  <c r="AD50" i="17" s="1"/>
  <c r="U51" i="17" a="1"/>
  <c r="U51" i="17" s="1"/>
  <c r="AK15" i="10" a="1"/>
  <c r="AK15" i="10" s="1"/>
  <c r="H61" i="19"/>
  <c r="AC8" i="10" a="1"/>
  <c r="AC8" i="10" s="1"/>
  <c r="AD8" i="17" a="1"/>
  <c r="AD8" i="17" s="1"/>
  <c r="AE57" i="19" a="1"/>
  <c r="AE57" i="19" s="1"/>
  <c r="AC20" i="10" a="1"/>
  <c r="AC20" i="10" s="1"/>
  <c r="AD20" i="17" a="1"/>
  <c r="AD20" i="17" s="1"/>
  <c r="AE8" i="19" a="1"/>
  <c r="AE8" i="19" s="1"/>
  <c r="AE60" i="19" a="1"/>
  <c r="AE60" i="19" s="1"/>
  <c r="AD26" i="17" a="1"/>
  <c r="AD26" i="17" s="1"/>
  <c r="AE32" i="19" a="1"/>
  <c r="AE32" i="19" s="1"/>
  <c r="AE14" i="19" a="1"/>
  <c r="AE14" i="19" s="1"/>
  <c r="AD44" i="17" a="1"/>
  <c r="AD44" i="17" s="1"/>
  <c r="AJ59" i="16" a="1"/>
  <c r="AJ59" i="16" s="1"/>
  <c r="AC59" i="10" a="1"/>
  <c r="AC59" i="10" s="1"/>
  <c r="AD14" i="17" a="1"/>
  <c r="AD14" i="17" s="1"/>
  <c r="AS7" i="10" a="1"/>
  <c r="AS7" i="10" s="1"/>
  <c r="U10" i="17" a="1"/>
  <c r="U10" i="17" s="1"/>
  <c r="AC13" i="10" a="1"/>
  <c r="AC13" i="10" s="1"/>
  <c r="AE44" i="19" a="1"/>
  <c r="AE44" i="19" s="1"/>
  <c r="AE47" i="19" a="1"/>
  <c r="AE47" i="19" s="1"/>
  <c r="AE50" i="19" a="1"/>
  <c r="AE50" i="19" s="1"/>
  <c r="AE53" i="19" a="1"/>
  <c r="AE53" i="19" s="1"/>
  <c r="AE56" i="19" a="1"/>
  <c r="AE56" i="19" s="1"/>
  <c r="AE59" i="19" a="1"/>
  <c r="AE59" i="19" s="1"/>
  <c r="T12" i="12" a="1"/>
  <c r="T12" i="12" s="1"/>
  <c r="U13" i="17" a="1"/>
  <c r="U13" i="17" s="1"/>
  <c r="U27" i="17" a="1"/>
  <c r="U27" i="17" s="1"/>
  <c r="AE5" i="19" a="1"/>
  <c r="AE5" i="19" s="1"/>
  <c r="AE45" i="19" a="1"/>
  <c r="AE45" i="19" s="1"/>
  <c r="AE11" i="19" a="1"/>
  <c r="AE11" i="19" s="1"/>
  <c r="AC29" i="10" a="1"/>
  <c r="AC29" i="10" s="1"/>
  <c r="AS29" i="10" a="1"/>
  <c r="AS29" i="10" s="1"/>
  <c r="AD29" i="17" a="1"/>
  <c r="AD29" i="17" s="1"/>
  <c r="AE23" i="19" a="1"/>
  <c r="AE23" i="19" s="1"/>
  <c r="AD35" i="17" a="1"/>
  <c r="AD35" i="17" s="1"/>
  <c r="AS35" i="10" a="1"/>
  <c r="AS35" i="10" s="1"/>
  <c r="AS47" i="10" a="1"/>
  <c r="AS47" i="10" s="1"/>
  <c r="U4" i="17" a="1"/>
  <c r="U4" i="17" s="1"/>
  <c r="AE10" i="19" a="1"/>
  <c r="AE10" i="19" s="1"/>
  <c r="U16" i="17" a="1"/>
  <c r="U16" i="17" s="1"/>
  <c r="U19" i="17" a="1"/>
  <c r="U19" i="17" s="1"/>
  <c r="AC19" i="10" a="1"/>
  <c r="AC19" i="10" s="1"/>
  <c r="AC25" i="10" a="1"/>
  <c r="AC25" i="10" s="1"/>
  <c r="U28" i="17" a="1"/>
  <c r="U28" i="17" s="1"/>
  <c r="AC31" i="10" a="1"/>
  <c r="AC31" i="10" s="1"/>
  <c r="AS31" i="10" a="1"/>
  <c r="AS31" i="10" s="1"/>
  <c r="U31" i="17" a="1"/>
  <c r="U31" i="17" s="1"/>
  <c r="U34" i="17" a="1"/>
  <c r="U34" i="17" s="1"/>
  <c r="AC16" i="10" a="1"/>
  <c r="AC16" i="10" s="1"/>
  <c r="AS25" i="10" a="1"/>
  <c r="AS25" i="10" s="1"/>
  <c r="AD47" i="17" a="1"/>
  <c r="AD47" i="17" s="1"/>
  <c r="AS53" i="10" a="1"/>
  <c r="AS53" i="10" s="1"/>
  <c r="AD53" i="17" a="1"/>
  <c r="AD53" i="17" s="1"/>
  <c r="T11" i="11" a="1"/>
  <c r="T11" i="11" s="1"/>
  <c r="AE4" i="19" a="1"/>
  <c r="AE4" i="19" s="1"/>
  <c r="AE16" i="19" a="1"/>
  <c r="AE16" i="19" s="1"/>
  <c r="AE19" i="19" a="1"/>
  <c r="AE19" i="19" s="1"/>
  <c r="AE22" i="19" a="1"/>
  <c r="AE22" i="19" s="1"/>
  <c r="AE28" i="19" a="1"/>
  <c r="AE28" i="19" s="1"/>
  <c r="AE31" i="19" a="1"/>
  <c r="AE31" i="19" s="1"/>
  <c r="AE34" i="19" a="1"/>
  <c r="AE34" i="19" s="1"/>
  <c r="U37" i="17" a="1"/>
  <c r="U37" i="17" s="1"/>
  <c r="AR53" i="4" a="1"/>
  <c r="AR53" i="4" s="1"/>
  <c r="AR54" i="4" a="1"/>
  <c r="AR54" i="4" s="1"/>
  <c r="AC11" i="10" a="1"/>
  <c r="AC11" i="10" s="1"/>
  <c r="AS11" i="10" a="1"/>
  <c r="AS11" i="10" s="1"/>
  <c r="AE26" i="19" a="1"/>
  <c r="AE26" i="19" s="1"/>
  <c r="AD56" i="17" a="1"/>
  <c r="AD56" i="17" s="1"/>
  <c r="AC56" i="10" a="1"/>
  <c r="AC56" i="10" s="1"/>
  <c r="T23" i="11" a="1"/>
  <c r="T23" i="11" s="1"/>
  <c r="AE37" i="19" a="1"/>
  <c r="AE37" i="19" s="1"/>
  <c r="AE40" i="19" a="1"/>
  <c r="AE40" i="19" s="1"/>
  <c r="AS43" i="10" a="1"/>
  <c r="AS43" i="10" s="1"/>
  <c r="U46" i="17" a="1"/>
  <c r="U46" i="17" s="1"/>
  <c r="U52" i="17" a="1"/>
  <c r="U52" i="17" s="1"/>
  <c r="AC55" i="10" a="1"/>
  <c r="AC55" i="10" s="1"/>
  <c r="AS55" i="10" a="1"/>
  <c r="AS55" i="10" s="1"/>
  <c r="U58" i="17" a="1"/>
  <c r="U58" i="17" s="1"/>
  <c r="AR59" i="4" a="1"/>
  <c r="AR59" i="4" s="1"/>
  <c r="AD32" i="17" a="1"/>
  <c r="AD32" i="17" s="1"/>
  <c r="AJ25" i="16" a="1"/>
  <c r="AJ25" i="16" s="1"/>
  <c r="AE54" i="19" a="1"/>
  <c r="AE54" i="19" s="1"/>
  <c r="AE48" i="19" a="1"/>
  <c r="AE48" i="19" s="1"/>
  <c r="AE29" i="19" a="1"/>
  <c r="AE29" i="19" s="1"/>
  <c r="AE35" i="19" a="1"/>
  <c r="AE35" i="19" s="1"/>
  <c r="AE43" i="19" a="1"/>
  <c r="AE43" i="19" s="1"/>
  <c r="AE52" i="19" a="1"/>
  <c r="AE52" i="19" s="1"/>
  <c r="AE58" i="19" a="1"/>
  <c r="AE58" i="19" s="1"/>
  <c r="AS5" i="10" a="1"/>
  <c r="AS5" i="10" s="1"/>
  <c r="AD5" i="17" a="1"/>
  <c r="AD5" i="17" s="1"/>
  <c r="AD23" i="17" a="1"/>
  <c r="AD23" i="17" s="1"/>
  <c r="AC23" i="10" a="1"/>
  <c r="AC23" i="10" s="1"/>
  <c r="AS23" i="10" a="1"/>
  <c r="AS23" i="10" s="1"/>
  <c r="AE17" i="19" a="1"/>
  <c r="AE17" i="19" s="1"/>
  <c r="AD38" i="17" a="1"/>
  <c r="AD38" i="17" s="1"/>
  <c r="AE41" i="19" a="1"/>
  <c r="AE41" i="19" s="1"/>
  <c r="U12" i="17" a="1"/>
  <c r="U12" i="17" s="1"/>
  <c r="AE46" i="19" a="1"/>
  <c r="AE46" i="19" s="1"/>
  <c r="AE49" i="19" a="1"/>
  <c r="AE49" i="19" s="1"/>
  <c r="AE55" i="19" a="1"/>
  <c r="AE55" i="19" s="1"/>
  <c r="AE6" i="19" a="1"/>
  <c r="AE6" i="19" s="1"/>
  <c r="AE12" i="19" a="1"/>
  <c r="AE12" i="19" s="1"/>
  <c r="AS15" i="10" a="1"/>
  <c r="AS15" i="10" s="1"/>
  <c r="U15" i="17" a="1"/>
  <c r="U15" i="17" s="1"/>
  <c r="AC18" i="10" a="1"/>
  <c r="AC18" i="10" s="1"/>
  <c r="AD21" i="17" a="1"/>
  <c r="AD21" i="17" s="1"/>
  <c r="AC21" i="10" a="1"/>
  <c r="AC21" i="10" s="1"/>
  <c r="AS21" i="10" a="1"/>
  <c r="AS21" i="10" s="1"/>
  <c r="U24" i="17" a="1"/>
  <c r="U24" i="17" s="1"/>
  <c r="AS27" i="10" a="1"/>
  <c r="AS27" i="10" s="1"/>
  <c r="AD27" i="17" a="1"/>
  <c r="AD27" i="17" s="1"/>
  <c r="U30" i="17" a="1"/>
  <c r="U30" i="17" s="1"/>
  <c r="U33" i="17" a="1"/>
  <c r="U33" i="17" s="1"/>
  <c r="AC33" i="10" a="1"/>
  <c r="AC33" i="10" s="1"/>
  <c r="AS33" i="10" a="1"/>
  <c r="AS33" i="10" s="1"/>
  <c r="AD33" i="17" a="1"/>
  <c r="AD33" i="17" s="1"/>
  <c r="AK9" i="10" a="1"/>
  <c r="AK9" i="10" s="1"/>
  <c r="T32" i="11" a="1"/>
  <c r="T32" i="11" s="1"/>
  <c r="T44" i="11" a="1"/>
  <c r="T44" i="11" s="1"/>
  <c r="T56" i="11" a="1"/>
  <c r="T56" i="11" s="1"/>
  <c r="U43" i="17" a="1"/>
  <c r="U43" i="17" s="1"/>
  <c r="AE7" i="19" a="1"/>
  <c r="AE7" i="19" s="1"/>
  <c r="AE51" i="19" a="1"/>
  <c r="AE51" i="19" s="1"/>
  <c r="AD17" i="17" a="1"/>
  <c r="AD17" i="17" s="1"/>
  <c r="AC17" i="10" a="1"/>
  <c r="AC17" i="10" s="1"/>
  <c r="AS17" i="10" a="1"/>
  <c r="AS17" i="10" s="1"/>
  <c r="AC50" i="10" a="1"/>
  <c r="AC50" i="10" s="1"/>
  <c r="AD3" i="17" a="1"/>
  <c r="AD3" i="17" s="1"/>
  <c r="U6" i="17" a="1"/>
  <c r="U6" i="17" s="1"/>
  <c r="U9" i="17" a="1"/>
  <c r="U9" i="17" s="1"/>
  <c r="AC9" i="10" a="1"/>
  <c r="AC9" i="10" s="1"/>
  <c r="AS9" i="10" a="1"/>
  <c r="AS9" i="10" s="1"/>
  <c r="AE15" i="19" a="1"/>
  <c r="AE15" i="19" s="1"/>
  <c r="AE21" i="19" a="1"/>
  <c r="AE21" i="19" s="1"/>
  <c r="AE24" i="19" a="1"/>
  <c r="AE24" i="19" s="1"/>
  <c r="AE27" i="19" a="1"/>
  <c r="AE27" i="19" s="1"/>
  <c r="AE30" i="19" a="1"/>
  <c r="AE30" i="19" s="1"/>
  <c r="AE33" i="19" a="1"/>
  <c r="AE33" i="19" s="1"/>
  <c r="AD36" i="17" a="1"/>
  <c r="AD36" i="17" s="1"/>
  <c r="AS39" i="10" a="1"/>
  <c r="AS39" i="10" s="1"/>
  <c r="AC42" i="10" a="1"/>
  <c r="AC42" i="10" s="1"/>
  <c r="U42" i="17" a="1"/>
  <c r="U42" i="17" s="1"/>
  <c r="AC5" i="10" a="1"/>
  <c r="AC5" i="10" s="1"/>
  <c r="AD11" i="17" a="1"/>
  <c r="AD11" i="17" s="1"/>
  <c r="AE20" i="19" a="1"/>
  <c r="AE20" i="19" s="1"/>
  <c r="AC41" i="10" a="1"/>
  <c r="AC41" i="10" s="1"/>
  <c r="AS41" i="10" a="1"/>
  <c r="AS41" i="10" s="1"/>
  <c r="AD41" i="17" a="1"/>
  <c r="AD41" i="17" s="1"/>
  <c r="AE38" i="19" a="1"/>
  <c r="AE38" i="19" s="1"/>
  <c r="AE36" i="19" a="1"/>
  <c r="AE36" i="19" s="1"/>
  <c r="AE39" i="19" a="1"/>
  <c r="AE39" i="19" s="1"/>
  <c r="AE42" i="19" a="1"/>
  <c r="AE42" i="19" s="1"/>
  <c r="AS45" i="10" a="1"/>
  <c r="AS45" i="10" s="1"/>
  <c r="U48" i="17" a="1"/>
  <c r="U48" i="17" s="1"/>
  <c r="AS51" i="10" a="1"/>
  <c r="AS51" i="10" s="1"/>
  <c r="AC54" i="10" a="1"/>
  <c r="AC54" i="10" s="1"/>
  <c r="U54" i="17" a="1"/>
  <c r="U54" i="17" s="1"/>
  <c r="U57" i="17" a="1"/>
  <c r="U57" i="17" s="1"/>
  <c r="AC57" i="10" a="1"/>
  <c r="AC57" i="10" s="1"/>
  <c r="AS57" i="10" a="1"/>
  <c r="AS57" i="10" s="1"/>
  <c r="AC52" i="10" a="1"/>
  <c r="AC52" i="10" s="1"/>
  <c r="U18" i="17" a="1"/>
  <c r="U18" i="17" s="1"/>
  <c r="U22" i="17" a="1"/>
  <c r="U22" i="17" s="1"/>
  <c r="U49" i="17" a="1"/>
  <c r="U49" i="17" s="1"/>
  <c r="AE18" i="19" a="1"/>
  <c r="AE18" i="19" s="1"/>
  <c r="AC33" i="18" a="1"/>
  <c r="AC33" i="18" s="1"/>
  <c r="AK6" i="10" a="1"/>
  <c r="AK6" i="10" s="1"/>
  <c r="AJ18" i="16" a="1"/>
  <c r="AJ18" i="16" s="1"/>
  <c r="AJ36" i="16" a="1"/>
  <c r="AJ36" i="16" s="1"/>
  <c r="AJ42" i="16" a="1"/>
  <c r="AJ42" i="16" s="1"/>
  <c r="AJ44" i="16" a="1"/>
  <c r="AJ44" i="16" s="1"/>
  <c r="T19" i="12" a="1"/>
  <c r="T19" i="12" s="1"/>
  <c r="T31" i="12" a="1"/>
  <c r="T31" i="12" s="1"/>
  <c r="D61" i="19"/>
  <c r="T7" i="12" a="1"/>
  <c r="T7" i="12" s="1"/>
  <c r="T13" i="12" a="1"/>
  <c r="T13" i="12" s="1"/>
  <c r="T30" i="12" a="1"/>
  <c r="T30" i="12" s="1"/>
  <c r="X13" i="16" a="1"/>
  <c r="X13" i="16" s="1"/>
  <c r="X26" i="16" a="1"/>
  <c r="X26" i="16" s="1"/>
  <c r="X28" i="16" a="1"/>
  <c r="X28" i="16" s="1"/>
  <c r="AJ24" i="16" a="1"/>
  <c r="AJ24" i="16" s="1"/>
  <c r="X30" i="16" a="1"/>
  <c r="X30" i="16" s="1"/>
  <c r="X32" i="16" a="1"/>
  <c r="X32" i="16" s="1"/>
  <c r="X34" i="16" a="1"/>
  <c r="X34" i="16" s="1"/>
  <c r="AC32" i="18" a="1"/>
  <c r="AC32" i="18" s="1"/>
  <c r="AC56" i="18" a="1"/>
  <c r="AC56" i="18" s="1"/>
  <c r="X19" i="16" a="1"/>
  <c r="X19" i="16" s="1"/>
  <c r="AJ6" i="16" a="1"/>
  <c r="AJ6" i="16" s="1"/>
  <c r="X24" i="16" a="1"/>
  <c r="X24" i="16" s="1"/>
  <c r="AC58" i="18" a="1"/>
  <c r="AC58" i="18" s="1"/>
  <c r="AJ16" i="16" a="1"/>
  <c r="AJ16" i="16" s="1"/>
  <c r="AJ54" i="16" a="1"/>
  <c r="AJ54" i="16" s="1"/>
  <c r="AJ31" i="16" a="1"/>
  <c r="AJ31" i="16" s="1"/>
  <c r="I7" i="16"/>
  <c r="AL24" i="16" a="1"/>
  <c r="AL24" i="16" s="1"/>
  <c r="S4" i="12"/>
  <c r="AK33" i="10" a="1"/>
  <c r="AK33" i="10" s="1"/>
  <c r="AK57" i="10" a="1"/>
  <c r="AK57" i="10" s="1"/>
  <c r="AL18" i="10" a="1"/>
  <c r="AL18" i="10" s="1"/>
  <c r="AL12" i="10" a="1"/>
  <c r="AL12" i="10" s="1"/>
  <c r="AL10" i="10" a="1"/>
  <c r="AL10" i="10" s="1"/>
  <c r="AL16" i="10" a="1"/>
  <c r="AL16" i="10" s="1"/>
  <c r="AL15" i="10" a="1"/>
  <c r="AL15" i="10" s="1"/>
  <c r="AK16" i="10" a="1"/>
  <c r="AK16" i="10" s="1"/>
  <c r="AK18" i="10" a="1"/>
  <c r="AK18" i="10" s="1"/>
  <c r="AK22" i="10" a="1"/>
  <c r="AK22" i="10" s="1"/>
  <c r="AL57" i="10" a="1"/>
  <c r="AL57" i="10" s="1"/>
  <c r="AL22" i="10" a="1"/>
  <c r="AL22" i="10" s="1"/>
  <c r="AL24" i="10" a="1"/>
  <c r="AL24" i="10" s="1"/>
  <c r="AK25" i="10" a="1"/>
  <c r="AK25" i="10" s="1"/>
  <c r="AK27" i="10" a="1"/>
  <c r="AK27" i="10" s="1"/>
  <c r="AL25" i="10" a="1"/>
  <c r="AL25" i="10" s="1"/>
  <c r="AL27" i="10" a="1"/>
  <c r="AL27" i="10" s="1"/>
  <c r="AK24" i="10" a="1"/>
  <c r="AK24" i="10" s="1"/>
  <c r="AK28" i="10" a="1"/>
  <c r="AK28" i="10" s="1"/>
  <c r="AK30" i="10" a="1"/>
  <c r="AK30" i="10" s="1"/>
  <c r="AL28" i="10" a="1"/>
  <c r="AL28" i="10" s="1"/>
  <c r="AL36" i="10" a="1"/>
  <c r="AL36" i="10" s="1"/>
  <c r="AK37" i="10" a="1"/>
  <c r="AK37" i="10" s="1"/>
  <c r="AL30" i="10" a="1"/>
  <c r="AL30" i="10" s="1"/>
  <c r="AK31" i="10" a="1"/>
  <c r="AK31" i="10" s="1"/>
  <c r="AK59" i="10" a="1"/>
  <c r="AK59" i="10" s="1"/>
  <c r="AK39" i="10" a="1"/>
  <c r="AK39" i="10" s="1"/>
  <c r="AL48" i="10" a="1"/>
  <c r="AL48" i="10" s="1"/>
  <c r="AL46" i="10" a="1"/>
  <c r="AL46" i="10" s="1"/>
  <c r="AL42" i="10" a="1"/>
  <c r="AL42" i="10" s="1"/>
  <c r="AL43" i="10" a="1"/>
  <c r="AL43" i="10" s="1"/>
  <c r="AL31" i="10" a="1"/>
  <c r="AL31" i="10" s="1"/>
  <c r="AL33" i="10" a="1"/>
  <c r="AL33" i="10" s="1"/>
  <c r="AK34" i="10" a="1"/>
  <c r="AK34" i="10" s="1"/>
  <c r="AL34" i="10" a="1"/>
  <c r="AL34" i="10" s="1"/>
  <c r="AL37" i="10" a="1"/>
  <c r="AL37" i="10" s="1"/>
  <c r="AL39" i="10" a="1"/>
  <c r="AL39" i="10" s="1"/>
  <c r="AK60" i="10" a="1"/>
  <c r="AK60" i="10" s="1"/>
  <c r="AK43" i="10" a="1"/>
  <c r="AK43" i="10" s="1"/>
  <c r="AL45" i="10" a="1"/>
  <c r="AL45" i="10" s="1"/>
  <c r="AK46" i="10" a="1"/>
  <c r="AK46" i="10" s="1"/>
  <c r="AK48" i="10" a="1"/>
  <c r="AK48" i="10" s="1"/>
  <c r="AL40" i="10" a="1"/>
  <c r="AL40" i="10" s="1"/>
  <c r="AK49" i="10" a="1"/>
  <c r="AK49" i="10" s="1"/>
  <c r="AK51" i="10" a="1"/>
  <c r="AK51" i="10" s="1"/>
  <c r="AL49" i="10" a="1"/>
  <c r="AL49" i="10" s="1"/>
  <c r="AL51" i="10" a="1"/>
  <c r="AL51" i="10" s="1"/>
  <c r="AK52" i="10" a="1"/>
  <c r="AK52" i="10" s="1"/>
  <c r="AK54" i="10" a="1"/>
  <c r="AK54" i="10" s="1"/>
  <c r="AK56" i="10" a="1"/>
  <c r="AK56" i="10" s="1"/>
  <c r="AL52" i="10" a="1"/>
  <c r="AL52" i="10" s="1"/>
  <c r="AL54" i="10" a="1"/>
  <c r="AL54" i="10" s="1"/>
  <c r="AL56" i="10" a="1"/>
  <c r="AL56" i="10" s="1"/>
  <c r="AK55" i="10" a="1"/>
  <c r="AK55" i="10" s="1"/>
  <c r="AL55" i="10" a="1"/>
  <c r="AL55" i="10" s="1"/>
  <c r="AL7" i="10" a="1"/>
  <c r="AL7" i="10" s="1"/>
  <c r="AK40" i="10" a="1"/>
  <c r="AK40" i="10" s="1"/>
  <c r="AK42" i="10" a="1"/>
  <c r="AK42" i="10" s="1"/>
  <c r="AK45" i="10" a="1"/>
  <c r="AK45" i="10" s="1"/>
  <c r="AL6" i="10" a="1"/>
  <c r="AL6" i="10" s="1"/>
  <c r="AK7" i="10" a="1"/>
  <c r="AK7" i="10" s="1"/>
  <c r="AL9" i="10" a="1"/>
  <c r="AL9" i="10" s="1"/>
  <c r="AK10" i="10" a="1"/>
  <c r="AK10" i="10" s="1"/>
  <c r="AK12" i="10" a="1"/>
  <c r="AK12" i="10" s="1"/>
  <c r="AK36" i="10" a="1"/>
  <c r="AK36" i="10" s="1"/>
  <c r="J5" i="10"/>
  <c r="J14" i="10"/>
  <c r="J20" i="10"/>
  <c r="J23" i="10"/>
  <c r="J26" i="10"/>
  <c r="J29" i="10"/>
  <c r="J32" i="10"/>
  <c r="J35" i="10"/>
  <c r="J38" i="10"/>
  <c r="J41" i="10"/>
  <c r="J44" i="10"/>
  <c r="J47" i="10"/>
  <c r="J50" i="10"/>
  <c r="J6" i="10"/>
  <c r="J9" i="10"/>
  <c r="J15" i="10"/>
  <c r="AK5" i="10" a="1"/>
  <c r="AK5" i="10" s="1"/>
  <c r="AK20" i="10" a="1"/>
  <c r="AK20" i="10" s="1"/>
  <c r="AK23" i="10" a="1"/>
  <c r="AK23" i="10" s="1"/>
  <c r="AK32" i="10" a="1"/>
  <c r="AK32" i="10" s="1"/>
  <c r="AK38" i="10" a="1"/>
  <c r="AK38" i="10" s="1"/>
  <c r="AK47" i="10" a="1"/>
  <c r="AK47" i="10" s="1"/>
  <c r="AK14" i="10" a="1"/>
  <c r="AK14" i="10" s="1"/>
  <c r="AK26" i="10" a="1"/>
  <c r="AK26" i="10" s="1"/>
  <c r="AK29" i="10" a="1"/>
  <c r="AK29" i="10" s="1"/>
  <c r="AK35" i="10" a="1"/>
  <c r="AK35" i="10" s="1"/>
  <c r="AK41" i="10" a="1"/>
  <c r="AK41" i="10" s="1"/>
  <c r="AK44" i="10" a="1"/>
  <c r="AK44" i="10" s="1"/>
  <c r="AK50" i="10" a="1"/>
  <c r="AK50" i="10" s="1"/>
  <c r="T26" i="11" a="1"/>
  <c r="T26" i="11" s="1"/>
  <c r="T60" i="11" a="1"/>
  <c r="T60" i="11" s="1"/>
  <c r="U60" i="11" a="1"/>
  <c r="U60" i="11" s="1"/>
  <c r="H26" i="11"/>
  <c r="AJ14" i="16" a="1"/>
  <c r="AJ14" i="16" s="1"/>
  <c r="AJ20" i="16" a="1"/>
  <c r="AJ20" i="16" s="1"/>
  <c r="AJ52" i="16" a="1"/>
  <c r="AJ52" i="16" s="1"/>
  <c r="AJ57" i="16" a="1"/>
  <c r="AJ57" i="16" s="1"/>
  <c r="AJ27" i="16" a="1"/>
  <c r="AJ27" i="16" s="1"/>
  <c r="AJ53" i="16" a="1"/>
  <c r="AJ53" i="16" s="1"/>
  <c r="AJ48" i="16" a="1"/>
  <c r="AJ48" i="16" s="1"/>
  <c r="AJ11" i="16" a="1"/>
  <c r="AJ11" i="16" s="1"/>
  <c r="AJ23" i="16" a="1"/>
  <c r="AJ23" i="16" s="1"/>
  <c r="AJ55" i="16" a="1"/>
  <c r="AJ55" i="16" s="1"/>
  <c r="AL6" i="16" a="1"/>
  <c r="AL6" i="16" s="1"/>
  <c r="AL36" i="16" a="1"/>
  <c r="AL36" i="16" s="1"/>
  <c r="AL42" i="16" a="1"/>
  <c r="AL42" i="16" s="1"/>
  <c r="AJ4" i="16" a="1"/>
  <c r="AJ4" i="16" s="1"/>
  <c r="AJ37" i="16" a="1"/>
  <c r="AJ37" i="16" s="1"/>
  <c r="AJ40" i="16" a="1"/>
  <c r="AJ40" i="16" s="1"/>
  <c r="AJ43" i="16" a="1"/>
  <c r="AJ43" i="16" s="1"/>
  <c r="AJ38" i="16" a="1"/>
  <c r="AJ38" i="16" s="1"/>
  <c r="AJ41" i="16" a="1"/>
  <c r="AJ41" i="16" s="1"/>
  <c r="AJ9" i="16" a="1"/>
  <c r="AJ9" i="16" s="1"/>
  <c r="X8" i="16" a="1"/>
  <c r="X8" i="16" s="1"/>
  <c r="Z24" i="16" a="1"/>
  <c r="Z24" i="16" s="1"/>
  <c r="Z19" i="16" a="1"/>
  <c r="Z19" i="16" s="1"/>
  <c r="X12" i="16" a="1"/>
  <c r="X12" i="16" s="1"/>
  <c r="Z13" i="16" a="1"/>
  <c r="Z13" i="16" s="1"/>
  <c r="Z32" i="16" a="1"/>
  <c r="Z32" i="16" s="1"/>
  <c r="Z28" i="16" a="1"/>
  <c r="Z28" i="16" s="1"/>
  <c r="Z30" i="16" a="1"/>
  <c r="Z30" i="16" s="1"/>
  <c r="Z26" i="16" a="1"/>
  <c r="Z26" i="16" s="1"/>
  <c r="Z34" i="16" a="1"/>
  <c r="Z34" i="16" s="1"/>
  <c r="X52" i="16" a="1"/>
  <c r="X52" i="16" s="1"/>
  <c r="X37" i="16" a="1"/>
  <c r="X37" i="16" s="1"/>
  <c r="X39" i="16" a="1"/>
  <c r="X39" i="16" s="1"/>
  <c r="X41" i="16" a="1"/>
  <c r="X41" i="16" s="1"/>
  <c r="X47" i="16" a="1"/>
  <c r="X47" i="16" s="1"/>
  <c r="X49" i="16" a="1"/>
  <c r="X49" i="16" s="1"/>
  <c r="X51" i="16" a="1"/>
  <c r="X51" i="16" s="1"/>
  <c r="X5" i="16" a="1"/>
  <c r="X5" i="16" s="1"/>
  <c r="V7" i="16"/>
  <c r="T61" i="16"/>
  <c r="E23" i="16" s="1"/>
  <c r="T57" i="18" a="1"/>
  <c r="T57" i="18" s="1"/>
  <c r="AC53" i="18" a="1"/>
  <c r="AC53" i="18" s="1"/>
  <c r="AD32" i="18" a="1"/>
  <c r="AD32" i="18" s="1"/>
  <c r="AC60" i="18" a="1"/>
  <c r="AC60" i="18" s="1"/>
  <c r="AC13" i="18" a="1"/>
  <c r="AC13" i="18" s="1"/>
  <c r="J53" i="18"/>
  <c r="AD41" i="18" a="1"/>
  <c r="AD41" i="18" s="1"/>
  <c r="AE42" i="18" a="1"/>
  <c r="AE42" i="18" s="1"/>
  <c r="AE54" i="18" a="1"/>
  <c r="AE54" i="18" s="1"/>
  <c r="AC20" i="18" a="1"/>
  <c r="AC20" i="18" s="1"/>
  <c r="AC28" i="18" a="1"/>
  <c r="AC28" i="18" s="1"/>
  <c r="AC29" i="18" a="1"/>
  <c r="AC29" i="18" s="1"/>
  <c r="AC6" i="18" a="1"/>
  <c r="AC6" i="18" s="1"/>
  <c r="AC17" i="18" a="1"/>
  <c r="AC17" i="18" s="1"/>
  <c r="AD29" i="18" a="1"/>
  <c r="AD29" i="18" s="1"/>
  <c r="AC30" i="18" a="1"/>
  <c r="AC30" i="18" s="1"/>
  <c r="AD6" i="18" a="1"/>
  <c r="AD6" i="18" s="1"/>
  <c r="AC8" i="18" a="1"/>
  <c r="AC8" i="18" s="1"/>
  <c r="AD17" i="18" a="1"/>
  <c r="AD17" i="18" s="1"/>
  <c r="AE29" i="18" a="1"/>
  <c r="AE29" i="18" s="1"/>
  <c r="AD30" i="18" a="1"/>
  <c r="AD30" i="18" s="1"/>
  <c r="AE17" i="18" a="1"/>
  <c r="AE17" i="18" s="1"/>
  <c r="AE30" i="18" a="1"/>
  <c r="AE30" i="18" s="1"/>
  <c r="J28" i="18"/>
  <c r="AD58" i="18" a="1"/>
  <c r="AD58" i="18" s="1"/>
  <c r="AD53" i="18" a="1"/>
  <c r="AD53" i="18" s="1"/>
  <c r="AC54" i="18" a="1"/>
  <c r="AC54" i="18" s="1"/>
  <c r="AD42" i="18" a="1"/>
  <c r="AD42" i="18" s="1"/>
  <c r="AD54" i="18" a="1"/>
  <c r="AD54" i="18" s="1"/>
  <c r="AD56" i="18" a="1"/>
  <c r="AD56" i="18" s="1"/>
  <c r="J33" i="18"/>
  <c r="J9" i="18"/>
  <c r="AC18" i="18" a="1"/>
  <c r="AC18" i="18" s="1"/>
  <c r="AC40" i="18" a="1"/>
  <c r="AC40" i="18" s="1"/>
  <c r="AC41" i="18" a="1"/>
  <c r="AC41" i="18" s="1"/>
  <c r="AD18" i="18" a="1"/>
  <c r="AD18" i="18" s="1"/>
  <c r="AE18" i="18" a="1"/>
  <c r="AE18" i="18" s="1"/>
  <c r="AC37" i="18" a="1"/>
  <c r="AC37" i="18" s="1"/>
  <c r="AE41" i="18" a="1"/>
  <c r="AE41" i="18" s="1"/>
  <c r="AC42" i="18" a="1"/>
  <c r="AC42" i="18" s="1"/>
  <c r="AE56" i="18" a="1"/>
  <c r="AE56" i="18" s="1"/>
  <c r="AD60" i="18" a="1"/>
  <c r="AD60" i="18" s="1"/>
  <c r="J4" i="18"/>
  <c r="AD8" i="18" a="1"/>
  <c r="AD8" i="18" s="1"/>
  <c r="AE32" i="18" a="1"/>
  <c r="AE32" i="18" s="1"/>
  <c r="AD33" i="18" a="1"/>
  <c r="AD33" i="18" s="1"/>
  <c r="J40" i="18"/>
  <c r="AE60" i="18" a="1"/>
  <c r="AE60" i="18" s="1"/>
  <c r="J6" i="18"/>
  <c r="AE8" i="18" a="1"/>
  <c r="AE8" i="18" s="1"/>
  <c r="AD9" i="18" a="1"/>
  <c r="AD9" i="18" s="1"/>
  <c r="AE10" i="18" a="1"/>
  <c r="AE10" i="18" s="1"/>
  <c r="AD20" i="18" a="1"/>
  <c r="AD20" i="18" s="1"/>
  <c r="AE34" i="18" a="1"/>
  <c r="AE34" i="18" s="1"/>
  <c r="AE9" i="18" a="1"/>
  <c r="AE9" i="18" s="1"/>
  <c r="AE20" i="18" a="1"/>
  <c r="AE20" i="18" s="1"/>
  <c r="AD21" i="18" a="1"/>
  <c r="AD21" i="18" s="1"/>
  <c r="AE22" i="18" a="1"/>
  <c r="AE22" i="18" s="1"/>
  <c r="AE33" i="18" a="1"/>
  <c r="AE33" i="18" s="1"/>
  <c r="J58" i="18"/>
  <c r="J36" i="18"/>
  <c r="AE46" i="18" a="1"/>
  <c r="AE46" i="18" s="1"/>
  <c r="J10" i="18"/>
  <c r="AD13" i="18" a="1"/>
  <c r="AD13" i="18" s="1"/>
  <c r="J22" i="18"/>
  <c r="J34" i="18"/>
  <c r="AD37" i="18" a="1"/>
  <c r="AD37" i="18" s="1"/>
  <c r="J46" i="18"/>
  <c r="AE51" i="18" a="1"/>
  <c r="AE51" i="18" s="1"/>
  <c r="AE58" i="18" a="1"/>
  <c r="AE58" i="18" s="1"/>
  <c r="AC4" i="18" a="1"/>
  <c r="AC4" i="18" s="1"/>
  <c r="AE13" i="18" a="1"/>
  <c r="AE13" i="18" s="1"/>
  <c r="J32" i="18"/>
  <c r="AE37" i="18" a="1"/>
  <c r="AE37" i="18" s="1"/>
  <c r="J56" i="18"/>
  <c r="AD4" i="18" a="1"/>
  <c r="AD4" i="18" s="1"/>
  <c r="AC14" i="18" a="1"/>
  <c r="AC14" i="18" s="1"/>
  <c r="AD28" i="18" a="1"/>
  <c r="AD28" i="18" s="1"/>
  <c r="AD40" i="18" a="1"/>
  <c r="AD40" i="18" s="1"/>
  <c r="AC50" i="18" a="1"/>
  <c r="AC50" i="18" s="1"/>
  <c r="AD14" i="18" a="1"/>
  <c r="AD14" i="18" s="1"/>
  <c r="AC36" i="18" a="1"/>
  <c r="AC36" i="18" s="1"/>
  <c r="AD50" i="18" a="1"/>
  <c r="AD50" i="18" s="1"/>
  <c r="AC10" i="18" a="1"/>
  <c r="AC10" i="18" s="1"/>
  <c r="AE14" i="18" a="1"/>
  <c r="AE14" i="18" s="1"/>
  <c r="AC22" i="18" a="1"/>
  <c r="AC22" i="18" s="1"/>
  <c r="AC34" i="18" a="1"/>
  <c r="AC34" i="18" s="1"/>
  <c r="AD36" i="18" a="1"/>
  <c r="AD36" i="18" s="1"/>
  <c r="AE38" i="18" a="1"/>
  <c r="AE38" i="18" s="1"/>
  <c r="AC46" i="18" a="1"/>
  <c r="AC46" i="18" s="1"/>
  <c r="AE50" i="18" a="1"/>
  <c r="AE50" i="18" s="1"/>
  <c r="V19" i="18" a="1"/>
  <c r="V19" i="18" s="1"/>
  <c r="U17" i="18" a="1"/>
  <c r="U17" i="18" s="1"/>
  <c r="T37" i="18" a="1"/>
  <c r="T37" i="18" s="1"/>
  <c r="F9" i="18"/>
  <c r="T59" i="18" a="1"/>
  <c r="T59" i="18" s="1"/>
  <c r="T52" i="18" a="1"/>
  <c r="T52" i="18" s="1"/>
  <c r="U52" i="18" a="1"/>
  <c r="U52" i="18" s="1"/>
  <c r="V52" i="18" a="1"/>
  <c r="V52" i="18" s="1"/>
  <c r="T60" i="18" a="1"/>
  <c r="T60" i="18" s="1"/>
  <c r="U37" i="18" a="1"/>
  <c r="U37" i="18" s="1"/>
  <c r="T55" i="18" a="1"/>
  <c r="T55" i="18" s="1"/>
  <c r="T49" i="18" a="1"/>
  <c r="T49" i="18" s="1"/>
  <c r="U59" i="18" a="1"/>
  <c r="U59" i="18" s="1"/>
  <c r="U19" i="18" a="1"/>
  <c r="U19" i="18" s="1"/>
  <c r="T43" i="18" a="1"/>
  <c r="T43" i="18" s="1"/>
  <c r="U43" i="18" a="1"/>
  <c r="U43" i="18" s="1"/>
  <c r="T31" i="18" a="1"/>
  <c r="T31" i="18" s="1"/>
  <c r="U31" i="18" a="1"/>
  <c r="U31" i="18" s="1"/>
  <c r="T34" i="18" a="1"/>
  <c r="T34" i="18" s="1"/>
  <c r="U34" i="18" a="1"/>
  <c r="U34" i="18" s="1"/>
  <c r="V34" i="18" a="1"/>
  <c r="V34" i="18" s="1"/>
  <c r="U49" i="18" a="1"/>
  <c r="U49" i="18" s="1"/>
  <c r="F5" i="18"/>
  <c r="V13" i="18" a="1"/>
  <c r="V13" i="18" s="1"/>
  <c r="V31" i="18" a="1"/>
  <c r="V31" i="18" s="1"/>
  <c r="V37" i="18" a="1"/>
  <c r="V37" i="18" s="1"/>
  <c r="V43" i="18" a="1"/>
  <c r="V43" i="18" s="1"/>
  <c r="F13" i="18"/>
  <c r="T28" i="18" a="1"/>
  <c r="T28" i="18" s="1"/>
  <c r="T22" i="18" a="1"/>
  <c r="T22" i="18" s="1"/>
  <c r="F15" i="18"/>
  <c r="U55" i="18" a="1"/>
  <c r="U55" i="18" s="1"/>
  <c r="T11" i="18" a="1"/>
  <c r="T11" i="18" s="1"/>
  <c r="T25" i="18" a="1"/>
  <c r="T25" i="18" s="1"/>
  <c r="V49" i="18" a="1"/>
  <c r="V49" i="18" s="1"/>
  <c r="V55" i="18" a="1"/>
  <c r="V55" i="18" s="1"/>
  <c r="U11" i="18" a="1"/>
  <c r="U11" i="18" s="1"/>
  <c r="T13" i="18" a="1"/>
  <c r="T13" i="18" s="1"/>
  <c r="U25" i="18" a="1"/>
  <c r="U25" i="18" s="1"/>
  <c r="T5" i="18" a="1"/>
  <c r="T5" i="18" s="1"/>
  <c r="T17" i="18" a="1"/>
  <c r="T17" i="18" s="1"/>
  <c r="T19" i="18" a="1"/>
  <c r="T19" i="18" s="1"/>
  <c r="V25" i="18" a="1"/>
  <c r="V25" i="18" s="1"/>
  <c r="U5" i="18" a="1"/>
  <c r="U5" i="18" s="1"/>
  <c r="T7" i="18" a="1"/>
  <c r="T7" i="18" s="1"/>
  <c r="U7" i="18" a="1"/>
  <c r="U7" i="18" s="1"/>
  <c r="V7" i="18" a="1"/>
  <c r="V7" i="18" s="1"/>
  <c r="T33" i="18" a="1"/>
  <c r="T33" i="18" s="1"/>
  <c r="T39" i="18" a="1"/>
  <c r="T39" i="18" s="1"/>
  <c r="T42" i="18" a="1"/>
  <c r="T42" i="18" s="1"/>
  <c r="T45" i="18" a="1"/>
  <c r="T45" i="18" s="1"/>
  <c r="T48" i="18" a="1"/>
  <c r="T48" i="18" s="1"/>
  <c r="T51" i="18" a="1"/>
  <c r="T51" i="18" s="1"/>
  <c r="T54" i="18" a="1"/>
  <c r="T54" i="18" s="1"/>
  <c r="F11" i="18"/>
  <c r="F17" i="18"/>
  <c r="U33" i="18" a="1"/>
  <c r="U33" i="18" s="1"/>
  <c r="U39" i="18" a="1"/>
  <c r="U39" i="18" s="1"/>
  <c r="U42" i="18" a="1"/>
  <c r="U42" i="18" s="1"/>
  <c r="U45" i="18" a="1"/>
  <c r="U45" i="18" s="1"/>
  <c r="U48" i="18" a="1"/>
  <c r="U48" i="18" s="1"/>
  <c r="U51" i="18" a="1"/>
  <c r="U51" i="18" s="1"/>
  <c r="U54" i="18" a="1"/>
  <c r="U54" i="18" s="1"/>
  <c r="U57" i="18" a="1"/>
  <c r="U57" i="18" s="1"/>
  <c r="V33" i="18" a="1"/>
  <c r="V33" i="18" s="1"/>
  <c r="V39" i="18" a="1"/>
  <c r="V39" i="18" s="1"/>
  <c r="V42" i="18" a="1"/>
  <c r="V42" i="18" s="1"/>
  <c r="V45" i="18" a="1"/>
  <c r="V45" i="18" s="1"/>
  <c r="V48" i="18" a="1"/>
  <c r="V48" i="18" s="1"/>
  <c r="V51" i="18" a="1"/>
  <c r="V51" i="18" s="1"/>
  <c r="V54" i="18" a="1"/>
  <c r="V54" i="18" s="1"/>
  <c r="V57" i="18" a="1"/>
  <c r="V57" i="18" s="1"/>
  <c r="T9" i="18" a="1"/>
  <c r="T9" i="18" s="1"/>
  <c r="T15" i="18" a="1"/>
  <c r="T15" i="18" s="1"/>
  <c r="U22" i="18" a="1"/>
  <c r="U22" i="18" s="1"/>
  <c r="U28" i="18" a="1"/>
  <c r="U28" i="18" s="1"/>
  <c r="U9" i="18" a="1"/>
  <c r="U9" i="18" s="1"/>
  <c r="U15" i="18" a="1"/>
  <c r="U15" i="18" s="1"/>
  <c r="V22" i="18" a="1"/>
  <c r="V22" i="18" s="1"/>
  <c r="V28" i="18" a="1"/>
  <c r="V28" i="18" s="1"/>
  <c r="T35" i="18" a="1"/>
  <c r="T35" i="18" s="1"/>
  <c r="T38" i="18" a="1"/>
  <c r="T38" i="18" s="1"/>
  <c r="T41" i="18" a="1"/>
  <c r="T41" i="18" s="1"/>
  <c r="T47" i="18" a="1"/>
  <c r="T47" i="18" s="1"/>
  <c r="T50" i="18" a="1"/>
  <c r="T50" i="18" s="1"/>
  <c r="T53" i="18" a="1"/>
  <c r="T53" i="18" s="1"/>
  <c r="T56" i="18" a="1"/>
  <c r="T56" i="18" s="1"/>
  <c r="U35" i="18" a="1"/>
  <c r="U35" i="18" s="1"/>
  <c r="U38" i="18" a="1"/>
  <c r="U38" i="18" s="1"/>
  <c r="U41" i="18" a="1"/>
  <c r="U41" i="18" s="1"/>
  <c r="U47" i="18" a="1"/>
  <c r="U47" i="18" s="1"/>
  <c r="U50" i="18" a="1"/>
  <c r="U50" i="18" s="1"/>
  <c r="U53" i="18" a="1"/>
  <c r="U53" i="18" s="1"/>
  <c r="U56" i="18" a="1"/>
  <c r="U56" i="18" s="1"/>
  <c r="V35" i="18" a="1"/>
  <c r="V35" i="18" s="1"/>
  <c r="V38" i="18" a="1"/>
  <c r="V38" i="18" s="1"/>
  <c r="V41" i="18" a="1"/>
  <c r="V41" i="18" s="1"/>
  <c r="V47" i="18" a="1"/>
  <c r="V47" i="18" s="1"/>
  <c r="V50" i="18" a="1"/>
  <c r="V50" i="18" s="1"/>
  <c r="V53" i="18" a="1"/>
  <c r="V53" i="18" s="1"/>
  <c r="V56" i="18" a="1"/>
  <c r="V56" i="18" s="1"/>
  <c r="V59" i="18" a="1"/>
  <c r="V59" i="18" s="1"/>
  <c r="F8" i="18"/>
  <c r="T21" i="18" a="1"/>
  <c r="T21" i="18" s="1"/>
  <c r="T24" i="18" a="1"/>
  <c r="T24" i="18" s="1"/>
  <c r="T27" i="18" a="1"/>
  <c r="T27" i="18" s="1"/>
  <c r="U21" i="18" a="1"/>
  <c r="U21" i="18" s="1"/>
  <c r="U24" i="18" a="1"/>
  <c r="U24" i="18" s="1"/>
  <c r="U27" i="18" a="1"/>
  <c r="U27" i="18" s="1"/>
  <c r="V21" i="18" a="1"/>
  <c r="V21" i="18" s="1"/>
  <c r="V24" i="18" a="1"/>
  <c r="V24" i="18" s="1"/>
  <c r="V27" i="18" a="1"/>
  <c r="V27" i="18" s="1"/>
  <c r="T23" i="18" a="1"/>
  <c r="T23" i="18" s="1"/>
  <c r="T26" i="18" a="1"/>
  <c r="T26" i="18" s="1"/>
  <c r="U23" i="18" a="1"/>
  <c r="U23" i="18" s="1"/>
  <c r="U26" i="18" a="1"/>
  <c r="U26" i="18" s="1"/>
  <c r="V23" i="18" a="1"/>
  <c r="V23" i="18" s="1"/>
  <c r="V26" i="18" a="1"/>
  <c r="V26" i="18" s="1"/>
  <c r="U60" i="18" a="1"/>
  <c r="U60" i="18" s="1"/>
  <c r="V60" i="18" a="1"/>
  <c r="V60" i="18" s="1"/>
  <c r="AY3" i="7" a="1"/>
  <c r="AY3" i="7" s="1"/>
  <c r="AZ27" i="7" a="1"/>
  <c r="AZ27" i="7" s="1"/>
  <c r="R30" i="7"/>
  <c r="R33" i="7"/>
  <c r="R56" i="7"/>
  <c r="R36" i="7"/>
  <c r="AZ39" i="7" a="1"/>
  <c r="AZ39" i="7" s="1"/>
  <c r="AY42" i="7" a="1"/>
  <c r="AY42" i="7" s="1"/>
  <c r="AZ45" i="7" a="1"/>
  <c r="AZ45" i="7" s="1"/>
  <c r="R48" i="7"/>
  <c r="AZ51" i="7" a="1"/>
  <c r="AZ51" i="7" s="1"/>
  <c r="R54" i="7"/>
  <c r="R59" i="7"/>
  <c r="R4" i="7"/>
  <c r="AY7" i="7" a="1"/>
  <c r="AY7" i="7" s="1"/>
  <c r="R10" i="7"/>
  <c r="R13" i="7"/>
  <c r="R16" i="7"/>
  <c r="AY19" i="7" a="1"/>
  <c r="AY19" i="7" s="1"/>
  <c r="R22" i="7"/>
  <c r="R25" i="7"/>
  <c r="AZ28" i="7" a="1"/>
  <c r="AZ28" i="7" s="1"/>
  <c r="AZ31" i="7" a="1"/>
  <c r="AZ31" i="7" s="1"/>
  <c r="R34" i="7"/>
  <c r="R57" i="7"/>
  <c r="AY37" i="7" a="1"/>
  <c r="AY37" i="7" s="1"/>
  <c r="R40" i="7"/>
  <c r="AZ43" i="7" a="1"/>
  <c r="AZ43" i="7" s="1"/>
  <c r="R46" i="7"/>
  <c r="R49" i="7"/>
  <c r="AZ52" i="7" a="1"/>
  <c r="AZ52" i="7" s="1"/>
  <c r="R60" i="7"/>
  <c r="R5" i="7"/>
  <c r="R8" i="7"/>
  <c r="AY11" i="7" a="1"/>
  <c r="AY11" i="7" s="1"/>
  <c r="R14" i="7"/>
  <c r="R17" i="7"/>
  <c r="R20" i="7"/>
  <c r="AY23" i="7" a="1"/>
  <c r="AY23" i="7" s="1"/>
  <c r="R26" i="7"/>
  <c r="AZ55" i="7" a="1"/>
  <c r="AZ55" i="7" s="1"/>
  <c r="R29" i="7"/>
  <c r="AZ32" i="7" a="1"/>
  <c r="AZ32" i="7" s="1"/>
  <c r="R35" i="7"/>
  <c r="R38" i="7"/>
  <c r="R41" i="7"/>
  <c r="R44" i="7"/>
  <c r="AY47" i="7" a="1"/>
  <c r="AY47" i="7" s="1"/>
  <c r="AY50" i="7" a="1"/>
  <c r="AY50" i="7" s="1"/>
  <c r="AZ53" i="7" a="1"/>
  <c r="AZ53" i="7" s="1"/>
  <c r="R58" i="7"/>
  <c r="R6" i="7"/>
  <c r="R9" i="7"/>
  <c r="R12" i="7"/>
  <c r="AY15" i="7" a="1"/>
  <c r="AY15" i="7" s="1"/>
  <c r="R18" i="7"/>
  <c r="R21" i="7"/>
  <c r="R24" i="7"/>
  <c r="N22" i="7"/>
  <c r="N28" i="7"/>
  <c r="AT31" i="7" a="1"/>
  <c r="AT31" i="7" s="1"/>
  <c r="N34" i="7"/>
  <c r="AS57" i="7" a="1"/>
  <c r="AS57" i="7" s="1"/>
  <c r="AT37" i="7" a="1"/>
  <c r="AT37" i="7" s="1"/>
  <c r="AS40" i="7" a="1"/>
  <c r="AS40" i="7" s="1"/>
  <c r="AT43" i="7" a="1"/>
  <c r="AT43" i="7" s="1"/>
  <c r="N46" i="7"/>
  <c r="AT49" i="7" a="1"/>
  <c r="AT49" i="7" s="1"/>
  <c r="N52" i="7"/>
  <c r="AT60" i="7" a="1"/>
  <c r="AT60" i="7" s="1"/>
  <c r="AT19" i="7" a="1"/>
  <c r="AT19" i="7" s="1"/>
  <c r="AT5" i="7" a="1"/>
  <c r="AT5" i="7" s="1"/>
  <c r="N8" i="7"/>
  <c r="N11" i="7"/>
  <c r="AS14" i="7" a="1"/>
  <c r="AS14" i="7" s="1"/>
  <c r="AT17" i="7" a="1"/>
  <c r="AT17" i="7" s="1"/>
  <c r="N20" i="7"/>
  <c r="N23" i="7"/>
  <c r="AS26" i="7" a="1"/>
  <c r="AS26" i="7" s="1"/>
  <c r="AT55" i="7" a="1"/>
  <c r="AT55" i="7" s="1"/>
  <c r="AT16" i="7" a="1"/>
  <c r="AT16" i="7" s="1"/>
  <c r="AT29" i="7" a="1"/>
  <c r="AT29" i="7" s="1"/>
  <c r="AS32" i="7" a="1"/>
  <c r="AS32" i="7" s="1"/>
  <c r="N35" i="7"/>
  <c r="N7" i="7"/>
  <c r="AS38" i="7" a="1"/>
  <c r="AS38" i="7" s="1"/>
  <c r="AS41" i="7" a="1"/>
  <c r="AS41" i="7" s="1"/>
  <c r="AT44" i="7" a="1"/>
  <c r="AT44" i="7" s="1"/>
  <c r="N47" i="7"/>
  <c r="AT50" i="7" a="1"/>
  <c r="AT50" i="7" s="1"/>
  <c r="N53" i="7"/>
  <c r="AS58" i="7" a="1"/>
  <c r="AS58" i="7" s="1"/>
  <c r="AT25" i="7" a="1"/>
  <c r="AT25" i="7" s="1"/>
  <c r="N10" i="7"/>
  <c r="AT6" i="7" a="1"/>
  <c r="AT6" i="7" s="1"/>
  <c r="N9" i="7"/>
  <c r="AT12" i="7" a="1"/>
  <c r="AT12" i="7" s="1"/>
  <c r="AT15" i="7" a="1"/>
  <c r="AT15" i="7" s="1"/>
  <c r="AT18" i="7" a="1"/>
  <c r="AT18" i="7" s="1"/>
  <c r="N21" i="7"/>
  <c r="AT24" i="7" a="1"/>
  <c r="AT24" i="7" s="1"/>
  <c r="N27" i="7"/>
  <c r="N56" i="7"/>
  <c r="H966" i="24"/>
  <c r="AS4" i="7" a="1"/>
  <c r="AS4" i="7" s="1"/>
  <c r="AT30" i="7" a="1"/>
  <c r="AT30" i="7" s="1"/>
  <c r="N33" i="7"/>
  <c r="AT13" i="7" a="1"/>
  <c r="AT13" i="7" s="1"/>
  <c r="N3" i="7"/>
  <c r="AT36" i="7" a="1"/>
  <c r="AT36" i="7" s="1"/>
  <c r="AS39" i="7" a="1"/>
  <c r="AS39" i="7" s="1"/>
  <c r="AT42" i="7" a="1"/>
  <c r="AT42" i="7" s="1"/>
  <c r="N45" i="7"/>
  <c r="AT48" i="7" a="1"/>
  <c r="AT48" i="7" s="1"/>
  <c r="N51" i="7"/>
  <c r="AT54" i="7" a="1"/>
  <c r="AT54" i="7" s="1"/>
  <c r="AS59" i="7" a="1"/>
  <c r="AS59" i="7" s="1"/>
  <c r="F60" i="7"/>
  <c r="AZ15" i="7" a="1"/>
  <c r="AZ15" i="7" s="1"/>
  <c r="AZ48" i="7" a="1"/>
  <c r="AZ48" i="7" s="1"/>
  <c r="AY56" i="7" a="1"/>
  <c r="AY56" i="7" s="1"/>
  <c r="AY59" i="7" a="1"/>
  <c r="AY59" i="7" s="1"/>
  <c r="R32" i="7"/>
  <c r="R52" i="7"/>
  <c r="AY51" i="7" a="1"/>
  <c r="AY51" i="7" s="1"/>
  <c r="AY58" i="7" a="1"/>
  <c r="AY58" i="7" s="1"/>
  <c r="AY60" i="7" a="1"/>
  <c r="AY60" i="7" s="1"/>
  <c r="AZ58" i="7" a="1"/>
  <c r="AZ58" i="7" s="1"/>
  <c r="AZ60" i="7" a="1"/>
  <c r="AZ60" i="7" s="1"/>
  <c r="AY43" i="7" a="1"/>
  <c r="AY43" i="7" s="1"/>
  <c r="AZ56" i="7" a="1"/>
  <c r="AZ56" i="7" s="1"/>
  <c r="AY44" i="7" a="1"/>
  <c r="AY44" i="7" s="1"/>
  <c r="AZ44" i="7" a="1"/>
  <c r="AZ44" i="7" s="1"/>
  <c r="AZ26" i="7" a="1"/>
  <c r="AZ26" i="7" s="1"/>
  <c r="R31" i="7"/>
  <c r="AY38" i="7" a="1"/>
  <c r="AY38" i="7" s="1"/>
  <c r="R51" i="7"/>
  <c r="AZ47" i="7" a="1"/>
  <c r="AZ47" i="7" s="1"/>
  <c r="R47" i="7"/>
  <c r="AY48" i="7" a="1"/>
  <c r="AY48" i="7" s="1"/>
  <c r="AZ5" i="7" a="1"/>
  <c r="AZ5" i="7" s="1"/>
  <c r="AZ14" i="7" a="1"/>
  <c r="AZ14" i="7" s="1"/>
  <c r="AY52" i="7" a="1"/>
  <c r="AY52" i="7" s="1"/>
  <c r="AZ18" i="7" a="1"/>
  <c r="AZ18" i="7" s="1"/>
  <c r="R28" i="7"/>
  <c r="R39" i="7"/>
  <c r="AY46" i="7" a="1"/>
  <c r="AY46" i="7" s="1"/>
  <c r="AZ46" i="7" a="1"/>
  <c r="AZ46" i="7" s="1"/>
  <c r="AZ8" i="7" a="1"/>
  <c r="AZ8" i="7" s="1"/>
  <c r="AY36" i="7" a="1"/>
  <c r="AY36" i="7" s="1"/>
  <c r="AZ38" i="7" a="1"/>
  <c r="AZ38" i="7" s="1"/>
  <c r="AZ11" i="7" a="1"/>
  <c r="AZ11" i="7" s="1"/>
  <c r="AY32" i="7" a="1"/>
  <c r="AY32" i="7" s="1"/>
  <c r="AZ36" i="7" a="1"/>
  <c r="AZ36" i="7" s="1"/>
  <c r="AZ40" i="7" a="1"/>
  <c r="AZ40" i="7" s="1"/>
  <c r="AZ6" i="7" a="1"/>
  <c r="AZ6" i="7" s="1"/>
  <c r="AZ17" i="7" a="1"/>
  <c r="AZ17" i="7" s="1"/>
  <c r="AY35" i="7" a="1"/>
  <c r="AY35" i="7" s="1"/>
  <c r="AZ35" i="7" a="1"/>
  <c r="AZ35" i="7" s="1"/>
  <c r="AZ23" i="7" a="1"/>
  <c r="AZ23" i="7" s="1"/>
  <c r="AY28" i="7" a="1"/>
  <c r="AY28" i="7" s="1"/>
  <c r="AZ37" i="7" a="1"/>
  <c r="AZ37" i="7" s="1"/>
  <c r="AY39" i="7" a="1"/>
  <c r="AY39" i="7" s="1"/>
  <c r="AZ41" i="7" a="1"/>
  <c r="AZ41" i="7" s="1"/>
  <c r="R43" i="7"/>
  <c r="AZ42" i="7" a="1"/>
  <c r="AZ42" i="7" s="1"/>
  <c r="AZ50" i="7" a="1"/>
  <c r="AZ50" i="7" s="1"/>
  <c r="AX3" i="7"/>
  <c r="AX61" i="7" s="1"/>
  <c r="O1053" i="24" s="1"/>
  <c r="AZ10" i="7" a="1"/>
  <c r="AZ10" i="7" s="1"/>
  <c r="R37" i="7"/>
  <c r="R45" i="7"/>
  <c r="R53" i="7"/>
  <c r="AY57" i="7" a="1"/>
  <c r="AY57" i="7" s="1"/>
  <c r="AZ3" i="7" a="1"/>
  <c r="AZ3" i="7" s="1"/>
  <c r="R42" i="7"/>
  <c r="R50" i="7"/>
  <c r="AZ13" i="7" a="1"/>
  <c r="AZ13" i="7" s="1"/>
  <c r="AY41" i="7" a="1"/>
  <c r="AY41" i="7" s="1"/>
  <c r="AY49" i="7" a="1"/>
  <c r="AY49" i="7" s="1"/>
  <c r="AY54" i="7" a="1"/>
  <c r="AY54" i="7" s="1"/>
  <c r="AZ49" i="7" a="1"/>
  <c r="AZ49" i="7" s="1"/>
  <c r="AZ4" i="7" a="1"/>
  <c r="AZ4" i="7" s="1"/>
  <c r="AZ16" i="7" a="1"/>
  <c r="AZ16" i="7" s="1"/>
  <c r="AZ9" i="7" a="1"/>
  <c r="AZ9" i="7" s="1"/>
  <c r="AY31" i="7" a="1"/>
  <c r="AY31" i="7" s="1"/>
  <c r="AY40" i="7" a="1"/>
  <c r="AY40" i="7" s="1"/>
  <c r="AZ7" i="7" a="1"/>
  <c r="AZ7" i="7" s="1"/>
  <c r="AZ19" i="7" a="1"/>
  <c r="AZ19" i="7" s="1"/>
  <c r="AY45" i="7" a="1"/>
  <c r="AY45" i="7" s="1"/>
  <c r="AY53" i="7" a="1"/>
  <c r="AY53" i="7" s="1"/>
  <c r="AZ12" i="7" a="1"/>
  <c r="AZ12" i="7" s="1"/>
  <c r="AZ22" i="7" a="1"/>
  <c r="AZ22" i="7" s="1"/>
  <c r="AY27" i="7" a="1"/>
  <c r="AY27" i="7" s="1"/>
  <c r="AW61" i="7"/>
  <c r="AY6" i="7" a="1"/>
  <c r="AY6" i="7" s="1"/>
  <c r="R7" i="7"/>
  <c r="AY10" i="7" a="1"/>
  <c r="AY10" i="7" s="1"/>
  <c r="R11" i="7"/>
  <c r="AY14" i="7" a="1"/>
  <c r="AY14" i="7" s="1"/>
  <c r="R15" i="7"/>
  <c r="AY18" i="7" a="1"/>
  <c r="AY18" i="7" s="1"/>
  <c r="R19" i="7"/>
  <c r="AY22" i="7" a="1"/>
  <c r="AY22" i="7" s="1"/>
  <c r="R23" i="7"/>
  <c r="AY26" i="7" a="1"/>
  <c r="AY26" i="7" s="1"/>
  <c r="R27" i="7"/>
  <c r="AY30" i="7" a="1"/>
  <c r="AY30" i="7" s="1"/>
  <c r="AY34" i="7" a="1"/>
  <c r="AY34" i="7" s="1"/>
  <c r="AY55" i="7" a="1"/>
  <c r="AY55" i="7" s="1"/>
  <c r="R55" i="7"/>
  <c r="R3" i="7"/>
  <c r="AY5" i="7" a="1"/>
  <c r="AY5" i="7" s="1"/>
  <c r="AY9" i="7" a="1"/>
  <c r="AY9" i="7" s="1"/>
  <c r="AY13" i="7" a="1"/>
  <c r="AY13" i="7" s="1"/>
  <c r="AY17" i="7" a="1"/>
  <c r="AY17" i="7" s="1"/>
  <c r="AY21" i="7" a="1"/>
  <c r="AY21" i="7" s="1"/>
  <c r="AY25" i="7" a="1"/>
  <c r="AY25" i="7" s="1"/>
  <c r="AZ30" i="7" a="1"/>
  <c r="AZ30" i="7" s="1"/>
  <c r="AZ34" i="7" a="1"/>
  <c r="AZ34" i="7" s="1"/>
  <c r="AY29" i="7" a="1"/>
  <c r="AY29" i="7" s="1"/>
  <c r="AY33" i="7" a="1"/>
  <c r="AY33" i="7" s="1"/>
  <c r="AZ54" i="7" a="1"/>
  <c r="AZ54" i="7" s="1"/>
  <c r="AZ59" i="7" a="1"/>
  <c r="AZ59" i="7" s="1"/>
  <c r="AZ21" i="7" a="1"/>
  <c r="AZ21" i="7" s="1"/>
  <c r="AZ25" i="7" a="1"/>
  <c r="AZ25" i="7" s="1"/>
  <c r="AY4" i="7" a="1"/>
  <c r="AY4" i="7" s="1"/>
  <c r="AY8" i="7" a="1"/>
  <c r="AY8" i="7" s="1"/>
  <c r="AY12" i="7" a="1"/>
  <c r="AY12" i="7" s="1"/>
  <c r="AY16" i="7" a="1"/>
  <c r="AY16" i="7" s="1"/>
  <c r="AY20" i="7" a="1"/>
  <c r="AY20" i="7" s="1"/>
  <c r="AY24" i="7" a="1"/>
  <c r="AY24" i="7" s="1"/>
  <c r="AZ29" i="7" a="1"/>
  <c r="AZ29" i="7" s="1"/>
  <c r="AZ33" i="7" a="1"/>
  <c r="AZ33" i="7" s="1"/>
  <c r="AZ20" i="7" a="1"/>
  <c r="AZ20" i="7" s="1"/>
  <c r="AZ24" i="7" a="1"/>
  <c r="AZ24" i="7" s="1"/>
  <c r="AT26" i="7" a="1"/>
  <c r="AT26" i="7" s="1"/>
  <c r="AS42" i="7" a="1"/>
  <c r="AS42" i="7" s="1"/>
  <c r="AS27" i="7" a="1"/>
  <c r="AS27" i="7" s="1"/>
  <c r="AS28" i="7" a="1"/>
  <c r="AS28" i="7" s="1"/>
  <c r="AS29" i="7" a="1"/>
  <c r="AS29" i="7" s="1"/>
  <c r="AT28" i="7" a="1"/>
  <c r="AT28" i="7" s="1"/>
  <c r="N29" i="7"/>
  <c r="AT34" i="7" a="1"/>
  <c r="AT34" i="7" s="1"/>
  <c r="AT47" i="7" a="1"/>
  <c r="AT47" i="7" s="1"/>
  <c r="AS56" i="7" a="1"/>
  <c r="AS56" i="7" s="1"/>
  <c r="AT33" i="7" a="1"/>
  <c r="AT33" i="7" s="1"/>
  <c r="AS21" i="7" a="1"/>
  <c r="AS21" i="7" s="1"/>
  <c r="AT38" i="7" a="1"/>
  <c r="AT38" i="7" s="1"/>
  <c r="AT39" i="7" a="1"/>
  <c r="AT39" i="7" s="1"/>
  <c r="AT40" i="7" a="1"/>
  <c r="AT40" i="7" s="1"/>
  <c r="N17" i="7"/>
  <c r="N26" i="7"/>
  <c r="N39" i="7"/>
  <c r="N40" i="7"/>
  <c r="N41" i="7"/>
  <c r="AS20" i="7" a="1"/>
  <c r="AS20" i="7" s="1"/>
  <c r="N38" i="7"/>
  <c r="N16" i="7"/>
  <c r="N15" i="7"/>
  <c r="AT41" i="7" a="1"/>
  <c r="AT41" i="7" s="1"/>
  <c r="AT57" i="7" a="1"/>
  <c r="AT57" i="7" s="1"/>
  <c r="AT58" i="7" a="1"/>
  <c r="AT58" i="7" s="1"/>
  <c r="AT59" i="7" a="1"/>
  <c r="AT59" i="7" s="1"/>
  <c r="N14" i="7"/>
  <c r="AS24" i="7" a="1"/>
  <c r="AS24" i="7" s="1"/>
  <c r="AT32" i="7" a="1"/>
  <c r="AT32" i="7" s="1"/>
  <c r="AT46" i="7" a="1"/>
  <c r="AT46" i="7" s="1"/>
  <c r="AS51" i="7" a="1"/>
  <c r="AS51" i="7" s="1"/>
  <c r="AS52" i="7" a="1"/>
  <c r="AS52" i="7" s="1"/>
  <c r="AS53" i="7" a="1"/>
  <c r="AS53" i="7" s="1"/>
  <c r="AS54" i="7" a="1"/>
  <c r="AS54" i="7" s="1"/>
  <c r="N57" i="7"/>
  <c r="N58" i="7"/>
  <c r="N59" i="7"/>
  <c r="AT51" i="7" a="1"/>
  <c r="AT51" i="7" s="1"/>
  <c r="AT52" i="7" a="1"/>
  <c r="AT52" i="7" s="1"/>
  <c r="AT53" i="7" a="1"/>
  <c r="AT53" i="7" s="1"/>
  <c r="AS3" i="7" a="1"/>
  <c r="AS3" i="7" s="1"/>
  <c r="N5" i="7"/>
  <c r="AS23" i="7" a="1"/>
  <c r="AS23" i="7" s="1"/>
  <c r="AT45" i="7" a="1"/>
  <c r="AT45" i="7" s="1"/>
  <c r="N54" i="7"/>
  <c r="AT3" i="7" a="1"/>
  <c r="AT3" i="7" s="1"/>
  <c r="N4" i="7"/>
  <c r="AS22" i="7" a="1"/>
  <c r="AS22" i="7" s="1"/>
  <c r="AS30" i="7" a="1"/>
  <c r="AS30" i="7" s="1"/>
  <c r="AT14" i="7" a="1"/>
  <c r="AT14" i="7" s="1"/>
  <c r="AS15" i="7" a="1"/>
  <c r="AS15" i="7" s="1"/>
  <c r="AS16" i="7" a="1"/>
  <c r="AS16" i="7" s="1"/>
  <c r="AS17" i="7" a="1"/>
  <c r="AS17" i="7" s="1"/>
  <c r="AS18" i="7" a="1"/>
  <c r="AS18" i="7" s="1"/>
  <c r="N50" i="7"/>
  <c r="AS33" i="7" a="1"/>
  <c r="AS33" i="7" s="1"/>
  <c r="AS34" i="7" a="1"/>
  <c r="AS34" i="7" s="1"/>
  <c r="AS35" i="7" a="1"/>
  <c r="AS35" i="7" s="1"/>
  <c r="AS45" i="7" a="1"/>
  <c r="AS45" i="7" s="1"/>
  <c r="AS46" i="7" a="1"/>
  <c r="AS46" i="7" s="1"/>
  <c r="AS47" i="7" a="1"/>
  <c r="AS47" i="7" s="1"/>
  <c r="AS48" i="7" a="1"/>
  <c r="AS48" i="7" s="1"/>
  <c r="AS8" i="7" a="1"/>
  <c r="AS8" i="7" s="1"/>
  <c r="AS9" i="7" a="1"/>
  <c r="AS9" i="7" s="1"/>
  <c r="AS10" i="7" a="1"/>
  <c r="AS10" i="7" s="1"/>
  <c r="AS11" i="7" a="1"/>
  <c r="AS11" i="7" s="1"/>
  <c r="AS12" i="7" a="1"/>
  <c r="AS12" i="7" s="1"/>
  <c r="AT8" i="7" a="1"/>
  <c r="AT8" i="7" s="1"/>
  <c r="AT9" i="7" a="1"/>
  <c r="AT9" i="7" s="1"/>
  <c r="AT10" i="7" a="1"/>
  <c r="AT10" i="7" s="1"/>
  <c r="AT11" i="7" a="1"/>
  <c r="AT11" i="7" s="1"/>
  <c r="N32" i="7"/>
  <c r="AQ61" i="7"/>
  <c r="AS5" i="7" a="1"/>
  <c r="AS5" i="7" s="1"/>
  <c r="AS6" i="7" a="1"/>
  <c r="AS6" i="7" s="1"/>
  <c r="AT4" i="7" a="1"/>
  <c r="AT4" i="7" s="1"/>
  <c r="AT20" i="7" a="1"/>
  <c r="AT20" i="7" s="1"/>
  <c r="AT21" i="7" a="1"/>
  <c r="AT21" i="7" s="1"/>
  <c r="AT22" i="7" a="1"/>
  <c r="AT22" i="7" s="1"/>
  <c r="AT23" i="7" a="1"/>
  <c r="AT23" i="7" s="1"/>
  <c r="AS36" i="7" a="1"/>
  <c r="AS36" i="7" s="1"/>
  <c r="N6" i="7"/>
  <c r="AS7" i="7" a="1"/>
  <c r="AS7" i="7" s="1"/>
  <c r="N12" i="7"/>
  <c r="AS13" i="7" a="1"/>
  <c r="AS13" i="7" s="1"/>
  <c r="N18" i="7"/>
  <c r="AS19" i="7" a="1"/>
  <c r="AS19" i="7" s="1"/>
  <c r="N24" i="7"/>
  <c r="AS25" i="7" a="1"/>
  <c r="AS25" i="7" s="1"/>
  <c r="N30" i="7"/>
  <c r="AS31" i="7" a="1"/>
  <c r="AS31" i="7" s="1"/>
  <c r="N36" i="7"/>
  <c r="AS37" i="7" a="1"/>
  <c r="AS37" i="7" s="1"/>
  <c r="N42" i="7"/>
  <c r="AS43" i="7" a="1"/>
  <c r="AS43" i="7" s="1"/>
  <c r="N48" i="7"/>
  <c r="AS49" i="7" a="1"/>
  <c r="AS49" i="7" s="1"/>
  <c r="AS60" i="7" a="1"/>
  <c r="AS60" i="7" s="1"/>
  <c r="AT7" i="7" a="1"/>
  <c r="AT7" i="7" s="1"/>
  <c r="N13" i="7"/>
  <c r="N19" i="7"/>
  <c r="N25" i="7"/>
  <c r="N31" i="7"/>
  <c r="N37" i="7"/>
  <c r="N43" i="7"/>
  <c r="AS44" i="7" a="1"/>
  <c r="AS44" i="7" s="1"/>
  <c r="N49" i="7"/>
  <c r="AS50" i="7" a="1"/>
  <c r="AS50" i="7" s="1"/>
  <c r="N55" i="7"/>
  <c r="AS55" i="7" a="1"/>
  <c r="AS55" i="7" s="1"/>
  <c r="AR3" i="7"/>
  <c r="AR61" i="7" s="1"/>
  <c r="O972" i="24" s="1"/>
  <c r="N60" i="7"/>
  <c r="N44" i="7"/>
  <c r="AK60" i="7" a="1"/>
  <c r="AK60" i="7" s="1"/>
  <c r="AK26" i="7" a="1"/>
  <c r="AK26" i="7" s="1"/>
  <c r="AK50" i="7" a="1"/>
  <c r="AK50" i="7" s="1"/>
  <c r="AJ60" i="7" a="1"/>
  <c r="AJ60" i="7" s="1"/>
  <c r="J23" i="7"/>
  <c r="AK35" i="7" a="1"/>
  <c r="AK35" i="7" s="1"/>
  <c r="AJ52" i="7" a="1"/>
  <c r="AJ52" i="7" s="1"/>
  <c r="J52" i="7"/>
  <c r="AK52" i="7" a="1"/>
  <c r="AK52" i="7" s="1"/>
  <c r="AK8" i="7" a="1"/>
  <c r="AK8" i="7" s="1"/>
  <c r="J54" i="7"/>
  <c r="AJ54" i="7" a="1"/>
  <c r="AJ54" i="7" s="1"/>
  <c r="AK54" i="7" a="1"/>
  <c r="AK54" i="7" s="1"/>
  <c r="AK23" i="7" a="1"/>
  <c r="AK23" i="7" s="1"/>
  <c r="J10" i="7"/>
  <c r="AJ22" i="7" a="1"/>
  <c r="AJ22" i="7" s="1"/>
  <c r="AJ56" i="7" a="1"/>
  <c r="AJ56" i="7" s="1"/>
  <c r="J6" i="7"/>
  <c r="AK44" i="7" a="1"/>
  <c r="AK44" i="7" s="1"/>
  <c r="J44" i="7"/>
  <c r="AJ4" i="7" a="1"/>
  <c r="AJ4" i="7" s="1"/>
  <c r="AK14" i="7" a="1"/>
  <c r="AK14" i="7" s="1"/>
  <c r="J4" i="7"/>
  <c r="AK4" i="7" a="1"/>
  <c r="AK4" i="7" s="1"/>
  <c r="J8" i="7"/>
  <c r="AJ16" i="7" a="1"/>
  <c r="AJ16" i="7" s="1"/>
  <c r="AJ57" i="7" a="1"/>
  <c r="AJ57" i="7" s="1"/>
  <c r="AK13" i="7" a="1"/>
  <c r="AK13" i="7" s="1"/>
  <c r="AK22" i="7" a="1"/>
  <c r="AK22" i="7" s="1"/>
  <c r="J36" i="7"/>
  <c r="AJ46" i="7" a="1"/>
  <c r="AJ46" i="7" s="1"/>
  <c r="AK46" i="7" a="1"/>
  <c r="AK46" i="7" s="1"/>
  <c r="AJ51" i="7" a="1"/>
  <c r="AJ51" i="7" s="1"/>
  <c r="AK10" i="7" a="1"/>
  <c r="AK10" i="7" s="1"/>
  <c r="J32" i="7"/>
  <c r="AJ43" i="7" a="1"/>
  <c r="AJ43" i="7" s="1"/>
  <c r="AJ11" i="7" a="1"/>
  <c r="AJ11" i="7" s="1"/>
  <c r="AJ15" i="7" a="1"/>
  <c r="AJ15" i="7" s="1"/>
  <c r="AK20" i="7" a="1"/>
  <c r="AK20" i="7" s="1"/>
  <c r="AJ39" i="7" a="1"/>
  <c r="AJ39" i="7" s="1"/>
  <c r="J11" i="7"/>
  <c r="AK11" i="7" a="1"/>
  <c r="AK11" i="7" s="1"/>
  <c r="J39" i="7"/>
  <c r="J16" i="7"/>
  <c r="AK16" i="7" a="1"/>
  <c r="AK16" i="7" s="1"/>
  <c r="J20" i="7"/>
  <c r="AK39" i="7" a="1"/>
  <c r="AK39" i="7" s="1"/>
  <c r="J42" i="7"/>
  <c r="J46" i="7"/>
  <c r="AJ27" i="7" a="1"/>
  <c r="AJ27" i="7" s="1"/>
  <c r="AJ34" i="7" a="1"/>
  <c r="AJ34" i="7" s="1"/>
  <c r="AJ37" i="7" a="1"/>
  <c r="AJ37" i="7" s="1"/>
  <c r="J50" i="7"/>
  <c r="AJ58" i="7" a="1"/>
  <c r="AJ58" i="7" s="1"/>
  <c r="J27" i="7"/>
  <c r="AK27" i="7" a="1"/>
  <c r="AK27" i="7" s="1"/>
  <c r="J30" i="7"/>
  <c r="J34" i="7"/>
  <c r="AK37" i="7" a="1"/>
  <c r="AK37" i="7" s="1"/>
  <c r="AJ40" i="7" a="1"/>
  <c r="AJ40" i="7" s="1"/>
  <c r="J58" i="7"/>
  <c r="AK58" i="7" a="1"/>
  <c r="AK58" i="7" s="1"/>
  <c r="AK34" i="7" a="1"/>
  <c r="AK34" i="7" s="1"/>
  <c r="J40" i="7"/>
  <c r="AK40" i="7" a="1"/>
  <c r="AK40" i="7" s="1"/>
  <c r="J24" i="7"/>
  <c r="AJ3" i="7" a="1"/>
  <c r="AJ3" i="7" s="1"/>
  <c r="AJ10" i="7" a="1"/>
  <c r="AJ10" i="7" s="1"/>
  <c r="J15" i="7"/>
  <c r="AK15" i="7" a="1"/>
  <c r="AK15" i="7" s="1"/>
  <c r="J18" i="7"/>
  <c r="J22" i="7"/>
  <c r="AJ25" i="7" a="1"/>
  <c r="AJ25" i="7" s="1"/>
  <c r="AK38" i="7" a="1"/>
  <c r="AK38" i="7" s="1"/>
  <c r="J51" i="7"/>
  <c r="AK51" i="7" a="1"/>
  <c r="AK51" i="7" s="1"/>
  <c r="J56" i="7"/>
  <c r="AK3" i="7" a="1"/>
  <c r="AK3" i="7" s="1"/>
  <c r="AK25" i="7" a="1"/>
  <c r="AK25" i="7" s="1"/>
  <c r="AJ28" i="7" a="1"/>
  <c r="AJ28" i="7" s="1"/>
  <c r="AK32" i="7" a="1"/>
  <c r="AK32" i="7" s="1"/>
  <c r="AK56" i="7" a="1"/>
  <c r="AK56" i="7" s="1"/>
  <c r="J12" i="7"/>
  <c r="J28" i="7"/>
  <c r="AK28" i="7" a="1"/>
  <c r="AK28" i="7" s="1"/>
  <c r="J48" i="7"/>
  <c r="J3" i="7"/>
  <c r="AJ13" i="7" a="1"/>
  <c r="AJ13" i="7" s="1"/>
  <c r="AK49" i="7" a="1"/>
  <c r="AK49" i="7" s="1"/>
  <c r="AJ5" i="7" a="1"/>
  <c r="AJ5" i="7" s="1"/>
  <c r="AJ17" i="7" a="1"/>
  <c r="AJ17" i="7" s="1"/>
  <c r="AJ29" i="7" a="1"/>
  <c r="AJ29" i="7" s="1"/>
  <c r="AJ41" i="7" a="1"/>
  <c r="AJ41" i="7" s="1"/>
  <c r="AJ53" i="7" a="1"/>
  <c r="AJ53" i="7" s="1"/>
  <c r="J5" i="7"/>
  <c r="AJ12" i="7" a="1"/>
  <c r="AJ12" i="7" s="1"/>
  <c r="J17" i="7"/>
  <c r="AJ24" i="7" a="1"/>
  <c r="AJ24" i="7" s="1"/>
  <c r="J29" i="7"/>
  <c r="AJ36" i="7" a="1"/>
  <c r="AJ36" i="7" s="1"/>
  <c r="J41" i="7"/>
  <c r="AJ48" i="7" a="1"/>
  <c r="AJ48" i="7" s="1"/>
  <c r="J53" i="7"/>
  <c r="AK5" i="7" a="1"/>
  <c r="AK5" i="7" s="1"/>
  <c r="AJ7" i="7" a="1"/>
  <c r="AJ7" i="7" s="1"/>
  <c r="AK17" i="7" a="1"/>
  <c r="AK17" i="7" s="1"/>
  <c r="AJ19" i="7" a="1"/>
  <c r="AJ19" i="7" s="1"/>
  <c r="AK29" i="7" a="1"/>
  <c r="AK29" i="7" s="1"/>
  <c r="AJ31" i="7" a="1"/>
  <c r="AJ31" i="7" s="1"/>
  <c r="AK41" i="7" a="1"/>
  <c r="AK41" i="7" s="1"/>
  <c r="AK53" i="7" a="1"/>
  <c r="AK53" i="7" s="1"/>
  <c r="J7" i="7"/>
  <c r="AK12" i="7" a="1"/>
  <c r="AK12" i="7" s="1"/>
  <c r="AJ14" i="7" a="1"/>
  <c r="AJ14" i="7" s="1"/>
  <c r="J19" i="7"/>
  <c r="AK24" i="7" a="1"/>
  <c r="AK24" i="7" s="1"/>
  <c r="AJ26" i="7" a="1"/>
  <c r="AJ26" i="7" s="1"/>
  <c r="J31" i="7"/>
  <c r="AK36" i="7" a="1"/>
  <c r="AK36" i="7" s="1"/>
  <c r="AJ38" i="7" a="1"/>
  <c r="AJ38" i="7" s="1"/>
  <c r="J43" i="7"/>
  <c r="AK48" i="7" a="1"/>
  <c r="AK48" i="7" s="1"/>
  <c r="AJ50" i="7" a="1"/>
  <c r="AJ50" i="7" s="1"/>
  <c r="J55" i="7"/>
  <c r="J60" i="7"/>
  <c r="AK7" i="7" a="1"/>
  <c r="AK7" i="7" s="1"/>
  <c r="AJ9" i="7" a="1"/>
  <c r="AJ9" i="7" s="1"/>
  <c r="J14" i="7"/>
  <c r="AK19" i="7" a="1"/>
  <c r="AK19" i="7" s="1"/>
  <c r="AJ21" i="7" a="1"/>
  <c r="AJ21" i="7" s="1"/>
  <c r="J26" i="7"/>
  <c r="AK31" i="7" a="1"/>
  <c r="AK31" i="7" s="1"/>
  <c r="AJ33" i="7" a="1"/>
  <c r="AJ33" i="7" s="1"/>
  <c r="J38" i="7"/>
  <c r="AK43" i="7" a="1"/>
  <c r="AK43" i="7" s="1"/>
  <c r="AJ45" i="7" a="1"/>
  <c r="AJ45" i="7" s="1"/>
  <c r="J9" i="7"/>
  <c r="J21" i="7"/>
  <c r="J33" i="7"/>
  <c r="J45" i="7"/>
  <c r="J57" i="7"/>
  <c r="AK9" i="7" a="1"/>
  <c r="AK9" i="7" s="1"/>
  <c r="AK21" i="7" a="1"/>
  <c r="AK21" i="7" s="1"/>
  <c r="AJ23" i="7" a="1"/>
  <c r="AJ23" i="7" s="1"/>
  <c r="AK33" i="7" a="1"/>
  <c r="AK33" i="7" s="1"/>
  <c r="AJ35" i="7" a="1"/>
  <c r="AJ35" i="7" s="1"/>
  <c r="AK45" i="7" a="1"/>
  <c r="AK45" i="7" s="1"/>
  <c r="AJ47" i="7" a="1"/>
  <c r="AJ47" i="7" s="1"/>
  <c r="AK57" i="7" a="1"/>
  <c r="AK57" i="7" s="1"/>
  <c r="AJ59" i="7" a="1"/>
  <c r="AJ59" i="7" s="1"/>
  <c r="AJ6" i="7" a="1"/>
  <c r="AJ6" i="7" s="1"/>
  <c r="AJ18" i="7" a="1"/>
  <c r="AJ18" i="7" s="1"/>
  <c r="AJ30" i="7" a="1"/>
  <c r="AJ30" i="7" s="1"/>
  <c r="J35" i="7"/>
  <c r="AJ42" i="7" a="1"/>
  <c r="AJ42" i="7" s="1"/>
  <c r="J47" i="7"/>
  <c r="J59" i="7"/>
  <c r="AK47" i="7" a="1"/>
  <c r="AK47" i="7" s="1"/>
  <c r="AJ49" i="7" a="1"/>
  <c r="AJ49" i="7" s="1"/>
  <c r="AK59" i="7" a="1"/>
  <c r="AK59" i="7" s="1"/>
  <c r="AH61" i="7"/>
  <c r="AI3" i="7"/>
  <c r="AI61" i="7" s="1"/>
  <c r="AK6" i="7" a="1"/>
  <c r="AK6" i="7" s="1"/>
  <c r="AJ8" i="7" a="1"/>
  <c r="AJ8" i="7" s="1"/>
  <c r="J13" i="7"/>
  <c r="AK18" i="7" a="1"/>
  <c r="AK18" i="7" s="1"/>
  <c r="AJ20" i="7" a="1"/>
  <c r="AJ20" i="7" s="1"/>
  <c r="J25" i="7"/>
  <c r="AK30" i="7" a="1"/>
  <c r="AK30" i="7" s="1"/>
  <c r="AJ32" i="7" a="1"/>
  <c r="AJ32" i="7" s="1"/>
  <c r="J37" i="7"/>
  <c r="AK42" i="7" a="1"/>
  <c r="AK42" i="7" s="1"/>
  <c r="AJ44" i="7" a="1"/>
  <c r="AJ44" i="7" s="1"/>
  <c r="J49" i="7"/>
  <c r="AE60" i="7" a="1"/>
  <c r="AE60" i="7" s="1"/>
  <c r="AD60" i="7" a="1"/>
  <c r="AD60" i="7" s="1"/>
  <c r="F44" i="7"/>
  <c r="AD44" i="7" a="1"/>
  <c r="AD44" i="7" s="1"/>
  <c r="F54" i="7"/>
  <c r="F56" i="7"/>
  <c r="AD56" i="7" a="1"/>
  <c r="AD56" i="7" s="1"/>
  <c r="F28" i="7"/>
  <c r="AD28" i="7" a="1"/>
  <c r="AD28" i="7" s="1"/>
  <c r="AD54" i="7" a="1"/>
  <c r="AD54" i="7" s="1"/>
  <c r="F48" i="7"/>
  <c r="AE58" i="7" a="1"/>
  <c r="AE58" i="7" s="1"/>
  <c r="F35" i="7"/>
  <c r="AD35" i="7" a="1"/>
  <c r="AD35" i="7" s="1"/>
  <c r="F32" i="7"/>
  <c r="AD32" i="7" a="1"/>
  <c r="AD32" i="7" s="1"/>
  <c r="F38" i="7"/>
  <c r="AD38" i="7" a="1"/>
  <c r="AD38" i="7" s="1"/>
  <c r="F31" i="7"/>
  <c r="AD31" i="7" a="1"/>
  <c r="AD31" i="7" s="1"/>
  <c r="AD48" i="7" a="1"/>
  <c r="AD48" i="7" s="1"/>
  <c r="F42" i="7"/>
  <c r="AD42" i="7" a="1"/>
  <c r="AD42" i="7" s="1"/>
  <c r="F36" i="7"/>
  <c r="AD36" i="7" a="1"/>
  <c r="AD36" i="7" s="1"/>
  <c r="F50" i="7"/>
  <c r="AD50" i="7" a="1"/>
  <c r="AD50" i="7" s="1"/>
  <c r="AE37" i="7" a="1"/>
  <c r="AE37" i="7" s="1"/>
  <c r="AE43" i="7" a="1"/>
  <c r="AE43" i="7" s="1"/>
  <c r="AE49" i="7" a="1"/>
  <c r="AE49" i="7" s="1"/>
  <c r="AE55" i="7" a="1"/>
  <c r="AE55" i="7" s="1"/>
  <c r="AE36" i="7" a="1"/>
  <c r="AE36" i="7" s="1"/>
  <c r="AE42" i="7" a="1"/>
  <c r="AE42" i="7" s="1"/>
  <c r="AE48" i="7" a="1"/>
  <c r="AE48" i="7" s="1"/>
  <c r="AE54" i="7" a="1"/>
  <c r="AE54" i="7" s="1"/>
  <c r="F41" i="7"/>
  <c r="AD41" i="7" a="1"/>
  <c r="AD41" i="7" s="1"/>
  <c r="F47" i="7"/>
  <c r="AD47" i="7" a="1"/>
  <c r="AD47" i="7" s="1"/>
  <c r="F53" i="7"/>
  <c r="AD53" i="7" a="1"/>
  <c r="AD53" i="7" s="1"/>
  <c r="F59" i="7"/>
  <c r="AD59" i="7" a="1"/>
  <c r="AD59" i="7" s="1"/>
  <c r="AE41" i="7" a="1"/>
  <c r="AE41" i="7" s="1"/>
  <c r="AE47" i="7" a="1"/>
  <c r="AE47" i="7" s="1"/>
  <c r="AE53" i="7" a="1"/>
  <c r="AE53" i="7" s="1"/>
  <c r="AE59" i="7" a="1"/>
  <c r="AE59" i="7" s="1"/>
  <c r="D61" i="7"/>
  <c r="F40" i="7"/>
  <c r="AD40" i="7" a="1"/>
  <c r="AD40" i="7" s="1"/>
  <c r="F46" i="7"/>
  <c r="AD46" i="7" a="1"/>
  <c r="AD46" i="7" s="1"/>
  <c r="F52" i="7"/>
  <c r="AD52" i="7" a="1"/>
  <c r="AD52" i="7" s="1"/>
  <c r="F58" i="7"/>
  <c r="AD58" i="7" a="1"/>
  <c r="AD58" i="7" s="1"/>
  <c r="AE40" i="7" a="1"/>
  <c r="AE40" i="7" s="1"/>
  <c r="AE46" i="7" a="1"/>
  <c r="AE46" i="7" s="1"/>
  <c r="AE52" i="7" a="1"/>
  <c r="AE52" i="7" s="1"/>
  <c r="F30" i="7"/>
  <c r="AD30" i="7" a="1"/>
  <c r="AD30" i="7" s="1"/>
  <c r="F34" i="7"/>
  <c r="AD34" i="7" a="1"/>
  <c r="AD34" i="7" s="1"/>
  <c r="F39" i="7"/>
  <c r="AD39" i="7" a="1"/>
  <c r="AD39" i="7" s="1"/>
  <c r="F45" i="7"/>
  <c r="AD45" i="7" a="1"/>
  <c r="AD45" i="7" s="1"/>
  <c r="F51" i="7"/>
  <c r="AD51" i="7" a="1"/>
  <c r="AD51" i="7" s="1"/>
  <c r="F57" i="7"/>
  <c r="AD57" i="7" a="1"/>
  <c r="AD57" i="7" s="1"/>
  <c r="AE39" i="7" a="1"/>
  <c r="AE39" i="7" s="1"/>
  <c r="AE45" i="7" a="1"/>
  <c r="AE45" i="7" s="1"/>
  <c r="AE51" i="7" a="1"/>
  <c r="AE51" i="7" s="1"/>
  <c r="AE57" i="7" a="1"/>
  <c r="AE57" i="7" s="1"/>
  <c r="L61" i="7"/>
  <c r="F29" i="7"/>
  <c r="AD29" i="7" a="1"/>
  <c r="AD29" i="7" s="1"/>
  <c r="F33" i="7"/>
  <c r="AD33" i="7" a="1"/>
  <c r="AD33" i="7" s="1"/>
  <c r="AE38" i="7" a="1"/>
  <c r="AE38" i="7" s="1"/>
  <c r="AE44" i="7" a="1"/>
  <c r="AE44" i="7" s="1"/>
  <c r="AE50" i="7" a="1"/>
  <c r="AE50" i="7" s="1"/>
  <c r="AE56" i="7" a="1"/>
  <c r="AE56" i="7" s="1"/>
  <c r="F37" i="7"/>
  <c r="AD37" i="7" a="1"/>
  <c r="AD37" i="7" s="1"/>
  <c r="F43" i="7"/>
  <c r="AD43" i="7" a="1"/>
  <c r="AD43" i="7" s="1"/>
  <c r="F49" i="7"/>
  <c r="AD49" i="7" a="1"/>
  <c r="AD49" i="7" s="1"/>
  <c r="F55" i="7"/>
  <c r="AD55" i="7" a="1"/>
  <c r="AD55" i="7" s="1"/>
  <c r="AC3" i="7"/>
  <c r="F3" i="7"/>
  <c r="AD6" i="7" a="1"/>
  <c r="AD6" i="7" s="1"/>
  <c r="F7" i="7"/>
  <c r="AD8" i="7" a="1"/>
  <c r="AD8" i="7" s="1"/>
  <c r="F9" i="7"/>
  <c r="AD10" i="7" a="1"/>
  <c r="AD10" i="7" s="1"/>
  <c r="F12" i="7"/>
  <c r="AD14" i="7" a="1"/>
  <c r="AD14" i="7" s="1"/>
  <c r="F15" i="7"/>
  <c r="AD16" i="7" a="1"/>
  <c r="AD16" i="7" s="1"/>
  <c r="F17" i="7"/>
  <c r="AD18" i="7" a="1"/>
  <c r="AD18" i="7" s="1"/>
  <c r="F19" i="7"/>
  <c r="AD20" i="7" a="1"/>
  <c r="AD20" i="7" s="1"/>
  <c r="F21" i="7"/>
  <c r="AD22" i="7" a="1"/>
  <c r="AD22" i="7" s="1"/>
  <c r="F23" i="7"/>
  <c r="AD24" i="7" a="1"/>
  <c r="AD24" i="7" s="1"/>
  <c r="F25" i="7"/>
  <c r="AD26" i="7" a="1"/>
  <c r="AD26" i="7" s="1"/>
  <c r="F27" i="7"/>
  <c r="AD4" i="7" a="1"/>
  <c r="AD4" i="7" s="1"/>
  <c r="F6" i="7"/>
  <c r="AD7" i="7" a="1"/>
  <c r="AD7" i="7" s="1"/>
  <c r="F8" i="7"/>
  <c r="AD9" i="7" a="1"/>
  <c r="AD9" i="7" s="1"/>
  <c r="F10" i="7"/>
  <c r="F11" i="7"/>
  <c r="F13" i="7"/>
  <c r="F14" i="7"/>
  <c r="AD15" i="7" a="1"/>
  <c r="AD15" i="7" s="1"/>
  <c r="F16" i="7"/>
  <c r="AD17" i="7" a="1"/>
  <c r="AD17" i="7" s="1"/>
  <c r="F18" i="7"/>
  <c r="AD19" i="7" a="1"/>
  <c r="AD19" i="7" s="1"/>
  <c r="F20" i="7"/>
  <c r="AD21" i="7" a="1"/>
  <c r="AD21" i="7" s="1"/>
  <c r="F22" i="7"/>
  <c r="AD23" i="7" a="1"/>
  <c r="AD23" i="7" s="1"/>
  <c r="F24" i="7"/>
  <c r="AD25" i="7" a="1"/>
  <c r="AD25" i="7" s="1"/>
  <c r="F26" i="7"/>
  <c r="AD27" i="7" a="1"/>
  <c r="AD27" i="7" s="1"/>
  <c r="AE8" i="7" a="1"/>
  <c r="AE8" i="7" s="1"/>
  <c r="AE15" i="7" a="1"/>
  <c r="AE15" i="7" s="1"/>
  <c r="AE18" i="7" a="1"/>
  <c r="AE18" i="7" s="1"/>
  <c r="AE20" i="7" a="1"/>
  <c r="AE20" i="7" s="1"/>
  <c r="AE27" i="7" a="1"/>
  <c r="AE27" i="7" s="1"/>
  <c r="AE31" i="7" a="1"/>
  <c r="AE31" i="7" s="1"/>
  <c r="AE34" i="7" a="1"/>
  <c r="AE34" i="7" s="1"/>
  <c r="F4" i="7"/>
  <c r="AD13" i="7" a="1"/>
  <c r="AD13" i="7" s="1"/>
  <c r="AE7" i="7" a="1"/>
  <c r="AE7" i="7" s="1"/>
  <c r="AE11" i="7" a="1"/>
  <c r="AE11" i="7" s="1"/>
  <c r="AE13" i="7" a="1"/>
  <c r="AE13" i="7" s="1"/>
  <c r="AE16" i="7" a="1"/>
  <c r="AE16" i="7" s="1"/>
  <c r="AE19" i="7" a="1"/>
  <c r="AE19" i="7" s="1"/>
  <c r="AE21" i="7" a="1"/>
  <c r="AE21" i="7" s="1"/>
  <c r="AE22" i="7" a="1"/>
  <c r="AE22" i="7" s="1"/>
  <c r="AE23" i="7" a="1"/>
  <c r="AE23" i="7" s="1"/>
  <c r="AE25" i="7" a="1"/>
  <c r="AE25" i="7" s="1"/>
  <c r="AE26" i="7" a="1"/>
  <c r="AE26" i="7" s="1"/>
  <c r="AE28" i="7" a="1"/>
  <c r="AE28" i="7" s="1"/>
  <c r="AE29" i="7" a="1"/>
  <c r="AE29" i="7" s="1"/>
  <c r="AE30" i="7" a="1"/>
  <c r="AE30" i="7" s="1"/>
  <c r="AE32" i="7" a="1"/>
  <c r="AE32" i="7" s="1"/>
  <c r="AE33" i="7" a="1"/>
  <c r="AE33" i="7" s="1"/>
  <c r="AE35" i="7" a="1"/>
  <c r="AE35" i="7" s="1"/>
  <c r="AE5" i="7" a="1"/>
  <c r="AE5" i="7" s="1"/>
  <c r="AB61" i="7"/>
  <c r="AD3" i="7" a="1"/>
  <c r="AD3" i="7" s="1"/>
  <c r="AD5" i="7" a="1"/>
  <c r="AD5" i="7" s="1"/>
  <c r="AE3" i="7" a="1"/>
  <c r="AE3" i="7" s="1"/>
  <c r="AE10" i="7" a="1"/>
  <c r="AE10" i="7" s="1"/>
  <c r="AE14" i="7" a="1"/>
  <c r="AE14" i="7" s="1"/>
  <c r="AE17" i="7" a="1"/>
  <c r="AE17" i="7" s="1"/>
  <c r="AD12" i="7" a="1"/>
  <c r="AD12" i="7" s="1"/>
  <c r="AE9" i="7" a="1"/>
  <c r="AE9" i="7" s="1"/>
  <c r="F5" i="7"/>
  <c r="AE4" i="7" a="1"/>
  <c r="AE4" i="7" s="1"/>
  <c r="AE24" i="7" a="1"/>
  <c r="AE24" i="7" s="1"/>
  <c r="AD11" i="7" a="1"/>
  <c r="AD11" i="7" s="1"/>
  <c r="AE6" i="7" a="1"/>
  <c r="AE6" i="7" s="1"/>
  <c r="AE12" i="7" a="1"/>
  <c r="AE12" i="7" s="1"/>
  <c r="Y61" i="12"/>
  <c r="Z18" i="12" s="1"/>
  <c r="H61" i="12"/>
  <c r="AC13" i="12" a="1"/>
  <c r="AC13" i="12" s="1"/>
  <c r="AB36" i="12" a="1"/>
  <c r="AB36" i="12" s="1"/>
  <c r="J42" i="12"/>
  <c r="J48" i="12"/>
  <c r="AC54" i="12" a="1"/>
  <c r="AC54" i="12" s="1"/>
  <c r="J60" i="12"/>
  <c r="J11" i="12"/>
  <c r="J16" i="12"/>
  <c r="AC22" i="12" a="1"/>
  <c r="AC22" i="12" s="1"/>
  <c r="J28" i="12"/>
  <c r="AC34" i="12" a="1"/>
  <c r="AC34" i="12" s="1"/>
  <c r="AB40" i="12" a="1"/>
  <c r="AB40" i="12" s="1"/>
  <c r="J46" i="12"/>
  <c r="AC52" i="12" a="1"/>
  <c r="AC52" i="12" s="1"/>
  <c r="J58" i="12"/>
  <c r="AB15" i="12" a="1"/>
  <c r="AB15" i="12" s="1"/>
  <c r="AC45" i="12" a="1"/>
  <c r="AC45" i="12" s="1"/>
  <c r="J57" i="12"/>
  <c r="J9" i="12"/>
  <c r="J20" i="12"/>
  <c r="AB26" i="12" a="1"/>
  <c r="AB26" i="12" s="1"/>
  <c r="J32" i="12"/>
  <c r="AC38" i="12" a="1"/>
  <c r="AC38" i="12" s="1"/>
  <c r="AC44" i="12" a="1"/>
  <c r="AC44" i="12" s="1"/>
  <c r="J50" i="12"/>
  <c r="J56" i="12"/>
  <c r="AB8" i="12" a="1"/>
  <c r="AB8" i="12" s="1"/>
  <c r="AB19" i="12" a="1"/>
  <c r="AB19" i="12" s="1"/>
  <c r="AB25" i="12" a="1"/>
  <c r="AB25" i="12" s="1"/>
  <c r="J31" i="12"/>
  <c r="AC37" i="12" a="1"/>
  <c r="AC37" i="12" s="1"/>
  <c r="AC49" i="12" a="1"/>
  <c r="AC49" i="12" s="1"/>
  <c r="J55" i="12"/>
  <c r="BN4" i="4" a="1"/>
  <c r="BN4" i="4" s="1"/>
  <c r="BN10" i="4" a="1"/>
  <c r="BN10" i="4" s="1"/>
  <c r="BN15" i="4" a="1"/>
  <c r="BN15" i="4" s="1"/>
  <c r="BN18" i="4" a="1"/>
  <c r="BN18" i="4" s="1"/>
  <c r="BN19" i="4" a="1"/>
  <c r="BN19" i="4" s="1"/>
  <c r="BN20" i="4" a="1"/>
  <c r="BN20" i="4" s="1"/>
  <c r="BN22" i="4" a="1"/>
  <c r="BN22" i="4" s="1"/>
  <c r="BN24" i="4" a="1"/>
  <c r="BN24" i="4" s="1"/>
  <c r="BN25" i="4" a="1"/>
  <c r="BN25" i="4" s="1"/>
  <c r="BN27" i="4" a="1"/>
  <c r="BN27" i="4" s="1"/>
  <c r="BN35" i="4" a="1"/>
  <c r="BN35" i="4" s="1"/>
  <c r="BN36" i="4" a="1"/>
  <c r="BN36" i="4" s="1"/>
  <c r="BN37" i="4" a="1"/>
  <c r="BN37" i="4" s="1"/>
  <c r="BN39" i="4" a="1"/>
  <c r="BN39" i="4" s="1"/>
  <c r="BN41" i="4" a="1"/>
  <c r="BN41" i="4" s="1"/>
  <c r="BN42" i="4" a="1"/>
  <c r="BN42" i="4" s="1"/>
  <c r="BN44" i="4" a="1"/>
  <c r="BN44" i="4" s="1"/>
  <c r="BN52" i="4" a="1"/>
  <c r="BN52" i="4" s="1"/>
  <c r="BN57" i="4" a="1"/>
  <c r="BN57" i="4" s="1"/>
  <c r="BC15" i="4" a="1"/>
  <c r="BC15" i="4" s="1"/>
  <c r="BC24" i="4" a="1"/>
  <c r="BC24" i="4" s="1"/>
  <c r="BC25" i="4" a="1"/>
  <c r="BC25" i="4" s="1"/>
  <c r="BC27" i="4" a="1"/>
  <c r="BC27" i="4" s="1"/>
  <c r="BC28" i="4" a="1"/>
  <c r="BC28" i="4" s="1"/>
  <c r="BC30" i="4" a="1"/>
  <c r="BC30" i="4" s="1"/>
  <c r="BC32" i="4" a="1"/>
  <c r="BC32" i="4" s="1"/>
  <c r="BC37" i="4" a="1"/>
  <c r="BC37" i="4" s="1"/>
  <c r="BC39" i="4" a="1"/>
  <c r="BC39" i="4" s="1"/>
  <c r="BC47" i="4" a="1"/>
  <c r="BC47" i="4" s="1"/>
  <c r="AR7" i="4" a="1"/>
  <c r="AR7" i="4" s="1"/>
  <c r="AR11" i="4" a="1"/>
  <c r="AR11" i="4" s="1"/>
  <c r="AR17" i="4" a="1"/>
  <c r="AR17" i="4" s="1"/>
  <c r="AR28" i="4" a="1"/>
  <c r="AR28" i="4" s="1"/>
  <c r="AR41" i="4" a="1"/>
  <c r="AR41" i="4" s="1"/>
  <c r="T54" i="12" a="1"/>
  <c r="T54" i="12" s="1"/>
  <c r="T51" i="12" a="1"/>
  <c r="T51" i="12" s="1"/>
  <c r="J54" i="12"/>
  <c r="AC15" i="12" a="1"/>
  <c r="AC15" i="12" s="1"/>
  <c r="AC19" i="12" a="1"/>
  <c r="AC19" i="12" s="1"/>
  <c r="J15" i="12"/>
  <c r="AB60" i="12" a="1"/>
  <c r="AB60" i="12" s="1"/>
  <c r="AC26" i="12" a="1"/>
  <c r="AC26" i="12" s="1"/>
  <c r="AC25" i="12" a="1"/>
  <c r="AC25" i="12" s="1"/>
  <c r="AB54" i="12" a="1"/>
  <c r="AB54" i="12" s="1"/>
  <c r="AC9" i="12" a="1"/>
  <c r="AC9" i="12" s="1"/>
  <c r="AC8" i="12" a="1"/>
  <c r="AC8" i="12" s="1"/>
  <c r="AC58" i="12" a="1"/>
  <c r="AC58" i="12" s="1"/>
  <c r="AC57" i="12" a="1"/>
  <c r="AC57" i="12" s="1"/>
  <c r="AB34" i="12" a="1"/>
  <c r="AB34" i="12" s="1"/>
  <c r="AB55" i="12" a="1"/>
  <c r="AB55" i="12" s="1"/>
  <c r="AB22" i="12" a="1"/>
  <c r="AB22" i="12" s="1"/>
  <c r="AC55" i="12" a="1"/>
  <c r="AC55" i="12" s="1"/>
  <c r="AB56" i="12" a="1"/>
  <c r="AB56" i="12" s="1"/>
  <c r="AB20" i="12" a="1"/>
  <c r="AB20" i="12" s="1"/>
  <c r="AC56" i="12" a="1"/>
  <c r="AC56" i="12" s="1"/>
  <c r="AB57" i="12" a="1"/>
  <c r="AB57" i="12" s="1"/>
  <c r="AB58" i="12" a="1"/>
  <c r="AB58" i="12" s="1"/>
  <c r="AC11" i="12" a="1"/>
  <c r="AC11" i="12" s="1"/>
  <c r="AB28" i="12" a="1"/>
  <c r="AB28" i="12" s="1"/>
  <c r="AC60" i="12" a="1"/>
  <c r="AC60" i="12" s="1"/>
  <c r="AC28" i="12" a="1"/>
  <c r="AC28" i="12" s="1"/>
  <c r="J52" i="12"/>
  <c r="AB9" i="12" a="1"/>
  <c r="AB9" i="12" s="1"/>
  <c r="J25" i="12"/>
  <c r="J26" i="12"/>
  <c r="AC36" i="12" a="1"/>
  <c r="AC36" i="12" s="1"/>
  <c r="J8" i="12"/>
  <c r="AB13" i="12" a="1"/>
  <c r="AB13" i="12" s="1"/>
  <c r="AC40" i="12" a="1"/>
  <c r="AC40" i="12" s="1"/>
  <c r="AB11" i="12" a="1"/>
  <c r="AB11" i="12" s="1"/>
  <c r="AC29" i="12" a="1"/>
  <c r="AC29" i="12" s="1"/>
  <c r="J13" i="12"/>
  <c r="J34" i="12"/>
  <c r="J44" i="12"/>
  <c r="J19" i="12"/>
  <c r="J38" i="12"/>
  <c r="J40" i="12"/>
  <c r="J36" i="12"/>
  <c r="AB48" i="12" a="1"/>
  <c r="AB48" i="12" s="1"/>
  <c r="AB50" i="12" a="1"/>
  <c r="AB50" i="12" s="1"/>
  <c r="AB46" i="12" a="1"/>
  <c r="AB46" i="12" s="1"/>
  <c r="AB42" i="12" a="1"/>
  <c r="AB42" i="12" s="1"/>
  <c r="AB44" i="12" a="1"/>
  <c r="AB44" i="12" s="1"/>
  <c r="AC48" i="12" a="1"/>
  <c r="AC48" i="12" s="1"/>
  <c r="AB16" i="12" a="1"/>
  <c r="AB16" i="12" s="1"/>
  <c r="AB38" i="12" a="1"/>
  <c r="AB38" i="12" s="1"/>
  <c r="J22" i="12"/>
  <c r="AB31" i="12" a="1"/>
  <c r="AB31" i="12" s="1"/>
  <c r="J37" i="12"/>
  <c r="AC42" i="12" a="1"/>
  <c r="AC42" i="12" s="1"/>
  <c r="J45" i="12"/>
  <c r="AC46" i="12" a="1"/>
  <c r="AC46" i="12" s="1"/>
  <c r="J49" i="12"/>
  <c r="AC50" i="12" a="1"/>
  <c r="AC50" i="12" s="1"/>
  <c r="AC31" i="12" a="1"/>
  <c r="AC31" i="12" s="1"/>
  <c r="AC16" i="12" a="1"/>
  <c r="AC16" i="12" s="1"/>
  <c r="AC20" i="12" a="1"/>
  <c r="AC20" i="12" s="1"/>
  <c r="AB32" i="12" a="1"/>
  <c r="AB32" i="12" s="1"/>
  <c r="AC32" i="12" a="1"/>
  <c r="AC32" i="12" s="1"/>
  <c r="AB52" i="12" a="1"/>
  <c r="AB52" i="12" s="1"/>
  <c r="AB37" i="12" a="1"/>
  <c r="AB37" i="12" s="1"/>
  <c r="AB45" i="12" a="1"/>
  <c r="AB45" i="12" s="1"/>
  <c r="AB49" i="12" a="1"/>
  <c r="AB49" i="12" s="1"/>
  <c r="T6" i="12" a="1"/>
  <c r="T6" i="12" s="1"/>
  <c r="U7" i="12" a="1"/>
  <c r="U7" i="12" s="1"/>
  <c r="T48" i="12" a="1"/>
  <c r="T48" i="12" s="1"/>
  <c r="F8" i="12"/>
  <c r="Q61" i="12"/>
  <c r="E21" i="12" s="1"/>
  <c r="M21" i="28" s="1"/>
  <c r="F41" i="12"/>
  <c r="F6" i="12"/>
  <c r="U25" i="12" a="1"/>
  <c r="U25" i="12" s="1"/>
  <c r="U55" i="12" a="1"/>
  <c r="U55" i="12" s="1"/>
  <c r="F59" i="12"/>
  <c r="F9" i="12"/>
  <c r="F12" i="12"/>
  <c r="U19" i="12" a="1"/>
  <c r="U19" i="12" s="1"/>
  <c r="F29" i="12"/>
  <c r="F32" i="12"/>
  <c r="F35" i="12"/>
  <c r="F42" i="12"/>
  <c r="U49" i="12" a="1"/>
  <c r="U49" i="12" s="1"/>
  <c r="F26" i="12"/>
  <c r="T32" i="12" a="1"/>
  <c r="T32" i="12" s="1"/>
  <c r="U42" i="12" a="1"/>
  <c r="U42" i="12" s="1"/>
  <c r="F56" i="12"/>
  <c r="U60" i="12" a="1"/>
  <c r="U60" i="12" s="1"/>
  <c r="F4" i="12"/>
  <c r="F30" i="12"/>
  <c r="F36" i="12"/>
  <c r="F53" i="12"/>
  <c r="F7" i="12"/>
  <c r="F13" i="12"/>
  <c r="F17" i="12"/>
  <c r="F23" i="12"/>
  <c r="T36" i="12" a="1"/>
  <c r="T36" i="12" s="1"/>
  <c r="F47" i="12"/>
  <c r="T17" i="12" a="1"/>
  <c r="T17" i="12" s="1"/>
  <c r="U30" i="12" a="1"/>
  <c r="U30" i="12" s="1"/>
  <c r="F54" i="12"/>
  <c r="F24" i="12"/>
  <c r="F44" i="12"/>
  <c r="F51" i="12"/>
  <c r="F14" i="12"/>
  <c r="F18" i="12"/>
  <c r="U31" i="12" a="1"/>
  <c r="U31" i="12" s="1"/>
  <c r="F48" i="12"/>
  <c r="D61" i="12"/>
  <c r="AG49" i="4" a="1"/>
  <c r="AG49" i="4" s="1"/>
  <c r="AE256" i="24"/>
  <c r="AG8" i="4" a="1"/>
  <c r="AG8" i="4" s="1"/>
  <c r="AG9" i="4" a="1"/>
  <c r="AG9" i="4" s="1"/>
  <c r="AG7" i="4" a="1"/>
  <c r="AG7" i="4" s="1"/>
  <c r="AG4" i="4" a="1"/>
  <c r="AG4" i="4" s="1"/>
  <c r="AC61" i="4"/>
  <c r="E44" i="4" s="1"/>
  <c r="T23" i="12" a="1"/>
  <c r="T23" i="12" s="1"/>
  <c r="F60" i="12"/>
  <c r="T9" i="12" a="1"/>
  <c r="T9" i="12" s="1"/>
  <c r="T14" i="12" a="1"/>
  <c r="T14" i="12" s="1"/>
  <c r="T26" i="12" a="1"/>
  <c r="T26" i="12" s="1"/>
  <c r="T4" i="12" a="1"/>
  <c r="T4" i="12" s="1"/>
  <c r="U9" i="12" a="1"/>
  <c r="U9" i="12" s="1"/>
  <c r="T18" i="12" a="1"/>
  <c r="T18" i="12" s="1"/>
  <c r="T29" i="12" a="1"/>
  <c r="T29" i="12" s="1"/>
  <c r="U12" i="12" a="1"/>
  <c r="U12" i="12" s="1"/>
  <c r="T24" i="12" a="1"/>
  <c r="T24" i="12" s="1"/>
  <c r="T35" i="12" a="1"/>
  <c r="T35" i="12" s="1"/>
  <c r="T60" i="12" a="1"/>
  <c r="T60" i="12" s="1"/>
  <c r="T8" i="12" a="1"/>
  <c r="T8" i="12" s="1"/>
  <c r="U13" i="12" a="1"/>
  <c r="U13" i="12" s="1"/>
  <c r="T25" i="12" a="1"/>
  <c r="T25" i="12" s="1"/>
  <c r="U36" i="12" a="1"/>
  <c r="U36" i="12" s="1"/>
  <c r="T42" i="12" a="1"/>
  <c r="T42" i="12" s="1"/>
  <c r="E15" i="12"/>
  <c r="F19" i="12"/>
  <c r="F22" i="12"/>
  <c r="F25" i="12"/>
  <c r="F31" i="12"/>
  <c r="F49" i="12"/>
  <c r="F55" i="12"/>
  <c r="T41" i="12" a="1"/>
  <c r="T41" i="12" s="1"/>
  <c r="T44" i="12" a="1"/>
  <c r="T44" i="12" s="1"/>
  <c r="T47" i="12" a="1"/>
  <c r="T47" i="12" s="1"/>
  <c r="T53" i="12" a="1"/>
  <c r="T53" i="12" s="1"/>
  <c r="T56" i="12" a="1"/>
  <c r="T56" i="12" s="1"/>
  <c r="T59" i="12" a="1"/>
  <c r="T59" i="12" s="1"/>
  <c r="U8" i="12" a="1"/>
  <c r="U8" i="12" s="1"/>
  <c r="U14" i="12" a="1"/>
  <c r="U14" i="12" s="1"/>
  <c r="U17" i="12" a="1"/>
  <c r="U17" i="12" s="1"/>
  <c r="U23" i="12" a="1"/>
  <c r="U23" i="12" s="1"/>
  <c r="U26" i="12" a="1"/>
  <c r="U26" i="12" s="1"/>
  <c r="U29" i="12" a="1"/>
  <c r="U29" i="12" s="1"/>
  <c r="U32" i="12" a="1"/>
  <c r="U32" i="12" s="1"/>
  <c r="U35" i="12" a="1"/>
  <c r="U35" i="12" s="1"/>
  <c r="U41" i="12" a="1"/>
  <c r="U41" i="12" s="1"/>
  <c r="U44" i="12" a="1"/>
  <c r="U44" i="12" s="1"/>
  <c r="U47" i="12" a="1"/>
  <c r="U47" i="12" s="1"/>
  <c r="U53" i="12" a="1"/>
  <c r="U53" i="12" s="1"/>
  <c r="U56" i="12" a="1"/>
  <c r="U56" i="12" s="1"/>
  <c r="U59" i="12" a="1"/>
  <c r="U59" i="12" s="1"/>
  <c r="T49" i="12" a="1"/>
  <c r="T49" i="12" s="1"/>
  <c r="T55" i="12" a="1"/>
  <c r="T55" i="12" s="1"/>
  <c r="H51" i="11"/>
  <c r="H9" i="11"/>
  <c r="U47" i="11" a="1"/>
  <c r="U47" i="11" s="1"/>
  <c r="U32" i="11" a="1"/>
  <c r="U32" i="11" s="1"/>
  <c r="H37" i="11"/>
  <c r="T3" i="11" a="1"/>
  <c r="T3" i="11" s="1"/>
  <c r="H25" i="11"/>
  <c r="H53" i="11"/>
  <c r="H14" i="11"/>
  <c r="T50" i="11" a="1"/>
  <c r="T50" i="11" s="1"/>
  <c r="H49" i="11"/>
  <c r="U50" i="11" a="1"/>
  <c r="U50" i="11" s="1"/>
  <c r="H13" i="11"/>
  <c r="T47" i="11" a="1"/>
  <c r="T47" i="11" s="1"/>
  <c r="H27" i="11"/>
  <c r="H41" i="11"/>
  <c r="U5" i="11" a="1"/>
  <c r="U5" i="11" s="1"/>
  <c r="H43" i="11"/>
  <c r="H15" i="11"/>
  <c r="H19" i="11"/>
  <c r="H54" i="11"/>
  <c r="H8" i="11"/>
  <c r="H38" i="11"/>
  <c r="T57" i="11" a="1"/>
  <c r="T57" i="11" s="1"/>
  <c r="T18" i="11" a="1"/>
  <c r="T18" i="11" s="1"/>
  <c r="U44" i="11" a="1"/>
  <c r="U44" i="11" s="1"/>
  <c r="T12" i="11" a="1"/>
  <c r="T12" i="11" s="1"/>
  <c r="T33" i="11" a="1"/>
  <c r="T33" i="11" s="1"/>
  <c r="U49" i="11" a="1"/>
  <c r="U49" i="11" s="1"/>
  <c r="U20" i="11" a="1"/>
  <c r="U20" i="11" s="1"/>
  <c r="T35" i="11" a="1"/>
  <c r="T35" i="11" s="1"/>
  <c r="T38" i="11" a="1"/>
  <c r="T38" i="11" s="1"/>
  <c r="T54" i="11" a="1"/>
  <c r="T54" i="11" s="1"/>
  <c r="T6" i="11" a="1"/>
  <c r="T6" i="11" s="1"/>
  <c r="T9" i="11" a="1"/>
  <c r="T9" i="11" s="1"/>
  <c r="U35" i="11" a="1"/>
  <c r="U35" i="11" s="1"/>
  <c r="U56" i="11" a="1"/>
  <c r="U56" i="11" s="1"/>
  <c r="R61" i="11"/>
  <c r="T14" i="11" a="1"/>
  <c r="T14" i="11" s="1"/>
  <c r="U17" i="11" a="1"/>
  <c r="U17" i="11" s="1"/>
  <c r="T30" i="11" a="1"/>
  <c r="T30" i="11" s="1"/>
  <c r="T48" i="11" a="1"/>
  <c r="T48" i="11" s="1"/>
  <c r="T42" i="11" a="1"/>
  <c r="T42" i="11" s="1"/>
  <c r="T39" i="11" a="1"/>
  <c r="T39" i="11" s="1"/>
  <c r="T15" i="11" a="1"/>
  <c r="T15" i="11" s="1"/>
  <c r="U39" i="11" a="1"/>
  <c r="U39" i="11" s="1"/>
  <c r="U59" i="11" a="1"/>
  <c r="U59" i="11" s="1"/>
  <c r="H21" i="11"/>
  <c r="T51" i="11" a="1"/>
  <c r="T51" i="11" s="1"/>
  <c r="U3" i="11" a="1"/>
  <c r="U3" i="11" s="1"/>
  <c r="H7" i="11"/>
  <c r="T8" i="11" a="1"/>
  <c r="T8" i="11" s="1"/>
  <c r="U11" i="11" a="1"/>
  <c r="U11" i="11" s="1"/>
  <c r="T24" i="11" a="1"/>
  <c r="T24" i="11" s="1"/>
  <c r="T27" i="11" a="1"/>
  <c r="T27" i="11" s="1"/>
  <c r="U37" i="11" a="1"/>
  <c r="U37" i="11" s="1"/>
  <c r="T21" i="11" a="1"/>
  <c r="T21" i="11" s="1"/>
  <c r="T36" i="11" a="1"/>
  <c r="T36" i="11" s="1"/>
  <c r="U23" i="11" a="1"/>
  <c r="U23" i="11" s="1"/>
  <c r="T59" i="11" a="1"/>
  <c r="T59" i="11" s="1"/>
  <c r="T20" i="11" a="1"/>
  <c r="T20" i="11" s="1"/>
  <c r="H29" i="11"/>
  <c r="U48" i="11" a="1"/>
  <c r="U48" i="11" s="1"/>
  <c r="H31" i="11"/>
  <c r="T45" i="11" a="1"/>
  <c r="T45" i="11" s="1"/>
  <c r="T5" i="11" a="1"/>
  <c r="T5" i="11" s="1"/>
  <c r="U7" i="11" a="1"/>
  <c r="U7" i="11" s="1"/>
  <c r="H12" i="11"/>
  <c r="T17" i="11" a="1"/>
  <c r="T17" i="11" s="1"/>
  <c r="U19" i="11" a="1"/>
  <c r="U19" i="11" s="1"/>
  <c r="H24" i="11"/>
  <c r="T29" i="11" a="1"/>
  <c r="T29" i="11" s="1"/>
  <c r="U31" i="11" a="1"/>
  <c r="U31" i="11" s="1"/>
  <c r="H36" i="11"/>
  <c r="T41" i="11" a="1"/>
  <c r="T41" i="11" s="1"/>
  <c r="U43" i="11" a="1"/>
  <c r="U43" i="11" s="1"/>
  <c r="T53" i="11" a="1"/>
  <c r="T53" i="11" s="1"/>
  <c r="U55" i="11" a="1"/>
  <c r="U55" i="11" s="1"/>
  <c r="S3" i="11"/>
  <c r="S61" i="11" s="1"/>
  <c r="T4" i="11" a="1"/>
  <c r="T4" i="11" s="1"/>
  <c r="U6" i="11" a="1"/>
  <c r="U6" i="11" s="1"/>
  <c r="H11" i="11"/>
  <c r="T16" i="11" a="1"/>
  <c r="T16" i="11" s="1"/>
  <c r="U18" i="11" a="1"/>
  <c r="U18" i="11" s="1"/>
  <c r="H23" i="11"/>
  <c r="T28" i="11" a="1"/>
  <c r="T28" i="11" s="1"/>
  <c r="U30" i="11" a="1"/>
  <c r="U30" i="11" s="1"/>
  <c r="T40" i="11" a="1"/>
  <c r="T40" i="11" s="1"/>
  <c r="U42" i="11" a="1"/>
  <c r="U42" i="11" s="1"/>
  <c r="T52" i="11" a="1"/>
  <c r="T52" i="11" s="1"/>
  <c r="H10" i="11"/>
  <c r="H22" i="11"/>
  <c r="H34" i="11"/>
  <c r="H46" i="11"/>
  <c r="H58" i="11"/>
  <c r="U4" i="11" a="1"/>
  <c r="U4" i="11" s="1"/>
  <c r="U16" i="11" a="1"/>
  <c r="U16" i="11" s="1"/>
  <c r="U28" i="11" a="1"/>
  <c r="U28" i="11" s="1"/>
  <c r="H33" i="11"/>
  <c r="U40" i="11" a="1"/>
  <c r="U40" i="11" s="1"/>
  <c r="H45" i="11"/>
  <c r="U52" i="11" a="1"/>
  <c r="U52" i="11" s="1"/>
  <c r="H57" i="11"/>
  <c r="T13" i="11" a="1"/>
  <c r="T13" i="11" s="1"/>
  <c r="T25" i="11" a="1"/>
  <c r="T25" i="11" s="1"/>
  <c r="H32" i="11"/>
  <c r="H44" i="11"/>
  <c r="H56" i="11"/>
  <c r="H55" i="11"/>
  <c r="T10" i="11" a="1"/>
  <c r="T10" i="11" s="1"/>
  <c r="T22" i="11" a="1"/>
  <c r="T22" i="11" s="1"/>
  <c r="T34" i="11" a="1"/>
  <c r="T34" i="11" s="1"/>
  <c r="T46" i="11" a="1"/>
  <c r="T46" i="11" s="1"/>
  <c r="T58" i="11" a="1"/>
  <c r="T58" i="11" s="1"/>
  <c r="D61" i="11"/>
  <c r="H1538" i="24" s="1"/>
  <c r="M61" i="11"/>
  <c r="O52" i="11" a="1"/>
  <c r="O52" i="11" s="1"/>
  <c r="O53" i="11" a="1"/>
  <c r="O53" i="11" s="1"/>
  <c r="O50" i="11" a="1"/>
  <c r="O50" i="11" s="1"/>
  <c r="O8" i="11" a="1"/>
  <c r="O8" i="11" s="1"/>
  <c r="O19" i="11" a="1"/>
  <c r="O19" i="11" s="1"/>
  <c r="O23" i="11" a="1"/>
  <c r="O23" i="11" s="1"/>
  <c r="O28" i="11" a="1"/>
  <c r="O28" i="11" s="1"/>
  <c r="O29" i="11" a="1"/>
  <c r="O29" i="11" s="1"/>
  <c r="O31" i="11" a="1"/>
  <c r="O31" i="11" s="1"/>
  <c r="O32" i="11" a="1"/>
  <c r="O32" i="11" s="1"/>
  <c r="O34" i="11" a="1"/>
  <c r="O34" i="11" s="1"/>
  <c r="O35" i="11" a="1"/>
  <c r="O35" i="11" s="1"/>
  <c r="O37" i="11" a="1"/>
  <c r="O37" i="11" s="1"/>
  <c r="O38" i="11" a="1"/>
  <c r="O38" i="11" s="1"/>
  <c r="O40" i="11" a="1"/>
  <c r="O40" i="11" s="1"/>
  <c r="O41" i="11" a="1"/>
  <c r="O41" i="11" s="1"/>
  <c r="O43" i="11" a="1"/>
  <c r="O43" i="11" s="1"/>
  <c r="O44" i="11" a="1"/>
  <c r="O44" i="11" s="1"/>
  <c r="O47" i="11" a="1"/>
  <c r="O47" i="11" s="1"/>
  <c r="O55" i="11" a="1"/>
  <c r="O55" i="11" s="1"/>
  <c r="O56" i="11" a="1"/>
  <c r="O56" i="11" s="1"/>
  <c r="O58" i="11" a="1"/>
  <c r="O58" i="11" s="1"/>
  <c r="O59" i="11" a="1"/>
  <c r="O59" i="11" s="1"/>
  <c r="O11" i="11" a="1"/>
  <c r="O11" i="11" s="1"/>
  <c r="O20" i="11" a="1"/>
  <c r="O20" i="11" s="1"/>
  <c r="O4" i="11" a="1"/>
  <c r="O4" i="11" s="1"/>
  <c r="O5" i="11" a="1"/>
  <c r="O5" i="11" s="1"/>
  <c r="P8" i="11" a="1"/>
  <c r="P8" i="11" s="1"/>
  <c r="P11" i="11" a="1"/>
  <c r="P11" i="11" s="1"/>
  <c r="P14" i="11" a="1"/>
  <c r="P14" i="11" s="1"/>
  <c r="P17" i="11" a="1"/>
  <c r="P17" i="11" s="1"/>
  <c r="P20" i="11" a="1"/>
  <c r="P20" i="11" s="1"/>
  <c r="P23" i="11" a="1"/>
  <c r="P23" i="11" s="1"/>
  <c r="P26" i="11" a="1"/>
  <c r="P26" i="11" s="1"/>
  <c r="P29" i="11" a="1"/>
  <c r="P29" i="11" s="1"/>
  <c r="P32" i="11" a="1"/>
  <c r="P32" i="11" s="1"/>
  <c r="P35" i="11" a="1"/>
  <c r="P35" i="11" s="1"/>
  <c r="P38" i="11" a="1"/>
  <c r="P38" i="11" s="1"/>
  <c r="P41" i="11" a="1"/>
  <c r="P41" i="11" s="1"/>
  <c r="P44" i="11" a="1"/>
  <c r="P44" i="11" s="1"/>
  <c r="P47" i="11" a="1"/>
  <c r="P47" i="11" s="1"/>
  <c r="P50" i="11" a="1"/>
  <c r="P50" i="11" s="1"/>
  <c r="P53" i="11" a="1"/>
  <c r="P53" i="11" s="1"/>
  <c r="P56" i="11" a="1"/>
  <c r="P56" i="11" s="1"/>
  <c r="P59" i="11" a="1"/>
  <c r="P59" i="11" s="1"/>
  <c r="O17" i="11" a="1"/>
  <c r="O17" i="11" s="1"/>
  <c r="O14" i="11" a="1"/>
  <c r="O14" i="11" s="1"/>
  <c r="O25" i="11" a="1"/>
  <c r="O25" i="11" s="1"/>
  <c r="O13" i="11" a="1"/>
  <c r="O13" i="11" s="1"/>
  <c r="O22" i="11" a="1"/>
  <c r="O22" i="11" s="1"/>
  <c r="O49" i="11" a="1"/>
  <c r="O49" i="11" s="1"/>
  <c r="O16" i="11" a="1"/>
  <c r="O16" i="11" s="1"/>
  <c r="O10" i="11" a="1"/>
  <c r="O10" i="11" s="1"/>
  <c r="O26" i="11" a="1"/>
  <c r="O26" i="11" s="1"/>
  <c r="O7" i="11" a="1"/>
  <c r="O7" i="11" s="1"/>
  <c r="O46" i="11" a="1"/>
  <c r="O46" i="11" s="1"/>
  <c r="P5" i="11" a="1"/>
  <c r="P5" i="11" s="1"/>
  <c r="O60" i="11" a="1"/>
  <c r="O60" i="11" s="1"/>
  <c r="P60" i="11" a="1"/>
  <c r="P60" i="11" s="1"/>
  <c r="P4" i="11" a="1"/>
  <c r="P4" i="11" s="1"/>
  <c r="P7" i="11" a="1"/>
  <c r="P7" i="11" s="1"/>
  <c r="P10" i="11" a="1"/>
  <c r="P10" i="11" s="1"/>
  <c r="P13" i="11" a="1"/>
  <c r="P13" i="11" s="1"/>
  <c r="P16" i="11" a="1"/>
  <c r="P16" i="11" s="1"/>
  <c r="P19" i="11" a="1"/>
  <c r="P19" i="11" s="1"/>
  <c r="P22" i="11" a="1"/>
  <c r="P22" i="11" s="1"/>
  <c r="P25" i="11" a="1"/>
  <c r="P25" i="11" s="1"/>
  <c r="P28" i="11" a="1"/>
  <c r="P28" i="11" s="1"/>
  <c r="P31" i="11" a="1"/>
  <c r="P31" i="11" s="1"/>
  <c r="P34" i="11" a="1"/>
  <c r="P34" i="11" s="1"/>
  <c r="P37" i="11" a="1"/>
  <c r="P37" i="11" s="1"/>
  <c r="P40" i="11" a="1"/>
  <c r="P40" i="11" s="1"/>
  <c r="P43" i="11" a="1"/>
  <c r="P43" i="11" s="1"/>
  <c r="P46" i="11" a="1"/>
  <c r="P46" i="11" s="1"/>
  <c r="P49" i="11" a="1"/>
  <c r="P49" i="11" s="1"/>
  <c r="P52" i="11" a="1"/>
  <c r="P52" i="11" s="1"/>
  <c r="P55" i="11" a="1"/>
  <c r="P55" i="11" s="1"/>
  <c r="P58" i="11" a="1"/>
  <c r="P58" i="11" s="1"/>
  <c r="E3" i="11"/>
  <c r="E6" i="11"/>
  <c r="E9" i="11"/>
  <c r="E12" i="11"/>
  <c r="E15" i="11"/>
  <c r="E18" i="11"/>
  <c r="E21" i="11"/>
  <c r="E24" i="11"/>
  <c r="E27" i="11"/>
  <c r="E30" i="11"/>
  <c r="E33" i="11"/>
  <c r="E36" i="11"/>
  <c r="E39" i="11"/>
  <c r="E42" i="11"/>
  <c r="E45" i="11"/>
  <c r="E48" i="11"/>
  <c r="E51" i="11"/>
  <c r="E54" i="11"/>
  <c r="E57" i="11"/>
  <c r="N3" i="11"/>
  <c r="N61" i="11" s="1"/>
  <c r="O3" i="11" a="1"/>
  <c r="O3" i="11" s="1"/>
  <c r="O6" i="11" a="1"/>
  <c r="O6" i="11" s="1"/>
  <c r="O9" i="11" a="1"/>
  <c r="O9" i="11" s="1"/>
  <c r="O12" i="11" a="1"/>
  <c r="O12" i="11" s="1"/>
  <c r="O15" i="11" a="1"/>
  <c r="O15" i="11" s="1"/>
  <c r="O18" i="11" a="1"/>
  <c r="O18" i="11" s="1"/>
  <c r="O21" i="11" a="1"/>
  <c r="O21" i="11" s="1"/>
  <c r="O24" i="11" a="1"/>
  <c r="O24" i="11" s="1"/>
  <c r="O27" i="11" a="1"/>
  <c r="O27" i="11" s="1"/>
  <c r="O30" i="11" a="1"/>
  <c r="O30" i="11" s="1"/>
  <c r="O33" i="11" a="1"/>
  <c r="O33" i="11" s="1"/>
  <c r="O36" i="11" a="1"/>
  <c r="O36" i="11" s="1"/>
  <c r="O39" i="11" a="1"/>
  <c r="O39" i="11" s="1"/>
  <c r="O42" i="11" a="1"/>
  <c r="O42" i="11" s="1"/>
  <c r="O45" i="11" a="1"/>
  <c r="O45" i="11" s="1"/>
  <c r="O48" i="11" a="1"/>
  <c r="O48" i="11" s="1"/>
  <c r="O51" i="11" a="1"/>
  <c r="O51" i="11" s="1"/>
  <c r="O54" i="11" a="1"/>
  <c r="O54" i="11" s="1"/>
  <c r="O57" i="11" a="1"/>
  <c r="O57" i="11" s="1"/>
  <c r="P3" i="11" a="1"/>
  <c r="P3" i="11" s="1"/>
  <c r="W1384" i="24" l="1"/>
  <c r="Z58" i="16" a="1"/>
  <c r="Z58" i="16" s="1"/>
  <c r="W1369" i="24"/>
  <c r="V17" i="16"/>
  <c r="BD23" i="4" a="1"/>
  <c r="BD23" i="4" s="1"/>
  <c r="Z43" i="16" a="1"/>
  <c r="Z43" i="16" s="1"/>
  <c r="V40" i="16"/>
  <c r="X58" i="16" a="1"/>
  <c r="X58" i="16" s="1"/>
  <c r="AE21" i="17"/>
  <c r="BA23" i="4"/>
  <c r="BG38" i="10"/>
  <c r="AE2190" i="24"/>
  <c r="R38" i="10"/>
  <c r="AR19" i="4" a="1"/>
  <c r="AR19" i="4" s="1"/>
  <c r="AI21" i="17"/>
  <c r="AS19" i="4" a="1"/>
  <c r="AS19" i="4" s="1"/>
  <c r="BC23" i="4" a="1"/>
  <c r="BC23" i="4" s="1"/>
  <c r="AF21" i="17" a="1"/>
  <c r="AF21" i="17" s="1"/>
  <c r="AL60" i="10" a="1"/>
  <c r="AL60" i="10" s="1"/>
  <c r="W1373" i="24"/>
  <c r="Y54" i="16" a="1"/>
  <c r="Y54" i="16" s="1"/>
  <c r="BA11" i="10" a="1"/>
  <c r="BA11" i="10" s="1"/>
  <c r="X10" i="16" a="1"/>
  <c r="X10" i="16" s="1"/>
  <c r="BA31" i="10" a="1"/>
  <c r="BA31" i="10" s="1"/>
  <c r="X54" i="16" a="1"/>
  <c r="X54" i="16" s="1"/>
  <c r="AS14" i="10" a="1"/>
  <c r="AS14" i="10" s="1"/>
  <c r="V38" i="16"/>
  <c r="AS56" i="4" a="1"/>
  <c r="AS56" i="4" s="1"/>
  <c r="BA19" i="10" a="1"/>
  <c r="BA19" i="10" s="1"/>
  <c r="Z45" i="16" a="1"/>
  <c r="Z45" i="16" s="1"/>
  <c r="Z56" i="16" a="1"/>
  <c r="Z56" i="16" s="1"/>
  <c r="W1368" i="24"/>
  <c r="Y56" i="16" a="1"/>
  <c r="Y56" i="16" s="1"/>
  <c r="Y51" i="16" a="1"/>
  <c r="Y51" i="16" s="1"/>
  <c r="BA42" i="10" a="1"/>
  <c r="BA42" i="10" s="1"/>
  <c r="BA52" i="10" a="1"/>
  <c r="BA52" i="10" s="1"/>
  <c r="BA39" i="10" a="1"/>
  <c r="BA39" i="10" s="1"/>
  <c r="BG42" i="10"/>
  <c r="Y45" i="16" a="1"/>
  <c r="Y45" i="16" s="1"/>
  <c r="Y43" i="16" a="1"/>
  <c r="Y43" i="16" s="1"/>
  <c r="BA30" i="10" a="1"/>
  <c r="BA30" i="10" s="1"/>
  <c r="BA40" i="10" a="1"/>
  <c r="BA40" i="10" s="1"/>
  <c r="BA29" i="10" a="1"/>
  <c r="BA29" i="10" s="1"/>
  <c r="Z54" i="16" a="1"/>
  <c r="Z54" i="16" s="1"/>
  <c r="W1387" i="24"/>
  <c r="R42" i="10"/>
  <c r="X56" i="16" a="1"/>
  <c r="X56" i="16" s="1"/>
  <c r="Y10" i="16" a="1"/>
  <c r="Y10" i="16" s="1"/>
  <c r="BA16" i="10" a="1"/>
  <c r="BA16" i="10" s="1"/>
  <c r="X45" i="16" a="1"/>
  <c r="X45" i="16" s="1"/>
  <c r="AK13" i="10" a="1"/>
  <c r="AK13" i="10" s="1"/>
  <c r="Z10" i="16" a="1"/>
  <c r="Z10" i="16" s="1"/>
  <c r="W1388" i="24"/>
  <c r="V11" i="16"/>
  <c r="X43" i="16" a="1"/>
  <c r="X43" i="16" s="1"/>
  <c r="V22" i="16"/>
  <c r="BG40" i="10"/>
  <c r="R40" i="10"/>
  <c r="BA14" i="10" a="1"/>
  <c r="BA14" i="10" s="1"/>
  <c r="I12" i="17"/>
  <c r="T58" i="18" a="1"/>
  <c r="T58" i="18" s="1"/>
  <c r="M13" i="28"/>
  <c r="AE47" i="4"/>
  <c r="AH47" i="4" a="1"/>
  <c r="AH47" i="4" s="1"/>
  <c r="AP7" i="4"/>
  <c r="AP19" i="4"/>
  <c r="AP33" i="4"/>
  <c r="V4" i="18" a="1"/>
  <c r="V4" i="18" s="1"/>
  <c r="T4" i="18" a="1"/>
  <c r="T4" i="18" s="1"/>
  <c r="F4" i="18"/>
  <c r="U4" i="18" a="1"/>
  <c r="U4" i="18" s="1"/>
  <c r="Y58" i="16" a="1"/>
  <c r="Y58" i="16" s="1"/>
  <c r="Y13" i="16" a="1"/>
  <c r="Y13" i="16" s="1"/>
  <c r="AS22" i="10" a="1"/>
  <c r="AS22" i="10" s="1"/>
  <c r="BA7" i="4"/>
  <c r="BD7" i="4" a="1"/>
  <c r="BD7" i="4" s="1"/>
  <c r="BC7" i="4" a="1"/>
  <c r="BC7" i="4" s="1"/>
  <c r="AP37" i="4"/>
  <c r="AR10" i="4" a="1"/>
  <c r="AR10" i="4" s="1"/>
  <c r="AS49" i="4" a="1"/>
  <c r="AS49" i="4" s="1"/>
  <c r="AS10" i="4" a="1"/>
  <c r="AS10" i="4" s="1"/>
  <c r="AP18" i="4"/>
  <c r="AR37" i="4" a="1"/>
  <c r="AR37" i="4" s="1"/>
  <c r="AS37" i="4" a="1"/>
  <c r="AS37" i="4" s="1"/>
  <c r="AP10" i="4"/>
  <c r="AH6" i="4" a="1"/>
  <c r="AH6" i="4" s="1"/>
  <c r="AR56" i="4" a="1"/>
  <c r="AR56" i="4" s="1"/>
  <c r="AR48" i="4" a="1"/>
  <c r="AR48" i="4" s="1"/>
  <c r="AS33" i="4" a="1"/>
  <c r="AS33" i="4" s="1"/>
  <c r="AS36" i="4" a="1"/>
  <c r="AS36" i="4" s="1"/>
  <c r="AP48" i="4"/>
  <c r="AP36" i="4"/>
  <c r="AS48" i="4" a="1"/>
  <c r="AS48" i="4" s="1"/>
  <c r="AR36" i="4" a="1"/>
  <c r="AR36" i="4" s="1"/>
  <c r="AR33" i="4" a="1"/>
  <c r="AR33" i="4" s="1"/>
  <c r="AR57" i="4" a="1"/>
  <c r="AR57" i="4" s="1"/>
  <c r="AS47" i="4" a="1"/>
  <c r="AS47" i="4" s="1"/>
  <c r="AP47" i="4"/>
  <c r="BA11" i="4"/>
  <c r="BA9" i="4"/>
  <c r="BC9" i="4" a="1"/>
  <c r="BC9" i="4" s="1"/>
  <c r="BD9" i="4" a="1"/>
  <c r="BD9" i="4" s="1"/>
  <c r="AJ19" i="16" a="1"/>
  <c r="AJ19" i="16" s="1"/>
  <c r="AK19" i="16" a="1"/>
  <c r="AK19" i="16" s="1"/>
  <c r="AE2177" i="24"/>
  <c r="AL19" i="16" a="1"/>
  <c r="AL19" i="16" s="1"/>
  <c r="AG26" i="16"/>
  <c r="AK26" i="16" s="1" a="1"/>
  <c r="AK26" i="16" s="1"/>
  <c r="I26" i="16"/>
  <c r="I22" i="16"/>
  <c r="AG22" i="16"/>
  <c r="I17" i="16"/>
  <c r="AE386" i="24"/>
  <c r="AZ26" i="4"/>
  <c r="AZ22" i="4"/>
  <c r="BA22" i="4" s="1"/>
  <c r="AZ17" i="4"/>
  <c r="AE351" i="24" s="1"/>
  <c r="AC51" i="12" a="1"/>
  <c r="AC51" i="12" s="1"/>
  <c r="AB51" i="12" a="1"/>
  <c r="AB51" i="12" s="1"/>
  <c r="J51" i="12"/>
  <c r="AF51" i="12"/>
  <c r="E31" i="4"/>
  <c r="K31" i="28" s="1"/>
  <c r="AD31" i="4"/>
  <c r="AH31" i="4" s="1" a="1"/>
  <c r="AH31" i="4" s="1"/>
  <c r="M50" i="28"/>
  <c r="M34" i="28"/>
  <c r="M46" i="28"/>
  <c r="E43" i="12"/>
  <c r="M43" i="28" s="1"/>
  <c r="R43" i="12"/>
  <c r="E58" i="4"/>
  <c r="K58" i="28" s="1"/>
  <c r="AD58" i="4"/>
  <c r="AE230" i="24" s="1"/>
  <c r="BK14" i="4"/>
  <c r="BA8" i="4"/>
  <c r="BA20" i="4"/>
  <c r="BD8" i="4" a="1"/>
  <c r="BD8" i="4" s="1"/>
  <c r="AZ14" i="4"/>
  <c r="BC20" i="4" a="1"/>
  <c r="BC20" i="4" s="1"/>
  <c r="BD20" i="4" a="1"/>
  <c r="BD20" i="4" s="1"/>
  <c r="BC8" i="4" a="1"/>
  <c r="BC8" i="4" s="1"/>
  <c r="M14" i="4"/>
  <c r="AB12" i="17"/>
  <c r="E44" i="18"/>
  <c r="R44" i="18"/>
  <c r="E44" i="10"/>
  <c r="AA44" i="10"/>
  <c r="E30" i="4"/>
  <c r="K30" i="28" s="1"/>
  <c r="AD30" i="4"/>
  <c r="AH30" i="4" s="1" a="1"/>
  <c r="AH30" i="4" s="1"/>
  <c r="M40" i="28"/>
  <c r="R38" i="12"/>
  <c r="M15" i="28"/>
  <c r="E38" i="12"/>
  <c r="M38" i="28" s="1"/>
  <c r="AI60" i="17"/>
  <c r="AD60" i="17" a="1"/>
  <c r="AD60" i="17" s="1"/>
  <c r="AE60" i="17"/>
  <c r="AF60" i="17" a="1"/>
  <c r="AF60" i="17" s="1"/>
  <c r="AE15" i="17"/>
  <c r="AI15" i="17"/>
  <c r="AF15" i="17" a="1"/>
  <c r="AF15" i="17" s="1"/>
  <c r="AD15" i="17" a="1"/>
  <c r="AD15" i="17" s="1"/>
  <c r="AB43" i="17"/>
  <c r="AA2524" i="24" s="1"/>
  <c r="E32" i="4"/>
  <c r="K32" i="28" s="1"/>
  <c r="AD32" i="4"/>
  <c r="AE32" i="4" s="1"/>
  <c r="AD3" i="4"/>
  <c r="AG3" i="4" s="1" a="1"/>
  <c r="AG3" i="4" s="1"/>
  <c r="E60" i="10"/>
  <c r="AA60" i="10"/>
  <c r="Z14" i="12"/>
  <c r="W633" i="24" s="1"/>
  <c r="I14" i="12"/>
  <c r="M14" i="28" s="1"/>
  <c r="Z12" i="12"/>
  <c r="AC12" i="12" s="1" a="1"/>
  <c r="AC12" i="12" s="1"/>
  <c r="I12" i="12"/>
  <c r="M12" i="28" s="1"/>
  <c r="AS27" i="4" a="1"/>
  <c r="AS27" i="4" s="1"/>
  <c r="AG5" i="4" a="1"/>
  <c r="AG5" i="4" s="1"/>
  <c r="AG6" i="4" a="1"/>
  <c r="AG6" i="4" s="1"/>
  <c r="AE6" i="4"/>
  <c r="AE5" i="4"/>
  <c r="AG47" i="4" a="1"/>
  <c r="AG47" i="4" s="1"/>
  <c r="AO21" i="4"/>
  <c r="AS21" i="4" s="1" a="1"/>
  <c r="AS21" i="4" s="1"/>
  <c r="AR27" i="4" a="1"/>
  <c r="AR27" i="4" s="1"/>
  <c r="AP14" i="4"/>
  <c r="AP27" i="4"/>
  <c r="AR14" i="4" a="1"/>
  <c r="AR14" i="4" s="1"/>
  <c r="AP52" i="4"/>
  <c r="AR46" i="4" a="1"/>
  <c r="AR46" i="4" s="1"/>
  <c r="AR52" i="4" a="1"/>
  <c r="AR52" i="4" s="1"/>
  <c r="AS52" i="4" a="1"/>
  <c r="AS52" i="4" s="1"/>
  <c r="AS46" i="4" a="1"/>
  <c r="AS46" i="4" s="1"/>
  <c r="AP46" i="4"/>
  <c r="AS14" i="4" a="1"/>
  <c r="AS14" i="4" s="1"/>
  <c r="AO23" i="4"/>
  <c r="E38" i="4"/>
  <c r="AD38" i="4"/>
  <c r="AH38" i="4" s="1" a="1"/>
  <c r="AH38" i="4" s="1"/>
  <c r="K10" i="28"/>
  <c r="AP44" i="4"/>
  <c r="AS44" i="4" a="1"/>
  <c r="AS44" i="4" s="1"/>
  <c r="AR44" i="4" a="1"/>
  <c r="AR44" i="4" s="1"/>
  <c r="I38" i="4"/>
  <c r="AS34" i="4" a="1"/>
  <c r="AS34" i="4" s="1"/>
  <c r="AP34" i="4"/>
  <c r="AR34" i="4" a="1"/>
  <c r="AR34" i="4" s="1"/>
  <c r="AP32" i="4"/>
  <c r="AR32" i="4" a="1"/>
  <c r="AR32" i="4" s="1"/>
  <c r="AS32" i="4" a="1"/>
  <c r="AS32" i="4" s="1"/>
  <c r="AO38" i="4"/>
  <c r="AP38" i="4" s="1"/>
  <c r="AS42" i="4" a="1"/>
  <c r="AS42" i="4" s="1"/>
  <c r="AP42" i="4"/>
  <c r="AR43" i="4" a="1"/>
  <c r="AR43" i="4" s="1"/>
  <c r="AP43" i="4"/>
  <c r="AR42" i="4" a="1"/>
  <c r="AR42" i="4" s="1"/>
  <c r="AS25" i="4" a="1"/>
  <c r="AS25" i="4" s="1"/>
  <c r="AS43" i="4" a="1"/>
  <c r="AS43" i="4" s="1"/>
  <c r="AR26" i="4" a="1"/>
  <c r="AR26" i="4" s="1"/>
  <c r="AS26" i="4" a="1"/>
  <c r="AS26" i="4" s="1"/>
  <c r="AP26" i="4"/>
  <c r="AS18" i="4" a="1"/>
  <c r="AS18" i="4" s="1"/>
  <c r="AP5" i="4"/>
  <c r="AR5" i="4" a="1"/>
  <c r="AR5" i="4" s="1"/>
  <c r="AS60" i="4" a="1"/>
  <c r="AS60" i="4" s="1"/>
  <c r="AS5" i="4" a="1"/>
  <c r="AS5" i="4" s="1"/>
  <c r="AS40" i="4" a="1"/>
  <c r="AS40" i="4" s="1"/>
  <c r="AR25" i="4" a="1"/>
  <c r="AR25" i="4" s="1"/>
  <c r="AS51" i="4" a="1"/>
  <c r="AS51" i="4" s="1"/>
  <c r="AP40" i="4"/>
  <c r="AE278" i="24"/>
  <c r="AS58" i="4" a="1"/>
  <c r="AS58" i="4" s="1"/>
  <c r="AR40" i="4" a="1"/>
  <c r="AR40" i="4" s="1"/>
  <c r="AR60" i="4" a="1"/>
  <c r="AR60" i="4" s="1"/>
  <c r="AR51" i="4" a="1"/>
  <c r="AR51" i="4" s="1"/>
  <c r="AE292" i="24"/>
  <c r="AP60" i="4"/>
  <c r="AP57" i="4"/>
  <c r="AO35" i="4"/>
  <c r="AP35" i="4" s="1"/>
  <c r="AR49" i="4" a="1"/>
  <c r="AR49" i="4" s="1"/>
  <c r="AS57" i="4" a="1"/>
  <c r="AS57" i="4" s="1"/>
  <c r="AP58" i="4"/>
  <c r="AR18" i="4" a="1"/>
  <c r="AR18" i="4" s="1"/>
  <c r="AS7" i="4" a="1"/>
  <c r="AS7" i="4" s="1"/>
  <c r="AP56" i="4"/>
  <c r="AP51" i="4"/>
  <c r="AR58" i="4" a="1"/>
  <c r="AR58" i="4" s="1"/>
  <c r="AP49" i="4"/>
  <c r="AD45" i="4"/>
  <c r="AE217" i="24" s="1"/>
  <c r="M16" i="28"/>
  <c r="R45" i="12"/>
  <c r="W584" i="24" s="1"/>
  <c r="U8" i="18" a="1"/>
  <c r="U8" i="18" s="1"/>
  <c r="T8" i="18" a="1"/>
  <c r="T8" i="18" s="1"/>
  <c r="V8" i="18" a="1"/>
  <c r="V8" i="18" s="1"/>
  <c r="AG52" i="4" a="1"/>
  <c r="AG52" i="4" s="1"/>
  <c r="AH52" i="4" a="1"/>
  <c r="AH52" i="4" s="1"/>
  <c r="AE52" i="4"/>
  <c r="E46" i="18"/>
  <c r="Y2876" i="24"/>
  <c r="V46" i="18" a="1"/>
  <c r="V46" i="18" s="1"/>
  <c r="T46" i="18" a="1"/>
  <c r="T46" i="18" s="1"/>
  <c r="AG46" i="18"/>
  <c r="F46" i="18"/>
  <c r="U46" i="18" a="1"/>
  <c r="U46" i="18" s="1"/>
  <c r="T6" i="18" a="1"/>
  <c r="T6" i="18" s="1"/>
  <c r="T36" i="18" a="1"/>
  <c r="T36" i="18" s="1"/>
  <c r="U46" i="16"/>
  <c r="E46" i="16"/>
  <c r="E46" i="10"/>
  <c r="AA46" i="10"/>
  <c r="AD46" i="4"/>
  <c r="AE218" i="24" s="1"/>
  <c r="E46" i="4"/>
  <c r="K46" i="28" s="1"/>
  <c r="AZ18" i="4"/>
  <c r="BD18" i="4" s="1" a="1"/>
  <c r="BD18" i="4" s="1"/>
  <c r="M18" i="4"/>
  <c r="E39" i="10"/>
  <c r="N39" i="28" s="1"/>
  <c r="AA39" i="10"/>
  <c r="BF28" i="10"/>
  <c r="AT28" i="10" a="1"/>
  <c r="AT28" i="10" s="1"/>
  <c r="N28" i="10"/>
  <c r="AS28" i="10" a="1"/>
  <c r="AS28" i="10" s="1"/>
  <c r="M13" i="10"/>
  <c r="AQ13" i="10"/>
  <c r="BC58" i="4" a="1"/>
  <c r="BC58" i="4" s="1"/>
  <c r="M13" i="4"/>
  <c r="K13" i="28" s="1"/>
  <c r="AZ13" i="4"/>
  <c r="AQ6" i="10"/>
  <c r="BF6" i="10" s="1"/>
  <c r="M6" i="10"/>
  <c r="N6" i="28" s="1"/>
  <c r="B57" i="28"/>
  <c r="D57" i="28" s="1"/>
  <c r="V13" i="16"/>
  <c r="U23" i="16"/>
  <c r="AE2099" i="24" s="1"/>
  <c r="V5" i="16"/>
  <c r="V39" i="16"/>
  <c r="E43" i="4"/>
  <c r="K43" i="28" s="1"/>
  <c r="AD43" i="4"/>
  <c r="AE43" i="4" s="1"/>
  <c r="E23" i="4"/>
  <c r="AD23" i="4"/>
  <c r="AH23" i="4" s="1" a="1"/>
  <c r="AH23" i="4" s="1"/>
  <c r="BA10" i="4"/>
  <c r="BC10" i="4" a="1"/>
  <c r="BC10" i="4" s="1"/>
  <c r="BD10" i="4" a="1"/>
  <c r="BD10" i="4" s="1"/>
  <c r="AZ35" i="4"/>
  <c r="BC35" i="4" s="1" a="1"/>
  <c r="BC35" i="4" s="1"/>
  <c r="E18" i="4"/>
  <c r="AD18" i="4"/>
  <c r="AH18" i="4" s="1" a="1"/>
  <c r="AH18" i="4" s="1"/>
  <c r="W637" i="24"/>
  <c r="AA18" i="12"/>
  <c r="AF18" i="12"/>
  <c r="AB18" i="12" a="1"/>
  <c r="AB18" i="12" s="1"/>
  <c r="J18" i="12"/>
  <c r="AC18" i="12" a="1"/>
  <c r="AC18" i="12" s="1"/>
  <c r="E39" i="4"/>
  <c r="K39" i="28" s="1"/>
  <c r="AD39" i="4"/>
  <c r="M56" i="28"/>
  <c r="E37" i="12"/>
  <c r="M37" i="28" s="1"/>
  <c r="R37" i="12"/>
  <c r="M57" i="28"/>
  <c r="M52" i="28"/>
  <c r="M31" i="28"/>
  <c r="M58" i="28"/>
  <c r="BD11" i="4" a="1"/>
  <c r="BD11" i="4" s="1"/>
  <c r="BA6" i="4"/>
  <c r="BC54" i="4" a="1"/>
  <c r="BC54" i="4" s="1"/>
  <c r="BC21" i="4" a="1"/>
  <c r="BC21" i="4" s="1"/>
  <c r="BC6" i="4" a="1"/>
  <c r="BC6" i="4" s="1"/>
  <c r="BD6" i="4" a="1"/>
  <c r="BD6" i="4" s="1"/>
  <c r="BC11" i="4" a="1"/>
  <c r="BC11" i="4" s="1"/>
  <c r="BD21" i="4" a="1"/>
  <c r="BD21" i="4" s="1"/>
  <c r="BA21" i="4"/>
  <c r="B27" i="28"/>
  <c r="C27" i="28" s="1"/>
  <c r="AZ56" i="4"/>
  <c r="BA56" i="4" s="1"/>
  <c r="AD56" i="4"/>
  <c r="AG56" i="4" s="1" a="1"/>
  <c r="AG56" i="4" s="1"/>
  <c r="E56" i="4"/>
  <c r="M19" i="10"/>
  <c r="AQ19" i="10"/>
  <c r="M19" i="4"/>
  <c r="K19" i="28" s="1"/>
  <c r="AZ19" i="4"/>
  <c r="M54" i="28"/>
  <c r="R21" i="12"/>
  <c r="U21" i="12" s="1" a="1"/>
  <c r="U21" i="12" s="1"/>
  <c r="K60" i="28"/>
  <c r="B35" i="28"/>
  <c r="D35" i="28" s="1"/>
  <c r="AD35" i="4"/>
  <c r="AE207" i="24" s="1"/>
  <c r="B41" i="28"/>
  <c r="C41" i="28" s="1"/>
  <c r="BC16" i="4" a="1"/>
  <c r="BC16" i="4" s="1"/>
  <c r="BD16" i="4" a="1"/>
  <c r="BD16" i="4" s="1"/>
  <c r="BA16" i="4"/>
  <c r="BC50" i="4" a="1"/>
  <c r="BC50" i="4" s="1"/>
  <c r="BA17" i="4"/>
  <c r="BC4" i="4" a="1"/>
  <c r="BC4" i="4" s="1"/>
  <c r="BA4" i="4"/>
  <c r="BC17" i="4" a="1"/>
  <c r="BC17" i="4" s="1"/>
  <c r="BD4" i="4" a="1"/>
  <c r="BD4" i="4" s="1"/>
  <c r="AQ12" i="10"/>
  <c r="W1288" i="24" s="1"/>
  <c r="M12" i="10"/>
  <c r="N12" i="28" s="1"/>
  <c r="AZ12" i="4"/>
  <c r="BB12" i="4" s="1"/>
  <c r="M12" i="4"/>
  <c r="AP4" i="4"/>
  <c r="AS50" i="4" a="1"/>
  <c r="AS50" i="4" s="1"/>
  <c r="AR4" i="4" a="1"/>
  <c r="AR4" i="4" s="1"/>
  <c r="AP50" i="4"/>
  <c r="AR50" i="4" a="1"/>
  <c r="AR50" i="4" s="1"/>
  <c r="AS4" i="4" a="1"/>
  <c r="AS4" i="4" s="1"/>
  <c r="AR20" i="4" a="1"/>
  <c r="AR20" i="4" s="1"/>
  <c r="AS9" i="4" a="1"/>
  <c r="AS9" i="4" s="1"/>
  <c r="AS45" i="4" a="1"/>
  <c r="AS45" i="4" s="1"/>
  <c r="AS20" i="4" a="1"/>
  <c r="AS20" i="4" s="1"/>
  <c r="AP9" i="4"/>
  <c r="AO12" i="4"/>
  <c r="AS16" i="4" a="1"/>
  <c r="AS16" i="4" s="1"/>
  <c r="AP45" i="4"/>
  <c r="AR16" i="4" a="1"/>
  <c r="AR16" i="4" s="1"/>
  <c r="AR45" i="4" a="1"/>
  <c r="AR45" i="4" s="1"/>
  <c r="AP16" i="4"/>
  <c r="AR9" i="4" a="1"/>
  <c r="AR9" i="4" s="1"/>
  <c r="AP20" i="4"/>
  <c r="AD12" i="4"/>
  <c r="E12" i="4"/>
  <c r="AD21" i="4"/>
  <c r="AE193" i="24" s="1"/>
  <c r="AE229" i="24"/>
  <c r="AG11" i="4" a="1"/>
  <c r="AG11" i="4" s="1"/>
  <c r="B50" i="28"/>
  <c r="D50" i="28" s="1"/>
  <c r="B16" i="28"/>
  <c r="C16" i="28" s="1"/>
  <c r="B15" i="28"/>
  <c r="D15" i="28" s="1"/>
  <c r="B47" i="28"/>
  <c r="C47" i="28" s="1"/>
  <c r="N48" i="28"/>
  <c r="AG15" i="4" a="1"/>
  <c r="AG15" i="4" s="1"/>
  <c r="AE15" i="4"/>
  <c r="AH15" i="4" a="1"/>
  <c r="AH15" i="4" s="1"/>
  <c r="AE182" i="24"/>
  <c r="B53" i="28"/>
  <c r="C53" i="28" s="1"/>
  <c r="AH50" i="4" a="1"/>
  <c r="AH50" i="4" s="1"/>
  <c r="AE7" i="4"/>
  <c r="AE11" i="4"/>
  <c r="AH11" i="4" a="1"/>
  <c r="AH11" i="4" s="1"/>
  <c r="AE13" i="4"/>
  <c r="AG14" i="4" a="1"/>
  <c r="AG14" i="4" s="1"/>
  <c r="AH14" i="4" a="1"/>
  <c r="AH14" i="4" s="1"/>
  <c r="AE14" i="4"/>
  <c r="AE54" i="4"/>
  <c r="AH54" i="4" a="1"/>
  <c r="AH54" i="4" s="1"/>
  <c r="AG54" i="4" a="1"/>
  <c r="AG54" i="4" s="1"/>
  <c r="AH10" i="4" a="1"/>
  <c r="AH10" i="4" s="1"/>
  <c r="AG13" i="4" a="1"/>
  <c r="AG13" i="4" s="1"/>
  <c r="AE50" i="4"/>
  <c r="AH13" i="4" a="1"/>
  <c r="AH13" i="4" s="1"/>
  <c r="AG10" i="4" a="1"/>
  <c r="AG10" i="4" s="1"/>
  <c r="AG50" i="4" a="1"/>
  <c r="AG50" i="4" s="1"/>
  <c r="AD36" i="10" a="1"/>
  <c r="AD36" i="10" s="1"/>
  <c r="W1150" i="24"/>
  <c r="BD36" i="10"/>
  <c r="AC36" i="10" a="1"/>
  <c r="AC36" i="10" s="1"/>
  <c r="F36" i="10"/>
  <c r="E36" i="10"/>
  <c r="N36" i="28" s="1"/>
  <c r="E36" i="4"/>
  <c r="K36" i="28" s="1"/>
  <c r="AD36" i="4"/>
  <c r="N25" i="28"/>
  <c r="W1375" i="24"/>
  <c r="W1378" i="24"/>
  <c r="W1410" i="24"/>
  <c r="AH38" i="18"/>
  <c r="Y21" i="16" a="1"/>
  <c r="Y21" i="16" s="1"/>
  <c r="B59" i="28"/>
  <c r="D59" i="28" s="1"/>
  <c r="BA27" i="10" a="1"/>
  <c r="BA27" i="10" s="1"/>
  <c r="AR55" i="4" a="1"/>
  <c r="AR55" i="4" s="1"/>
  <c r="V59" i="16"/>
  <c r="V33" i="16"/>
  <c r="AP13" i="4"/>
  <c r="BA5" i="4"/>
  <c r="B44" i="28"/>
  <c r="D44" i="28" s="1"/>
  <c r="Y2938" i="24"/>
  <c r="V21" i="16"/>
  <c r="AE352" i="24"/>
  <c r="BA57" i="10" a="1"/>
  <c r="BA57" i="10" s="1"/>
  <c r="AE356" i="24"/>
  <c r="AE300" i="24"/>
  <c r="AE283" i="24"/>
  <c r="V3" i="16"/>
  <c r="AC38" i="18" a="1"/>
  <c r="AC38" i="18" s="1"/>
  <c r="X21" i="16" a="1"/>
  <c r="X21" i="16" s="1"/>
  <c r="V32" i="18" a="1"/>
  <c r="V32" i="18" s="1"/>
  <c r="H61" i="28"/>
  <c r="AR13" i="4" a="1"/>
  <c r="AR13" i="4" s="1"/>
  <c r="AE26" i="18" a="1"/>
  <c r="AE26" i="18" s="1"/>
  <c r="W1374" i="24"/>
  <c r="BD22" i="4" a="1"/>
  <c r="BD22" i="4" s="1"/>
  <c r="V43" i="16"/>
  <c r="V34" i="16"/>
  <c r="AR30" i="4" a="1"/>
  <c r="AR30" i="4" s="1"/>
  <c r="AC26" i="18" a="1"/>
  <c r="AC26" i="18" s="1"/>
  <c r="X3" i="16" a="1"/>
  <c r="X3" i="16" s="1"/>
  <c r="N52" i="28"/>
  <c r="N40" i="28"/>
  <c r="W1414" i="24"/>
  <c r="N30" i="28"/>
  <c r="V36" i="16"/>
  <c r="AS55" i="4" a="1"/>
  <c r="AS55" i="4" s="1"/>
  <c r="BD5" i="4" a="1"/>
  <c r="BD5" i="4" s="1"/>
  <c r="BA26" i="10" a="1"/>
  <c r="BA26" i="10" s="1"/>
  <c r="G61" i="28"/>
  <c r="AC25" i="18" a="1"/>
  <c r="AC25" i="18" s="1"/>
  <c r="B23" i="28"/>
  <c r="D23" i="28" s="1"/>
  <c r="V56" i="16"/>
  <c r="BC22" i="4" a="1"/>
  <c r="BC22" i="4" s="1"/>
  <c r="BC5" i="4" a="1"/>
  <c r="BC5" i="4" s="1"/>
  <c r="AD25" i="18" a="1"/>
  <c r="AD25" i="18" s="1"/>
  <c r="Z21" i="16" a="1"/>
  <c r="Z21" i="16" s="1"/>
  <c r="N10" i="28"/>
  <c r="W1380" i="24"/>
  <c r="M36" i="28"/>
  <c r="BA47" i="10" a="1"/>
  <c r="BA47" i="10" s="1"/>
  <c r="N33" i="28"/>
  <c r="W1383" i="24"/>
  <c r="AH25" i="18"/>
  <c r="AS13" i="4" a="1"/>
  <c r="AS13" i="4" s="1"/>
  <c r="AP30" i="4"/>
  <c r="AP55" i="4"/>
  <c r="BA35" i="10" a="1"/>
  <c r="BA35" i="10" s="1"/>
  <c r="V54" i="16"/>
  <c r="AD38" i="18" a="1"/>
  <c r="AD38" i="18" s="1"/>
  <c r="V27" i="16"/>
  <c r="N31" i="28"/>
  <c r="J25" i="18"/>
  <c r="BA23" i="10" a="1"/>
  <c r="BA23" i="10" s="1"/>
  <c r="AS26" i="10" a="1"/>
  <c r="AS26" i="10" s="1"/>
  <c r="W1366" i="24"/>
  <c r="AH26" i="18"/>
  <c r="V51" i="16"/>
  <c r="BA18" i="10" a="1"/>
  <c r="BA18" i="10" s="1"/>
  <c r="V26" i="16"/>
  <c r="BA58" i="10" a="1"/>
  <c r="BA58" i="10" s="1"/>
  <c r="U16" i="12" a="1"/>
  <c r="U16" i="12" s="1"/>
  <c r="AD26" i="18" a="1"/>
  <c r="AD26" i="18" s="1"/>
  <c r="AE25" i="18" a="1"/>
  <c r="AE25" i="18" s="1"/>
  <c r="AS10" i="10" a="1"/>
  <c r="AS10" i="10" s="1"/>
  <c r="AT18" i="10" a="1"/>
  <c r="AT18" i="10" s="1"/>
  <c r="N27" i="28"/>
  <c r="B51" i="28"/>
  <c r="D51" i="28" s="1"/>
  <c r="B13" i="28"/>
  <c r="BA59" i="10" a="1"/>
  <c r="BA59" i="10" s="1"/>
  <c r="BA43" i="10" a="1"/>
  <c r="BA43" i="10" s="1"/>
  <c r="W1405" i="24"/>
  <c r="BA20" i="10" a="1"/>
  <c r="BA20" i="10" s="1"/>
  <c r="B4" i="28"/>
  <c r="D4" i="28" s="1"/>
  <c r="V45" i="16"/>
  <c r="V37" i="16"/>
  <c r="V10" i="16"/>
  <c r="AE2108" i="24"/>
  <c r="V32" i="16"/>
  <c r="W1411" i="24"/>
  <c r="BA49" i="10" a="1"/>
  <c r="BA49" i="10" s="1"/>
  <c r="BA15" i="10" a="1"/>
  <c r="BA15" i="10" s="1"/>
  <c r="N46" i="28"/>
  <c r="BA7" i="10" a="1"/>
  <c r="BA7" i="10" s="1"/>
  <c r="BA37" i="10" a="1"/>
  <c r="BA37" i="10" s="1"/>
  <c r="BA48" i="10" a="1"/>
  <c r="BA48" i="10" s="1"/>
  <c r="BA46" i="10" a="1"/>
  <c r="BA46" i="10" s="1"/>
  <c r="BA25" i="10" a="1"/>
  <c r="BA25" i="10" s="1"/>
  <c r="N56" i="28"/>
  <c r="M49" i="28"/>
  <c r="H2543" i="24" a="1"/>
  <c r="H2543" i="24" s="1"/>
  <c r="AJ2477" i="24"/>
  <c r="B54" i="28"/>
  <c r="C54" i="28" s="1"/>
  <c r="B38" i="28"/>
  <c r="W1403" i="24"/>
  <c r="V24" i="16"/>
  <c r="V52" i="16"/>
  <c r="BA36" i="10" a="1"/>
  <c r="BA36" i="10" s="1"/>
  <c r="BA53" i="10" a="1"/>
  <c r="BA53" i="10" s="1"/>
  <c r="V30" i="16"/>
  <c r="W1397" i="24"/>
  <c r="BA34" i="10" a="1"/>
  <c r="BA34" i="10" s="1"/>
  <c r="W1415" i="24"/>
  <c r="BA13" i="10" a="1"/>
  <c r="BA13" i="10" s="1"/>
  <c r="AG8" i="18"/>
  <c r="V41" i="16"/>
  <c r="V19" i="16"/>
  <c r="AE310" i="24"/>
  <c r="W1409" i="24"/>
  <c r="BA24" i="10" a="1"/>
  <c r="BA24" i="10" s="1"/>
  <c r="BA41" i="10" a="1"/>
  <c r="BA41" i="10" s="1"/>
  <c r="BA22" i="10" a="1"/>
  <c r="BA22" i="10" s="1"/>
  <c r="N54" i="28"/>
  <c r="N42" i="28"/>
  <c r="V12" i="16"/>
  <c r="BA12" i="10" a="1"/>
  <c r="BA12" i="10" s="1"/>
  <c r="V28" i="16"/>
  <c r="BA10" i="10" a="1"/>
  <c r="BA10" i="10" s="1"/>
  <c r="B30" i="28"/>
  <c r="D30" i="28" s="1"/>
  <c r="BA33" i="10" a="1"/>
  <c r="BA33" i="10" s="1"/>
  <c r="BA38" i="10" a="1"/>
  <c r="BA38" i="10" s="1"/>
  <c r="BA17" i="10" a="1"/>
  <c r="BA17" i="10" s="1"/>
  <c r="E5" i="17"/>
  <c r="H2461" i="24" a="1"/>
  <c r="H2461" i="24" s="1"/>
  <c r="AJ2395" i="24"/>
  <c r="BA21" i="10" a="1"/>
  <c r="BA21" i="10" s="1"/>
  <c r="BA5" i="10" a="1"/>
  <c r="BA5" i="10" s="1"/>
  <c r="BA6" i="10" a="1"/>
  <c r="BA6" i="10" s="1"/>
  <c r="AG4" i="18"/>
  <c r="V49" i="16"/>
  <c r="W1416" i="24"/>
  <c r="V8" i="16"/>
  <c r="BA9" i="10" a="1"/>
  <c r="BA9" i="10" s="1"/>
  <c r="W1393" i="24"/>
  <c r="W1395" i="24"/>
  <c r="M48" i="28"/>
  <c r="B26" i="28"/>
  <c r="V58" i="16"/>
  <c r="BA8" i="10" a="1"/>
  <c r="BA8" i="10" s="1"/>
  <c r="B14" i="28"/>
  <c r="B11" i="28"/>
  <c r="C11" i="28" s="1"/>
  <c r="B17" i="28"/>
  <c r="D17" i="28" s="1"/>
  <c r="B5" i="28"/>
  <c r="D5" i="28" s="1"/>
  <c r="B58" i="28"/>
  <c r="B60" i="28"/>
  <c r="D60" i="28" s="1"/>
  <c r="B18" i="28"/>
  <c r="D18" i="28" s="1"/>
  <c r="B39" i="28"/>
  <c r="B9" i="28"/>
  <c r="D9" i="28" s="1"/>
  <c r="B8" i="28"/>
  <c r="D8" i="28" s="1"/>
  <c r="B36" i="28"/>
  <c r="D36" i="28" s="1"/>
  <c r="AZ57" i="4"/>
  <c r="BD57" i="4" s="1" a="1"/>
  <c r="BD57" i="4" s="1"/>
  <c r="K8" i="28"/>
  <c r="AD44" i="4"/>
  <c r="AE216" i="24" s="1"/>
  <c r="K6" i="28"/>
  <c r="K24" i="28"/>
  <c r="K5" i="28"/>
  <c r="K27" i="28"/>
  <c r="K11" i="28"/>
  <c r="K29" i="28"/>
  <c r="K7" i="28"/>
  <c r="K33" i="28"/>
  <c r="K42" i="28"/>
  <c r="K16" i="28"/>
  <c r="K15" i="28"/>
  <c r="B12" i="28"/>
  <c r="B29" i="28"/>
  <c r="B32" i="28"/>
  <c r="B6" i="28"/>
  <c r="AJ2972" i="24"/>
  <c r="AJ2946" i="24"/>
  <c r="AJ2920" i="24"/>
  <c r="AJ2918" i="24"/>
  <c r="AJ2963" i="24"/>
  <c r="AJ2960" i="24"/>
  <c r="AJ2934" i="24"/>
  <c r="AJ2939" i="24"/>
  <c r="AJ2965" i="24"/>
  <c r="AJ2962" i="24"/>
  <c r="AJ2948" i="24"/>
  <c r="AJ2922" i="24"/>
  <c r="AJ2967" i="24"/>
  <c r="AJ2953" i="24"/>
  <c r="AJ2950" i="24"/>
  <c r="AJ2936" i="24"/>
  <c r="AJ2969" i="24"/>
  <c r="AJ2955" i="24"/>
  <c r="AJ2941" i="24"/>
  <c r="AJ2938" i="24"/>
  <c r="AJ2924" i="24"/>
  <c r="AJ2957" i="24"/>
  <c r="AJ2943" i="24"/>
  <c r="AJ2929" i="24"/>
  <c r="AJ2926" i="24"/>
  <c r="AJ2915" i="24"/>
  <c r="AJ2971" i="24"/>
  <c r="AJ2945" i="24"/>
  <c r="AJ2931" i="24"/>
  <c r="AJ2917" i="24"/>
  <c r="AJ2959" i="24"/>
  <c r="AJ2933" i="24"/>
  <c r="AJ2919" i="24"/>
  <c r="AJ2951" i="24"/>
  <c r="AJ2973" i="24"/>
  <c r="AJ2947" i="24"/>
  <c r="AJ2921" i="24"/>
  <c r="AJ2927" i="24"/>
  <c r="AJ2964" i="24"/>
  <c r="AJ2961" i="24"/>
  <c r="AJ2935" i="24"/>
  <c r="AJ2968" i="24"/>
  <c r="AJ2966" i="24"/>
  <c r="AJ2952" i="24"/>
  <c r="AJ2949" i="24"/>
  <c r="AJ2923" i="24"/>
  <c r="AJ2956" i="24"/>
  <c r="AJ2954" i="24"/>
  <c r="AJ2940" i="24"/>
  <c r="AJ2937" i="24"/>
  <c r="AJ2970" i="24"/>
  <c r="AJ2944" i="24"/>
  <c r="AJ2942" i="24"/>
  <c r="AJ2928" i="24"/>
  <c r="AJ2925" i="24"/>
  <c r="AJ2958" i="24"/>
  <c r="AJ2932" i="24"/>
  <c r="AJ2930" i="24"/>
  <c r="AJ2916" i="24"/>
  <c r="AA3" i="18"/>
  <c r="E3" i="18"/>
  <c r="H2892" i="24"/>
  <c r="AJ2826" i="24"/>
  <c r="Y2833" i="24"/>
  <c r="H2220" i="24"/>
  <c r="AJ2154" i="24"/>
  <c r="AH12" i="16"/>
  <c r="AE2170" i="24"/>
  <c r="AH43" i="16"/>
  <c r="AE2201" i="24"/>
  <c r="AH60" i="16"/>
  <c r="AE2218" i="24"/>
  <c r="AK7" i="16" a="1"/>
  <c r="AK7" i="16" s="1"/>
  <c r="AE2165" i="24"/>
  <c r="AH10" i="16"/>
  <c r="AE2168" i="24"/>
  <c r="AH35" i="16"/>
  <c r="AE2193" i="24"/>
  <c r="AH34" i="16"/>
  <c r="AE2192" i="24"/>
  <c r="AH13" i="16"/>
  <c r="AE2171" i="24"/>
  <c r="AH58" i="16"/>
  <c r="AE2216" i="24"/>
  <c r="AH49" i="16"/>
  <c r="AE2207" i="24"/>
  <c r="AH47" i="16"/>
  <c r="AE2205" i="24"/>
  <c r="AH51" i="16"/>
  <c r="AE2209" i="24"/>
  <c r="AH30" i="16"/>
  <c r="AE2188" i="24"/>
  <c r="AH29" i="16"/>
  <c r="AE2187" i="24"/>
  <c r="AH17" i="16"/>
  <c r="AE2175" i="24"/>
  <c r="AH50" i="16"/>
  <c r="AE2208" i="24"/>
  <c r="AH33" i="16"/>
  <c r="AE2191" i="24"/>
  <c r="AH59" i="16"/>
  <c r="AE2217" i="24"/>
  <c r="AK21" i="16" a="1"/>
  <c r="AK21" i="16" s="1"/>
  <c r="AE2179" i="24"/>
  <c r="AK5" i="16" a="1"/>
  <c r="AK5" i="16" s="1"/>
  <c r="AE2163" i="24"/>
  <c r="AK46" i="16" a="1"/>
  <c r="AK46" i="16" s="1"/>
  <c r="AE2204" i="24"/>
  <c r="AH39" i="16"/>
  <c r="AE2197" i="24"/>
  <c r="E3" i="16"/>
  <c r="H2138" i="24"/>
  <c r="AJ2072" i="24"/>
  <c r="U4" i="16"/>
  <c r="AE2080" i="24" s="1"/>
  <c r="AD40" i="17" a="1"/>
  <c r="AD40" i="17" s="1"/>
  <c r="AA2521" i="24"/>
  <c r="AE27" i="17"/>
  <c r="AA2508" i="24"/>
  <c r="AD30" i="17" a="1"/>
  <c r="AD30" i="17" s="1"/>
  <c r="AA2511" i="24"/>
  <c r="AE52" i="17"/>
  <c r="AA2533" i="24"/>
  <c r="AE9" i="17"/>
  <c r="AA2490" i="24"/>
  <c r="AE55" i="17"/>
  <c r="AA2536" i="24"/>
  <c r="AE54" i="17"/>
  <c r="AA2535" i="24"/>
  <c r="AE34" i="17"/>
  <c r="AA2515" i="24"/>
  <c r="AE39" i="17"/>
  <c r="AA2520" i="24"/>
  <c r="AD28" i="17" a="1"/>
  <c r="AD28" i="17" s="1"/>
  <c r="AA2509" i="24"/>
  <c r="AE10" i="17"/>
  <c r="AA2491" i="24"/>
  <c r="AE16" i="17"/>
  <c r="AA2497" i="24"/>
  <c r="AE19" i="17"/>
  <c r="AA2500" i="24"/>
  <c r="AE59" i="17"/>
  <c r="AA2540" i="24"/>
  <c r="AE49" i="17"/>
  <c r="AA2530" i="24"/>
  <c r="AF3" i="17" a="1"/>
  <c r="AF3" i="17" s="1"/>
  <c r="AA2484" i="24"/>
  <c r="AD24" i="17" a="1"/>
  <c r="AD24" i="17" s="1"/>
  <c r="AA2505" i="24"/>
  <c r="AE58" i="17"/>
  <c r="AA2539" i="24"/>
  <c r="AH14" i="17"/>
  <c r="AA2413" i="24"/>
  <c r="AH47" i="17"/>
  <c r="AA2446" i="24"/>
  <c r="AH11" i="17"/>
  <c r="AA2410" i="24"/>
  <c r="AH38" i="17"/>
  <c r="AA2437" i="24"/>
  <c r="AH29" i="17"/>
  <c r="AA2428" i="24"/>
  <c r="AH26" i="17"/>
  <c r="AA2425" i="24"/>
  <c r="U3" i="17" a="1"/>
  <c r="U3" i="17" s="1"/>
  <c r="AA2402" i="24"/>
  <c r="AH23" i="17"/>
  <c r="AA2422" i="24"/>
  <c r="AH60" i="17"/>
  <c r="AA2459" i="24"/>
  <c r="M19" i="28"/>
  <c r="M8" i="28"/>
  <c r="M26" i="28"/>
  <c r="M55" i="28"/>
  <c r="H681" i="24"/>
  <c r="AJ616" i="24"/>
  <c r="M42" i="28"/>
  <c r="M44" i="28"/>
  <c r="M9" i="28"/>
  <c r="M25" i="28"/>
  <c r="H601" i="24"/>
  <c r="AJ535" i="24"/>
  <c r="R3" i="12"/>
  <c r="B40" i="28"/>
  <c r="C40" i="28" s="1"/>
  <c r="B55" i="28"/>
  <c r="D55" i="28" s="1"/>
  <c r="B28" i="28"/>
  <c r="D28" i="28" s="1"/>
  <c r="B19" i="28"/>
  <c r="B34" i="28"/>
  <c r="D34" i="28" s="1"/>
  <c r="B45" i="28"/>
  <c r="B10" i="28"/>
  <c r="B56" i="28"/>
  <c r="B43" i="28"/>
  <c r="B46" i="28"/>
  <c r="B42" i="28"/>
  <c r="B7" i="28"/>
  <c r="B24" i="28"/>
  <c r="C24" i="28" s="1"/>
  <c r="B48" i="28"/>
  <c r="B33" i="28"/>
  <c r="D33" i="28" s="1"/>
  <c r="B52" i="28"/>
  <c r="B21" i="28"/>
  <c r="AJ1529" i="24"/>
  <c r="AJ1516" i="24"/>
  <c r="AJ1483" i="24"/>
  <c r="AJ1520" i="24"/>
  <c r="AJ1490" i="24"/>
  <c r="AJ1482" i="24"/>
  <c r="AJ1522" i="24"/>
  <c r="AJ1489" i="24"/>
  <c r="AJ1532" i="24"/>
  <c r="AJ1502" i="24"/>
  <c r="AJ1511" i="24"/>
  <c r="AJ1528" i="24"/>
  <c r="AJ1495" i="24"/>
  <c r="AJ1514" i="24"/>
  <c r="AJ1487" i="24"/>
  <c r="AJ1523" i="24"/>
  <c r="AJ1534" i="24"/>
  <c r="AJ1501" i="24"/>
  <c r="AJ1485" i="24"/>
  <c r="AJ1503" i="24"/>
  <c r="AJ1515" i="24"/>
  <c r="AJ1507" i="24"/>
  <c r="AJ1497" i="24"/>
  <c r="AJ1526" i="24"/>
  <c r="AJ1535" i="24"/>
  <c r="AJ1500" i="24"/>
  <c r="AJ1513" i="24"/>
  <c r="AJ1509" i="24"/>
  <c r="AJ1479" i="24"/>
  <c r="AJ1505" i="24"/>
  <c r="AJ1506" i="24"/>
  <c r="AJ1519" i="24"/>
  <c r="AJ1521" i="24"/>
  <c r="AJ1491" i="24"/>
  <c r="AJ1480" i="24"/>
  <c r="AJ1486" i="24"/>
  <c r="AJ1512" i="24"/>
  <c r="AJ1525" i="24"/>
  <c r="AJ1533" i="24"/>
  <c r="AJ1493" i="24"/>
  <c r="AJ1488" i="24"/>
  <c r="AJ1492" i="24"/>
  <c r="AJ1518" i="24"/>
  <c r="AJ1531" i="24"/>
  <c r="AJ1494" i="24"/>
  <c r="AJ1517" i="24"/>
  <c r="AJ1524" i="24"/>
  <c r="AJ1484" i="24"/>
  <c r="AJ1537" i="24"/>
  <c r="AJ1481" i="24"/>
  <c r="AJ1504" i="24"/>
  <c r="AJ1530" i="24"/>
  <c r="AJ1496" i="24"/>
  <c r="AJ1527" i="24"/>
  <c r="AJ1499" i="24"/>
  <c r="AJ1510" i="24"/>
  <c r="AJ1536" i="24"/>
  <c r="AJ1508" i="24"/>
  <c r="M1498" i="24"/>
  <c r="AJ1498" i="24" s="1"/>
  <c r="E22" i="11"/>
  <c r="B49" i="28"/>
  <c r="C49" i="28" s="1"/>
  <c r="I1498" i="24"/>
  <c r="B37" i="28"/>
  <c r="B25" i="28"/>
  <c r="C25" i="28" s="1"/>
  <c r="B31" i="28"/>
  <c r="AJ1394" i="24"/>
  <c r="AJ1390" i="24"/>
  <c r="AJ1388" i="24"/>
  <c r="AJ1401" i="24"/>
  <c r="AJ1373" i="24"/>
  <c r="AJ1380" i="24"/>
  <c r="AJ1369" i="24"/>
  <c r="AJ1402" i="24"/>
  <c r="AJ1395" i="24"/>
  <c r="AJ1406" i="24"/>
  <c r="AJ1397" i="24"/>
  <c r="AJ1392" i="24"/>
  <c r="AJ1374" i="24"/>
  <c r="AJ1400" i="24"/>
  <c r="AJ1413" i="24"/>
  <c r="AJ1409" i="24"/>
  <c r="AJ1404" i="24"/>
  <c r="AJ1381" i="24"/>
  <c r="AJ1416" i="24"/>
  <c r="AJ1407" i="24"/>
  <c r="AJ1363" i="24"/>
  <c r="AJ1386" i="24"/>
  <c r="AJ1372" i="24"/>
  <c r="AJ1414" i="24"/>
  <c r="AJ1375" i="24"/>
  <c r="AJ1393" i="24"/>
  <c r="AJ1384" i="24"/>
  <c r="AJ1367" i="24"/>
  <c r="AJ1387" i="24"/>
  <c r="AJ1398" i="24"/>
  <c r="AJ1412" i="24"/>
  <c r="AJ1396" i="24"/>
  <c r="AJ1379" i="24"/>
  <c r="AJ1399" i="24"/>
  <c r="AJ1405" i="24"/>
  <c r="AJ1391" i="24"/>
  <c r="AJ1411" i="24"/>
  <c r="AJ1410" i="24"/>
  <c r="AJ1417" i="24"/>
  <c r="AJ1365" i="24"/>
  <c r="AJ1403" i="24"/>
  <c r="AJ1377" i="24"/>
  <c r="AJ1371" i="24"/>
  <c r="AJ1408" i="24"/>
  <c r="AJ1370" i="24"/>
  <c r="AJ1389" i="24"/>
  <c r="AJ1366" i="24"/>
  <c r="AJ1376" i="24"/>
  <c r="AJ1415" i="24"/>
  <c r="AJ1382" i="24"/>
  <c r="AJ1364" i="24"/>
  <c r="AJ1378" i="24"/>
  <c r="AJ1383" i="24"/>
  <c r="AJ1361" i="24"/>
  <c r="AJ1368" i="24"/>
  <c r="AJ1362" i="24"/>
  <c r="AJ1385" i="24"/>
  <c r="N59" i="28"/>
  <c r="BG3" i="10"/>
  <c r="W1360" i="24"/>
  <c r="AT34" i="10" a="1"/>
  <c r="AT34" i="10" s="1"/>
  <c r="W1310" i="24"/>
  <c r="AI3" i="10"/>
  <c r="W1198" i="24" s="1"/>
  <c r="AJ1191" i="24"/>
  <c r="N26" i="28"/>
  <c r="N23" i="28"/>
  <c r="N44" i="28"/>
  <c r="N32" i="28"/>
  <c r="N15" i="28"/>
  <c r="N50" i="28"/>
  <c r="N38" i="28"/>
  <c r="N9" i="28"/>
  <c r="N14" i="28"/>
  <c r="N7" i="28"/>
  <c r="N29" i="28"/>
  <c r="N5" i="28"/>
  <c r="N20" i="28"/>
  <c r="N47" i="28"/>
  <c r="N43" i="28"/>
  <c r="N37" i="28"/>
  <c r="N51" i="28"/>
  <c r="N49" i="28"/>
  <c r="N35" i="28"/>
  <c r="N45" i="28"/>
  <c r="N18" i="28"/>
  <c r="N41" i="28"/>
  <c r="N55" i="28"/>
  <c r="N34" i="28"/>
  <c r="N24" i="28"/>
  <c r="N57" i="28"/>
  <c r="N22" i="28"/>
  <c r="AJ1110" i="24"/>
  <c r="AJ1153" i="24" s="1"/>
  <c r="N16" i="28"/>
  <c r="F61" i="28"/>
  <c r="AJ476" i="24"/>
  <c r="AJ460" i="24"/>
  <c r="AJ437" i="24"/>
  <c r="AJ468" i="24"/>
  <c r="AJ448" i="24"/>
  <c r="AJ434" i="24"/>
  <c r="AJ418" i="24"/>
  <c r="AJ462" i="24"/>
  <c r="AJ439" i="24"/>
  <c r="AJ421" i="24"/>
  <c r="AJ467" i="24"/>
  <c r="AJ425" i="24"/>
  <c r="AJ473" i="24"/>
  <c r="AJ442" i="24"/>
  <c r="AJ465" i="24"/>
  <c r="AJ461" i="24"/>
  <c r="AJ474" i="24"/>
  <c r="AJ451" i="24"/>
  <c r="AJ422" i="24"/>
  <c r="AJ423" i="24"/>
  <c r="AJ459" i="24"/>
  <c r="AJ444" i="24"/>
  <c r="AJ438" i="24"/>
  <c r="AJ426" i="24"/>
  <c r="AJ457" i="24"/>
  <c r="AJ433" i="24"/>
  <c r="AJ458" i="24"/>
  <c r="AJ443" i="24"/>
  <c r="AJ472" i="24"/>
  <c r="AJ427" i="24"/>
  <c r="AJ464" i="24"/>
  <c r="AJ431" i="24"/>
  <c r="AJ456" i="24"/>
  <c r="AJ441" i="24"/>
  <c r="AJ452" i="24"/>
  <c r="AJ470" i="24"/>
  <c r="AJ445" i="24"/>
  <c r="AJ430" i="24"/>
  <c r="AJ469" i="24"/>
  <c r="AJ466" i="24"/>
  <c r="AJ435" i="24"/>
  <c r="AJ455" i="24"/>
  <c r="AJ471" i="24"/>
  <c r="AJ453" i="24"/>
  <c r="AJ440" i="24"/>
  <c r="AJ424" i="24"/>
  <c r="AJ420" i="24"/>
  <c r="AJ432" i="24"/>
  <c r="AJ446" i="24"/>
  <c r="AJ428" i="24"/>
  <c r="AJ429" i="24"/>
  <c r="AJ463" i="24"/>
  <c r="AJ450" i="24"/>
  <c r="AJ449" i="24"/>
  <c r="AJ447" i="24"/>
  <c r="AJ436" i="24"/>
  <c r="AJ454" i="24"/>
  <c r="AJ475" i="24"/>
  <c r="AJ419" i="24"/>
  <c r="BC49" i="4" a="1"/>
  <c r="BC49" i="4" s="1"/>
  <c r="AE383" i="24"/>
  <c r="K41" i="28"/>
  <c r="BC45" i="4" a="1"/>
  <c r="BC45" i="4" s="1"/>
  <c r="AE379" i="24"/>
  <c r="AJ395" i="24"/>
  <c r="AJ356" i="24"/>
  <c r="AJ345" i="24"/>
  <c r="AJ387" i="24"/>
  <c r="AJ366" i="24"/>
  <c r="AJ360" i="24"/>
  <c r="AJ349" i="24"/>
  <c r="AJ368" i="24"/>
  <c r="AJ357" i="24"/>
  <c r="AJ341" i="24"/>
  <c r="AJ378" i="24"/>
  <c r="AJ372" i="24"/>
  <c r="AJ361" i="24"/>
  <c r="AJ380" i="24"/>
  <c r="AJ369" i="24"/>
  <c r="AJ353" i="24"/>
  <c r="AJ390" i="24"/>
  <c r="AJ384" i="24"/>
  <c r="AJ385" i="24"/>
  <c r="AJ392" i="24"/>
  <c r="AJ381" i="24"/>
  <c r="AJ365" i="24"/>
  <c r="AJ338" i="24"/>
  <c r="AJ391" i="24"/>
  <c r="AJ393" i="24"/>
  <c r="AJ377" i="24"/>
  <c r="AJ350" i="24"/>
  <c r="AJ364" i="24"/>
  <c r="AJ354" i="24"/>
  <c r="AJ389" i="24"/>
  <c r="AJ362" i="24"/>
  <c r="AJ376" i="24"/>
  <c r="AJ346" i="24"/>
  <c r="AJ347" i="24"/>
  <c r="AJ374" i="24"/>
  <c r="AJ388" i="24"/>
  <c r="AJ358" i="24"/>
  <c r="AJ359" i="24"/>
  <c r="AJ386" i="24"/>
  <c r="AJ343" i="24"/>
  <c r="AJ370" i="24"/>
  <c r="AJ339" i="24"/>
  <c r="AJ383" i="24"/>
  <c r="AJ340" i="24"/>
  <c r="AJ355" i="24"/>
  <c r="AJ382" i="24"/>
  <c r="AJ351" i="24"/>
  <c r="AJ371" i="24"/>
  <c r="AJ352" i="24"/>
  <c r="AJ367" i="24"/>
  <c r="AJ394" i="24"/>
  <c r="AJ363" i="24"/>
  <c r="AJ373" i="24"/>
  <c r="AJ344" i="24"/>
  <c r="AJ379" i="24"/>
  <c r="AJ375" i="24"/>
  <c r="AJ342" i="24"/>
  <c r="AJ348" i="24"/>
  <c r="AJ337" i="24"/>
  <c r="K25" i="28"/>
  <c r="K28" i="28"/>
  <c r="K20" i="28"/>
  <c r="AR24" i="4" a="1"/>
  <c r="AR24" i="4" s="1"/>
  <c r="AR8" i="4" a="1"/>
  <c r="AR8" i="4" s="1"/>
  <c r="H315" i="24"/>
  <c r="AJ249" i="24"/>
  <c r="E61" i="28"/>
  <c r="K52" i="28"/>
  <c r="K53" i="28"/>
  <c r="K51" i="28"/>
  <c r="K44" i="28"/>
  <c r="K48" i="28"/>
  <c r="K59" i="28"/>
  <c r="K55" i="28"/>
  <c r="K50" i="28"/>
  <c r="K47" i="28"/>
  <c r="H234" i="24"/>
  <c r="AJ168" i="24"/>
  <c r="K49" i="28"/>
  <c r="K54" i="28"/>
  <c r="K9" i="28"/>
  <c r="AF3" i="4"/>
  <c r="K40" i="28"/>
  <c r="K37" i="28"/>
  <c r="K34" i="28"/>
  <c r="AD35" i="18" a="1"/>
  <c r="AD35" i="18" s="1"/>
  <c r="Y2947" i="24"/>
  <c r="J5" i="18"/>
  <c r="Y2917" i="24"/>
  <c r="AH33" i="18"/>
  <c r="Y2945" i="24"/>
  <c r="AH27" i="18"/>
  <c r="Y2939" i="24"/>
  <c r="AC23" i="18" a="1"/>
  <c r="AC23" i="18" s="1"/>
  <c r="Y2935" i="24"/>
  <c r="AC49" i="18" a="1"/>
  <c r="AC49" i="18" s="1"/>
  <c r="Y2961" i="24"/>
  <c r="AH44" i="18"/>
  <c r="Y2956" i="24"/>
  <c r="AD45" i="18" a="1"/>
  <c r="AD45" i="18" s="1"/>
  <c r="Y2957" i="24"/>
  <c r="AD16" i="18" a="1"/>
  <c r="AD16" i="18" s="1"/>
  <c r="Y2928" i="24"/>
  <c r="AB3" i="18"/>
  <c r="AB61" i="18" s="1"/>
  <c r="Y2915" i="24"/>
  <c r="AC57" i="18" a="1"/>
  <c r="AC57" i="18" s="1"/>
  <c r="Y2969" i="24"/>
  <c r="J59" i="18"/>
  <c r="Y2971" i="24"/>
  <c r="AE11" i="18" a="1"/>
  <c r="AE11" i="18" s="1"/>
  <c r="Y2923" i="24"/>
  <c r="J24" i="18"/>
  <c r="Y2936" i="24"/>
  <c r="AC43" i="18" a="1"/>
  <c r="AC43" i="18" s="1"/>
  <c r="Y2955" i="24"/>
  <c r="G3" i="11"/>
  <c r="AE30" i="17"/>
  <c r="AJ30" i="16" a="1"/>
  <c r="AJ30" i="16" s="1"/>
  <c r="AJ49" i="16" a="1"/>
  <c r="AJ49" i="16" s="1"/>
  <c r="AL49" i="16" a="1"/>
  <c r="AL49" i="16" s="1"/>
  <c r="AJ35" i="16" a="1"/>
  <c r="AJ35" i="16" s="1"/>
  <c r="V4" i="16"/>
  <c r="W4" i="16"/>
  <c r="W61" i="16" s="1"/>
  <c r="AD57" i="18" a="1"/>
  <c r="AD57" i="18" s="1"/>
  <c r="J57" i="18"/>
  <c r="AC45" i="18" a="1"/>
  <c r="AC45" i="18" s="1"/>
  <c r="AE45" i="18" a="1"/>
  <c r="AE45" i="18" s="1"/>
  <c r="AC59" i="18" a="1"/>
  <c r="AC59" i="18" s="1"/>
  <c r="J44" i="18"/>
  <c r="AD59" i="18" a="1"/>
  <c r="AD59" i="18" s="1"/>
  <c r="J16" i="18"/>
  <c r="AC16" i="18" a="1"/>
  <c r="AC16" i="18" s="1"/>
  <c r="AC44" i="18" a="1"/>
  <c r="AC44" i="18" s="1"/>
  <c r="AD44" i="18" a="1"/>
  <c r="AD44" i="18" s="1"/>
  <c r="AE44" i="18" a="1"/>
  <c r="AE44" i="18" s="1"/>
  <c r="T14" i="18" a="1"/>
  <c r="T14" i="18" s="1"/>
  <c r="U29" i="18" a="1"/>
  <c r="U29" i="18" s="1"/>
  <c r="AS24" i="10" a="1"/>
  <c r="AS24" i="10" s="1"/>
  <c r="AS48" i="10" a="1"/>
  <c r="AS48" i="10" s="1"/>
  <c r="AT48" i="10" a="1"/>
  <c r="AT48" i="10" s="1"/>
  <c r="N24" i="10"/>
  <c r="N52" i="10"/>
  <c r="AS52" i="10" a="1"/>
  <c r="AS52" i="10" s="1"/>
  <c r="Z23" i="16" a="1"/>
  <c r="Z23" i="16" s="1"/>
  <c r="V23" i="16"/>
  <c r="Z47" i="16" a="1"/>
  <c r="Z47" i="16" s="1"/>
  <c r="V47" i="16"/>
  <c r="E5" i="12"/>
  <c r="H1419" i="24"/>
  <c r="N34" i="10"/>
  <c r="AT36" i="10" a="1"/>
  <c r="AT36" i="10" s="1"/>
  <c r="AT10" i="10" a="1"/>
  <c r="AT10" i="10" s="1"/>
  <c r="AS40" i="10" a="1"/>
  <c r="AS40" i="10" s="1"/>
  <c r="AT8" i="10" a="1"/>
  <c r="AT8" i="10" s="1"/>
  <c r="N32" i="10"/>
  <c r="N30" i="10"/>
  <c r="H1338" i="24"/>
  <c r="AS16" i="10" a="1"/>
  <c r="AS16" i="10" s="1"/>
  <c r="AT38" i="10" a="1"/>
  <c r="AT38" i="10" s="1"/>
  <c r="AT54" i="10" a="1"/>
  <c r="AT54" i="10" s="1"/>
  <c r="AI4" i="10"/>
  <c r="W1199" i="24" s="1"/>
  <c r="H1257" i="24"/>
  <c r="AC24" i="12" a="1"/>
  <c r="AC24" i="12" s="1"/>
  <c r="U20" i="12" a="1"/>
  <c r="U20" i="12" s="1"/>
  <c r="E61" i="7"/>
  <c r="I35" i="7" s="1"/>
  <c r="L35" i="28" s="1"/>
  <c r="AC61" i="7"/>
  <c r="O810" i="24" s="1"/>
  <c r="AT40" i="10" a="1"/>
  <c r="AT40" i="10" s="1"/>
  <c r="AS8" i="10" a="1"/>
  <c r="AS8" i="10" s="1"/>
  <c r="AQ4" i="10"/>
  <c r="W1280" i="24" s="1"/>
  <c r="AJ4" i="10"/>
  <c r="AD11" i="18" a="1"/>
  <c r="AD11" i="18" s="1"/>
  <c r="AC11" i="18" a="1"/>
  <c r="AC11" i="18" s="1"/>
  <c r="AE43" i="18" a="1"/>
  <c r="AE43" i="18" s="1"/>
  <c r="AD43" i="18" a="1"/>
  <c r="AD43" i="18" s="1"/>
  <c r="U14" i="18" a="1"/>
  <c r="U14" i="18" s="1"/>
  <c r="V14" i="18" a="1"/>
  <c r="V14" i="18" s="1"/>
  <c r="AL35" i="16" a="1"/>
  <c r="AL35" i="16" s="1"/>
  <c r="AJ13" i="16" a="1"/>
  <c r="AJ13" i="16" s="1"/>
  <c r="AJ34" i="16" a="1"/>
  <c r="AJ34" i="16" s="1"/>
  <c r="AJ47" i="16" a="1"/>
  <c r="AJ47" i="16" s="1"/>
  <c r="AL34" i="16" a="1"/>
  <c r="AL34" i="16" s="1"/>
  <c r="AL13" i="16" a="1"/>
  <c r="AL13" i="16" s="1"/>
  <c r="AL47" i="16" a="1"/>
  <c r="AL47" i="16" s="1"/>
  <c r="AL30" i="16" a="1"/>
  <c r="AL30" i="16" s="1"/>
  <c r="X23" i="16" a="1"/>
  <c r="X23" i="16" s="1"/>
  <c r="AE3" i="17"/>
  <c r="AD9" i="17" a="1"/>
  <c r="AD9" i="17" s="1"/>
  <c r="AD55" i="17" a="1"/>
  <c r="AD55" i="17" s="1"/>
  <c r="U14" i="17" a="1"/>
  <c r="U14" i="17" s="1"/>
  <c r="V3" i="17"/>
  <c r="AF43" i="12"/>
  <c r="J41" i="12"/>
  <c r="AC17" i="12" a="1"/>
  <c r="AC17" i="12" s="1"/>
  <c r="AF6" i="12"/>
  <c r="AF35" i="12"/>
  <c r="AF59" i="12"/>
  <c r="AF7" i="12"/>
  <c r="AF21" i="12"/>
  <c r="AB53" i="12" a="1"/>
  <c r="AB53" i="12" s="1"/>
  <c r="AB47" i="12" a="1"/>
  <c r="AB47" i="12" s="1"/>
  <c r="AC27" i="12" a="1"/>
  <c r="AC27" i="12" s="1"/>
  <c r="AC10" i="12" a="1"/>
  <c r="AC10" i="12" s="1"/>
  <c r="AE39" i="12"/>
  <c r="AE11" i="12"/>
  <c r="AE58" i="12"/>
  <c r="AE46" i="12"/>
  <c r="AE57" i="12"/>
  <c r="AE40" i="12"/>
  <c r="AE10" i="12"/>
  <c r="H1176" i="24"/>
  <c r="BL58" i="4"/>
  <c r="AE473" i="24"/>
  <c r="BL50" i="4"/>
  <c r="AE465" i="24"/>
  <c r="BL59" i="4"/>
  <c r="AE474" i="24"/>
  <c r="BL51" i="4"/>
  <c r="AE466" i="24"/>
  <c r="BL11" i="4"/>
  <c r="AE426" i="24"/>
  <c r="BL26" i="4"/>
  <c r="AE441" i="24"/>
  <c r="BL41" i="4"/>
  <c r="AE456" i="24"/>
  <c r="BL43" i="4"/>
  <c r="AE458" i="24"/>
  <c r="BL13" i="4"/>
  <c r="AE428" i="24"/>
  <c r="BL34" i="4"/>
  <c r="AE449" i="24"/>
  <c r="BL8" i="4"/>
  <c r="AE423" i="24"/>
  <c r="BL31" i="4"/>
  <c r="AE446" i="24"/>
  <c r="BN34" i="4" a="1"/>
  <c r="BN34" i="4" s="1"/>
  <c r="BN8" i="4" a="1"/>
  <c r="BN8" i="4" s="1"/>
  <c r="BL9" i="4"/>
  <c r="AE424" i="24"/>
  <c r="BO21" i="4" a="1"/>
  <c r="BO21" i="4" s="1"/>
  <c r="AE436" i="24"/>
  <c r="BL33" i="4"/>
  <c r="AE448" i="24"/>
  <c r="BL19" i="4"/>
  <c r="AE434" i="24"/>
  <c r="BL29" i="4"/>
  <c r="AE444" i="24"/>
  <c r="BL14" i="4"/>
  <c r="AE429" i="24"/>
  <c r="BL30" i="4"/>
  <c r="AE445" i="24"/>
  <c r="BL56" i="4"/>
  <c r="AE471" i="24"/>
  <c r="BL48" i="4"/>
  <c r="AE463" i="24"/>
  <c r="BL57" i="4"/>
  <c r="AE472" i="24"/>
  <c r="BL49" i="4"/>
  <c r="AE464" i="24"/>
  <c r="BL7" i="4"/>
  <c r="AE422" i="24"/>
  <c r="BL17" i="4"/>
  <c r="AE432" i="24"/>
  <c r="BL16" i="4"/>
  <c r="AE431" i="24"/>
  <c r="BL3" i="4"/>
  <c r="AE418" i="24"/>
  <c r="BL5" i="4"/>
  <c r="AE420" i="24"/>
  <c r="BL38" i="4"/>
  <c r="AE453" i="24"/>
  <c r="BL23" i="4"/>
  <c r="AE438" i="24"/>
  <c r="BL54" i="4"/>
  <c r="AE469" i="24"/>
  <c r="BL46" i="4"/>
  <c r="AE461" i="24"/>
  <c r="BO47" i="4" a="1"/>
  <c r="BO47" i="4" s="1"/>
  <c r="AE462" i="24"/>
  <c r="BL6" i="4"/>
  <c r="AE421" i="24"/>
  <c r="BL12" i="4"/>
  <c r="AE427" i="24"/>
  <c r="BL28" i="4"/>
  <c r="AE443" i="24"/>
  <c r="BL4" i="4"/>
  <c r="AE419" i="24"/>
  <c r="BL40" i="4"/>
  <c r="AE455" i="24"/>
  <c r="BN13" i="4" a="1"/>
  <c r="BN13" i="4" s="1"/>
  <c r="BL60" i="4"/>
  <c r="AE475" i="24"/>
  <c r="BL52" i="4"/>
  <c r="AE467" i="24"/>
  <c r="BL53" i="4"/>
  <c r="AE468" i="24"/>
  <c r="BL45" i="4"/>
  <c r="AE460" i="24"/>
  <c r="BL32" i="4"/>
  <c r="AE447" i="24"/>
  <c r="BL10" i="4"/>
  <c r="AE425" i="24"/>
  <c r="BA48" i="4"/>
  <c r="BA43" i="4"/>
  <c r="BA44" i="4"/>
  <c r="BA50" i="4"/>
  <c r="BA3" i="4"/>
  <c r="AE337" i="24"/>
  <c r="BA55" i="4"/>
  <c r="BA34" i="4"/>
  <c r="BA41" i="4"/>
  <c r="BA33" i="4"/>
  <c r="BA60" i="4"/>
  <c r="BC43" i="4" a="1"/>
  <c r="BC43" i="4" s="1"/>
  <c r="BD53" i="4" a="1"/>
  <c r="BD53" i="4" s="1"/>
  <c r="BA42" i="4"/>
  <c r="BA54" i="4"/>
  <c r="BA36" i="4"/>
  <c r="BA51" i="4"/>
  <c r="BA40" i="4"/>
  <c r="BA32" i="4"/>
  <c r="BA39" i="4"/>
  <c r="BA31" i="4"/>
  <c r="BA46" i="4"/>
  <c r="BA49" i="4"/>
  <c r="BA52" i="4"/>
  <c r="BA59" i="4"/>
  <c r="BA47" i="4"/>
  <c r="BA38" i="4"/>
  <c r="BA30" i="4"/>
  <c r="BA37" i="4"/>
  <c r="BA29" i="4"/>
  <c r="BA45" i="4"/>
  <c r="BA58" i="4"/>
  <c r="AP29" i="4"/>
  <c r="AP31" i="4"/>
  <c r="AP3" i="4"/>
  <c r="AP22" i="4"/>
  <c r="AR22" i="4" a="1"/>
  <c r="AR22" i="4" s="1"/>
  <c r="AP8" i="4"/>
  <c r="AP24" i="4"/>
  <c r="AP39" i="4"/>
  <c r="AP15" i="4"/>
  <c r="AP6" i="4"/>
  <c r="AF35" i="4"/>
  <c r="AE29" i="4"/>
  <c r="AE27" i="4"/>
  <c r="AE60" i="4"/>
  <c r="AE59" i="4"/>
  <c r="AE37" i="4"/>
  <c r="AE57" i="4"/>
  <c r="AE53" i="4"/>
  <c r="AL50" i="16" a="1"/>
  <c r="AL50" i="16" s="1"/>
  <c r="AJ50" i="16" a="1"/>
  <c r="AJ50" i="16" s="1"/>
  <c r="AJ33" i="16" a="1"/>
  <c r="AJ33" i="16" s="1"/>
  <c r="AL33" i="16" a="1"/>
  <c r="AL33" i="16" s="1"/>
  <c r="AL29" i="16" a="1"/>
  <c r="AL29" i="16" s="1"/>
  <c r="AJ29" i="16" a="1"/>
  <c r="AJ29" i="16" s="1"/>
  <c r="AK59" i="16" a="1"/>
  <c r="AK59" i="16" s="1"/>
  <c r="AJ56" i="16" a="1"/>
  <c r="AJ56" i="16" s="1"/>
  <c r="AH56" i="16"/>
  <c r="AK56" i="16" a="1"/>
  <c r="AK56" i="16" s="1"/>
  <c r="AK43" i="16" a="1"/>
  <c r="AK43" i="16" s="1"/>
  <c r="AK10" i="16" a="1"/>
  <c r="AK10" i="16" s="1"/>
  <c r="AJ45" i="16" a="1"/>
  <c r="AJ45" i="16" s="1"/>
  <c r="AH45" i="16"/>
  <c r="AK33" i="16" a="1"/>
  <c r="AK33" i="16" s="1"/>
  <c r="AK58" i="16" a="1"/>
  <c r="AK58" i="16" s="1"/>
  <c r="AJ28" i="16" a="1"/>
  <c r="AJ28" i="16" s="1"/>
  <c r="AH28" i="16"/>
  <c r="AL32" i="16" a="1"/>
  <c r="AL32" i="16" s="1"/>
  <c r="AH32" i="16"/>
  <c r="AJ8" i="16" a="1"/>
  <c r="AJ8" i="16" s="1"/>
  <c r="AH8" i="16"/>
  <c r="AJ26" i="16" a="1"/>
  <c r="AJ26" i="16" s="1"/>
  <c r="AK35" i="16" a="1"/>
  <c r="AK35" i="16" s="1"/>
  <c r="AK60" i="16" a="1"/>
  <c r="AK60" i="16" s="1"/>
  <c r="AK50" i="16" a="1"/>
  <c r="AK50" i="16" s="1"/>
  <c r="AJ7" i="16" a="1"/>
  <c r="AJ7" i="16" s="1"/>
  <c r="AH7" i="16"/>
  <c r="AK29" i="16" a="1"/>
  <c r="AK29" i="16" s="1"/>
  <c r="AK8" i="16" a="1"/>
  <c r="AK8" i="16" s="1"/>
  <c r="AK28" i="16" a="1"/>
  <c r="AK28" i="16" s="1"/>
  <c r="AK34" i="16" a="1"/>
  <c r="AK34" i="16" s="1"/>
  <c r="AJ21" i="16" a="1"/>
  <c r="AJ21" i="16" s="1"/>
  <c r="AH21" i="16"/>
  <c r="AK47" i="16" a="1"/>
  <c r="AK47" i="16" s="1"/>
  <c r="AK51" i="16" a="1"/>
  <c r="AK51" i="16" s="1"/>
  <c r="AK13" i="16" a="1"/>
  <c r="AK13" i="16" s="1"/>
  <c r="AJ5" i="16" a="1"/>
  <c r="AJ5" i="16" s="1"/>
  <c r="AH5" i="16"/>
  <c r="AJ15" i="16" a="1"/>
  <c r="AJ15" i="16" s="1"/>
  <c r="AH15" i="16"/>
  <c r="AK39" i="16" a="1"/>
  <c r="AK39" i="16" s="1"/>
  <c r="AK49" i="16" a="1"/>
  <c r="AK49" i="16" s="1"/>
  <c r="AK32" i="16" a="1"/>
  <c r="AK32" i="16" s="1"/>
  <c r="AK15" i="16" a="1"/>
  <c r="AK15" i="16" s="1"/>
  <c r="AK45" i="16" a="1"/>
  <c r="AK45" i="16" s="1"/>
  <c r="AJ46" i="16" a="1"/>
  <c r="AJ46" i="16" s="1"/>
  <c r="AH46" i="16"/>
  <c r="AK30" i="16" a="1"/>
  <c r="AK30" i="16" s="1"/>
  <c r="AJ3" i="16" a="1"/>
  <c r="AJ3" i="16" s="1"/>
  <c r="AH3" i="16"/>
  <c r="AK17" i="16" a="1"/>
  <c r="AK17" i="16" s="1"/>
  <c r="AK12" i="16" a="1"/>
  <c r="AK12" i="16" s="1"/>
  <c r="Z11" i="16" a="1"/>
  <c r="Z11" i="16" s="1"/>
  <c r="Y17" i="16" a="1"/>
  <c r="Y17" i="16" s="1"/>
  <c r="X59" i="16" a="1"/>
  <c r="X59" i="16" s="1"/>
  <c r="Y55" i="16" a="1"/>
  <c r="Y55" i="16" s="1"/>
  <c r="Y31" i="16" a="1"/>
  <c r="Y31" i="16" s="1"/>
  <c r="X9" i="16" a="1"/>
  <c r="X9" i="16" s="1"/>
  <c r="Z27" i="16" a="1"/>
  <c r="Z27" i="16" s="1"/>
  <c r="Y47" i="16" a="1"/>
  <c r="Y47" i="16" s="1"/>
  <c r="X33" i="16" a="1"/>
  <c r="X33" i="16" s="1"/>
  <c r="Y40" i="16" a="1"/>
  <c r="Y40" i="16" s="1"/>
  <c r="Z18" i="16" a="1"/>
  <c r="Z18" i="16" s="1"/>
  <c r="Y42" i="16" a="1"/>
  <c r="Y42" i="16" s="1"/>
  <c r="Y48" i="16" a="1"/>
  <c r="Y48" i="16" s="1"/>
  <c r="X22" i="16" a="1"/>
  <c r="X22" i="16" s="1"/>
  <c r="Y60" i="16" a="1"/>
  <c r="Y60" i="16" s="1"/>
  <c r="Y38" i="16" a="1"/>
  <c r="Y38" i="16" s="1"/>
  <c r="Y44" i="16" a="1"/>
  <c r="Y44" i="16" s="1"/>
  <c r="Z16" i="16" a="1"/>
  <c r="Z16" i="16" s="1"/>
  <c r="Y46" i="16" a="1"/>
  <c r="Y46" i="16" s="1"/>
  <c r="Y57" i="16" a="1"/>
  <c r="Y57" i="16" s="1"/>
  <c r="Y25" i="16" a="1"/>
  <c r="Y25" i="16" s="1"/>
  <c r="Y15" i="16" a="1"/>
  <c r="Y15" i="16" s="1"/>
  <c r="Y53" i="16" a="1"/>
  <c r="Y53" i="16" s="1"/>
  <c r="Y50" i="16" a="1"/>
  <c r="Y50" i="16" s="1"/>
  <c r="Y36" i="16" a="1"/>
  <c r="Y36" i="16" s="1"/>
  <c r="Z20" i="16" a="1"/>
  <c r="Z20" i="16" s="1"/>
  <c r="X29" i="16" a="1"/>
  <c r="X29" i="16" s="1"/>
  <c r="Y23" i="16" a="1"/>
  <c r="Y23" i="16" s="1"/>
  <c r="AC5" i="18" a="1"/>
  <c r="AC5" i="18" s="1"/>
  <c r="BC29" i="4" a="1"/>
  <c r="BC29" i="4" s="1"/>
  <c r="BC41" i="4" a="1"/>
  <c r="BC41" i="4" s="1"/>
  <c r="AR31" i="4" a="1"/>
  <c r="AR31" i="4" s="1"/>
  <c r="BD32" i="4" a="1"/>
  <c r="BD32" i="4" s="1"/>
  <c r="BD33" i="4" a="1"/>
  <c r="BD33" i="4" s="1"/>
  <c r="BC48" i="4" a="1"/>
  <c r="BC48" i="4" s="1"/>
  <c r="BC46" i="4" a="1"/>
  <c r="BC46" i="4" s="1"/>
  <c r="AR6" i="4" a="1"/>
  <c r="AR6" i="4" s="1"/>
  <c r="BN11" i="4" a="1"/>
  <c r="BN11" i="4" s="1"/>
  <c r="BO32" i="4" a="1"/>
  <c r="BO32" i="4" s="1"/>
  <c r="BO48" i="4" a="1"/>
  <c r="BO48" i="4" s="1"/>
  <c r="BO31" i="4" a="1"/>
  <c r="BO31" i="4" s="1"/>
  <c r="BO46" i="4" a="1"/>
  <c r="BO46" i="4" s="1"/>
  <c r="BN31" i="4" a="1"/>
  <c r="BN31" i="4" s="1"/>
  <c r="BL55" i="4"/>
  <c r="BO19" i="4" a="1"/>
  <c r="BO19" i="4" s="1"/>
  <c r="BO56" i="4" a="1"/>
  <c r="BO56" i="4" s="1"/>
  <c r="BO41" i="4" a="1"/>
  <c r="BO41" i="4" s="1"/>
  <c r="BO8" i="4" a="1"/>
  <c r="BO8" i="4" s="1"/>
  <c r="BO13" i="4" a="1"/>
  <c r="BO13" i="4" s="1"/>
  <c r="BO34" i="4" a="1"/>
  <c r="BO34" i="4" s="1"/>
  <c r="BO10" i="4" a="1"/>
  <c r="BO10" i="4" s="1"/>
  <c r="BO51" i="4" a="1"/>
  <c r="BO51" i="4" s="1"/>
  <c r="BO43" i="4" a="1"/>
  <c r="BO43" i="4" s="1"/>
  <c r="BO7" i="4" a="1"/>
  <c r="BO7" i="4" s="1"/>
  <c r="BO49" i="4" a="1"/>
  <c r="BO49" i="4" s="1"/>
  <c r="BO26" i="4" a="1"/>
  <c r="BO26" i="4" s="1"/>
  <c r="BO11" i="4" a="1"/>
  <c r="BO11" i="4" s="1"/>
  <c r="BN30" i="4" a="1"/>
  <c r="BN30" i="4" s="1"/>
  <c r="BO53" i="4" a="1"/>
  <c r="BO53" i="4" s="1"/>
  <c r="BO17" i="4" a="1"/>
  <c r="BO17" i="4" s="1"/>
  <c r="BO33" i="4" a="1"/>
  <c r="BO33" i="4" s="1"/>
  <c r="BO14" i="4" a="1"/>
  <c r="BO14" i="4" s="1"/>
  <c r="BO28" i="4" a="1"/>
  <c r="BO28" i="4" s="1"/>
  <c r="BO5" i="4" a="1"/>
  <c r="BO5" i="4" s="1"/>
  <c r="BO4" i="4" a="1"/>
  <c r="BO4" i="4" s="1"/>
  <c r="BO45" i="4" a="1"/>
  <c r="BO45" i="4" s="1"/>
  <c r="BO40" i="4" a="1"/>
  <c r="BO40" i="4" s="1"/>
  <c r="BO16" i="4" a="1"/>
  <c r="BO16" i="4" s="1"/>
  <c r="BO50" i="4" a="1"/>
  <c r="BO50" i="4" s="1"/>
  <c r="BO59" i="4" a="1"/>
  <c r="BO59" i="4" s="1"/>
  <c r="BO9" i="4" a="1"/>
  <c r="BO9" i="4" s="1"/>
  <c r="BO38" i="4" a="1"/>
  <c r="BO38" i="4" s="1"/>
  <c r="BO29" i="4" a="1"/>
  <c r="BO29" i="4" s="1"/>
  <c r="BO55" i="4" a="1"/>
  <c r="BO55" i="4" s="1"/>
  <c r="BL47" i="4"/>
  <c r="BO23" i="4" a="1"/>
  <c r="BO23" i="4" s="1"/>
  <c r="BO54" i="4" a="1"/>
  <c r="BO54" i="4" s="1"/>
  <c r="BO30" i="4" a="1"/>
  <c r="BO30" i="4" s="1"/>
  <c r="BO60" i="4" a="1"/>
  <c r="BO60" i="4" s="1"/>
  <c r="BO6" i="4" a="1"/>
  <c r="BO6" i="4" s="1"/>
  <c r="BO58" i="4" a="1"/>
  <c r="BO58" i="4" s="1"/>
  <c r="BO57" i="4" a="1"/>
  <c r="BO57" i="4" s="1"/>
  <c r="BO52" i="4" a="1"/>
  <c r="BO52" i="4" s="1"/>
  <c r="BL21" i="4"/>
  <c r="BM21" i="4"/>
  <c r="BO12" i="4" a="1"/>
  <c r="BO12" i="4" s="1"/>
  <c r="BD51" i="4" a="1"/>
  <c r="BD51" i="4" s="1"/>
  <c r="BD34" i="4" a="1"/>
  <c r="BD34" i="4" s="1"/>
  <c r="BD37" i="4" a="1"/>
  <c r="BD37" i="4" s="1"/>
  <c r="BD31" i="4" a="1"/>
  <c r="BD31" i="4" s="1"/>
  <c r="BD54" i="4" a="1"/>
  <c r="BD54" i="4" s="1"/>
  <c r="BD40" i="4" a="1"/>
  <c r="BD40" i="4" s="1"/>
  <c r="BD55" i="4" a="1"/>
  <c r="BD55" i="4" s="1"/>
  <c r="BA53" i="4"/>
  <c r="BD59" i="4" a="1"/>
  <c r="BD59" i="4" s="1"/>
  <c r="BD48" i="4" a="1"/>
  <c r="BD48" i="4" s="1"/>
  <c r="BD30" i="4" a="1"/>
  <c r="BD30" i="4" s="1"/>
  <c r="BD47" i="4" a="1"/>
  <c r="BD47" i="4" s="1"/>
  <c r="BD41" i="4" a="1"/>
  <c r="BD41" i="4" s="1"/>
  <c r="BD45" i="4" a="1"/>
  <c r="BD45" i="4" s="1"/>
  <c r="BD43" i="4" a="1"/>
  <c r="BD43" i="4" s="1"/>
  <c r="BD58" i="4" a="1"/>
  <c r="BD58" i="4" s="1"/>
  <c r="BD50" i="4" a="1"/>
  <c r="BD50" i="4" s="1"/>
  <c r="BD60" i="4" a="1"/>
  <c r="BD60" i="4" s="1"/>
  <c r="BD38" i="4" a="1"/>
  <c r="BD38" i="4" s="1"/>
  <c r="BD36" i="4" a="1"/>
  <c r="BD36" i="4" s="1"/>
  <c r="BD29" i="4" a="1"/>
  <c r="BD29" i="4" s="1"/>
  <c r="BD39" i="4" a="1"/>
  <c r="BD39" i="4" s="1"/>
  <c r="BD42" i="4" a="1"/>
  <c r="BD42" i="4" s="1"/>
  <c r="BD49" i="4" a="1"/>
  <c r="BD49" i="4" s="1"/>
  <c r="BD46" i="4" a="1"/>
  <c r="BD46" i="4" s="1"/>
  <c r="BD44" i="4" a="1"/>
  <c r="BD44" i="4" s="1"/>
  <c r="BD52" i="4" a="1"/>
  <c r="BD52" i="4" s="1"/>
  <c r="AS15" i="4" a="1"/>
  <c r="AS15" i="4" s="1"/>
  <c r="AS29" i="4" a="1"/>
  <c r="AS29" i="4" s="1"/>
  <c r="AS24" i="4" a="1"/>
  <c r="AS24" i="4" s="1"/>
  <c r="AS6" i="4" a="1"/>
  <c r="AS6" i="4" s="1"/>
  <c r="AS22" i="4" a="1"/>
  <c r="AS22" i="4" s="1"/>
  <c r="AS8" i="4" a="1"/>
  <c r="AS8" i="4" s="1"/>
  <c r="AS39" i="4" a="1"/>
  <c r="AS39" i="4" s="1"/>
  <c r="AS31" i="4" a="1"/>
  <c r="AS31" i="4" s="1"/>
  <c r="AB17" i="12" a="1"/>
  <c r="AB17" i="12" s="1"/>
  <c r="U52" i="12" a="1"/>
  <c r="U52" i="12" s="1"/>
  <c r="E35" i="4"/>
  <c r="AH25" i="4" a="1"/>
  <c r="AH25" i="4" s="1"/>
  <c r="AE25" i="4"/>
  <c r="AH34" i="4" a="1"/>
  <c r="AH34" i="4" s="1"/>
  <c r="AE34" i="4"/>
  <c r="AH22" i="4" a="1"/>
  <c r="AH22" i="4" s="1"/>
  <c r="AE22" i="4"/>
  <c r="AH48" i="4" a="1"/>
  <c r="AH48" i="4" s="1"/>
  <c r="AE48" i="4"/>
  <c r="AH40" i="4" a="1"/>
  <c r="AH40" i="4" s="1"/>
  <c r="AE40" i="4"/>
  <c r="AH33" i="4" a="1"/>
  <c r="AH33" i="4" s="1"/>
  <c r="AE33" i="4"/>
  <c r="AH28" i="4" a="1"/>
  <c r="AH28" i="4" s="1"/>
  <c r="AE28" i="4"/>
  <c r="AH58" i="4" a="1"/>
  <c r="AH58" i="4" s="1"/>
  <c r="AH17" i="4" a="1"/>
  <c r="AH17" i="4" s="1"/>
  <c r="AE17" i="4"/>
  <c r="AH16" i="4" a="1"/>
  <c r="AH16" i="4" s="1"/>
  <c r="AE16" i="4"/>
  <c r="AH42" i="4" a="1"/>
  <c r="AH42" i="4" s="1"/>
  <c r="AE42" i="4"/>
  <c r="AH26" i="4" a="1"/>
  <c r="AH26" i="4" s="1"/>
  <c r="AE26" i="4"/>
  <c r="AH20" i="4" a="1"/>
  <c r="AH20" i="4" s="1"/>
  <c r="AE20" i="4"/>
  <c r="AH51" i="4" a="1"/>
  <c r="AH51" i="4" s="1"/>
  <c r="AE51" i="4"/>
  <c r="AH55" i="4" a="1"/>
  <c r="AH55" i="4" s="1"/>
  <c r="AE55" i="4"/>
  <c r="AH41" i="4" a="1"/>
  <c r="AH41" i="4" s="1"/>
  <c r="AE41" i="4"/>
  <c r="AH24" i="4" a="1"/>
  <c r="AH24" i="4" s="1"/>
  <c r="AE24" i="4"/>
  <c r="AH19" i="4" a="1"/>
  <c r="AH19" i="4" s="1"/>
  <c r="AE19" i="4"/>
  <c r="E45" i="12"/>
  <c r="M45" i="28" s="1"/>
  <c r="E45" i="4"/>
  <c r="K45" i="28" s="1"/>
  <c r="Z36" i="16" a="1"/>
  <c r="Z36" i="16" s="1"/>
  <c r="X46" i="16" a="1"/>
  <c r="X46" i="16" s="1"/>
  <c r="Z50" i="16" a="1"/>
  <c r="Z50" i="16" s="1"/>
  <c r="X50" i="16" a="1"/>
  <c r="X50" i="16" s="1"/>
  <c r="X36" i="16" a="1"/>
  <c r="X36" i="16" s="1"/>
  <c r="Z53" i="16" a="1"/>
  <c r="Z53" i="16" s="1"/>
  <c r="X53" i="16" a="1"/>
  <c r="X53" i="16" s="1"/>
  <c r="Y29" i="16" a="1"/>
  <c r="Y29" i="16" s="1"/>
  <c r="Y22" i="16" a="1"/>
  <c r="Y22" i="16" s="1"/>
  <c r="Y16" i="16" a="1"/>
  <c r="Y16" i="16" s="1"/>
  <c r="Y14" i="16" a="1"/>
  <c r="Y14" i="16" s="1"/>
  <c r="Y33" i="16" a="1"/>
  <c r="Y33" i="16" s="1"/>
  <c r="Y6" i="16" a="1"/>
  <c r="Y6" i="16" s="1"/>
  <c r="Y11" i="16" a="1"/>
  <c r="Y11" i="16" s="1"/>
  <c r="Y35" i="16" a="1"/>
  <c r="Y35" i="16" s="1"/>
  <c r="Y4" i="16" a="1"/>
  <c r="Y4" i="16" s="1"/>
  <c r="Y59" i="16" a="1"/>
  <c r="Y59" i="16" s="1"/>
  <c r="Y27" i="16" a="1"/>
  <c r="Y27" i="16" s="1"/>
  <c r="Y7" i="16" a="1"/>
  <c r="Y7" i="16" s="1"/>
  <c r="Y20" i="16" a="1"/>
  <c r="Y20" i="16" s="1"/>
  <c r="Y9" i="16" a="1"/>
  <c r="Y9" i="16" s="1"/>
  <c r="Y18" i="16" a="1"/>
  <c r="Y18" i="16" s="1"/>
  <c r="U57" i="12" a="1"/>
  <c r="U57" i="12" s="1"/>
  <c r="Z5" i="12"/>
  <c r="W624" i="24" s="1"/>
  <c r="F40" i="12"/>
  <c r="U40" i="12" a="1"/>
  <c r="U40" i="12" s="1"/>
  <c r="T57" i="12" a="1"/>
  <c r="T57" i="12" s="1"/>
  <c r="F57" i="12"/>
  <c r="U10" i="12" a="1"/>
  <c r="U10" i="12" s="1"/>
  <c r="T40" i="12" a="1"/>
  <c r="T40" i="12" s="1"/>
  <c r="F10" i="12"/>
  <c r="AH60" i="4" a="1"/>
  <c r="AH60" i="4" s="1"/>
  <c r="AH29" i="4" a="1"/>
  <c r="AH29" i="4" s="1"/>
  <c r="AH57" i="4" a="1"/>
  <c r="AH57" i="4" s="1"/>
  <c r="AH27" i="4" a="1"/>
  <c r="AH27" i="4" s="1"/>
  <c r="AH53" i="4" a="1"/>
  <c r="AH53" i="4" s="1"/>
  <c r="AH59" i="4" a="1"/>
  <c r="AH59" i="4" s="1"/>
  <c r="AH37" i="4" a="1"/>
  <c r="AH37" i="4" s="1"/>
  <c r="AK3" i="16" a="1"/>
  <c r="AK3" i="16" s="1"/>
  <c r="BD3" i="4" a="1"/>
  <c r="BD3" i="4" s="1"/>
  <c r="Y3" i="16" a="1"/>
  <c r="Y3" i="16" s="1"/>
  <c r="BO3" i="4" a="1"/>
  <c r="BO3" i="4" s="1"/>
  <c r="AS3" i="4" a="1"/>
  <c r="AS3" i="4" s="1"/>
  <c r="AG59" i="4" a="1"/>
  <c r="AG59" i="4" s="1"/>
  <c r="Z25" i="16" a="1"/>
  <c r="Z25" i="16" s="1"/>
  <c r="X25" i="16" a="1"/>
  <c r="X25" i="16" s="1"/>
  <c r="Z57" i="16" a="1"/>
  <c r="Z57" i="16" s="1"/>
  <c r="X15" i="16" a="1"/>
  <c r="X15" i="16" s="1"/>
  <c r="Z15" i="16" a="1"/>
  <c r="Z15" i="16" s="1"/>
  <c r="X57" i="16" a="1"/>
  <c r="X57" i="16" s="1"/>
  <c r="Z38" i="16" a="1"/>
  <c r="Z38" i="16" s="1"/>
  <c r="Z44" i="16" a="1"/>
  <c r="Z44" i="16" s="1"/>
  <c r="Z46" i="16" a="1"/>
  <c r="Z46" i="16" s="1"/>
  <c r="X42" i="16" a="1"/>
  <c r="X42" i="16" s="1"/>
  <c r="Z42" i="16" a="1"/>
  <c r="Z42" i="16" s="1"/>
  <c r="X48" i="16" a="1"/>
  <c r="X48" i="16" s="1"/>
  <c r="Z48" i="16" a="1"/>
  <c r="Z48" i="16" s="1"/>
  <c r="X40" i="16" a="1"/>
  <c r="X40" i="16" s="1"/>
  <c r="Z40" i="16" a="1"/>
  <c r="Z40" i="16" s="1"/>
  <c r="Z60" i="16" a="1"/>
  <c r="Z60" i="16" s="1"/>
  <c r="X60" i="16" a="1"/>
  <c r="X60" i="16" s="1"/>
  <c r="X44" i="16" a="1"/>
  <c r="X44" i="16" s="1"/>
  <c r="X38" i="16" a="1"/>
  <c r="X38" i="16" s="1"/>
  <c r="E4" i="16"/>
  <c r="AG57" i="4" a="1"/>
  <c r="AG57" i="4" s="1"/>
  <c r="E4" i="4"/>
  <c r="K4" i="28" s="1"/>
  <c r="AG60" i="4" a="1"/>
  <c r="AG60" i="4" s="1"/>
  <c r="Z29" i="16" a="1"/>
  <c r="Z29" i="16" s="1"/>
  <c r="Z33" i="16" a="1"/>
  <c r="Z33" i="16" s="1"/>
  <c r="X17" i="16" a="1"/>
  <c r="X17" i="16" s="1"/>
  <c r="X55" i="16" a="1"/>
  <c r="X55" i="16" s="1"/>
  <c r="Z55" i="16" a="1"/>
  <c r="Z55" i="16" s="1"/>
  <c r="AJ39" i="16" a="1"/>
  <c r="AJ39" i="16" s="1"/>
  <c r="AL46" i="16" a="1"/>
  <c r="AL46" i="16" s="1"/>
  <c r="AL39" i="16" a="1"/>
  <c r="AL39" i="16" s="1"/>
  <c r="Z17" i="16" a="1"/>
  <c r="Z17" i="16" s="1"/>
  <c r="X31" i="16" a="1"/>
  <c r="X31" i="16" s="1"/>
  <c r="Z31" i="16" a="1"/>
  <c r="Z31" i="16" s="1"/>
  <c r="BC33" i="4" a="1"/>
  <c r="BC33" i="4" s="1"/>
  <c r="AG53" i="4" a="1"/>
  <c r="AG53" i="4" s="1"/>
  <c r="BN49" i="4" a="1"/>
  <c r="BN49" i="4" s="1"/>
  <c r="BN32" i="4" a="1"/>
  <c r="BN32" i="4" s="1"/>
  <c r="BC44" i="4" a="1"/>
  <c r="BC44" i="4" s="1"/>
  <c r="BN29" i="4" a="1"/>
  <c r="BN29" i="4" s="1"/>
  <c r="BN56" i="4" a="1"/>
  <c r="BN56" i="4" s="1"/>
  <c r="BN48" i="4" a="1"/>
  <c r="BN48" i="4" s="1"/>
  <c r="BN17" i="4" a="1"/>
  <c r="BN17" i="4" s="1"/>
  <c r="BN5" i="4" a="1"/>
  <c r="BN5" i="4" s="1"/>
  <c r="AR15" i="4" a="1"/>
  <c r="AR15" i="4" s="1"/>
  <c r="BC36" i="4" a="1"/>
  <c r="BC36" i="4" s="1"/>
  <c r="BN16" i="4" a="1"/>
  <c r="BN16" i="4" s="1"/>
  <c r="BC42" i="4" a="1"/>
  <c r="BC42" i="4" s="1"/>
  <c r="BN53" i="4" a="1"/>
  <c r="BN53" i="4" s="1"/>
  <c r="BN9" i="4" a="1"/>
  <c r="BN9" i="4" s="1"/>
  <c r="BC40" i="4" a="1"/>
  <c r="BC40" i="4" s="1"/>
  <c r="BN7" i="4" a="1"/>
  <c r="BN7" i="4" s="1"/>
  <c r="AR29" i="4" a="1"/>
  <c r="AR29" i="4" s="1"/>
  <c r="BN38" i="4" a="1"/>
  <c r="BN38" i="4" s="1"/>
  <c r="BC34" i="4" a="1"/>
  <c r="BC34" i="4" s="1"/>
  <c r="BC51" i="4" a="1"/>
  <c r="BC51" i="4" s="1"/>
  <c r="BC31" i="4" a="1"/>
  <c r="BC31" i="4" s="1"/>
  <c r="BN54" i="4" a="1"/>
  <c r="BN54" i="4" s="1"/>
  <c r="BN59" i="4" a="1"/>
  <c r="BN59" i="4" s="1"/>
  <c r="BN28" i="4" a="1"/>
  <c r="BN28" i="4" s="1"/>
  <c r="F45" i="10"/>
  <c r="E4" i="10"/>
  <c r="AA4" i="10"/>
  <c r="AB4" i="10" s="1"/>
  <c r="AB59" i="12" a="1"/>
  <c r="AB59" i="12" s="1"/>
  <c r="J21" i="12"/>
  <c r="AB21" i="12" a="1"/>
  <c r="AB21" i="12" s="1"/>
  <c r="AC21" i="12" a="1"/>
  <c r="AC21" i="12" s="1"/>
  <c r="J59" i="12"/>
  <c r="AC59" i="12" a="1"/>
  <c r="AC59" i="12" s="1"/>
  <c r="E3" i="17"/>
  <c r="F5" i="17" s="1"/>
  <c r="U46" i="12" a="1"/>
  <c r="U46" i="12" s="1"/>
  <c r="F33" i="12"/>
  <c r="BN51" i="4" a="1"/>
  <c r="BN51" i="4" s="1"/>
  <c r="BN46" i="4" a="1"/>
  <c r="BN46" i="4" s="1"/>
  <c r="T46" i="12" a="1"/>
  <c r="T46" i="12" s="1"/>
  <c r="F46" i="12"/>
  <c r="T33" i="12" a="1"/>
  <c r="T33" i="12" s="1"/>
  <c r="U26" i="17" a="1"/>
  <c r="U26" i="17" s="1"/>
  <c r="BC60" i="4" a="1"/>
  <c r="BC60" i="4" s="1"/>
  <c r="AD54" i="17" a="1"/>
  <c r="AD54" i="17" s="1"/>
  <c r="BN50" i="4" a="1"/>
  <c r="BN50" i="4" s="1"/>
  <c r="BC55" i="4" a="1"/>
  <c r="BC55" i="4" s="1"/>
  <c r="T16" i="18" a="1"/>
  <c r="T16" i="18" s="1"/>
  <c r="AE40" i="17"/>
  <c r="AL3" i="16" a="1"/>
  <c r="AL3" i="16" s="1"/>
  <c r="AE49" i="18" a="1"/>
  <c r="AE49" i="18" s="1"/>
  <c r="AD49" i="18" a="1"/>
  <c r="AD49" i="18" s="1"/>
  <c r="AE5" i="18" a="1"/>
  <c r="AE5" i="18" s="1"/>
  <c r="AE27" i="18" a="1"/>
  <c r="AE27" i="18" s="1"/>
  <c r="AC27" i="18" a="1"/>
  <c r="AC27" i="18" s="1"/>
  <c r="J27" i="18"/>
  <c r="AD27" i="18" a="1"/>
  <c r="AD27" i="18" s="1"/>
  <c r="T10" i="12" a="1"/>
  <c r="T10" i="12" s="1"/>
  <c r="U58" i="12" a="1"/>
  <c r="U58" i="12" s="1"/>
  <c r="U39" i="12" a="1"/>
  <c r="U39" i="12" s="1"/>
  <c r="T58" i="12" a="1"/>
  <c r="T58" i="12" s="1"/>
  <c r="F39" i="12"/>
  <c r="F58" i="12"/>
  <c r="T11" i="12" a="1"/>
  <c r="T11" i="12" s="1"/>
  <c r="T39" i="12" a="1"/>
  <c r="T39" i="12" s="1"/>
  <c r="F11" i="12"/>
  <c r="U11" i="12" a="1"/>
  <c r="U11" i="12" s="1"/>
  <c r="AS54" i="10" a="1"/>
  <c r="AS54" i="10" s="1"/>
  <c r="AD58" i="17" a="1"/>
  <c r="AD58" i="17" s="1"/>
  <c r="U29" i="17" a="1"/>
  <c r="U29" i="17" s="1"/>
  <c r="U47" i="17" a="1"/>
  <c r="U47" i="17" s="1"/>
  <c r="U11" i="17" a="1"/>
  <c r="U11" i="17" s="1"/>
  <c r="AC24" i="18" a="1"/>
  <c r="AC24" i="18" s="1"/>
  <c r="AD24" i="18" a="1"/>
  <c r="AD24" i="18" s="1"/>
  <c r="U60" i="17" a="1"/>
  <c r="U60" i="17" s="1"/>
  <c r="J23" i="18"/>
  <c r="AH23" i="18"/>
  <c r="AE52" i="18" a="1"/>
  <c r="AE52" i="18" s="1"/>
  <c r="AH52" i="18"/>
  <c r="AE24" i="18" a="1"/>
  <c r="AE24" i="18" s="1"/>
  <c r="AH24" i="18"/>
  <c r="J19" i="18"/>
  <c r="AH19" i="18"/>
  <c r="AE12" i="18" a="1"/>
  <c r="AE12" i="18" s="1"/>
  <c r="AH12" i="18"/>
  <c r="J49" i="18"/>
  <c r="AH49" i="18"/>
  <c r="AE48" i="18" a="1"/>
  <c r="AE48" i="18" s="1"/>
  <c r="AH48" i="18"/>
  <c r="AE3" i="18" a="1"/>
  <c r="AE3" i="18" s="1"/>
  <c r="AH3" i="18"/>
  <c r="J15" i="18"/>
  <c r="AH15" i="18"/>
  <c r="AE57" i="18" a="1"/>
  <c r="AE57" i="18" s="1"/>
  <c r="AH57" i="18"/>
  <c r="J45" i="18"/>
  <c r="AH45" i="18"/>
  <c r="AE59" i="18" a="1"/>
  <c r="AE59" i="18" s="1"/>
  <c r="AH59" i="18"/>
  <c r="J11" i="18"/>
  <c r="AH11" i="18"/>
  <c r="J55" i="18"/>
  <c r="AH55" i="18"/>
  <c r="J7" i="18"/>
  <c r="AH7" i="18"/>
  <c r="AD51" i="18" a="1"/>
  <c r="AD51" i="18" s="1"/>
  <c r="AH51" i="18"/>
  <c r="J47" i="18"/>
  <c r="AH47" i="18"/>
  <c r="J43" i="18"/>
  <c r="AH43" i="18"/>
  <c r="AE16" i="18" a="1"/>
  <c r="AE16" i="18" s="1"/>
  <c r="AH16" i="18"/>
  <c r="AC39" i="18" a="1"/>
  <c r="AC39" i="18" s="1"/>
  <c r="AH39" i="18"/>
  <c r="J35" i="18"/>
  <c r="AH35" i="18"/>
  <c r="AC21" i="18" a="1"/>
  <c r="AC21" i="18" s="1"/>
  <c r="AH21" i="18"/>
  <c r="AC9" i="18" a="1"/>
  <c r="AC9" i="18" s="1"/>
  <c r="AH9" i="18"/>
  <c r="J31" i="18"/>
  <c r="AH31" i="18"/>
  <c r="AD5" i="18" a="1"/>
  <c r="AD5" i="18" s="1"/>
  <c r="AH5" i="18"/>
  <c r="BF60" i="10"/>
  <c r="R14" i="10"/>
  <c r="BG14" i="10"/>
  <c r="AT26" i="10" a="1"/>
  <c r="AT26" i="10" s="1"/>
  <c r="BF26" i="10"/>
  <c r="R21" i="10"/>
  <c r="BG21" i="10"/>
  <c r="R53" i="10"/>
  <c r="BG53" i="10"/>
  <c r="N36" i="10"/>
  <c r="BF36" i="10"/>
  <c r="N14" i="10"/>
  <c r="BF14" i="10"/>
  <c r="BF58" i="10"/>
  <c r="R12" i="10"/>
  <c r="BG12" i="10"/>
  <c r="R25" i="10"/>
  <c r="BG25" i="10"/>
  <c r="N20" i="10"/>
  <c r="BF20" i="10"/>
  <c r="R51" i="10"/>
  <c r="BG51" i="10"/>
  <c r="N50" i="10"/>
  <c r="BF50" i="10"/>
  <c r="R10" i="10"/>
  <c r="BG10" i="10"/>
  <c r="R19" i="10"/>
  <c r="BG19" i="10"/>
  <c r="N40" i="10"/>
  <c r="BF40" i="10"/>
  <c r="N8" i="10"/>
  <c r="BF8" i="10"/>
  <c r="AT32" i="10" a="1"/>
  <c r="AT32" i="10" s="1"/>
  <c r="BF32" i="10"/>
  <c r="N10" i="10"/>
  <c r="BF10" i="10"/>
  <c r="R32" i="10"/>
  <c r="BG32" i="10"/>
  <c r="R8" i="10"/>
  <c r="BG8" i="10"/>
  <c r="N18" i="10"/>
  <c r="BF18" i="10"/>
  <c r="R37" i="10"/>
  <c r="BG37" i="10"/>
  <c r="R7" i="10"/>
  <c r="BG7" i="10"/>
  <c r="R29" i="10"/>
  <c r="BG29" i="10"/>
  <c r="R27" i="10"/>
  <c r="BG27" i="10"/>
  <c r="R30" i="10"/>
  <c r="BG30" i="10"/>
  <c r="R6" i="10"/>
  <c r="BG6" i="10"/>
  <c r="R17" i="10"/>
  <c r="BG17" i="10"/>
  <c r="AT30" i="10" a="1"/>
  <c r="AT30" i="10" s="1"/>
  <c r="BF30" i="10"/>
  <c r="R28" i="10"/>
  <c r="BG28" i="10"/>
  <c r="R57" i="10"/>
  <c r="BG57" i="10"/>
  <c r="N16" i="10"/>
  <c r="BF16" i="10"/>
  <c r="N38" i="10"/>
  <c r="BF38" i="10"/>
  <c r="R34" i="10"/>
  <c r="BG34" i="10"/>
  <c r="R26" i="10"/>
  <c r="BG26" i="10"/>
  <c r="R15" i="10"/>
  <c r="BG15" i="10"/>
  <c r="R35" i="10"/>
  <c r="BG35" i="10"/>
  <c r="R45" i="10"/>
  <c r="BG45" i="10"/>
  <c r="AS3" i="10" a="1"/>
  <c r="AS3" i="10" s="1"/>
  <c r="BF3" i="10"/>
  <c r="R24" i="10"/>
  <c r="BG24" i="10"/>
  <c r="N42" i="10"/>
  <c r="BF42" i="10"/>
  <c r="R33" i="10"/>
  <c r="BG33" i="10"/>
  <c r="BF54" i="10"/>
  <c r="N44" i="10"/>
  <c r="BF44" i="10"/>
  <c r="R31" i="10"/>
  <c r="BG31" i="10"/>
  <c r="R22" i="10"/>
  <c r="BG22" i="10"/>
  <c r="N46" i="10"/>
  <c r="BF46" i="10"/>
  <c r="R39" i="10"/>
  <c r="BG39" i="10"/>
  <c r="BF59" i="10"/>
  <c r="R13" i="10"/>
  <c r="BG13" i="10"/>
  <c r="BF52" i="10"/>
  <c r="R41" i="10"/>
  <c r="BG41" i="10"/>
  <c r="R47" i="10"/>
  <c r="BG47" i="10"/>
  <c r="R20" i="10"/>
  <c r="BG20" i="10"/>
  <c r="R43" i="10"/>
  <c r="BG43" i="10"/>
  <c r="R55" i="10"/>
  <c r="BG55" i="10"/>
  <c r="R11" i="10"/>
  <c r="BG11" i="10"/>
  <c r="R49" i="10"/>
  <c r="BG49" i="10"/>
  <c r="R23" i="10"/>
  <c r="BG23" i="10"/>
  <c r="R18" i="10"/>
  <c r="BG18" i="10"/>
  <c r="BF34" i="10"/>
  <c r="R9" i="10"/>
  <c r="BG9" i="10"/>
  <c r="N48" i="10"/>
  <c r="BF48" i="10"/>
  <c r="AT24" i="10" a="1"/>
  <c r="AT24" i="10" s="1"/>
  <c r="BF24" i="10"/>
  <c r="R5" i="10"/>
  <c r="BG5" i="10"/>
  <c r="R16" i="10"/>
  <c r="BG16" i="10"/>
  <c r="N22" i="10"/>
  <c r="BF22" i="10"/>
  <c r="BF56" i="10"/>
  <c r="AD34" i="17" a="1"/>
  <c r="AD34" i="17" s="1"/>
  <c r="AD39" i="17" a="1"/>
  <c r="AD39" i="17" s="1"/>
  <c r="AD19" i="17" a="1"/>
  <c r="AD19" i="17" s="1"/>
  <c r="AD16" i="17" a="1"/>
  <c r="AD16" i="17" s="1"/>
  <c r="AD10" i="17" a="1"/>
  <c r="AD10" i="17" s="1"/>
  <c r="AF46" i="17" a="1"/>
  <c r="AF46" i="17" s="1"/>
  <c r="AI46" i="17"/>
  <c r="AF16" i="17" a="1"/>
  <c r="AF16" i="17" s="1"/>
  <c r="AI16" i="17"/>
  <c r="AF19" i="17" a="1"/>
  <c r="AF19" i="17" s="1"/>
  <c r="AI19" i="17"/>
  <c r="AF59" i="17" a="1"/>
  <c r="AF59" i="17" s="1"/>
  <c r="AI59" i="17"/>
  <c r="AF10" i="17" a="1"/>
  <c r="AF10" i="17" s="1"/>
  <c r="AI10" i="17"/>
  <c r="AD49" i="17" a="1"/>
  <c r="AD49" i="17" s="1"/>
  <c r="AF4" i="17" a="1"/>
  <c r="AF4" i="17" s="1"/>
  <c r="AI4" i="17"/>
  <c r="AF22" i="17" a="1"/>
  <c r="AF22" i="17" s="1"/>
  <c r="AI22" i="17"/>
  <c r="AF37" i="17" a="1"/>
  <c r="AF37" i="17" s="1"/>
  <c r="AI37" i="17"/>
  <c r="AE37" i="17"/>
  <c r="AF31" i="17" a="1"/>
  <c r="AF31" i="17" s="1"/>
  <c r="AI31" i="17"/>
  <c r="AF42" i="17" a="1"/>
  <c r="AF42" i="17" s="1"/>
  <c r="AI42" i="17"/>
  <c r="AF57" i="17" a="1"/>
  <c r="AF57" i="17" s="1"/>
  <c r="AI57" i="17"/>
  <c r="AF18" i="17" a="1"/>
  <c r="AF18" i="17" s="1"/>
  <c r="AI18" i="17"/>
  <c r="AI3" i="17"/>
  <c r="AC3" i="17"/>
  <c r="AD37" i="17" a="1"/>
  <c r="AD37" i="17" s="1"/>
  <c r="AF24" i="17" a="1"/>
  <c r="AF24" i="17" s="1"/>
  <c r="AI24" i="17"/>
  <c r="AF48" i="17" a="1"/>
  <c r="AF48" i="17" s="1"/>
  <c r="AI48" i="17"/>
  <c r="AE48" i="17"/>
  <c r="AF13" i="17" a="1"/>
  <c r="AF13" i="17" s="1"/>
  <c r="AI13" i="17"/>
  <c r="AF6" i="17" a="1"/>
  <c r="AF6" i="17" s="1"/>
  <c r="AI6" i="17"/>
  <c r="AF49" i="17" a="1"/>
  <c r="AF49" i="17" s="1"/>
  <c r="AI49" i="17"/>
  <c r="AF45" i="17" a="1"/>
  <c r="AF45" i="17" s="1"/>
  <c r="AI45" i="17"/>
  <c r="AF58" i="17" a="1"/>
  <c r="AF58" i="17" s="1"/>
  <c r="AI58" i="17"/>
  <c r="AF43" i="17" a="1"/>
  <c r="AF43" i="17" s="1"/>
  <c r="AI43" i="17"/>
  <c r="AF27" i="17" a="1"/>
  <c r="AF27" i="17" s="1"/>
  <c r="AI27" i="17"/>
  <c r="AF40" i="17" a="1"/>
  <c r="AF40" i="17" s="1"/>
  <c r="AI40" i="17"/>
  <c r="AF52" i="17" a="1"/>
  <c r="AF52" i="17" s="1"/>
  <c r="AI52" i="17"/>
  <c r="AF9" i="17" a="1"/>
  <c r="AF9" i="17" s="1"/>
  <c r="AI9" i="17"/>
  <c r="AF36" i="17" a="1"/>
  <c r="AF36" i="17" s="1"/>
  <c r="AI36" i="17"/>
  <c r="AF30" i="17" a="1"/>
  <c r="AF30" i="17" s="1"/>
  <c r="AI30" i="17"/>
  <c r="AD48" i="17" a="1"/>
  <c r="AD48" i="17" s="1"/>
  <c r="AF25" i="17" a="1"/>
  <c r="AF25" i="17" s="1"/>
  <c r="AI25" i="17"/>
  <c r="AF54" i="17" a="1"/>
  <c r="AF54" i="17" s="1"/>
  <c r="AI54" i="17"/>
  <c r="AF55" i="17" a="1"/>
  <c r="AF55" i="17" s="1"/>
  <c r="AI55" i="17"/>
  <c r="AF34" i="17" a="1"/>
  <c r="AF34" i="17" s="1"/>
  <c r="AI34" i="17"/>
  <c r="AF39" i="17" a="1"/>
  <c r="AF39" i="17" s="1"/>
  <c r="AI39" i="17"/>
  <c r="AF7" i="17" a="1"/>
  <c r="AF7" i="17" s="1"/>
  <c r="AI7" i="17"/>
  <c r="AF28" i="17" a="1"/>
  <c r="AF28" i="17" s="1"/>
  <c r="AI28" i="17"/>
  <c r="W3" i="17" a="1"/>
  <c r="W3" i="17" s="1"/>
  <c r="U38" i="17" a="1"/>
  <c r="U38" i="17" s="1"/>
  <c r="U35" i="17" a="1"/>
  <c r="U35" i="17" s="1"/>
  <c r="AH35" i="17"/>
  <c r="U32" i="17" a="1"/>
  <c r="U32" i="17" s="1"/>
  <c r="AH32" i="17"/>
  <c r="U59" i="17" a="1"/>
  <c r="U59" i="17" s="1"/>
  <c r="AH59" i="17"/>
  <c r="U56" i="17" a="1"/>
  <c r="U56" i="17" s="1"/>
  <c r="AH56" i="17"/>
  <c r="U20" i="17" a="1"/>
  <c r="U20" i="17" s="1"/>
  <c r="AH20" i="17"/>
  <c r="AH3" i="17"/>
  <c r="T3" i="17"/>
  <c r="T61" i="17" s="1"/>
  <c r="U53" i="17" a="1"/>
  <c r="U53" i="17" s="1"/>
  <c r="AH53" i="17"/>
  <c r="U17" i="17" a="1"/>
  <c r="U17" i="17" s="1"/>
  <c r="AH17" i="17"/>
  <c r="U50" i="17" a="1"/>
  <c r="U50" i="17" s="1"/>
  <c r="AH50" i="17"/>
  <c r="U44" i="17" a="1"/>
  <c r="U44" i="17" s="1"/>
  <c r="AH44" i="17"/>
  <c r="U8" i="17" a="1"/>
  <c r="U8" i="17" s="1"/>
  <c r="AH8" i="17"/>
  <c r="U41" i="17" a="1"/>
  <c r="U41" i="17" s="1"/>
  <c r="AH41" i="17"/>
  <c r="U5" i="17" a="1"/>
  <c r="U5" i="17" s="1"/>
  <c r="AH5" i="17"/>
  <c r="AC47" i="12" a="1"/>
  <c r="AC47" i="12" s="1"/>
  <c r="AC43" i="12" a="1"/>
  <c r="AC43" i="12" s="1"/>
  <c r="J43" i="12"/>
  <c r="AB43" i="12" a="1"/>
  <c r="AB43" i="12" s="1"/>
  <c r="AB7" i="12" a="1"/>
  <c r="AB7" i="12" s="1"/>
  <c r="J35" i="12"/>
  <c r="AC35" i="12" a="1"/>
  <c r="AC35" i="12" s="1"/>
  <c r="Z3" i="12"/>
  <c r="W622" i="24" s="1"/>
  <c r="AB35" i="12" a="1"/>
  <c r="AB35" i="12" s="1"/>
  <c r="AC7" i="12" a="1"/>
  <c r="AC7" i="12" s="1"/>
  <c r="J7" i="12"/>
  <c r="AC6" i="12" a="1"/>
  <c r="AC6" i="12" s="1"/>
  <c r="AB6" i="12" a="1"/>
  <c r="AB6" i="12" s="1"/>
  <c r="J6" i="12"/>
  <c r="AC41" i="12" a="1"/>
  <c r="AC41" i="12" s="1"/>
  <c r="AF41" i="12"/>
  <c r="AC53" i="12" a="1"/>
  <c r="AC53" i="12" s="1"/>
  <c r="AF53" i="12"/>
  <c r="J47" i="12"/>
  <c r="AF47" i="12"/>
  <c r="J27" i="12"/>
  <c r="AF27" i="12"/>
  <c r="J17" i="12"/>
  <c r="AF17" i="12"/>
  <c r="AC33" i="12" a="1"/>
  <c r="AC33" i="12" s="1"/>
  <c r="AF33" i="12"/>
  <c r="AC23" i="12" a="1"/>
  <c r="AC23" i="12" s="1"/>
  <c r="AF23" i="12"/>
  <c r="AB24" i="12" a="1"/>
  <c r="AB24" i="12" s="1"/>
  <c r="AF24" i="12"/>
  <c r="AB29" i="12" a="1"/>
  <c r="AB29" i="12" s="1"/>
  <c r="AF29" i="12"/>
  <c r="J39" i="12"/>
  <c r="AF39" i="12"/>
  <c r="J10" i="12"/>
  <c r="AF10" i="12"/>
  <c r="AB30" i="12" a="1"/>
  <c r="AB30" i="12" s="1"/>
  <c r="AF30" i="12"/>
  <c r="U33" i="12" a="1"/>
  <c r="U33" i="12" s="1"/>
  <c r="AE33" i="12"/>
  <c r="F34" i="12"/>
  <c r="AE34" i="12"/>
  <c r="T52" i="12" a="1"/>
  <c r="T52" i="12" s="1"/>
  <c r="AE52" i="12"/>
  <c r="U28" i="12" a="1"/>
  <c r="U28" i="12" s="1"/>
  <c r="AE28" i="12"/>
  <c r="U22" i="12" a="1"/>
  <c r="U22" i="12" s="1"/>
  <c r="AE22" i="12"/>
  <c r="F27" i="12"/>
  <c r="AE27" i="12"/>
  <c r="AE15" i="12"/>
  <c r="T16" i="12" a="1"/>
  <c r="T16" i="12" s="1"/>
  <c r="AE16" i="12"/>
  <c r="T20" i="12" a="1"/>
  <c r="T20" i="12" s="1"/>
  <c r="AE20" i="12"/>
  <c r="F50" i="12"/>
  <c r="AE50" i="12"/>
  <c r="E4" i="12"/>
  <c r="AB61" i="17"/>
  <c r="AE7" i="17"/>
  <c r="S61" i="17"/>
  <c r="AD7" i="17" a="1"/>
  <c r="AD7" i="17" s="1"/>
  <c r="AE4" i="17"/>
  <c r="AD18" i="17" a="1"/>
  <c r="AD18" i="17" s="1"/>
  <c r="AD4" i="17" a="1"/>
  <c r="AD4" i="17" s="1"/>
  <c r="AE18" i="17"/>
  <c r="V60" i="17"/>
  <c r="W60" i="17" a="1"/>
  <c r="W60" i="17" s="1"/>
  <c r="AD57" i="17" a="1"/>
  <c r="AD57" i="17" s="1"/>
  <c r="AE57" i="17"/>
  <c r="AD43" i="17" a="1"/>
  <c r="AD43" i="17" s="1"/>
  <c r="AE22" i="17"/>
  <c r="AD42" i="17" a="1"/>
  <c r="AD42" i="17" s="1"/>
  <c r="AE13" i="17"/>
  <c r="AD22" i="17" a="1"/>
  <c r="AD22" i="17" s="1"/>
  <c r="AD13" i="17" a="1"/>
  <c r="AD13" i="17" s="1"/>
  <c r="AE42" i="17"/>
  <c r="AE43" i="17"/>
  <c r="AE31" i="17"/>
  <c r="AE28" i="17"/>
  <c r="AE46" i="17"/>
  <c r="AD59" i="17" a="1"/>
  <c r="AD59" i="17" s="1"/>
  <c r="AD46" i="17" a="1"/>
  <c r="AD46" i="17" s="1"/>
  <c r="AD31" i="17" a="1"/>
  <c r="AD31" i="17" s="1"/>
  <c r="AD45" i="17" a="1"/>
  <c r="AD45" i="17" s="1"/>
  <c r="AE45" i="17"/>
  <c r="AD25" i="17" a="1"/>
  <c r="AD25" i="17" s="1"/>
  <c r="AE25" i="17"/>
  <c r="AD6" i="17" a="1"/>
  <c r="AD6" i="17" s="1"/>
  <c r="AE24" i="17"/>
  <c r="AE6" i="17"/>
  <c r="W26" i="17" a="1"/>
  <c r="W26" i="17" s="1"/>
  <c r="V26" i="17"/>
  <c r="W56" i="17" a="1"/>
  <c r="W56" i="17" s="1"/>
  <c r="V56" i="17"/>
  <c r="W20" i="17" a="1"/>
  <c r="W20" i="17" s="1"/>
  <c r="V20" i="17"/>
  <c r="W59" i="17" a="1"/>
  <c r="W59" i="17" s="1"/>
  <c r="V59" i="17"/>
  <c r="W53" i="17" a="1"/>
  <c r="W53" i="17" s="1"/>
  <c r="V53" i="17"/>
  <c r="W17" i="17" a="1"/>
  <c r="W17" i="17" s="1"/>
  <c r="V17" i="17"/>
  <c r="W50" i="17" a="1"/>
  <c r="W50" i="17" s="1"/>
  <c r="V50" i="17"/>
  <c r="W14" i="17" a="1"/>
  <c r="W14" i="17" s="1"/>
  <c r="V14" i="17"/>
  <c r="W47" i="17" a="1"/>
  <c r="W47" i="17" s="1"/>
  <c r="V47" i="17"/>
  <c r="W11" i="17" a="1"/>
  <c r="W11" i="17" s="1"/>
  <c r="V11" i="17"/>
  <c r="W44" i="17" a="1"/>
  <c r="W44" i="17" s="1"/>
  <c r="V44" i="17"/>
  <c r="W8" i="17" a="1"/>
  <c r="W8" i="17" s="1"/>
  <c r="V8" i="17"/>
  <c r="W23" i="17" a="1"/>
  <c r="W23" i="17" s="1"/>
  <c r="V23" i="17"/>
  <c r="U23" i="17" a="1"/>
  <c r="U23" i="17" s="1"/>
  <c r="W41" i="17" a="1"/>
  <c r="W41" i="17" s="1"/>
  <c r="V41" i="17"/>
  <c r="W5" i="17" a="1"/>
  <c r="W5" i="17" s="1"/>
  <c r="V5" i="17"/>
  <c r="W38" i="17" a="1"/>
  <c r="W38" i="17" s="1"/>
  <c r="V38" i="17"/>
  <c r="W35" i="17" a="1"/>
  <c r="W35" i="17" s="1"/>
  <c r="V35" i="17"/>
  <c r="W32" i="17" a="1"/>
  <c r="W32" i="17" s="1"/>
  <c r="V32" i="17"/>
  <c r="W29" i="17" a="1"/>
  <c r="W29" i="17" s="1"/>
  <c r="V29" i="17"/>
  <c r="F28" i="12"/>
  <c r="AB23" i="12" a="1"/>
  <c r="AB23" i="12" s="1"/>
  <c r="T28" i="12" a="1"/>
  <c r="T28" i="12" s="1"/>
  <c r="F52" i="12"/>
  <c r="F16" i="12"/>
  <c r="T27" i="12" a="1"/>
  <c r="T27" i="12" s="1"/>
  <c r="T22" i="12" a="1"/>
  <c r="T22" i="12" s="1"/>
  <c r="F20" i="12"/>
  <c r="AB41" i="12" a="1"/>
  <c r="AB41" i="12" s="1"/>
  <c r="AB27" i="12" a="1"/>
  <c r="AB27" i="12" s="1"/>
  <c r="J24" i="12"/>
  <c r="U27" i="12" a="1"/>
  <c r="U27" i="12" s="1"/>
  <c r="U34" i="12" a="1"/>
  <c r="U34" i="12" s="1"/>
  <c r="AB33" i="12" a="1"/>
  <c r="AB33" i="12" s="1"/>
  <c r="J33" i="12"/>
  <c r="T34" i="12" a="1"/>
  <c r="T34" i="12" s="1"/>
  <c r="J53" i="12"/>
  <c r="J23" i="12"/>
  <c r="J29" i="12"/>
  <c r="U50" i="12" a="1"/>
  <c r="U50" i="12" s="1"/>
  <c r="AC30" i="12" a="1"/>
  <c r="AC30" i="12" s="1"/>
  <c r="AB39" i="12" a="1"/>
  <c r="AB39" i="12" s="1"/>
  <c r="J30" i="12"/>
  <c r="AC39" i="12" a="1"/>
  <c r="AC39" i="12" s="1"/>
  <c r="T50" i="12" a="1"/>
  <c r="T50" i="12" s="1"/>
  <c r="AB10" i="12" a="1"/>
  <c r="AB10" i="12" s="1"/>
  <c r="V29" i="18" a="1"/>
  <c r="V29" i="18" s="1"/>
  <c r="V30" i="18" a="1"/>
  <c r="V30" i="18" s="1"/>
  <c r="V36" i="18" a="1"/>
  <c r="V36" i="18" s="1"/>
  <c r="U36" i="18" a="1"/>
  <c r="U36" i="18" s="1"/>
  <c r="F16" i="18"/>
  <c r="V18" i="18" a="1"/>
  <c r="V18" i="18" s="1"/>
  <c r="U18" i="18" a="1"/>
  <c r="U18" i="18" s="1"/>
  <c r="F14" i="18"/>
  <c r="U30" i="18" a="1"/>
  <c r="U30" i="18" s="1"/>
  <c r="U32" i="18" a="1"/>
  <c r="U32" i="18" s="1"/>
  <c r="T32" i="18" a="1"/>
  <c r="T32" i="18" s="1"/>
  <c r="U58" i="18" a="1"/>
  <c r="U58" i="18" s="1"/>
  <c r="V58" i="18" a="1"/>
  <c r="V58" i="18" s="1"/>
  <c r="AG3" i="18"/>
  <c r="U6" i="18" a="1"/>
  <c r="U6" i="18" s="1"/>
  <c r="V6" i="18" a="1"/>
  <c r="V6" i="18" s="1"/>
  <c r="F58" i="18"/>
  <c r="AG58" i="18"/>
  <c r="F6" i="18"/>
  <c r="AG6" i="18"/>
  <c r="U16" i="18" a="1"/>
  <c r="U16" i="18" s="1"/>
  <c r="F18" i="18"/>
  <c r="AG18" i="18"/>
  <c r="F20" i="18"/>
  <c r="AG20" i="18"/>
  <c r="F40" i="18"/>
  <c r="AG40" i="18"/>
  <c r="F36" i="18"/>
  <c r="AG36" i="18"/>
  <c r="V16" i="18" a="1"/>
  <c r="V16" i="18" s="1"/>
  <c r="F30" i="18"/>
  <c r="AG30" i="18"/>
  <c r="F32" i="18"/>
  <c r="AG32" i="18"/>
  <c r="F29" i="18"/>
  <c r="AG29" i="18"/>
  <c r="T10" i="18" a="1"/>
  <c r="T10" i="18" s="1"/>
  <c r="AG10" i="18"/>
  <c r="F12" i="18"/>
  <c r="AG12" i="18"/>
  <c r="AC49" i="10" a="1"/>
  <c r="AC49" i="10" s="1"/>
  <c r="AC53" i="10" a="1"/>
  <c r="AC53" i="10" s="1"/>
  <c r="AC45" i="10" a="1"/>
  <c r="AC45" i="10" s="1"/>
  <c r="F12" i="10"/>
  <c r="AJ3" i="10"/>
  <c r="BE3" i="10"/>
  <c r="J60" i="10"/>
  <c r="BE60" i="10"/>
  <c r="AL21" i="10" a="1"/>
  <c r="AL21" i="10" s="1"/>
  <c r="BE21" i="10"/>
  <c r="AL8" i="10" a="1"/>
  <c r="AL8" i="10" s="1"/>
  <c r="BE8" i="10"/>
  <c r="J58" i="10"/>
  <c r="N58" i="28" s="1"/>
  <c r="BE58" i="10"/>
  <c r="J19" i="10"/>
  <c r="BE19" i="10"/>
  <c r="AL17" i="10" a="1"/>
  <c r="AL17" i="10" s="1"/>
  <c r="BE17" i="10"/>
  <c r="AL53" i="10" a="1"/>
  <c r="AL53" i="10" s="1"/>
  <c r="BE53" i="10"/>
  <c r="J13" i="10"/>
  <c r="BE13" i="10"/>
  <c r="AL11" i="10" a="1"/>
  <c r="AL11" i="10" s="1"/>
  <c r="BE11" i="10"/>
  <c r="AD49" i="10" a="1"/>
  <c r="AD49" i="10" s="1"/>
  <c r="AD53" i="10" a="1"/>
  <c r="AD53" i="10" s="1"/>
  <c r="AD12" i="10" a="1"/>
  <c r="AD12" i="10" s="1"/>
  <c r="F14" i="10"/>
  <c r="AD14" i="10" a="1"/>
  <c r="AD14" i="10" s="1"/>
  <c r="AD28" i="10" a="1"/>
  <c r="AD28" i="10" s="1"/>
  <c r="F6" i="10"/>
  <c r="W1151" i="24"/>
  <c r="BD37" i="10"/>
  <c r="W1161" i="24"/>
  <c r="BD47" i="10"/>
  <c r="W1126" i="24"/>
  <c r="BD12" i="10"/>
  <c r="W1128" i="24"/>
  <c r="BD14" i="10"/>
  <c r="W1159" i="24"/>
  <c r="BD45" i="10"/>
  <c r="AC6" i="10" a="1"/>
  <c r="AC6" i="10" s="1"/>
  <c r="AD35" i="10" a="1"/>
  <c r="AD35" i="10" s="1"/>
  <c r="BD35" i="10"/>
  <c r="W1144" i="24"/>
  <c r="BD30" i="10"/>
  <c r="W1124" i="24"/>
  <c r="BD10" i="10"/>
  <c r="W1146" i="24"/>
  <c r="BD32" i="10"/>
  <c r="W1140" i="24"/>
  <c r="BD26" i="10"/>
  <c r="W1157" i="24"/>
  <c r="BD43" i="10"/>
  <c r="W1165" i="24"/>
  <c r="BD51" i="10"/>
  <c r="W1142" i="24"/>
  <c r="BD28" i="10"/>
  <c r="W1120" i="24"/>
  <c r="BD6" i="10"/>
  <c r="W1167" i="24"/>
  <c r="BD53" i="10"/>
  <c r="W1163" i="24"/>
  <c r="BD49" i="10"/>
  <c r="U20" i="18" a="1"/>
  <c r="U20" i="18" s="1"/>
  <c r="AD48" i="18" a="1"/>
  <c r="AD48" i="18" s="1"/>
  <c r="AE21" i="18" a="1"/>
  <c r="AE21" i="18" s="1"/>
  <c r="J21" i="18"/>
  <c r="V40" i="18" a="1"/>
  <c r="V40" i="18" s="1"/>
  <c r="AD12" i="18" a="1"/>
  <c r="AD12" i="18" s="1"/>
  <c r="J48" i="18"/>
  <c r="AC12" i="18" a="1"/>
  <c r="AC12" i="18" s="1"/>
  <c r="V20" i="18" a="1"/>
  <c r="V20" i="18" s="1"/>
  <c r="T20" i="18" a="1"/>
  <c r="T20" i="18" s="1"/>
  <c r="U40" i="18" a="1"/>
  <c r="U40" i="18" s="1"/>
  <c r="T40" i="18" a="1"/>
  <c r="T40" i="18" s="1"/>
  <c r="AC48" i="18" a="1"/>
  <c r="AC48" i="18" s="1"/>
  <c r="AE35" i="18" a="1"/>
  <c r="AE35" i="18" s="1"/>
  <c r="AD19" i="18" a="1"/>
  <c r="AD19" i="18" s="1"/>
  <c r="AC19" i="18" a="1"/>
  <c r="AC19" i="18" s="1"/>
  <c r="AE19" i="18" a="1"/>
  <c r="AE19" i="18" s="1"/>
  <c r="AC51" i="18" a="1"/>
  <c r="AC51" i="18" s="1"/>
  <c r="U12" i="18" a="1"/>
  <c r="U12" i="18" s="1"/>
  <c r="AD15" i="18" a="1"/>
  <c r="AD15" i="18" s="1"/>
  <c r="V12" i="18" a="1"/>
  <c r="V12" i="18" s="1"/>
  <c r="F10" i="18"/>
  <c r="AC47" i="18" a="1"/>
  <c r="AC47" i="18" s="1"/>
  <c r="AE15" i="18" a="1"/>
  <c r="AE15" i="18" s="1"/>
  <c r="U10" i="18" a="1"/>
  <c r="U10" i="18" s="1"/>
  <c r="AE47" i="18" a="1"/>
  <c r="AE47" i="18" s="1"/>
  <c r="AD47" i="18" a="1"/>
  <c r="AD47" i="18" s="1"/>
  <c r="AC15" i="18" a="1"/>
  <c r="AC15" i="18" s="1"/>
  <c r="T12" i="18" a="1"/>
  <c r="T12" i="18" s="1"/>
  <c r="AD30" i="10" a="1"/>
  <c r="AD30" i="10" s="1"/>
  <c r="AC35" i="10" a="1"/>
  <c r="AC35" i="10" s="1"/>
  <c r="F30" i="10"/>
  <c r="F26" i="10"/>
  <c r="AS36" i="10" a="1"/>
  <c r="AS36" i="10" s="1"/>
  <c r="AS30" i="10" a="1"/>
  <c r="AS30" i="10" s="1"/>
  <c r="AD32" i="10" a="1"/>
  <c r="AD32" i="10" s="1"/>
  <c r="AC30" i="10" a="1"/>
  <c r="AC30" i="10" s="1"/>
  <c r="AD43" i="10" a="1"/>
  <c r="AD43" i="10" s="1"/>
  <c r="AS58" i="10" a="1"/>
  <c r="AS58" i="10" s="1"/>
  <c r="AD10" i="10" a="1"/>
  <c r="AD10" i="10" s="1"/>
  <c r="AK21" i="10" a="1"/>
  <c r="AK21" i="10" s="1"/>
  <c r="AT14" i="10" a="1"/>
  <c r="AT14" i="10" s="1"/>
  <c r="AK58" i="10" a="1"/>
  <c r="AK58" i="10" s="1"/>
  <c r="AS59" i="10" a="1"/>
  <c r="AS59" i="10" s="1"/>
  <c r="N26" i="10"/>
  <c r="AT52" i="10" a="1"/>
  <c r="AT52" i="10" s="1"/>
  <c r="AC10" i="10" a="1"/>
  <c r="AC10" i="10" s="1"/>
  <c r="AS32" i="10" a="1"/>
  <c r="AS32" i="10" s="1"/>
  <c r="N56" i="10"/>
  <c r="AT44" i="10" a="1"/>
  <c r="AT44" i="10" s="1"/>
  <c r="J21" i="10"/>
  <c r="N21" i="28" s="1"/>
  <c r="J8" i="10"/>
  <c r="N8" i="28" s="1"/>
  <c r="AS46" i="10" a="1"/>
  <c r="AS46" i="10" s="1"/>
  <c r="AK8" i="10" a="1"/>
  <c r="AK8" i="10" s="1"/>
  <c r="AS60" i="10" a="1"/>
  <c r="AS60" i="10" s="1"/>
  <c r="AS44" i="10" a="1"/>
  <c r="AS44" i="10" s="1"/>
  <c r="AL58" i="10" a="1"/>
  <c r="AL58" i="10" s="1"/>
  <c r="AT56" i="10" a="1"/>
  <c r="AT56" i="10" s="1"/>
  <c r="AC43" i="10" a="1"/>
  <c r="AC43" i="10" s="1"/>
  <c r="AC26" i="10" a="1"/>
  <c r="AC26" i="10" s="1"/>
  <c r="AC51" i="10" a="1"/>
  <c r="AC51" i="10" s="1"/>
  <c r="AD26" i="10" a="1"/>
  <c r="AD26" i="10" s="1"/>
  <c r="F32" i="10"/>
  <c r="AT20" i="10" a="1"/>
  <c r="AT20" i="10" s="1"/>
  <c r="AK17" i="10" a="1"/>
  <c r="AK17" i="10" s="1"/>
  <c r="AK11" i="10" a="1"/>
  <c r="AK11" i="10" s="1"/>
  <c r="J17" i="10"/>
  <c r="N17" i="28" s="1"/>
  <c r="AC32" i="10" a="1"/>
  <c r="AC32" i="10" s="1"/>
  <c r="AS18" i="10" a="1"/>
  <c r="AS18" i="10" s="1"/>
  <c r="F43" i="10"/>
  <c r="AT58" i="10" a="1"/>
  <c r="AT58" i="10" s="1"/>
  <c r="AS42" i="10" a="1"/>
  <c r="AS42" i="10" s="1"/>
  <c r="N58" i="10"/>
  <c r="J11" i="10"/>
  <c r="N11" i="28" s="1"/>
  <c r="AT42" i="10" a="1"/>
  <c r="AT42" i="10" s="1"/>
  <c r="AS20" i="10" a="1"/>
  <c r="AS20" i="10" s="1"/>
  <c r="AD51" i="10" a="1"/>
  <c r="AD51" i="10" s="1"/>
  <c r="F28" i="10"/>
  <c r="AC47" i="10" a="1"/>
  <c r="AC47" i="10" s="1"/>
  <c r="AD37" i="10" a="1"/>
  <c r="AD37" i="10" s="1"/>
  <c r="AT46" i="10" a="1"/>
  <c r="AT46" i="10" s="1"/>
  <c r="AT22" i="10" a="1"/>
  <c r="AT22" i="10" s="1"/>
  <c r="N59" i="10"/>
  <c r="AC37" i="10" a="1"/>
  <c r="AC37" i="10" s="1"/>
  <c r="F37" i="10"/>
  <c r="W1149" i="24"/>
  <c r="F35" i="10"/>
  <c r="AT59" i="10" a="1"/>
  <c r="AT59" i="10" s="1"/>
  <c r="AD47" i="10" a="1"/>
  <c r="AD47" i="10" s="1"/>
  <c r="N54" i="10"/>
  <c r="AT50" i="10" a="1"/>
  <c r="AT50" i="10" s="1"/>
  <c r="AS56" i="10" a="1"/>
  <c r="AS56" i="10" s="1"/>
  <c r="F47" i="10"/>
  <c r="AT16" i="10" a="1"/>
  <c r="AT16" i="10" s="1"/>
  <c r="AS50" i="10" a="1"/>
  <c r="AS50" i="10" s="1"/>
  <c r="AS38" i="10" a="1"/>
  <c r="AS38" i="10" s="1"/>
  <c r="AK53" i="10" a="1"/>
  <c r="AK53" i="10" s="1"/>
  <c r="AL19" i="10" a="1"/>
  <c r="AL19" i="10" s="1"/>
  <c r="AK19" i="10" a="1"/>
  <c r="AK19" i="10" s="1"/>
  <c r="N60" i="10"/>
  <c r="J53" i="10"/>
  <c r="N53" i="28" s="1"/>
  <c r="AL13" i="10" a="1"/>
  <c r="AL13" i="10" s="1"/>
  <c r="AT60" i="10" a="1"/>
  <c r="AT60" i="10" s="1"/>
  <c r="AD52" i="18" a="1"/>
  <c r="AD52" i="18" s="1"/>
  <c r="J52" i="18"/>
  <c r="AD55" i="18" a="1"/>
  <c r="AD55" i="18" s="1"/>
  <c r="AD7" i="18" a="1"/>
  <c r="AD7" i="18" s="1"/>
  <c r="AC7" i="18" a="1"/>
  <c r="AC7" i="18" s="1"/>
  <c r="AE39" i="18" a="1"/>
  <c r="AE39" i="18" s="1"/>
  <c r="J39" i="18"/>
  <c r="AD39" i="18" a="1"/>
  <c r="AD39" i="18" s="1"/>
  <c r="J12" i="18"/>
  <c r="J51" i="18"/>
  <c r="AC52" i="18" a="1"/>
  <c r="AC52" i="18" s="1"/>
  <c r="AC35" i="18" a="1"/>
  <c r="AC35" i="18" s="1"/>
  <c r="AE7" i="18" a="1"/>
  <c r="AE7" i="18" s="1"/>
  <c r="AE23" i="18" a="1"/>
  <c r="AE23" i="18" s="1"/>
  <c r="AD3" i="18" a="1"/>
  <c r="AD3" i="18" s="1"/>
  <c r="AE31" i="18" a="1"/>
  <c r="AE31" i="18" s="1"/>
  <c r="AD31" i="18" a="1"/>
  <c r="AD31" i="18" s="1"/>
  <c r="AA61" i="18"/>
  <c r="J3" i="18"/>
  <c r="AC3" i="18" a="1"/>
  <c r="AC3" i="18" s="1"/>
  <c r="AC55" i="18" a="1"/>
  <c r="AC55" i="18" s="1"/>
  <c r="AC31" i="18" a="1"/>
  <c r="AC31" i="18" s="1"/>
  <c r="AD23" i="18" a="1"/>
  <c r="AD23" i="18" s="1"/>
  <c r="AE55" i="18" a="1"/>
  <c r="AE55" i="18" s="1"/>
  <c r="X18" i="16" a="1"/>
  <c r="X18" i="16" s="1"/>
  <c r="AJ60" i="16" a="1"/>
  <c r="AJ60" i="16" s="1"/>
  <c r="AJ51" i="16" a="1"/>
  <c r="AJ51" i="16" s="1"/>
  <c r="AL5" i="16" a="1"/>
  <c r="AL5" i="16" s="1"/>
  <c r="AL45" i="16" a="1"/>
  <c r="AL45" i="16" s="1"/>
  <c r="AL10" i="16" a="1"/>
  <c r="AL10" i="16" s="1"/>
  <c r="AL28" i="16" a="1"/>
  <c r="AL28" i="16" s="1"/>
  <c r="AJ10" i="16" a="1"/>
  <c r="AJ10" i="16" s="1"/>
  <c r="AL21" i="16" a="1"/>
  <c r="AL21" i="16" s="1"/>
  <c r="AI3" i="16"/>
  <c r="AI61" i="16" s="1"/>
  <c r="AL7" i="16" a="1"/>
  <c r="AL7" i="16" s="1"/>
  <c r="AL60" i="16" a="1"/>
  <c r="AL60" i="16" s="1"/>
  <c r="AL8" i="16" a="1"/>
  <c r="AL8" i="16" s="1"/>
  <c r="AL17" i="16" a="1"/>
  <c r="AL17" i="16" s="1"/>
  <c r="AL58" i="16" a="1"/>
  <c r="AL58" i="16" s="1"/>
  <c r="AL12" i="16" a="1"/>
  <c r="AL12" i="16" s="1"/>
  <c r="AL51" i="16" a="1"/>
  <c r="AL51" i="16" s="1"/>
  <c r="AL56" i="16" a="1"/>
  <c r="AL56" i="16" s="1"/>
  <c r="AL15" i="16" a="1"/>
  <c r="AL15" i="16" s="1"/>
  <c r="Z22" i="16" a="1"/>
  <c r="Z22" i="16" s="1"/>
  <c r="X20" i="16" a="1"/>
  <c r="X20" i="16" s="1"/>
  <c r="X27" i="16" a="1"/>
  <c r="X27" i="16" s="1"/>
  <c r="X4" i="16" a="1"/>
  <c r="X4" i="16" s="1"/>
  <c r="Z59" i="16" a="1"/>
  <c r="Z59" i="16" s="1"/>
  <c r="X11" i="16" a="1"/>
  <c r="X11" i="16" s="1"/>
  <c r="X14" i="16" a="1"/>
  <c r="X14" i="16" s="1"/>
  <c r="X35" i="16" a="1"/>
  <c r="X35" i="16" s="1"/>
  <c r="Z9" i="16" a="1"/>
  <c r="Z9" i="16" s="1"/>
  <c r="X6" i="16" a="1"/>
  <c r="X6" i="16" s="1"/>
  <c r="AG16" i="4" a="1"/>
  <c r="AG16" i="4" s="1"/>
  <c r="AG25" i="4" a="1"/>
  <c r="AG25" i="4" s="1"/>
  <c r="AG34" i="4" a="1"/>
  <c r="AG34" i="4" s="1"/>
  <c r="AG22" i="4" a="1"/>
  <c r="AG22" i="4" s="1"/>
  <c r="AG51" i="4" a="1"/>
  <c r="AG51" i="4" s="1"/>
  <c r="AG33" i="4" a="1"/>
  <c r="AG33" i="4" s="1"/>
  <c r="AG17" i="4" a="1"/>
  <c r="AG17" i="4" s="1"/>
  <c r="AG55" i="4" a="1"/>
  <c r="AG55" i="4" s="1"/>
  <c r="AG42" i="4" a="1"/>
  <c r="AG42" i="4" s="1"/>
  <c r="AG26" i="4" a="1"/>
  <c r="AG26" i="4" s="1"/>
  <c r="AG20" i="4" a="1"/>
  <c r="AG20" i="4" s="1"/>
  <c r="AG24" i="4" a="1"/>
  <c r="AG24" i="4" s="1"/>
  <c r="AG19" i="4" a="1"/>
  <c r="AG19" i="4" s="1"/>
  <c r="AG48" i="4" a="1"/>
  <c r="AG48" i="4" s="1"/>
  <c r="AG41" i="4" a="1"/>
  <c r="AG41" i="4" s="1"/>
  <c r="AG40" i="4" a="1"/>
  <c r="AG40" i="4" s="1"/>
  <c r="U61" i="16"/>
  <c r="AJ12" i="16" a="1"/>
  <c r="AJ12" i="16" s="1"/>
  <c r="Z6" i="16" a="1"/>
  <c r="Z6" i="16" s="1"/>
  <c r="AJ58" i="16" a="1"/>
  <c r="AJ58" i="16" s="1"/>
  <c r="Z35" i="16" a="1"/>
  <c r="Z35" i="16" s="1"/>
  <c r="Z14" i="16" a="1"/>
  <c r="Z14" i="16" s="1"/>
  <c r="Z4" i="16" a="1"/>
  <c r="Z4" i="16" s="1"/>
  <c r="X16" i="16" a="1"/>
  <c r="X16" i="16" s="1"/>
  <c r="AJ17" i="16" a="1"/>
  <c r="AJ17" i="16" s="1"/>
  <c r="BC59" i="4" a="1"/>
  <c r="BC59" i="4" s="1"/>
  <c r="BC38" i="4" a="1"/>
  <c r="BC38" i="4" s="1"/>
  <c r="BC53" i="4" a="1"/>
  <c r="BC53" i="4" s="1"/>
  <c r="BN55" i="4" a="1"/>
  <c r="BN55" i="4" s="1"/>
  <c r="BN47" i="4" a="1"/>
  <c r="BN47" i="4" s="1"/>
  <c r="BN43" i="4" a="1"/>
  <c r="BN43" i="4" s="1"/>
  <c r="H477" i="24"/>
  <c r="AG27" i="4" a="1"/>
  <c r="AG27" i="4" s="1"/>
  <c r="BN58" i="4" a="1"/>
  <c r="BN58" i="4" s="1"/>
  <c r="AG37" i="4" a="1"/>
  <c r="AG37" i="4" s="1"/>
  <c r="AG28" i="4" a="1"/>
  <c r="AG28" i="4" s="1"/>
  <c r="AG29" i="4" a="1"/>
  <c r="AG29" i="4" s="1"/>
  <c r="H396" i="24"/>
  <c r="AG61" i="19"/>
  <c r="AF61" i="19"/>
  <c r="J61" i="19"/>
  <c r="N3" i="10"/>
  <c r="AT3" i="10" a="1"/>
  <c r="AT3" i="10" s="1"/>
  <c r="AR3" i="10"/>
  <c r="AY61" i="10"/>
  <c r="R3" i="10"/>
  <c r="AA3" i="10"/>
  <c r="AB3" i="10" s="1"/>
  <c r="E3" i="10"/>
  <c r="AE61" i="19"/>
  <c r="AL3" i="10" a="1"/>
  <c r="AL3" i="10" s="1"/>
  <c r="AK3" i="10" a="1"/>
  <c r="AK3" i="10" s="1"/>
  <c r="J3" i="10"/>
  <c r="Z7" i="16" a="1"/>
  <c r="Z7" i="16" s="1"/>
  <c r="X7" i="16" a="1"/>
  <c r="X7" i="16" s="1"/>
  <c r="AZ61" i="7"/>
  <c r="O1052" i="24" s="1"/>
  <c r="AY61" i="7"/>
  <c r="O1051" i="24" s="1"/>
  <c r="R61" i="7"/>
  <c r="AS61" i="7"/>
  <c r="O970" i="24" s="1"/>
  <c r="AT61" i="7"/>
  <c r="O971" i="24" s="1"/>
  <c r="N61" i="7"/>
  <c r="AJ61" i="7"/>
  <c r="O889" i="24" s="1"/>
  <c r="J61" i="7"/>
  <c r="AK61" i="7"/>
  <c r="O891" i="24"/>
  <c r="AE61" i="7"/>
  <c r="O809" i="24" s="1"/>
  <c r="AD61" i="7"/>
  <c r="O808" i="24" s="1"/>
  <c r="F61" i="7"/>
  <c r="Z4" i="12"/>
  <c r="W623" i="24" s="1"/>
  <c r="I4" i="12"/>
  <c r="BN3" i="4" a="1"/>
  <c r="BN3" i="4" s="1"/>
  <c r="BB3" i="4"/>
  <c r="E3" i="4"/>
  <c r="E3" i="12"/>
  <c r="BM3" i="4"/>
  <c r="BK61" i="4"/>
  <c r="BC3" i="4" a="1"/>
  <c r="BC3" i="4" s="1"/>
  <c r="AR3" i="4" a="1"/>
  <c r="AR3" i="4" s="1"/>
  <c r="AQ3" i="4"/>
  <c r="F15" i="12"/>
  <c r="U15" i="12" a="1"/>
  <c r="U15" i="12" s="1"/>
  <c r="T15" i="12" a="1"/>
  <c r="T15" i="12" s="1"/>
  <c r="H61" i="11"/>
  <c r="T61" i="11"/>
  <c r="U61" i="11"/>
  <c r="P61" i="11"/>
  <c r="E61" i="11"/>
  <c r="O61" i="11"/>
  <c r="AH26" i="16" l="1"/>
  <c r="AJ61" i="10"/>
  <c r="U45" i="12" a="1"/>
  <c r="U45" i="12" s="1"/>
  <c r="AE45" i="12"/>
  <c r="T45" i="12" a="1"/>
  <c r="T45" i="12" s="1"/>
  <c r="F45" i="12"/>
  <c r="AG61" i="16"/>
  <c r="AL26" i="16" a="1"/>
  <c r="AL26" i="16" s="1"/>
  <c r="AE2184" i="24"/>
  <c r="N13" i="28"/>
  <c r="AH3" i="4" a="1"/>
  <c r="AH3" i="4" s="1"/>
  <c r="AE175" i="24"/>
  <c r="E61" i="18"/>
  <c r="I3" i="18" s="1"/>
  <c r="I61" i="18" s="1"/>
  <c r="AE21" i="12"/>
  <c r="AB12" i="12" a="1"/>
  <c r="AB12" i="12" s="1"/>
  <c r="AF12" i="12"/>
  <c r="J12" i="12"/>
  <c r="AP21" i="4"/>
  <c r="AR21" i="4" a="1"/>
  <c r="AR21" i="4" s="1"/>
  <c r="AG38" i="4" a="1"/>
  <c r="AG38" i="4" s="1"/>
  <c r="N19" i="28"/>
  <c r="N6" i="10"/>
  <c r="AE38" i="4"/>
  <c r="AG58" i="4" a="1"/>
  <c r="AG58" i="4" s="1"/>
  <c r="AE58" i="4"/>
  <c r="AS6" i="10" a="1"/>
  <c r="AS6" i="10" s="1"/>
  <c r="AT6" i="10" a="1"/>
  <c r="AT6" i="10" s="1"/>
  <c r="BD35" i="4" a="1"/>
  <c r="BD35" i="4" s="1"/>
  <c r="BA35" i="4"/>
  <c r="AG30" i="4" a="1"/>
  <c r="AG30" i="4" s="1"/>
  <c r="AE30" i="4"/>
  <c r="AG31" i="4" a="1"/>
  <c r="AG31" i="4" s="1"/>
  <c r="AE31" i="4"/>
  <c r="BC18" i="4" a="1"/>
  <c r="BC18" i="4" s="1"/>
  <c r="AE3" i="4"/>
  <c r="AH22" i="16"/>
  <c r="AE2180" i="24"/>
  <c r="AK22" i="16" a="1"/>
  <c r="AK22" i="16" s="1"/>
  <c r="AK61" i="16" s="1"/>
  <c r="AL22" i="16" a="1"/>
  <c r="AL22" i="16" s="1"/>
  <c r="AJ22" i="16" a="1"/>
  <c r="AJ22" i="16" s="1"/>
  <c r="AE360" i="24"/>
  <c r="BA26" i="4"/>
  <c r="BC26" i="4" a="1"/>
  <c r="BC26" i="4" s="1"/>
  <c r="BD26" i="4" a="1"/>
  <c r="BD26" i="4" s="1"/>
  <c r="BD17" i="4" a="1"/>
  <c r="BD17" i="4" s="1"/>
  <c r="J14" i="12"/>
  <c r="AF14" i="12"/>
  <c r="AB14" i="12" a="1"/>
  <c r="AB14" i="12" s="1"/>
  <c r="AC14" i="12" a="1"/>
  <c r="AC14" i="12" s="1"/>
  <c r="AF31" i="4"/>
  <c r="AE203" i="24"/>
  <c r="AG32" i="4" a="1"/>
  <c r="AG32" i="4" s="1"/>
  <c r="AH32" i="4" a="1"/>
  <c r="AH32" i="4" s="1"/>
  <c r="W582" i="24"/>
  <c r="S43" i="12"/>
  <c r="F43" i="12"/>
  <c r="AE43" i="12"/>
  <c r="U43" i="12" a="1"/>
  <c r="U43" i="12" s="1"/>
  <c r="T43" i="12" a="1"/>
  <c r="T43" i="12" s="1"/>
  <c r="AG18" i="4" a="1"/>
  <c r="AG18" i="4" s="1"/>
  <c r="K38" i="28"/>
  <c r="AE18" i="4"/>
  <c r="BM14" i="4"/>
  <c r="BN14" i="4" a="1"/>
  <c r="BN14" i="4" s="1"/>
  <c r="AE348" i="24"/>
  <c r="BB14" i="4"/>
  <c r="BA14" i="4"/>
  <c r="BC14" i="4" a="1"/>
  <c r="BC14" i="4" s="1"/>
  <c r="BD14" i="4" a="1"/>
  <c r="BD14" i="4" s="1"/>
  <c r="AA2493" i="24"/>
  <c r="AC12" i="17"/>
  <c r="AC61" i="17" s="1"/>
  <c r="AF12" i="17" a="1"/>
  <c r="AF12" i="17" s="1"/>
  <c r="AF61" i="17" s="1"/>
  <c r="AI12" i="17"/>
  <c r="AD12" i="17" a="1"/>
  <c r="AD12" i="17" s="1"/>
  <c r="AE12" i="17"/>
  <c r="N60" i="28"/>
  <c r="Y2874" i="24"/>
  <c r="F44" i="18"/>
  <c r="AG44" i="18"/>
  <c r="AG61" i="18" s="1"/>
  <c r="U44" i="18" a="1"/>
  <c r="U44" i="18" s="1"/>
  <c r="T44" i="18" a="1"/>
  <c r="T44" i="18" s="1"/>
  <c r="V44" i="18" a="1"/>
  <c r="V44" i="18" s="1"/>
  <c r="W1158" i="24"/>
  <c r="BD44" i="10"/>
  <c r="F44" i="10"/>
  <c r="AD44" i="10" a="1"/>
  <c r="AD44" i="10" s="1"/>
  <c r="AC44" i="10" a="1"/>
  <c r="AC44" i="10" s="1"/>
  <c r="AF30" i="4"/>
  <c r="AE202" i="24"/>
  <c r="AH45" i="4" a="1"/>
  <c r="AH45" i="4" s="1"/>
  <c r="AG45" i="4" a="1"/>
  <c r="AG45" i="4" s="1"/>
  <c r="AE45" i="4"/>
  <c r="W577" i="24"/>
  <c r="S38" i="12"/>
  <c r="F38" i="12"/>
  <c r="AE38" i="12"/>
  <c r="T38" i="12" a="1"/>
  <c r="T38" i="12" s="1"/>
  <c r="U38" i="12" a="1"/>
  <c r="U38" i="12" s="1"/>
  <c r="AF32" i="4"/>
  <c r="AE204" i="24"/>
  <c r="AB60" i="10"/>
  <c r="AB61" i="10" s="1"/>
  <c r="F60" i="10"/>
  <c r="W1174" i="24"/>
  <c r="BD60" i="10"/>
  <c r="AC60" i="10" a="1"/>
  <c r="AC60" i="10" s="1"/>
  <c r="AD60" i="10" a="1"/>
  <c r="AD60" i="10" s="1"/>
  <c r="W631" i="24"/>
  <c r="AA12" i="12"/>
  <c r="AF21" i="4"/>
  <c r="AR35" i="4" a="1"/>
  <c r="AR35" i="4" s="1"/>
  <c r="AS35" i="4" a="1"/>
  <c r="AS35" i="4" s="1"/>
  <c r="AE274" i="24"/>
  <c r="AQ21" i="4"/>
  <c r="AE276" i="24"/>
  <c r="AQ23" i="4"/>
  <c r="AR23" i="4" a="1"/>
  <c r="AR23" i="4" s="1"/>
  <c r="AS23" i="4" a="1"/>
  <c r="AS23" i="4" s="1"/>
  <c r="AP23" i="4"/>
  <c r="AF38" i="4"/>
  <c r="AE210" i="24"/>
  <c r="AR38" i="4" a="1"/>
  <c r="AR38" i="4" s="1"/>
  <c r="AO61" i="4"/>
  <c r="AE291" i="24"/>
  <c r="AQ38" i="4"/>
  <c r="AS38" i="4" a="1"/>
  <c r="AS38" i="4" s="1"/>
  <c r="AE288" i="24"/>
  <c r="AQ35" i="4"/>
  <c r="AE211" i="24"/>
  <c r="AF39" i="4"/>
  <c r="AG23" i="4" a="1"/>
  <c r="AG23" i="4" s="1"/>
  <c r="AE23" i="4"/>
  <c r="AG46" i="4" a="1"/>
  <c r="AG46" i="4" s="1"/>
  <c r="AE46" i="4"/>
  <c r="AH46" i="4" a="1"/>
  <c r="AH46" i="4" s="1"/>
  <c r="I39" i="7"/>
  <c r="L39" i="28" s="1"/>
  <c r="I38" i="7"/>
  <c r="L38" i="28" s="1"/>
  <c r="K18" i="28"/>
  <c r="F5" i="16"/>
  <c r="AE2122" i="24"/>
  <c r="V46" i="16"/>
  <c r="V61" i="16" s="1"/>
  <c r="W1160" i="24"/>
  <c r="BD46" i="10"/>
  <c r="F46" i="10"/>
  <c r="AD46" i="10" a="1"/>
  <c r="AD46" i="10" s="1"/>
  <c r="AC46" i="10" a="1"/>
  <c r="AC46" i="10" s="1"/>
  <c r="BA18" i="4"/>
  <c r="BB18" i="4"/>
  <c r="W1153" i="24"/>
  <c r="BD39" i="10"/>
  <c r="AC39" i="10" a="1"/>
  <c r="AC39" i="10" s="1"/>
  <c r="F39" i="10"/>
  <c r="AD39" i="10" a="1"/>
  <c r="AD39" i="10" s="1"/>
  <c r="AE39" i="4"/>
  <c r="W1289" i="24"/>
  <c r="AR13" i="10"/>
  <c r="AT13" i="10" a="1"/>
  <c r="AT13" i="10" s="1"/>
  <c r="AS13" i="10" a="1"/>
  <c r="AS13" i="10" s="1"/>
  <c r="N13" i="10"/>
  <c r="BF13" i="10"/>
  <c r="BF12" i="10"/>
  <c r="AS12" i="10" a="1"/>
  <c r="AS12" i="10" s="1"/>
  <c r="N12" i="10"/>
  <c r="AT12" i="10" a="1"/>
  <c r="AT12" i="10" s="1"/>
  <c r="BC56" i="4" a="1"/>
  <c r="BC56" i="4" s="1"/>
  <c r="BD56" i="4" a="1"/>
  <c r="BD56" i="4" s="1"/>
  <c r="AE347" i="24"/>
  <c r="BB13" i="4"/>
  <c r="BC13" i="4" a="1"/>
  <c r="BC13" i="4" s="1"/>
  <c r="BA13" i="4"/>
  <c r="BD13" i="4" a="1"/>
  <c r="BD13" i="4" s="1"/>
  <c r="W1282" i="24"/>
  <c r="AR6" i="10"/>
  <c r="AE215" i="24"/>
  <c r="AH43" i="4" a="1"/>
  <c r="AH43" i="4" s="1"/>
  <c r="AG43" i="4" a="1"/>
  <c r="AG43" i="4" s="1"/>
  <c r="AF23" i="4"/>
  <c r="AE195" i="24"/>
  <c r="BB35" i="4"/>
  <c r="AE369" i="24"/>
  <c r="AH39" i="4" a="1"/>
  <c r="AH39" i="4" s="1"/>
  <c r="AG39" i="4" a="1"/>
  <c r="AG39" i="4" s="1"/>
  <c r="AF18" i="4"/>
  <c r="AE190" i="24"/>
  <c r="W576" i="24"/>
  <c r="S37" i="12"/>
  <c r="F37" i="12"/>
  <c r="U37" i="12" a="1"/>
  <c r="U37" i="12" s="1"/>
  <c r="T37" i="12" a="1"/>
  <c r="T37" i="12" s="1"/>
  <c r="AE37" i="12"/>
  <c r="I12" i="7"/>
  <c r="L12" i="28" s="1"/>
  <c r="I21" i="7"/>
  <c r="L21" i="28" s="1"/>
  <c r="T21" i="12" a="1"/>
  <c r="T21" i="12" s="1"/>
  <c r="F21" i="12"/>
  <c r="D27" i="28"/>
  <c r="BB56" i="4"/>
  <c r="AE390" i="24"/>
  <c r="AG21" i="4" a="1"/>
  <c r="AG21" i="4" s="1"/>
  <c r="AE21" i="4"/>
  <c r="AH21" i="4" a="1"/>
  <c r="AH21" i="4" s="1"/>
  <c r="AG35" i="4" a="1"/>
  <c r="AG35" i="4" s="1"/>
  <c r="AE228" i="24"/>
  <c r="AF56" i="4"/>
  <c r="AE56" i="4"/>
  <c r="AH56" i="4" a="1"/>
  <c r="AH56" i="4" s="1"/>
  <c r="W1295" i="24"/>
  <c r="AR19" i="10"/>
  <c r="AS19" i="10" a="1"/>
  <c r="AS19" i="10" s="1"/>
  <c r="AT19" i="10" a="1"/>
  <c r="AT19" i="10" s="1"/>
  <c r="N19" i="10"/>
  <c r="BF19" i="10"/>
  <c r="AE353" i="24"/>
  <c r="BB19" i="4"/>
  <c r="BC19" i="4" a="1"/>
  <c r="BC19" i="4" s="1"/>
  <c r="BA19" i="4"/>
  <c r="BD19" i="4" a="1"/>
  <c r="BD19" i="4" s="1"/>
  <c r="AE35" i="4"/>
  <c r="AH35" i="4" a="1"/>
  <c r="AH35" i="4" s="1"/>
  <c r="C50" i="28"/>
  <c r="W560" i="24"/>
  <c r="S21" i="12"/>
  <c r="D41" i="28"/>
  <c r="D16" i="28"/>
  <c r="C59" i="28"/>
  <c r="AZ61" i="4"/>
  <c r="BA57" i="4"/>
  <c r="BC57" i="4" a="1"/>
  <c r="BC57" i="4" s="1"/>
  <c r="D47" i="28"/>
  <c r="AE346" i="24"/>
  <c r="BD12" i="4" a="1"/>
  <c r="BD12" i="4" s="1"/>
  <c r="BA12" i="4"/>
  <c r="BC12" i="4" a="1"/>
  <c r="BC12" i="4" s="1"/>
  <c r="AE265" i="24"/>
  <c r="AQ12" i="4"/>
  <c r="AP12" i="4"/>
  <c r="AR12" i="4" a="1"/>
  <c r="AR12" i="4" s="1"/>
  <c r="AS12" i="4" a="1"/>
  <c r="AS12" i="4" s="1"/>
  <c r="AE184" i="24"/>
  <c r="AF12" i="4"/>
  <c r="AE12" i="4"/>
  <c r="AG12" i="4" a="1"/>
  <c r="AG12" i="4" s="1"/>
  <c r="AH12" i="4" a="1"/>
  <c r="AH12" i="4" s="1"/>
  <c r="D38" i="28"/>
  <c r="D53" i="28"/>
  <c r="D26" i="28"/>
  <c r="D13" i="28"/>
  <c r="D54" i="28"/>
  <c r="AE208" i="24"/>
  <c r="AF36" i="4"/>
  <c r="AG44" i="4" a="1"/>
  <c r="AG44" i="4" s="1"/>
  <c r="C4" i="28"/>
  <c r="AE36" i="4"/>
  <c r="AH36" i="4" a="1"/>
  <c r="AH36" i="4" s="1"/>
  <c r="AG36" i="4" a="1"/>
  <c r="AG36" i="4" s="1"/>
  <c r="AE44" i="4"/>
  <c r="AH44" i="4" a="1"/>
  <c r="AH44" i="4" s="1"/>
  <c r="AD61" i="4"/>
  <c r="C51" i="28"/>
  <c r="AJ1162" i="24"/>
  <c r="AJ1133" i="24"/>
  <c r="AJ1147" i="24"/>
  <c r="AJ1159" i="24"/>
  <c r="AJ1163" i="24"/>
  <c r="AJ2542" i="24"/>
  <c r="AJ2516" i="24"/>
  <c r="AJ2529" i="24"/>
  <c r="AJ2496" i="24"/>
  <c r="AJ2522" i="24"/>
  <c r="AJ2495" i="24"/>
  <c r="AJ2518" i="24"/>
  <c r="AJ2492" i="24"/>
  <c r="AJ2523" i="24"/>
  <c r="AJ2503" i="24"/>
  <c r="AJ2521" i="24"/>
  <c r="AJ2507" i="24"/>
  <c r="AJ2486" i="24"/>
  <c r="AJ2519" i="24"/>
  <c r="AJ2505" i="24"/>
  <c r="AJ2541" i="24"/>
  <c r="AJ2491" i="24"/>
  <c r="AJ2504" i="24"/>
  <c r="AJ2535" i="24"/>
  <c r="AJ2513" i="24"/>
  <c r="AJ2526" i="24"/>
  <c r="AJ2490" i="24"/>
  <c r="AJ2515" i="24"/>
  <c r="AJ2498" i="24"/>
  <c r="AJ2506" i="24"/>
  <c r="AJ2497" i="24"/>
  <c r="AJ2512" i="24"/>
  <c r="AJ2533" i="24"/>
  <c r="AJ2527" i="24"/>
  <c r="AJ2530" i="24"/>
  <c r="AJ2500" i="24"/>
  <c r="AJ2511" i="24"/>
  <c r="AJ2537" i="24"/>
  <c r="AJ2531" i="24"/>
  <c r="AJ2525" i="24"/>
  <c r="AJ2509" i="24"/>
  <c r="AJ2528" i="24"/>
  <c r="AJ2536" i="24"/>
  <c r="AJ2508" i="24"/>
  <c r="AJ2540" i="24"/>
  <c r="AJ2485" i="24"/>
  <c r="AJ2524" i="24"/>
  <c r="AJ2510" i="24"/>
  <c r="AJ2514" i="24"/>
  <c r="AJ2499" i="24"/>
  <c r="AJ2494" i="24"/>
  <c r="AJ2532" i="24"/>
  <c r="AJ2488" i="24"/>
  <c r="AJ2493" i="24"/>
  <c r="AJ2517" i="24"/>
  <c r="AJ2520" i="24"/>
  <c r="AJ2502" i="24"/>
  <c r="AJ2501" i="24"/>
  <c r="AJ2534" i="24"/>
  <c r="AJ2489" i="24"/>
  <c r="AJ2539" i="24"/>
  <c r="AJ2538" i="24"/>
  <c r="AJ2484" i="24"/>
  <c r="AJ2487" i="24"/>
  <c r="AJ2460" i="24"/>
  <c r="AJ2402" i="24"/>
  <c r="D11" i="28"/>
  <c r="D14" i="28"/>
  <c r="C5" i="28"/>
  <c r="D58" i="28"/>
  <c r="D32" i="28"/>
  <c r="D39" i="28"/>
  <c r="C8" i="28"/>
  <c r="D6" i="28"/>
  <c r="BB57" i="4"/>
  <c r="AE391" i="24"/>
  <c r="AJ1127" i="24"/>
  <c r="AJ1118" i="24"/>
  <c r="AJ1150" i="24"/>
  <c r="AJ1161" i="24"/>
  <c r="AJ1132" i="24"/>
  <c r="AJ1152" i="24"/>
  <c r="AJ1154" i="24"/>
  <c r="AJ1135" i="24"/>
  <c r="AJ1146" i="24"/>
  <c r="AJ1122" i="24"/>
  <c r="AJ1134" i="24"/>
  <c r="AJ1117" i="24"/>
  <c r="AJ1139" i="24"/>
  <c r="AJ1171" i="24"/>
  <c r="AJ1166" i="24"/>
  <c r="AJ1140" i="24"/>
  <c r="AJ1156" i="24"/>
  <c r="AJ1145" i="24"/>
  <c r="AJ1123" i="24"/>
  <c r="AJ1128" i="24"/>
  <c r="AJ1141" i="24"/>
  <c r="AJ1120" i="24"/>
  <c r="AJ1124" i="24"/>
  <c r="AJ1164" i="24"/>
  <c r="AJ1130" i="24"/>
  <c r="AJ1151" i="24"/>
  <c r="AJ1129" i="24"/>
  <c r="AJ1142" i="24"/>
  <c r="AJ1173" i="24"/>
  <c r="AJ1121" i="24"/>
  <c r="AJ1157" i="24"/>
  <c r="AJ1143" i="24"/>
  <c r="AJ1136" i="24"/>
  <c r="AJ1158" i="24"/>
  <c r="AJ1168" i="24"/>
  <c r="AJ1160" i="24"/>
  <c r="AJ1165" i="24"/>
  <c r="AJ1174" i="24"/>
  <c r="AJ1137" i="24"/>
  <c r="AJ1149" i="24"/>
  <c r="AJ1125" i="24"/>
  <c r="AJ1172" i="24"/>
  <c r="AJ1155" i="24"/>
  <c r="AJ1138" i="24"/>
  <c r="AJ1167" i="24"/>
  <c r="AJ1126" i="24"/>
  <c r="AJ1131" i="24"/>
  <c r="AJ1170" i="24"/>
  <c r="AJ1169" i="24"/>
  <c r="D49" i="28"/>
  <c r="D29" i="28"/>
  <c r="D19" i="28"/>
  <c r="D12" i="28"/>
  <c r="D25" i="28"/>
  <c r="D24" i="28"/>
  <c r="C34" i="28"/>
  <c r="C33" i="28"/>
  <c r="D31" i="28"/>
  <c r="D56" i="28"/>
  <c r="D40" i="28"/>
  <c r="C28" i="28"/>
  <c r="C55" i="28"/>
  <c r="AJ2891" i="24"/>
  <c r="AJ2888" i="24"/>
  <c r="AJ2880" i="24"/>
  <c r="AJ2869" i="24"/>
  <c r="AJ2836" i="24"/>
  <c r="AJ2882" i="24"/>
  <c r="AJ2857" i="24"/>
  <c r="AJ2850" i="24"/>
  <c r="AJ2833" i="24"/>
  <c r="AJ2855" i="24"/>
  <c r="AJ2858" i="24"/>
  <c r="AJ2854" i="24"/>
  <c r="AJ2877" i="24"/>
  <c r="AJ2872" i="24"/>
  <c r="AJ2866" i="24"/>
  <c r="AJ2885" i="24"/>
  <c r="AJ2881" i="24"/>
  <c r="AJ2837" i="24"/>
  <c r="AJ2870" i="24"/>
  <c r="AJ2862" i="24"/>
  <c r="AJ2847" i="24"/>
  <c r="AJ2843" i="24"/>
  <c r="AJ2884" i="24"/>
  <c r="AJ2840" i="24"/>
  <c r="AJ2834" i="24"/>
  <c r="AJ2846" i="24"/>
  <c r="AJ2886" i="24"/>
  <c r="AJ2878" i="24"/>
  <c r="AJ2861" i="24"/>
  <c r="AJ2853" i="24"/>
  <c r="AJ2863" i="24"/>
  <c r="AJ2867" i="24"/>
  <c r="AJ2844" i="24"/>
  <c r="AJ2887" i="24"/>
  <c r="AJ2873" i="24"/>
  <c r="AJ2856" i="24"/>
  <c r="AJ2839" i="24"/>
  <c r="AJ2871" i="24"/>
  <c r="AJ2868" i="24"/>
  <c r="AJ2874" i="24"/>
  <c r="AJ2883" i="24"/>
  <c r="AJ2852" i="24"/>
  <c r="AJ2835" i="24"/>
  <c r="AJ2838" i="24"/>
  <c r="AJ2860" i="24"/>
  <c r="AJ2845" i="24"/>
  <c r="AJ2879" i="24"/>
  <c r="AJ2851" i="24"/>
  <c r="AJ2859" i="24"/>
  <c r="AJ2889" i="24"/>
  <c r="AJ2890" i="24"/>
  <c r="AJ2841" i="24"/>
  <c r="AJ2876" i="24"/>
  <c r="AJ2875" i="24"/>
  <c r="AJ2849" i="24"/>
  <c r="AJ2865" i="24"/>
  <c r="AJ2842" i="24"/>
  <c r="AJ2864" i="24"/>
  <c r="AJ2848" i="24"/>
  <c r="AJ2219" i="24"/>
  <c r="AJ2174" i="24"/>
  <c r="AJ2215" i="24"/>
  <c r="AJ2170" i="24"/>
  <c r="AJ2162" i="24"/>
  <c r="AJ2167" i="24"/>
  <c r="AJ2166" i="24"/>
  <c r="AJ2207" i="24"/>
  <c r="AJ2172" i="24"/>
  <c r="AJ2204" i="24"/>
  <c r="AJ2164" i="24"/>
  <c r="AJ2183" i="24"/>
  <c r="AJ2216" i="24"/>
  <c r="AJ2192" i="24"/>
  <c r="AJ2214" i="24"/>
  <c r="AJ2182" i="24"/>
  <c r="AJ2194" i="24"/>
  <c r="AJ2191" i="24"/>
  <c r="AJ2201" i="24"/>
  <c r="AJ2211" i="24"/>
  <c r="AJ2176" i="24"/>
  <c r="AJ2206" i="24"/>
  <c r="AJ2168" i="24"/>
  <c r="AJ2203" i="24"/>
  <c r="AJ2165" i="24"/>
  <c r="AJ2173" i="24"/>
  <c r="AJ2180" i="24"/>
  <c r="AJ2197" i="24"/>
  <c r="AJ2193" i="24"/>
  <c r="AJ2188" i="24"/>
  <c r="AJ2179" i="24"/>
  <c r="AJ2200" i="24"/>
  <c r="AJ2212" i="24"/>
  <c r="AJ2187" i="24"/>
  <c r="AJ2177" i="24"/>
  <c r="AJ2163" i="24"/>
  <c r="AJ2181" i="24"/>
  <c r="AJ2205" i="24"/>
  <c r="AJ2199" i="24"/>
  <c r="AJ2190" i="24"/>
  <c r="AJ2178" i="24"/>
  <c r="AJ2210" i="24"/>
  <c r="AJ2186" i="24"/>
  <c r="AJ2217" i="24"/>
  <c r="AJ2175" i="24"/>
  <c r="AJ2208" i="24"/>
  <c r="AJ2161" i="24"/>
  <c r="AJ2202" i="24"/>
  <c r="AJ2189" i="24"/>
  <c r="AJ2185" i="24"/>
  <c r="AJ2218" i="24"/>
  <c r="AJ2171" i="24"/>
  <c r="AJ2169" i="24"/>
  <c r="AJ2198" i="24"/>
  <c r="AJ2184" i="24"/>
  <c r="AJ2196" i="24"/>
  <c r="AJ2213" i="24"/>
  <c r="AJ2195" i="24"/>
  <c r="AJ2209" i="24"/>
  <c r="AJ2137" i="24"/>
  <c r="AJ2087" i="24"/>
  <c r="AJ2109" i="24"/>
  <c r="AJ2100" i="24"/>
  <c r="AJ2110" i="24"/>
  <c r="AJ2088" i="24"/>
  <c r="AJ2119" i="24"/>
  <c r="AJ2094" i="24"/>
  <c r="AJ2089" i="24"/>
  <c r="AJ2082" i="24"/>
  <c r="AJ2080" i="24"/>
  <c r="AJ2116" i="24"/>
  <c r="AJ2117" i="24"/>
  <c r="AJ2122" i="24"/>
  <c r="AJ2096" i="24"/>
  <c r="AJ2108" i="24"/>
  <c r="AJ2130" i="24"/>
  <c r="AJ2106" i="24"/>
  <c r="AJ2114" i="24"/>
  <c r="AJ2111" i="24"/>
  <c r="AJ2125" i="24"/>
  <c r="AJ2115" i="24"/>
  <c r="AJ2101" i="24"/>
  <c r="AJ2133" i="24"/>
  <c r="AJ2107" i="24"/>
  <c r="AJ2128" i="24"/>
  <c r="AJ2127" i="24"/>
  <c r="AJ2131" i="24"/>
  <c r="AJ2129" i="24"/>
  <c r="AJ2098" i="24"/>
  <c r="AJ2081" i="24"/>
  <c r="AJ2085" i="24"/>
  <c r="AJ2112" i="24"/>
  <c r="AJ2099" i="24"/>
  <c r="AJ2124" i="24"/>
  <c r="AJ2084" i="24"/>
  <c r="AJ2104" i="24"/>
  <c r="AJ2118" i="24"/>
  <c r="AJ2132" i="24"/>
  <c r="AJ2093" i="24"/>
  <c r="AJ2113" i="24"/>
  <c r="AJ2105" i="24"/>
  <c r="AJ2136" i="24"/>
  <c r="AJ2135" i="24"/>
  <c r="AJ2095" i="24"/>
  <c r="AJ2079" i="24"/>
  <c r="AJ2097" i="24"/>
  <c r="AJ2120" i="24"/>
  <c r="AJ2092" i="24"/>
  <c r="AJ2121" i="24"/>
  <c r="AJ2134" i="24"/>
  <c r="AJ2126" i="24"/>
  <c r="AJ2090" i="24"/>
  <c r="AJ2102" i="24"/>
  <c r="AJ2086" i="24"/>
  <c r="AJ2091" i="24"/>
  <c r="AJ2123" i="24"/>
  <c r="AJ2083" i="24"/>
  <c r="AJ2103" i="24"/>
  <c r="AJ680" i="24"/>
  <c r="AJ626" i="24"/>
  <c r="AJ625" i="24"/>
  <c r="AJ669" i="24"/>
  <c r="AJ676" i="24"/>
  <c r="AJ678" i="24"/>
  <c r="AJ649" i="24"/>
  <c r="AJ643" i="24"/>
  <c r="AJ670" i="24"/>
  <c r="AJ633" i="24"/>
  <c r="AJ660" i="24"/>
  <c r="AJ679" i="24"/>
  <c r="AJ666" i="24"/>
  <c r="AJ651" i="24"/>
  <c r="AJ657" i="24"/>
  <c r="AJ664" i="24"/>
  <c r="AJ653" i="24"/>
  <c r="AJ636" i="24"/>
  <c r="AJ632" i="24"/>
  <c r="AJ642" i="24"/>
  <c r="AJ635" i="24"/>
  <c r="AJ650" i="24"/>
  <c r="AJ640" i="24"/>
  <c r="AJ648" i="24"/>
  <c r="AJ671" i="24"/>
  <c r="AJ658" i="24"/>
  <c r="AJ634" i="24"/>
  <c r="AJ637" i="24"/>
  <c r="AJ639" i="24"/>
  <c r="AJ641" i="24"/>
  <c r="AJ659" i="24"/>
  <c r="AJ663" i="24"/>
  <c r="AJ668" i="24"/>
  <c r="AJ667" i="24"/>
  <c r="AJ645" i="24"/>
  <c r="AJ623" i="24"/>
  <c r="AJ673" i="24"/>
  <c r="AJ655" i="24"/>
  <c r="AJ654" i="24"/>
  <c r="AJ630" i="24"/>
  <c r="AJ631" i="24"/>
  <c r="AJ665" i="24"/>
  <c r="AJ674" i="24"/>
  <c r="AJ638" i="24"/>
  <c r="AJ644" i="24"/>
  <c r="AJ628" i="24"/>
  <c r="AJ627" i="24"/>
  <c r="AJ652" i="24"/>
  <c r="AJ647" i="24"/>
  <c r="AJ672" i="24"/>
  <c r="AJ629" i="24"/>
  <c r="AJ624" i="24"/>
  <c r="AJ656" i="24"/>
  <c r="AJ646" i="24"/>
  <c r="AJ677" i="24"/>
  <c r="AJ661" i="24"/>
  <c r="AJ675" i="24"/>
  <c r="AJ662" i="24"/>
  <c r="AJ622" i="24"/>
  <c r="AJ600" i="24"/>
  <c r="AJ590" i="24"/>
  <c r="AJ578" i="24"/>
  <c r="AJ566" i="24"/>
  <c r="AJ554" i="24"/>
  <c r="AJ564" i="24"/>
  <c r="AJ551" i="24"/>
  <c r="AJ550" i="24"/>
  <c r="AJ589" i="24"/>
  <c r="AJ577" i="24"/>
  <c r="AJ565" i="24"/>
  <c r="AJ553" i="24"/>
  <c r="AJ576" i="24"/>
  <c r="AJ552" i="24"/>
  <c r="AJ574" i="24"/>
  <c r="AJ588" i="24"/>
  <c r="AJ599" i="24"/>
  <c r="AJ587" i="24"/>
  <c r="AJ575" i="24"/>
  <c r="AJ563" i="24"/>
  <c r="AJ562" i="24"/>
  <c r="AJ549" i="24"/>
  <c r="AJ598" i="24"/>
  <c r="AJ586" i="24"/>
  <c r="AJ561" i="24"/>
  <c r="AJ597" i="24"/>
  <c r="AJ585" i="24"/>
  <c r="AJ573" i="24"/>
  <c r="AJ596" i="24"/>
  <c r="AJ584" i="24"/>
  <c r="AJ572" i="24"/>
  <c r="AJ560" i="24"/>
  <c r="AJ548" i="24"/>
  <c r="AJ557" i="24"/>
  <c r="AJ595" i="24"/>
  <c r="AJ583" i="24"/>
  <c r="AJ571" i="24"/>
  <c r="AJ559" i="24"/>
  <c r="AJ547" i="24"/>
  <c r="AJ581" i="24"/>
  <c r="AJ545" i="24"/>
  <c r="AJ594" i="24"/>
  <c r="AJ582" i="24"/>
  <c r="AJ570" i="24"/>
  <c r="AJ558" i="24"/>
  <c r="AJ546" i="24"/>
  <c r="AJ569" i="24"/>
  <c r="AJ593" i="24"/>
  <c r="AJ592" i="24"/>
  <c r="AJ580" i="24"/>
  <c r="AJ568" i="24"/>
  <c r="AJ544" i="24"/>
  <c r="AJ591" i="24"/>
  <c r="AJ579" i="24"/>
  <c r="AJ567" i="24"/>
  <c r="AJ555" i="24"/>
  <c r="AJ543" i="24"/>
  <c r="AJ556" i="24"/>
  <c r="AJ542" i="24"/>
  <c r="M4" i="28"/>
  <c r="D43" i="28"/>
  <c r="D10" i="28"/>
  <c r="C10" i="28"/>
  <c r="D45" i="28"/>
  <c r="C48" i="28"/>
  <c r="D48" i="28"/>
  <c r="D7" i="28"/>
  <c r="C7" i="28"/>
  <c r="C42" i="28"/>
  <c r="D42" i="28"/>
  <c r="D46" i="28"/>
  <c r="D21" i="28"/>
  <c r="D52" i="28"/>
  <c r="C52" i="28"/>
  <c r="D37" i="28"/>
  <c r="I1560" i="24"/>
  <c r="I3" i="28" a="1"/>
  <c r="I3" i="28" s="1"/>
  <c r="O3" i="28"/>
  <c r="R4" i="10"/>
  <c r="R61" i="10" s="1"/>
  <c r="W1361" i="24"/>
  <c r="AJ1175" i="24"/>
  <c r="AJ1119" i="24"/>
  <c r="AJ1148" i="24"/>
  <c r="E61" i="10"/>
  <c r="AJ1144" i="24"/>
  <c r="AJ314" i="24"/>
  <c r="AJ256" i="24"/>
  <c r="AJ283" i="24"/>
  <c r="AJ285" i="24"/>
  <c r="AJ313" i="24"/>
  <c r="AJ310" i="24"/>
  <c r="AJ279" i="24"/>
  <c r="AJ287" i="24"/>
  <c r="AJ295" i="24"/>
  <c r="AJ309" i="24"/>
  <c r="AJ268" i="24"/>
  <c r="AJ278" i="24"/>
  <c r="AJ312" i="24"/>
  <c r="AJ281" i="24"/>
  <c r="AJ302" i="24"/>
  <c r="AJ257" i="24"/>
  <c r="AJ274" i="24"/>
  <c r="AJ293" i="24"/>
  <c r="AJ262" i="24"/>
  <c r="AJ305" i="24"/>
  <c r="AJ259" i="24"/>
  <c r="AJ269" i="24"/>
  <c r="AJ267" i="24"/>
  <c r="AJ271" i="24"/>
  <c r="AJ282" i="24"/>
  <c r="AJ292" i="24"/>
  <c r="AJ286" i="24"/>
  <c r="AJ291" i="24"/>
  <c r="AJ284" i="24"/>
  <c r="AJ261" i="24"/>
  <c r="AJ294" i="24"/>
  <c r="AJ304" i="24"/>
  <c r="AJ276" i="24"/>
  <c r="AJ303" i="24"/>
  <c r="AJ296" i="24"/>
  <c r="AJ275" i="24"/>
  <c r="AJ306" i="24"/>
  <c r="AJ288" i="24"/>
  <c r="AJ297" i="24"/>
  <c r="AJ308" i="24"/>
  <c r="AJ299" i="24"/>
  <c r="AJ273" i="24"/>
  <c r="AJ300" i="24"/>
  <c r="AJ263" i="24"/>
  <c r="AJ260" i="24"/>
  <c r="AJ311" i="24"/>
  <c r="AJ277" i="24"/>
  <c r="AJ290" i="24"/>
  <c r="AJ264" i="24"/>
  <c r="AJ258" i="24"/>
  <c r="AJ307" i="24"/>
  <c r="AJ289" i="24"/>
  <c r="AJ265" i="24"/>
  <c r="AJ298" i="24"/>
  <c r="AJ270" i="24"/>
  <c r="AJ272" i="24"/>
  <c r="AJ301" i="24"/>
  <c r="AJ266" i="24"/>
  <c r="AJ280" i="24"/>
  <c r="AJ233" i="24"/>
  <c r="AJ176" i="24"/>
  <c r="AJ212" i="24"/>
  <c r="AJ196" i="24"/>
  <c r="AJ232" i="24"/>
  <c r="AJ213" i="24"/>
  <c r="AJ179" i="24"/>
  <c r="AJ215" i="24"/>
  <c r="AJ199" i="24"/>
  <c r="AJ177" i="24"/>
  <c r="AJ216" i="24"/>
  <c r="AJ182" i="24"/>
  <c r="AJ218" i="24"/>
  <c r="AJ202" i="24"/>
  <c r="AJ180" i="24"/>
  <c r="AJ219" i="24"/>
  <c r="AJ185" i="24"/>
  <c r="AJ221" i="24"/>
  <c r="AJ205" i="24"/>
  <c r="AJ183" i="24"/>
  <c r="AJ222" i="24"/>
  <c r="AJ188" i="24"/>
  <c r="AJ224" i="24"/>
  <c r="AJ208" i="24"/>
  <c r="AJ186" i="24"/>
  <c r="AJ225" i="24"/>
  <c r="AJ175" i="24"/>
  <c r="AJ191" i="24"/>
  <c r="AJ227" i="24"/>
  <c r="AJ211" i="24"/>
  <c r="AJ189" i="24"/>
  <c r="AJ228" i="24"/>
  <c r="AJ194" i="24"/>
  <c r="AJ230" i="24"/>
  <c r="AJ214" i="24"/>
  <c r="AJ195" i="24"/>
  <c r="AJ231" i="24"/>
  <c r="AJ197" i="24"/>
  <c r="AJ178" i="24"/>
  <c r="AJ217" i="24"/>
  <c r="AJ198" i="24"/>
  <c r="AJ192" i="24"/>
  <c r="AJ200" i="24"/>
  <c r="AJ181" i="24"/>
  <c r="AJ220" i="24"/>
  <c r="AJ201" i="24"/>
  <c r="AJ193" i="24"/>
  <c r="AJ203" i="24"/>
  <c r="AJ184" i="24"/>
  <c r="AJ223" i="24"/>
  <c r="AJ204" i="24"/>
  <c r="AJ206" i="24"/>
  <c r="AJ187" i="24"/>
  <c r="AJ226" i="24"/>
  <c r="AJ207" i="24"/>
  <c r="AJ209" i="24"/>
  <c r="AJ190" i="24"/>
  <c r="AJ229" i="24"/>
  <c r="AJ210" i="24"/>
  <c r="AJ1291" i="24"/>
  <c r="AJ1332" i="24"/>
  <c r="AJ1287" i="24"/>
  <c r="AJ1328" i="24"/>
  <c r="AJ1284" i="24"/>
  <c r="AJ1300" i="24"/>
  <c r="AJ1299" i="24"/>
  <c r="AJ1312" i="24"/>
  <c r="AJ1315" i="24"/>
  <c r="AJ1311" i="24"/>
  <c r="AJ1324" i="24"/>
  <c r="AJ1323" i="24"/>
  <c r="AJ1336" i="24"/>
  <c r="AJ1314" i="24"/>
  <c r="AJ1335" i="24"/>
  <c r="AJ1289" i="24"/>
  <c r="AJ1296" i="24"/>
  <c r="AJ1301" i="24"/>
  <c r="AJ1320" i="24"/>
  <c r="AJ1327" i="24"/>
  <c r="AJ1313" i="24"/>
  <c r="AJ1280" i="24"/>
  <c r="AJ1290" i="24"/>
  <c r="AJ1304" i="24"/>
  <c r="AJ1325" i="24"/>
  <c r="AJ1292" i="24"/>
  <c r="AJ1302" i="24"/>
  <c r="AJ1303" i="24"/>
  <c r="AJ1308" i="24"/>
  <c r="AJ1316" i="24"/>
  <c r="AJ1326" i="24"/>
  <c r="AJ1288" i="24"/>
  <c r="AJ1310" i="24"/>
  <c r="AJ1294" i="24"/>
  <c r="AJ1317" i="24"/>
  <c r="AJ1305" i="24"/>
  <c r="AJ1298" i="24"/>
  <c r="AJ1286" i="24"/>
  <c r="AJ1283" i="24"/>
  <c r="AJ1281" i="24"/>
  <c r="AJ1321" i="24"/>
  <c r="AJ1331" i="24"/>
  <c r="AJ1282" i="24"/>
  <c r="AJ1330" i="24"/>
  <c r="AJ1293" i="24"/>
  <c r="AJ1334" i="24"/>
  <c r="AJ1329" i="24"/>
  <c r="AJ1319" i="24"/>
  <c r="AJ1309" i="24"/>
  <c r="AJ1306" i="24"/>
  <c r="AJ1318" i="24"/>
  <c r="AJ1297" i="24"/>
  <c r="AJ1307" i="24"/>
  <c r="AJ1285" i="24"/>
  <c r="AJ1295" i="24"/>
  <c r="AJ1333" i="24"/>
  <c r="AJ1322" i="24"/>
  <c r="AJ1249" i="24"/>
  <c r="AJ1246" i="24"/>
  <c r="AJ1245" i="24"/>
  <c r="AJ1213" i="24"/>
  <c r="AJ1256" i="24"/>
  <c r="AJ1225" i="24"/>
  <c r="AJ1199" i="24"/>
  <c r="AJ1217" i="24"/>
  <c r="AJ1240" i="24"/>
  <c r="AJ1224" i="24"/>
  <c r="AJ1232" i="24"/>
  <c r="AJ1208" i="24"/>
  <c r="AJ1216" i="24"/>
  <c r="AJ1231" i="24"/>
  <c r="AJ1243" i="24"/>
  <c r="AJ1207" i="24"/>
  <c r="AJ1244" i="24"/>
  <c r="AJ1253" i="24"/>
  <c r="AJ1227" i="24"/>
  <c r="AJ1234" i="24"/>
  <c r="AJ1205" i="24"/>
  <c r="AJ1210" i="24"/>
  <c r="AJ1250" i="24"/>
  <c r="AJ1238" i="24"/>
  <c r="AJ1212" i="24"/>
  <c r="AJ1233" i="24"/>
  <c r="AJ1255" i="24"/>
  <c r="AJ1229" i="24"/>
  <c r="AJ1241" i="24"/>
  <c r="AJ1254" i="24"/>
  <c r="AJ1215" i="24"/>
  <c r="AJ1236" i="24"/>
  <c r="AJ1206" i="24"/>
  <c r="AJ1251" i="24"/>
  <c r="AJ1230" i="24"/>
  <c r="AJ1219" i="24"/>
  <c r="AJ1223" i="24"/>
  <c r="AJ1247" i="24"/>
  <c r="AJ1252" i="24"/>
  <c r="AJ1211" i="24"/>
  <c r="AJ1248" i="24"/>
  <c r="AJ1218" i="24"/>
  <c r="AJ1214" i="24"/>
  <c r="AJ1204" i="24"/>
  <c r="AJ1242" i="24"/>
  <c r="AJ1222" i="24"/>
  <c r="AJ1235" i="24"/>
  <c r="AJ1202" i="24"/>
  <c r="AJ1209" i="24"/>
  <c r="AJ1228" i="24"/>
  <c r="AJ1203" i="24"/>
  <c r="AJ1201" i="24"/>
  <c r="AJ1226" i="24"/>
  <c r="AJ1239" i="24"/>
  <c r="AJ1200" i="24"/>
  <c r="AJ1237" i="24"/>
  <c r="AJ1221" i="24"/>
  <c r="AJ1220" i="24"/>
  <c r="BG4" i="10"/>
  <c r="BG61" i="10" s="1"/>
  <c r="AI61" i="10"/>
  <c r="AK4" i="10" a="1"/>
  <c r="AK4" i="10" s="1"/>
  <c r="AK61" i="10" s="1"/>
  <c r="AL4" i="10" a="1"/>
  <c r="AL4" i="10" s="1"/>
  <c r="AL61" i="10" s="1"/>
  <c r="BE4" i="10"/>
  <c r="J4" i="10"/>
  <c r="BB61" i="10"/>
  <c r="BF4" i="10"/>
  <c r="N4" i="10"/>
  <c r="AT4" i="10" a="1"/>
  <c r="AT4" i="10" s="1"/>
  <c r="AQ61" i="10"/>
  <c r="I4" i="7"/>
  <c r="L4" i="28" s="1"/>
  <c r="I23" i="7"/>
  <c r="AJ1418" i="24"/>
  <c r="AJ1360" i="24"/>
  <c r="AJ1337" i="24"/>
  <c r="AJ1279" i="24"/>
  <c r="AJ1198" i="24"/>
  <c r="I3" i="7"/>
  <c r="AA3" i="12"/>
  <c r="I4" i="10"/>
  <c r="AR4" i="10"/>
  <c r="AZ61" i="10"/>
  <c r="BA61" i="10"/>
  <c r="AS4" i="10" a="1"/>
  <c r="AS4" i="10" s="1"/>
  <c r="F10" i="17"/>
  <c r="F44" i="17"/>
  <c r="F20" i="17"/>
  <c r="F23" i="17"/>
  <c r="F24" i="17"/>
  <c r="F48" i="17"/>
  <c r="F25" i="17"/>
  <c r="F3" i="17"/>
  <c r="F60" i="17"/>
  <c r="F13" i="17"/>
  <c r="F35" i="17"/>
  <c r="F37" i="17"/>
  <c r="F12" i="17"/>
  <c r="F52" i="17"/>
  <c r="F39" i="17"/>
  <c r="F38" i="17"/>
  <c r="F26" i="17"/>
  <c r="F49" i="17"/>
  <c r="F36" i="17"/>
  <c r="E61" i="17"/>
  <c r="I3" i="17" s="1"/>
  <c r="J59" i="17" s="1"/>
  <c r="F9" i="17"/>
  <c r="F7" i="17"/>
  <c r="F11" i="17"/>
  <c r="F22" i="17"/>
  <c r="F45" i="17"/>
  <c r="F43" i="17"/>
  <c r="F21" i="17"/>
  <c r="F58" i="17"/>
  <c r="F34" i="17"/>
  <c r="F59" i="17"/>
  <c r="F8" i="17"/>
  <c r="F57" i="17"/>
  <c r="F28" i="17"/>
  <c r="F14" i="17"/>
  <c r="F15" i="17"/>
  <c r="F17" i="17"/>
  <c r="F19" i="17"/>
  <c r="F29" i="17"/>
  <c r="F6" i="17"/>
  <c r="F4" i="17"/>
  <c r="F51" i="17"/>
  <c r="F18" i="17"/>
  <c r="F55" i="17"/>
  <c r="F56" i="17"/>
  <c r="F53" i="17"/>
  <c r="F42" i="17"/>
  <c r="F40" i="17"/>
  <c r="F54" i="17"/>
  <c r="F47" i="17"/>
  <c r="F30" i="17"/>
  <c r="F41" i="17"/>
  <c r="F33" i="17"/>
  <c r="F32" i="17"/>
  <c r="F50" i="17"/>
  <c r="F16" i="17"/>
  <c r="F27" i="17"/>
  <c r="BM61" i="4"/>
  <c r="AF5" i="12"/>
  <c r="AA5" i="12"/>
  <c r="AB5" i="12" a="1"/>
  <c r="AB5" i="12" s="1"/>
  <c r="AC5" i="12" a="1"/>
  <c r="AC5" i="12" s="1"/>
  <c r="J5" i="12"/>
  <c r="T5" i="12" a="1"/>
  <c r="T5" i="12" s="1"/>
  <c r="U5" i="12" a="1"/>
  <c r="U5" i="12" s="1"/>
  <c r="F5" i="12"/>
  <c r="AE5" i="12"/>
  <c r="S5" i="12"/>
  <c r="F32" i="16"/>
  <c r="F42" i="16"/>
  <c r="F36" i="16"/>
  <c r="F27" i="16"/>
  <c r="F6" i="16"/>
  <c r="F37" i="16"/>
  <c r="F24" i="16"/>
  <c r="F12" i="16"/>
  <c r="F50" i="16"/>
  <c r="F16" i="16"/>
  <c r="F46" i="16"/>
  <c r="F25" i="16"/>
  <c r="F3" i="16"/>
  <c r="F47" i="16"/>
  <c r="F7" i="16"/>
  <c r="F59" i="16"/>
  <c r="F45" i="16"/>
  <c r="F14" i="16"/>
  <c r="F18" i="16"/>
  <c r="F43" i="16"/>
  <c r="F17" i="16"/>
  <c r="F34" i="16"/>
  <c r="F56" i="16"/>
  <c r="F10" i="16"/>
  <c r="F38" i="16"/>
  <c r="F28" i="16"/>
  <c r="F58" i="16"/>
  <c r="F33" i="16"/>
  <c r="F15" i="16"/>
  <c r="F52" i="16"/>
  <c r="F60" i="16"/>
  <c r="F29" i="16"/>
  <c r="F53" i="16"/>
  <c r="F26" i="16"/>
  <c r="F35" i="16"/>
  <c r="F19" i="16"/>
  <c r="F54" i="16"/>
  <c r="F48" i="16"/>
  <c r="F49" i="16"/>
  <c r="F11" i="16"/>
  <c r="F51" i="16"/>
  <c r="F8" i="16"/>
  <c r="F4" i="16"/>
  <c r="F44" i="16"/>
  <c r="F22" i="16"/>
  <c r="F40" i="16"/>
  <c r="F31" i="16"/>
  <c r="F9" i="16"/>
  <c r="F21" i="16"/>
  <c r="F30" i="16"/>
  <c r="F57" i="16"/>
  <c r="E61" i="16"/>
  <c r="F20" i="16"/>
  <c r="F41" i="16"/>
  <c r="F13" i="16"/>
  <c r="F23" i="16"/>
  <c r="F39" i="16"/>
  <c r="F55" i="16"/>
  <c r="F4" i="10"/>
  <c r="AD4" i="10" a="1"/>
  <c r="AD4" i="10" s="1"/>
  <c r="W1118" i="24"/>
  <c r="AC4" i="10" a="1"/>
  <c r="AC4" i="10" s="1"/>
  <c r="BD4" i="10"/>
  <c r="F31" i="17"/>
  <c r="F46" i="17"/>
  <c r="BL61" i="4"/>
  <c r="AC3" i="12" a="1"/>
  <c r="AC3" i="12" s="1"/>
  <c r="J3" i="12"/>
  <c r="AH61" i="18"/>
  <c r="AE61" i="17"/>
  <c r="AD61" i="17"/>
  <c r="AI61" i="17"/>
  <c r="U61" i="17"/>
  <c r="AH61" i="17"/>
  <c r="V61" i="17"/>
  <c r="W61" i="17"/>
  <c r="AB3" i="12" a="1"/>
  <c r="AB3" i="12" s="1"/>
  <c r="AF3" i="12"/>
  <c r="Z61" i="12"/>
  <c r="AF4" i="12"/>
  <c r="E61" i="12"/>
  <c r="I18" i="12" s="1"/>
  <c r="M18" i="28" s="1"/>
  <c r="F3" i="12"/>
  <c r="AE3" i="12"/>
  <c r="F3" i="18"/>
  <c r="F61" i="18" s="1"/>
  <c r="S3" i="18"/>
  <c r="S61" i="18" s="1"/>
  <c r="U3" i="18" a="1"/>
  <c r="U3" i="18" s="1"/>
  <c r="V3" i="18" a="1"/>
  <c r="V3" i="18" s="1"/>
  <c r="V61" i="18" s="1"/>
  <c r="R61" i="18"/>
  <c r="T3" i="18" a="1"/>
  <c r="T3" i="18" s="1"/>
  <c r="BE61" i="10"/>
  <c r="AC3" i="10" a="1"/>
  <c r="AC3" i="10" s="1"/>
  <c r="BD3" i="10"/>
  <c r="J61" i="18"/>
  <c r="AE61" i="18"/>
  <c r="AD61" i="18"/>
  <c r="AC61" i="18"/>
  <c r="J61" i="10"/>
  <c r="AJ61" i="16"/>
  <c r="AL61" i="16"/>
  <c r="AH61" i="16"/>
  <c r="X61" i="16"/>
  <c r="Y61" i="16"/>
  <c r="BO61" i="4"/>
  <c r="Z61" i="16"/>
  <c r="BN61" i="4"/>
  <c r="W1117" i="24"/>
  <c r="AA61" i="10"/>
  <c r="AD3" i="10" a="1"/>
  <c r="AD3" i="10" s="1"/>
  <c r="I3" i="10"/>
  <c r="F3" i="10"/>
  <c r="O977" i="24"/>
  <c r="O890" i="24"/>
  <c r="O896" i="24" s="1"/>
  <c r="O1058" i="24"/>
  <c r="O815" i="24"/>
  <c r="AA4" i="12"/>
  <c r="AB4" i="12" a="1"/>
  <c r="AB4" i="12" s="1"/>
  <c r="J4" i="12"/>
  <c r="AC4" i="12" a="1"/>
  <c r="AC4" i="12" s="1"/>
  <c r="S3" i="12"/>
  <c r="U3" i="12" a="1"/>
  <c r="U3" i="12" s="1"/>
  <c r="T3" i="12" a="1"/>
  <c r="T3" i="12" s="1"/>
  <c r="W542" i="24"/>
  <c r="R61" i="12"/>
  <c r="T61" i="18" l="1"/>
  <c r="AP61" i="4"/>
  <c r="U61" i="18"/>
  <c r="BF61" i="10"/>
  <c r="AS61" i="10"/>
  <c r="AR61" i="10"/>
  <c r="N61" i="10"/>
  <c r="AR61" i="4"/>
  <c r="AS61" i="4"/>
  <c r="AQ61" i="4"/>
  <c r="BC61" i="4"/>
  <c r="BA61" i="4"/>
  <c r="BD61" i="4"/>
  <c r="AT61" i="10"/>
  <c r="BB61" i="4"/>
  <c r="AF61" i="4"/>
  <c r="AG61" i="4"/>
  <c r="AE61" i="4"/>
  <c r="AH61" i="4"/>
  <c r="B3" i="28"/>
  <c r="I3" i="16"/>
  <c r="I4" i="16"/>
  <c r="U61" i="12"/>
  <c r="I61" i="7"/>
  <c r="M18" i="7" s="1"/>
  <c r="I61" i="10"/>
  <c r="M4" i="10" s="1"/>
  <c r="N4" i="28" s="1"/>
  <c r="AA61" i="12"/>
  <c r="AC61" i="10"/>
  <c r="T61" i="12"/>
  <c r="J53" i="17"/>
  <c r="J27" i="17"/>
  <c r="J33" i="17"/>
  <c r="J16" i="17"/>
  <c r="J37" i="17"/>
  <c r="J35" i="17"/>
  <c r="J5" i="17"/>
  <c r="J57" i="17"/>
  <c r="J51" i="17"/>
  <c r="J26" i="17"/>
  <c r="J23" i="17"/>
  <c r="J25" i="17"/>
  <c r="J7" i="17"/>
  <c r="J10" i="17"/>
  <c r="J55" i="17"/>
  <c r="J14" i="17"/>
  <c r="J45" i="17"/>
  <c r="J8" i="17"/>
  <c r="J52" i="17"/>
  <c r="J31" i="17"/>
  <c r="J49" i="17"/>
  <c r="J24" i="17"/>
  <c r="J38" i="17"/>
  <c r="J32" i="17"/>
  <c r="J42" i="17"/>
  <c r="J11" i="17"/>
  <c r="J30" i="17"/>
  <c r="J47" i="17"/>
  <c r="J40" i="17"/>
  <c r="J15" i="17"/>
  <c r="J50" i="17"/>
  <c r="J46" i="17"/>
  <c r="J20" i="17"/>
  <c r="J12" i="17"/>
  <c r="J54" i="17"/>
  <c r="J56" i="17"/>
  <c r="J41" i="17"/>
  <c r="J9" i="17"/>
  <c r="J44" i="17"/>
  <c r="J18" i="17"/>
  <c r="J19" i="17"/>
  <c r="J60" i="17"/>
  <c r="J34" i="17"/>
  <c r="J39" i="17"/>
  <c r="J17" i="17"/>
  <c r="J58" i="17"/>
  <c r="J21" i="17"/>
  <c r="J29" i="17"/>
  <c r="J43" i="17"/>
  <c r="J13" i="17"/>
  <c r="J28" i="17"/>
  <c r="J48" i="17"/>
  <c r="J3" i="17"/>
  <c r="J6" i="17"/>
  <c r="I61" i="17"/>
  <c r="J36" i="17"/>
  <c r="F61" i="17"/>
  <c r="J22" i="17"/>
  <c r="J4" i="17"/>
  <c r="AC61" i="12"/>
  <c r="S61" i="12"/>
  <c r="AE61" i="12"/>
  <c r="F61" i="12"/>
  <c r="I3" i="12"/>
  <c r="M3" i="28" s="1"/>
  <c r="I5" i="12"/>
  <c r="M5" i="28" s="1"/>
  <c r="J61" i="12"/>
  <c r="F61" i="10"/>
  <c r="F61" i="16"/>
  <c r="O407" i="24"/>
  <c r="AD61" i="10"/>
  <c r="BD61" i="10"/>
  <c r="AB61" i="12"/>
  <c r="O692" i="24" s="1"/>
  <c r="AF61" i="12"/>
  <c r="M3" i="10"/>
  <c r="C17" i="28" l="1"/>
  <c r="C9" i="28"/>
  <c r="C14" i="28"/>
  <c r="C15" i="28"/>
  <c r="C6" i="28"/>
  <c r="C13" i="28"/>
  <c r="C18" i="28"/>
  <c r="C19" i="28"/>
  <c r="C12" i="28"/>
  <c r="M61" i="10"/>
  <c r="Q3" i="10" s="1"/>
  <c r="M61" i="28"/>
  <c r="C3" i="28"/>
  <c r="D3" i="28"/>
  <c r="N3" i="28"/>
  <c r="N61" i="28" s="1"/>
  <c r="J11" i="16"/>
  <c r="J44" i="16"/>
  <c r="J45" i="16"/>
  <c r="J38" i="16"/>
  <c r="J42" i="16"/>
  <c r="J36" i="16"/>
  <c r="J32" i="16"/>
  <c r="J17" i="16"/>
  <c r="J7" i="16"/>
  <c r="J43" i="16"/>
  <c r="J59" i="16"/>
  <c r="J33" i="16"/>
  <c r="J5" i="16"/>
  <c r="J41" i="16"/>
  <c r="J49" i="16"/>
  <c r="J8" i="16"/>
  <c r="J12" i="16"/>
  <c r="J58" i="16"/>
  <c r="J18" i="16"/>
  <c r="J10" i="16"/>
  <c r="J23" i="16"/>
  <c r="J55" i="16"/>
  <c r="J56" i="16"/>
  <c r="J25" i="16"/>
  <c r="J14" i="16"/>
  <c r="J19" i="16"/>
  <c r="J47" i="16"/>
  <c r="J29" i="16"/>
  <c r="J51" i="16"/>
  <c r="J53" i="16"/>
  <c r="J9" i="16"/>
  <c r="J48" i="16"/>
  <c r="J39" i="16"/>
  <c r="J20" i="16"/>
  <c r="J37" i="16"/>
  <c r="J50" i="16"/>
  <c r="J16" i="16"/>
  <c r="J27" i="16"/>
  <c r="J3" i="16"/>
  <c r="J13" i="16"/>
  <c r="J21" i="16"/>
  <c r="J26" i="16"/>
  <c r="J52" i="16"/>
  <c r="J40" i="16"/>
  <c r="J6" i="16"/>
  <c r="J54" i="16"/>
  <c r="J31" i="16"/>
  <c r="I61" i="16"/>
  <c r="J15" i="16"/>
  <c r="J60" i="16"/>
  <c r="J34" i="16"/>
  <c r="J57" i="16"/>
  <c r="J4" i="16"/>
  <c r="J24" i="16"/>
  <c r="J35" i="16"/>
  <c r="J46" i="16"/>
  <c r="J22" i="16"/>
  <c r="J28" i="16"/>
  <c r="J30" i="16"/>
  <c r="M3" i="7"/>
  <c r="M23" i="7"/>
  <c r="Q4" i="10"/>
  <c r="J61" i="17"/>
  <c r="I61" i="12"/>
  <c r="Q61" i="10" l="1"/>
  <c r="J61" i="16"/>
  <c r="M61" i="7"/>
  <c r="Q14" i="7" s="1"/>
  <c r="L14" i="28" s="1"/>
  <c r="O245" i="24"/>
  <c r="E21" i="4"/>
  <c r="Q18" i="7" l="1"/>
  <c r="L18" i="28" s="1"/>
  <c r="Q57" i="7"/>
  <c r="L57" i="28" s="1"/>
  <c r="F32" i="4"/>
  <c r="Q3" i="7"/>
  <c r="L3" i="28" s="1"/>
  <c r="F58" i="4"/>
  <c r="F10" i="4"/>
  <c r="F14" i="4"/>
  <c r="F46" i="4"/>
  <c r="F59" i="4"/>
  <c r="F54" i="4"/>
  <c r="F37" i="4"/>
  <c r="F28" i="4"/>
  <c r="F50" i="4"/>
  <c r="F43" i="4"/>
  <c r="F30" i="4"/>
  <c r="F31" i="4"/>
  <c r="F33" i="4"/>
  <c r="F52" i="4"/>
  <c r="F4" i="4"/>
  <c r="F25" i="4"/>
  <c r="F34" i="4"/>
  <c r="F13" i="4"/>
  <c r="F24" i="4"/>
  <c r="F49" i="4"/>
  <c r="F35" i="4"/>
  <c r="F57" i="4"/>
  <c r="F12" i="4"/>
  <c r="F55" i="4"/>
  <c r="F17" i="4"/>
  <c r="F26" i="4"/>
  <c r="F44" i="4"/>
  <c r="F11" i="4"/>
  <c r="F15" i="4"/>
  <c r="F3" i="4"/>
  <c r="F40" i="4"/>
  <c r="F23" i="4"/>
  <c r="F56" i="4"/>
  <c r="F22" i="4"/>
  <c r="F47" i="4"/>
  <c r="F51" i="4"/>
  <c r="F48" i="4"/>
  <c r="F45" i="4"/>
  <c r="F39" i="4"/>
  <c r="E61" i="4"/>
  <c r="F60" i="4"/>
  <c r="F16" i="4"/>
  <c r="F38" i="4"/>
  <c r="F53" i="4"/>
  <c r="F36" i="4"/>
  <c r="F29" i="4"/>
  <c r="F21" i="4"/>
  <c r="F9" i="4"/>
  <c r="F7" i="4"/>
  <c r="F6" i="4"/>
  <c r="F42" i="4"/>
  <c r="F5" i="4"/>
  <c r="F41" i="4"/>
  <c r="F8" i="4"/>
  <c r="F20" i="4"/>
  <c r="F18" i="4"/>
  <c r="F27" i="4"/>
  <c r="F19" i="4"/>
  <c r="I23" i="4" l="1"/>
  <c r="K23" i="28" s="1"/>
  <c r="I12" i="4"/>
  <c r="K12" i="28" s="1"/>
  <c r="I3" i="4"/>
  <c r="I21" i="4"/>
  <c r="F61" i="4"/>
  <c r="J4" i="4" l="1"/>
  <c r="J58" i="4"/>
  <c r="J8" i="4"/>
  <c r="J32" i="4"/>
  <c r="J29" i="4"/>
  <c r="J51" i="4"/>
  <c r="J36" i="4"/>
  <c r="J18" i="4"/>
  <c r="J35" i="4"/>
  <c r="J26" i="4"/>
  <c r="J6" i="4"/>
  <c r="J39" i="4"/>
  <c r="J5" i="4"/>
  <c r="J7" i="4"/>
  <c r="J21" i="4"/>
  <c r="J19" i="4"/>
  <c r="J13" i="4"/>
  <c r="J23" i="4"/>
  <c r="J55" i="4"/>
  <c r="J54" i="4"/>
  <c r="J3" i="4"/>
  <c r="J16" i="4"/>
  <c r="J48" i="4"/>
  <c r="J20" i="4"/>
  <c r="J53" i="4"/>
  <c r="J46" i="4"/>
  <c r="J11" i="4"/>
  <c r="J52" i="4"/>
  <c r="J59" i="4"/>
  <c r="J31" i="4"/>
  <c r="J40" i="4"/>
  <c r="J14" i="4"/>
  <c r="J47" i="4"/>
  <c r="J25" i="4"/>
  <c r="J56" i="4"/>
  <c r="J44" i="4"/>
  <c r="J15" i="4"/>
  <c r="J12" i="4"/>
  <c r="J49" i="4"/>
  <c r="J33" i="4"/>
  <c r="J27" i="4"/>
  <c r="J10" i="4"/>
  <c r="J41" i="4"/>
  <c r="I61" i="4"/>
  <c r="J45" i="4"/>
  <c r="J24" i="4"/>
  <c r="J57" i="4"/>
  <c r="J28" i="4"/>
  <c r="J42" i="4"/>
  <c r="J37" i="4"/>
  <c r="J17" i="4"/>
  <c r="J34" i="4"/>
  <c r="J9" i="4"/>
  <c r="J38" i="4"/>
  <c r="J50" i="4"/>
  <c r="J60" i="4"/>
  <c r="J22" i="4"/>
  <c r="J43" i="4"/>
  <c r="J30" i="4"/>
  <c r="M17" i="4" l="1"/>
  <c r="K17" i="28" s="1"/>
  <c r="M22" i="4"/>
  <c r="K22" i="28" s="1"/>
  <c r="M26" i="4"/>
  <c r="K26" i="28" s="1"/>
  <c r="M56" i="4"/>
  <c r="K56" i="28" s="1"/>
  <c r="M57" i="4"/>
  <c r="K57" i="28" s="1"/>
  <c r="M35" i="4"/>
  <c r="K35" i="28" s="1"/>
  <c r="M3" i="4"/>
  <c r="J61" i="4"/>
  <c r="M21" i="4"/>
  <c r="N6" i="4" l="1"/>
  <c r="N15" i="4"/>
  <c r="N52" i="4"/>
  <c r="N27" i="4"/>
  <c r="N45" i="4"/>
  <c r="N10" i="4"/>
  <c r="N12" i="4"/>
  <c r="N36" i="4"/>
  <c r="N18" i="4"/>
  <c r="N11" i="4"/>
  <c r="N40" i="4"/>
  <c r="N13" i="4"/>
  <c r="N4" i="4"/>
  <c r="N33" i="4"/>
  <c r="N3" i="4"/>
  <c r="M61" i="4"/>
  <c r="Q14" i="4" s="1"/>
  <c r="K14" i="28" s="1"/>
  <c r="N38" i="4"/>
  <c r="N14" i="4"/>
  <c r="N58" i="4"/>
  <c r="N44" i="4"/>
  <c r="N39" i="4"/>
  <c r="N49" i="4"/>
  <c r="N20" i="4"/>
  <c r="N22" i="4"/>
  <c r="N19" i="4"/>
  <c r="N35" i="4"/>
  <c r="N16" i="4"/>
  <c r="N50" i="4"/>
  <c r="N28" i="4"/>
  <c r="N55" i="4"/>
  <c r="N46" i="4"/>
  <c r="N47" i="4"/>
  <c r="N23" i="4"/>
  <c r="N56" i="4"/>
  <c r="N5" i="4"/>
  <c r="N54" i="4"/>
  <c r="N17" i="4"/>
  <c r="N48" i="4"/>
  <c r="N25" i="4"/>
  <c r="N43" i="4"/>
  <c r="N32" i="4"/>
  <c r="N37" i="4"/>
  <c r="N9" i="4"/>
  <c r="N31" i="4"/>
  <c r="N59" i="4"/>
  <c r="N26" i="4"/>
  <c r="N34" i="4"/>
  <c r="N24" i="4"/>
  <c r="N8" i="4"/>
  <c r="N51" i="4"/>
  <c r="N30" i="4"/>
  <c r="N42" i="4"/>
  <c r="N53" i="4"/>
  <c r="N57" i="4"/>
  <c r="N7" i="4"/>
  <c r="N29" i="4"/>
  <c r="N41" i="4"/>
  <c r="N60" i="4"/>
  <c r="N21" i="4"/>
  <c r="Q21" i="4" l="1"/>
  <c r="K21" i="28" s="1"/>
  <c r="Q3" i="4"/>
  <c r="K3" i="28" s="1"/>
  <c r="N61" i="4"/>
  <c r="K61" i="28" l="1"/>
  <c r="R42" i="4"/>
  <c r="R31" i="4"/>
  <c r="R59" i="4"/>
  <c r="R6" i="4"/>
  <c r="R28" i="4"/>
  <c r="R25" i="4"/>
  <c r="R30" i="4"/>
  <c r="R7" i="4"/>
  <c r="R21" i="4"/>
  <c r="R49" i="4"/>
  <c r="R27" i="4"/>
  <c r="R34" i="4"/>
  <c r="R15" i="4"/>
  <c r="R48" i="4"/>
  <c r="R37" i="4"/>
  <c r="R10" i="4"/>
  <c r="R57" i="4"/>
  <c r="R18" i="4"/>
  <c r="R26" i="4"/>
  <c r="R40" i="4"/>
  <c r="R54" i="4"/>
  <c r="R47" i="4"/>
  <c r="R45" i="4"/>
  <c r="R20" i="4"/>
  <c r="R43" i="4"/>
  <c r="R39" i="4"/>
  <c r="R11" i="4"/>
  <c r="R4" i="4"/>
  <c r="R29" i="4"/>
  <c r="R24" i="4"/>
  <c r="R52" i="4"/>
  <c r="R33" i="4"/>
  <c r="R22" i="4"/>
  <c r="R53" i="4"/>
  <c r="R3" i="4"/>
  <c r="R56" i="4"/>
  <c r="R13" i="4"/>
  <c r="R38" i="4"/>
  <c r="R35" i="4"/>
  <c r="R55" i="4"/>
  <c r="R17" i="4"/>
  <c r="R8" i="4"/>
  <c r="R5" i="4"/>
  <c r="R36" i="4"/>
  <c r="R58" i="4"/>
  <c r="R9" i="4"/>
  <c r="R16" i="4"/>
  <c r="R60" i="4"/>
  <c r="R19" i="4"/>
  <c r="R41" i="4"/>
  <c r="R12" i="4"/>
  <c r="R50" i="4"/>
  <c r="R23" i="4"/>
  <c r="R32" i="4"/>
  <c r="R44" i="4"/>
  <c r="R51" i="4"/>
  <c r="R46" i="4"/>
  <c r="Q61" i="4"/>
  <c r="R14" i="4"/>
  <c r="O326" i="24"/>
  <c r="O488" i="24"/>
  <c r="O612" i="24"/>
  <c r="O1187" i="24"/>
  <c r="AI52" i="19"/>
  <c r="AI9" i="19"/>
  <c r="AI32" i="19"/>
  <c r="AI46" i="19"/>
  <c r="AI11" i="19"/>
  <c r="AI5" i="19"/>
  <c r="AI3" i="19"/>
  <c r="S3" i="19" s="1"/>
  <c r="AI38" i="19"/>
  <c r="AI18" i="19"/>
  <c r="AI54" i="19"/>
  <c r="AI44" i="19"/>
  <c r="AI56" i="19"/>
  <c r="AI4" i="19"/>
  <c r="S4" i="19" s="1"/>
  <c r="AI58" i="19"/>
  <c r="AI47" i="19"/>
  <c r="AI8" i="19"/>
  <c r="AI36" i="19"/>
  <c r="AI57" i="19"/>
  <c r="AI26" i="19"/>
  <c r="AI21" i="19"/>
  <c r="AI37" i="19"/>
  <c r="AI23" i="19"/>
  <c r="AI22" i="19"/>
  <c r="AI20" i="19"/>
  <c r="AI12" i="19"/>
  <c r="AI16" i="19"/>
  <c r="AI51" i="19"/>
  <c r="AI24" i="19"/>
  <c r="AI40" i="19"/>
  <c r="AI33" i="19"/>
  <c r="AI55" i="19"/>
  <c r="AI28" i="19"/>
  <c r="AI41" i="19"/>
  <c r="AI14" i="19"/>
  <c r="AI30" i="19"/>
  <c r="AI7" i="19"/>
  <c r="AI27" i="19"/>
  <c r="AI17" i="19"/>
  <c r="AI31" i="19"/>
  <c r="AI13" i="19"/>
  <c r="AI29" i="19"/>
  <c r="AI59" i="19"/>
  <c r="AI49" i="19"/>
  <c r="AI15" i="19"/>
  <c r="AI25" i="19"/>
  <c r="AI6" i="19"/>
  <c r="AI60" i="19"/>
  <c r="AI50" i="19"/>
  <c r="AI10" i="19"/>
  <c r="AI39" i="19"/>
  <c r="AI53" i="19"/>
  <c r="AI19" i="19"/>
  <c r="AI42" i="19"/>
  <c r="AI43" i="19"/>
  <c r="AI35" i="19"/>
  <c r="AI48" i="19"/>
  <c r="AI45" i="19"/>
  <c r="AI34" i="19"/>
  <c r="S15" i="19" l="1"/>
  <c r="E15" i="19"/>
  <c r="S57" i="19"/>
  <c r="E57" i="19"/>
  <c r="S5" i="19"/>
  <c r="E5" i="19"/>
  <c r="S33" i="19"/>
  <c r="E33" i="19"/>
  <c r="S36" i="19"/>
  <c r="E36" i="19"/>
  <c r="S11" i="19"/>
  <c r="E11" i="19"/>
  <c r="S24" i="19"/>
  <c r="E24" i="19"/>
  <c r="S46" i="19"/>
  <c r="E46" i="19"/>
  <c r="S28" i="19"/>
  <c r="E28" i="19"/>
  <c r="S32" i="19"/>
  <c r="E32" i="19"/>
  <c r="S38" i="19"/>
  <c r="E38" i="19"/>
  <c r="S59" i="19"/>
  <c r="E59" i="19"/>
  <c r="S19" i="19"/>
  <c r="E19" i="19"/>
  <c r="S51" i="19"/>
  <c r="E51" i="19"/>
  <c r="S17" i="19"/>
  <c r="E17" i="19"/>
  <c r="S16" i="19"/>
  <c r="E16" i="19"/>
  <c r="S58" i="19"/>
  <c r="E58" i="19"/>
  <c r="S9" i="19"/>
  <c r="E9" i="19"/>
  <c r="S21" i="19"/>
  <c r="E21" i="19"/>
  <c r="S43" i="19"/>
  <c r="E43" i="19"/>
  <c r="S8" i="19"/>
  <c r="E8" i="19"/>
  <c r="S39" i="19"/>
  <c r="E39" i="19"/>
  <c r="S10" i="19"/>
  <c r="E10" i="19"/>
  <c r="S27" i="19"/>
  <c r="E27" i="19"/>
  <c r="S12" i="19"/>
  <c r="E12" i="19"/>
  <c r="S52" i="19"/>
  <c r="E52" i="19"/>
  <c r="S35" i="19"/>
  <c r="T35" i="19" s="1"/>
  <c r="E35" i="19"/>
  <c r="S42" i="19"/>
  <c r="E42" i="19"/>
  <c r="S26" i="19"/>
  <c r="E26" i="19"/>
  <c r="S29" i="19"/>
  <c r="E29" i="19"/>
  <c r="S47" i="19"/>
  <c r="E47" i="19"/>
  <c r="S7" i="19"/>
  <c r="E7" i="19"/>
  <c r="S22" i="19"/>
  <c r="E22" i="19"/>
  <c r="S44" i="19"/>
  <c r="E44" i="19"/>
  <c r="S49" i="19"/>
  <c r="E49" i="19"/>
  <c r="S40" i="19"/>
  <c r="E40" i="19"/>
  <c r="S53" i="19"/>
  <c r="E53" i="19"/>
  <c r="S50" i="19"/>
  <c r="E50" i="19"/>
  <c r="S20" i="19"/>
  <c r="E20" i="19"/>
  <c r="S30" i="19"/>
  <c r="E30" i="19"/>
  <c r="S14" i="19"/>
  <c r="E14" i="19"/>
  <c r="S54" i="19"/>
  <c r="E54" i="19"/>
  <c r="S48" i="19"/>
  <c r="E48" i="19"/>
  <c r="S55" i="19"/>
  <c r="E55" i="19"/>
  <c r="S13" i="19"/>
  <c r="E13" i="19"/>
  <c r="S31" i="19"/>
  <c r="E31" i="19"/>
  <c r="S56" i="19"/>
  <c r="E56" i="19"/>
  <c r="S60" i="19"/>
  <c r="E60" i="19"/>
  <c r="S34" i="19"/>
  <c r="E34" i="19"/>
  <c r="S6" i="19"/>
  <c r="E6" i="19"/>
  <c r="S23" i="19"/>
  <c r="E23" i="19"/>
  <c r="S45" i="19"/>
  <c r="E45" i="19"/>
  <c r="S25" i="19"/>
  <c r="E25" i="19"/>
  <c r="S41" i="19"/>
  <c r="E41" i="19"/>
  <c r="S37" i="19"/>
  <c r="E37" i="19"/>
  <c r="S18" i="19"/>
  <c r="E18" i="19"/>
  <c r="R61" i="4"/>
  <c r="AC2614" i="24"/>
  <c r="AI61" i="19"/>
  <c r="AC2670" i="24" l="1"/>
  <c r="F60" i="19"/>
  <c r="U60" i="19" a="1"/>
  <c r="U60" i="19" s="1"/>
  <c r="W60" i="19" a="1"/>
  <c r="W60" i="19" s="1"/>
  <c r="V60" i="19" a="1"/>
  <c r="V60" i="19" s="1"/>
  <c r="AC2650" i="24"/>
  <c r="F40" i="19"/>
  <c r="W40" i="19" a="1"/>
  <c r="W40" i="19" s="1"/>
  <c r="V40" i="19" a="1"/>
  <c r="V40" i="19" s="1"/>
  <c r="U40" i="19" a="1"/>
  <c r="U40" i="19" s="1"/>
  <c r="AC2639" i="24"/>
  <c r="F29" i="19"/>
  <c r="U29" i="19" a="1"/>
  <c r="U29" i="19" s="1"/>
  <c r="W29" i="19" a="1"/>
  <c r="W29" i="19" s="1"/>
  <c r="V29" i="19" a="1"/>
  <c r="V29" i="19" s="1"/>
  <c r="AC2637" i="24"/>
  <c r="W27" i="19" a="1"/>
  <c r="W27" i="19" s="1"/>
  <c r="F27" i="19"/>
  <c r="V27" i="19" a="1"/>
  <c r="V27" i="19" s="1"/>
  <c r="U27" i="19" a="1"/>
  <c r="U27" i="19" s="1"/>
  <c r="AC2619" i="24"/>
  <c r="W9" i="19" a="1"/>
  <c r="W9" i="19" s="1"/>
  <c r="F9" i="19"/>
  <c r="U9" i="19" a="1"/>
  <c r="U9" i="19" s="1"/>
  <c r="V9" i="19" a="1"/>
  <c r="V9" i="19" s="1"/>
  <c r="AC2669" i="24"/>
  <c r="W59" i="19" a="1"/>
  <c r="W59" i="19" s="1"/>
  <c r="F59" i="19"/>
  <c r="U59" i="19" a="1"/>
  <c r="U59" i="19" s="1"/>
  <c r="V59" i="19" a="1"/>
  <c r="V59" i="19" s="1"/>
  <c r="AC2621" i="24"/>
  <c r="F11" i="19"/>
  <c r="U11" i="19" a="1"/>
  <c r="U11" i="19" s="1"/>
  <c r="W11" i="19" a="1"/>
  <c r="W11" i="19" s="1"/>
  <c r="V11" i="19" a="1"/>
  <c r="V11" i="19" s="1"/>
  <c r="AC2666" i="24"/>
  <c r="F56" i="19"/>
  <c r="V56" i="19" a="1"/>
  <c r="V56" i="19" s="1"/>
  <c r="U56" i="19" a="1"/>
  <c r="U56" i="19" s="1"/>
  <c r="W56" i="19" a="1"/>
  <c r="W56" i="19" s="1"/>
  <c r="AC2624" i="24"/>
  <c r="W14" i="19" a="1"/>
  <c r="W14" i="19" s="1"/>
  <c r="U14" i="19" a="1"/>
  <c r="U14" i="19" s="1"/>
  <c r="F14" i="19"/>
  <c r="V14" i="19" a="1"/>
  <c r="V14" i="19" s="1"/>
  <c r="AC2659" i="24"/>
  <c r="F49" i="19"/>
  <c r="V49" i="19" a="1"/>
  <c r="V49" i="19" s="1"/>
  <c r="U49" i="19" a="1"/>
  <c r="U49" i="19" s="1"/>
  <c r="W49" i="19" a="1"/>
  <c r="W49" i="19" s="1"/>
  <c r="AC2636" i="24"/>
  <c r="F26" i="19"/>
  <c r="W26" i="19" a="1"/>
  <c r="W26" i="19" s="1"/>
  <c r="U26" i="19" a="1"/>
  <c r="U26" i="19" s="1"/>
  <c r="V26" i="19" a="1"/>
  <c r="V26" i="19" s="1"/>
  <c r="AC2620" i="24"/>
  <c r="F10" i="19"/>
  <c r="W10" i="19" a="1"/>
  <c r="W10" i="19" s="1"/>
  <c r="U10" i="19" a="1"/>
  <c r="U10" i="19" s="1"/>
  <c r="V10" i="19" a="1"/>
  <c r="V10" i="19" s="1"/>
  <c r="AC2668" i="24"/>
  <c r="W58" i="19" a="1"/>
  <c r="W58" i="19" s="1"/>
  <c r="F58" i="19"/>
  <c r="V58" i="19" a="1"/>
  <c r="V58" i="19" s="1"/>
  <c r="U58" i="19" a="1"/>
  <c r="U58" i="19" s="1"/>
  <c r="AC2648" i="24"/>
  <c r="F38" i="19"/>
  <c r="W38" i="19" a="1"/>
  <c r="W38" i="19" s="1"/>
  <c r="V38" i="19" a="1"/>
  <c r="V38" i="19" s="1"/>
  <c r="U38" i="19" a="1"/>
  <c r="U38" i="19" s="1"/>
  <c r="AC2646" i="24"/>
  <c r="F36" i="19"/>
  <c r="U36" i="19" a="1"/>
  <c r="U36" i="19" s="1"/>
  <c r="W36" i="19" a="1"/>
  <c r="W36" i="19" s="1"/>
  <c r="V36" i="19" a="1"/>
  <c r="V36" i="19" s="1"/>
  <c r="AC2651" i="24"/>
  <c r="F41" i="19"/>
  <c r="V41" i="19" a="1"/>
  <c r="V41" i="19" s="1"/>
  <c r="U41" i="19" a="1"/>
  <c r="U41" i="19" s="1"/>
  <c r="W41" i="19" a="1"/>
  <c r="W41" i="19" s="1"/>
  <c r="AC2655" i="24"/>
  <c r="W45" i="19" a="1"/>
  <c r="W45" i="19" s="1"/>
  <c r="U45" i="19" a="1"/>
  <c r="U45" i="19" s="1"/>
  <c r="F45" i="19"/>
  <c r="V45" i="19" a="1"/>
  <c r="V45" i="19" s="1"/>
  <c r="AC2641" i="24"/>
  <c r="W31" i="19" a="1"/>
  <c r="W31" i="19" s="1"/>
  <c r="V31" i="19" a="1"/>
  <c r="V31" i="19" s="1"/>
  <c r="F31" i="19"/>
  <c r="U31" i="19" a="1"/>
  <c r="U31" i="19" s="1"/>
  <c r="AC2640" i="24"/>
  <c r="F30" i="19"/>
  <c r="W30" i="19" a="1"/>
  <c r="W30" i="19" s="1"/>
  <c r="V30" i="19" a="1"/>
  <c r="V30" i="19" s="1"/>
  <c r="U30" i="19" a="1"/>
  <c r="U30" i="19" s="1"/>
  <c r="AC2654" i="24"/>
  <c r="F44" i="19"/>
  <c r="U44" i="19" a="1"/>
  <c r="U44" i="19" s="1"/>
  <c r="V44" i="19" a="1"/>
  <c r="V44" i="19" s="1"/>
  <c r="W44" i="19" a="1"/>
  <c r="W44" i="19" s="1"/>
  <c r="AC2652" i="24"/>
  <c r="F42" i="19"/>
  <c r="W42" i="19" a="1"/>
  <c r="W42" i="19" s="1"/>
  <c r="U42" i="19" a="1"/>
  <c r="U42" i="19" s="1"/>
  <c r="V42" i="19" a="1"/>
  <c r="V42" i="19" s="1"/>
  <c r="AC2649" i="24"/>
  <c r="W39" i="19" a="1"/>
  <c r="W39" i="19" s="1"/>
  <c r="F39" i="19"/>
  <c r="U39" i="19" a="1"/>
  <c r="U39" i="19" s="1"/>
  <c r="V39" i="19" a="1"/>
  <c r="V39" i="19" s="1"/>
  <c r="AC2626" i="24"/>
  <c r="F16" i="19"/>
  <c r="W16" i="19" a="1"/>
  <c r="W16" i="19" s="1"/>
  <c r="U16" i="19" a="1"/>
  <c r="U16" i="19" s="1"/>
  <c r="V16" i="19" a="1"/>
  <c r="V16" i="19" s="1"/>
  <c r="AC2642" i="24"/>
  <c r="F32" i="19"/>
  <c r="W32" i="19" a="1"/>
  <c r="W32" i="19" s="1"/>
  <c r="U32" i="19" a="1"/>
  <c r="U32" i="19" s="1"/>
  <c r="V32" i="19" a="1"/>
  <c r="V32" i="19" s="1"/>
  <c r="AC2643" i="24"/>
  <c r="W33" i="19" a="1"/>
  <c r="W33" i="19" s="1"/>
  <c r="U33" i="19" a="1"/>
  <c r="U33" i="19" s="1"/>
  <c r="V33" i="19" a="1"/>
  <c r="V33" i="19" s="1"/>
  <c r="F33" i="19"/>
  <c r="AC2623" i="24"/>
  <c r="W13" i="19" a="1"/>
  <c r="W13" i="19" s="1"/>
  <c r="F13" i="19"/>
  <c r="V13" i="19" a="1"/>
  <c r="V13" i="19" s="1"/>
  <c r="U13" i="19" a="1"/>
  <c r="U13" i="19" s="1"/>
  <c r="AC2630" i="24"/>
  <c r="W20" i="19" a="1"/>
  <c r="W20" i="19" s="1"/>
  <c r="F20" i="19"/>
  <c r="U20" i="19" a="1"/>
  <c r="U20" i="19" s="1"/>
  <c r="V20" i="19" a="1"/>
  <c r="V20" i="19" s="1"/>
  <c r="AC2632" i="24"/>
  <c r="F22" i="19"/>
  <c r="W22" i="19" a="1"/>
  <c r="W22" i="19" s="1"/>
  <c r="U22" i="19" a="1"/>
  <c r="U22" i="19" s="1"/>
  <c r="V22" i="19" a="1"/>
  <c r="V22" i="19" s="1"/>
  <c r="AC2645" i="24"/>
  <c r="F35" i="19"/>
  <c r="V35" i="19" a="1"/>
  <c r="V35" i="19" s="1"/>
  <c r="U35" i="19" a="1"/>
  <c r="U35" i="19" s="1"/>
  <c r="W35" i="19" a="1"/>
  <c r="W35" i="19" s="1"/>
  <c r="AC2618" i="24"/>
  <c r="W8" i="19" a="1"/>
  <c r="W8" i="19" s="1"/>
  <c r="U8" i="19" a="1"/>
  <c r="U8" i="19" s="1"/>
  <c r="F8" i="19"/>
  <c r="V8" i="19" a="1"/>
  <c r="V8" i="19" s="1"/>
  <c r="AC2627" i="24"/>
  <c r="F17" i="19"/>
  <c r="V17" i="19" a="1"/>
  <c r="V17" i="19" s="1"/>
  <c r="W17" i="19" a="1"/>
  <c r="W17" i="19" s="1"/>
  <c r="U17" i="19" a="1"/>
  <c r="U17" i="19" s="1"/>
  <c r="AC2638" i="24"/>
  <c r="F28" i="19"/>
  <c r="V28" i="19" a="1"/>
  <c r="V28" i="19" s="1"/>
  <c r="W28" i="19" a="1"/>
  <c r="W28" i="19" s="1"/>
  <c r="U28" i="19" a="1"/>
  <c r="U28" i="19" s="1"/>
  <c r="AC2615" i="24"/>
  <c r="F5" i="19"/>
  <c r="W5" i="19" a="1"/>
  <c r="W5" i="19" s="1"/>
  <c r="V5" i="19" a="1"/>
  <c r="V5" i="19" s="1"/>
  <c r="U5" i="19" a="1"/>
  <c r="U5" i="19" s="1"/>
  <c r="AC2635" i="24"/>
  <c r="W25" i="19" a="1"/>
  <c r="W25" i="19" s="1"/>
  <c r="F25" i="19"/>
  <c r="U25" i="19" a="1"/>
  <c r="U25" i="19" s="1"/>
  <c r="V25" i="19" a="1"/>
  <c r="V25" i="19" s="1"/>
  <c r="AC2628" i="24"/>
  <c r="F18" i="19"/>
  <c r="W18" i="19" a="1"/>
  <c r="W18" i="19" s="1"/>
  <c r="U18" i="19" a="1"/>
  <c r="U18" i="19" s="1"/>
  <c r="V18" i="19" a="1"/>
  <c r="V18" i="19" s="1"/>
  <c r="AC2665" i="24"/>
  <c r="F55" i="19"/>
  <c r="V55" i="19" a="1"/>
  <c r="V55" i="19" s="1"/>
  <c r="W55" i="19" a="1"/>
  <c r="W55" i="19" s="1"/>
  <c r="U55" i="19" a="1"/>
  <c r="U55" i="19" s="1"/>
  <c r="AC2660" i="24"/>
  <c r="W50" i="19" a="1"/>
  <c r="W50" i="19" s="1"/>
  <c r="V50" i="19" a="1"/>
  <c r="V50" i="19" s="1"/>
  <c r="U50" i="19" a="1"/>
  <c r="U50" i="19" s="1"/>
  <c r="F50" i="19"/>
  <c r="AC2617" i="24"/>
  <c r="W7" i="19" a="1"/>
  <c r="W7" i="19" s="1"/>
  <c r="U7" i="19" a="1"/>
  <c r="U7" i="19" s="1"/>
  <c r="F7" i="19"/>
  <c r="V7" i="19" a="1"/>
  <c r="V7" i="19" s="1"/>
  <c r="AC2662" i="24"/>
  <c r="F52" i="19"/>
  <c r="V52" i="19" a="1"/>
  <c r="V52" i="19" s="1"/>
  <c r="W52" i="19" a="1"/>
  <c r="W52" i="19" s="1"/>
  <c r="U52" i="19" a="1"/>
  <c r="U52" i="19" s="1"/>
  <c r="AC2653" i="24"/>
  <c r="F43" i="19"/>
  <c r="V43" i="19" a="1"/>
  <c r="V43" i="19" s="1"/>
  <c r="W43" i="19" a="1"/>
  <c r="W43" i="19" s="1"/>
  <c r="U43" i="19" a="1"/>
  <c r="U43" i="19" s="1"/>
  <c r="AC2661" i="24"/>
  <c r="W51" i="19" a="1"/>
  <c r="W51" i="19" s="1"/>
  <c r="V51" i="19" a="1"/>
  <c r="V51" i="19" s="1"/>
  <c r="U51" i="19" a="1"/>
  <c r="U51" i="19" s="1"/>
  <c r="F51" i="19"/>
  <c r="AC2656" i="24"/>
  <c r="F46" i="19"/>
  <c r="U46" i="19" a="1"/>
  <c r="U46" i="19" s="1"/>
  <c r="V46" i="19" a="1"/>
  <c r="V46" i="19" s="1"/>
  <c r="W46" i="19" a="1"/>
  <c r="W46" i="19" s="1"/>
  <c r="AC2667" i="24"/>
  <c r="F57" i="19"/>
  <c r="V57" i="19" a="1"/>
  <c r="V57" i="19" s="1"/>
  <c r="W57" i="19" a="1"/>
  <c r="W57" i="19" s="1"/>
  <c r="U57" i="19" a="1"/>
  <c r="U57" i="19" s="1"/>
  <c r="AC2633" i="24"/>
  <c r="F23" i="19"/>
  <c r="V23" i="19" a="1"/>
  <c r="V23" i="19" s="1"/>
  <c r="U23" i="19" a="1"/>
  <c r="U23" i="19" s="1"/>
  <c r="W23" i="19" a="1"/>
  <c r="W23" i="19" s="1"/>
  <c r="AC2664" i="24"/>
  <c r="F54" i="19"/>
  <c r="W54" i="19" a="1"/>
  <c r="W54" i="19" s="1"/>
  <c r="U54" i="19" a="1"/>
  <c r="U54" i="19" s="1"/>
  <c r="V54" i="19" a="1"/>
  <c r="V54" i="19" s="1"/>
  <c r="AC2616" i="24"/>
  <c r="F6" i="19"/>
  <c r="V6" i="19" a="1"/>
  <c r="V6" i="19" s="1"/>
  <c r="U6" i="19" a="1"/>
  <c r="U6" i="19" s="1"/>
  <c r="W6" i="19" a="1"/>
  <c r="W6" i="19" s="1"/>
  <c r="AC2647" i="24"/>
  <c r="W37" i="19" a="1"/>
  <c r="W37" i="19" s="1"/>
  <c r="V37" i="19" a="1"/>
  <c r="V37" i="19" s="1"/>
  <c r="F37" i="19"/>
  <c r="U37" i="19" a="1"/>
  <c r="U37" i="19" s="1"/>
  <c r="AC2644" i="24"/>
  <c r="F34" i="19"/>
  <c r="W34" i="19" a="1"/>
  <c r="W34" i="19" s="1"/>
  <c r="U34" i="19" a="1"/>
  <c r="U34" i="19" s="1"/>
  <c r="V34" i="19" a="1"/>
  <c r="V34" i="19" s="1"/>
  <c r="AC2658" i="24"/>
  <c r="F48" i="19"/>
  <c r="U48" i="19" a="1"/>
  <c r="U48" i="19" s="1"/>
  <c r="W48" i="19" a="1"/>
  <c r="W48" i="19" s="1"/>
  <c r="V48" i="19" a="1"/>
  <c r="V48" i="19" s="1"/>
  <c r="AC2663" i="24"/>
  <c r="F53" i="19"/>
  <c r="V53" i="19" a="1"/>
  <c r="V53" i="19" s="1"/>
  <c r="U53" i="19" a="1"/>
  <c r="U53" i="19" s="1"/>
  <c r="W53" i="19" a="1"/>
  <c r="W53" i="19" s="1"/>
  <c r="AC2657" i="24"/>
  <c r="F47" i="19"/>
  <c r="W47" i="19" a="1"/>
  <c r="W47" i="19" s="1"/>
  <c r="U47" i="19" a="1"/>
  <c r="U47" i="19" s="1"/>
  <c r="V47" i="19" a="1"/>
  <c r="V47" i="19" s="1"/>
  <c r="AC2622" i="24"/>
  <c r="F12" i="19"/>
  <c r="V12" i="19" a="1"/>
  <c r="V12" i="19" s="1"/>
  <c r="U12" i="19" a="1"/>
  <c r="U12" i="19" s="1"/>
  <c r="W12" i="19" a="1"/>
  <c r="W12" i="19" s="1"/>
  <c r="AC2631" i="24"/>
  <c r="W21" i="19" a="1"/>
  <c r="W21" i="19" s="1"/>
  <c r="V21" i="19" a="1"/>
  <c r="V21" i="19" s="1"/>
  <c r="F21" i="19"/>
  <c r="U21" i="19" a="1"/>
  <c r="U21" i="19" s="1"/>
  <c r="AC2629" i="24"/>
  <c r="W19" i="19" a="1"/>
  <c r="W19" i="19" s="1"/>
  <c r="U19" i="19" a="1"/>
  <c r="U19" i="19" s="1"/>
  <c r="F19" i="19"/>
  <c r="V19" i="19" a="1"/>
  <c r="V19" i="19" s="1"/>
  <c r="AC2634" i="24"/>
  <c r="F24" i="19"/>
  <c r="W24" i="19" a="1"/>
  <c r="W24" i="19" s="1"/>
  <c r="U24" i="19" a="1"/>
  <c r="U24" i="19" s="1"/>
  <c r="V24" i="19" a="1"/>
  <c r="V24" i="19" s="1"/>
  <c r="AC2625" i="24"/>
  <c r="W15" i="19" a="1"/>
  <c r="W15" i="19" s="1"/>
  <c r="V15" i="19" a="1"/>
  <c r="V15" i="19" s="1"/>
  <c r="F15" i="19"/>
  <c r="U15" i="19" a="1"/>
  <c r="U15" i="19" s="1"/>
  <c r="E3" i="19"/>
  <c r="H2672" i="24"/>
  <c r="AJ2606" i="24"/>
  <c r="T4" i="19"/>
  <c r="T3" i="19"/>
  <c r="AC2613" i="24"/>
  <c r="F4" i="19"/>
  <c r="V4" i="19" a="1"/>
  <c r="V4" i="19" s="1"/>
  <c r="U4" i="19" a="1"/>
  <c r="U4" i="19" s="1"/>
  <c r="W4" i="19" a="1"/>
  <c r="W4" i="19" s="1"/>
  <c r="W3" i="19" a="1"/>
  <c r="W3" i="19" s="1"/>
  <c r="U3" i="19" a="1"/>
  <c r="U3" i="19" s="1"/>
  <c r="S61" i="19"/>
  <c r="V3" i="19" a="1"/>
  <c r="V3" i="19" s="1"/>
  <c r="F3" i="19"/>
  <c r="E4" i="19"/>
  <c r="E61" i="19" l="1"/>
  <c r="AJ2671" i="24"/>
  <c r="AJ2613" i="24"/>
  <c r="T61" i="19"/>
  <c r="F61" i="19"/>
  <c r="V61" i="19"/>
  <c r="I3" i="19"/>
  <c r="I4" i="19"/>
  <c r="U61" i="19"/>
  <c r="W61" i="19"/>
  <c r="I61" i="19" l="1"/>
  <c r="Q23" i="7"/>
  <c r="Q61" i="7" l="1"/>
  <c r="L23" i="28"/>
  <c r="L61" i="28" s="1"/>
  <c r="AJ1046" i="24"/>
  <c r="AJ1012" i="24"/>
  <c r="AJ1041" i="24"/>
  <c r="AJ995" i="24"/>
  <c r="AJ1025" i="24"/>
  <c r="AJ1015" i="24"/>
  <c r="AJ990" i="24"/>
  <c r="AJ1007" i="24"/>
  <c r="AJ989" i="24"/>
  <c r="AJ1017" i="24"/>
  <c r="AJ1001" i="24"/>
  <c r="AJ992" i="24"/>
  <c r="AJ1009" i="24"/>
  <c r="AJ1031" i="24"/>
  <c r="AJ1029" i="24"/>
  <c r="AJ1023" i="24"/>
  <c r="AJ999" i="24"/>
  <c r="AJ1035" i="24"/>
  <c r="AJ1033" i="24"/>
  <c r="AJ1027" i="24"/>
  <c r="AJ1040" i="24"/>
  <c r="AJ1013" i="24"/>
  <c r="AJ1044" i="24"/>
  <c r="AJ1039" i="24"/>
  <c r="AJ1043" i="24"/>
  <c r="AJ997" i="24"/>
  <c r="AJ1020" i="24"/>
  <c r="AJ1005" i="24"/>
  <c r="AJ1006" i="24"/>
  <c r="AJ991" i="24"/>
  <c r="AJ1019" i="24"/>
  <c r="AJ1011" i="24"/>
  <c r="AJ993" i="24"/>
  <c r="AJ1045" i="24"/>
  <c r="AJ1030" i="24"/>
  <c r="AJ1004" i="24"/>
  <c r="AJ1021" i="24"/>
  <c r="AJ1037" i="24"/>
  <c r="AJ1003" i="24"/>
  <c r="AJ1016" i="24"/>
  <c r="AJ1028" i="24"/>
  <c r="AJ996" i="24"/>
  <c r="AJ1000" i="24"/>
  <c r="AJ1038" i="24"/>
  <c r="AJ1026" i="24"/>
  <c r="AJ1036" i="24"/>
  <c r="AJ1032" i="24"/>
  <c r="AJ1022" i="24"/>
  <c r="AJ1042" i="24"/>
  <c r="AJ998" i="24"/>
  <c r="AJ994" i="24"/>
  <c r="AJ1002" i="24"/>
  <c r="AJ1034" i="24"/>
  <c r="AJ1008" i="24"/>
  <c r="AJ1018" i="24"/>
  <c r="AJ1024" i="24"/>
  <c r="AJ1014" i="24"/>
  <c r="AJ1010" i="24"/>
  <c r="AJ988" i="24"/>
  <c r="AJ1553" i="24"/>
  <c r="AJ1596" i="24" s="1"/>
  <c r="G22" i="11"/>
  <c r="G20" i="11"/>
  <c r="I1577" i="24" l="1"/>
  <c r="O20" i="28"/>
  <c r="I20" i="28" a="1"/>
  <c r="I20" i="28" s="1"/>
  <c r="I1579" i="24"/>
  <c r="O22" i="28"/>
  <c r="I22" i="28" a="1"/>
  <c r="I22" i="28" s="1"/>
  <c r="B22" i="28" s="1"/>
  <c r="AJ1577" i="24"/>
  <c r="AJ1579" i="24"/>
  <c r="AJ1575" i="24"/>
  <c r="AJ1566" i="24"/>
  <c r="AJ1594" i="24"/>
  <c r="AJ1592" i="24"/>
  <c r="AJ1618" i="24"/>
  <c r="AJ1571" i="24"/>
  <c r="AJ1595" i="24"/>
  <c r="AJ1564" i="24"/>
  <c r="AJ1578" i="24"/>
  <c r="AJ1598" i="24"/>
  <c r="AJ1602" i="24"/>
  <c r="AJ1599" i="24"/>
  <c r="AJ1580" i="24"/>
  <c r="AJ1567" i="24"/>
  <c r="AJ1593" i="24"/>
  <c r="AJ1617" i="24"/>
  <c r="AJ1584" i="24"/>
  <c r="AJ1608" i="24"/>
  <c r="AJ1576" i="24"/>
  <c r="AJ1600" i="24"/>
  <c r="AJ1565" i="24"/>
  <c r="AJ1591" i="24"/>
  <c r="AJ1615" i="24"/>
  <c r="AJ1606" i="24"/>
  <c r="AJ1612" i="24"/>
  <c r="AJ1563" i="24"/>
  <c r="AJ1613" i="24"/>
  <c r="AJ1582" i="24"/>
  <c r="AJ1590" i="24"/>
  <c r="AJ1614" i="24"/>
  <c r="AJ1574" i="24"/>
  <c r="AJ1589" i="24"/>
  <c r="AJ1616" i="24"/>
  <c r="AJ1610" i="24"/>
  <c r="AJ1604" i="24"/>
  <c r="AJ1609" i="24"/>
  <c r="AJ1561" i="24"/>
  <c r="AJ1587" i="24"/>
  <c r="AJ1611" i="24"/>
  <c r="AJ1562" i="24"/>
  <c r="AJ1569" i="24"/>
  <c r="AJ1601" i="24"/>
  <c r="AJ1572" i="24"/>
  <c r="AJ1597" i="24"/>
  <c r="AJ1607" i="24"/>
  <c r="AJ1585" i="24"/>
  <c r="AJ1588" i="24"/>
  <c r="AJ1573" i="24"/>
  <c r="G61" i="11"/>
  <c r="H1619" i="24" s="1"/>
  <c r="AJ1583" i="24"/>
  <c r="AJ1605" i="24"/>
  <c r="AJ1570" i="24"/>
  <c r="AJ1586" i="24"/>
  <c r="AJ1560" i="24"/>
  <c r="AJ1581" i="24"/>
  <c r="AJ1603" i="24"/>
  <c r="AJ1568" i="24"/>
  <c r="D22" i="28" l="1"/>
  <c r="B20" i="28"/>
  <c r="I61" i="28"/>
  <c r="O61" i="28"/>
  <c r="C31" i="28" l="1"/>
  <c r="C26" i="28"/>
  <c r="C30" i="28"/>
  <c r="C58" i="28"/>
  <c r="C60" i="28"/>
  <c r="C32" i="28"/>
  <c r="C38" i="28"/>
  <c r="C45" i="28"/>
  <c r="C46" i="28"/>
  <c r="C29" i="28"/>
  <c r="C23" i="28"/>
  <c r="C43" i="28"/>
  <c r="C37" i="28"/>
  <c r="C39" i="28"/>
  <c r="C35" i="28"/>
  <c r="C56" i="28"/>
  <c r="C57" i="28"/>
  <c r="C36" i="28"/>
  <c r="C21" i="28"/>
  <c r="C44" i="28"/>
  <c r="D20" i="28"/>
  <c r="C20" i="28"/>
  <c r="C22" i="2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<sst xmlns="http://schemas.openxmlformats.org/spreadsheetml/2006/main" count="17614" uniqueCount="4491">
  <si>
    <t>Please Review These Instructions</t>
  </si>
  <si>
    <t xml:space="preserve">Step 1. </t>
  </si>
  <si>
    <t>Open Windows File Explorer and go to the folder where you saved the file.</t>
  </si>
  <si>
    <t>Step 2.</t>
  </si>
  <si>
    <t>Right-click the file and choose Properties from the context menu.</t>
  </si>
  <si>
    <t>Step 3.</t>
  </si>
  <si>
    <t>At the bottom of the General tab, select the Unblock checkbox and select OK.</t>
  </si>
  <si>
    <t>Step 4.</t>
  </si>
  <si>
    <t>Step 5.</t>
  </si>
  <si>
    <t xml:space="preserve">CalHome And Serna Home Ownership Programs </t>
  </si>
  <si>
    <t>2023 HOSN Super NOFA Application</t>
  </si>
  <si>
    <t>Notice of Funding Availability (NOFA) January 6, 2023</t>
  </si>
  <si>
    <t xml:space="preserve">Gavin Newsom, Governor </t>
  </si>
  <si>
    <t>State of California</t>
  </si>
  <si>
    <t>Lourdes Castro Ramirez, Secretary</t>
  </si>
  <si>
    <t>Business, Consumer Services and Housing Agency</t>
  </si>
  <si>
    <t>Gustavo Velasquez, Director</t>
  </si>
  <si>
    <t>Department of Housing and Community Development (HCD)</t>
  </si>
  <si>
    <t>2020 West El Camino Avenue, Suite 500</t>
  </si>
  <si>
    <t>Sacramento, CA 95833</t>
  </si>
  <si>
    <t xml:space="preserve">Phone: (916) 263-2771   </t>
  </si>
  <si>
    <t>HOSN@hcd.ca.gov</t>
  </si>
  <si>
    <t>http://www.hcd.ca.gov/grants-funding/nofas.shtml</t>
  </si>
  <si>
    <t>Application Technical Support email:</t>
  </si>
  <si>
    <t>HOSNSupport@hcd.ca.gov</t>
  </si>
  <si>
    <t>HOMEOWNER SUPER NOFA APPLICATION</t>
  </si>
  <si>
    <t>Name</t>
  </si>
  <si>
    <t>Type</t>
  </si>
  <si>
    <t>Address</t>
  </si>
  <si>
    <t>City</t>
  </si>
  <si>
    <t>State</t>
  </si>
  <si>
    <t>ZIP</t>
  </si>
  <si>
    <t>Title</t>
  </si>
  <si>
    <t>Email</t>
  </si>
  <si>
    <t>Phone</t>
  </si>
  <si>
    <t>CONTROLLING NON-PROFIT</t>
  </si>
  <si>
    <t>DBA</t>
  </si>
  <si>
    <t>CONTROLLING NON-PROFIT / PRIMARY CONTACT</t>
  </si>
  <si>
    <t>CO-APPLICANT</t>
  </si>
  <si>
    <t>CO-APPLICANT / PRIMARY CONTACT</t>
  </si>
  <si>
    <t>CO-APPLICANT / ALTERNATE CONTACT</t>
  </si>
  <si>
    <t>APPLICATION PREPARER</t>
  </si>
  <si>
    <t>CALHOME ELIGIBILITY QUESTIONS</t>
  </si>
  <si>
    <t>Applicant certifies that it has the authority to undertake the activities it is applying for and that it meets the eligibility requirements.</t>
  </si>
  <si>
    <t>Applicant certifies that awarded funds will only be used to pay for eligible costs.</t>
  </si>
  <si>
    <t>Applicant certifies that the households who benefit will meet the eligibility requirements of the program.</t>
  </si>
  <si>
    <t>Applicant certifies that it will implement the proposed projects/programs it is requesting funding for, and that it will be responsible for the activities required.</t>
  </si>
  <si>
    <t>Applicant certifies that it has sufficient organizational stability and capacity to carry out the activities required by the proposed projects/programs it is requesting funding for.</t>
  </si>
  <si>
    <t xml:space="preserve">Applicant certifies that it has no pending lawsuits that will impact the implementation of the proposed projects/programs it is requesting funding for. </t>
  </si>
  <si>
    <t>Applicant certifies that it has no unresolved HCD audit findings or unresolved compliance issues for HCD funded housing or community development projects.</t>
  </si>
  <si>
    <t>Applicant certifies that it has submitted all outstanding reports from previous grants to HCD.</t>
  </si>
  <si>
    <t>Applicant certifies that if the programs/projects it is requesting funding for involve construction, that construction has not started.</t>
  </si>
  <si>
    <t>Applicant certifies that it will comply with the administration requirements of the proposed projects/programs it is requesting funding for, including adopting a qualifying nondiscrimination policy, and complying with all applicable state and federal laws, rules, guidelines, and regulations that pertain to nondiscrimination and fair housing.</t>
  </si>
  <si>
    <t>Applicant certifies that it will develop underwriting guidelines that meet the requirements of the proposed projects/programs it is requesting funding for, and that it will comply with any additional requirements deemed necessary by HCD.</t>
  </si>
  <si>
    <t>Applicant certifies that if loans are made to Homeowners or Homebuyers, that these loans will follow the requirements described in the guidelines</t>
  </si>
  <si>
    <t>Applicant certifies that, for the purpose of receiving program funding, it will not consider the residents of ADUs/JADUs as part of the household receiving funding unless the borrower will occupy an ADU or JADU, in which case the residents of the primary unit shall not be considered part of the household.</t>
  </si>
  <si>
    <t>Applicant certifies that it will develop and employ a loan servicing plan, and submit the plan to HCD for approval.</t>
  </si>
  <si>
    <t>Applicant certifies that it will develop and employ a reuse account plan, and submit the plan to HCD for approval.</t>
  </si>
  <si>
    <t>CERTIFICATIONS FOR NON-PROFIT CORPORATION</t>
  </si>
  <si>
    <t>Applicant certifies that it has at least two years of experience as a housing developer or as a housing program administrator.</t>
  </si>
  <si>
    <t>Applicant certifies that it has developed a project or operated a housing program in California in the past two years or has an existing 523 Self-Help Technical Assistance grant agreement with the USDA.</t>
  </si>
  <si>
    <t>Applicant certifies that for the past two years, the organization's tax exempt purpose included the activity for which it is applying.</t>
  </si>
  <si>
    <t>CERTIFICATIONS FOR LOCAL PUBLIC ENTITIES AND AGENCIES</t>
  </si>
  <si>
    <t>Applicant certifies that it is applying for funds for a local program or project located within its jurisdictional boundaries.</t>
  </si>
  <si>
    <t>Applicant certifies it is acting as the single administrator of a consortium of mutlitple localities (a Memorandum of Understanding is required).</t>
  </si>
  <si>
    <t>Applicant certifies that it, or it's administrative subcontractor, has at least two years of experience as a housing developer or as a housing program administrator.</t>
  </si>
  <si>
    <t>(Optional) Applicant certifies that it has received a prohousing designation. (Cities and Counties Only)</t>
  </si>
  <si>
    <t>Applicant certifies it is a non-profit corporation that has operated in a designated low or moderate resource or high segregation and poverty area for at least the past two years (for-profit Community-Based Developers are not eligible).</t>
  </si>
  <si>
    <t>Applicant certifies that is has at least 5 years of experience in providing culturally competent services or community development programs to low-income households in their community.</t>
  </si>
  <si>
    <t>Applicant certifies that it either maintains its corporate headquarters within 10 miles of the proposed project or has 3 deed-restricted affordable housing projects within 10 miles of the proposed project.</t>
  </si>
  <si>
    <t>a</t>
  </si>
  <si>
    <t>b</t>
  </si>
  <si>
    <t>c</t>
  </si>
  <si>
    <t>d</t>
  </si>
  <si>
    <t>e</t>
  </si>
  <si>
    <t>f</t>
  </si>
  <si>
    <t>g</t>
  </si>
  <si>
    <t>Nutrition and food security: including food distribution programs, community gardens or urban farming projects, nutrition education programs, and nutrition assistance programs for low-income individuals and families.</t>
  </si>
  <si>
    <t>h</t>
  </si>
  <si>
    <t>Senior programs: including home modification services, companionship programs, adult daycare or respite care services, geriatric assessment or case management services, home safety assessments or modifications, in-home care or home health services, transportation assistance, and visiting nurse or medical care services for seniors.</t>
  </si>
  <si>
    <t>Applicant certifies that they have demonstrated community knowledge, commitment to long term community investment, and population-specific cultural competency in their application through a combination of the following: (select all that apply)</t>
  </si>
  <si>
    <t>Receipt of grant funds for services within the relevant neighborhood or community.</t>
  </si>
  <si>
    <t>Cultural and linguistic competency on staff relevant to community members (must be utilized daily in the provision of services and community benefit programs).</t>
  </si>
  <si>
    <t>A record of hiring from the community (within a 10-mile range of the community-based developer's central office).</t>
  </si>
  <si>
    <t>Membership in or recruitment from a local Urban League or substantially equivalent organization.</t>
  </si>
  <si>
    <t>ADDITIONAL REQUIREMENTS FOR CBD TO QUALIFY AS ELIGIBLE NON-PROFIT</t>
  </si>
  <si>
    <t>Applicant certifies that for the past two years, the organization's tax exempt purpose included the activity for which it is applying?</t>
  </si>
  <si>
    <t>CalHome First-Time Homebuyer Mortgage Assistance Application</t>
  </si>
  <si>
    <t>Application status:</t>
  </si>
  <si>
    <t>Applicant certifies that it (or it's administrative subcontractor if the applicant is a local public entity or agency) has successfully administered a homebuyer program for a minimum of two years within the last four years.</t>
  </si>
  <si>
    <t>Describe the applicable programs below, including the number of units assisted.</t>
  </si>
  <si>
    <t>Units</t>
  </si>
  <si>
    <t>Start</t>
  </si>
  <si>
    <t>End</t>
  </si>
  <si>
    <t>Years</t>
  </si>
  <si>
    <t>Applicant certifies that it will inform and assist first-time homebuyers obtain the maximum amount of first mortgage financing pursuant to the underwriting requirements in §402.4 of the CalHome guidelines. §402.3a</t>
  </si>
  <si>
    <t>Applicant certifies that it will obtain the required appraisals necessary to determine eligibility under the value limits established pursuant to §402.4 of the CalHome guidelines. §402.3b</t>
  </si>
  <si>
    <t>Applicant certifies that if it aquires existing properties, it will be responsible for inspecting the properties to be purchased, or reviewing the uniform residential appraisal reports (including the valuation conditions), and ensuring the property conform to all state housing law requirements (H.S.C. §17910 et seq.). §402.3c</t>
  </si>
  <si>
    <t>Applicant certifies that it will not provide assistance for manufactured homes in unpermitted mobilehome parks. §402.3d</t>
  </si>
  <si>
    <t>Applicant certifies it will develop and employ underwriting guidelines addressing the topics listed in §402.4 of the CalHome Guidelines, and submit these guidelines for approval. §402.4a</t>
  </si>
  <si>
    <t>Describe the applicant's proposed program.</t>
  </si>
  <si>
    <t>Describe the applicant's plan for program administration.</t>
  </si>
  <si>
    <t>Volunteer Labor, Self-Help Labor, and Youth Construction Skills Training (New Construction and Acquired/Rehabilitated Homes)</t>
  </si>
  <si>
    <t>If applicable, enter the number of volunteer labor hours, self-help construction labor hours, and youth training program hours the applicant will utilize for the proposed program.</t>
  </si>
  <si>
    <t>Volunteer Labor Hours</t>
  </si>
  <si>
    <t>Self-Help Construction Labor Hours</t>
  </si>
  <si>
    <t>Youths Construction Skills Training Program Hours (Ages 16-24 Only)</t>
  </si>
  <si>
    <t>Not limited to Rural  Areas or Manufactured Homes</t>
  </si>
  <si>
    <t>County</t>
  </si>
  <si>
    <t>Cost</t>
  </si>
  <si>
    <t>Direct Assistance</t>
  </si>
  <si>
    <t>ADF</t>
  </si>
  <si>
    <t>Homebuyer Education</t>
  </si>
  <si>
    <t>Subtotal</t>
  </si>
  <si>
    <t>% of Total</t>
  </si>
  <si>
    <t>Alameda County</t>
  </si>
  <si>
    <t>Alpine County</t>
  </si>
  <si>
    <t>Amador County</t>
  </si>
  <si>
    <t>Butte County</t>
  </si>
  <si>
    <t>Calaveras County</t>
  </si>
  <si>
    <t>Colusa County</t>
  </si>
  <si>
    <t>Contra Costa County</t>
  </si>
  <si>
    <t>Del Norte County</t>
  </si>
  <si>
    <t>El Dorado County</t>
  </si>
  <si>
    <t>Fresno County</t>
  </si>
  <si>
    <t>Glenn County</t>
  </si>
  <si>
    <t>Humboldt County</t>
  </si>
  <si>
    <t>Imperial County</t>
  </si>
  <si>
    <t>Inyo County</t>
  </si>
  <si>
    <t>Kern County</t>
  </si>
  <si>
    <t>Kings County</t>
  </si>
  <si>
    <t>Lake County</t>
  </si>
  <si>
    <t>Lassen County</t>
  </si>
  <si>
    <t>Los Angeles County</t>
  </si>
  <si>
    <t>Madera County</t>
  </si>
  <si>
    <t>Marin County</t>
  </si>
  <si>
    <t>Mariposa County</t>
  </si>
  <si>
    <t>Mendocino County</t>
  </si>
  <si>
    <t>Merced County</t>
  </si>
  <si>
    <t>Modoc County</t>
  </si>
  <si>
    <t>Mono County</t>
  </si>
  <si>
    <t>Monterey County</t>
  </si>
  <si>
    <t>Napa County</t>
  </si>
  <si>
    <t>Nevada County</t>
  </si>
  <si>
    <t>Orange County</t>
  </si>
  <si>
    <t>Placer County</t>
  </si>
  <si>
    <t>Plumas County</t>
  </si>
  <si>
    <t>Riverside County</t>
  </si>
  <si>
    <t>Sacramento County</t>
  </si>
  <si>
    <t>San Benito County</t>
  </si>
  <si>
    <t>San Bernardino County</t>
  </si>
  <si>
    <t>San Diego County</t>
  </si>
  <si>
    <t>San Francisco</t>
  </si>
  <si>
    <t>San Joaquin County</t>
  </si>
  <si>
    <t>San Luis Obispo County</t>
  </si>
  <si>
    <t>San Mateo County</t>
  </si>
  <si>
    <t>Santa Barbara County</t>
  </si>
  <si>
    <t>Santa Clara County</t>
  </si>
  <si>
    <t>Santa Cruz County</t>
  </si>
  <si>
    <t>Shasta County</t>
  </si>
  <si>
    <t>Sierra County</t>
  </si>
  <si>
    <t>Siskiyou County</t>
  </si>
  <si>
    <t>Solano County</t>
  </si>
  <si>
    <t>Sonoma County</t>
  </si>
  <si>
    <t>Stanislaus County</t>
  </si>
  <si>
    <t>Sutter County</t>
  </si>
  <si>
    <t>Tehama County</t>
  </si>
  <si>
    <t>Trinity County</t>
  </si>
  <si>
    <t>Tulare County</t>
  </si>
  <si>
    <t>Tuolumne County</t>
  </si>
  <si>
    <t>Ventura County</t>
  </si>
  <si>
    <t>Yolo County</t>
  </si>
  <si>
    <t>Yuba County</t>
  </si>
  <si>
    <t>Total Requested</t>
  </si>
  <si>
    <t>Capability</t>
  </si>
  <si>
    <t>Community Need</t>
  </si>
  <si>
    <t>Feasibility</t>
  </si>
  <si>
    <t>Community Revitalization</t>
  </si>
  <si>
    <t>Volunteer, Self-Help, Youth Training</t>
  </si>
  <si>
    <t>Increases Affordable Housing Supply</t>
  </si>
  <si>
    <t>Pro-Housing Designation</t>
  </si>
  <si>
    <t>Deducted Points (Enter Positive No.)</t>
  </si>
  <si>
    <t>Total Score</t>
  </si>
  <si>
    <t>This area has been provided to take notes.</t>
  </si>
  <si>
    <t>Manufactured Homes</t>
  </si>
  <si>
    <t>Rural  Areas</t>
  </si>
  <si>
    <t>Manufactured Homes in Rural Areas</t>
  </si>
  <si>
    <t>CalHome ADU/JADU Program Application</t>
  </si>
  <si>
    <t>Applicant certifies that it (or it's administrative subcontractor if the applicant is a local public entity or agency) has successfully administered a local owner-occupied rehabilitation program, new construction development involving multiple homeownership units (including single-family subdivisions), or an ADU/JADU program for at least two years in the last four years.</t>
  </si>
  <si>
    <t>Applicant certifies that it will develop and employ ADU/JADU program guidelines addressing underwriting guidelines, construction requirements, and site standards. $405.4a</t>
  </si>
  <si>
    <t>Applicant certifies that it will obtain title insurance in the amount of the program loan at the close of escrow. §405.4b</t>
  </si>
  <si>
    <t>Applicant certifies that it will require borrowers to maintain insurance on the property in an amount at least equal to the replacement value of the improvements and list the applicant/recipient as an additional loss payee on the policy. §405.4e</t>
  </si>
  <si>
    <t>Applicant certifies it shall set a minimum tenancy of 30 days and shall not use this program for short-term rentals. §405.4d</t>
  </si>
  <si>
    <t>CalHome ADU/JADU Application</t>
  </si>
  <si>
    <t>CalHome ADU/JADU Application / County Specific Questions</t>
  </si>
  <si>
    <t>n/a</t>
  </si>
  <si>
    <t>CalHome Owner Occupied Rehabilitation Application</t>
  </si>
  <si>
    <t>Applicant certifies that it, or it's subcontractor if the applicant is a local public entity or agency, has in the last four years successfully administered a local owner-occupied rehabilitation program for at least two years.</t>
  </si>
  <si>
    <t>Yes</t>
  </si>
  <si>
    <t>Applicant certifies that it will develop and employ owner-occupied rehabilitation program guidelines addressing underwriting guidelines (including borrower credit requirements), and rehabilitation construction requirements. 403.4a</t>
  </si>
  <si>
    <t>Applicant certifies that it will obtain an appraisal that meets the requirements listed in the program guidelines before starting any rehabilitation work. 403.4b</t>
  </si>
  <si>
    <t>Applicant certifies that it will not allow borrowers to withdraw cash from the escrow account. 403.4c</t>
  </si>
  <si>
    <t>Applicant certifies that it will obtain title insurance in the amount of the program loan at the close of escrow. 403.4d</t>
  </si>
  <si>
    <t>Applicant certifies that it will require borrowers to maintain insurance on the property and list the applicant/recipient as an additional loss payee on the policy. 403.4e</t>
  </si>
  <si>
    <t>Repair Units</t>
  </si>
  <si>
    <t>Reconstruct Units</t>
  </si>
  <si>
    <t>ADU Units Repair</t>
  </si>
  <si>
    <t>ADU Units Reconstruct</t>
  </si>
  <si>
    <t>CalHome Technical Assistance for Self-Help Housing Application</t>
  </si>
  <si>
    <t>Applicant certifies that it, or it's subcontractor if the applicant is a local public entity or agency, has in the last four years successfully administered at least two self-help, new construction projects</t>
  </si>
  <si>
    <t>Applicant certifies that the homes assisted by the proposed Self-Help Technical Assistance program will not be sold for more than their appraised valued. §401.3b</t>
  </si>
  <si>
    <t>Applicant certifies it will develop and employ program guidelines addressing the topics listed in §401.3a of the Serna-Homeownership Guidelines, and submit these guidelines for approval. §401.3a</t>
  </si>
  <si>
    <t>Homebuyer Classes</t>
  </si>
  <si>
    <t>CalHome Control</t>
  </si>
  <si>
    <t>Serna Control</t>
  </si>
  <si>
    <t>Document Name</t>
  </si>
  <si>
    <t>Document Description</t>
  </si>
  <si>
    <t>cmdbtn_LPE_BoardResolution</t>
  </si>
  <si>
    <t>cmdbtn_LPE_BoardResolution2</t>
  </si>
  <si>
    <t>Board Resolution</t>
  </si>
  <si>
    <t>Upload the governing board resolution that legally authorized the application into the portal folder titled...
1 - Organization Documents
Applicants may use their own resolution format if it contains the same authorizations as the sample available from HCD's website (HCD.ca.gov).
The person attesting to the resolution signing cannot be the same person authorized to execute the documents in the name of the Applicant.
Before uploading this document to the portal, name the file...
Board Resolution
If you are uploading multiple files, name the files...
Board Resolution 01 - [Additional Description], 
Board Resolution 02 - [Additional Description], 
Board Resolution 03 - [Additional Description] ...
Replace [Additional Description] in the example with an appropriate description that HCD staff can use to quickly identify the document.
If you are applying for CalHome and Serna, you only need to upload one copy of this document.</t>
  </si>
  <si>
    <t>cmdbtn_LPE_FISCALTIN</t>
  </si>
  <si>
    <t>cmdbtn_LPE_FISCALTIN2</t>
  </si>
  <si>
    <t>FI$Cal TIN Form</t>
  </si>
  <si>
    <t>Complete, print, sign, and scan the FI$Cal Government Agency Taxpayer ID form.
This form can be downloaded from fiscal.ca.gov.
Upload the completed form into the portal folder titled...
1 - Organization Documents
Before uploading this document to the portal, name the file...
FI$Cal TIN Form
If you are applying for CalHome and Serna, you only need to upload one copy of this document.</t>
  </si>
  <si>
    <t>cmdbtn_LPE_ProHousing</t>
  </si>
  <si>
    <t>cmdbtn_LPE_ProHousing2</t>
  </si>
  <si>
    <t>City/County Pro-Housing Designation</t>
  </si>
  <si>
    <t>If the city or county received a pro-housing designation from HCD, upload supporting documentation confirming this into the portal folder titled...
1 - Organization Documents
Before uploading this document to the portal, name the file...
Pro-Housing Designation
If you are uploading multiple files, name the files...
Pro-Housing Designation 01 - [Additional Description], 
Pro-Housing Designation 02 - [Additional Description], 
Pro-Housing Designation 03 - [Additional Description] ..
If you are applying for CalHome and Serna, you only need to upload one copy of this document.</t>
  </si>
  <si>
    <t>cmdbtn_NP_ArticlesofInc</t>
  </si>
  <si>
    <t>cmdbtn_NP_ArticlesofInc2</t>
  </si>
  <si>
    <t>Articles of Incorporation</t>
  </si>
  <si>
    <t>Upload a certified copy of the applicant's articles of incorporation into the portal folder titled...
1 - Organization Documents
Before uploading this document to the portal, name the file...
Articles of Incorporation
If you are uploading multiple files, name the files...
Articles of Incorporation 01 - [Additional Description], 
Articles of Incorporation 02 - [Additional Description], 
Articles of Incorporation 03 - [Additional Description] ...
Replace [Additional Description] in the example with an appropriate description that HCD staff can use to quickly identify the document.
If you are applying for CalHome and Serna, you only need to upload one copy of this document.</t>
  </si>
  <si>
    <t>cmdbtn_NP_BoardOfDirectors</t>
  </si>
  <si>
    <t>cmdbtn_NP_BoardOfDirectors2</t>
  </si>
  <si>
    <t>Board of Directors</t>
  </si>
  <si>
    <t>Upload a list of the applicant's current board of directors into the portal folder titled...
1 - Organization Documents
Before uploading this document to the portal, name the file...
Board of Directors
If you are uploading multiple files, name the files...
Board of Directors 01 - [Additional Description], 
Board of Directors 02 - [Additional Description], 
Board of Directors 03 - [Additional Description] ...
Replace [Additional Description] in the example with an appropriate description that HCD staff can use to quickly identify the document.
If you are applying for CalHome and Serna, you only need to upload one copy of this document.</t>
  </si>
  <si>
    <t>cmdbtn_NP_BoardResolution</t>
  </si>
  <si>
    <t>cmdbtn_NP_BoardResolution2</t>
  </si>
  <si>
    <t>cmdbtn_NP_Bylaws</t>
  </si>
  <si>
    <t>cmdbtn_NP_Bylaws2</t>
  </si>
  <si>
    <t>Bylaws</t>
  </si>
  <si>
    <t>Upload the applicant's bylaws into the portal folder titled...
1 - Organization Documents
Before uploading this document to the portal, name the file...
Bylaws
If you are uploading multiple files, name the files...
Bylaws 01 - [Additional Description], 
Bylaws 02 - [Additional Description], 
Bylaws 03 - [Additional Description] ...
Replace [Additional Description] in the example with an appropriate description that HCD staff can use to quickly identify the document.
If you are applying for CalHome and Serna, you only need to upload one copy of this document.</t>
  </si>
  <si>
    <t>cmdbtn_NP_CertOfAmendments</t>
  </si>
  <si>
    <t>cmdbtn_NP_CertOfAmendments2</t>
  </si>
  <si>
    <t>Certificates of Amendment</t>
  </si>
  <si>
    <t>Upload all certificates of amendment to the applicant's articles of incorporation into the portal folder titled...
1 - Organization Documents
If the applicant doesn't have a certificate of amendment because it has not amended it's articles or incorporation, then skip this step.
Before uploading this document to the portal, name the file...
Certificate of Amendment
If you are uploading multiple files, name the files...
Certificate of Amendment 01 - [Additional Description], 
Certificate of Amendment 02 - [Additional Description], 
Certificate of Amendment 03 - [Additional Description] ...
Replace [Additional Description] in the example with an appropriate description that HCD staff can use to quickly identify the document.
If you are applying for CalHome and Serna, you only need to upload one copy of this document.</t>
  </si>
  <si>
    <t>cmdbtn_NP_FinancialStatements</t>
  </si>
  <si>
    <t>cmdbtn_NP_FinancialStatements2</t>
  </si>
  <si>
    <t>Financial Statements (Last Two Fiscal Years)</t>
  </si>
  <si>
    <t>Upload the applicant's financial statements for the last two fiscal years into the portal folder titled...
1 - Organization Documents
One of the financial statements must be audited.
Before uploading this document to the portal, name the files...
Financial Statement FY ##-##, and
Financial Statement FY ##-##.
Replace ##-## in the example with the fiscal year of the financial statement. For example, 19-20 and 20-21.
If you are applying for CalHome and Serna, you only need to upload one copy of this document.</t>
  </si>
  <si>
    <t>cmdbtn_NP_IRS501C3</t>
  </si>
  <si>
    <t>cmdbtn_NP_IRS501C32</t>
  </si>
  <si>
    <t>501C(3) Approval</t>
  </si>
  <si>
    <t>Upload the applicant's IRS 501C(3) approval into the portal folder titled...
1 - Organization Documents
Before uploading this file to the portal, name the file...
501C3 Approval
If you are uploading multiple files, name the files...
501C3 Approval 01 - [Additional Description], 
501C3 Approval 02 - [Additional Description], 
501C3 Approval 03 - [Additional Description] ...
Replace [Additional Description] in the example with an appropriate description that HCD staff can use to quickly identify the document.
If you are applying for CalHome and Serna, you only need to upload one copy of this document.</t>
  </si>
  <si>
    <t>cmdbtn_NP_OrgChart</t>
  </si>
  <si>
    <t>cmdbtn_NP_OrgChart2</t>
  </si>
  <si>
    <t>Organization Chart</t>
  </si>
  <si>
    <t>Upload a current organization chart into the portal folder titled...
1 - Organization Documents
Before uploading this file to the portal, name the file...
Organization Chart
If you are uploading multiple files, name the files...
Organization Chart 01 - [Additional Description], 
Organization Chart 02 - [Additional Description], 
Organization Chart 03 - [Additional Description] ...
Replace [Additional Description] in the example with an appropriate description that HCD staff can use to quickly identify the document.
If you are applying for CalHome and Serna, you only need to upload one copy of this document.</t>
  </si>
  <si>
    <t>cmdbtn_NP_PayeeDataRecord</t>
  </si>
  <si>
    <t>cmdbtn_NP_PayeeDataRecord2</t>
  </si>
  <si>
    <t>Payee Data Record Form</t>
  </si>
  <si>
    <t>Complete, print, sign, and scan the DGS Payee Data Record form (STD-204).
This form can be downloaded from https://www.documents.dgs.ca.gov/dgs/fmc/pdf/Std204.pdf.
Upload the completed form into the portal folder titled...
1 - Organization Documents
Before uploading this file to the portal, name the file...
Payee Data Record
If you are applying for CalHome and Serna, you only need to upload one copy of the Payee Data Record Form.</t>
  </si>
  <si>
    <t>cmdbtn_NP_RestatedArticles</t>
  </si>
  <si>
    <t>cmdbtn_NP_RestatedArticles2</t>
  </si>
  <si>
    <t>Restated Articles of Incorporation</t>
  </si>
  <si>
    <t>If applicable, upload the applicant's restated articles of incorporation into the portal folder titled
1 - Organization Documents
If the applicant doesn't have restated articles of incorporation, then skip this step.
Before uploading this file to the portal, name the file...
Restated Articles
If you are uploading multiple files, name the files...
Restated Articles 01 - [Additional Description], 
Restated Articles 02 - [Additional Description], 
Restated Articles 03 - [Additional Description] ...
Replace [Additional Description] in the example with an appropriate description that HCD staff can use to quickly identify the document.
If you are applying for CalHome and Serna, you only need to upload one copy of this document.</t>
  </si>
  <si>
    <t>cmdbtn_NP_SOSLetter</t>
  </si>
  <si>
    <t>cmdbtn_NP_SOSLetter2</t>
  </si>
  <si>
    <t>Certificate of Goodstanding</t>
  </si>
  <si>
    <t>Upload a certificate of good standing issued by the California Secretary of State into the portal folder titled...
1 - Organization Documents
Before uploading this file to the portal, name the file...
Certificate of Goodstanding
If you are uploading multiple files, name the files...
Certificate of Goodstanding 01 - [Additional Description], 
Certificate of Goodstanding 02 - [Additional Description], 
Certificate of Goodstanding 03 - [Additional Description] ...
Replace [Additional Description] in the example with an appropriate description that HCD staff can use to quickly identify the document.
If you are applying for CalHome and Serna, you only need to upload one copy of this document.</t>
  </si>
  <si>
    <t>cmdbtn_Tribe_BoardResolution</t>
  </si>
  <si>
    <t>cmdbtn_Tribe_BoardResolution2</t>
  </si>
  <si>
    <t>cmdbtn_Tribe_FTINOrPayeeDataRec</t>
  </si>
  <si>
    <t>cmdbtn_Tribe_FTINOrPayeeDataRec2</t>
  </si>
  <si>
    <t>FISCAL TIN or Payee Data Record Form</t>
  </si>
  <si>
    <t>cmdbtn_LLC_ArticlesofInc</t>
  </si>
  <si>
    <t>Non-Profit's Articles of Incorporation</t>
  </si>
  <si>
    <t>Upload a certified copy of the controlling non-profit's articles of incorporation into the portal folder titled...
1 - Organization Documents
If multiple non-profits have ownership or control over the LLC, upload the articles for each.
Before uploading this document to the portal, name the file...
Non-Profit's Articles of Incorporation
If you are uploading multiple files, name the files...
Non-Profit's Articles of Incorporation 01 - [Additional Description], 
Non-Profit's Articles of Incorporation 02 - [Additional Description], 
Non-Profit's Articles of Incorporation 03 - [Additional Description] ...
Replace [Additional Description] in the example with an appropriate description that HCD staff can use to quickly identify the document.</t>
  </si>
  <si>
    <t>cmdbtn_LLC_BoardOfDirectors</t>
  </si>
  <si>
    <t>Non-Profit's Board of Directors</t>
  </si>
  <si>
    <t>Upload a list of the controlling non-profit's current board of directors into the portal folder titled...
1 - Organization Documents
If multiple non-profits have ownership or control over the LLC, upload a list for each.
Before uploading this document to the portal, name the file...
Non-Profit's Board of Directors
If you are uploading multiple files, name the files...
Non-Profit's Board of Directors 01 - [Additional Description], 
Non-Profit's Board of Directors 02 - [Additional Description], 
Non-Profit's Board of Directors 03 - [Additional Description] ...
Replace [Additional Description] in the example with an appropriate description that HCD staff can use to quickly identify the document.</t>
  </si>
  <si>
    <t>cmdbtn_LLC_BoardResolution</t>
  </si>
  <si>
    <t>Non-Profit's Board Resolution</t>
  </si>
  <si>
    <t>Upload the governing board resolution that legally authorized the application into the portal folder titled...
1 - Organization Documents
If multiple non-profits have ownership or control over the LLC, upload a board resolution for each.
Applicants may use their own resolution format if it contains the same authorizations as the sample available from HCD's website (HCD.ca.gov).
The person attesting to the resolution signing cannot be the same person authorized to execute the documents in the name of the Applicant.
Before uploading this document to the portal, name the file...
Non-Profit's Board Resolution
If you are uploading multiple files, name the files...
Non-Profit's Board Resolution 01 - [Additional Description], 
Non-Profit's Board Resolution 02 - [Additional Description], 
Non-Profit's Board Resolution 03 - [Additional Description] ...
Replace [Additional Description] in the example with an appropriate description that HCD staff can use to quickly identify the document.</t>
  </si>
  <si>
    <t>cmdbtn_LLC_Bylaws</t>
  </si>
  <si>
    <t>Non-Profit's Bylaws</t>
  </si>
  <si>
    <t>Upload the controlling non-profit's bylaws into the portal folder titled...
1 - Organization Documents
If multiple non-profits have ownership or control over the LLC, upload the bylaws for each.
Before uploading this document to the portal, name the file...
Non-Profit's Bylaws
If you are uploading multiple files, name the files...
Non-Profit's Bylaws 01 - [Additional Description], 
Non-Profit's Bylaws 02 - [Additional Description], 
Non-Profit's Bylaws 03 - [Additional Description] ...
Replace [Additional Description] in the example with an appropriate description that HCD staff can use to quickly identify the document.</t>
  </si>
  <si>
    <t>cmdbtn_LLC_NPCertOfAmendment</t>
  </si>
  <si>
    <t>Non-Profit's Certificates of Amendment (if applicable)</t>
  </si>
  <si>
    <t>Upload all certificates of amendment to the controlling non-profit's articles of incorporation into the portal folder titled...
1 - Organization Documents
If the controlling non-profit doesn't have a certificate of amendment because it has not amended it's articles of incorporation, skip this step.
If multiple non-profit corporations have ownership or control over the LLC, upload amendments for each.
Before uploading this document to the portal, name the file...
Non-Profit's Certificate of Amendment
If you are uploading multiple files, name the files...
Non-Profit's Certificate of Amendment 01 - [Additional Description], 
Non-Profit's Certificate of Amendment 02 - [Additional Description], 
Non-Profit's Certificate of Amendment 03 - [Additional Description] ...
Replace [Additional Description] in the example with an appropriate description that HCD staff can use to quickly identify the document.</t>
  </si>
  <si>
    <t>cmdbtn_LLC_FinancialStatements</t>
  </si>
  <si>
    <t>Controlling Non-Profit's Financial Statements (Last Two Fiscal Years)</t>
  </si>
  <si>
    <t>Upload the controlling non-profit's financial statements for the last two fiscal years into the portal folder titled...
1 - Organization Documents
One of these financial statements must be audited.
If multiple non-profit corporations have ownership or control over the LLC, upload the financial statements for each.
Before uploading this document to the portal, name the files...
Non-Profit's Financial Statement FY ##-##, and
Non-Profit's Financial Statement FY ##-##.
Replace ##-## in the example with the fiscal year of the financial statement. For example, 19-20 and 20-21.
If the LLC has financial statements, upload it's financial statements for the last two fiscal years to the porting using the file names...
LLC's Financial Statement FY ##-##, and
LLC's Financial Statement FY ##-##.</t>
  </si>
  <si>
    <t>cmdbtn_LLC_IRS501C3</t>
  </si>
  <si>
    <t>Non-Profit's 501(C)3 Approval</t>
  </si>
  <si>
    <t>Upload the controlling non-profit's IRS 501C(3) approval into the portal folder titled...
1 - Organization Documents
If multiple non-profit corporations have ownership or control over the LLC, upload a 501C(3) approval for each.
Before uploading this file to the portal, name the file...
Non-Profit's 501C3 Approval
If you are uploading multiple files, name the files...
Non-Profit's 501C3 Approval 01 - [Additional Description], 
Non-Profit's 501C3 Approval 02 - [Additional Description], 
Non-Profit's 501C3 Approval 03 - [Additional Description] ...
Replace [Additional Description] in the example with an appropriate description that HCD staff can use to quickly identify the document.</t>
  </si>
  <si>
    <t>cmdbtn_LLC_RestatedArticles</t>
  </si>
  <si>
    <t>Non-Profit's Restated Articles of Incorporation (if applicable)</t>
  </si>
  <si>
    <t>If applicable, upload the controlling non-profit's restated articles of incorporation into the portal folder titled
1 - Organization Documents
If the controlling non-profit's doesn't have restated articles of incorporation, then skip this step.
If multiple non-profit corporations have ownership or control over the LLC, upload the restated articles (if applicable) for each.
Before uploading this file to the portal, name the file...
Non-Profit's Restated Articles
If you are uploading multiple files, name the files...
Non-Profit's Restated Articles 01 - [Additional Description], 
Non-Profit's Restated Articles 02 - [Additional Description], 
Non-Profit's Restated Articles 03 - [Additional Description] ...
Replace [Additional Description] in the example with an appropriate description that HCD staff can use to quickly identify the document.</t>
  </si>
  <si>
    <t>cmdbtn_LLC_GoodStanding</t>
  </si>
  <si>
    <t>Certificates of Goodstanding (CA SOS)</t>
  </si>
  <si>
    <t>Upload certificates of good standing issued by the California Secretary of State for the controlling non-profit and for the LLC (if applicable) into the portal folder titled...
1 - Organization Documents
If multiple non-profits have ownership or control over the LLC, upload a certificate of goodstanding for each.
Before uploading these files to the portal, name the files...
LLC's Certificate of Goodstanding, and
Non-Profit's Certificate of Goodstanding.</t>
  </si>
  <si>
    <t>cmdbtn_LLC_OpperatingAgreement</t>
  </si>
  <si>
    <t>LLC's Operating Agreement</t>
  </si>
  <si>
    <t>Upload the LLC's operating agreement into the portal folder titled
1 - Organization Documents
Before uploading this file to the portal, name the file...
LLC's Operating Agreement
If you are uploading multiple files, name the files...
LLC's Operating Agreement 01 - [Additional Description], 
LLC's Operating Agreement 02 - [Additional Description], 
LLC's Operating Agreement 03 - [Additional Description] ...
Replace [Additional Description] in the example with an appropriate description that HCD staff can use to quickly identify the document.</t>
  </si>
  <si>
    <t>cmdbtn_LLC_CertOfAmendment</t>
  </si>
  <si>
    <t>LLC's Certificates of Amendment</t>
  </si>
  <si>
    <t>Upload all certificates of amendment to the LLC's articles of organization into the portal folder titled...
1 - Organization Documents
If the LLC doesn't have a certificate of amendment because it has not amended it's articles of organization, skip this step.
Before uploading this document to the portal, name the file...
LLC's Certificate of Amendment
If you are uploading multiple files, name the files...
LLC's Certificate of Amendment 01 - [Additional Description], 
LLC's Certificate of Amendment 02 - [Additional Description], 
LLC's Certificate of Amendment 03 - [Additional Description] ...
Replace [Additional Description] in the example with an appropriate description that HCD staff can use to quickly identify the document.</t>
  </si>
  <si>
    <t>cmdbtn_LLC_ArticlesOfOrganization</t>
  </si>
  <si>
    <t>LLC's Articles of Organization</t>
  </si>
  <si>
    <t>Upload the LLC's articles of organization into the portal folder titled...
1 - Organization Documents
Before uploading this document to the portal, name the file...
LLC's Articles of Organization
If you are uploading multiple files, name the files...
LLC's Articles of Organization 01 - [Additional Description], 
LLC's Articles of Organization 02 - [Additional Description], 
LLC's Articles of Organization 03 - [Additional Description] ...
Replace [Additional Description] in the example with an appropriate description that HCD staff can use to quickly identify the document.</t>
  </si>
  <si>
    <t>cmdbtn_LLC_OrgChart</t>
  </si>
  <si>
    <t>Organization Charts</t>
  </si>
  <si>
    <t>Upload organization charts for the LLC, and for all Non-Profit Corporation Members into the portal folder titled...
1 - Organization Documents
If multiple non-profit corporations have ownership or control over the LLC, upload an org chart for each.
Before uploading these files to the portal, name the files...
LLC's Organization Chart, and 
Non-Profit's Organization Chart.</t>
  </si>
  <si>
    <t>cmdbtn_LLC_PayeeDataRecord</t>
  </si>
  <si>
    <t>Complete, print, sign, and scan the DGS Payee Data Record form (STD-204).
This form can be downloaded from https://www.documents.dgs.ca.gov/dgs/fmc/pdf/Std204.pdf.
Upload the completed form into the portal folder titled...
1 - Organization Documents
Before uploading this file to the portal, name the file...
Payee Data Record</t>
  </si>
  <si>
    <t>cmdbtn_LP_Agreement</t>
  </si>
  <si>
    <t>Limited Partnership Agreement</t>
  </si>
  <si>
    <t>Upload the Limited Partnership Agreement into the portal folder titled...
1 - Organization Documents
Before uploading this document to the portal, name the file...
Limited Partnership Agreement
If you are uploading multiple files, name the files...
Limited Partnership Agreement 01 - [Additional Description], 
Limited Partnership Agreement 02 - [Additional Description], 
Limited Partnership Agreement 03 - [Additional Description] ...
Replace [Additional Description] in the example with an appropriate description that HCD staff can use to quickly identify the document.</t>
  </si>
  <si>
    <t>cmdbtn_LP_FinancialStatements</t>
  </si>
  <si>
    <t>Upload the controlling non-profit's financial statements for the last two fiscal years into the portal folder titled...
1 - Organization Documents
One of these financial statements must be audited.
If multiple non-profit corporations have ownership or control over the Limited Partnership, upload the financial statements for each.
Before uploading this document to the portal, name the files...
Non-Profit's Financial Statement FY ##-##, and
Non-Profit's Financial Statement FY ##-##.
Replace ##-## in the example with the fiscal year of the financial statement. For example, 19-20 and 20-21.
If the Limited Partnership has financial statements, upload it's financial statements for the last two fiscal years to the porting using the file names...
Limited Partnership's Financial Statement FY ##-##, and
Limited Partnership's Financial Statement FY ##-##.</t>
  </si>
  <si>
    <t>cmdbtn_LP_GoodStanding</t>
  </si>
  <si>
    <t>Upload letters of good standing issued by the California Secretary of State for the controlling non-profit and for the Limited Partnership (if applicable) into the portal folder titled...
1 - Organization Documents
If multiple non-profits have ownership or control over the Limited Partnership, upload a certificate of goodstanding for each.
Before uploading these files to the portal, name the files...
Limited Partnership's Certificate of Goodstanding, and
Non-Profit's Certificate of Goodstanding.</t>
  </si>
  <si>
    <t>cmdbtn_LP_RestatedArticles</t>
  </si>
  <si>
    <t>Controlling Non-Profit's Restated Articles of Incorporation</t>
  </si>
  <si>
    <t>If applicable, upload the controlling non-profit's restated articles of incorporation into the portal folder titled
1 - Organization Documents
If the controlling non-profit's doesn't have restated articles of incorporation, then skip this step.
If multiple non-profit corporations have ownership or control over the Limited Partnership, upload the restated articles (if applicable) for each.
Before uploading this file to the portal, name the file...
Non-Profit's Restated Articles
If you are uploading multiple files, name the files...
Non-Profit's Restated Articles 01 - [Additional Description], 
Non-Profit's Restated Articles 02 - [Additional Description], 
Non-Profit's Restated Articles 03 - [Additional Description] ...
Replace [Additional Description] in the example with an appropriate description that HCD staff can use to quickly identify the document.</t>
  </si>
  <si>
    <t>cmdbtn_LP_PayeeDataRecord</t>
  </si>
  <si>
    <t>cmdbtn_S1_CertificationsAndLegal</t>
  </si>
  <si>
    <t>Serna Certifications and Legal Form</t>
  </si>
  <si>
    <t>cmdbtn_S1_CAndLExplanation</t>
  </si>
  <si>
    <t>Serna Certifications and Legal Form Explanation</t>
  </si>
  <si>
    <t>If you answered yes to any of the questions in the Serna Certifications and Legal form, upload an explanation into the portal folder titled...
3 - Serna General Documents
If you didn't answer yes to any of the questions, skip this step.
Before uploading this file to the portal, name the file... 
Serna Certifications And Legal Explanation</t>
  </si>
  <si>
    <t>cmdbtn_S1_LoanServicePlan</t>
  </si>
  <si>
    <t>Serna Loan Servicing Plan</t>
  </si>
  <si>
    <t>Upload the applicant's loan servicing plan into the portal folder titled…
3 - Serna General Documents
The plan should include each item listed in the program guidelines.
Before uploading this file to the portal, name the file... 
Serna Loan Servicing Plan</t>
  </si>
  <si>
    <t>cmdbtn_S1_ReuseAccountPlan</t>
  </si>
  <si>
    <t>Serna Reuse Account Plan</t>
  </si>
  <si>
    <t>Upload the applicant's reuse account plan into the portal folder titled...
3 - Serna General Documents
The plan should include a description of the tracking system that will be used to ensure the reuse of funds for eligible activities.
Before uploading this file to the portal, name the file... 
Serna Reuse Account Plan</t>
  </si>
  <si>
    <t>cmdbtn_S1_SignatureBlock</t>
  </si>
  <si>
    <t>Serna Signature Block</t>
  </si>
  <si>
    <t>Upload a signature block for the applicant into the portal folder titled...
3 - Serna General Documents
The signature block should be formatted as a word document, and will be used for legal document preparation.
Before uploading this file to the portal, name the file... 
Serna Signature Block</t>
  </si>
  <si>
    <t>cmdbtn_S1_LPE_AdminSubcontracts</t>
  </si>
  <si>
    <t>Serna Administrative Contracts</t>
  </si>
  <si>
    <t>If the applicant is contracting with an administrative sub-contractor, upload the contract into the portal folder titled...
3 - Serna General Documents
If the contract doesn't already include the contractor's contact information, include it as an addendum.
Before uploading this file to the portal, name the file... 
Serna Administrative Contract
If you are uploading multiple files, name the files...
Serna Administrative Contract 01 - [Additional Description], 
Serna Administrative Contract 02 - [Additional Description], 
Serna Administrative Contract 03 - [Additional Description] ...
Replace [Additional Description] in the example with an appropriate description that HCD staff can use to quickly identify the document.</t>
  </si>
  <si>
    <t>cmdbtn_S1_LPE_ConsultAgreements</t>
  </si>
  <si>
    <t>Serna Consultant Contracts</t>
  </si>
  <si>
    <t>If the applicant is contracting with a consultant, upload the contract into the portal folder titled...
3 - Serna General Documents
If the contract doesn't already include the consultant's contact information, include it as an addendum.
Before uploading this file to the portal, name the file... 
Serna Consultant Contract
If you are uploading multiple files, name the files...
Serna Consultant Contract 01 - [Additional Description], 
Serna Consultant Contract 02 - [Additional Description], 
Serna Consultant Contract 03 - [Additional Description] ...
Replace [Additional Description] in the example with an appropriate description that HCD staff can use to quickly identify the document.</t>
  </si>
  <si>
    <t>cmdbtn_S1_LPE_MOU</t>
  </si>
  <si>
    <t>Serna Memorandum of Understanding</t>
  </si>
  <si>
    <t>If the applicant is the single administrator applying on behalf of entities/agencies in a consortium, upload the memorandum of understanding into the portal folder titled…
3 - Serna General Documents
Before uploading this file to the portal, name the file... 
Serna MOU
If you are uploading multiple files, name the files...
Serna MOU 01 - [Additional Description], 
Serna MOU 02 - [Additional Description], 
Serna MOU 03 - [Additional Description] ...
Replace [Additional Description] in the example with an appropriate description that HCD staff can use to quickly identify the document.</t>
  </si>
  <si>
    <t>cmdbtn_LP_AmendmentsToLP</t>
  </si>
  <si>
    <t>Amendments to the Limited Partnership</t>
  </si>
  <si>
    <t>Upload all amendments to the limited partnership into the portal folder titled...
1 - Organization Documents
Before uploading this document to the portal, name the file...
Amendments to Limited Partnership
If there are no amendments to the limited partnership, skip this step.
If you are uploading multiple files, name the files...
Amendments to Limited Partnership 01 - [Additional Description], 
Amendments to Limited Partnership 02 - [Additional Description], 
Amendments to Limited Partnership 03 - [Additional Description] ...
Replace [Additional Description] in the example with an appropriate description that HCD staff can use to quickly identify the document.</t>
  </si>
  <si>
    <t>cmdbtn_LP_ArticlesofInc</t>
  </si>
  <si>
    <t>Controlling Non-Profit's Articles of Incorporation</t>
  </si>
  <si>
    <t>Upload a certified copy of the controlling non-profit's articles of incorporation into the portal folder titled...
1 - Organization Documents
If multiple non-profits have ownership or control over the Limited Partnership, upload the articles for each.
Before uploading this document to the portal, name the file...
Non-Profit's Articles of Incorporation
If you are uploading multiple files, name the files...
Non-Profit's Articles of Incorporation 01 - [Additional Description], 
Non-Profit's Articles of Incorporation 02 - [Additional Description], 
Non-Profit's Articles of Incorporation 03 - [Additional Description] ...
Replace [Additional Description] in the example with an appropriate description that HCD staff can use to quickly identify the document.</t>
  </si>
  <si>
    <t>cmdbtn_LP_BoardOfDirectors</t>
  </si>
  <si>
    <t>Controlling Non-Profit's Board of Directors</t>
  </si>
  <si>
    <t>Upload a list of the controlling non-profit's current board of directors into the portal folder titled...
1 - Organization Documents
If multiple non-profits have ownership or control over the Limited Partnership, upload a list for each.
Before uploading this document to the portal, name the file...
Non-Profit's Board of Directors
If you are uploading multiple files, name the files...
Non-Profit's Board of Directors 01 - [Additional Description], 
Non-Profit's Board of Directors 02 - [Additional Description], 
Non-Profit's Board of Directors 03 - [Additional Description] ...
Replace [Additional Description] in the example with an appropriate description that HCD staff can use to quickly identify the document.</t>
  </si>
  <si>
    <t>cmdbtn_LP_BoardResolution</t>
  </si>
  <si>
    <t>Controlling Non-Profit's Board Resolution</t>
  </si>
  <si>
    <t>Upload the governing board resolution that legally authorized the application into the portal folder titled...
1 - Organization Documents
If multiple non-profits have ownership or control over the Limited Partnership, upload a board resolution for each.
Applicants may use their own resolution format if it contains the same authorizations as the sample available from HCD's website (HCD.ca.gov).
The person attesting to the resolution signing cannot be the same person authorized to execute the documents in the name of the Applicant.
Before uploading this document to the portal, name the file...
Non-Profit's Board Resolution
If you are uploading multiple files, name the files...
Non-Profit's Board Resolution 01 - [Additional Description], 
Non-Profit's Board Resolution 02 - [Additional Description], 
Non-Profit's Board Resolution 03 - [Additional Description] ...
Replace [Additional Description] in the example with an appropriate description that HCD staff can use to quickly identify the document.</t>
  </si>
  <si>
    <t>cmdbtn_LP_Bylaws</t>
  </si>
  <si>
    <t>Controlling Non-Profit's Bylaws</t>
  </si>
  <si>
    <t>Upload the controlling non-profit's bylaws into the portal folder titled...
1 - Organization Documents
If multiple non-profits have ownership or control over the Limited Partnership, upload the bylaws for each.
Before uploading this document to the portal, name the file...
Non-Profit's Bylaws
If you are uploading multiple files, name the files...
Non-Profit's Bylaws 01 - [Additional Description], 
Non-Profit's Bylaws 02 - [Additional Description], 
Non-Profit's Bylaws 03 - [Additional Description] ...
Replace [Additional Description] in the example with an appropriate description that HCD staff can use to quickly identify the document.</t>
  </si>
  <si>
    <t>cmdbtn_LP_CertOfLP</t>
  </si>
  <si>
    <t>Certificate of Limited Partnership</t>
  </si>
  <si>
    <t>Upload the applicant's Certificate of Limited Partnership into the portal folder titled...
1 - Organization Documents
Before uploading this document to the portal, name the file...
Certificate of Limited Partnership
If you are uploading multiple files, name the files...
Certificate of Limited Partnership 01 - [Additional Description], 
Certificate of Limited Partnership 02 - [Additional Description], 
Certificate of Limited Partnership 03 - [Additional Description] ...
Replace [Additional Description] in the example with an appropriate description that HCD staff can use to quickly identify the document.</t>
  </si>
  <si>
    <t>cmdbtn_LP_IRS501C3</t>
  </si>
  <si>
    <t>Controlling Non-Profit's 501C(3) Approval</t>
  </si>
  <si>
    <t>Upload the controlling non-profit's IRS 501C(3) approval into the portal folder titled...
1 - Organization Documents
If multiple non-profit corporations have ownership or control over the Limited Partnership, upload a 501C(3) approval for each.
Before uploading this file to the portal, name the file...
Non-Profit's 501C3 Approval
If you are uploading multiple files, name the files...
Non-Profit's 501C3 Approval 01 - [Additional Description], 
Non-Profit's 501C3 Approval 02 - [Additional Description], 
Non-Profit's 501C3 Approval 03 - [Additional Description] ...
Replace [Additional Description] in the example with an appropriate description that HCD staff can use to quickly identify the document.</t>
  </si>
  <si>
    <t>cmdbtn_LP_NPCertOfAmendment</t>
  </si>
  <si>
    <t>Controlling Non-Profit's Certificates of Amendment</t>
  </si>
  <si>
    <t>Upload all certificates of amendment to the controlling non-profit's articles of incorporation into the portal folder titled...
1 - Organization Documents
If the controlling non-profit doesn't have a certificate of amendment because it has not amended it's articles of incorporation, skip this step.
If multiple non-profit corporations have ownership or control over the Limited Partnership, upload amendments for each.
Before uploading this document to the portal, name the file...
Non-Profit's Certificate of Amendment
If you are uploading multiple files, name the files...
Non-Profit's Certificate of Amendment 01 - [Additional Description], 
Non-Profit's Certificate of Amendment 02 - [Additional Description], 
Non-Profit's Certificate of Amendment 03 - [Additional Description] ...
Replace [Additional Description] in the example with an appropriate description that HCD staff can use to quickly identify the document.</t>
  </si>
  <si>
    <t>cmdbtn_LP_OrgChart</t>
  </si>
  <si>
    <t>Upload organization charts for the Limited Partnership, and for all Non-Profit Corporation General Partners into the portal folder titled...
1 - Organization Documents
If multiple non-profit corporations have ownership or control over the Limited Partnership, upload an org chart for each.
Before uploading these files to the portal, name the files...
Limited Partnership's Organization Chart, and 
Non-Profit's Organization Chart.</t>
  </si>
  <si>
    <t>cmdbtn_CH_CertificationsAndLegal</t>
  </si>
  <si>
    <t>CalHome Certifications and Legal Form</t>
  </si>
  <si>
    <t>cmdbtn_CH_CAndLExplanation</t>
  </si>
  <si>
    <t>CalHome Certifications and Legal Form Explanation</t>
  </si>
  <si>
    <t>If you answered yes to any of the questions in the CalHome Certifications and Legal form, upload an explanation into the portal folder titled...
2 - CalHome General Documents
If you didn't answer yes to any of the questions, skip this step.
Before uploading this file to the portal, name the file... 
CalHome Certifications And Legal Explanation</t>
  </si>
  <si>
    <t>cmdbtn_CH_LoanServicePlan</t>
  </si>
  <si>
    <t>CalHome Loan Servicing Plan</t>
  </si>
  <si>
    <t>Upload the applicant's loan servicing plan into the portal folder titled…
2 - CalHome General Documents
The plan should include each item listed in the program guidelines.
Before uploading this file to the portal, name the file... 
CalHome Loan Servicing Plan</t>
  </si>
  <si>
    <t>cmdbtn_CH_ReuseAccountPlan</t>
  </si>
  <si>
    <t>CalHome Reuse Account Plan</t>
  </si>
  <si>
    <t>Upload the applicant's reuse account plan into the portal folder titled...
2 - CalHome General Documents
The plan should include a description of the tracking system that will be used to ensure the reuse of funds for eligible activities.
Before uploading this file to the portal, name the file... 
CalHome Reuse Account Plan</t>
  </si>
  <si>
    <t>cmdbtn_CH_SignatureBlock</t>
  </si>
  <si>
    <t>CalHome Signature Block</t>
  </si>
  <si>
    <t>Upload a signature block for the applicant into the portal folder titled...
2 - CalHome General Documents
The signature block should be formatted as a word document, and will be used for legal document preparation.
Before uploading this file to the portal, name the file... 
CalHome Signature Block</t>
  </si>
  <si>
    <t>cmdbtn_CH_LPE_AdminSubcontracts</t>
  </si>
  <si>
    <t>CalHome Administrative Contracts</t>
  </si>
  <si>
    <t>If the applicant is contracting with an administrative sub-contractor, upload the contract into the portal folder titled...
2 - CalHome General Documents
If the contract doesn't already include the contractor's contact information, include it as an addendum.
Before uploading this file to the portal, name the file... 
CalHome Administrative Contract
If you are uploading multiple files, name the files...
CalHome Administrative Contract 01 - [Additional Description], 
CalHome Administrative Contract 02 - [Additional Description], 
CalHome Administrative Contract 02 - [Additional Description] ...
Replace [Additional Description] in the example with an appropriate description that HCD staff can use to quickly identify the document.</t>
  </si>
  <si>
    <t>cmdbtn_CH_LPE_ConsultAgreements</t>
  </si>
  <si>
    <t>CalHome Consultant Contracts</t>
  </si>
  <si>
    <t>If the applicant is contracting with a consultant, upload the contract into the portal folder titled...
2 - CalHome General Documents
If the contract doesn't already include the consultant's contact information, include it as an addendum.
Before uploading this file to the portal, name the file... 
CalHome Consultant Contract
If you are uploading multiple files, name the files...
CalHome Consultant Contract 01 - [Additional Description], 
CalHome Consultant Contract 02 - [Additional Description], 
CalHome Consultant Contract 02 - [Additional Description] ...
Replace [Additional Description] in the example with an appropriate description that HCD staff can use to quickly identify the document.</t>
  </si>
  <si>
    <t>cmdbtn_CH_LPE_MOU</t>
  </si>
  <si>
    <t>CalHome Memorandum of Understanding</t>
  </si>
  <si>
    <t>If the applicant is the single administrator applying on behalf of entities/agencies in a consortium, upload the memorandum of understanding into the portal folder titled…
2 - CalHome General Documents
Before uploading this file to the portal, name the file... 
CalHome MOU
If you are uploading multiple files, name the files...
CalHome MOU 01 - [Additional Description], 
CalHome MOU 02 - [Additional Description], 
CalHome MOU 02 - [Additional Description] ...
Replace [Additional Description] in the example with an appropriate description that HCD staff can use to quickly identify the document.</t>
  </si>
  <si>
    <t>cmdbtn_CBD_ArticlesofInc</t>
  </si>
  <si>
    <t>cmdbtn_CBD_BoardOfDirectors</t>
  </si>
  <si>
    <t>cmdbtn_CBD_BoardResolution</t>
  </si>
  <si>
    <t>cmdbtn_CBD_Bylaws</t>
  </si>
  <si>
    <t>cmdbtn_CBD_CBDExperience</t>
  </si>
  <si>
    <t>cmdbtn_CBD_CBDExperience2</t>
  </si>
  <si>
    <t>Community-Based Developer Experience</t>
  </si>
  <si>
    <t>The Community-Based Developer Experience document should include information that demonstrates that the entity is eligible for the Community-Based Developer funding target, as specified in the 2023 Homeownership Super NOFA and in the Defined Terms Appendix A of the Multifamily Housing Program Final Guidelines.
Please review the Homeownership Super NOFA Community-Based Developer Fact Sheet located in the Notice of Funding section of the Homeownership Super NOFA webpage on the HCD website (www.hcd.ca.gov) for examples of the type of information to provide in the Community-Based Developer Experience document.
Upload your Community-Based Developer Experience document(s) into the portal folder titled...
1 - Organization Documents
Before uploading this file to the portal, name the file...
Community-Based Developer Experience
If you are uploading multiple files, name the files...
Community-Based Developer Experience 01 - [Additional Description], 
Community-Based Developer Experience 02 - [Additional Description], 
Community-Based Developer Experience 03 - [Additional Description] ...
Replace [Additional Description] in the example with an appropriate description that HCD staff can use to quickly identify the document.
If you are applying for CalHome and Serna, you only need to upload one copy of this document.</t>
  </si>
  <si>
    <t>cmdbtn_CBD_CertOfAmendments</t>
  </si>
  <si>
    <t>cmdbtn_CBD_IRS501C3</t>
  </si>
  <si>
    <t>cmdbtn_CBD_PayeeDataRecord</t>
  </si>
  <si>
    <t>cmdbtn_CBD_PayeeDataRecord2</t>
  </si>
  <si>
    <t>cmdbtn_CBD_OrgChart</t>
  </si>
  <si>
    <t>cmdbtn_CBD_RestatedArticles</t>
  </si>
  <si>
    <t>cmdbtn_CBD_SOSLetter</t>
  </si>
  <si>
    <t>cmdbtn_CBD_GoodStanding</t>
  </si>
  <si>
    <t>cmdbtn_CBD_AmendmentsToLP</t>
  </si>
  <si>
    <t>This requirement only applies to Community-Based Developer that are organized as a Limited Partnership.
Upload all amendments to the limited partnership into the portal folder titled...
1 - Organization Documents
Before uploading this document to the portal, name the file...
Amendments to Limited Partnership
If there are no amendments to the limited partnership, skip this step.
If you are uploading multiple files, name the files...
Amendments to Limited Partnership 01 - [Additional Description], 
Amendments to Limited Partnership 02 - [Additional Description], 
Amendments to Limited Partnership 03 - [Additional Description] ...
Replace [Additional Description] in the example with an appropriate description that HCD staff can use to quickly identify the document.</t>
  </si>
  <si>
    <t>cmdbtn_CBD_CertificateOfLP</t>
  </si>
  <si>
    <t>This requirement only applies to Community-Based Developer that are organized as a Limited Partnership.
Upload the applicant's Certificate of Limited Partnership into the portal folder titled...
1 - Organization Documents
Before uploading this document to the portal, name the file...
Certificate of Limited Partnership
If you are uploading multiple files, name the files...
Certificate of Limited Partnership 01 - [Additional Description], 
Certificate of Limited Partnership 02 - [Additional Description], 
Certificate of Limited Partnership 03 - [Additional Description] ...
Replace [Additional Description] in the example with an appropriate description that HCD staff can use to quickly identify the document.</t>
  </si>
  <si>
    <t>cmdbtn_CBD_LLCArticlesOfOrganization</t>
  </si>
  <si>
    <t>This requirement only applies to Community-Based Developer that are organized as a Limited Liability Company.
Upload the LLC's articles of organization into the portal folder titled...
1 - Organization Documents
Before uploading this document to the portal, name the file...
LLC's Articles of Organization
If you are uploading multiple files, name the files...
LLC's Articles of Organization 01 - [Additional Description], 
LLC's Articles of Organization 02 - [Additional Description], 
LLC's Articles of Organization 03 - [Additional Description] ...
Replace [Additional Description] in the example with an appropriate description that HCD staff can use to quickly identify the document.</t>
  </si>
  <si>
    <t>cmdbtn_CBD_LLCCertOfAmendment</t>
  </si>
  <si>
    <t>This requirement only applies to Community-Based Developer that are organized as a Limited Liability Company.
Upload all certificates of amendment to the LLC's articles of organization into the portal folder titled...
1 - Organization Documents
If the LLC doesn't have a certificate of amendment because it has not amended it's articles of organization, skip this step.
Before uploading this document to the portal, name the file...
LLC's Certificate of Amendment
If you are uploading multiple files, name the files...
LLC's Certificate of Amendment 01 - [Additional Description], 
LLC's Certificate of Amendment 02 - [Additional Description], 
LLC's Certificate of Amendment 03 - [Additional Description] ...
Replace [Additional Description] in the example with an appropriate description that HCD staff can use to quickly identify the document.</t>
  </si>
  <si>
    <t>cmdbtn_CBD_LLCOpperatingAgreement</t>
  </si>
  <si>
    <t>This requirement only applies to Community-Based Developer that are organized as a Limited Liability Company.
Upload the LLC's operating agreement into the portal folder titled
1 - Organization Documents
Before uploading this file to the portal, name the file...
LLC's Operating Agreement
If you are uploading multiple files, name the files...
LLC's Operating Agreement 01 - [Additional Description], 
LLC's Operating Agreement 02 - [Additional Description], 
LLC's Operating Agreement 03 - [Additional Description] ...
Replace [Additional Description] in the example with an appropriate description that HCD staff can use to quickly identify the document.</t>
  </si>
  <si>
    <t>cmdbtn_CBD_LPAgreement</t>
  </si>
  <si>
    <t>This requirement only applies to Community-Based Developer that are organized as a Limited Partnership.
Upload the Limited Partnership Agreement into the portal folder titled...
1 - Organization Documents
Before uploading this document to the portal, name the file...
Limited Partnership Agreement
If you are uploading multiple files, name the files...
Limited Partnership Agreement 01 - [Additional Description], 
Limited Partnership Agreement 02 - [Additional Description], 
Limited Partnership Agreement 03 - [Additional Description] ...
Replace [Additional Description] in the example with an appropriate description that HCD staff can use to quickly identify the document.</t>
  </si>
  <si>
    <t>cmdbtn_CBD_FinancialStatements</t>
  </si>
  <si>
    <t>cmdbtn_CBD_FinancialStatements2</t>
  </si>
  <si>
    <t>For Non-Profit applicants, upload financial statements for the last two fiscal years. For Limited Liability Companies and Limited Partnerships, upload the last two fiscal years' of financial statements for all Non-Profit Members and General Partners.
Upload the financial statements into the portal folder titled...
1 - Organization Documents
One of the financial statements must be audited.
Before uploading this document to the portal, name the files...
Financial Statement FY ##-##, and
Financial Statement FY ##-##.
Replace ##-## in the example with the fiscal year of the financial statement. For example, 19-20 and 20-21.
If you are applying for CalHome and Serna, you only need to upload one copy of this document.</t>
  </si>
  <si>
    <t>cmdbtn_CBD_OrgChart2</t>
  </si>
  <si>
    <t>For Non-Profit applicants, upload a current organization chart. For Limited Liability Companies and Limited Partnerships, upload organziation charts for the applicant, and for all Non-Profit Members and General Partners.
Upload the organization chart(s) into the portal folder titled...
1 - Organization Documents
Before uploading this file to the portal, name the file...
Organization Chart
If you are uploading multiple files, name the files...
Organization Chart 01 - [Additional Description], 
Organization Chart 02 - [Additional Description], 
Organization Chart 03 - [Additional Description] ...
Replace [Additional Description] in the example with an appropriate description that HCD staff can use to quickly identify the document.
If you are applying for CalHome and Serna, you only need to upload one copy of this document.</t>
  </si>
  <si>
    <t>cmdbtn_CBD_NPIRS501C3</t>
  </si>
  <si>
    <t>For Non-Profit applicants, upload the applicant's IRS 501C(3). For Limited Liability Companies and Limited Partnerships, upload IRS 501C(3) approvals for all Non-Profit Members and General Partners.
Upload the IRS 501C(3) approval(s) into the portal folder titled...
1 - Organization Documents
Before uploading this file to the portal, name the file...
501C3 Approval
If you are uploading multiple files, name the files...
501C3 Approval 01 - [Additional Description], 
501C3 Approval 02 - [Additional Description], 
501C3 Approval 03 - [Additional Description] ...
Replace [Additional Description] in the example with an appropriate description that HCD staff can use to quickly identify the document.
If you are applying for CalHome and Serna, you only need to upload one copy of this document.</t>
  </si>
  <si>
    <t>cmdbtn_CBD_NPArticlesofInc</t>
  </si>
  <si>
    <t>For Non-Profit applicants, upload the applicant's articles of incorporation. For Limited Liability Companies and Limited Partnerships, upload the articles of incorporation for all Non-Profit Members and General Partners.
Upload the articles of incorporation into the portal folder titled...
1 - Organization Documents
Before uploading this document to the portal, name the file...
Articles of Incorporation
If you are uploading multiple files, name the files...
Articles of Incorporation 01 - [Additional Description], 
Articles of Incorporation 02 - [Additional Description], 
Articles of Incorporation 03 - [Additional Description] ...
Replace [Additional Description] in the example with an appropriate description that HCD staff can use to quickly identify the document.
If you are applying for CalHome and Serna, you only need to upload one copy of this document.</t>
  </si>
  <si>
    <t>cmdbtn_CBD_NPBoardResolution</t>
  </si>
  <si>
    <t>For Non-Profit applicants, upload the governing board resolution that legally authorized the application. For Limited Liability Companies and Limited Partnerships, upload board resolutions for all Non-Profit Members and General Partners.
Upload the board resolution(s) into the portal folder titled...
1 - Organization Documents
Applicants may use their own resolution format if it contains the same authorizations as the sample available from HCD's website (HCD.ca.gov).
The person attesting to the resolution signing cannot be the same person authorized to execute the documents in the name of the Applicant.
Before uploading this document to the portal, name the file...
Board Resolution
If you are uploading multiple files, name the files...
Board Resolution 01 - [Additional Description], 
Board Resolution 02 - [Additional Description], 
Board Resolution 03 - [Additional Description] ...
Replace [Additional Description] in the example with an appropriate description that HCD staff can use to quickly identify the document.
If you are applying for CalHome and Serna, you only need to upload one copy of this document.</t>
  </si>
  <si>
    <t>cmdbtn_CBD_NPBoardOfDirectors</t>
  </si>
  <si>
    <t>For Non-Profit applicants, upload a list of the applicant's current board of directors. For Limited Liability Companies and Limited Partnerships, upload the current board of directors for all Non-Profit Members and General Partners.
Upload the list(s) into the portal folder titled...
1 - Organization Documents
Before uploading this document to the portal, name the file...
Board of Directors
If you are uploading multiple files, name the files...
Board of Directors 01 - [Additional Description], 
Board of Directors 02 - [Additional Description], 
Board of Directors 03 - [Additional Description] ...
Replace [Additional Description] in the example with an appropriate description that HCD staff can use to quickly identify the document.
If you are applying for CalHome and Serna, you only need to upload one copy of this document.</t>
  </si>
  <si>
    <t>cmdbtn_CBD_NPBylaws</t>
  </si>
  <si>
    <t>For Non-Profit applicants, upload the applicant's bylaws. For Limited Liability Companies and Limited Partnerships, upload the bylaws for all Non-Profit Members and General Partners.
Upload the bylaws into the portal folder titled...
1 - Organization Documents
Before uploading this document to the portal, name the file...
Bylaws
If you are uploading multiple files, name the files...
Bylaws 01 - [Additional Description], 
Bylaws 02 - [Additional Description], 
Bylaws 03 - [Additional Description] ...
Replace [Additional Description] in the example with an appropriate description that HCD staff can use to quickly identify the document.
If you are applying for CalHome and Serna, you only need to upload one copy of this document.</t>
  </si>
  <si>
    <t>cmdbtn_CBD_NPCertOfAmendment</t>
  </si>
  <si>
    <t>For Non-Profit applicants, if applicable, upload all certificates of amendment to the applicant's articles of incorporation. For Limited Liability Companies and Limited Partnerships, upload these amendments for all Non-Profit Members and General Partners.
Upload the certificates of amendment(s) into the portal folder titled...
1 - Organization Documents
Before uploading this document to the portal, name the file...
Certificate of Amendment
If you are uploading multiple files, name the files...
Certificate of Amendment 01 - [Additional Description], 
Certificate of Amendment 02 - [Additional Description], 
Certificate of Amendment 03 - [Additional Description] ...
Replace [Additional Description] in the example with an appropriate description that HCD staff can use to quickly identify the document.
If you are applying for CalHome and Serna, you only need to upload one copy of this document.</t>
  </si>
  <si>
    <t>cmdbtn_CBD_NPRestatedArticles</t>
  </si>
  <si>
    <t>For Non-Profit applicants, if applicable, upload all restated articles of incorporation. For Limited Liability Companies and Limited Partnerships, upload the restated articles for all Non-Profit Members and General Partners.
Upload the restated articles of incorporation into the portal folder titled
1 - Organization Documents
Before uploading this file to the portal, name the file...
Restated Articles
If you are uploading multiple files, name the files...
Restated Articles 01 - [Additional Description], 
Restated Articles 02 - [Additional Description], 
Restated Articles 03 - [Additional Description] ...
Replace [Additional Description] in the example with an appropriate description that HCD staff can use to quickly identify the document.
If you are applying for CalHome and Serna, you only need to upload one copy of this document.</t>
  </si>
  <si>
    <t>Community Need: MA/SHTA/ADU/PDL/SHP/Serna MH</t>
  </si>
  <si>
    <t>Community Need: OOR</t>
  </si>
  <si>
    <t>Feasibility: OOR/ADU</t>
  </si>
  <si>
    <t>Feasibility: Shared Housing Technical Assistance</t>
  </si>
  <si>
    <t>Feasibility: PDL/Self-Help TA</t>
  </si>
  <si>
    <t>Farmerworker Need</t>
  </si>
  <si>
    <t>Housing Affordability</t>
  </si>
  <si>
    <t>Housing Affordability Points</t>
  </si>
  <si>
    <t>Percent of Low-Income Renter households</t>
  </si>
  <si>
    <t>Percent of Low-Income Renter households Points</t>
  </si>
  <si>
    <t>Percent of Overcrowded Renter Households</t>
  </si>
  <si>
    <t>Percent of Overcrowded Renter Households Points</t>
  </si>
  <si>
    <t>Rental Vacancy Rate</t>
  </si>
  <si>
    <t>Rental Vacancy Rate Points</t>
  </si>
  <si>
    <t>Community Need Total Points</t>
  </si>
  <si>
    <t>Age of Housing Stock</t>
  </si>
  <si>
    <t>Age of Housing Stock Points</t>
  </si>
  <si>
    <t>Percent of Homeowners in Poverty</t>
  </si>
  <si>
    <t>Percent of Homeowners in Poverty Points</t>
  </si>
  <si>
    <t>Percent of Low-Income Homeowners</t>
  </si>
  <si>
    <t>Percent of Low-Income Homeowners Points</t>
  </si>
  <si>
    <t>Percent of Overcrowded Homeowners</t>
  </si>
  <si>
    <t>Percent of Overcrowded Homeowners Points</t>
  </si>
  <si>
    <t>OOR Community Need</t>
  </si>
  <si>
    <t>Median Owner to Renter Cost Ratio</t>
  </si>
  <si>
    <t>Median Owner Renter Cost Ratio Points</t>
  </si>
  <si>
    <t>Redfin.com 
Median Sales Price</t>
  </si>
  <si>
    <t>Realtor.com Median Sales Price</t>
  </si>
  <si>
    <t>Zillow.com Median Sales Price</t>
  </si>
  <si>
    <t>Affordable Single Family Homes Sold In Last Year
(Zillow.com)</t>
  </si>
  <si>
    <t>CalHome Proposed Number of Loans (entered by Applicant)</t>
  </si>
  <si>
    <t>Serna Proposed Number of Loans (entered by Applicant)</t>
  </si>
  <si>
    <t>CalHome Annualized Home Sales/ Proposed # of Loans</t>
  </si>
  <si>
    <t>Serna Annualized Home Sales/ Proposed # of Loans</t>
  </si>
  <si>
    <t>CalHome Proposed Loans to Sales Ratio Points</t>
  </si>
  <si>
    <t>Serna Proposed Loans to Sales Ratio Points</t>
  </si>
  <si>
    <t>CalHome Feasibility Points Awarded</t>
  </si>
  <si>
    <t>Serna Feasibility Points Awarded</t>
  </si>
  <si>
    <t>Age of Housing Stock (Copy)</t>
  </si>
  <si>
    <t>Age of Housing Stock Points 2</t>
  </si>
  <si>
    <t>Percent of Overcrowded Homeowners (Copy)</t>
  </si>
  <si>
    <t>Percent of Overcrowded Homeowners Points 2</t>
  </si>
  <si>
    <t>OOR/ADU Total Feasibility Points Awarded</t>
  </si>
  <si>
    <t>Renters &lt;=80%AMI with Severe Cost Burden</t>
  </si>
  <si>
    <t>Severe Cost Burden Points Awarded</t>
  </si>
  <si>
    <t>Rental Vacancy Rate (Copy)</t>
  </si>
  <si>
    <t>Rental Vacancy Rate Points 2</t>
  </si>
  <si>
    <t>SHTA Total Feasibility Points Awarded</t>
  </si>
  <si>
    <t>Median Owner to Renter Cost Ratio (copy)</t>
  </si>
  <si>
    <t>Points Awarded</t>
  </si>
  <si>
    <t>PDL/SHTA Feasibility Points Awarded</t>
  </si>
  <si>
    <t>OMS Migrant Family Housing Centers In County</t>
  </si>
  <si>
    <t>Form</t>
  </si>
  <si>
    <t>Control</t>
  </si>
  <si>
    <t>Description</t>
  </si>
  <si>
    <t>Value</t>
  </si>
  <si>
    <t>No</t>
  </si>
  <si>
    <t/>
  </si>
  <si>
    <t>CHMATbl</t>
  </si>
  <si>
    <t>UNRESTRICTED</t>
  </si>
  <si>
    <t>MANUFACTURED</t>
  </si>
  <si>
    <t>RURAL</t>
  </si>
  <si>
    <t>MFD RURAL</t>
  </si>
  <si>
    <t>QUESTIONS</t>
  </si>
  <si>
    <t>APPLYING</t>
  </si>
  <si>
    <t>COUNTY</t>
  </si>
  <si>
    <t>|</t>
  </si>
  <si>
    <t>UNITS</t>
  </si>
  <si>
    <t>TOTAL $ REQUESTED</t>
  </si>
  <si>
    <t>% OF TOTAL</t>
  </si>
  <si>
    <t>|4</t>
  </si>
  <si>
    <t>UNITS2</t>
  </si>
  <si>
    <t>TOTAL $ REQUESTED2</t>
  </si>
  <si>
    <t>% OF TOTAL2</t>
  </si>
  <si>
    <t>|8</t>
  </si>
  <si>
    <t>UNITS3</t>
  </si>
  <si>
    <t>TOTAL $ REQUESTED3</t>
  </si>
  <si>
    <t>% OF TOTAL3</t>
  </si>
  <si>
    <t>|12</t>
  </si>
  <si>
    <t>UNITS4</t>
  </si>
  <si>
    <t>TOTAL $ REQUESTED4</t>
  </si>
  <si>
    <t>% OF TOTAL4</t>
  </si>
  <si>
    <t>|16</t>
  </si>
  <si>
    <t>ALL UNITS IN A HIGH OR HIGHEST RESOURCE AREA</t>
  </si>
  <si>
    <t>APPLYING FOR MANUFACTURED HOMES SET ASIDE?</t>
  </si>
  <si>
    <t>APPLY FOR RURAL AREA SET ASSIDE?</t>
  </si>
  <si>
    <t>NEW CONSTRUCTION OR AQUIRE/REHAB</t>
  </si>
  <si>
    <t>UNRESTRICTED UNITS</t>
  </si>
  <si>
    <t>UNRESTRICTED COST</t>
  </si>
  <si>
    <t>UNRESTRICTED DIRECT ASSISTANCE</t>
  </si>
  <si>
    <t>UNRESTRICTED DELIVERY FEE</t>
  </si>
  <si>
    <t>UNRESTRICTED CLASS FEE</t>
  </si>
  <si>
    <t>UNRESTRICTED FUNDING REQUESTED</t>
  </si>
  <si>
    <t>% OF TOTAL UNRESTRICTED FUNDING</t>
  </si>
  <si>
    <t>UNRESTRICTED HOUSING SUPPLY POINTS</t>
  </si>
  <si>
    <t>UNRESTRICTED  REVITALIZATION POINTS</t>
  </si>
  <si>
    <t>UNRESTRICTED COMMUNITY NEED POINTS</t>
  </si>
  <si>
    <t>UNRESTRICTED FEASIBILITY POINTS</t>
  </si>
  <si>
    <t>MANUFACTURED UNITS</t>
  </si>
  <si>
    <t>MANUFACTURED COST</t>
  </si>
  <si>
    <t>MANUFACTURED DIRECT ASSISTANCE</t>
  </si>
  <si>
    <t>MANUFACTURED DELIVERY FEE</t>
  </si>
  <si>
    <t>MANUFACTURED CLASS FEE</t>
  </si>
  <si>
    <t>MANUFACTURED FUNDING REQUESTED</t>
  </si>
  <si>
    <t>% OF TOTAL MANUFACTURED FUNDING</t>
  </si>
  <si>
    <t>MANUFACTURED HOUSING SUPPLY POINTS</t>
  </si>
  <si>
    <t>MANUFACTURED  REVITALIZATION POINTS</t>
  </si>
  <si>
    <t>MANUFACTURED COMMUNITY NEED POINTS</t>
  </si>
  <si>
    <t>MANUFACTURED FEASIBILITY POINTS</t>
  </si>
  <si>
    <t>RURAL UNITS</t>
  </si>
  <si>
    <t>RURAL COST</t>
  </si>
  <si>
    <t>RURAL DIRECT ASSISTANCE</t>
  </si>
  <si>
    <t>RURAL DELIVERY FEE</t>
  </si>
  <si>
    <t>RURAL CLASS FEE</t>
  </si>
  <si>
    <t>RURAL FUNDING REQUESTED</t>
  </si>
  <si>
    <t>% OF TOTAL RURAL FUNDING</t>
  </si>
  <si>
    <t>RURAL HOUSING SUPPLY POINTS</t>
  </si>
  <si>
    <t>RURAL  REVITALIZATION POINTS</t>
  </si>
  <si>
    <t>RURAL COMMUNITY NEED POINTS</t>
  </si>
  <si>
    <t>RURAL FEASIBILITY POINTS</t>
  </si>
  <si>
    <t>MANUFACTURED AND RURAL UNITS</t>
  </si>
  <si>
    <t>MANUFACTURED AND RURAL COST</t>
  </si>
  <si>
    <t>MANUFACTURED AND RURAL DIRECT ASSISTANCE</t>
  </si>
  <si>
    <t>MANUFACTURED AND RURAL DELIVERY FEE</t>
  </si>
  <si>
    <t>MANUFACTURED AND RURAL CLASS FEE</t>
  </si>
  <si>
    <t>MANUFACTURED AND RURAL FUNDING REQUESTED</t>
  </si>
  <si>
    <t>% OF TOTAL MANUFACTURED AND RURAL FUNDING</t>
  </si>
  <si>
    <t>MANUFACTURED AND RURAL HOUSING SUPPLY POINTS</t>
  </si>
  <si>
    <t>MANUFACTURED AND RURAL  REVITALIZATION POINTS</t>
  </si>
  <si>
    <t>MANUFACTURED AND RURAL COMMUNITY NEED POINTS</t>
  </si>
  <si>
    <t>MANUFACTURED AND RURAL FEASIBILITY POINTS</t>
  </si>
  <si>
    <t>INFILL SITE</t>
  </si>
  <si>
    <t>CHOORTbl</t>
  </si>
  <si>
    <t>|3</t>
  </si>
  <si>
    <t>|5</t>
  </si>
  <si>
    <t>|9</t>
  </si>
  <si>
    <t>APPLY FOR MANUFACTURED HOME SET ASIDE?</t>
  </si>
  <si>
    <t>APPLY FOR RURAL AREA SET ASIDE?</t>
  </si>
  <si>
    <t>Unrestricted Repair Units</t>
  </si>
  <si>
    <t>Unrestricted Reconstruct Units</t>
  </si>
  <si>
    <t>Unrestricted ADU Repair Units</t>
  </si>
  <si>
    <t>Unrestricted ADU Reconstruct Units</t>
  </si>
  <si>
    <t>Unrestricted Funds Requesting</t>
  </si>
  <si>
    <t xml:space="preserve"> % OF TOTAL FUNDING</t>
  </si>
  <si>
    <t>WEIGHTED REVITALIZATION POINTS</t>
  </si>
  <si>
    <t>WEIGHTED COMMUNITY NEED POINTS</t>
  </si>
  <si>
    <t>WEIGHTED FEASIBILITY POINTS</t>
  </si>
  <si>
    <t>Manufactured Home Units</t>
  </si>
  <si>
    <t>Manufactured Home Funds Requesting</t>
  </si>
  <si>
    <t xml:space="preserve"> % OF TOTAL FUNDING2</t>
  </si>
  <si>
    <t>WEIGHTED REVITALIZATION POINTS2</t>
  </si>
  <si>
    <t>WEIGHTED COMMUNITY NEED POINTS2</t>
  </si>
  <si>
    <t>WEIGHTED FEASIBILITY POINTS2</t>
  </si>
  <si>
    <t>RURAL AREA HOMES TO REPAIR2</t>
  </si>
  <si>
    <t>RURAL AREA HOMES TO RECONSTRUCT</t>
  </si>
  <si>
    <t>RURAL AREA ADUS TO REPAIR OR CONVERT</t>
  </si>
  <si>
    <t>RURAL AREA ADUS TO ADD OR RECONSTRUCT</t>
  </si>
  <si>
    <t xml:space="preserve"> % OF TOTAL RURAL FUNDING</t>
  </si>
  <si>
    <t>RURAL REVITALIZATION POINTS</t>
  </si>
  <si>
    <t>MFD RURAL UNITS</t>
  </si>
  <si>
    <t>MFD RURAL FUNDING REQUESTED</t>
  </si>
  <si>
    <t xml:space="preserve"> % OF TOTAL MFD RURAL FUNDING</t>
  </si>
  <si>
    <t>MFD RURAL REVITALIZATION POINTS</t>
  </si>
  <si>
    <t>MFD RURAL COMMUNITY NEED POINTS</t>
  </si>
  <si>
    <t>MFD RURAL FEASIBILITY POINTS</t>
  </si>
  <si>
    <t>CHSHTATbl</t>
  </si>
  <si>
    <t>|2</t>
  </si>
  <si>
    <t>|23</t>
  </si>
  <si>
    <t>TOTAL $ REQUESTED33</t>
  </si>
  <si>
    <t>UNRESTRICTED ASSISTANCE</t>
  </si>
  <si>
    <t>UNRESTRICTED HOMEBUYER CLASSES</t>
  </si>
  <si>
    <t>UNRESTRICTED TOTAL REQUESTED</t>
  </si>
  <si>
    <t>UNRESTRICTED % OF FUNDING</t>
  </si>
  <si>
    <t>UNRESTRICTED REVITALIZATION POINTS</t>
  </si>
  <si>
    <t>MANUFACTURED ASSISTANCE</t>
  </si>
  <si>
    <t>MANUFACTURED HOMEBUYER CLASSES</t>
  </si>
  <si>
    <t>MANUFACTURED TOTAL REQUESTED</t>
  </si>
  <si>
    <t>MANUFACTURED % OF FUNDING</t>
  </si>
  <si>
    <t>MANUFACTURED REVITALIZATION POINTS</t>
  </si>
  <si>
    <t>RURAL ASSISTANCE</t>
  </si>
  <si>
    <t>RURAL HOMEBUYER CLASSES</t>
  </si>
  <si>
    <t>RURAL TOTAL REQUESTED</t>
  </si>
  <si>
    <t>RURAL % OF FUNDING</t>
  </si>
  <si>
    <t>MFD RURAL ASSISTANCE</t>
  </si>
  <si>
    <t>MFD RURAL HOMEBUYER CLASSES</t>
  </si>
  <si>
    <t>MFD RURAL TOTAL REQUESTED</t>
  </si>
  <si>
    <t>MFD RURAL % OF FUNDING</t>
  </si>
  <si>
    <t>MFD RURAL HOUSING SUPPLY POINTS</t>
  </si>
  <si>
    <t>CHSHTbl</t>
  </si>
  <si>
    <t>NOT LIMITED TO RURAL AREAS</t>
  </si>
  <si>
    <t>TO SUPPORT SHARED HOUSING IN RURAL AREAS</t>
  </si>
  <si>
    <t>TOTAL REQUESTED</t>
  </si>
  <si>
    <t>FUNDING %</t>
  </si>
  <si>
    <t>REVITALIZATION POINTS</t>
  </si>
  <si>
    <t>COMMUNITY NEED POINTS</t>
  </si>
  <si>
    <t>FEASIBILITY POINTS</t>
  </si>
  <si>
    <t>TOTAL REQUESTED2</t>
  </si>
  <si>
    <t>FUNDING %2</t>
  </si>
  <si>
    <t>REVITALIZATION POINTS3</t>
  </si>
  <si>
    <t>COMMUNITY NEED POINTS3</t>
  </si>
  <si>
    <t>FEASIBILITY POINTS3</t>
  </si>
  <si>
    <t>CHADUTbl</t>
  </si>
  <si>
    <t>DIRECT ASSISTANCE</t>
  </si>
  <si>
    <t>DELIVERY FEE</t>
  </si>
  <si>
    <t>UNITS22</t>
  </si>
  <si>
    <t>DIRECT ASSISTANCE2</t>
  </si>
  <si>
    <t>DELIVERY FEE2</t>
  </si>
  <si>
    <t>S1AMHTbl</t>
  </si>
  <si>
    <t>SITE CONTROL</t>
  </si>
  <si>
    <t>UNRESTRICTED FARMWORKER POINTS</t>
  </si>
  <si>
    <t>RURAL FARMWORKER POINTS</t>
  </si>
  <si>
    <t>S1MATbl</t>
  </si>
  <si>
    <t>UNRESTRICTED FUNDING %</t>
  </si>
  <si>
    <t>UNRESTRICTED FARMWORKER NEED POINTS</t>
  </si>
  <si>
    <t>RURAL FARMWORKER NEED POINTS</t>
  </si>
  <si>
    <t>S1OORTbl</t>
  </si>
  <si>
    <t>Rural Repair Units</t>
  </si>
  <si>
    <t>Rural Reconstruct Units</t>
  </si>
  <si>
    <t>Rural ADU Repair Units</t>
  </si>
  <si>
    <t>Rural ADU Reconstruct Units</t>
  </si>
  <si>
    <t>Rural Funds Requesting</t>
  </si>
  <si>
    <t>RURAL FUNDING %</t>
  </si>
  <si>
    <t>S1SHTATbl</t>
  </si>
  <si>
    <t>RURAL AREA SET ASIDE</t>
  </si>
  <si>
    <t>UNRESTRICTED HOMEBUYER EDUCATION</t>
  </si>
  <si>
    <t>RURAL HOMEBUYER EDUCATION</t>
  </si>
  <si>
    <t>Close all instances of Excel, including the workbook containing the data you want to import.</t>
  </si>
  <si>
    <t>Open the new/updated version of the application workbook in Excel.</t>
  </si>
  <si>
    <t>From the main application form, click the Menu button in the top-left corner and select "Import Data from another Workbook". This will open the Import form, as shown in the attached picture.</t>
  </si>
  <si>
    <t>In the Import form, use the provided instructions to locate and select the workbook containing the data you want to import. Then, click the button labeled "Import the Application Data" to begin the import process.</t>
  </si>
  <si>
    <t>How to Import Your Data from an Older Version of the Application</t>
  </si>
  <si>
    <t>The HOSN Application includes a built-in tool to transfer your data from an older version of the application to the updated version. This is useful if you receive notification from HCD that the application was updated and you do not want to re-enter the same information again.
Please follow these instructions to complete the import process:</t>
  </si>
  <si>
    <r>
      <t xml:space="preserve">This HOSN Application requires the use of VBA/Macros, and depending on your version of Windows and Office, you may need to unblock macros in the file properties before you use the HOSN Application.
</t>
    </r>
    <r>
      <rPr>
        <i/>
        <sz val="11"/>
        <color theme="1"/>
        <rFont val="Century Gothic"/>
        <family val="2"/>
      </rPr>
      <t xml:space="preserve">
Please note that the application will not run on the Mac OS version of Microsoft Excel for this reason. </t>
    </r>
  </si>
  <si>
    <t>Click the open button on the ‘Coverpage’ worksheet of the new/updated version of the application workbook, then click the button labeled "Click Here to Open the Homeowner Super NOFA Application".</t>
  </si>
  <si>
    <t>FundingSource</t>
  </si>
  <si>
    <t>FirstTimeBuyers</t>
  </si>
  <si>
    <t>N/A</t>
  </si>
  <si>
    <t>First Start</t>
  </si>
  <si>
    <t>StartupWarning</t>
  </si>
  <si>
    <t>StartCode</t>
  </si>
  <si>
    <t>Select_Program</t>
  </si>
  <si>
    <t>APP_ApplyingForCalHome</t>
  </si>
  <si>
    <t>APP_ApplyingForSerna</t>
  </si>
  <si>
    <t>Applicant_Info</t>
  </si>
  <si>
    <t>APP_Applicant1</t>
  </si>
  <si>
    <t>APP_Applicant1Type</t>
  </si>
  <si>
    <t>APP_Applicant1Address</t>
  </si>
  <si>
    <t>APP_Applicant1City</t>
  </si>
  <si>
    <t>APP_Applicant1Zip</t>
  </si>
  <si>
    <t>APP_Applicant1State</t>
  </si>
  <si>
    <t>APP_Applicant1Rep</t>
  </si>
  <si>
    <t>APP_Applicant1RepTitle</t>
  </si>
  <si>
    <t>APP_Applicant1RepEmail</t>
  </si>
  <si>
    <t>APP_Applicant1RepPhone</t>
  </si>
  <si>
    <t>APP_Applicant1AltRep</t>
  </si>
  <si>
    <t>APP_Applicant1AltRepTitle</t>
  </si>
  <si>
    <t>APP_Applicant1AltRepEmail</t>
  </si>
  <si>
    <t>APP_Applicant1AltRepPhone</t>
  </si>
  <si>
    <t>APP_Preparer</t>
  </si>
  <si>
    <t>APP_PreparerTitle</t>
  </si>
  <si>
    <t>APP_PreparerEmail</t>
  </si>
  <si>
    <t>APP_PreparerPhone</t>
  </si>
  <si>
    <t>APP_PreparerLegalAuthority</t>
  </si>
  <si>
    <t>APP_PreparerCertification</t>
  </si>
  <si>
    <t>CH_EligibilityQuestions</t>
  </si>
  <si>
    <t>CH_ER_EligibleApplicant</t>
  </si>
  <si>
    <t>CH_ER_HasAuthorityAndMeetsPrereqs</t>
  </si>
  <si>
    <t>CH_ER_OnlyEligibleCostsPaidWithAward</t>
  </si>
  <si>
    <t>CH_ER_OnlyEligibleHouseholds</t>
  </si>
  <si>
    <t>CH_ER_WillImplement</t>
  </si>
  <si>
    <t>CH_ER_SufficientStability</t>
  </si>
  <si>
    <t>CH_ER_PendingLawsuits</t>
  </si>
  <si>
    <t>CH_ER_UnresolvedFinding</t>
  </si>
  <si>
    <t>CH_ER_SubmittedOutstandingReports</t>
  </si>
  <si>
    <t>CH_ER_ConstructionNotStarted</t>
  </si>
  <si>
    <t>CH_ER_ComplyWithAdminRequirements</t>
  </si>
  <si>
    <t>CH_ER_WillDevUnderwritingGuidelines</t>
  </si>
  <si>
    <t>CH_ER_LoansWillIncludeTerms</t>
  </si>
  <si>
    <t>CH_ER_ADUsNotInHousehold</t>
  </si>
  <si>
    <t>CH_ER_LoanServicingPlan</t>
  </si>
  <si>
    <t>CH_ER_ReuseAccountPlan</t>
  </si>
  <si>
    <t>CH_SHTA_Application</t>
  </si>
  <si>
    <t>CH_SHTA_UnrestrictedApplicationStatus</t>
  </si>
  <si>
    <t>CH_SHTA_ManufacturedApplicationStatus</t>
  </si>
  <si>
    <t>CH_SHTA_RuralApplicationStatus</t>
  </si>
  <si>
    <t>CH_Program_Menu</t>
  </si>
  <si>
    <t>CH_SHTA_CompletionStatus</t>
  </si>
  <si>
    <t>CH_SHTA_UnrestrictedTotalPoints</t>
  </si>
  <si>
    <t>CH_SHTA_UnrestrictedTotalRequested</t>
  </si>
  <si>
    <t>CH_SHTA_ManufacturedTotalPoints</t>
  </si>
  <si>
    <t>CH_SHTA_ManufacturedTotalRequested</t>
  </si>
  <si>
    <t>CH_SHTA_RuralTotalPoints</t>
  </si>
  <si>
    <t>CH_SHTA_RuralTotalRequested</t>
  </si>
  <si>
    <t>CH_SHTA_MFDRuralApplicationStatus</t>
  </si>
  <si>
    <t>CH_SHTA_MFDRuralTotalPoints</t>
  </si>
  <si>
    <t>CH_SHTA_MFDRuralTotalRequested</t>
  </si>
  <si>
    <t>CH_MA_Application</t>
  </si>
  <si>
    <t>CH_MA_UnrestrictedApplicationStatus</t>
  </si>
  <si>
    <t>CH_MA_ManufacturedApplicationStatus</t>
  </si>
  <si>
    <t>CH_MA_RuralApplicationStatus</t>
  </si>
  <si>
    <t>CH_MA_CompletionStatus</t>
  </si>
  <si>
    <t>CH_MA_UnrestrictedTotalPoints</t>
  </si>
  <si>
    <t>CH_MA_UnrestrictedTotalRequested</t>
  </si>
  <si>
    <t>CH_MA_ManufacturedTotalPoints</t>
  </si>
  <si>
    <t>CH_MA_ManufacturedTotalRequested</t>
  </si>
  <si>
    <t>CH_MA_RuralTotalPoints</t>
  </si>
  <si>
    <t>CH_MA_RuralTotalRequested</t>
  </si>
  <si>
    <t>CH_MA_MFDRuralApplicationStatus</t>
  </si>
  <si>
    <t>CH_MA_MFDRuralTotalPoints</t>
  </si>
  <si>
    <t>CH_MA_MFDRuralTotalRequested</t>
  </si>
  <si>
    <t>CH_OOR_Application</t>
  </si>
  <si>
    <t>CH_OOR_UnrestrictedApplicationStatus</t>
  </si>
  <si>
    <t>CH_OOR_ManufacturedApplicationStatus</t>
  </si>
  <si>
    <t>CH_OOR_RuralApplicationStatus</t>
  </si>
  <si>
    <t>CH_OOR_CompletionStatus</t>
  </si>
  <si>
    <t>CH_OOR_UnrestrictedTotalPoints</t>
  </si>
  <si>
    <t>CH_OOR_UnrestrictedTotalRequested</t>
  </si>
  <si>
    <t>CH_OOR_ManufacturedTotalPoints</t>
  </si>
  <si>
    <t>CH_OOR_ManufacturedTotalRequested</t>
  </si>
  <si>
    <t>CH_OOR_RuralTotalPoints</t>
  </si>
  <si>
    <t>CH_OOR_RuralTotalRequested</t>
  </si>
  <si>
    <t>CH_OOR_MFDRuralApplicationStatus</t>
  </si>
  <si>
    <t>CH_OOR_MFDRuralTotalPoints</t>
  </si>
  <si>
    <t>CH_OOR_MFDRuralTotalRequested</t>
  </si>
  <si>
    <t>CH_SH_Application</t>
  </si>
  <si>
    <t>CH_SH_UnrestrictedApplicationStatus</t>
  </si>
  <si>
    <t>CH_SH_ManufacturedApplicationStatus</t>
  </si>
  <si>
    <t>CH_SH_RuralApplicationStatus</t>
  </si>
  <si>
    <t>CH_SH_CompletionStatus</t>
  </si>
  <si>
    <t>CH_SH_UnrestrictedTotalPoints</t>
  </si>
  <si>
    <t>CH_SH_UnrestrictedTotalRequested</t>
  </si>
  <si>
    <t>CH_SH_RuralTotalPoints</t>
  </si>
  <si>
    <t>CH_SH_RuralTotalRequested</t>
  </si>
  <si>
    <t>CH_ADU_Application</t>
  </si>
  <si>
    <t>CH_ADU_UnrestrictedApplicationStatus</t>
  </si>
  <si>
    <t>CH_ADU_ManufacturedApplicationStatus</t>
  </si>
  <si>
    <t>CH_ADU_RuralApplicationStatus</t>
  </si>
  <si>
    <t>CH_ADU_CompletionStatus</t>
  </si>
  <si>
    <t>CH_ADU_UnrestrictedTotalPoints</t>
  </si>
  <si>
    <t>CH_ADU_UnrestrictedTotalRequested</t>
  </si>
  <si>
    <t>CH_ADU_RuralTotalPoints</t>
  </si>
  <si>
    <t>CH_ADU_RuralTotalRequested</t>
  </si>
  <si>
    <t>CH_PDL_Application</t>
  </si>
  <si>
    <t>CH_PDL_ApplicationStatus</t>
  </si>
  <si>
    <t>CH_PDL_CompletionStatus</t>
  </si>
  <si>
    <t>CH_ER_LPEProHousingDesignation</t>
  </si>
  <si>
    <t>CH_ER_NP2YHousingDevExperience</t>
  </si>
  <si>
    <t>CH_ER_NP2YrProgramExpOr523Grant</t>
  </si>
  <si>
    <t>CH_ER_NPTaxExemptPurposeActivity</t>
  </si>
  <si>
    <t>CH_MA_2YearsExpInLast4Years</t>
  </si>
  <si>
    <t>CH_MA_AdministrationPlan</t>
  </si>
  <si>
    <t>CH_MA_DevelopEmployGuidelines</t>
  </si>
  <si>
    <t>CH_MA_EligibilityRequirementsMets</t>
  </si>
  <si>
    <t>CH_MA_InformAndAssistHomebuyer</t>
  </si>
  <si>
    <t>CH_MA_ManufacturedCapabilityPoints</t>
  </si>
  <si>
    <t>CH_MA_ManufacturedCommunityNeedPoints</t>
  </si>
  <si>
    <t>CH_MA_ManufacturedFeasibilityPoints</t>
  </si>
  <si>
    <t>CH_MA_ManufacturedHousingSupplyPoints</t>
  </si>
  <si>
    <t>CH_MA_ManufacturedProHousingPoints</t>
  </si>
  <si>
    <t>CH_MA_ManufacturedRevitalizationPoints</t>
  </si>
  <si>
    <t>CH_MA_ManufacturedVolunteerAndTrainingPoints</t>
  </si>
  <si>
    <t>CH_MA_MFDRuralCapabilityPoints</t>
  </si>
  <si>
    <t>CH_MA_MFDRuralCommunityNeedPoints</t>
  </si>
  <si>
    <t>CH_MA_MFDRuralFeasibilityPoints</t>
  </si>
  <si>
    <t>CH_MA_MFDRuralHousingSupplyPoints</t>
  </si>
  <si>
    <t>CH_MA_MFDRuralProHousingPoints</t>
  </si>
  <si>
    <t>CH_MA_MFDRuralRevitalizationPoints</t>
  </si>
  <si>
    <t>CH_MA_MFDRuralVolunteerAndTrainingPoints</t>
  </si>
  <si>
    <t>CH_MA_NoUnpermittedMobilehomeParks</t>
  </si>
  <si>
    <t>CH_MA_ObtainAppraisalsRequired</t>
  </si>
  <si>
    <t>CH_MA_PreviousProgram1</t>
  </si>
  <si>
    <t>CH_MA_PreviousProgram2</t>
  </si>
  <si>
    <t>CH_MA_PreviousProgramEnd1</t>
  </si>
  <si>
    <t>CH_MA_PreviousProgramEnd2</t>
  </si>
  <si>
    <t>CH_MA_PreviousProgramStart1</t>
  </si>
  <si>
    <t>CH_MA_PreviousProgramStart2</t>
  </si>
  <si>
    <t>CH_MA_PreviousProgramUnits1</t>
  </si>
  <si>
    <t>CH_MA_PreviousProgramUnits2</t>
  </si>
  <si>
    <t>CH_MA_ProgramDescription</t>
  </si>
  <si>
    <t>CH_MA_ResponsibleForInspections</t>
  </si>
  <si>
    <t>CH_MA_RuralCapabilityPoints</t>
  </si>
  <si>
    <t>CH_MA_RuralCommunityNeedPoints</t>
  </si>
  <si>
    <t>CH_MA_RuralFeasibilityPoints</t>
  </si>
  <si>
    <t>CH_MA_RuralHousingSupplyPoints</t>
  </si>
  <si>
    <t>CH_MA_RuralProHousingPoints</t>
  </si>
  <si>
    <t>CH_MA_RuralRevitalizationPoints</t>
  </si>
  <si>
    <t>CH_MA_RuralVolunteerAndTrainingPoints</t>
  </si>
  <si>
    <t>CH_MA_SelfHelpHours</t>
  </si>
  <si>
    <t>CH_MA_UnrestrictedCapabilityPoints</t>
  </si>
  <si>
    <t>CH_MA_UnrestrictedCommunityNeedPoints</t>
  </si>
  <si>
    <t>CH_MA_UnrestrictedFeasibilityPoints</t>
  </si>
  <si>
    <t>CH_MA_UnrestrictedHousingSupplyPoints</t>
  </si>
  <si>
    <t>CH_MA_UnrestrictedProHousingPoints</t>
  </si>
  <si>
    <t>CH_MA_UnrestrictedRevitalizationPoints</t>
  </si>
  <si>
    <t>CH_MA_UnrestrictedVolunteerAndTrainingPoints</t>
  </si>
  <si>
    <t>CH_MA_VolunteerHours</t>
  </si>
  <si>
    <t>CH_MA_YouthTrainingHours</t>
  </si>
  <si>
    <t>CH_MA01_HighHighestRescArea</t>
  </si>
  <si>
    <t>CH_MA02_CLPPreviousExperience</t>
  </si>
  <si>
    <t>CH_MA03_CLPParticipationCriteria</t>
  </si>
  <si>
    <t>CH_MA04_CLPAgreementForm</t>
  </si>
  <si>
    <t>CH_MA05_CLPParticipantActivities</t>
  </si>
  <si>
    <t>CH_MA06_CLPContractedActivities</t>
  </si>
  <si>
    <t>CH_Required_Docs</t>
  </si>
  <si>
    <t>CH_CAndLExplanation</t>
  </si>
  <si>
    <t>CH_CertificationsAndLegal</t>
  </si>
  <si>
    <t>CH_LoanServicePlan</t>
  </si>
  <si>
    <t>CH_ReuseAccountPlan</t>
  </si>
  <si>
    <t>CH_SignatureBlock</t>
  </si>
  <si>
    <t>S1_AMH_Application</t>
  </si>
  <si>
    <t>S1_AMH_ManufacturedApplicationStatus</t>
  </si>
  <si>
    <t>S1_AMH_RuralApplicationStatus</t>
  </si>
  <si>
    <t>S1_AMH_RuralTotalPoints</t>
  </si>
  <si>
    <t>S1_AMH_RuralTotalRequested</t>
  </si>
  <si>
    <t>S1_AMH_UnrestrictedApplicationStatus</t>
  </si>
  <si>
    <t>S1_AMH_UnrestrictedTotalPoints</t>
  </si>
  <si>
    <t>S1_AMH_UnrestrictedTotalRequested</t>
  </si>
  <si>
    <t>S1_MA_Application</t>
  </si>
  <si>
    <t>S1_MA_ManufacturedApplicationStatus</t>
  </si>
  <si>
    <t>S1_MA_RuralApplicationStatus</t>
  </si>
  <si>
    <t>S1_MA_RuralTotalPoints</t>
  </si>
  <si>
    <t>S1_MA_RuralTotalRequested</t>
  </si>
  <si>
    <t>S1_MA_UnrestrictedApplicationStatus</t>
  </si>
  <si>
    <t>S1_MA_UnrestrictedTotalPoints</t>
  </si>
  <si>
    <t>S1_MA_UnrestrictedTotalRequested</t>
  </si>
  <si>
    <t>S1_OOR_Application</t>
  </si>
  <si>
    <t>S1_OOR_ManufacturedApplicationStatus</t>
  </si>
  <si>
    <t>S1_OOR_RuralApplicationStatus</t>
  </si>
  <si>
    <t>S1_OOR_RuralTotalPoints</t>
  </si>
  <si>
    <t>S1_OOR_RuralTotalRequested</t>
  </si>
  <si>
    <t>S1_OOR_UnrestrictedApplicationStatus</t>
  </si>
  <si>
    <t>S1_OOR_UnrestrictedTotalPoints</t>
  </si>
  <si>
    <t>S1_OOR_UnrestrictedTotalRequested</t>
  </si>
  <si>
    <t>S1_PDL_Application</t>
  </si>
  <si>
    <t>S1_PDL_ApplicationStatus</t>
  </si>
  <si>
    <t>S1_Program_Menu</t>
  </si>
  <si>
    <t>S1_AMH_CompletionStatus</t>
  </si>
  <si>
    <t>S1_MA_CompletionStatus</t>
  </si>
  <si>
    <t>S1_OOR_CompletionStatus</t>
  </si>
  <si>
    <t>S1_PDL_CompletionStatus</t>
  </si>
  <si>
    <t>S1_SHTA_CompletionStatus</t>
  </si>
  <si>
    <t>S1_SHTA_Application</t>
  </si>
  <si>
    <t>S1_SHTA_ManufacturedApplicationStatus</t>
  </si>
  <si>
    <t>S1_SHTA_RuralApplicationStatus</t>
  </si>
  <si>
    <t>S1_SHTA_RuralTotalPoints</t>
  </si>
  <si>
    <t>S1_SHTA_RuralTotalRequested</t>
  </si>
  <si>
    <t>S1_SHTA_UnrestrictedApplicationStatus</t>
  </si>
  <si>
    <t>S1_SHTA_UnrestrictedTotalPoints</t>
  </si>
  <si>
    <t>S1_SHTA_UnrestrictedTotalRequested</t>
  </si>
  <si>
    <t>CH_MA07_InfillSite</t>
  </si>
  <si>
    <t>Complete, print, sign, and scan the Serna Certifications and Legal form.
This form can be downloaded from the Notice of Funding section on the HOSN Webpage.
https://www.hcd.ca.gov/grants-and-funding/programs-active/homeownership-super-nofa
Upload the completed form into the portal folder titled...
3 - Serna General Documents
Before uploading this file to the portal, name the file... 
Serna Certifications And Legal Form</t>
  </si>
  <si>
    <t>Complete, print, sign, and scan the CalHome Certifications and Legal form.
This form can be downloaded from the Notice of Funding section on the HOSN Webpage.
https://www.hcd.ca.gov/grants-and-funding/programs-active/homeownership-super-nofa
Upload the completed form into the portal folder titled...
2 - CalHome General Documents
Before uploading this file to the portal, name the file... 
CalHome Certifications And Legal Form</t>
  </si>
  <si>
    <t>CA</t>
  </si>
  <si>
    <t>In Process</t>
  </si>
  <si>
    <t>S1_EligibilityQuestions</t>
  </si>
  <si>
    <t>S1_ER_EligibleApplicant</t>
  </si>
  <si>
    <t>S1_ER_HasAuthorityAndMeetsPrereqs</t>
  </si>
  <si>
    <t>S1_ER_OnlyEligibleCostsPaidWithAward</t>
  </si>
  <si>
    <t>S1_ER_OnlyEligibleHouseholds</t>
  </si>
  <si>
    <t>S1_ER_WillImplement</t>
  </si>
  <si>
    <t>S1_ER_SufficientStability</t>
  </si>
  <si>
    <t>S1_ER_PendingLawsuits</t>
  </si>
  <si>
    <t>S1_ER_UnresolvedFinding</t>
  </si>
  <si>
    <t>S1_ER_SubmittedOutstandingReports</t>
  </si>
  <si>
    <t>S1_ER_ConstructionNotStarted</t>
  </si>
  <si>
    <t>S1_ER_ComplyWithAdminRequirements</t>
  </si>
  <si>
    <t>S1_ER_WillDevelopUnderwritingGuidelines</t>
  </si>
  <si>
    <t>S1_ER_LoansWillIncludeTerms</t>
  </si>
  <si>
    <t>S1_ER_ADUsNotInHousehold</t>
  </si>
  <si>
    <t>S1_ER_LoanServicingPlan</t>
  </si>
  <si>
    <t>S1_ER_ReuseAccountPlan</t>
  </si>
  <si>
    <t>CH_PDL_PreDevSource1</t>
  </si>
  <si>
    <t>CH_PDL_ConstructionSource1</t>
  </si>
  <si>
    <t>CH_PDL_PermanentSource1</t>
  </si>
  <si>
    <t>CH_PDL_PrepaidLeaseUsed</t>
  </si>
  <si>
    <t>CH_PDL_FundingBasedOnLeasePaymentPV</t>
  </si>
  <si>
    <t>CH_PDL_LenderRequestingResidualReceipts</t>
  </si>
  <si>
    <t>CH_PDL_EligibilityRequirementsMets</t>
  </si>
  <si>
    <t>CH_PDL_CapabilityPoints</t>
  </si>
  <si>
    <t>CH_PDL_CommunityNeedPoints</t>
  </si>
  <si>
    <t>CH_PDL_FeasibilityPoints</t>
  </si>
  <si>
    <t>CH_PDL_RevitalizationPoints</t>
  </si>
  <si>
    <t>CH_PDL_VolunteerAndTrainingPoints</t>
  </si>
  <si>
    <t>CH_PDL_HousingSupplyPoints</t>
  </si>
  <si>
    <t>CH_PDL_ProHousingPoints</t>
  </si>
  <si>
    <t>CH_PDL_TotalPoints</t>
  </si>
  <si>
    <t>CH_PDL_TotalRequested</t>
  </si>
  <si>
    <t>CH_PDL_HasLeaseholderEstate</t>
  </si>
  <si>
    <t>CH_PDL_SEGReportsPrepared</t>
  </si>
  <si>
    <t>CH_PDL_ImplementingResaleRecaptureRestrictions</t>
  </si>
  <si>
    <t>CH_PDL12_HighHighestRescArea</t>
  </si>
  <si>
    <t>CH_PDL_InHighOrHighestResourceArea</t>
  </si>
  <si>
    <t>CH_PDL18_InfillSite</t>
  </si>
  <si>
    <t>CH_PDL_InfillSite</t>
  </si>
  <si>
    <t>CH_PDL_PreDevSource2</t>
  </si>
  <si>
    <t>CH_PDL_PreDevSource3</t>
  </si>
  <si>
    <t>CH_PDL_PreDevSource4</t>
  </si>
  <si>
    <t>CH_PDL_PreDevSource5</t>
  </si>
  <si>
    <t>CH_PDL_PreDevSource6</t>
  </si>
  <si>
    <t>CH_PDL_ConstructionSource2</t>
  </si>
  <si>
    <t>CH_PDL_ConstructionSource3</t>
  </si>
  <si>
    <t>CH_PDL_ConstructionSource4</t>
  </si>
  <si>
    <t>CH_PDL_ConstructionSource5</t>
  </si>
  <si>
    <t>CH_PDL_ConstructionSource6</t>
  </si>
  <si>
    <t>CH_PDL_PermanentSource2</t>
  </si>
  <si>
    <t>CH_PDL_PermanentSource3</t>
  </si>
  <si>
    <t>CH_PDL_PermanentSource4</t>
  </si>
  <si>
    <t>CH_PDL_PermanentSource5</t>
  </si>
  <si>
    <t>CH_PDL_PermanentSource6</t>
  </si>
  <si>
    <t>APP_TwoEntitiesApplying</t>
  </si>
  <si>
    <t>CH_SHTA_EligibilityRequirementsMets</t>
  </si>
  <si>
    <t>CH_SHTA03_CLPPreviousExperience</t>
  </si>
  <si>
    <t>CH_SHTA04_CLPParticipationCriteria</t>
  </si>
  <si>
    <t>CH_SHTA05_CLPAgreementForm</t>
  </si>
  <si>
    <t>CH_SHTA06_CLPParticipantActivities</t>
  </si>
  <si>
    <t>CH_SHTA07_CLPActivitiesContracted</t>
  </si>
  <si>
    <t>CH_SHTA08_InfillSite</t>
  </si>
  <si>
    <t>CH_SHTA02_HighHighestRescArea</t>
  </si>
  <si>
    <t>CH_SHTA_UnrestrictedHousingSupplyPoints</t>
  </si>
  <si>
    <t>CH_SHTA_UnrestrictedCommunityNeedPoints</t>
  </si>
  <si>
    <t>CH_SHTA_UnrestrictedFeasibilityPoints</t>
  </si>
  <si>
    <t>CH_SHTA_UnrestrictedRevitalizationPoints</t>
  </si>
  <si>
    <t>CH_SHTA_UnrestrictedProHousingPoints</t>
  </si>
  <si>
    <t>CH_SHTA_UnrestrictedCapabilityPoints</t>
  </si>
  <si>
    <t>CH_SHTA_UnrestrictedVolunteerAndTrainingPoints</t>
  </si>
  <si>
    <t>CH_SHTA_ManufacturedHousingSupplyPoints</t>
  </si>
  <si>
    <t>CH_SHTA_ManufacturedCommunityNeedPoints</t>
  </si>
  <si>
    <t>CH_SHTA_ManufacturedFeasibilityPoints</t>
  </si>
  <si>
    <t>CH_SHTA_ManufacturedRevitalizationPoints</t>
  </si>
  <si>
    <t>CH_SHTA_ManufacturedProHousingPoints</t>
  </si>
  <si>
    <t>CH_SHTA_ManufacturedCapabilityPoints</t>
  </si>
  <si>
    <t>CH_SHTA_ManufacturedVolunteerAndTrainingPoints</t>
  </si>
  <si>
    <t>CH_SHTA_RuralHousingSupplyPoints</t>
  </si>
  <si>
    <t>CH_SHTA_RuralCommunityNeedPoints</t>
  </si>
  <si>
    <t>CH_SHTA_RuralFeasibilityPoints</t>
  </si>
  <si>
    <t>CH_SHTA_RuralRevitalizationPoints</t>
  </si>
  <si>
    <t>CH_SHTA_RuralProHousingPoints</t>
  </si>
  <si>
    <t>CH_SHTA_RuralCapabilityPoints</t>
  </si>
  <si>
    <t>CH_SHTA_RuralVolunteerAndTrainingPoints</t>
  </si>
  <si>
    <t>CH_SHTA_MFDRuralHousingSupplyPoints</t>
  </si>
  <si>
    <t>CH_SHTA_MFDRuralCommunityNeedPoints</t>
  </si>
  <si>
    <t>CH_SHTA_MFDRuralFeasibilityPoints</t>
  </si>
  <si>
    <t>CH_SHTA_MFDRuralRevitalizationPoints</t>
  </si>
  <si>
    <t>CH_SHTA_MFDRuralProHousingPoints</t>
  </si>
  <si>
    <t>CH_SHTA_MFDRuralCapabilityPoints</t>
  </si>
  <si>
    <t>CH_SHTA_MFDRuralVolunteerAndTrainingPoints</t>
  </si>
  <si>
    <t>CH_ADU_01_HighHighestRescArea</t>
  </si>
  <si>
    <t>CH_ADU_UnrestrictedCommunityNeedPoints</t>
  </si>
  <si>
    <t>CH_ADU_UnrestrictedFeasibilityPoints</t>
  </si>
  <si>
    <t>CH_ADU_UnrestrictedRevitalizationPoints</t>
  </si>
  <si>
    <t>CH_ADU_UnrestrictedProHousingPoints</t>
  </si>
  <si>
    <t>CH_ADU_UnrestrictedCapabilityPoints</t>
  </si>
  <si>
    <t>CH_ADU_UnrestrictedVolunteerAndTrainingPoints</t>
  </si>
  <si>
    <t>CH_ADU_RuralCommunityNeedPoints</t>
  </si>
  <si>
    <t>CH_ADU_RuralFeasibilityPoints</t>
  </si>
  <si>
    <t>CH_ADU_RuralRevitalizationPoints</t>
  </si>
  <si>
    <t>CH_ADU_RuralProHousingPoints</t>
  </si>
  <si>
    <t>CH_ADU_RuralCapabilityPoints</t>
  </si>
  <si>
    <t>CH_ADU_RuralVolunteerAndTrainingPoints</t>
  </si>
  <si>
    <t>CH_ADU_EligibilityRequirementsMets</t>
  </si>
  <si>
    <t>APP_Applicant2</t>
  </si>
  <si>
    <t>APP_Applicant2Type</t>
  </si>
  <si>
    <t>APP_Applicant2Address</t>
  </si>
  <si>
    <t>APP_Applicant2City</t>
  </si>
  <si>
    <t>APP_Applicant2Zip</t>
  </si>
  <si>
    <t>APP_Applicant2Rep</t>
  </si>
  <si>
    <t>APP_Applicant2RepTitle</t>
  </si>
  <si>
    <t>APP_Applicant2RepEmail</t>
  </si>
  <si>
    <t>APP_Applicant2RepPhone</t>
  </si>
  <si>
    <t>APP_Applicant2AltRep</t>
  </si>
  <si>
    <t>APP_Applicant2AltRepTitle</t>
  </si>
  <si>
    <t>APP_Applicant2AltRepEmail</t>
  </si>
  <si>
    <t>APP_Applicant2AltRepPhone</t>
  </si>
  <si>
    <t>CH_ADU_2YearsExpInLast4Years</t>
  </si>
  <si>
    <t>CH_ADU_PreviousProgram1</t>
  </si>
  <si>
    <t>CH_ADU_PreviousProgram2</t>
  </si>
  <si>
    <t>CH_ADU_PreviousProgram3</t>
  </si>
  <si>
    <t>CH_ADU_PreviousProgram4</t>
  </si>
  <si>
    <t>CH_ADU_PreviousProgram5</t>
  </si>
  <si>
    <t>CH_ADU_PreviousProgramUnits1</t>
  </si>
  <si>
    <t>CH_ADU_PreviousProgramUnits2</t>
  </si>
  <si>
    <t>CH_ADU_PreviousProgramUnits3</t>
  </si>
  <si>
    <t>CH_ADU_PreviousProgramUnits4</t>
  </si>
  <si>
    <t>CH_ADU_PreviousProgramUnits5</t>
  </si>
  <si>
    <t>CH_ADU_PreviousProgramStart1</t>
  </si>
  <si>
    <t>CH_ADU_PreviousProgramStart2</t>
  </si>
  <si>
    <t>CH_ADU_PreviousProgramStart3</t>
  </si>
  <si>
    <t>CH_ADU_PreviousProgramStart5</t>
  </si>
  <si>
    <t>CH_ADU_PreviousProgramStart4</t>
  </si>
  <si>
    <t>CH_ADU_PreviousProgramEnd1</t>
  </si>
  <si>
    <t>CH_ADU_PreviousProgramEnd2</t>
  </si>
  <si>
    <t>CH_ADU_PreviousProgramEnd3</t>
  </si>
  <si>
    <t>CH_ADU_PreviousProgramEnd4</t>
  </si>
  <si>
    <t>CH_ADU_PreviousProgramEnd5</t>
  </si>
  <si>
    <t>CH_ADU_DevelopAndEmployGuidelines</t>
  </si>
  <si>
    <t>CH_ADU_BorrowersMaintainInsurance</t>
  </si>
  <si>
    <t>CH_ADU_ObtainTitleInsurance</t>
  </si>
  <si>
    <t>CH_ADU_30DayTenancy</t>
  </si>
  <si>
    <t>CH_ADU_ProgramDescription</t>
  </si>
  <si>
    <t>CH_ADU_AdministrationPlan</t>
  </si>
  <si>
    <t>CH_MA_PreviousProgram3</t>
  </si>
  <si>
    <t>CH_MA_PreviousProgram4</t>
  </si>
  <si>
    <t>CH_MA_PreviousProgram5</t>
  </si>
  <si>
    <t>CH_MA_PreviousProgramUnits3</t>
  </si>
  <si>
    <t>CH_MA_PreviousProgramUnits4</t>
  </si>
  <si>
    <t>CH_MA_PreviousProgramUnits5</t>
  </si>
  <si>
    <t>CH_MA_PreviousProgramStart3</t>
  </si>
  <si>
    <t>CH_MA_PreviousProgramStart4</t>
  </si>
  <si>
    <t>CH_MA_PreviousProgramStart5</t>
  </si>
  <si>
    <t>CH_MA_PreviousProgramEnd3</t>
  </si>
  <si>
    <t>CH_MA_PreviousProgramEnd4</t>
  </si>
  <si>
    <t>CH_MA_PreviousProgramEnd5</t>
  </si>
  <si>
    <t>CH_ER_LPEProjectInJusisdiction</t>
  </si>
  <si>
    <t>CH_ER_LPE2YHousingDevExp</t>
  </si>
  <si>
    <t>CH_ER_LPESingleAdministrator</t>
  </si>
  <si>
    <t>CH_ER_CBDIsAnEligibleNonProfit</t>
  </si>
  <si>
    <t>S1_ER_CBDEntityType</t>
  </si>
  <si>
    <t>S1_ER_CBDIsAnEligibleApplicant</t>
  </si>
  <si>
    <t>CH_ER_CBD2YrsInModResOrHighSegPov</t>
  </si>
  <si>
    <t>CH_ER_CBD5YrExpToLowIncome</t>
  </si>
  <si>
    <t>CH_ER_CBDHQOr3ProjectsIn10mi</t>
  </si>
  <si>
    <t>CH_ER_CBD2ProgramsIn10Mi</t>
  </si>
  <si>
    <t>CH_ER_CBDEduAndLiteracy</t>
  </si>
  <si>
    <t>CH_ER_CBDEmergencyAndCrisis</t>
  </si>
  <si>
    <t>CH_ER_CBDEnvironmental</t>
  </si>
  <si>
    <t>CH_ER_CBDHealthAndWellness</t>
  </si>
  <si>
    <t>CH_ER_CBDHousingAndEconDev</t>
  </si>
  <si>
    <t>CH_ER_CBDHumanAndSocialServices</t>
  </si>
  <si>
    <t>CH_ER_CBDNutritionAndFoodSecurity</t>
  </si>
  <si>
    <t>CH_ER_CBDSenior</t>
  </si>
  <si>
    <t>CH_ER_CBDDemKnowAndCommit</t>
  </si>
  <si>
    <t>CH_ER_CBDGrantFundsForServices</t>
  </si>
  <si>
    <t>CH_ER_CBDCultAndLingCompet</t>
  </si>
  <si>
    <t>CH_ER_CBDRecHiringfromCommunity</t>
  </si>
  <si>
    <t>CH_ER_CBDMembershipAndRecruitment</t>
  </si>
  <si>
    <t>CH_ER_CBD2YHousingDevExperience</t>
  </si>
  <si>
    <t>CH_ER_CBD2YHousingDevExpOr523Grant</t>
  </si>
  <si>
    <t>CH_ER_CBDTaxExemptPurposeActivity</t>
  </si>
  <si>
    <t>CH_PDL_2SimilarProjectsInLast4yrs</t>
  </si>
  <si>
    <t>CH_PDL_PreviousProject1</t>
  </si>
  <si>
    <t>CH_PDL_PreviousProgramUnits1</t>
  </si>
  <si>
    <t>CH_PDL_PreviousProjectDate1</t>
  </si>
  <si>
    <t>CH_PDL_SufficientStaffAndCapacity</t>
  </si>
  <si>
    <t>CH_PDL_HasSiteControl</t>
  </si>
  <si>
    <t>CH_PDL_LoanLimitRequirements</t>
  </si>
  <si>
    <t>CH_PDL_LTVLimitRequirements</t>
  </si>
  <si>
    <t>CH_PDL_DevProjectRequirements</t>
  </si>
  <si>
    <t>CH_PDL_ProjectName</t>
  </si>
  <si>
    <t>CH_PDL_County</t>
  </si>
  <si>
    <t>CH_PDL_NoHomesToDevelop</t>
  </si>
  <si>
    <t>CH_PDL_NoUnitsCompleted</t>
  </si>
  <si>
    <t>CH_PDL_TotalUnits</t>
  </si>
  <si>
    <t>CH_PDL_AssistanceRequesting</t>
  </si>
  <si>
    <t>CH_PDL_ClassFeeRequesting</t>
  </si>
  <si>
    <t>CH_PDL_TypeOfHomeToDevelop</t>
  </si>
  <si>
    <t>CH_PDL_Address1</t>
  </si>
  <si>
    <t>CH_PDL_City1</t>
  </si>
  <si>
    <t>CH_PDL_Zip1</t>
  </si>
  <si>
    <t>CH_PDL_CensusTrack1</t>
  </si>
  <si>
    <t>CH_PDL_GPSLat1</t>
  </si>
  <si>
    <t>CH_PDL_GPSLong1</t>
  </si>
  <si>
    <t>CH_PDL_AllHomesInRuralArea</t>
  </si>
  <si>
    <t>CH_PDL_InfillSiteExplain</t>
  </si>
  <si>
    <t>CH_PDL_UnitsAlreadyCompleted</t>
  </si>
  <si>
    <t>CH_PDL_LastUnitCompleted</t>
  </si>
  <si>
    <t>CH_PDL_PurchasePrice</t>
  </si>
  <si>
    <t>CH_PDL_AppraisedValue</t>
  </si>
  <si>
    <t>CH_PDL_WaterAvailable</t>
  </si>
  <si>
    <t>CH_PDL_GasAvailable</t>
  </si>
  <si>
    <t>CH_PDL_SewerAvailable</t>
  </si>
  <si>
    <t>CH_PDL_ElectricAvailable</t>
  </si>
  <si>
    <t>CH_PDL_SiteImprovements</t>
  </si>
  <si>
    <t>CH_PDL_TentativeMapApproved</t>
  </si>
  <si>
    <t>CH_PDL_TentativeMapDate</t>
  </si>
  <si>
    <t>CH_PDL_FinalMapApproved</t>
  </si>
  <si>
    <t>CH_PDL_FinalMapDate</t>
  </si>
  <si>
    <t>CH_PDL_AdverseEnvConds</t>
  </si>
  <si>
    <t>CH_PDL_AdverseEnvCondsDescription</t>
  </si>
  <si>
    <t>CH_PDL_SiteControlDocument</t>
  </si>
  <si>
    <t>CH_PDL_SiteControlDocumentDate</t>
  </si>
  <si>
    <t>CH_PDL_SiteControlSpecialCircumstances</t>
  </si>
  <si>
    <t>CH_PDL_SitePlanReviewIssuer</t>
  </si>
  <si>
    <t>CH_PDL_SitePlanReviewDate</t>
  </si>
  <si>
    <t>CH_PDL_SitePlanReviewApproval</t>
  </si>
  <si>
    <t>CH_PDL_UnitCost1</t>
  </si>
  <si>
    <t>CH_PDL_UnitCount1</t>
  </si>
  <si>
    <t>CH_PDL_UnitSqft1</t>
  </si>
  <si>
    <t>CH_PDL_UnitBdrmCount1</t>
  </si>
  <si>
    <t>CH_PDL_UnitBathCount1</t>
  </si>
  <si>
    <t>CH_PDL_LienAmount1</t>
  </si>
  <si>
    <t>CH_PDL_EstimatedSalePrice1</t>
  </si>
  <si>
    <t>CH_PDL_HouseholdIncome1</t>
  </si>
  <si>
    <t>CH_PDL_SalesDateSource1</t>
  </si>
  <si>
    <t>CH_PDL_PreDevAmount1</t>
  </si>
  <si>
    <t>CH_PDL_PreDevRate1</t>
  </si>
  <si>
    <t>CH_PDL_PreDevPaymentTerms1</t>
  </si>
  <si>
    <t>CH_PDL_PreDevReqDebtService1</t>
  </si>
  <si>
    <t>CH_PDL_PreDevLienPosition1</t>
  </si>
  <si>
    <t>CH_PDL_LocalAreaMarketAnalysis</t>
  </si>
  <si>
    <t>CH_PDL_ProgramDescription</t>
  </si>
  <si>
    <t>CH_PDL_AdministrationPlan</t>
  </si>
  <si>
    <t>CH_PDL_VolunteerHours</t>
  </si>
  <si>
    <t>CH_PDL_SelfHelpHours</t>
  </si>
  <si>
    <t>CH_PDL_YouthTrainingHours</t>
  </si>
  <si>
    <t>CH_PDL13_CLPExperience</t>
  </si>
  <si>
    <t>CH_PDL14_CLPParticipationCrit</t>
  </si>
  <si>
    <t>CH_PDL15_CLPAgreement</t>
  </si>
  <si>
    <t>CH_PDL16_CLPActivityPerformed</t>
  </si>
  <si>
    <t>CH_PDL17_CLPActivityContracted</t>
  </si>
  <si>
    <t>Tribe_BoardResolution</t>
  </si>
  <si>
    <t>Tribe_FTINOrPayeeDataRec</t>
  </si>
  <si>
    <t>CH_LPE_AdminSubcontracts</t>
  </si>
  <si>
    <t>CH_LPE_ConsultAgreements</t>
  </si>
  <si>
    <t>CH_SHTA_2YearsExpInLast4Years</t>
  </si>
  <si>
    <t>CH_SHTA_PreviousProgram1</t>
  </si>
  <si>
    <t>CH_SHTA_PreviousProgramUnits1</t>
  </si>
  <si>
    <t>CH_SHTA_PreviousProgramStart1</t>
  </si>
  <si>
    <t>CH_SHTA_PreviousProgramEnd1</t>
  </si>
  <si>
    <t>CH_SHTA_SoldHomeNotExceedAppraisedValue</t>
  </si>
  <si>
    <t>CH_SHTA_DevelopEmployGuidelines</t>
  </si>
  <si>
    <t>CH_SHTA_ProgramDescription</t>
  </si>
  <si>
    <t>CH_SHTA_AdministrationPlan</t>
  </si>
  <si>
    <t>CH_SHTA_VolunteerHours</t>
  </si>
  <si>
    <t>CH_SHTA_SelfHelpHours</t>
  </si>
  <si>
    <t>CH_SHTA_YouthTrainingHours</t>
  </si>
  <si>
    <t>CH_OOR01_HighHighestRescArea</t>
  </si>
  <si>
    <t>CH_OOR_UnrestrictedHousingSupplyPoints</t>
  </si>
  <si>
    <t>CH_OOR_UnrestrictedCommunityNeedPoints</t>
  </si>
  <si>
    <t>CH_OOR_UnrestrictedFeasibilityPoints</t>
  </si>
  <si>
    <t>CH_OOR_UnrestrictedRevitalizationPoints</t>
  </si>
  <si>
    <t>CH_OOR_UnrestrictedProHousingPoints</t>
  </si>
  <si>
    <t>CH_OOR_UnrestrictedCapabilityPoints</t>
  </si>
  <si>
    <t>CH_OOR_UnrestrictedVolunteerAndTrainingPoints</t>
  </si>
  <si>
    <t>CH_OOR_ManufacturedHousingSupplyPoints</t>
  </si>
  <si>
    <t>CH_OOR_ManufacturedCommunityNeedPoints</t>
  </si>
  <si>
    <t>CH_OOR_ManufacturedFeasibilityPoints</t>
  </si>
  <si>
    <t>CH_OOR_ManufacturedRevitalizationPoints</t>
  </si>
  <si>
    <t>CH_OOR_ManufacturedProHousingPoints</t>
  </si>
  <si>
    <t>CH_OOR_ManufacturedCapabilityPoints</t>
  </si>
  <si>
    <t>CH_OOR_ManufacturedVolunteerAndTrainingPoints</t>
  </si>
  <si>
    <t>CH_OOR_RuralHousingSupplyPoints</t>
  </si>
  <si>
    <t>CH_OOR_RuralCommunityNeedPoints</t>
  </si>
  <si>
    <t>CH_OOR_RuralFeasibilityPoints</t>
  </si>
  <si>
    <t>CH_OOR_RuralRevitalizationPoints</t>
  </si>
  <si>
    <t>CH_OOR_RuralProHousingPoints</t>
  </si>
  <si>
    <t>CH_OOR_RuralCapabilityPoints</t>
  </si>
  <si>
    <t>CH_OOR_RuralVolunteerAndTrainingPoints</t>
  </si>
  <si>
    <t>CH_OOR_MFDRuralHousingSupplyPoints</t>
  </si>
  <si>
    <t>CH_OOR_MFDRuralCommunityNeedPoints</t>
  </si>
  <si>
    <t>CH_OOR_MFDRuralFeasibilityPoints</t>
  </si>
  <si>
    <t>CH_OOR_MFDRuralRevitalizationPoints</t>
  </si>
  <si>
    <t>CH_OOR_MFDRuralProHousingPoints</t>
  </si>
  <si>
    <t>CH_OOR_MFDRuralCapabilityPoints</t>
  </si>
  <si>
    <t>CH_OOR_MFDRuralVolunteerAndTrainingPoints</t>
  </si>
  <si>
    <t>CH_OOR_EligibilityRequirementsMets</t>
  </si>
  <si>
    <t>CH_SH01_HighHighestRescArea</t>
  </si>
  <si>
    <t>CH_SH_UnrestrictedHousingSupplyPoints</t>
  </si>
  <si>
    <t>CH_SH_UnrestrictedCommunityNeedPoints</t>
  </si>
  <si>
    <t>CH_SH_UnrestrictedFeasibilityPoints</t>
  </si>
  <si>
    <t>CH_SH_UnrestrictedRevitalizationPoints</t>
  </si>
  <si>
    <t>CH_SH_UnrestrictedProHousingPoints</t>
  </si>
  <si>
    <t>CH_SH_UnrestrictedCapabilityPoints</t>
  </si>
  <si>
    <t>CH_SH_UnrestrictedVolunteerAndTrainingPoints</t>
  </si>
  <si>
    <t>CH_SH_RuralHousingSupplyPoints</t>
  </si>
  <si>
    <t>CH_SH_RuralCommunityNeedPoints</t>
  </si>
  <si>
    <t>CH_SH_RuralFeasibilityPoints</t>
  </si>
  <si>
    <t>CH_SH_RuralRevitalizationPoints</t>
  </si>
  <si>
    <t>CH_SH_RuralProHousingPoints</t>
  </si>
  <si>
    <t>CH_SH_RuralCapabilityPoints</t>
  </si>
  <si>
    <t>CH_SH_RuralVolunteerAndTrainingPoints</t>
  </si>
  <si>
    <t>CH_SH_EligibilityRequirementsMets</t>
  </si>
  <si>
    <t>CH_SH_2YearsExpInLast4Years</t>
  </si>
  <si>
    <t>CH_SH_PreviousProgram1</t>
  </si>
  <si>
    <t>CH_SH_PreviousProgramUnits1</t>
  </si>
  <si>
    <t>CH_SH_PreviousProgramStart1</t>
  </si>
  <si>
    <t>CH_SH_PreviousProgramEnd1</t>
  </si>
  <si>
    <t>CH_SH_IncludesRequiredFeatures</t>
  </si>
  <si>
    <t>CH_SH_NoRentingMoreThan2Rooms</t>
  </si>
  <si>
    <t>CH_SH_WillNotExceed50PctBudget</t>
  </si>
  <si>
    <t>CH_SH_ProgramDescription</t>
  </si>
  <si>
    <t>CH_SH_AdministrationPlan</t>
  </si>
  <si>
    <t>S1_PDL_PreDevSource1</t>
  </si>
  <si>
    <t>S1_PDL_ConstructionSource1</t>
  </si>
  <si>
    <t>S1_PDL_PermanentSource1</t>
  </si>
  <si>
    <t>S1_PDL_PrepaidLeaseUsed</t>
  </si>
  <si>
    <t>S1_PDL_FundingBasedOnLeasePaymentPV</t>
  </si>
  <si>
    <t>S1_PDL_LenderRequestingResidualReceipts</t>
  </si>
  <si>
    <t>S1_PDL_EligibilityRequirementsMets</t>
  </si>
  <si>
    <t>S1_PDL_CapabilityPoints</t>
  </si>
  <si>
    <t>S1_PDL_CommunityNeedPoints</t>
  </si>
  <si>
    <t>S1_PDL_FeasibilityPoints</t>
  </si>
  <si>
    <t>S1_PDL_RevitalizationPoints</t>
  </si>
  <si>
    <t>S1_PDL_VolunteerAndTrainingPoints</t>
  </si>
  <si>
    <t>S1_PDL_HousingSupplyPoints</t>
  </si>
  <si>
    <t>S1_PDL_ProHousingPoints</t>
  </si>
  <si>
    <t>S1_PDL_FarmworkerNeedPoints</t>
  </si>
  <si>
    <t>S1_PDL_TotalPoints</t>
  </si>
  <si>
    <t>S1_PDL_TotalRequested</t>
  </si>
  <si>
    <t>S1_PDL_HasLeaseholderEstate</t>
  </si>
  <si>
    <t>S1_PDL_SEGReportsPrepared</t>
  </si>
  <si>
    <t>S1_PDL_ImplementingResaleRecaptureRestrictions</t>
  </si>
  <si>
    <t>S1_PDL_PreDevSource2</t>
  </si>
  <si>
    <t>S1_PDL_PreDevSource3</t>
  </si>
  <si>
    <t>S1_PDL_PreDevSource4</t>
  </si>
  <si>
    <t>S1_PDL_PreDevSource5</t>
  </si>
  <si>
    <t>S1_PDL_PreDevSource6</t>
  </si>
  <si>
    <t>S1_PDL_ConstructionSource2</t>
  </si>
  <si>
    <t>S1_PDL_ConstructionSource3</t>
  </si>
  <si>
    <t>S1_PDL_ConstructionSource4</t>
  </si>
  <si>
    <t>S1_PDL_ConstructionSource5</t>
  </si>
  <si>
    <t>S1_PDL_ConstructionSource6</t>
  </si>
  <si>
    <t>S1_PDL_PermanentSource2</t>
  </si>
  <si>
    <t>S1_PDL_PermanentSource3</t>
  </si>
  <si>
    <t>S1_PDL_PermanentSource4</t>
  </si>
  <si>
    <t>S1_PDL_PermanentSource5</t>
  </si>
  <si>
    <t>S1_PDL_PermanentSource6</t>
  </si>
  <si>
    <t>S1_SHTA_EligibilityRequirementsMets</t>
  </si>
  <si>
    <t>S1_SHTA04_CLPParticipationCriteria</t>
  </si>
  <si>
    <t>S1_SHTA05_CLPAgreementForm</t>
  </si>
  <si>
    <t>S1_SHTA06_CLPParticipantActivities</t>
  </si>
  <si>
    <t>S1_SHTA07_CLPActivitiesContracted</t>
  </si>
  <si>
    <t>S1_SHTA_UnrestrictedHousingSupplyPoints</t>
  </si>
  <si>
    <t>S1_SHTA_UnrestrictedCommunityNeedPoints</t>
  </si>
  <si>
    <t>S1_SHTA_UnrestrictedFeasibilityPoints</t>
  </si>
  <si>
    <t>S1_SHTA_UnrestrictedRevitalizationPoints</t>
  </si>
  <si>
    <t>S1_SHTA_UnrestrictedProHousingPoints</t>
  </si>
  <si>
    <t>S1_SHTA_UnrestrictedCapabilityPoints</t>
  </si>
  <si>
    <t>S1_SHTA_UnrestrictedVolunteerAndTrainingPoints</t>
  </si>
  <si>
    <t>S1_SHTA_UnrestrictedFarmworkerNeedPoints</t>
  </si>
  <si>
    <t>S1_SHTA_RuralHousingSupplyPoints</t>
  </si>
  <si>
    <t>S1_SHTA_RuralCommunityNeedPoints</t>
  </si>
  <si>
    <t>S1_SHTA_RuralFeasibilityPoints</t>
  </si>
  <si>
    <t>S1_SHTA_RuralRevitalizationPoints</t>
  </si>
  <si>
    <t>S1_SHTA_RuralProHousingPoints</t>
  </si>
  <si>
    <t>S1_SHTA_RuralCapabilityPoints</t>
  </si>
  <si>
    <t>S1_SHTA_RuralVolunteerAndTrainingPoints</t>
  </si>
  <si>
    <t>S1_SHTA_RuralFarmworkerNeedPoints</t>
  </si>
  <si>
    <t>S1_SHTA_PreviousProgram1</t>
  </si>
  <si>
    <t>S1_SHTA_PreviousProgramUnits1</t>
  </si>
  <si>
    <t>S1_SHTA_PreviousProgramStart1</t>
  </si>
  <si>
    <t>S1_SHTA_PreviousProgramEnd1</t>
  </si>
  <si>
    <t>S1_SHTA_2YearsExpInLast4Years</t>
  </si>
  <si>
    <t>S1_SHTA_SoldHomeNotExceedAppraisedValue</t>
  </si>
  <si>
    <t>S1_SHTA_DevelopEmployGuidelines</t>
  </si>
  <si>
    <t>S1_SHTA_ProgramDescription</t>
  </si>
  <si>
    <t>S1_SHTA_AdministrationPlan</t>
  </si>
  <si>
    <t>S1_SHTA_VolunteerHours</t>
  </si>
  <si>
    <t>S1_SHTA_SelfHelpHours</t>
  </si>
  <si>
    <t>S1_SHTA_YouthTrainingHours</t>
  </si>
  <si>
    <t>S1_ER_LPEProHousingDesignation</t>
  </si>
  <si>
    <t>S1_MA02_CLPPreviousExperience</t>
  </si>
  <si>
    <t>S1_MA03_CLPParticipationCriteria</t>
  </si>
  <si>
    <t>S1_MA04_CLPAgreementForm</t>
  </si>
  <si>
    <t>S1_MA05_CLPParticipantActivities</t>
  </si>
  <si>
    <t>S1_MA06_CLPContractedActivities</t>
  </si>
  <si>
    <t>S1_MA01_HighHighestRescArea</t>
  </si>
  <si>
    <t>S1_MA_UnrestrictedHousingSupplyPoints</t>
  </si>
  <si>
    <t>S1_MA_UnrestrictedCommunityNeedPoints</t>
  </si>
  <si>
    <t>S1_MA_UnrestrictedFeasibilityPoints</t>
  </si>
  <si>
    <t>S1_MA_UnrestrictedRevitalizationPoints</t>
  </si>
  <si>
    <t>S1_MA_UnrestrictedProHousingPoints</t>
  </si>
  <si>
    <t>S1_MA_UnrestrictedCapabilityPoints</t>
  </si>
  <si>
    <t>S1_MA_UnrestrictedVolunteerAndTrainingPoints</t>
  </si>
  <si>
    <t>S1_MA_RuralHousingSupplyPoints</t>
  </si>
  <si>
    <t>S1_MA_RuralCommunityNeedPoints</t>
  </si>
  <si>
    <t>S1_MA_RuralFeasibilityPoints</t>
  </si>
  <si>
    <t>S1_MA_RuralRevitalizationPoints</t>
  </si>
  <si>
    <t>S1_MA_RuralProHousingPoints</t>
  </si>
  <si>
    <t>S1_MA_RuralCapabilityPoints</t>
  </si>
  <si>
    <t>S1_MA_RuralVolunteerAndTrainingPoints</t>
  </si>
  <si>
    <t>S1_MA_EligibilityRequirementsMets</t>
  </si>
  <si>
    <t>S1_MA_2YearsExpInLast4Years</t>
  </si>
  <si>
    <t>S1_MA_PreviousProgram1</t>
  </si>
  <si>
    <t>S1_MA_PreviousProgramUnits1</t>
  </si>
  <si>
    <t>S1_MA_PreviousProgramStart1</t>
  </si>
  <si>
    <t>S1_MA_PreviousProgramEnd1</t>
  </si>
  <si>
    <t>S1_MA_InformAndAssistHomebuyer</t>
  </si>
  <si>
    <t>S1_MA_ObtainAppraisalsRequired</t>
  </si>
  <si>
    <t>S1_MA_ResponsibleForInspections</t>
  </si>
  <si>
    <t>S1_MA_NoUnpermittedMobilehomeParks</t>
  </si>
  <si>
    <t>S1_MA_DevelopEmployGuidelines</t>
  </si>
  <si>
    <t>S1_MA_ProgramDescription</t>
  </si>
  <si>
    <t>S1_MA_AdministrationPlan</t>
  </si>
  <si>
    <t>S1_MA_VolunteerHours</t>
  </si>
  <si>
    <t>S1_MA_SelfHelpHours</t>
  </si>
  <si>
    <t>S1_MA_YouthTrainingHours</t>
  </si>
  <si>
    <t>S1_OOR_EligibilityRequirementsMets</t>
  </si>
  <si>
    <t>S1_OOR01_HighHighestRescArea</t>
  </si>
  <si>
    <t>S1_OOR_UnrestrictedHousingSupplyPoints</t>
  </si>
  <si>
    <t>S1_OOR_UnrestrictedCommunityNeedPoints</t>
  </si>
  <si>
    <t>S1_OOR_UnrestrictedFeasibilityPoints</t>
  </si>
  <si>
    <t>S1_OOR_UnrestrictedRevitalizationPoints</t>
  </si>
  <si>
    <t>S1_OOR_UnrestrictedProHousingPoints</t>
  </si>
  <si>
    <t>S1_OOR_UnrestrictedCapabilityPoints</t>
  </si>
  <si>
    <t>S1_OOR_UnrestrictedVolunteerAndTrainingPoints</t>
  </si>
  <si>
    <t>S1_OOR_RuralHousingSupplyPoints</t>
  </si>
  <si>
    <t>S1_OOR_RuralCommunityNeedPoints</t>
  </si>
  <si>
    <t>S1_OOR_RuralFeasibilityPoints</t>
  </si>
  <si>
    <t>S1_OOR_RuralRevitalizationPoints</t>
  </si>
  <si>
    <t>S1_OOR_RuralProHousingPoints</t>
  </si>
  <si>
    <t>S1_OOR_RuralCapabilityPoints</t>
  </si>
  <si>
    <t>S1_OOR_RuralVolunteerAndTrainingPoints</t>
  </si>
  <si>
    <t>S1_AMH_EligibilityRequirementsMets</t>
  </si>
  <si>
    <t>S1_AMH_VolunteerAndTrainingPoints</t>
  </si>
  <si>
    <t>S1_AMH02_CLPPreviousExperience</t>
  </si>
  <si>
    <t>S1_AMH03_CLPParticipationCriteria</t>
  </si>
  <si>
    <t>S1_AMH04_CLPAgreementForm</t>
  </si>
  <si>
    <t>S1_AMH05_CLPParticipantActivities</t>
  </si>
  <si>
    <t>S1_AMH06_CLPContractedActivities</t>
  </si>
  <si>
    <t>S1_AMH01_HighHighestRescArea</t>
  </si>
  <si>
    <t>S1_AMH_UnrestrictedHousingSupplyPoints</t>
  </si>
  <si>
    <t>S1_AMH_UnrestrictedCommunityNeedPoints</t>
  </si>
  <si>
    <t>S1_AMH_UnrestrictedFeasibilityPoints</t>
  </si>
  <si>
    <t>S1_AMH_UnrestrictedRevitalizationPoints</t>
  </si>
  <si>
    <t>S1_AMH_UnrestrictedProHousingPoints</t>
  </si>
  <si>
    <t>S1_AMH_UnrestrictedCapabilityPoints</t>
  </si>
  <si>
    <t>S1_AMH_UnrestrictedVolunteerAndTrainingPoints</t>
  </si>
  <si>
    <t>S1_AMH_RuralHousingSupplyPoints</t>
  </si>
  <si>
    <t>S1_AMH_RuralCommunityNeedPoints</t>
  </si>
  <si>
    <t>S1_AMH_RuralFeasibilityPoints</t>
  </si>
  <si>
    <t>S1_AMH_RuralRevitalizationPoints</t>
  </si>
  <si>
    <t>S1_AMH_RuralProHousingPoints</t>
  </si>
  <si>
    <t>S1_AMH_RuralCapabilityPoints</t>
  </si>
  <si>
    <t>S1_AMH_RuralVolunteerAndTrainingPoints</t>
  </si>
  <si>
    <t>S1_AMH_2YearsExpInLast4Years</t>
  </si>
  <si>
    <t>S1_AMH_PreviousProgram1</t>
  </si>
  <si>
    <t>S1_AMH_PreviousProgramUnits1</t>
  </si>
  <si>
    <t>S1_AMH_PreviousProgramStart1</t>
  </si>
  <si>
    <t>S1_AMH_PreviousProgramEnd1</t>
  </si>
  <si>
    <t>S1_AMH_OwnerOccupiedAgWorker</t>
  </si>
  <si>
    <t>S1_AMH_AreaNeedsAgHousing</t>
  </si>
  <si>
    <t>S1_AMH_NewHomesFromLicensedSupplier</t>
  </si>
  <si>
    <t>S1_AMH_ProgramDescription</t>
  </si>
  <si>
    <t>S1_AMH_AdministrationPlan</t>
  </si>
  <si>
    <t>S1_AMH_SelfHelpHours</t>
  </si>
  <si>
    <t>S1_AMH_VolunteerHours</t>
  </si>
  <si>
    <t>S1_AMH_YouthTrainingHours</t>
  </si>
  <si>
    <t>CH_Summary</t>
  </si>
  <si>
    <t>CH_FinalConfirmation</t>
  </si>
  <si>
    <t>S1_Required_Docs</t>
  </si>
  <si>
    <t>S1_CertificationsAndLegal</t>
  </si>
  <si>
    <t>S1_LoanServicePlan</t>
  </si>
  <si>
    <t>S1_CAndLExplanation</t>
  </si>
  <si>
    <t>S1_ReuseAccountPlan</t>
  </si>
  <si>
    <t>S1_SignatureBlock</t>
  </si>
  <si>
    <t>S1_LPE_AdminSubcontracts</t>
  </si>
  <si>
    <t>S1_LPE_ConsultAgreements</t>
  </si>
  <si>
    <t>S1_ER_LPEProjectInJusisdiction</t>
  </si>
  <si>
    <t>S1_ER_LPE2YHousingDevExp</t>
  </si>
  <si>
    <t>S1_ER_LPESingleAdministrator</t>
  </si>
  <si>
    <t>LPE_BoardResolution2</t>
  </si>
  <si>
    <t>LPE_BoardResolution</t>
  </si>
  <si>
    <t>LPE_FISCALTIN2</t>
  </si>
  <si>
    <t>LPE_FISCALTIN</t>
  </si>
  <si>
    <t>LPE_ProHousing2</t>
  </si>
  <si>
    <t>LPE_ProHousing</t>
  </si>
  <si>
    <t>S1_LPE_MOU</t>
  </si>
  <si>
    <t>Non-Profit Corporation</t>
  </si>
  <si>
    <t xml:space="preserve">Alameda </t>
  </si>
  <si>
    <t xml:space="preserve">Alpine </t>
  </si>
  <si>
    <t xml:space="preserve">Amador </t>
  </si>
  <si>
    <t xml:space="preserve">Butte </t>
  </si>
  <si>
    <t xml:space="preserve">Calaveras </t>
  </si>
  <si>
    <t xml:space="preserve">Colusa </t>
  </si>
  <si>
    <t xml:space="preserve">Contra Costa </t>
  </si>
  <si>
    <t xml:space="preserve">Del Norte </t>
  </si>
  <si>
    <t xml:space="preserve">El Dorado </t>
  </si>
  <si>
    <t xml:space="preserve">Fresno </t>
  </si>
  <si>
    <t xml:space="preserve">Glenn </t>
  </si>
  <si>
    <t xml:space="preserve">Humboldt </t>
  </si>
  <si>
    <t xml:space="preserve">Imperial </t>
  </si>
  <si>
    <t xml:space="preserve">Inyo </t>
  </si>
  <si>
    <t xml:space="preserve">Kern </t>
  </si>
  <si>
    <t xml:space="preserve">Kings </t>
  </si>
  <si>
    <t xml:space="preserve">Lake </t>
  </si>
  <si>
    <t xml:space="preserve">Lassen </t>
  </si>
  <si>
    <t xml:space="preserve">Los Angeles </t>
  </si>
  <si>
    <t xml:space="preserve">Madera </t>
  </si>
  <si>
    <t xml:space="preserve">Marin </t>
  </si>
  <si>
    <t xml:space="preserve">Mariposa </t>
  </si>
  <si>
    <t xml:space="preserve">Mendocino </t>
  </si>
  <si>
    <t xml:space="preserve">Merced </t>
  </si>
  <si>
    <t xml:space="preserve">Modoc </t>
  </si>
  <si>
    <t xml:space="preserve">Mono </t>
  </si>
  <si>
    <t xml:space="preserve">Monterey </t>
  </si>
  <si>
    <t xml:space="preserve">Napa </t>
  </si>
  <si>
    <t xml:space="preserve">Nevada </t>
  </si>
  <si>
    <t xml:space="preserve">Orange </t>
  </si>
  <si>
    <t xml:space="preserve">Placer </t>
  </si>
  <si>
    <t xml:space="preserve">Plumas </t>
  </si>
  <si>
    <t xml:space="preserve">Riverside </t>
  </si>
  <si>
    <t xml:space="preserve">Sacramento </t>
  </si>
  <si>
    <t xml:space="preserve">San Benito </t>
  </si>
  <si>
    <t xml:space="preserve">San Bernardino </t>
  </si>
  <si>
    <t xml:space="preserve">San Diego </t>
  </si>
  <si>
    <t xml:space="preserve">San Joaquin </t>
  </si>
  <si>
    <t xml:space="preserve">San Luis Obispo </t>
  </si>
  <si>
    <t xml:space="preserve">San Mateo </t>
  </si>
  <si>
    <t xml:space="preserve">Santa Barbara </t>
  </si>
  <si>
    <t xml:space="preserve">Santa Clara </t>
  </si>
  <si>
    <t xml:space="preserve">Santa Cruz </t>
  </si>
  <si>
    <t xml:space="preserve">Shasta </t>
  </si>
  <si>
    <t xml:space="preserve">Sierra </t>
  </si>
  <si>
    <t xml:space="preserve">Siskiyou </t>
  </si>
  <si>
    <t xml:space="preserve">Solano </t>
  </si>
  <si>
    <t xml:space="preserve">Sonoma </t>
  </si>
  <si>
    <t xml:space="preserve">Stanislaus </t>
  </si>
  <si>
    <t xml:space="preserve">Sutter </t>
  </si>
  <si>
    <t xml:space="preserve">Tehama </t>
  </si>
  <si>
    <t xml:space="preserve">Trinity </t>
  </si>
  <si>
    <t xml:space="preserve">Tulare </t>
  </si>
  <si>
    <t xml:space="preserve">Tuolumne </t>
  </si>
  <si>
    <t xml:space="preserve">Ventura </t>
  </si>
  <si>
    <t xml:space="preserve">Yolo </t>
  </si>
  <si>
    <t xml:space="preserve">Yuba </t>
  </si>
  <si>
    <t>N/C
A/R</t>
  </si>
  <si>
    <t>Classes</t>
  </si>
  <si>
    <t>X</t>
  </si>
  <si>
    <t>CH_LPE_MOU</t>
  </si>
  <si>
    <t>CH_SH02_HighHighestRescArea</t>
  </si>
  <si>
    <t>CH_SH03_CLPPreviousExperience</t>
  </si>
  <si>
    <t>CH_SH04_CLPParticipationCriteria</t>
  </si>
  <si>
    <t>CH_SH05_CLPAgreementForm</t>
  </si>
  <si>
    <t>CH_SH06_CLPParticipantActivities</t>
  </si>
  <si>
    <t>CH_SH07_CLPActivitiesContracted</t>
  </si>
  <si>
    <t>S1_Eligibility_Questions</t>
  </si>
  <si>
    <t>S1_ER_ProHousingDesignation</t>
  </si>
  <si>
    <t>App_HasProHousingDesignation</t>
  </si>
  <si>
    <t>CalHome MA</t>
  </si>
  <si>
    <t>CalHome ADU/JADU</t>
  </si>
  <si>
    <t>CalHome Self-Help Technical Assistance</t>
  </si>
  <si>
    <t>CalHome Owner Occupied Rehabilitation</t>
  </si>
  <si>
    <t>CalHome Shared-Housing</t>
  </si>
  <si>
    <t>CalHome Technical Assistance for Shared-Housing Application</t>
  </si>
  <si>
    <t>Applicant certifies that it, or it's subcontractor if the applicant is a form of local government, has in the last four years successfully administered a shared housing program for renters or homeowners for at least two years.</t>
  </si>
  <si>
    <t>Applicant certifies that the proposed program will include the required features describe in the program guidelines. §404.3a</t>
  </si>
  <si>
    <t>Applicant certifies that home seekers will not be matched with homeowners renting more than two rooms in their home. §404.3b</t>
  </si>
  <si>
    <t>Applicant certifies that the aggregate annual CalHome program reimbursement will not exceed 50% of the applicant's annual budget for their Shared Housing Match Local Program. §404.3c</t>
  </si>
  <si>
    <t>Infill</t>
  </si>
  <si>
    <t>HRA</t>
  </si>
  <si>
    <t>High Resc. Area</t>
  </si>
  <si>
    <t>Manufactured Housing In Rural Areas</t>
  </si>
  <si>
    <t>Not limited to Rural Areas</t>
  </si>
  <si>
    <t>CalHome Homeownership Project Development Loan</t>
  </si>
  <si>
    <t>Applicant certifies that it (or it's administrative subcontractor if the applicant is a local public entity or agency) has successfully developed at least two similar projects in the last four years.</t>
  </si>
  <si>
    <t>Occupancy Date</t>
  </si>
  <si>
    <t>Applicant certifies it has staff that will be committed to the proposed project that possess the knowledge, skills and ability to perform the tasks required in a homeownership development project.</t>
  </si>
  <si>
    <t>Applicant certifies that it has site control of the project. §400.3</t>
  </si>
  <si>
    <t>Applicant certifies that it will adhere to the loan terms listed in §400.5 of the guidelines. §400.5</t>
  </si>
  <si>
    <t>Applicant certifies that it will adhere to the loan-to-value limits described in the guidelines. §400.6</t>
  </si>
  <si>
    <t>Applicant certifies that it will adhere to the project requirements described in the guidelines. §400.7</t>
  </si>
  <si>
    <t>County:</t>
  </si>
  <si>
    <t>Type:</t>
  </si>
  <si>
    <t>Units:</t>
  </si>
  <si>
    <t>Site Location:</t>
  </si>
  <si>
    <t>GPS Long</t>
  </si>
  <si>
    <t>GPS Lat</t>
  </si>
  <si>
    <t>Census</t>
  </si>
  <si>
    <t>Zip</t>
  </si>
  <si>
    <t>Rural Area:</t>
  </si>
  <si>
    <t>Infill Site:</t>
  </si>
  <si>
    <t>Will every home in this project be located in a rural area as defined in the CalHome Guidelines?</t>
  </si>
  <si>
    <t>Completed Units:</t>
  </si>
  <si>
    <t>How Many?</t>
  </si>
  <si>
    <t>Units completed?</t>
  </si>
  <si>
    <t>Last one completed?</t>
  </si>
  <si>
    <t>Name:</t>
  </si>
  <si>
    <t>Site Valuation:</t>
  </si>
  <si>
    <t>Price of the project site/sites?</t>
  </si>
  <si>
    <t>Appraised value of site/sites?</t>
  </si>
  <si>
    <t>Utilities Available At The Site:</t>
  </si>
  <si>
    <t>Water</t>
  </si>
  <si>
    <t>Gas</t>
  </si>
  <si>
    <t>Electric</t>
  </si>
  <si>
    <t>Sewer</t>
  </si>
  <si>
    <t>Site Improvements</t>
  </si>
  <si>
    <t>If on-site or off-site improvements are needed or exist, provide details below including expected completion dates.</t>
  </si>
  <si>
    <t>Tentative And Final Maps</t>
  </si>
  <si>
    <t>Adverse Environmental Conditions</t>
  </si>
  <si>
    <t>Soils / Engineering / Geotechnical Reports</t>
  </si>
  <si>
    <t>Have any soil, engineering, or geotechnical site reports been prepared?</t>
  </si>
  <si>
    <t>Site Control</t>
  </si>
  <si>
    <t>Are there any severe adverse environmental conditions at the project site? Explain.</t>
  </si>
  <si>
    <t>Executed</t>
  </si>
  <si>
    <t>Evidence of site control.</t>
  </si>
  <si>
    <t>If there any special circumstances regarding site control, please describe them below.</t>
  </si>
  <si>
    <t>Lease Information</t>
  </si>
  <si>
    <t>Does the applicant have leaseholder estate?</t>
  </si>
  <si>
    <t>Is the rent based on the restricted land value?</t>
  </si>
  <si>
    <t>Is the acquisition cost $0 in the development budget?</t>
  </si>
  <si>
    <t>Was a prepaid lease loan used?</t>
  </si>
  <si>
    <t>Is the funding amount based on the present value of the lease payments?</t>
  </si>
  <si>
    <t>Is the lender requesting residual receipts? Please note that this is not allowable.</t>
  </si>
  <si>
    <t>Discretionary Local Land Use Approval Status</t>
  </si>
  <si>
    <t xml:space="preserve"> Agency/Issuer</t>
  </si>
  <si>
    <t>Type and Comments</t>
  </si>
  <si>
    <t xml:space="preserve"> Approval Type</t>
  </si>
  <si>
    <t xml:space="preserve"> Approved</t>
  </si>
  <si>
    <t>Proposed Homes To Be Developed</t>
  </si>
  <si>
    <t>Estimated per unit construction costs</t>
  </si>
  <si>
    <t># of Units</t>
  </si>
  <si>
    <t xml:space="preserve"> Square Footage
 (living spaces)</t>
  </si>
  <si>
    <t># of Bdrms</t>
  </si>
  <si>
    <t># of Baths</t>
  </si>
  <si>
    <t xml:space="preserve"> Total Amount of 
 Permanent Liens</t>
  </si>
  <si>
    <t>Est. Sales Price</t>
  </si>
  <si>
    <t>Household Inc. Limit</t>
  </si>
  <si>
    <t>Provide the data source used to set sales prices:</t>
  </si>
  <si>
    <t>Committed</t>
  </si>
  <si>
    <t>Lien Pos.</t>
  </si>
  <si>
    <t>Required Debt
Service</t>
  </si>
  <si>
    <t xml:space="preserve"> Repayment 
 Per. (Months)</t>
  </si>
  <si>
    <t xml:space="preserve"> Int.
 Rate</t>
  </si>
  <si>
    <t xml:space="preserve"> Amount</t>
  </si>
  <si>
    <t xml:space="preserve"> Source of Financing</t>
  </si>
  <si>
    <t>Sources/Uses</t>
  </si>
  <si>
    <t>(a) Land acquisition</t>
  </si>
  <si>
    <t>(b) State and local fees</t>
  </si>
  <si>
    <t>(b) Building permits</t>
  </si>
  <si>
    <t>(c) Architectural</t>
  </si>
  <si>
    <t>(c) Engineering</t>
  </si>
  <si>
    <t>(d) On-site improvements</t>
  </si>
  <si>
    <t>(e) Insurance</t>
  </si>
  <si>
    <t>(e) Financing fees and interest</t>
  </si>
  <si>
    <t>(e) Taxes</t>
  </si>
  <si>
    <t>(f) Escrow, title insurance, recording</t>
  </si>
  <si>
    <t>(g) Contractor bond premiums</t>
  </si>
  <si>
    <t>(h) Env. reports, surveys, investigations</t>
  </si>
  <si>
    <t>(j) Legal fees related to CalHome funding</t>
  </si>
  <si>
    <t>(i) Bridge loan payoff</t>
  </si>
  <si>
    <t>Total</t>
  </si>
  <si>
    <t>Construction Financing</t>
  </si>
  <si>
    <t>Permanent Financing</t>
  </si>
  <si>
    <t>Local Area Market Analysis</t>
  </si>
  <si>
    <t>Summarize the local area market data that demonstrates the need for the development of additional affordable housing matching the proposed project. Include details of the targeted households and their willingness and ability to pay the proposed housing costs.</t>
  </si>
  <si>
    <t>Describe the project and include an accessment of the project's feasibility, and how the applicant plans to overcome any obstacles to feasibility.</t>
  </si>
  <si>
    <t>Site Plan Review</t>
  </si>
  <si>
    <t>Conditional Use Permits</t>
  </si>
  <si>
    <t>Zoning Approval</t>
  </si>
  <si>
    <r>
      <t xml:space="preserve">Education and literacy programs: </t>
    </r>
    <r>
      <rPr>
        <i/>
        <sz val="10"/>
        <color theme="1"/>
        <rFont val="Bahnschrift SemiBold"/>
        <family val="2"/>
      </rPr>
      <t>including after-school programs, adult education programs, early childhood education programs, parenting classes, school supply assistance, summer reading programs, technology training, and tutoring.</t>
    </r>
  </si>
  <si>
    <r>
      <t>Emergency and crisis services:</t>
    </r>
    <r>
      <rPr>
        <i/>
        <sz val="10"/>
        <color theme="1"/>
        <rFont val="Bahnschrift SemiBold"/>
        <family val="2"/>
      </rPr>
      <t xml:space="preserve"> including disaster preparedness and response services, emergency housing and shelter, emergency alert systems, emergency food assistance, emergency preparedness training, hotline services, mental health crisis response, shelters for homeless individuals or families, and transportation assistance for medical emergencies.</t>
    </r>
  </si>
  <si>
    <r>
      <t xml:space="preserve">Environmental programs: </t>
    </r>
    <r>
      <rPr>
        <i/>
        <sz val="10"/>
        <color theme="1"/>
        <rFont val="Bahnschrift SemiBold"/>
        <family val="2"/>
      </rPr>
      <t>including energy efficiency programs, environmental education, green space development, litter prevention and clean-up, pollution prevention, recycling programs, and water conservation.</t>
    </r>
  </si>
  <si>
    <r>
      <t xml:space="preserve">Health and wellness programs: </t>
    </r>
    <r>
      <rPr>
        <i/>
        <sz val="10"/>
        <color theme="1"/>
        <rFont val="Bahnschrift SemiBold"/>
        <family val="2"/>
      </rPr>
      <t>including fitness classes and wellness programs, medical clinics, mental health counseling and support groups, substance abuse treatment and prevention, cancer screenings and education, dental clinics and education, disease prevention and management programs, nutrition education and cooking classes, and preventative healthcare screenings and immunizations.</t>
    </r>
  </si>
  <si>
    <r>
      <t xml:space="preserve">Housing and economic development: </t>
    </r>
    <r>
      <rPr>
        <i/>
        <sz val="10"/>
        <color theme="1"/>
        <rFont val="Bahnschrift SemiBold"/>
        <family val="2"/>
      </rPr>
      <t>including job training and economic empowerment programs, small business technical assistance, lending, and investment, financial literacy classes and counseling, job search assistance, rent and mortgage assistance, small business development, and tenant rights and landlord-tenant mediation services.</t>
    </r>
  </si>
  <si>
    <r>
      <t>CERTIFICATIONS FOR COMMUNITY-BASED DEVELOPERS</t>
    </r>
    <r>
      <rPr>
        <b/>
        <i/>
        <sz val="10"/>
        <color theme="1"/>
        <rFont val="Bahnschrift SemiBold"/>
        <family val="2"/>
      </rPr>
      <t xml:space="preserve"> (Continued)</t>
    </r>
  </si>
  <si>
    <t>Community Revitalization:</t>
  </si>
  <si>
    <t>If other, describe.</t>
  </si>
  <si>
    <t xml:space="preserve">Predevelopment Financing </t>
  </si>
  <si>
    <t>Calhome</t>
  </si>
  <si>
    <t>Interest Rate Type</t>
  </si>
  <si>
    <t xml:space="preserve"> Repayment Type</t>
  </si>
  <si>
    <t>UNRESTRICTED ADF</t>
  </si>
  <si>
    <t>RURAL ADF</t>
  </si>
  <si>
    <t>MANUFACTURED ADF</t>
  </si>
  <si>
    <t>MFD RURAL ADF</t>
  </si>
  <si>
    <t>TOTAL UNRESTRICTED</t>
  </si>
  <si>
    <t>TOTAL MANUFACTURED</t>
  </si>
  <si>
    <t>TOTAL RURAL</t>
  </si>
  <si>
    <t>TOTAL MFD RURAL</t>
  </si>
  <si>
    <t>Tribal or Tribal Designated Housing Entity (TDHE) Governing Documents</t>
  </si>
  <si>
    <t xml:space="preserve">Tribal or Tribal Designated Housing Entity (TDHE) Council Resolutions
</t>
  </si>
  <si>
    <t>Tribal entities have the option of uploading either the FI$Cal TIN Form or the Payee Data Record Form. 
Upload either of the completed forms into the portal folder titled...
1 - Organization Documents
If uploading the FI$Cal TIN Form...
Complete, print, sign, and scan the FI$Cal Government Agency Taxpayer ID form.
This form can be downloaded from fiscal.ca.gov.
Before uploading this document to the portal, name the file...
FI$Cal TIN Form
If uploading the Payee Data Record Form...
Complete, print, sign, and scan the DGS Payee Data Record form (STD-204).
This form can be downloaded from
https://www.documents.dgs.ca.gov/dgs/fmc/pdf/Std204.pdf.
Before uploading this document to the portal, name the file...
Payee Data Record
If you are applying for CalHome and Serna, you only need to upload one copy of this document.</t>
  </si>
  <si>
    <t>cmdbtn_Tribe_GoverningDocuments2</t>
  </si>
  <si>
    <t>cmdbtn_Tribe_GoverningDocuments</t>
  </si>
  <si>
    <t>cmdbtn_Tribe_CouncilResolutions2</t>
  </si>
  <si>
    <t>cmdbtn_Tribe_CouncilResolutions</t>
  </si>
  <si>
    <t>In the portal folder titled “1-Organization Documents”…
Upload the Tribal Government Entity Documents including, but not limited to, Tribal Constitution, Charters (Tribal, Section 17, Federal or State), Articles of Incorporation, Bylaws, Ordinances.
For federally recognized tribes, also include, if available, the “Federal Register of Indian Entities Recognized  List pursuant to 25 USC section 479a listing the tribe’s name.
For non-federally recognized tribes, upload either 1) the BIA Federal Acknowledgement Petitioner List or 2) the Native American Heritage Contact List.
Before uploading the(se) documents to the portal, name the file...
“Governing Documents”
If you are uploading multiple files, name the files...
Governing Document (01) [Additional Description]
Governing Document (02) [Additional Description]
Governing Document (03) [Additional Description]
Please replace [Additional Description] in the example with an appropriate description that HCD staff can use to quickly identify the document.
If you are applying for CalHome and Serna, you only need to upload one copy of the document.</t>
  </si>
  <si>
    <t>In the portal folder titled 1-Organization Documents upload the Tribal Council Resolutions authorizing:
1.	Tribal Official to act on behalf of the Tribe to represent and bind
	the Tribe in the state financing and NOFA security transaction.
If applying as a TDHE, please upload additional Tribal Council Resolutions authorizing:
2.	Tribe to become a member of the TDHE representing Tribe’s
	interest in state finance security transaction. 
3.	TDHE to accept the Tribe as a member of the TDHE.
4.	Tribe establishment of the TDHE.
Before uploading the(se) documents to the portal, name the file...
“Council Resolutions”
If you are uploading multiple files, name the files...
Council Resolutions (01) [Additional Description]
Council Resolutions (02) [Additional Description]
Council Resolutions (03) [Additional Description]
Please replace [Additional Description] in the example with an appropriate description that HCD staff can use to quickly identify the document.
If you are applying for CalHome and Serna, you only need to upload one copy of the document.</t>
  </si>
  <si>
    <t>S1_SHTA03_CLPPreviousExperience</t>
  </si>
  <si>
    <t>Farmworker Need Points Awarded</t>
  </si>
  <si>
    <t>Fairfield</t>
  </si>
  <si>
    <t>CalHome</t>
  </si>
  <si>
    <t>Solano</t>
  </si>
  <si>
    <t>CH_ADU_02_InfillSite</t>
  </si>
  <si>
    <t>S1_AMH07_InfillSite</t>
  </si>
  <si>
    <t>S1_MA07_InfillSite</t>
  </si>
  <si>
    <t>CH_PDL_ConditionalUsePermitsIssuer</t>
  </si>
  <si>
    <t>CH_PDL_ZoningApprovalIssuer</t>
  </si>
  <si>
    <t>CH_PDL_ConditionalUsePermitsDate</t>
  </si>
  <si>
    <t>CH_PDL_ZoningDate</t>
  </si>
  <si>
    <t>CH_PDL_ConditionalUsePermitsApproval</t>
  </si>
  <si>
    <t>CH_PDL_ZoningApproval</t>
  </si>
  <si>
    <t>CH_PDL_OtherUtility</t>
  </si>
  <si>
    <t>CH_PDL_PreDevCommitted1</t>
  </si>
  <si>
    <t>CH_SHTA01_CompletedProjects</t>
  </si>
  <si>
    <t>CH_OOR_2YearsExpInLast4Years</t>
  </si>
  <si>
    <t>CH_OOR_PreviousProgram1</t>
  </si>
  <si>
    <t>CH_OOR_PreviousProgramUnits1</t>
  </si>
  <si>
    <t>CH_OOR_PreviousProgramStart1</t>
  </si>
  <si>
    <t>CH_OOR_PreviousProgramEnd1</t>
  </si>
  <si>
    <t>CH_OOR_AppraisalBeforeStartingRehab</t>
  </si>
  <si>
    <t>CH_OOR_DevelopAndEmployGuidelines</t>
  </si>
  <si>
    <t>CH_OOR_NoCashWithdrawnFromEscrow</t>
  </si>
  <si>
    <t>CH_OOR_ObtainTitleInsurance</t>
  </si>
  <si>
    <t>CH_OOR_BorrowersMaintainInsurance</t>
  </si>
  <si>
    <t>CH_OOR_ProgramDescription</t>
  </si>
  <si>
    <t>CH_OOR_AdministrationPlan</t>
  </si>
  <si>
    <t>CH_OOR_PreviousProgram2</t>
  </si>
  <si>
    <t>CH_OOR_PreviousProgramUnits2</t>
  </si>
  <si>
    <t>CH_OOR_PreviousProgramStart2</t>
  </si>
  <si>
    <t>CH_OOR_PreviousProgramEnd2</t>
  </si>
  <si>
    <t>CH_OOR_PreviousProgram3</t>
  </si>
  <si>
    <t>CH_OOR_PreviousProgramUnits3</t>
  </si>
  <si>
    <t>CH_OOR_PreviousProgramStart3</t>
  </si>
  <si>
    <t>CH_OOR_PreviousProgramEnd3</t>
  </si>
  <si>
    <t>CH_OOR_PreviousProgram4</t>
  </si>
  <si>
    <t>CH_OOR_PreviousProgramUnits4</t>
  </si>
  <si>
    <t>CH_OOR_PreviousProgramStart4</t>
  </si>
  <si>
    <t>CH_OOR_PreviousProgramEnd4</t>
  </si>
  <si>
    <t>S1_MA_UnrestrictedFarmworkerNeedPoints</t>
  </si>
  <si>
    <t>S1_MA_RuralFarmworkerNeedPoints</t>
  </si>
  <si>
    <t>S1_AMH_UnrestrictedFarmworkerNeedPoints</t>
  </si>
  <si>
    <t>S1_AMH_RuralFarmworkerNeedPoints</t>
  </si>
  <si>
    <t>CH_SHTA_PreviousProgram2</t>
  </si>
  <si>
    <t>CH_SHTA_PreviousProgramUnits2</t>
  </si>
  <si>
    <t>CH_SHTA_PreviousProgramStart2</t>
  </si>
  <si>
    <t>CH_SHTA_PreviousProgramEnd2</t>
  </si>
  <si>
    <t>S1_SHTA08_InfillSite</t>
  </si>
  <si>
    <t>S1_SHTA_PreviousProgramStart2</t>
  </si>
  <si>
    <t>S1_SHTA_PreviousProgramEnd2</t>
  </si>
  <si>
    <t>S1_SHTA_PreviousProgramUnits2</t>
  </si>
  <si>
    <t>S1_SHTA_PreviousProgram2</t>
  </si>
  <si>
    <t>S1_ER_NP2YHousingDevExperience</t>
  </si>
  <si>
    <t>S1_ER_NP2YrProgramExpOr523Grant</t>
  </si>
  <si>
    <t>S1_ER_NPTaxExemptPurposeActivity</t>
  </si>
  <si>
    <t>S1_ER_NPNotControlled</t>
  </si>
  <si>
    <t>S1_ER_NPMissionIncludesHousing</t>
  </si>
  <si>
    <t>S1_PDL12_HighHighestRescArea</t>
  </si>
  <si>
    <t>S1_PDL_InHighOrHighestResourceArea</t>
  </si>
  <si>
    <t>S1_PDL18_InfillSite</t>
  </si>
  <si>
    <t>S1_PDL_InfillSite</t>
  </si>
  <si>
    <t>S1_SHTA_MarketStudy</t>
  </si>
  <si>
    <t>S1_MA_MarketStudy</t>
  </si>
  <si>
    <t>S1_OOR_UnrestrictedFarmworkerNeedPoints</t>
  </si>
  <si>
    <t>S1_OOR_RuralFarmworkerNeedPoints</t>
  </si>
  <si>
    <t>S1_OOR_2YearsExpInLast4Years</t>
  </si>
  <si>
    <t>S1_OOR_PreviousProgram1</t>
  </si>
  <si>
    <t>S1_OOR_PreviousProgramUnits1</t>
  </si>
  <si>
    <t>S1_OOR_PreviousProgramStart1</t>
  </si>
  <si>
    <t>S1_OOR_PreviousProgramEnd1</t>
  </si>
  <si>
    <t>S1_OOR_DevelopAndEmployGuidelines</t>
  </si>
  <si>
    <t>S1_OOR_AppraisalBeforeStartingRehab</t>
  </si>
  <si>
    <t>S1_OOR_NoCashWithdrawnFromEscrow</t>
  </si>
  <si>
    <t>S1_OOR_ObtainTitleInsurance</t>
  </si>
  <si>
    <t>S1_OOR_BorrowersMaintainInsurance</t>
  </si>
  <si>
    <t>S1_OOR_ProgramDescription</t>
  </si>
  <si>
    <t>S1_OOR_AdministrationPlan</t>
  </si>
  <si>
    <t>S1_OOR_MarketStudy</t>
  </si>
  <si>
    <t>S1_AMH_MarketStudy</t>
  </si>
  <si>
    <t>S1_PDL_2SimilarProjectsInLast4yrs</t>
  </si>
  <si>
    <t>S1_PDL_PreviousProject1</t>
  </si>
  <si>
    <t>S1_PDL_PreviousProgramUnits1</t>
  </si>
  <si>
    <t>S1_PDL_PreviousProjectDate1</t>
  </si>
  <si>
    <t>S1_PDL_SufficientStaffAndCapacity</t>
  </si>
  <si>
    <t>S1_PDL_HasSiteControl</t>
  </si>
  <si>
    <t>S1_PDL_LoanLimitRequirements</t>
  </si>
  <si>
    <t>S1_PDL_LTVLimitRequirements</t>
  </si>
  <si>
    <t>S1_PDL_DevProjectRequirements</t>
  </si>
  <si>
    <t>S1_PDL_AdministrationPlan</t>
  </si>
  <si>
    <t>S1_PDL_ProgramDescription</t>
  </si>
  <si>
    <t>S1_PDL_LocalAreaMarketAnalysis</t>
  </si>
  <si>
    <t>CHMAData</t>
  </si>
  <si>
    <t>CHOORData</t>
  </si>
  <si>
    <t>CHSHData</t>
  </si>
  <si>
    <t>CHSHTAData</t>
  </si>
  <si>
    <t>CHADUData</t>
  </si>
  <si>
    <t>S1MAData</t>
  </si>
  <si>
    <t>S1OORData</t>
  </si>
  <si>
    <t>S1SHTAData</t>
  </si>
  <si>
    <t>S1AMHData</t>
  </si>
  <si>
    <t>Serna</t>
  </si>
  <si>
    <t>Oakland</t>
  </si>
  <si>
    <t>Markleeville</t>
  </si>
  <si>
    <t>Jackson</t>
  </si>
  <si>
    <t>Oroville</t>
  </si>
  <si>
    <t>San Andreas</t>
  </si>
  <si>
    <t>Colusa</t>
  </si>
  <si>
    <t>Martinez</t>
  </si>
  <si>
    <t>Crescent City</t>
  </si>
  <si>
    <t>Placerville</t>
  </si>
  <si>
    <t>Fresno</t>
  </si>
  <si>
    <t>Willows</t>
  </si>
  <si>
    <t>Eureka</t>
  </si>
  <si>
    <t>El Centro</t>
  </si>
  <si>
    <t>Independence</t>
  </si>
  <si>
    <t>Bakersfield</t>
  </si>
  <si>
    <t>Hanford</t>
  </si>
  <si>
    <t>Lakeport</t>
  </si>
  <si>
    <t>Susanville</t>
  </si>
  <si>
    <t>Los Angeles</t>
  </si>
  <si>
    <t>Madera</t>
  </si>
  <si>
    <t>San Rafael</t>
  </si>
  <si>
    <t>Mariposa</t>
  </si>
  <si>
    <t>Ukiah</t>
  </si>
  <si>
    <t>Merced</t>
  </si>
  <si>
    <t>Alturas</t>
  </si>
  <si>
    <t>Bridgeport</t>
  </si>
  <si>
    <t>Salinas</t>
  </si>
  <si>
    <t>Napa</t>
  </si>
  <si>
    <t>Nevada City</t>
  </si>
  <si>
    <t>Santa Ana</t>
  </si>
  <si>
    <t>Auburn</t>
  </si>
  <si>
    <t>Quincy</t>
  </si>
  <si>
    <t>Riverside</t>
  </si>
  <si>
    <t>Sacramento</t>
  </si>
  <si>
    <t>Hollister</t>
  </si>
  <si>
    <t>San Bernardino</t>
  </si>
  <si>
    <t>San Diego</t>
  </si>
  <si>
    <t>Stockton</t>
  </si>
  <si>
    <t>San Luis Obispo</t>
  </si>
  <si>
    <t>Redwood City</t>
  </si>
  <si>
    <t>Santa Barbara</t>
  </si>
  <si>
    <t>San Jose</t>
  </si>
  <si>
    <t>Santa Cruz</t>
  </si>
  <si>
    <t>Redding</t>
  </si>
  <si>
    <t>Downieville</t>
  </si>
  <si>
    <t>Yreka</t>
  </si>
  <si>
    <t>Santa Rosa</t>
  </si>
  <si>
    <t>Modesto</t>
  </si>
  <si>
    <t>Yuba City</t>
  </si>
  <si>
    <t>Red Bluff</t>
  </si>
  <si>
    <t>Weaverville</t>
  </si>
  <si>
    <t>Visalia</t>
  </si>
  <si>
    <t>Sonora</t>
  </si>
  <si>
    <t>Ventura</t>
  </si>
  <si>
    <t>Woodland</t>
  </si>
  <si>
    <t>Marysville</t>
  </si>
  <si>
    <t xml:space="preserve">County </t>
  </si>
  <si>
    <t>County Seat</t>
  </si>
  <si>
    <t>Project Name</t>
  </si>
  <si>
    <t>Infill Site</t>
  </si>
  <si>
    <t>Agricultural Worker Market Study</t>
  </si>
  <si>
    <t>Project Description</t>
  </si>
  <si>
    <t>Butte</t>
  </si>
  <si>
    <t>Applicant certifies that it directly provide at least 2 community benefit programs within 10 miles of the proposed project and that these services are accessible to the general public during core hours or time periods and open to the general public.
These programs may include, but are not limited to, the following:</t>
  </si>
  <si>
    <t>N/C = NEW CONSTRUCTION   A/R = AQUIRE AND REHABILITATE</t>
  </si>
  <si>
    <r>
      <t xml:space="preserve">Has a tentative map of the project site been approved? 
</t>
    </r>
    <r>
      <rPr>
        <b/>
        <sz val="8"/>
        <color theme="1"/>
        <rFont val="Bahnschrift SemiBold"/>
        <family val="2"/>
      </rPr>
      <t>If yes, when? If no, what is the estimated approval date?</t>
    </r>
  </si>
  <si>
    <t>Has the final map of the project site been approved?
If yes, when? If no, what is the estimated approval date?</t>
  </si>
  <si>
    <t>Volunteer Labor, Self-Help Labor, and Youth Construction Skills Training</t>
  </si>
  <si>
    <t>Please enter the number of planned on-site construction labor hours per unit that will be provided by volunteer labor, self-help construction labor, or youth participating in a construction skills training program (ages 16-24 only).</t>
  </si>
  <si>
    <t>Youths Construction Skills Training Program Hours</t>
  </si>
  <si>
    <t>Funds Requested To Support The Proposed Project</t>
  </si>
  <si>
    <t>Number of Units</t>
  </si>
  <si>
    <t>How much is the applicant requesting for homebuyer education?</t>
  </si>
  <si>
    <t>How much is the applicant requesting for direct assistance?</t>
  </si>
  <si>
    <t>(Optional) Applicant certifies that it has received a prohousing designation. 
(Cities and Counties Only)</t>
  </si>
  <si>
    <t>SERNA ELIGIBILITY FOR NON-PROFIT CORPORATION</t>
  </si>
  <si>
    <t>Applicant certifies it is independent from any for-profit entities, and has the authority to perform the functions listed in Section 200.1(c) of the Serna Guidelines as shown in the organizational documents.</t>
  </si>
  <si>
    <t>Applicant certifies that it's articles and bylaws demonstrate that the corporation’s authorized mission includes the provision of affordable or low-Income housing; and that any fees earned as a general partner shall remain with the non-profit corporation and not be assigned to a for-profit organization.</t>
  </si>
  <si>
    <t>(Optional) Applicant certifies it is acting as the single administrator of a consortium of mutlitple localities (the MOU is required).</t>
  </si>
  <si>
    <t>Applicant certifies it is independent from any for-profit entities, and that it (or its controlling non-profit) have the authority to perform the functions listed in Section 200.1(c) of the Serna Guidelines as shown in the organizational documents.</t>
  </si>
  <si>
    <t>Applicant certifies that it's controlling Non-Profit's articles and bylaws demonstrate that the corporation’s authorized mission includes the provision of affordable or low-Income housing; and that any fees earned as a general partner shall remain with the non-profit corporation and not be assigned to a for-profit organization.</t>
  </si>
  <si>
    <t>Human and social services: including community care facilities, cultural events and programming, free or reduced cost childcare, youth development, adult daycare, legal services and legal clinics, and transportation assistance.</t>
  </si>
  <si>
    <r>
      <t xml:space="preserve">Human and social services: </t>
    </r>
    <r>
      <rPr>
        <i/>
        <sz val="10"/>
        <color theme="1"/>
        <rFont val="Bahnschrift SemiBold"/>
        <family val="2"/>
      </rPr>
      <t>including community care facilities, cultural events and programming, free or reduced cost childcare, youth development, adult daycare, legal services and legal clinics, and transportation assistance.</t>
    </r>
  </si>
  <si>
    <t>Select the applicant's entity type.</t>
  </si>
  <si>
    <t>Serna First-Time Homebuyer Mortgage Assistance Application</t>
  </si>
  <si>
    <t>Applicant certifies that it will inform and assist first-time homebuyers obtain the maximum amount of first mortgage financing pursuant to the underwriting requirements in §402.4 of the Serna-Homeownership guidelines. §402.3a</t>
  </si>
  <si>
    <t>Applicant certifies that it will obtain the required appraisals necessary to determine eligibility under the value limits established pursuant to §402.4 of the Serna-Homeownership guidelines. §402.3b</t>
  </si>
  <si>
    <t>Applicant certifies it will develop and employ underwriting guidelines addressing the topics listed in §402.4 of the Serna-Homeownership Guidelines, and submit these guidelines for approval. §402.4a</t>
  </si>
  <si>
    <t>Agricultural Worker Market Study.</t>
  </si>
  <si>
    <t>Serna Homebuyer Mortgage Assistance Application / County Specific Questions</t>
  </si>
  <si>
    <t>Farmworker Need</t>
  </si>
  <si>
    <t>SCORE</t>
  </si>
  <si>
    <t>Urban/Rural  Areas</t>
  </si>
  <si>
    <t>N/C = NEW CONSTRUCTION   A/R = AQUIRE AND REHABILITATE  HRA = HIGH/HIGHEST RESOURCE AREA</t>
  </si>
  <si>
    <t>Applicant certifies that it, or it's administrative subcontractor if the applicant is a local public entity or agency, has administered a housing program that serves agricultural workers for a minimum of two years within the last four years.</t>
  </si>
  <si>
    <t>Applicant certifies that the manufactured homes that are replaced will be owner-occupied by agricultural worker households, and that the householdswill meet the income eligibility requirements. §404.4a</t>
  </si>
  <si>
    <t>Applicant certifies that the manufactured homes will be located in an area where there is a need for agricultural housing. §404.4c</t>
  </si>
  <si>
    <t>Applicant certifies that the replacement homes will be new, and will be purchased from a licensed dealer/contractor. §404.4d</t>
  </si>
  <si>
    <t>Serna Acquisition of Manufactured Housing Application</t>
  </si>
  <si>
    <t>Serna Homebuyer Aquisition of Manufactured Housing Application Score</t>
  </si>
  <si>
    <t>Site Ctrl.</t>
  </si>
  <si>
    <t>HRA = HIGH/HIGHEST RESOURCE AREA</t>
  </si>
  <si>
    <t>Urban/Rural Areas</t>
  </si>
  <si>
    <t>Applicant certifies that it will develop and employ owner-occupied rehabilitation program guidelines addressing underwriting guidelines (including borrower credit requirements), and rehabilitation construction requirements. §403.4a</t>
  </si>
  <si>
    <t>Applicant certifies that it will obtain an appraisal that meets the requirements listed in the program guidelines before starting any rehabilitation work. §403.4b</t>
  </si>
  <si>
    <t>Applicant certifies that it will not allow borrowers to withdraw cash from the escrow account. §403.4c</t>
  </si>
  <si>
    <t>Applicant certifies that it will obtain title insurance in the amount of the program loan at the close of escrow. §403.4d</t>
  </si>
  <si>
    <t>Applicant certifies that it will require borrowers to maintain insurance on the property and list the applicant/recipient as an additional loss payee on the policy. §403.4e</t>
  </si>
  <si>
    <t>Serna Owner-Occupied Rehabilitation Application</t>
  </si>
  <si>
    <t>High
Resc.
Area</t>
  </si>
  <si>
    <t>High 
Resc. 
Area</t>
  </si>
  <si>
    <t>Recon.
Units</t>
  </si>
  <si>
    <t>ADU
Repair
Units</t>
  </si>
  <si>
    <t>ADU
Units
Recon.</t>
  </si>
  <si>
    <t>Rural Areas Only</t>
  </si>
  <si>
    <t>Serna Eligibility Question</t>
  </si>
  <si>
    <t>Manufactured Homes Only</t>
  </si>
  <si>
    <t>Manufactured Homes In Rural Areas Only</t>
  </si>
  <si>
    <t>Serna Technical Assistance for Self-Help Housing Application</t>
  </si>
  <si>
    <t>Applicant certifies that it, or it's subcontractor if the applicant is a local public entity or agency, has in the last four years successfully administered at least two self-help, new construction projects.</t>
  </si>
  <si>
    <t>Serna Homeownership Project Development Loan</t>
  </si>
  <si>
    <t>Will the development be located on an infill site as defined in Health and Safety Code Section 53559(d)(3)(B). If yes, please explain.</t>
  </si>
  <si>
    <t>Does the project contribute to community revitalization (as defined in Appendix A of the guidelines) or is the project in a high/highest resource areas?</t>
  </si>
  <si>
    <t>Commit</t>
  </si>
  <si>
    <t>Per. (years)</t>
  </si>
  <si>
    <t>Debt Service</t>
  </si>
  <si>
    <t>(j) Legal fees related to funding</t>
  </si>
  <si>
    <t>Period Months</t>
  </si>
  <si>
    <t>Summarize the local area market data for Agricultural Workers that demonstrates the need for additional affordable housing matching the proposed project.
Include details of the targeted households, their willingness and ability to pay the proposed housing costs, and any other relevant factors.</t>
  </si>
  <si>
    <t>HH Inc. Limit</t>
  </si>
  <si>
    <t>Data source used to set sales prices:</t>
  </si>
  <si>
    <t>CEO/PRES</t>
  </si>
  <si>
    <t>APPLICANT</t>
  </si>
  <si>
    <t>APPLICANT / PRIMARY CONTACT</t>
  </si>
  <si>
    <t>APPLICANT / ALTERNATE CONTACT</t>
  </si>
  <si>
    <t>County Specific Information</t>
  </si>
  <si>
    <t>Score</t>
  </si>
  <si>
    <t>CALHOME ELIGIBILITY QUESTIONS / CERTIFICATIONS FOR COMMUNITY-BASED DEVELOPERS</t>
  </si>
  <si>
    <t>County Specific Questions</t>
  </si>
  <si>
    <t>Rural  Areas Only</t>
  </si>
  <si>
    <t>CalHome Owner Occupied Rehabilitation Program Application</t>
  </si>
  <si>
    <t>Requested</t>
  </si>
  <si>
    <t>Couny Specifc Questions</t>
  </si>
  <si>
    <t>Project contributes to community revitalization or is the project in a high/highest resource areas?</t>
  </si>
  <si>
    <t>N/C = NEW CONSTRUCTION   A/R = AQUIRE AND REHABILITATE   HRA = HIGH/HIGHEST RESOURCE AREA</t>
  </si>
  <si>
    <t>Serna Homebuyer Aquisition of Manufactured Housing Program Application</t>
  </si>
  <si>
    <t>SERNA ELIGIBILITY QUESTIONS</t>
  </si>
  <si>
    <t>SERNA ELIGIBILITY FOR LOCAL PUBLIC ENTITIES AND AGENCIES</t>
  </si>
  <si>
    <t>SERNA ELIGIBILITY FOR LIMITED LIABILITY COMPANIES</t>
  </si>
  <si>
    <t>SERNA ELIGIBILITY FOR LIMITED PARTNERSHIPS</t>
  </si>
  <si>
    <t>SERNA ELIGIBILITY FOR COMMUNITY-BASED DEVELOPERS</t>
  </si>
  <si>
    <t>MA</t>
  </si>
  <si>
    <t>OOR</t>
  </si>
  <si>
    <t>SfHTA</t>
  </si>
  <si>
    <t>SHTA</t>
  </si>
  <si>
    <t>ADU</t>
  </si>
  <si>
    <t>SeHTA</t>
  </si>
  <si>
    <t>ShHTA</t>
  </si>
  <si>
    <t>Unit Summary for CalHome Project-Counties (Excludes HPD)</t>
  </si>
  <si>
    <t>Project #</t>
  </si>
  <si>
    <t>(HIDDEN)</t>
  </si>
  <si>
    <t>Alameda</t>
  </si>
  <si>
    <t>Alpine</t>
  </si>
  <si>
    <t>Amador</t>
  </si>
  <si>
    <t>Calaveras</t>
  </si>
  <si>
    <t>Contra Costa</t>
  </si>
  <si>
    <t>Del Norte</t>
  </si>
  <si>
    <t>El Dorado</t>
  </si>
  <si>
    <t>Glenn</t>
  </si>
  <si>
    <t>Humboldt</t>
  </si>
  <si>
    <t>Imperial</t>
  </si>
  <si>
    <t>Inyo</t>
  </si>
  <si>
    <t>Kern</t>
  </si>
  <si>
    <t>Kings</t>
  </si>
  <si>
    <t>Lake</t>
  </si>
  <si>
    <t>Lassen</t>
  </si>
  <si>
    <t>Marin</t>
  </si>
  <si>
    <t>Mendocino</t>
  </si>
  <si>
    <t>Modoc</t>
  </si>
  <si>
    <t>Mono</t>
  </si>
  <si>
    <t>Monterey</t>
  </si>
  <si>
    <t>Nevada</t>
  </si>
  <si>
    <t>Orange</t>
  </si>
  <si>
    <t>Placer</t>
  </si>
  <si>
    <t>Plumas</t>
  </si>
  <si>
    <t>San Benito</t>
  </si>
  <si>
    <t>San Joaquin</t>
  </si>
  <si>
    <t>San Mateo</t>
  </si>
  <si>
    <t>Santa Clara</t>
  </si>
  <si>
    <t>Shasta</t>
  </si>
  <si>
    <t>Sierra</t>
  </si>
  <si>
    <t>Siskiyou</t>
  </si>
  <si>
    <t>Sonoma</t>
  </si>
  <si>
    <t>Stanislaus</t>
  </si>
  <si>
    <t>Sutter</t>
  </si>
  <si>
    <t>Tehama</t>
  </si>
  <si>
    <t>Trinity</t>
  </si>
  <si>
    <t>Tulare</t>
  </si>
  <si>
    <t>Tuolumne</t>
  </si>
  <si>
    <t>Yolo</t>
  </si>
  <si>
    <t>Yuba</t>
  </si>
  <si>
    <t>Targets</t>
  </si>
  <si>
    <t>Project-Level Activities</t>
  </si>
  <si>
    <t>Average from Redfin, Realtor, Zillow</t>
  </si>
  <si>
    <t>Feasibility: MA (Only for Exisiting Homes Not Requiring Rehabilitation) Updated 02/22/23</t>
  </si>
  <si>
    <t>Housing Trust Fund of Santa Barbara County</t>
  </si>
  <si>
    <t>P.O. Box 60909</t>
  </si>
  <si>
    <t>Jennifer McGovern</t>
  </si>
  <si>
    <t>j.mcgovern@sbhousingtrust.org</t>
  </si>
  <si>
    <t>(805) 685-1949</t>
  </si>
  <si>
    <t>President and CEO</t>
  </si>
  <si>
    <t>93160-0909</t>
  </si>
  <si>
    <t>We have successfully operated Mortgage Assistance programs for 11 years and will comply with all requirements for Local Program Administration. We market our loans through our networks with affordable housing providers, the Housing Authorities, Realtors and First Mortgage lending partners. We conduct public workshops and promote our program using public radio, TV, newsletters and our Web-site. We arrange for Homebuyer Education Training and Income Certification with certified nonprofit HUD counseling agencies and the Santa Barbara City Housing Authority and execute Partnership Agreements with them to ensure that State HCD and HUD requirements are followed. We service our own 30-year deferred payment loans and are experienced in annual homebuyer compliance monitoring, documentation for first mortgage refinancings and preparation of demand letters and reconveyances on sales. We recycle repaid capital on our existing homebuyer loans and have established a Reuse Account that meets CalHome requirements. Our Homebuyer Loan Administrator has 18 years of experience in the mortgage industry and loan underwriting. We have included a Administrative Capacity narrative, Loan Servicing and Reuse Plans and Program Description</t>
  </si>
  <si>
    <t>CalHome Program</t>
  </si>
  <si>
    <t>Southcoash Workforce Homebuyer Program</t>
  </si>
  <si>
    <t>North County Workforce Homebuyer Program</t>
  </si>
  <si>
    <t>HTF respectfully requests $3,744,250 in CalHome funding to provide Mortgage Assistance to first-time low-income homebuyers in Santa Barbara County. We will directly originate and fund 30-year deferred payment down payment loans up to 40% of the home purchase price or a maximum loan of $200,000. We will assist 17 first-time low-income homebuyers who earn up to a maximum of 80% of AMI as well as eligible moderate-income homebuyers earning up to 120% of AMI who are victims of the Thomas Fire and Montecito mudflow disasters. Our MA Program will operate countywide, with special targeting of 7 Opportunity Zones in Northern Santa Barbara County. HTF has developed and operated successful homebuyer assistance programs for 11 years, funded 84 first-time homebuyer secondary loans and has the experience and administrative capacity to operate a CalHome MA Program. We will match CalHome grant funds with up to $5.3 million in first mortgage financing from our lending partners. For our last CalHome funded program we secured capital from the County of Santa Barbara for homebuyer closing cost grants up to $5,000 and will again apply to the County for closing cost grants for our borrowers. We have included a full and detailed description of our proposed MA Program as an attachment.</t>
  </si>
  <si>
    <t>Zip Code</t>
  </si>
  <si>
    <t>S1_PDL_ProjectName</t>
  </si>
  <si>
    <t>S1_PDL_WaterAvailable</t>
  </si>
  <si>
    <t>S1_PDL_SewerAvailable</t>
  </si>
  <si>
    <t>S1_PDL_GasAvailable</t>
  </si>
  <si>
    <t>S1_PDL_ElectricAvailable</t>
  </si>
  <si>
    <t xml:space="preserve"> Only unblock macros when if trust the source of the file. </t>
  </si>
  <si>
    <t>NP_IRS501C3</t>
  </si>
  <si>
    <t>NP_ArticlesofInc</t>
  </si>
  <si>
    <t>NP_BoardOfDirectors</t>
  </si>
  <si>
    <t>NP_BoardResolution</t>
  </si>
  <si>
    <t>NP_Bylaws</t>
  </si>
  <si>
    <t>NP_SOSLetter</t>
  </si>
  <si>
    <t>NP_FinancialStatements</t>
  </si>
  <si>
    <t>NP_OrgChart</t>
  </si>
  <si>
    <t>NP_PayeeDataRecord</t>
  </si>
  <si>
    <t>NP_CertOfAmendments</t>
  </si>
  <si>
    <t>NP_RestatedArticles</t>
  </si>
  <si>
    <t>CH_SH_MfdRuralApplicationStatus</t>
  </si>
  <si>
    <t>CH_ADU_MfdRuralApplicationStatus</t>
  </si>
  <si>
    <t>CH_PDL_LoanEnteredAsFinanceCost</t>
  </si>
  <si>
    <t>x</t>
  </si>
  <si>
    <t>County Government (All Departments)</t>
  </si>
  <si>
    <t>Not Started</t>
  </si>
  <si>
    <t>-</t>
  </si>
  <si>
    <t>CH_PDL_PreviousProject2</t>
  </si>
  <si>
    <t>CH_PDL_PreviousProject3</t>
  </si>
  <si>
    <t>CH_PDL_PreviousProject4</t>
  </si>
  <si>
    <t>CH_PDL_PreviousProject5</t>
  </si>
  <si>
    <t>CH_PDL_PreviousProgramUnits2</t>
  </si>
  <si>
    <t>CH_PDL_PreviousProgramUnits3</t>
  </si>
  <si>
    <t>CH_PDL_PreviousProgramUnits4</t>
  </si>
  <si>
    <t>CH_PDL_PreviousProgramUnits5</t>
  </si>
  <si>
    <t>CH_PDL_PreviousProjectDate2</t>
  </si>
  <si>
    <t>CH_PDL_PreviousProjectDate3</t>
  </si>
  <si>
    <t>CH_PDL_PreviousProjectDate4</t>
  </si>
  <si>
    <t>CH_PDL_PreviousProjectDate5</t>
  </si>
  <si>
    <t>Incomplete</t>
  </si>
  <si>
    <t>CH_PDL_Address2</t>
  </si>
  <si>
    <t>CH_PDL_Address3</t>
  </si>
  <si>
    <t>CH_PDL_Address4</t>
  </si>
  <si>
    <t>CH_PDL_Address5</t>
  </si>
  <si>
    <t>CH_PDL_Address6</t>
  </si>
  <si>
    <t>CH_PDL_Address7</t>
  </si>
  <si>
    <t>CH_PDL_City2</t>
  </si>
  <si>
    <t>CH_PDL_City3</t>
  </si>
  <si>
    <t>CH_PDL_City4</t>
  </si>
  <si>
    <t>CH_PDL_City5</t>
  </si>
  <si>
    <t>CH_PDL_City6</t>
  </si>
  <si>
    <t>CH_PDL_City7</t>
  </si>
  <si>
    <t>CH_PDL_Zip2</t>
  </si>
  <si>
    <t>CH_PDL_Zip3</t>
  </si>
  <si>
    <t>CH_PDL_Zip4</t>
  </si>
  <si>
    <t>CH_PDL_Zip5</t>
  </si>
  <si>
    <t>CH_PDL_Zip6</t>
  </si>
  <si>
    <t>CH_PDL_Zip7</t>
  </si>
  <si>
    <t>CH_PDL_CensusTrack2</t>
  </si>
  <si>
    <t>CH_PDL_CensusTrack4</t>
  </si>
  <si>
    <t>CH_PDL_CensusTrack3</t>
  </si>
  <si>
    <t>CH_PDL_CensusTrack5</t>
  </si>
  <si>
    <t>CH_PDL_CensusTrack6</t>
  </si>
  <si>
    <t>CH_PDL_CensusTrack7</t>
  </si>
  <si>
    <t>CH_PDL_GPSLat2</t>
  </si>
  <si>
    <t>CH_PDL_GPSLat3</t>
  </si>
  <si>
    <t>CH_PDL_GPSLat4</t>
  </si>
  <si>
    <t>CH_PDL_GPSLat5</t>
  </si>
  <si>
    <t>CH_PDL_GPSLat6</t>
  </si>
  <si>
    <t>CH_PDL_GPSLat7</t>
  </si>
  <si>
    <t>CH_PDL_GPSLong2</t>
  </si>
  <si>
    <t>CH_PDL_GPSLong3</t>
  </si>
  <si>
    <t>CH_PDL_GPSLong4</t>
  </si>
  <si>
    <t>CH_PDL_GPSLong5</t>
  </si>
  <si>
    <t>CH_PDL_GPSLong6</t>
  </si>
  <si>
    <t>CH_PDL_GPSLong7</t>
  </si>
  <si>
    <t>Fee Title</t>
  </si>
  <si>
    <t>CH_PDL_RentBasedOnRestrictedLandValue</t>
  </si>
  <si>
    <t>CH_PDL_AcquisitionCost0InDevBudget</t>
  </si>
  <si>
    <t>CH_PDL_LandUseIssuer1</t>
  </si>
  <si>
    <t>CH_PDL_LandUseIssuer2</t>
  </si>
  <si>
    <t>CH_PDL_LandUseIssuer3</t>
  </si>
  <si>
    <t>CH_PDL_LandUseDate1</t>
  </si>
  <si>
    <t>CH_PDL_LandUseDate2</t>
  </si>
  <si>
    <t>CH_PDL_LandUseDate3</t>
  </si>
  <si>
    <t>Conditional Use Permit</t>
  </si>
  <si>
    <t>CH_PDL_LandUseApprovalType1</t>
  </si>
  <si>
    <t>CH_PDL_LandUseApprovalType2</t>
  </si>
  <si>
    <t>CH_PDL_LandUseApprovalType3</t>
  </si>
  <si>
    <t>CH_PDL_LandUseTypeComment1</t>
  </si>
  <si>
    <t>CH_PDL_LandUseTypeComment2</t>
  </si>
  <si>
    <t>CH_PDL_LandUseTypeComment3</t>
  </si>
  <si>
    <t>CH_PDL_UnitCost2</t>
  </si>
  <si>
    <t>CH_PDL_UnitCost3</t>
  </si>
  <si>
    <t>CH_PDL_UnitCost4</t>
  </si>
  <si>
    <t>CH_PDL_UnitCost5</t>
  </si>
  <si>
    <t>CH_PDL_UnitCost6</t>
  </si>
  <si>
    <t>CH_PDL_UnitCost7</t>
  </si>
  <si>
    <t>CH_PDL_UnitCost8</t>
  </si>
  <si>
    <t>CH_PDL_UnitCount2</t>
  </si>
  <si>
    <t>CH_PDL_UnitCount3</t>
  </si>
  <si>
    <t>CH_PDL_UnitCount4</t>
  </si>
  <si>
    <t>CH_PDL_UnitCount5</t>
  </si>
  <si>
    <t>CH_PDL_UnitCount6</t>
  </si>
  <si>
    <t>CH_PDL_UnitCount7</t>
  </si>
  <si>
    <t>CH_PDL_UnitCount8</t>
  </si>
  <si>
    <t>CH_PDL_UnitSqft2</t>
  </si>
  <si>
    <t>CH_PDL_UnitSqft3</t>
  </si>
  <si>
    <t>CH_PDL_UnitSqft4</t>
  </si>
  <si>
    <t>CH_PDL_UnitSqft5</t>
  </si>
  <si>
    <t>CH_PDL_UnitSqft6</t>
  </si>
  <si>
    <t>CH_PDL_UnitSqft7</t>
  </si>
  <si>
    <t>CH_PDL_UnitSqft8</t>
  </si>
  <si>
    <t>CH_PDL_UnitBdrmCount2</t>
  </si>
  <si>
    <t>CH_PDL_UnitBdrmCount3</t>
  </si>
  <si>
    <t>CH_PDL_UnitBdrmCount4</t>
  </si>
  <si>
    <t>CH_PDL_UnitBdrmCount5</t>
  </si>
  <si>
    <t>CH_PDL_UnitBdrmCount6</t>
  </si>
  <si>
    <t>CH_PDL_UnitBdrmCount7</t>
  </si>
  <si>
    <t>CH_PDL_UnitBdrmCount8</t>
  </si>
  <si>
    <t>CH_PDL_UnitBathCount2</t>
  </si>
  <si>
    <t>CH_PDL_UnitBathCount3</t>
  </si>
  <si>
    <t>CH_PDL_UnitBathCount4</t>
  </si>
  <si>
    <t>CH_PDL_UnitBathCount5</t>
  </si>
  <si>
    <t>CH_PDL_UnitBathCount6</t>
  </si>
  <si>
    <t>CH_PDL_UnitBathCount7</t>
  </si>
  <si>
    <t>CH_PDL_UnitBathCount8</t>
  </si>
  <si>
    <t>CH_PDL_LienAmount2</t>
  </si>
  <si>
    <t>CH_PDL_LienAmount3</t>
  </si>
  <si>
    <t>CH_PDL_LienAmount4</t>
  </si>
  <si>
    <t>CH_PDL_LienAmount5</t>
  </si>
  <si>
    <t>CH_PDL_LienAmount6</t>
  </si>
  <si>
    <t>CH_PDL_LienAmount7</t>
  </si>
  <si>
    <t>CH_PDL_LienAmount8</t>
  </si>
  <si>
    <t>CH_PDL_EstimatedSalePrice2</t>
  </si>
  <si>
    <t>CH_PDL_EstimatedSalePrice3</t>
  </si>
  <si>
    <t>CH_PDL_EstimatedSalePrice4</t>
  </si>
  <si>
    <t>CH_PDL_EstimatedSalePrice5</t>
  </si>
  <si>
    <t>CH_PDL_EstimatedSalePrice6</t>
  </si>
  <si>
    <t>CH_PDL_EstimatedSalePrice7</t>
  </si>
  <si>
    <t>CH_PDL_HouseholdIncome2</t>
  </si>
  <si>
    <t>CH_PDL_HouseholdIncome3</t>
  </si>
  <si>
    <t>CH_PDL_HouseholdIncome4</t>
  </si>
  <si>
    <t>CH_PDL_HouseholdIncome5</t>
  </si>
  <si>
    <t>CH_PDL_HouseholdIncome6</t>
  </si>
  <si>
    <t>CH_PDL_HouseholdIncome7</t>
  </si>
  <si>
    <t>CH_PDL_HouseholdIncome8</t>
  </si>
  <si>
    <t>CH_PDL_SalesDateSource2</t>
  </si>
  <si>
    <t>CH_PDL_SalesDateSource3</t>
  </si>
  <si>
    <t>CH_PDL_SalesDateSource4</t>
  </si>
  <si>
    <t>CH_PDL_SalesDateSource5</t>
  </si>
  <si>
    <t>CH_PDL_SalesDateSource6</t>
  </si>
  <si>
    <t>CH_PDL_PreDevCommitted2</t>
  </si>
  <si>
    <t>CH_PDL_PreDevCommitted3</t>
  </si>
  <si>
    <t>CH_PDL_PreDevCommitted4</t>
  </si>
  <si>
    <t>CH_PDL_PreDevCommitted5</t>
  </si>
  <si>
    <t>CH_PDL_PreDevCommitted6</t>
  </si>
  <si>
    <t>CH_PDL_PreDevLienPosition2</t>
  </si>
  <si>
    <t>CH_PDL_PreDevLienPosition3</t>
  </si>
  <si>
    <t>CH_PDL_PreDevLienPosition4</t>
  </si>
  <si>
    <t>CH_PDL_PreDevLienPosition5</t>
  </si>
  <si>
    <t>CH_PDL_PreDevLienPosition6</t>
  </si>
  <si>
    <t>CH_PDL_PreDevAmount2</t>
  </si>
  <si>
    <t>CH_PDL_PreDevAmount3</t>
  </si>
  <si>
    <t>CH_PDL_PreDevAmount4</t>
  </si>
  <si>
    <t>CH_PDL_PreDevAmount5</t>
  </si>
  <si>
    <t>CH_PDL_PreDevAmount6</t>
  </si>
  <si>
    <t>CH_PDL_PreDevRate2</t>
  </si>
  <si>
    <t>CH_PDL_PreDevRate3</t>
  </si>
  <si>
    <t>CH_PDL_PreDevRate4</t>
  </si>
  <si>
    <t>CH_PDL_PreDevRate5</t>
  </si>
  <si>
    <t>CH_PDL_PreDevRate6</t>
  </si>
  <si>
    <t>CH_PDL_PreDevPaymentTerms3</t>
  </si>
  <si>
    <t>CH_PDL_PreDevPaymentTerms2</t>
  </si>
  <si>
    <t>CH_PDL_PreDevPaymentTerms5</t>
  </si>
  <si>
    <t>CH_PDL_PreDevPaymentTerms4</t>
  </si>
  <si>
    <t>CH_PDL_PreDevReqDebtService3</t>
  </si>
  <si>
    <t>CH_PDL_PreDevReqDebtService2</t>
  </si>
  <si>
    <t>CH_PDL_PreDevReqDebtService4</t>
  </si>
  <si>
    <t>CH_PDL_PreDevReqDebtService5</t>
  </si>
  <si>
    <t>CH_PDL_PreDevReqDebtService6</t>
  </si>
  <si>
    <t>CH_PDL_PreDevLandAcquisition1</t>
  </si>
  <si>
    <t>CH_PDL_PreDevLandAcquisition2</t>
  </si>
  <si>
    <t>CH_PDL_PreDevLandAcquisition3</t>
  </si>
  <si>
    <t>CH_PDL_PreDevLandAcquisition4</t>
  </si>
  <si>
    <t>CH_PDL_PreDevLandAcquisition5</t>
  </si>
  <si>
    <t>CH_PDL_PreDevLandAcquisition6</t>
  </si>
  <si>
    <t>CH_PDL_PreDevStateLocalFees1</t>
  </si>
  <si>
    <t>CH_PDL_PreDevStateLocalFees2</t>
  </si>
  <si>
    <t>CH_PDL_PreDevStateLocalFees3</t>
  </si>
  <si>
    <t>CH_PDL_PreDevStateLocalFees4</t>
  </si>
  <si>
    <t>CH_PDL_PreDevStateLocalFees5</t>
  </si>
  <si>
    <t>CH_PDL_PreDevStateLocalFees6</t>
  </si>
  <si>
    <t>CH_PDL_PreDevBuildingPermits1</t>
  </si>
  <si>
    <t>CH_PDL_PreDevBuildingPermits2</t>
  </si>
  <si>
    <t>CH_PDL_PreDevBuildingPermits3</t>
  </si>
  <si>
    <t>CH_PDL_PreDevBuildingPermits4</t>
  </si>
  <si>
    <t>CH_PDL_PreDevBuildingPermits5</t>
  </si>
  <si>
    <t>CH_PDL_PreDevBuildingPermits6</t>
  </si>
  <si>
    <t>CH_PDL_PreDevArchitectural1</t>
  </si>
  <si>
    <t>CH_PDL_PreDevArchitectural2</t>
  </si>
  <si>
    <t>CH_PDL_PreDevArchitectural3</t>
  </si>
  <si>
    <t>CH_PDL_PreDevArchitectural4</t>
  </si>
  <si>
    <t>CH_PDL_PreDevArchitectural5</t>
  </si>
  <si>
    <t>CH_PDL_PreDevArchitectural6</t>
  </si>
  <si>
    <t>CH_PDL_PreDevEngineering1</t>
  </si>
  <si>
    <t>CH_PDL_PreDevEngineering2</t>
  </si>
  <si>
    <t>CH_PDL_PreDevEngineering3</t>
  </si>
  <si>
    <t>CH_PDL_PreDevEngineering4</t>
  </si>
  <si>
    <t>CH_PDL_PreDevEngineering5</t>
  </si>
  <si>
    <t>CH_PDL_PreDevEngineering6</t>
  </si>
  <si>
    <t>CH_PDL_PreDevOnsiteImprovements1</t>
  </si>
  <si>
    <t>CH_PDL_PreDevOnsiteImprovements2</t>
  </si>
  <si>
    <t>CH_PDL_PreDevOnsiteImprovements3</t>
  </si>
  <si>
    <t>CH_PDL_PreDevInsurance1</t>
  </si>
  <si>
    <t>CH_PDL_PreDevInsurance2</t>
  </si>
  <si>
    <t>CH_PDL_PreDevInsurance5</t>
  </si>
  <si>
    <t>CH_PDL_PreDevInsurance6</t>
  </si>
  <si>
    <t>CH_PDL_PreDevFinancingFeesInterest1</t>
  </si>
  <si>
    <t>CH_PDL_PreDevFinancingFeesInterest2</t>
  </si>
  <si>
    <t>CH_PDL_PreDevFinancingFeesInterest3</t>
  </si>
  <si>
    <t>CH_PDL_PreDevFinancingFeesInterest5</t>
  </si>
  <si>
    <t>CH_PDL_PreDevFinancingFeesInterest6</t>
  </si>
  <si>
    <t>CH_PDL_PreDevTaxes1</t>
  </si>
  <si>
    <t>CH_PDL_PreDevTaxes3</t>
  </si>
  <si>
    <t>CH_PDL_PreDevTaxes4</t>
  </si>
  <si>
    <t>CH_PDL_PreDevFinancingFeesInterest4</t>
  </si>
  <si>
    <t>CH_PDL_PreDevTaxes2</t>
  </si>
  <si>
    <t>CH_PDL_PreDevTaxes6</t>
  </si>
  <si>
    <t>CH_PDL_PreDevEscrowFees1</t>
  </si>
  <si>
    <t>CH_PDL_PreDevContractorBonds1</t>
  </si>
  <si>
    <t>CH_PDL_PreDevEnvironmentalReports1</t>
  </si>
  <si>
    <t>CH_PDL_PreDevBridgeLoanPayoff1</t>
  </si>
  <si>
    <t>CH_PDL_PreDevLegalFees1</t>
  </si>
  <si>
    <t>CH_PDL_PreDevEscrowFees2</t>
  </si>
  <si>
    <t>CH_PDL_PreDevContractorBonds2</t>
  </si>
  <si>
    <t>CH_PDL_PreDevEnvironmentalReports2</t>
  </si>
  <si>
    <t>CH_PDL_PreDevContractorBonds3</t>
  </si>
  <si>
    <t>CH_PDL_PreDevBridgeLoanPayoff3</t>
  </si>
  <si>
    <t>CH_PDL_PreDevEscrowFees4</t>
  </si>
  <si>
    <t>CH_PDL_PreDevEnvironmentalReports3</t>
  </si>
  <si>
    <t>CH_PDL_PreDevEnvironmentalReports4</t>
  </si>
  <si>
    <t>CH_PDL_PreDevEscrowFees5</t>
  </si>
  <si>
    <t>CH_PDL_PreDevContractorBonds5</t>
  </si>
  <si>
    <t>CH_PDL_PreDevEnvironmentalReports5</t>
  </si>
  <si>
    <t>CH_PDL_PreDevEscrowFees6</t>
  </si>
  <si>
    <t>CH_PDL_PreDevContractorBonds6</t>
  </si>
  <si>
    <t>CH_PDL_PreDevEnvironmentalReports6</t>
  </si>
  <si>
    <t>CH_PDL_PreDevBridgeLoanPayoff6</t>
  </si>
  <si>
    <t>CH_PDL_PreDev2OtherUse</t>
  </si>
  <si>
    <t>CH_PDL_PreDev1OtherUse</t>
  </si>
  <si>
    <t>CH_PDL_PreDev3OtherUse</t>
  </si>
  <si>
    <t>CH_PDL_PreDev1OtherUse1</t>
  </si>
  <si>
    <t>CH_PDL_PreDev2OtherUse1</t>
  </si>
  <si>
    <t>CH_PDL_PreDev3OtherUse1</t>
  </si>
  <si>
    <t>CH_PDL_PreDev1OtherUse2</t>
  </si>
  <si>
    <t>CH_PDL_PreDev2OtherUse2</t>
  </si>
  <si>
    <t>CH_PDL_PreDev3OtherUse2</t>
  </si>
  <si>
    <t>CH_PDL_PreDev1OtherUse3</t>
  </si>
  <si>
    <t>CH_PDL_PreDev3OtherUse3</t>
  </si>
  <si>
    <t>CH_PDL_PreDev1OtherUse4</t>
  </si>
  <si>
    <t>CH_PDL_PreDev1OtherUse5</t>
  </si>
  <si>
    <t>CH_PDL_PreDev2OtherUse5</t>
  </si>
  <si>
    <t>CH_PDL_PreDev3OtherUse5</t>
  </si>
  <si>
    <t>CH_PDL_PreDev1OtherUse6</t>
  </si>
  <si>
    <t>CH_PDL_PreDev2OtherUse6</t>
  </si>
  <si>
    <t>CH_PDL_ConstructionCommitted1</t>
  </si>
  <si>
    <t>CH_PDL_ConstructionCommitted2</t>
  </si>
  <si>
    <t>CH_PDL_ConstructionCommitted3</t>
  </si>
  <si>
    <t>CH_PDL_ConstructionCommitted4</t>
  </si>
  <si>
    <t>CH_PDL_ConstructionCommitted5</t>
  </si>
  <si>
    <t>CH_PDL_ConstructionCommitted6</t>
  </si>
  <si>
    <t>CH_PDL_ConstructionLienPosition1</t>
  </si>
  <si>
    <t>CH_PDL_ConstructionLienPosition2</t>
  </si>
  <si>
    <t>CH_PDL_ConstructionLienPosition3</t>
  </si>
  <si>
    <t>CH_PDL_ConstructionLienPosition4</t>
  </si>
  <si>
    <t>CH_PDL_ConstructionLienPosition5</t>
  </si>
  <si>
    <t>CH_PDL_ConstructionLienPosition6</t>
  </si>
  <si>
    <t>CH_PDL_ConstructionAmount1</t>
  </si>
  <si>
    <t>CH_PDL_ConstructionAmount3</t>
  </si>
  <si>
    <t>CH_PDL_ConstructionAmount2</t>
  </si>
  <si>
    <t>CH_PDL_ConstructionAmount4</t>
  </si>
  <si>
    <t>CH_PDL_ConstructionAmount5</t>
  </si>
  <si>
    <t>CH_PDL_ConstructionAmount6</t>
  </si>
  <si>
    <t>CH_PDL_ConstructionRate2</t>
  </si>
  <si>
    <t>CH_PDL_ConstructionRate1</t>
  </si>
  <si>
    <t>CH_PDL_ConstructionRate3</t>
  </si>
  <si>
    <t>CH_PDL_ConstructionRate4</t>
  </si>
  <si>
    <t>CH_PDL_ConstructionRate5</t>
  </si>
  <si>
    <t>CH_PDL_ConstructionRate6</t>
  </si>
  <si>
    <t>CH_PDL_ConstructionPaymentTerms1</t>
  </si>
  <si>
    <t>CH_PDL_ConstructionPaymentTerms2</t>
  </si>
  <si>
    <t>CH_PDL_ConstructionPaymentTerms3</t>
  </si>
  <si>
    <t>CH_PDL_ConstructionPaymentTerms4</t>
  </si>
  <si>
    <t>CH_PDL_ConstructionPaymentTerms5</t>
  </si>
  <si>
    <t>CH_PDL_ConstructionPaymentTerms6</t>
  </si>
  <si>
    <t>CH_PDL_ConstructionReqDebtService1</t>
  </si>
  <si>
    <t>CH_PDL_ConstructionReqDebtService2</t>
  </si>
  <si>
    <t>CH_PDL_ConstructionReqDebtService3</t>
  </si>
  <si>
    <t>CH_PDL_ConstructionReqDebtService4</t>
  </si>
  <si>
    <t>CH_PDL_ConstructionReqDebtService5</t>
  </si>
  <si>
    <t>CH_PDL_ConstructionReqDebtService6</t>
  </si>
  <si>
    <t>CH_PDL_ConstructionLandAcquisition1</t>
  </si>
  <si>
    <t>CH_PDL_ConstructionLandAcquisition2</t>
  </si>
  <si>
    <t>CH_PDL_ConstructionLandAcquisition3</t>
  </si>
  <si>
    <t>CH_PDL_ConstructionLandAcquisition5</t>
  </si>
  <si>
    <t>CH_PDL_ConstructionStateLocalFees1</t>
  </si>
  <si>
    <t>CH_PDL_ConstructionStateLocalFees2</t>
  </si>
  <si>
    <t>CH_PDL_ConstructionStateLocalFees3</t>
  </si>
  <si>
    <t>CH_PDL_ConstructionStateLocalFees5</t>
  </si>
  <si>
    <t>CH_PDL_ConstructionBuildingPermits1</t>
  </si>
  <si>
    <t>CH_PDL_ConstructionBuildingPermits2</t>
  </si>
  <si>
    <t>CH_PDL_ConstructionBuildingPermits3</t>
  </si>
  <si>
    <t>CH_PDL_ConstructionBuildingPermits4</t>
  </si>
  <si>
    <t>CH_PDL_ConstructionArchitectural1</t>
  </si>
  <si>
    <t>CH_PDL_ConstructionArchitectural2</t>
  </si>
  <si>
    <t>CH_PDL_ConstructionArchitectural3</t>
  </si>
  <si>
    <t>CH_PDL_ConstructionArchitectural4</t>
  </si>
  <si>
    <t>CH_PDL_ConstructionArchitectural5</t>
  </si>
  <si>
    <t>CH_PDL_ConstructionEngineering1</t>
  </si>
  <si>
    <t>CH_PDL_ConstructionEngineering2</t>
  </si>
  <si>
    <t>CH_PDL_ConstructionEngineering3</t>
  </si>
  <si>
    <t>CH_PDL_ConstructionEngineering4</t>
  </si>
  <si>
    <t>CH_PDL_ConstructionEngineering5</t>
  </si>
  <si>
    <t>CH_PDL_ConstructionOnsiteImprovements1</t>
  </si>
  <si>
    <t>CH_PDL_ConstructionInsurance1</t>
  </si>
  <si>
    <t>CH_PDL_ConstructionFinancingFeesInterest1</t>
  </si>
  <si>
    <t>CH_PDL_ConstructionTaxes1</t>
  </si>
  <si>
    <t>CH_PDL_ConstructionEscrowFees1</t>
  </si>
  <si>
    <t>CH_PDL_ConstructionContractorBonds1</t>
  </si>
  <si>
    <t>CH_PDL_ConstructionEnvironmentalReports1</t>
  </si>
  <si>
    <t>CH_PDL_ConstructionBridgeLoanPayoff1</t>
  </si>
  <si>
    <t>CH_PDL_ConstructionLegalFees1</t>
  </si>
  <si>
    <t>CH_PDL_ConstructionOnsiteImprovements2</t>
  </si>
  <si>
    <t>CH_PDL_ConstructionInsurance2</t>
  </si>
  <si>
    <t>CH_PDL_ConstructionFinancingFeesInterest2</t>
  </si>
  <si>
    <t>CH_PDL_ConstructionTaxes2</t>
  </si>
  <si>
    <t>CH_PDL_ConstructionEscrowFees2</t>
  </si>
  <si>
    <t>CH_PDL_ConstructionContractorBonds2</t>
  </si>
  <si>
    <t>CH_PDL_ConstructionEnvironmentalReports2</t>
  </si>
  <si>
    <t>CH_PDL_ConstructionLegalFees2</t>
  </si>
  <si>
    <t>CH_PDL_ConstructionOnsiteImprovements3</t>
  </si>
  <si>
    <t>CH_PDL_ConstructionInsurance3</t>
  </si>
  <si>
    <t>CH_PDL_ConstructionFinancingFeesInterest3</t>
  </si>
  <si>
    <t>CH_PDL_ConstructionTaxes3</t>
  </si>
  <si>
    <t>CH_PDL_ConstructionEscrowFees3</t>
  </si>
  <si>
    <t>CH_PDL_ConstructionContractorBonds3</t>
  </si>
  <si>
    <t>CH_PDL_ConstructionEnvironmentalReports3</t>
  </si>
  <si>
    <t>CH_PDL_Construction1OtherUse3</t>
  </si>
  <si>
    <t>CH_PDL_Construction2OtherUse3</t>
  </si>
  <si>
    <t>CH_PDL_Construction3OtherUse3</t>
  </si>
  <si>
    <t>CH_PDL_ConstructionOnsiteImprovements4</t>
  </si>
  <si>
    <t>CH_PDL_ConstructionInsurance4</t>
  </si>
  <si>
    <t>CH_PDL_ConstructionFinancingFeesInterest4</t>
  </si>
  <si>
    <t>CH_PDL_ConstructionTaxes4</t>
  </si>
  <si>
    <t>CH_PDL_ConstructionEscrowFees4</t>
  </si>
  <si>
    <t>CH_PDL_ConstructionEnvironmentalReports4</t>
  </si>
  <si>
    <t>CH_PDL_ConstructionBridgeLoanPayoff4</t>
  </si>
  <si>
    <t>CH_PDL_ConstructionLegalFees4</t>
  </si>
  <si>
    <t>CH_PDL_Construction1OtherUse4</t>
  </si>
  <si>
    <t>CH_PDL_Construction2OtherUse4</t>
  </si>
  <si>
    <t>CH_PDL_Construction3OtherUse4</t>
  </si>
  <si>
    <t>CH_PDL_ConstructionOnsiteImprovements5</t>
  </si>
  <si>
    <t>CH_PDL_ConstructionInsurance5</t>
  </si>
  <si>
    <t>CH_PDL_ConstructionFinancingFeesInterest5</t>
  </si>
  <si>
    <t>CH_PDL_ConstructionEscrowFees5</t>
  </si>
  <si>
    <t>CH_PDL_Construction1OtherUse5</t>
  </si>
  <si>
    <t>CH_PDL_Construction2OtherUse5</t>
  </si>
  <si>
    <t>CH_PDL_Construction3OtherUse5</t>
  </si>
  <si>
    <t>CH_PDL_ConstructionOnsiteImprovements6</t>
  </si>
  <si>
    <t>CH_PDL_ConstructionFinancingFeesInterest6</t>
  </si>
  <si>
    <t>CH_PDL_Construction1OtherUse6</t>
  </si>
  <si>
    <t>CH_PDL_Construction1OtherUse2</t>
  </si>
  <si>
    <t>CH_PDL_Construction2OtherUse2</t>
  </si>
  <si>
    <t>CH_PDL_Construction3OtherUse2</t>
  </si>
  <si>
    <t>CH_PDL_Construction1OtherUse</t>
  </si>
  <si>
    <t>CH_PDL_Construction1OtherUse1</t>
  </si>
  <si>
    <t>CH_PDL_Construction2OtherUse</t>
  </si>
  <si>
    <t>CH_PDL_Construction3OtherUse1</t>
  </si>
  <si>
    <t>CH_PDL_Construction3OtherUse</t>
  </si>
  <si>
    <t>CH_PDL_Construction2OtherUse1</t>
  </si>
  <si>
    <t>CH_PDL_PermanentCommitted1</t>
  </si>
  <si>
    <t>CH_PDL_PermanentLienPosition1</t>
  </si>
  <si>
    <t>CH_PDL_PermanentAmount1</t>
  </si>
  <si>
    <t>CH_PDL_PermanentRate1</t>
  </si>
  <si>
    <t>CH_PDL_PermanentRateType1</t>
  </si>
  <si>
    <t>Fixed for term</t>
  </si>
  <si>
    <t>CH_PDL_PermanentRepayment1</t>
  </si>
  <si>
    <t>Fully Amortized</t>
  </si>
  <si>
    <t>CH_PDL_PermanentPaymentTerms1</t>
  </si>
  <si>
    <t>CH_PDL_PermanentReqDebtService1</t>
  </si>
  <si>
    <t>CH_PDL_PermanentCommitted2</t>
  </si>
  <si>
    <t>CH_PDL_PermanentCommitted3</t>
  </si>
  <si>
    <t>CH_PDL_PermanentCommitted5</t>
  </si>
  <si>
    <t>CH_PDL_PermanentCommitted4</t>
  </si>
  <si>
    <t>CH_PDL_PermanentCommitted6</t>
  </si>
  <si>
    <t>CH_PDL_PermanentLienPosition2</t>
  </si>
  <si>
    <t>CH_PDL_PermanentLienPosition3</t>
  </si>
  <si>
    <t>CH_PDL_PermanentLienPosition4</t>
  </si>
  <si>
    <t>CH_PDL_PermanentLienPosition5</t>
  </si>
  <si>
    <t>CH_PDL_PermanentLienPosition6</t>
  </si>
  <si>
    <t>CH_PDL_PermanentAmount2</t>
  </si>
  <si>
    <t>CH_PDL_PermanentAmount3</t>
  </si>
  <si>
    <t>CH_PDL_PermanentAmount4</t>
  </si>
  <si>
    <t>CH_PDL_PermanentAmount5</t>
  </si>
  <si>
    <t>CH_PDL_PermanentAmount6</t>
  </si>
  <si>
    <t>CH_PDL_PermanentRate2</t>
  </si>
  <si>
    <t>CH_PDL_PermanentRate3</t>
  </si>
  <si>
    <t>CH_PDL_PermanentRate4</t>
  </si>
  <si>
    <t>CH_PDL_PermanentRate5</t>
  </si>
  <si>
    <t>CH_PDL_PermanentRate6</t>
  </si>
  <si>
    <t>CH_PDL_PermanentRateType2</t>
  </si>
  <si>
    <t>CH_PDL_PermanentRateType3</t>
  </si>
  <si>
    <t>CH_PDL_PermanentRateType4</t>
  </si>
  <si>
    <t>CH_PDL_PermanentRateType5</t>
  </si>
  <si>
    <t>CH_PDL_PermanentRateType6</t>
  </si>
  <si>
    <t>CH_PDL_PermanentRepayment2</t>
  </si>
  <si>
    <t>CH_PDL_PermanentRepayment3</t>
  </si>
  <si>
    <t>CH_PDL_PermanentRepayment4</t>
  </si>
  <si>
    <t>CH_PDL_PermanentRepayment5</t>
  </si>
  <si>
    <t>CH_PDL_PermanentRepayment6</t>
  </si>
  <si>
    <t>CH_PDL_PermanentPaymentTerms2</t>
  </si>
  <si>
    <t>CH_PDL_PermanentPaymentTerms3</t>
  </si>
  <si>
    <t>CH_PDL_PermanentPaymentTerms4</t>
  </si>
  <si>
    <t>CH_PDL_PermanentPaymentTerms5</t>
  </si>
  <si>
    <t>CH_PDL_PermanentPaymentTerms6</t>
  </si>
  <si>
    <t>CH_PDL_PermanentReqDebtService2</t>
  </si>
  <si>
    <t>CH_PDL_PermanentReqDebtService3</t>
  </si>
  <si>
    <t>CH_PDL_PermanentReqDebtService4</t>
  </si>
  <si>
    <t>CH_PDL_PermanentReqDebtService5</t>
  </si>
  <si>
    <t>CH_PDL_PermanentReqDebtService6</t>
  </si>
  <si>
    <t>CH_PDL_PermanentLandAcquisition1</t>
  </si>
  <si>
    <t>CH_PDL_PermanentLandAcquisition2</t>
  </si>
  <si>
    <t>CH_PDL_PermanentLandAcquisition3</t>
  </si>
  <si>
    <t>CH_PDL_PermanentLandAcquisition4</t>
  </si>
  <si>
    <t>CH_PDL_PermanentLandAcquisition5</t>
  </si>
  <si>
    <t>CH_PDL_PermanentLandAcquisition6</t>
  </si>
  <si>
    <t>CH_PDL_PermanentStateLocalFees1</t>
  </si>
  <si>
    <t>CH_PDL_PermanentStateLocalFees2</t>
  </si>
  <si>
    <t>CH_PDL_PermanentStateLocalFees3</t>
  </si>
  <si>
    <t>CH_PDL_PermanentStateLocalFees4</t>
  </si>
  <si>
    <t>CH_PDL_PermanentStateLocalFees5</t>
  </si>
  <si>
    <t>CH_PDL_PermanentStateLocalFees6</t>
  </si>
  <si>
    <t>CH_PDL_PermanentBuildingPermits2</t>
  </si>
  <si>
    <t>CH_PDL_PermanentBuildingPermits3</t>
  </si>
  <si>
    <t>CH_PDL_PermanentBuildingPermits5</t>
  </si>
  <si>
    <t>CH_PDL_PermanentBuildingPermits6</t>
  </si>
  <si>
    <t>CH_PDL_PermanentArchitectural1</t>
  </si>
  <si>
    <t>CH_PDL_PermanentArchitectural2</t>
  </si>
  <si>
    <t>CH_PDL_PermanentArchitectural3</t>
  </si>
  <si>
    <t>CH_PDL_PermanentArchitectural4</t>
  </si>
  <si>
    <t>CH_PDL_PermanentArchitectural5</t>
  </si>
  <si>
    <t>CH_PDL_PermanentArchitectural6</t>
  </si>
  <si>
    <t>CH_PDL_PermanentEngineering1</t>
  </si>
  <si>
    <t>CH_PDL_PermanentEngineering2</t>
  </si>
  <si>
    <t>CH_PDL_PermanentEngineering3</t>
  </si>
  <si>
    <t>CH_PDL_PermanentEngineering4</t>
  </si>
  <si>
    <t>CH_PDL_PermanentEngineering5</t>
  </si>
  <si>
    <t>CH_PDL_PermanentEngineering6</t>
  </si>
  <si>
    <t>CH_PDL_PermanentOnsiteImprovements1</t>
  </si>
  <si>
    <t>CH_PDL_PermanentOnsiteImprovements2</t>
  </si>
  <si>
    <t>CH_PDL_PermanentOnsiteImprovements3</t>
  </si>
  <si>
    <t>CH_PDL_PermanentOnsiteImprovements4</t>
  </si>
  <si>
    <t>CH_PDL_PermanentOnsiteImprovements5</t>
  </si>
  <si>
    <t>CH_PDL_PermanentInsurance1</t>
  </si>
  <si>
    <t>CH_PDL_PermanentInsurance2</t>
  </si>
  <si>
    <t>CH_PDL_PermanentInsurance5</t>
  </si>
  <si>
    <t>CH_PDL_PermanentInsurance6</t>
  </si>
  <si>
    <t>CH_PDL_PermanentFinancingFeesInterest1</t>
  </si>
  <si>
    <t>CH_PDL_PermanentFinancingFeesInterest2</t>
  </si>
  <si>
    <t>CH_PDL_PermanentFinancingFeesInterest5</t>
  </si>
  <si>
    <t>CH_PDL_PermanentFinancingFeesInterest6</t>
  </si>
  <si>
    <t>CH_PDL_PermanentTaxes1</t>
  </si>
  <si>
    <t>CH_PDL_PermanentTaxes4</t>
  </si>
  <si>
    <t>CH_PDL_PermanentTaxes6</t>
  </si>
  <si>
    <t>CH_PDL_PermanentEscrowFees1</t>
  </si>
  <si>
    <t>CH_PDL_PermanentEscrowFees2</t>
  </si>
  <si>
    <t>CH_PDL_PermanentEscrowFees5</t>
  </si>
  <si>
    <t>CH_PDL_PermanentEscrowFees6</t>
  </si>
  <si>
    <t>CH_PDL_PermanentContractorBonds1</t>
  </si>
  <si>
    <t>CH_PDL_PermanentContractorBonds4</t>
  </si>
  <si>
    <t>CH_PDL_PermanentContractorBonds5</t>
  </si>
  <si>
    <t>CH_PDL_PermanentContractorBonds6</t>
  </si>
  <si>
    <t>CH_PDL_PermanentEnvironmentalReports1</t>
  </si>
  <si>
    <t>CH_PDL_PermanentEnvironmentalReports2</t>
  </si>
  <si>
    <t>CH_PDL_PermanentEnvironmentalReports3</t>
  </si>
  <si>
    <t>CH_PDL_PermanentEnvironmentalReports4</t>
  </si>
  <si>
    <t>CH_PDL_PermanentEnvironmentalReports5</t>
  </si>
  <si>
    <t>CH_PDL_PermanentEnvironmentalReports6</t>
  </si>
  <si>
    <t>CH_PDL_PermanentBridgeLoanPayoff2</t>
  </si>
  <si>
    <t>CH_PDL_Permanent1OtherUse1</t>
  </si>
  <si>
    <t>CH_PDL_Permanent2OtherUse1</t>
  </si>
  <si>
    <t>CH_PDL_Permanent3OtherUse1</t>
  </si>
  <si>
    <t>CH_PDL_PermanentLegalFees2</t>
  </si>
  <si>
    <t>CH_PDL_Permanent2OtherUse2</t>
  </si>
  <si>
    <t>CH_PDL_Permanent1OtherUse2</t>
  </si>
  <si>
    <t>CH_PDL_Permanent3OtherUse2</t>
  </si>
  <si>
    <t>CH_PDL_PermanentLegalFees3</t>
  </si>
  <si>
    <t>CH_PDL_Permanent1OtherUse3</t>
  </si>
  <si>
    <t>CH_PDL_Permanent3OtherUse3</t>
  </si>
  <si>
    <t>CH_PDL_PermanentLegalFees4</t>
  </si>
  <si>
    <t>CH_PDL_Permanent1OtherUse4</t>
  </si>
  <si>
    <t>CH_PDL_Permanent2OtherUse4</t>
  </si>
  <si>
    <t>CH_PDL_Permanent3OtherUse4</t>
  </si>
  <si>
    <t>CH_PDL_PermanentLegalFees5</t>
  </si>
  <si>
    <t>CH_PDL_Permanent1OtherUse5</t>
  </si>
  <si>
    <t>CH_PDL_Permanent3OtherUse5</t>
  </si>
  <si>
    <t>CH_PDL_Permanent2OtherUse5</t>
  </si>
  <si>
    <t>CH_PDL_PermanentLegalFees6</t>
  </si>
  <si>
    <t>CH_PDL_Permanent1OtherUse6</t>
  </si>
  <si>
    <t>CH_PDL_Permanent2OtherUse6</t>
  </si>
  <si>
    <t>CH_PDL_Permanent3OtherUse6</t>
  </si>
  <si>
    <t>CH_PDL_Permanent1OtherUse</t>
  </si>
  <si>
    <t>CH_PDL_Permanent2OtherUse</t>
  </si>
  <si>
    <t>CH_PDL_Permanent3OtherUse</t>
  </si>
  <si>
    <t>CH_PDL01_CompletedProjects</t>
  </si>
  <si>
    <t>CH_PDL02_SiteControl</t>
  </si>
  <si>
    <t>CH_PDL03_PrelimTitleReport</t>
  </si>
  <si>
    <t>CH_PDL04_SiteAppraisal</t>
  </si>
  <si>
    <t>CH_PDL05_SiteMap</t>
  </si>
  <si>
    <t>CH_PDL06_ServiceAreaMap</t>
  </si>
  <si>
    <t>CH_PDL07_SEGReports</t>
  </si>
  <si>
    <t>CH_PDL08_Phase1And2ESAs</t>
  </si>
  <si>
    <t>CH_PDL09_ResaleRestrictions</t>
  </si>
  <si>
    <t>CH_PDL10_VerificationEnvrReview</t>
  </si>
  <si>
    <t>CH_PDL11_VerificationLandUse</t>
  </si>
  <si>
    <t>C:\Users\Compw\Desktop\HOSN Applications\HOSN0000013_attachments\0___Application_Workbook__Excel_\2023-HOSN-Application-Workbook 2.22.2023 - HfHGS CORNERSTONE Project.xlsm</t>
  </si>
  <si>
    <t>Habitat for Humanity of Greater Sacramento, Inc.</t>
  </si>
  <si>
    <t>819 North 10th Street</t>
  </si>
  <si>
    <t>Leah Miller</t>
  </si>
  <si>
    <t>President &amp; CEO</t>
  </si>
  <si>
    <t>LMiller@habitatgreatersac.org</t>
  </si>
  <si>
    <t>916-440-1215 ext 1131</t>
  </si>
  <si>
    <t>Farrah Shields</t>
  </si>
  <si>
    <t>Controller</t>
  </si>
  <si>
    <t>FShields@habitatgreatersac.org</t>
  </si>
  <si>
    <t>916-440-1215  ext 1113</t>
  </si>
  <si>
    <t>Jack Kirwan</t>
  </si>
  <si>
    <t>Grant Writer</t>
  </si>
  <si>
    <t>jrkirwan73@gmail.com</t>
  </si>
  <si>
    <t>916-690-7370</t>
  </si>
  <si>
    <t>jk</t>
  </si>
  <si>
    <t>Complete</t>
  </si>
  <si>
    <t>Final/Complete</t>
  </si>
  <si>
    <t>43rd Avenue Project</t>
  </si>
  <si>
    <t>Infill Projects</t>
  </si>
  <si>
    <t>CH_SHTA_PreviousProgram3</t>
  </si>
  <si>
    <t>Stoner Drive Project</t>
  </si>
  <si>
    <t>CH_SHTA_PreviousProgramUnits3</t>
  </si>
  <si>
    <t>CH_SHTA_PreviousProgramStart3</t>
  </si>
  <si>
    <t>CH_SHTA_PreviousProgramEnd3</t>
  </si>
  <si>
    <t>CH_SHTA_PreviousProgram4</t>
  </si>
  <si>
    <t>Mandola Court Project</t>
  </si>
  <si>
    <t>CH_SHTA_PreviousProgramUnits4</t>
  </si>
  <si>
    <t>CH_SHTA_PreviousProgramStart4</t>
  </si>
  <si>
    <t>CH_SHTA_PreviousProgramEnd4</t>
  </si>
  <si>
    <t xml:space="preserve">   Our Self-Help Technical Assistance works in conjunction with our new construction program to help low income (&lt;80% AMI) families to transition to home ownership by assisting them with building their, and their neighbors, modest, all electric, energy efficient, single-family homes.  All work is supervised by professional, highly experienced, construction site supervisors who provide tools, training, and safety equipment to home buyers and directly supervise all work on-site.  _x000D_
   This request will support Phase 1 (14 units) of a 26 total units project in 7800 block of Sayonara Dr, in the City of Citrus Heights, Sacramento County.  The project is being built on infill parcels._x000D_
   Prospective homeowners work alongside community volunteers and Habitat staff in building these homes. The contributory labor model is intrinsic to the Habitat for Humanity model and has been in use throughout our affiliate’s 37-year history; with or without CalHome grants in support of our efforts.  _x000D_
Our SHTA program, like our construction program, is primarily funded through the generosity of corporate and private sponsors as well as funding from, Self-Help Homeownership Opportunity Program (SHOP), local government agencies using local appropriations or pass-through federal funds, and CalHome funding when available.  _x000D_
Our SHTA program requires 500 hours of contributed labor from each home buyer household as a sort of down payment toward purchasing their home.  We also have an extensive volunteer program, both individuals and corporate volunteers, who contributed 36,000 hours of labor in 2022, primarily assisting our construction and neighborhood revitalization efforts._x000D_
</t>
  </si>
  <si>
    <t>Our new home construction and SHTA programs are integral parts of our efforts to transition low income (&lt;80% AMI) families to home ownership by building moderate, energy efficient homes and providing no down payment, 0% equivalent interest, 30‐year mortgages; ensuring that the mortgage payments (PTI) are no greater than 30% of the homeowner's gross income.  We have an existing homeownership marketing effort that is so successful that during the last application period we received 360 full applications for 18 homeowner opportunities.  We have an existing Homeowner Selection Committee (HSC), a team of trained volunteers responsible for helping staff determine if a family applicant is qualified to become a partner family by ensuring they are credit worthy, within income limits, meet residency requirements, and currently living in substandard housing.  All perspective homeowners are required to participate in in New Homebuyer education even if they are not participating in a CalHome sponsored program._x000D_
For 37 years we have used a self‐help technical assistance model for all our construction efforts even when CalHome funding is not available. As part of the SHTA program homeowners are required to contribute 500 hours of labor constructing their homes to qualify to purchase the homes. We make extensive use of contributed labor from both corporate sponsors and individual volunteers. Approximately 80% of construction labor is contributed by homeowners and volunteers.  _x000D_
HfHGS has existing Contributory Labor, Underwriting, Loan Servicing and Reuse Account policies and procedures and have previoiusly been awarded CalHome funding.  All CalHome program requirements are currently in place, proven by experience and approved by the Department._x000D_
Habitat welcomes supporters from all backgrounds, and serves people in need of decent housing regardless of race, color, national origin, marital status, familial status, sexual orientation, age, religion, or disability.  HfHGS’s non-discrimination policy is prominently posted on its website.</t>
  </si>
  <si>
    <t xml:space="preserve">   Our new home construction and MA programs are integral parts of our efforts to transition low income (&lt;80% AMI) families to home ownership by building moderate, energy efficient homes and providing no down payment, 0% equivalent interest, 30‐year mortgages; ensuring that the mortgage payments (PTI) are no greater than 30% of the homeowner's gross income.  _x000D_
   This request will support the last 9 units (of 18 total units) in our Cornerstone project which are being built on an infill site along La Donne Dr. in the County of Sacramento (immediately south of the City of Sacramento, adjacent to the Promise Zone).  All units are new construction being built for sale to first time homebuyers._x000D_
   Our MA program, like our construction program, is primarily funded through the generosity of corporate and private sponsors as well as funding_x000D_
from, Self-Help Homeownership Opportunity Program (SHOP), local government agencies using local appropriations or pass-through federal funds,_x000D_
and CalHome funding when available._x000D_
   Our MA program requires 500 hours of contributed labor from each home buyer household as a sort of down payment toward purchasing their_x000D_
home.  Prospective homeowners work alongside community volunteers and Habitat staff in building these homes. The contributory labor model is_x000D_
intrinsic to the Habitat for Humanity model and has been in use throughout our affiliate’s 37-year history; with or without CalHome grants in support_x000D_
of our efforts. We also have an extensive volunteer program, both individuals and corporate volunteers, who contributed 36,000 hours of labor in_x000D_
2022, primarily assisting our construction and neighborhood revitalization efforts._x000D_
</t>
  </si>
  <si>
    <t xml:space="preserve">   Our new home construction and MA programs are integral parts of our efforts to transition low income (&lt;80% AMI) families to home ownership by building moderate, energy efficient homes and providing no down payment, 0% equivalent interest, 30‐year mortgages; ensuring that mortgage payments (PTI) are no greater than 30% of the homeowner's gross income.  We have an existing marketing effort that is so successful that during the last application period we received 360 full applications for 18 homeowner opportunities.  We have an existing Homeowner Selection Committee, a team of trained volunteers responsible for helping staff determine if a family applicant is qualified to become a partner family by ensuring they are credit worthy, within income limits, meet residency requirements, and currently living in substandard housing.  All perspective homeowners are required to participate in in New Homebuyer education even if they are not participating in a CalHome sponsored program._x000D_
   For 37 years we have used a contributory labor model for all our construction efforts even when CalHome funding is not available. As part of the CLP program homeowners contribute 500 hours of labor constructing their homes to qualify to purchase the homes. We make extensive use of contributed labor from both corporate sponsors and individual volunteers. Approximately 80% of construction labor is contributed by homeowners and volunteers.  _x000D_
   HfHGS has existing Contributory Labor, Underwriting, Loan Servicing and Reuse Account policies and procedures and have recieved CalHome funding over many years.  All CalHome program requirements are in place, proven by years of experience and approved by the Department._x000D_
   Habitat welcomes supporters from all backgrounds, and serves people in need of decent housing regardless of race, color, national origin, marital status, familial status, sexual orientation, age, religion, or disability.  HfHGS’s non-discrimination policy is prominently posted on its website.</t>
  </si>
  <si>
    <t>C:\Users\Compw\Desktop\HOSN Applications\HOSN0000013_attachments\0___Application_Workbook__Excel_\2023-HOSN-Application-Workbook 2.22.2023 - HfHGS OAK PARK Infill Project.xlsm</t>
  </si>
  <si>
    <t xml:space="preserve">   Our Self-Help Technical Assistance works in conjunction with our new construction program to help low income (&lt;80% AMI) families to transition to home ownership by assisting them with building their, and their neighbors, modest, all electric, energy efficient, single-family homes.  All work is supervised by professional, highly experienced, construction site supervisors who provide tools, training, and safety equipment to home buyers and directly supervise all work on-site.  Parcels are located in the Oak Park neighborhood of Sacramento, are all infill sites, and all located within the Sacramento Promise Zone. Ten new construction single family homes will be built for sale to first time homebuyers._x000D_
   Prospective homeowners work alongside community volunteers and Habitat staff in building these homes. The contributory labor model is intrinsic to the Habitat for Humanity model and has been in use throughout our affiliate’s 37-year history; with or without CalHome grants in support of our efforts.  _x000D_
Our SHTA program, like our construction program, is primarily funded through the generosity of corporate and private sponsors as well as funding from, Self-Help Homeownership Opportunity Program (SHOP), local government agencies using local appropriations or pass-through federal funds, and CalHome funding when available.  _x000D_
   Our SHTA program requires 500 hours of contributed labor from each home buyer household as a sort of down payment toward purchasing their home.  We also have an extensive volunteer program, both individuals and corporate volunteers, who contributed 36,000 hours of labor in 2022, primarily assisting our construction and neighborhood revitalization efforts._x000D_
</t>
  </si>
  <si>
    <t xml:space="preserve">  Our new home construction and SHTA programs are integral parts of our efforts to transition low income (&lt;80% AMI) families to home ownership by building moderate, energy efficient homes and providing no down payment, 0% equivalent interest, 30‐year mortgages; ensuring that the mortgage payments (PTI) are no greater than 30% of the homeowner's gross income.  We have an existing homeownership marketing effort that is so successful that during the last application period we received 360 full applications for 18 homeowner opportunities.  We have an existing Homeowner Selection Committee (HSC), a team of trained volunteers responsible for helping staff determine if a family applicant is qualified to become a partner family by ensuring they are credit worthy, within income limits, meet residency requirements, and currently living in substandard housing.  All perspective homeowners are required to participate in in New Homebuyer education even if they are not participating in a CalHome sponsored program._x000D_
   For 37 years we have used a self‐help technical assistance model for all our construction efforts even when CalHome funding is not available. As part of the SHTA program homeowners are required to contribute 500 hours of labor constructing their homes to qualify to purchase the homes. We make extensive use of contributed labor from both corporate sponsors and individual volunteers. Approximately 80% of construction labor is contributed by homeowners and volunteers.  _x000D_
   HfHGS has existing Contributory Labor, Underwriting, Loan Servicing and Reuse Account policies and procedures and have previoiusly been awarded CalHome funding.  All CalHome program requirements are currently in place, proven by experience and approved by the Department._x000D_
Habitat welcomes supporters from all backgrounds, and serves people in need of decent housing regardless of race, color, national origin, marital status, familial status, sexual orientation, age, religion, or disability.  HfHGS’s non-discrimination policy is prominently posted on its website.</t>
  </si>
  <si>
    <t xml:space="preserve">   Our Mortgage Assistance program works in conjunction with our new construction program to help low income (&lt;80% AMI) families to transition to home ownership by assisting them with building their, and their neighbors, modest, all electric, energy efficient, single-family homes. All work is supervised by professional, highly experienced, construction site supervisors who provide tools, training, and safety equipment to home buyers and directly supervise all work on-site. _x000D_
   Parcels are located in the Oak Park neighborhood of the City of Sacramento, are all infill sites, and all located within the Sacramento Promise Zone. Ten new construction single family homes will be built for sale to first time homebuyers._x000D_
   Our MA program, like our construction program, is primarily funded through the generosity of corporate and private sponsors as well as funding_x000D_
from, Self-Help Homeownership Opportunity Program (SHOP), local government agencies using local appropriations or pass-through federal funds, and CalHome funding when available._x000D_
   Our MA program requires 500 hours of contributed labor from each home buyer household as a sort of down payment toward purchasing their_x000D_
home. Prospective homeowners work alongside community volunteers and Habitat staff in building these homes. The contributory labor model is intrinsic to the Habitat for Humanity model and has been in use throughout our affiliate’s 37-year history; with or without CalHome grants in support of our efforts. We also have an extensive volunteer program, both individuals and corporate volunteers, who contributed 36,000 hours of labor in 2022, primarily assisting our construction and neighborhood revitalization efforts._x000D_
</t>
  </si>
  <si>
    <t xml:space="preserve">  Our new home construction and MA programs are integral parts of our efforts to transition low income (&lt;80% AMI) families to home ownership by building moderate, energy efficient homes and providing no down payment, 0% equivalent interest, 30‐year mortgages; ensuring that the mortgage payments (PTI) are no greater than 30% of the homeowner's income. _x000D_
   We have an existing marketing effort that is so successful we received 360 full applications for 18 homeowner opportunities in the last application period. We have a Homeowner Selection Committee of trained volunteers helping staff determine if a family applicant is qualified to become a partner family by ensuring they are credit worthy, within income limits, meet residency requirements, and currently living in substandard housing. All perspective homeowners participate in New Homebuyer education even if they are not participating in a CalHome sponsored program.           _x000D_
   We use a contributory labor model for all our construction efforts, even when CalHome funding is not available. As part of the CLP program homeowners contribute 500 hours of labor constructing their homes to qualify to purchase the homes. We make extensive use of CL from both corporate sponsors and individual volunteers. Approximately 80% of construction labor is contributed by homeowners and volunteers. _x000D_
   HfHGS has Contributory Labor, Underwriting, Loan Servicing and Reuse Account policies and procedures in place and proven over many years.    All CalHome program requirements are in place, proven by years of experience and approved by HCD. _x000D_
   Habitat welcomes supporters from all backgrounds and serves people in need of decent housing regardless of race, color, national origin, marital status, familial status, sexual orientation, age, religion, or disability.  HfHGS’s non-discrimination policy is prominently posted on its website.</t>
  </si>
  <si>
    <t>C:\Users\Compw\Desktop\HOSN Applications\HOSN0000013_attachments\0___Application_Workbook__Excel_\2023-HOSN-Application-Workbook 2.22.2023 - HfHGS PERSIFER St Project.xlsm</t>
  </si>
  <si>
    <t xml:space="preserve">   Our Self-Help Technical Assistance program works in conjunction with our new construction program to help low income (&lt;80% AMI) families to transition to home ownership by assisting them with building their, and their neighbors, modest, all electric, energy efficient, single-family homes. All work is supervised by professional, highly experienced, construction site supervisors who provide tools, training, and safety equipment to home buyers and directly supervise all work on-site. The project site is at 300 Persifer St. in the City of Folsom, an infill site, and located within a high resource TCAC census tract. Ten new construction single family homes will be built for sale to first time homebuyers._x000D_
   Our SHTA program, like our construction program, is primarily funded through the generosity of corporate and private sponsors as well as funding_x000D_
from, Self-Help Homeownership Opportunity Program (SHOP), local government agencies using local appropriations or pass-through federal funds,_x000D_
and CalHome funding when available._x000D_
   Our SHTA program requires 500 hours of contributed labor from each home buyer household as a sort of a down payment toward purchasing their_x000D_
home. Prospective homeowners work alongside community volunteers and Habitat staff in building these homes. The contributory labor model is intrinsic to the Habitat for Humanity model and has been in use throughout our affiliate’s 37-year history; with or without CalHome grants in support of our efforts. We also have an extensive volunteer program, both individuals and corporate volunteers, who contributed 36,000 hours of labor in 2022, primarily assisting our construction and neighborhood revitalization efforts._x000D_
</t>
  </si>
  <si>
    <t xml:space="preserve">   Our new home construction and SHTA programs are integral parts of our efforts to transition low income (&lt;80% AMI) families to home ownership by building moderate, energy efficient homes and providing no down payment, 0% equivalent interest, 30‐year mortgages; ensuring that the mortgage payments (PTI) are no greater than 30% of the homeowner's gross income.  We have an existing homeownership marketing effort that is so successful that during the last application period we received 360 full applications for 18 homeowner opportunities.  We have an existing Homeowner Selection Committee (HSC), a team of trained volunteers responsible for helping staff determine if a family applicant is qualified to become a partner family by ensuring they are credit worthy, within income limits, meet residency requirements, and currently living in substandard housing.  All perspective homeowners are required to participate in in New Homebuyer education even if they are not participating in a CalHome sponsored program._x000D_
   For 37 years we have used a SHTA model for all our construction efforts even when CalHome funding is not available. As part of the SHTA program homeowners contribute 500 hours of labor constructing their homes to qualify to purchase the homes. We make extensive use of contributed labor from both corporate sponsors and individual volunteers. Approximately 80% of construction labor is contributed by homeowners and volunteers.  _x000D_
   HfHGS has existing Contributory Labor, Underwriting, Loan Servicing and Reuse Account policies and procedures and have previously been awarded CalHome funding.  All CalHome program requirements are currently in place, proven by experience and approved by the Department._x000D_
   Habitat welcomes supporters from all backgrounds, and serves people in need of decent housing regardless of race, color, national origin, marital status, familial status, sexual orientation, age, religion, or disability.  HfHGS’s non-discrimination policy is prominently posted on its website.</t>
  </si>
  <si>
    <t>City of Folsom Waivers, Grants or Deliverables</t>
  </si>
  <si>
    <t>HFHGS Sponsors</t>
  </si>
  <si>
    <t>Structured Mortgage Transaction</t>
  </si>
  <si>
    <t>HOME</t>
  </si>
  <si>
    <t>SACOG</t>
  </si>
  <si>
    <t>43rd Ave Project</t>
  </si>
  <si>
    <t>Stoner Court Project</t>
  </si>
  <si>
    <t>2020 Infill Project</t>
  </si>
  <si>
    <t>2021 Infill Project</t>
  </si>
  <si>
    <t>Persifer Street Project</t>
  </si>
  <si>
    <t>Single Family</t>
  </si>
  <si>
    <t>300 Persifer Street</t>
  </si>
  <si>
    <t>Folsom</t>
  </si>
  <si>
    <t>The site was developed from 1960 through 2017 for a variety of city uses.  In 2017 the City Council authorized demolition of the remaining structures and declared the property surplus.  More than 75% of the site abuts urban uses.</t>
  </si>
  <si>
    <t xml:space="preserve">Offsite: fire hydrant 2 streetlights Persifer curb gutter &amp; sidewalk paved EVA from Persifer to alley and repairs to alley.  Onsite (10 units): water lines from main on Persifer sewer lines from main in alley underground electrical lines from SMUD box in alley and clearing/grading of 10 lots. </t>
  </si>
  <si>
    <t>Option to Purchase</t>
  </si>
  <si>
    <t>Other</t>
  </si>
  <si>
    <t>City of Folsom</t>
  </si>
  <si>
    <t>General Plan Amendment (Res. 9875)</t>
  </si>
  <si>
    <t>Zoning Amendment (Res 9875)</t>
  </si>
  <si>
    <t>80% AMI</t>
  </si>
  <si>
    <t>Redfin.com</t>
  </si>
  <si>
    <t>Pre-development Infrastructure</t>
  </si>
  <si>
    <t>Pre-development site services</t>
  </si>
  <si>
    <t>Site Temporary Services</t>
  </si>
  <si>
    <t>Overhead</t>
  </si>
  <si>
    <t xml:space="preserve">   SACOG allocated the City of Folsom 6,363 housing units for the most recent adopted RHNA cycle.  Of which 3,567 units are to be affordable to very low-income and low-income households – exactly the demographic our programs target. This is equivalent to building approximately 445 low-income housing units annually for the eight-year planning period. Affordable housing needs are great in the City of Folsom._x000D_
   Our model makes the sale affordable to our perspective homeowners, by providing no down payment, 0% equivalent interest, 30‐year mortgages; ensuring that the mortgage payments (PTI) are no greater than 30% of the homeowner's gross income.  If needed we provide mortgage down payment assistance (sometimes CalHome Funded) when there is a gap between the mortgage the family can afford and the sales price of the home; additionally, we have options to include a straight forgiveness portion to the mortgage we provide.  The end result improves the financial situation for our buyers as the vast majority are currently paying more than 50% of their income for housing costs.  Beyond improving their financial situation, this home purchase model puts them on a wealth building path providing for improved multi-generational opportunities as well as improving school performance for the children._x000D_
   The median single family home sales price is currently near $700,000 in the City of Folsom, as a result we would expect our project homes to appraise at much higher amounts then we would set as the sales price.  Using the model described above, we are able to structure the mortgages to ensure the home remains affordable for our homeowners.  Our applicants are very motivated; we typically recieve 10 to 20 times more full applications than the number of units available.</t>
  </si>
  <si>
    <t>This project constructs ten for-sale single-family homes, 5 units fronting Persifer St. will be two-story, 4-bedroom/2-bath 1 car garage homes of 1,268sf each and 5 units fronting the alley will be one-story, 2-bedroom/1-bath no garage homes of 749sf each.  All 10 units will be all-electric homes with composition roofing, solar panels, Hardi or similar siding, vinyl plank flooring throughout with the exception of carpeted bedrooms, dual pane windows, HVAC (heat pump), water efficient plumbing and drought tolerant landscape. The project is on an approximately 0.91-acre site near Old Town Folsom.  The site is within walking distance of a SacMetro Light Rail Station, elementary and middle schools, Folsom Zoo, Folsom Rodeo Park, and Folsom Powerhouse State Historic Park.  The project will consist of five 4-bedroom and five 2-bedroom units to accommodate a broad spectrum of family sizes.  All units will be affordable for-sale units for low and lower-income families within the 30% to 80% of Sacramento County Area Median Income (AMI). It is projected that six homes will be purchased by families under the 60% of AMI level, while the remaining four will be purchased by families from 60% to 80% of AMI._x000D_
The project is a partnership with the City of Folsom, who is working with us to identify the required funding and has been instrumental in bringing in new sources as well as offering waivers, grants and in-kind deliverables when possible.  Over the last several years we have worked closely with the city to identify and resolve any potential obstacles to completion of the project.  At this point, our most critical obstacle is to identify enough funding to begin pre-development work which will keep us on a construction schedule to make timely use of any funds with appropriation expiration dates.  An award of CaLHome PDL funds would easily keep us on a schedule to make that happen.</t>
  </si>
  <si>
    <t>Our new home construction and MA programs are integral parts of our efforts to transition low income (&lt;80% AMI) families to first-time home ownership by building moderate, energy efficient homes and providing no down payment, 0% equivalent interest, 30‐year mortgages; ensuring that the mortgage payments (PTI) are no greater than 30% of the homeowner's income. We have an existing marketing effort that is so successful we received 360 applications for 18 homeowner opportunities in the last application period. We have a Homeowner Selection Committee of trained volunteers responsible for helping staff determine if a family applicant is qualified to become a partner family by ensuring they are credit worthy, within income limits, meet residency requirements, and currently living in substandard housing. All perspective homeowners participate in New Homebuyer education even if they are not participating in a CalHome sponsored program. For 37 years we have used a contributory labor model for all our construction efforts, even when CalHome funding is not available. As part of the CLP program homeowners 500 hours of labor constructing their homes to qualify to purchase the homes. We make extensive use of contributed labor from both corporate sponsors and individual volunteers. Approximately 80% of construction labor is contributed by homeowners and volunteers. HfHGS has Contributory Labor, Underwriting, Loan Servicing and Reuse Account policies and procedures in place and have received CalHome funding over many years.  All CalHome program requirements are in place, proven by years of experience and approved by HCD. Habitat welcomes supporters from all backgrounds and serves people in need of decent housing regardless of race, color, national origin, marital status, familial status, sexual orientation, age, religion, or disability.  HfHGS’s non-discrimination policy is prominently posted on its website.</t>
  </si>
  <si>
    <t xml:space="preserve">City Council resolution 10777 authorized sale of site to Habitat for Humanity of Greater Sacramento.  Purchase and Sale Agreement drafted but not yet executed.  </t>
  </si>
  <si>
    <t>Contingency</t>
  </si>
  <si>
    <t>C:\Users\Compw\Desktop\HOSN Applications\HOSN0000013_attachments\0___Application_Workbook__Excel_\2023-HOSN-Application-Workbook 2.22.2023 - HfHGS SAYONARA Dr Project.xlsm</t>
  </si>
  <si>
    <t xml:space="preserve">   Our new home construction and MA programs are integral parts of our efforts to transition low income (&lt;80% AMI) families to home ownership by building moderate, energy efficient homes and providing no down payment, 0% equivalent interest, 30‐year mortgages; ensuring that the mortgage payments (PTI) are no greater than 30% of the homeowner's gross income.  _x000D_
   This request will support Phase 1 (14 units) of a 28 total units project being built on infill sites in the 7800 block of Sayonara Drive in the City of Citrus Heights, Sacramento County.  All units are new construction homes being built for sale to first time homebuyers._x000D_
   Our MA program, like our construction program, is primarily funded through the generosity of corporate and private sponsors as well as funding_x000D_
from, Self-Help Homeownership Opportunity Program (SHOP), local government agencies using local appropriations or pass-through federal funds,_x000D_
and CalHome funding when available._x000D_
   Our MA program requires 500 hours of contributed labor from each home buyer household as a sort of down payment toward purchasing their_x000D_
home.  Prospective homeowners work alongside community volunteers and Habitat staff in building these homes. The contributory labor model is_x000D_
intrinsic to the Habitat for Humanity model and has been in use throughout our affiliate’s 37-year history; with or without CalHome grants in support_x000D_
of our efforts. We also have an extensive volunteer program, both individuals and corporate volunteers, who contributed 36,000 hours of labor in_x000D_
2022, primarily assisting our construction and neighborhood revitalization efforts._x000D_
</t>
  </si>
  <si>
    <t>Our new home construction and MA programs are integral parts of our efforts to transition low income (&lt;80% AMI) families to home ownership by building moderate, energy efficient homes and providing no down payment, 0% equivalent interest, 30‐year mortgages; ensuring that the mortgage payments (PTI) are no greater than 30% of the homeowner's income. _x000D_
   We have an existing marketing effort that is so successful we received 360 full applications for 18 homeowner opportunities in the last application period. We have a Homeowner Selection Committee of trained volunteers helping staff determine if a family applicant is qualified to become a partner family by ensuring they are credit worthy, within income limits, meet residency requirements, and currently living in substandard housing. All perspective homeowners participate in New Homebuyer education even if they are not participating in a CalHome sponsored program.           _x000D_
   We use a contributory labor model for all our construction efforts, even when CalHome funding is not available. As part of the CLP program homeowners contribute 500 hours of labor constructing their homes to qualify to purchase the homes. We make extensive use of CL from both corporate sponsors and individual volunteers. Approximately 80% of construction labor is contributed by homeowners and volunteers. _x000D_
   HfHGS has Contributory Labor, Underwriting, Loan Servicing and Reuse Account policies and procedures in place and proven over many years.    All CalHome program requirements are in place, proven by years of experience and approved by HCD. _x000D_
   Habitat welcomes supporters from all backgrounds and serves people in need of decent housing regardless of race, color, national origin, marital status, familial status, sexual orientation, age, religion, or disability.  HfHGS’s non-discrimination policy is prominently posted on its website.</t>
  </si>
  <si>
    <t>C:\Users\Compw\Desktop\HOSN Applications\HOSN0000024_attachments\0___Application_Workbook__Excel_\2023-HOSN-Application-Workbook.xlsm</t>
  </si>
  <si>
    <t>Homes for Families</t>
  </si>
  <si>
    <t>21031 Ventura Blvd. Suite 610</t>
  </si>
  <si>
    <t>Woodland Hills</t>
  </si>
  <si>
    <t>Stacey Chiang</t>
  </si>
  <si>
    <t>Director of Development</t>
  </si>
  <si>
    <t>schiang@homes4families.org</t>
  </si>
  <si>
    <t>Donna Deutchman</t>
  </si>
  <si>
    <t>ddeutchman@homes4families.org</t>
  </si>
  <si>
    <t>SC</t>
  </si>
  <si>
    <t>CH_ER_ProHousingDesignation</t>
  </si>
  <si>
    <t>Santa Clarita Veteran Enriched Neighborhood (Low-Income Veterans) Phase 3c</t>
  </si>
  <si>
    <t>Palmdale Veteran Enriched Neighborhood (Low-Income Veterans) Phase 1</t>
  </si>
  <si>
    <t xml:space="preserve">The amount applied for is 2270400 to assist 12 households at 172000 each with a 10% activity fee of 206400. The 12 previously homeless low-income veteran families to be assisted are between 50-80% AMI. They will be part of a 12-home veteran community currently in the predevelopment planning stages in North Hollywood within the City and County of Los Angeles._x000D_
Prior experience with the CalHome Program includes their assistance of low-income veterans in two similar Veteran Enriched Neighborhoods in Sylmar and Santa Clarita completed in 2014 and 2019 a 61-home Enriched Neighborhood for low-income families in Pacoima completed in 2010 and 35 low-income veteran families being assisted in our Palmdale Veteran Enriched Neighborhood currently under construction in Los Angeles County. _x000D_
As with past models this community is being built in partnership with The California Department of Veterans Affairs Home Loans Division who provides a portion of funding as a first position mortgage. Our model is to sell our homes at or below their cost to build. The veterans in this community will be purchasing their homes considerably below our cost to build. This CalHome Program mortgage assistance grant will allow us to provide houses to the lowest-income veterans possible. The costs to deliver wraparound services is funded by foundation grants corporate contributions community partnerships fundraising events and individual donations._x000D_
This project is also being built in partnership with the City of Los Angeles who selected our project through a competitive RFP process. The City has transferred this former CRA land to Homes 4 Families for 1 and is contribution 40000 per family as a grant to Homes for Families for construction. WITH THIS GRANT HOMEOWNERS WILL BE GETTING A THREE-BEDROOM HOME IN THE CITY OF LOS ANGELES AND ONLY PAYING ON 210000.  _x000D_
Resale restrictions ensure that the homes will stay in the affordable housing market for a minimum of 45 years and in the veteran market for 10 years both renewable upon resale._x000D_
Our innovative Veteran Enriched Neighborhood® model empowers very-low and low-income veterans and their families to avoid homelessness and move up the economic ladder through affordable full-equity homeownership in a veteran community combined with holistic services that build resiliency self-sufficiency job security and economic growth. Veterans are provided with no-cost social services that equip them to succeed in civilian life including financial education therapeutic workshops trauma-informed programs and veteran-to-veteran support. _x000D_
Labor is contributed by the families themselves who sign a "sweat equity" contract as well as by over 5000 corporate volunteers and community members annually. In this self-help housing program wraparound services are provided with a myriad of educational social and trauma-informed care services that provide support to help these veteran families thrive._x000D_
These comprehensive services paired with an affordable homeownership opportunity are unique to our  model and key to the success experienced by the veterans in our completed projects._x000D_
</t>
  </si>
  <si>
    <t xml:space="preserve">7721a1. Homes 4 Families will continue to market this project through communications efforts including: social media and website marketing veteran word of mouth encouraged by a small cash referral incentive community outreach grassroots efforts partnerships with other local nonprofits partnerships with community membership groups such as the American Legion Veterans of Foreign Wars Posts Rotary Clubs Elks Lodge and others government relations fundraising and community events participation in both affordable housing and veteran seminars radio and bus ads through the California Department of Veterans Affairs (CalVet) channels and more._x000D_
7721a2. We have qualified homeowners based on income requirements identical to those of this program; we do so through a full mortgage application process which is then cross-qualified through CalVet and The City of Los Angeles._x000D_
7721a3a. Homebuyer Education Requirements: We provide a wide range of educational services for our homebuyers including: first-time homebuyer workshops through the Los Angeles Neighborhood Housing Services an orientation training that includes loan closing homebuyer responsibilities what it means to live in an HOA community the mortgage process and a full breakdown of sweat equity requirements and opportunities home maintenance financial education including budgeting credit management insurance savings home upkeep costs saving for your family’s future retirement planning estate planning and more. Fulfillment of these educational services and workshops is a requirement of our program. (A CalHome-approved plan is currently in action)_x000D_
7721a3b. Loan servicing requirements: Homes 4 Families currently services loans that we hold as well as CalHome Program loans. This plan is in place and complies with all of the requirements stated under Section 7723. (A CalHome-approved plan is currently in action)_x000D_
7721a3c. Reuse Account requirements: Homes 4 Families currently employs a CalHome Reuse Account for mortgage assistance grants received in the past. This account is tracked through our QuickBooks software and we have been compliant in submitting the annual reports. We understand all requirements of a Reuse Account. (A CalHome-approved plan is currently in action)_x000D_
7721a3d. Mortgage Assistance administration requirements: Homes 4 Families has successfully administered CalHome Mortgage Assistance Programs in the past (three separate agreements in three built communities a total of 100 families). We understand that we are responsible for all items cited in Section 7730. (A CalHome-approved plan is currently in action)_x000D_
7721a3e. Mortgage Assistance underwriting requirements: Homes 4 Families has successfully underwritten three CalHome Mortgage Assistance Programs in the past. We understand that we are responsible for all items cited in Section 7731. (A CalHome-approved plan is currently in action)_x000D_
7721a3f - 7721a3k: N/A_x000D_
7721a4. In regards to our Mortgage Assistance Loan we understand that we are responsible for disbursing funds on behalf of Borrowers at their time of property acquisition. We have done so for four separate agreements in four built communities a total of 116 families._x000D_
7721a5. We understand that we are responsible for maintaining complete and accurate records of all CalHome program loan disbursements and repayments and will comply with any audits._x000D_
7721a6. We understand that we are required to submit a report to the Department both quarterly and annually throughout the term of the Standard Agreement and Monitoring Agreement and have done so successfully in the past for four agreements._x000D_
7721a7. Homes 4 Families agrees to comply with all other Locality and/or Nonprofit Corporation requirements as set forth in these guidelines and all applicable federal and state regulations._x000D_
</t>
  </si>
  <si>
    <t>C:\Users\Compw\Desktop\HOSN Applications\HOSN0000028_attachments\0___Application_Workbook__Excel_\2023 HOSN Application Workbook (Update For 2-16-2023).xlsm</t>
  </si>
  <si>
    <t>City of Clovis</t>
  </si>
  <si>
    <t>City Government (All Departments)</t>
  </si>
  <si>
    <t>1033 Fifth St.</t>
  </si>
  <si>
    <t>Clovis</t>
  </si>
  <si>
    <t>John Holt</t>
  </si>
  <si>
    <t>City Manager</t>
  </si>
  <si>
    <t>johnh@cityofclovis.com</t>
  </si>
  <si>
    <t>(559) 324-2060</t>
  </si>
  <si>
    <t>Chad McCollum</t>
  </si>
  <si>
    <t>Economic Dev Housing &amp; Communications Director</t>
  </si>
  <si>
    <t>chadm@cityofclovis.com</t>
  </si>
  <si>
    <t>(559) 324-2436</t>
  </si>
  <si>
    <t>Claudia Cazares</t>
  </si>
  <si>
    <t>Management Analyst</t>
  </si>
  <si>
    <t>claudiac@cityofclovis.com</t>
  </si>
  <si>
    <t>(559) 324-2094</t>
  </si>
  <si>
    <t>JH</t>
  </si>
  <si>
    <t>Mortgage Assistance and Development Assistance through Habitat for Humanity and Tax Increment Financing</t>
  </si>
  <si>
    <t>Mortgage Assistance for Mobile Home Purchases</t>
  </si>
  <si>
    <t>Since 2000, the City of Clovis has successfully administered 5 CalHome grants totalling $3,360,000. With those grants staff completed 34 homebuyer loans for first time homebuyers and self-help/volunteer labor new construction homes, 39 rehabilitation loans, and 17 mobile home replacement loans. In addition, Clovis has completed over 2,000 affordable housing loans and grants covering home repair, substantial home rehabilitation, first-time homebuyer, new construction, and multifamily development._x000D_
_x000D_
The CalHome Mortgage Assistance Program will provide secondary financing to first-time homebuyers to help them purchase their first home. The City anticipates providing financing to approximately 13 families/households.  Homes to be purchased may include homes that need rehabilitation assistance which can be provided through the loan.  Activities will take place entirely within the incorporated City Limits of the City of Clovis._x000D_
_x000D_
The CalHome loan will be provided as secondary financing subordinate to a primary loan (of larger amount) to be obtained by the buyer through a participating and pre-approved lender. Their is no contributed labor anticipated to be used with the program. CalHome funding will be used for mortgage assistance, hombuyer education classes, non-recurring closing costs and ADF fees.</t>
  </si>
  <si>
    <t>City of Clovis staff has 22+ years of experience administering this type of program, and can provide current approved CalHome FTHB program guidelines for HCD review.  City/Applicant staff will market the program, determine applicant eligibility (including income eligibility), process loans, disburse funds, administer repayments and reuse accounts, comply with reporting requirements, and adopt/apply all needed requirements to successfully manage the program.</t>
  </si>
  <si>
    <t>CDBG Funded Housing Rehabilitation Grant Program - minor rehabilitation of owner occupied housing rehabilitation</t>
  </si>
  <si>
    <t>Since 2000, the City of Clovis has successfully administered 5 CalHome grants totalling $3,360,000. With those grants staff completed 39 owner-occupied housing rehabilitation loans, 34 homebuyer loans for first time homebuyers and self-help/volunteer labor new construction homes, and 17 mobile home replacement loans. In addition, Clovis has completed over 2,000 affordable housing loans and grants covering home repair, substantial home rehabilitation, first-time homebuyer, new construction, and multifamily development._x000D_
_x000D_
The CalHome Owner Occupied Housing Rehabiliation Program will provide financing to homeowners to provide for needed repairs to their home. The City anticipates providing financing to approximately 35 families/households.  Homes to assisted will include both manufactured housing and stick built homes.  Activities will take place entirely within the incorporated City Limits of the City of Clovis._x000D_
_x000D_
Their is no contributed labor anticipated to be used with the program. CalHome funding will be used for rehabilitation eligible assistance, non-recurring escrow costs and ADF fees.</t>
  </si>
  <si>
    <t>City of Clovis staff has 22+ years of experience administering this type of program, and can provide current approved CalHome OOR program guidelines for HCD review.  City/Applicant staff will market the program, determine applicant eligibility (including income eligibility), process loans, administer inspector contracts for construction management and inspection, disburse funds, administer repayments and reuse accounts, comply with reporting requirements, and adopt/apply all needed requirements to successfully manage the program.</t>
  </si>
  <si>
    <t>Tax Increment Financing of minor-major rehabilitation of owner occupied housing rehabilitation</t>
  </si>
  <si>
    <t>C:\Users\Compw\Desktop\HOSN Applications\HOSN0000053_attachments\0___Application_Workbook__Excel_\2023-HOSN-Application-Workbook 2.22.2023.xlsm</t>
  </si>
  <si>
    <t>Habitat for Humanity Fresno, Inc.</t>
  </si>
  <si>
    <t>4991 E. McKinley, Suite 213</t>
  </si>
  <si>
    <t>Cary Catalano</t>
  </si>
  <si>
    <t>Cary@HabitatFresno.Org</t>
  </si>
  <si>
    <t>559-355-0751</t>
  </si>
  <si>
    <t>Ashley Hedemann</t>
  </si>
  <si>
    <t>Ashley@HabitatFresno.Org</t>
  </si>
  <si>
    <t>559-578-2084</t>
  </si>
  <si>
    <t>CEO</t>
  </si>
  <si>
    <t>cc</t>
  </si>
  <si>
    <t xml:space="preserve">We have an extensive marketing program to solicit, to educate, and to select families for participation in our program that include those with CalHome funding.  Habitat for Humanity Fresno, Inc. (Habitat) verifty's income eligiblity by requiring 6 months of pay stubs, proof of qualified assitance from anyone on the title, plus 2 years of tax returns/W2's and 6 months of bank statements, and that each homeowner is low-income and is a first-time homebuyer that falls within (&lt;=80% of AMI).  The homebuyer education program is provided through an existing and certified program with the Fresno Housing Council. We have extensive self-help, underwriting experience with various other policy and procedures in place to stay compliant with CalHome, muncipal Home and CHDO funds.  We are experienced in all reporting requirments and are current on all reports to funders.  We do not have any outstanding reports due to CalHome.  Our construction program uses a self-help model; we we have highly experienced site supervisors with years of experience with Habitat and our model of using both homeowners and volunteer contributed labor.  We have been a public benefit corporation since 1985 and have constructed 255 affordable homes for low-income, first-time homebuyers in that period; we have existing policy's and proceedures in place to effectively meet all reporting requirements in the NOFA guidelines, and all applicable federal, state and local regulations as demostrated through our peformance on prior CalHom, HOME and CHDO contracts. </t>
  </si>
  <si>
    <t>4th Street Development in Clovis, CAL.</t>
  </si>
  <si>
    <t>Amador and B Street Infill Development in Fresno, CAL.</t>
  </si>
  <si>
    <t>Barcus Street Development in Fresno, CAL</t>
  </si>
  <si>
    <t>Washington and Malone Street Development in Madera, CAl.</t>
  </si>
  <si>
    <t xml:space="preserve">Riverdale Country Meadows Development in Riverdale, CAL. (all in various stages of construction </t>
  </si>
  <si>
    <t xml:space="preserve">Habitat for Humanity Fresno, Inc. (Habitat) is seeking downpayment assistance for 7 first-time low-income homebuyers at (&lt;=80% of AMI). These homes are all 3 bedrooms, 2.5 bathrooms with a one care garage in an existing subdivision called San Joaquin Villas in th rural city of Firebaugh, CAL., in Fresno County with a total development cost of $2.911 million.  The area is located on Road 33 and N Street that intersects on San Joaquin.  Habitat uses a self-help model for building all of its affordable homes with homeowners providing a minimum of 500 hours of contributed labor to qualify for homeownership.  Habitat has built 255 homes for affordable homeownership since its inception in 1985 and in the last four years alone, 26 units have been completed are are near completion of which all are using the self-help model.  Habitat's construction team includes volunteers, and families that provide approximately 90% of the   construction labor.   Foundations and other speciality tasks are subcontracted.  Central Valley Community Bank is providing the construction loan of $1.250 million, the County of Fresno is providing $790,000 in ARPA funding to support the project, USDA will provide the home loans through its Direct 502 loan program, the WISH program could provide up to $22,000 in additional downpayment assistance, with additional funding to support the project coming from individuals, corporations, and charitiable foundations to finance the balance of th cost to deliver the project.  We expect to start preparing the site for construction with pre-development activities starting in late summer of 2023 with construction lasting 20 to 24 months. </t>
  </si>
  <si>
    <t xml:space="preserve">Habitat for Humanity Fresno, Inc. (Habitat) is seeking $141,750 in SHTA funding to assist in the construction of 7 homes for low-income, first-time homebuyers at (&lt;=80% of AMI) to purchase.  These homes are all three bedrooms, 2.5 bathrooms with a one car garage in an existing subdivision called San Joaquin Villas in the rural city of Firebaugh, CAL., in Fresno County with a total development coast of $2.911 million.  The area is located on Road 33 and N Street that intersects on San Joaquin.  Habitat uses self-help modeling for building all of its affordable homes with homeonwers providing a minimum of 500 hours of contributed labor to quality for homeownership.  Habitat has built 255 homes for affordable homeonwership since its inception in 1985 and in the last four years alone, 26 units have been completed or are near completion of which all are using the self-help model.  Habitat's construction team includes volunteers, and families that provide approximately 90% of the construction labor.  Foundation and other speciality tasks are subcontracted.  Central Valley Community Bank will provide the construction loan of $1.250 million, the County for Fresno is providing $790,000 ARPA funding to support the project, USDA will provide the home loan through its Direct 502 loan program, the WISH program could proivde up to $22,000 of additional downpayment assistance, with additional funding to support the project coming from individuals, corporations, and charitable foundation to finance the balance of th cost to deliver this project.  We expect to start preparing for construction with pre-development activities in late summer of 2023 with construction lasting 20 to 24 months. </t>
  </si>
  <si>
    <t xml:space="preserve">We have an extensive marekting program to solicity, to educate, and to select families for participation in our program that include those with CalHome Funding.  Habitat for Humanity Fresno, Inc. (Habitat) verifty's inocme eligibllity by requiring 6 months of pay stubs, proof of qualification assistance for anyone on title, plus 2 years of tax returns/W2's and 6 months of bank statements, and that each homeonwer is low-income and a first-time homebuyer that falls within (&lt;=80% of AMI).  The homebuyer education is provided through and existing and certified program with the Fresno Housing Council.  We hae extensive self-help, underwriting experience with various other policies and procedures in place to stay compliant with CalHome, municipal HOME and CHDO Home Funds.  We are expereinced in all reporting requirements and are current on all reports to funders.  We do not have any outstanding reports due to CalHome.  Our constrution program uses a self-help model; we have highly experienced site supervisors with years of experience with Habitat and our model which uses both homeowners and volunter contributed labor. We have been a public beneift corporation since 1985 amd we have constructed 255 affordable home for low-income first time homebuyers in that period; we have existing policy's and procedures in place to effectively meet all reporting requirements in the NOFA guidelines, and all applicable federal, state and local regulations as demostarted through our performance on prior CalHom, HOME and CHDO contracts. </t>
  </si>
  <si>
    <t>Barcus Avenue Development in Fresno, CAL.</t>
  </si>
  <si>
    <t>Washington and Malone Street Development in Madera, CAL.</t>
  </si>
  <si>
    <t>CH_SHTA_PreviousProgram5</t>
  </si>
  <si>
    <t>Country Meadows Development in Riverdale, CAL.</t>
  </si>
  <si>
    <t>CH_SHTA_PreviousProgramUnits5</t>
  </si>
  <si>
    <t>CH_SHTA_PreviousProgramStart5</t>
  </si>
  <si>
    <t>C:\Users\Compw\Desktop\HOSN Applications\HOSN0000070_attachments\0___Application_Workbook__Excel_\2023 HOSN Application Workbook (Update For 2-15-2023).xlsm</t>
  </si>
  <si>
    <t>Habitat for Humanity Riverside Inc</t>
  </si>
  <si>
    <t>2180 Iowa Avenue</t>
  </si>
  <si>
    <t>Shannon Kane</t>
  </si>
  <si>
    <t>skane@habitatriverside.org</t>
  </si>
  <si>
    <t>951-787-6754</t>
  </si>
  <si>
    <t>Finance Manager</t>
  </si>
  <si>
    <t>David Hahn</t>
  </si>
  <si>
    <t>dhahn@habitatriverside.org</t>
  </si>
  <si>
    <t>Executive Director</t>
  </si>
  <si>
    <t>DH</t>
  </si>
  <si>
    <t>MARKETING: Habitat for Humanity Riverside (HFHR) will market the First Time Home Buyers program specific to our CalVet program through a grant from “Military Times” for advertising. In addition to social media marketing done by HFHR, CalVet is marketing it in their literature as well as in their outreach with Veterans in the area. All of the local VFW organizations and the local American Legion posts are assisting to inform the Veterans community about the program. Additional marketing support is provided by UC Riverside Veterans Services department, the Norco College Veterans Resource Center, and multiple local chambers of commerce. _x000D_
_x000D_
APPLICATION INTAKE AND PRE-QUALIFICATION:  Applications will be received by Habitat for Humanity Riversides Family Selection Committee for pre-screening. Once the pre-screening process is completed to ensure the applicant meets the program qualifications (veteran status, current residency, income not exceeding 80% of the AMI, etc.) the applications will be presented to Habitat’s Family Services Manager who is the certified Quality Loan Originator (QLO). These first mortgage loans will be in the form of construction loans funded by CalVet. _x000D_
The QLO is certified in all aspects of originating, underwriting, closing and servicing loans. This includes monitoring loan payment activity and escrow impound accounts through the life of the loan until it is paid in full.  Recertification occurs annually. _x000D_
_x000D_
APPLICATION PROCESSING AND UNDERWRITING: Once the application is deemed complete, the QLO will order a personal credit history and conduct a cash-flow analysis using our Mortgage Qualification Worksheet to verify the sources of income stated in the application, ensure that sufficient verifiable cash flow exists to cover their proposed mortgage-related obligations, as well as their other monthly expense obligations. The family selection committee then schedules a time to meet with the family and discuss what it means to be a Habitat homeowner, review the sweat equity process, etc.  Once the underwriting portion of the loan process is complete, the QLO will provide the completed underwriting results to CalVet for concurrence. The QLO will also notify the family selection committee of the results. The committee will review the cash flow analysis of each application and the current level of living conditions hardship to select and notify the family who will be the next Habitat homebuyer, once CalVet concurrence is received. Future home buyers will begin their sweat equity hours. They will be required to attend 1st-time homebuyer education prior to formal approval. The QLO will engage with a local Escrow/Title Company to open escrow and prepare necessary title work. _x000D_
_x000D_
FORMAL APPROVAL AND LOAN CLOSING: Once the home is completed and the escrow is ready to close, and sweat equity hours have been completed, the CalVet construction loan will be converted to a fixed-rate conventional mortgage. CalHome mortgage assistance funds will be disbursed on behalf of borrowers into escrow. Complete and accurate records of the CalHome loan and legal documents will be maintained by HFHR in a locked and fireproof file cabinet.</t>
  </si>
  <si>
    <t>The Myers Street project is a four home single story development in the City of Riverside. Homeowners assisted in building from the ground up. Three of the homes are 3 bedroom 2 bath homes and one is a 4 bedroom 2 bath home. The homes have a small picnic/garden shared area and is served by a large community driveway owned by the HOA. All 4 homes include an attached 2 car garage inside laundry area and upgraded luxury vinyl plank flooring. Each home also includes a private fenced back yard area.</t>
  </si>
  <si>
    <t>PROJECT OVERVIEW: Habitat for Humanity Riverside has an agreement with the California Department of Veterans Affairs (CalVet) to build what is called a CalVet REN (Residential Enriched Neighborhood) community. We have secured 5 acres of land in the City of Jurupa Valley and have a tract map ready for filing (approved by Planning Commission and City Council) for 26 single-story, single-family homes. The development includes a private street to serve the neighborhood and a large green space in the middle of the complex that will include a neighborhood garden and a playground. All homes are being built with a focus on Green Technologies, including solar panels, EnergyStar certified windows, drought tolerant landscaping, EV charging stations, hybrid high-efficiency water heaters, and more. _x000D_
_x000D_
FINANCING/FUNDING SOURCES: We are applying for $5,000,000. We currently have a commitment from CalVet for up to $9,896,000 in first mortgage funding. This represents 80% of the total appraised value for twenty 3-bdrm homes and six 4-bdrm homes based on recent sales of low-income deed-restricted home sales of comparable properties. The appraisals were completed by an appraiser selected by CalVet. As a result, CalVet funding will consist of up to $396,000 for each of the 4-bdrm homes and up to $376,000 for each of the 3-bdrm homes. These will be 26 separate construction loans to be converted to a conventional 30-year fixed rate CalVet mortgages. Under today’s market conditions, the interest rate would be 7%, but could change at the time of formal loan approval. We also have a commitment from the County of Riverside for $1,000,000 toward the project. The recently revised budget for the entire project is $15,916,116.00. As of 1/31/23, $890,000 has been invested in the project. These funds came from the following sources: $375,000 from multiple Charitable Foundation Grants, $150,000 from local fundraising events, and $365,000 from our own Home Construction Account. With this CalHome request for $5,000,000 (minus the delivery fee of $454,000 and $6000 reserved for homebuyer education courses), this results in the entire project being 97% funded. The balance of the “cost to build” budget remaining will be covered by in-kind donations, volunteer labor/sweat equity, and continued fundraising and grant application efforts._x000D_
_x000D_
1ST TIME HOMEBUYER MORTGAGE ASSISTANCE PRIOR EXPERIENCE: While we have not administered a 1st time home buyers mortgage assistance program with CalHome, we have leveraged programs offered by the County of Riverside, and cities such as Riverside and Moreno Valley for downpayment assistance and mortgage assistance for our homeowners, combined with our Habitat for Humanity Home loans. We have also worked closely with Community Action Partnership of Riverside County, and their IDA program for 1st time home buyers mortgage assistance._x000D_
_x000D_
1st TIME HOMEBUYER EDUCATION: We partner with three HUD-certified non-profit housing counseling agencies to offer 1st-time homebuyer education courses to our Habitat families. They are Springboard/Credit.org, Fair Housing Council of Riverside County, and Neighborhood Partnership Housing Services. _x000D_
_x000D_
APPLICANT QUALIFICATIONS: This project will be open to qualified low-income Veteran (not dishonorably discharged) households, who are 1st time home buyers. Qualifications include total household income not to exceed 80% of the area median income (AMI), yet still sufficient to support housing-related debt that will not exceed 30% of their total income, as a guideline. The applicants must also be current residents of Riverside County._x000D_
_x000D_
HABITAT RIVERSIDE UNDERWRITING AND LOAN SERVICING QUALIFICATIONS:  Habitat for Humanity Riverside is a Bona Fide Non-profit Affordable Housing Organization as per the California Residential Mortgage Lending Act, renewed annually with the State of California Department of Financial Protection and Innovation. Habitat for Humanity Riverside staffs a Family Services Manager as our Qualified Loan Originator and utilizes Keystone Mortgage Software to service the mortgage loans of our Habitat families. _x000D_
_x000D_
SERVICES PROVIDED: Habitat for Humanity, working closely with community partners, will be providing supportive services for these Veterans and their families for a period of 3 years. Services include financial literacy classes for the entire family; understanding insurance, wills and trusts; Disaster Preparedness; nutrition, home repairs and maintenance; debt management; Neighborhood Watch and dispute resolution. While Habitat for Humanity traditionally provides many of these wrap-around services for all families, these families will receive Veteran specific services as well. Veteran Specific supportive services include Peer to Peer Veteran dialogue, Trauma Informed Art Therapy, Military Benefits education, and PTSD Counseling services. The services are designed to ensure a successful, rewarding journey from renter to homeowner._x000D_
_x000D_
CONTRIBUTED LABOR/SWEAT EQUITY: As part of the Habitat model, all home buyer families are required to complete 250 hours of sweat equity work, helping to build their new home (500 hours for joint applicants). They sign an agreement, and the escrow does not close unless they have completed that requirement. _x000D_
_x000D_
COMMUNITY VOLUNTEERISM:  These volunteer groups include corporations providing community reinvestment efforts, local service organizations, faith-based organizations, and local small businesses. Volunteers have the potential to significantly reduce the labor expenses for a build project, and as a result, lowering the sales price for the new home buyer. _x000D_
_x000D_
IN-KIND DONATIONS: We are also privileged to receive In-Kind donations from several large companies for building materials and supplies such as Malarkey Roofing and Simpson Strong Tie, who has already agreed to donate 100% of the structural hardware needed for this project.</t>
  </si>
  <si>
    <t>C:\Users\Compw\Desktop\HOSN Applications\HOSN0000072_attachments\0___Application_Workbook__Excel_\HabitatTuolumne.xlsm</t>
  </si>
  <si>
    <t>Habitat for Humanity of Tuolumne County, Inc.</t>
  </si>
  <si>
    <t>14317 Mono Way, Suite F</t>
  </si>
  <si>
    <t>Trinity Abila</t>
  </si>
  <si>
    <t>trinity@habitattuolumne.org</t>
  </si>
  <si>
    <t>209-536-0970</t>
  </si>
  <si>
    <t>President/CEO</t>
  </si>
  <si>
    <t>Eden Dean</t>
  </si>
  <si>
    <t>pr@habitattuolumne.org</t>
  </si>
  <si>
    <t>ED</t>
  </si>
  <si>
    <t>Habitat for Humanity of Tuolumne County already operates a first-time homebuyer program through CalHome, WISH, and USDA. Habitat Tuolumne County has used CalHome funds and already holds home loans from previous home sales. Habitat Tuolumne County is familiar with all aspects of operating this program including underwriting, loan closing, annual monitoris, protfolio managment, and loan payoffs. Habitat Tuolumne County has program guidelines, grant documnets, loan servicing plans, and grant reuse plans that comply with all funding sources. Habitat Tuolumne County also has experience with grants administration.</t>
  </si>
  <si>
    <t>Affordable housing development "Parrotts Ferry Village"</t>
  </si>
  <si>
    <t>Habitat for Humanity of Tuolumne County is requesting $500,000 for up to 5 units all of which fall below 80%AMI. Habitat Tuolumne County has been a housing developer since its creation in 1999. Habitat Tuolumne County homebuyers have benefitted from this program in the past by applying through Tuolumne County. However, by using this program specically for our applicants, it enable us to better help them have financial security in their homebuying process while freeing up funds from Tuolumne County for other members of the Tuolumne County community who have not been seleted to purchase a Habitat for Humanity home._x000D_
This program is located in Tuolumne County, next to Parrotts Ferry Road in Sonora. It is a housing development taken on by Habitat Tuolumne County in 2011 and Habitat Tuolumne County has successfully built 26 homes and will have build 35 at the time of its completion. _x000D_
This program is managed by the Habitat for Humanity of Tuolumne County President/CEO Trinity Abila. The CEO has over 24 years of onsite construction experience, is a draftsman and led her own construction company for 10 years. She has a Bachelor's Degree in Religion with a minor in Counseling with continued education in mortgage origination, public relations, and human resources. She spent 10 years as a Leadership/Origination Coach helping to assess, build, and confirm successful leaders/programs throughout the States and abroad. She has been the CEO of Habitat Tuolumne County for over 8 years and has created an impact in our community through the affordable housing program as well as through the non-profit home improvement thrift store (Habitat for Humanity ReStore) that serves the community through low-cost building supplies and through the Home Repair Program which helps low-income homeowners make critical repairs to their homes. The Administrative Manager, Rebecca Young will be a part of the application process to ensure applicants are qualified for the program. The Administrative Manager holds an Associate of Arts Degree in Liberal Studies, has taken continued education in fair and responsible lending, mortgage origination, mortgage loan oversite, human resources and has been employed with Habitat for over 7 years._x000D_
The housing development is built through the use of construction loans that are paid by the sale of the house. All other costs are raised though the contribution of businesses ad individuals through grants and donations. These donations fund the purchse of building materials and any other costs to build housing._x000D_
Habitat for Humanity is particularly inclined to use volunteer labor on the construction site. This is done through the commitment of a few skilled volunteers who work on each of our homes in order to see that they are finished well. This is also done through a Tuolumne County Construction Pre-Apprentice Program that works on each Habitat Tuolumne home for one week.</t>
  </si>
  <si>
    <t>Home Repair Program</t>
  </si>
  <si>
    <t>Habitat for Humanity of Tuolumne County launched our Home Repair Program at the end of 2019 in order to meet a desperate need in our community for a program to bring home repairs to low-income homeowners in our community. All of our home repair program recipients are at or below 80% AMI. We are applying for this program in order to expand our efforts to further assist homeowners of mobilehomes on permanent foundations who are finding they are too damaged to be further repaired and require replacement. We have assisted with numerous mobile home repairs, especially doors, windows, roofing repairs, and accessibility needs._x000D_
We will be assisting residents throughout Tuolumne County. We funded through private donations, corporate grant funding, and the USDA Home Preservation Grant which provides funding for all of our projects at this time. However, the funding caps per person are much lower, preventing us from making large repairs or replacements. We have helped over 46 homeowners with various repairs through our zero-down, zero-interest loan program with a maximum of $7,500 that is repaid based on their income. However, with the addition of CalHome funds, we would use them primarily for mobilehome replacement or very large repairs with the maximum laid out in CalHome guidlines._x000D_
We use a mixture of in-house and volunteer labor to complete construction and repairs. Our President/CEO Trinity Abila is a contractor with over 24 years of onsite construction experience as well as mortgage and loan orgination experience and education. Our Administrative Manager manges the applications and verifies their eligibility. She has completed further eductation in loan orgination, mortgage origination, and human resources.</t>
  </si>
  <si>
    <t>Habitat for Humanity Tuolumne County administers this program already through other funding sources. We will continue to do that and through using a separate Reuse account we will manage this program and facilitate it through loan underwriting, loan closing, annual monitoring, portfolio management, loan payoffs, and all reporting requirements. We have program guidelines, grant documents, loan services plans, and a grant reuse plans that comply with all funding sources.</t>
  </si>
  <si>
    <t>C:\Users\Compw\Desktop\HOSN Applications\HOSN0000081_attachments\0___Application_Workbook__Excel_\Copy of 2023-HOSN-Application-Workbook 2.27.2023.xlsm</t>
  </si>
  <si>
    <t xml:space="preserve">San Gabriel Valley Habitat for Humanity </t>
  </si>
  <si>
    <t xml:space="preserve">724 E Huntington Dr. </t>
  </si>
  <si>
    <t xml:space="preserve">Monrovia </t>
  </si>
  <si>
    <t xml:space="preserve">Ashley French </t>
  </si>
  <si>
    <t xml:space="preserve">Philanthropy &amp; Corporate Partnership Manager </t>
  </si>
  <si>
    <t>afrench@sgvhabitat.org</t>
  </si>
  <si>
    <t>626-418-2439</t>
  </si>
  <si>
    <t xml:space="preserve">Sayaka Ota </t>
  </si>
  <si>
    <t xml:space="preserve">Director of Finance and Operations </t>
  </si>
  <si>
    <t>sota@sgvhabitat.org</t>
  </si>
  <si>
    <t>626-566-7340</t>
  </si>
  <si>
    <t>AF</t>
  </si>
  <si>
    <t xml:space="preserve">Regional Housing Trust </t>
  </si>
  <si>
    <t xml:space="preserve">City-Land Acquisition Lien </t>
  </si>
  <si>
    <t>SGV Habitat for Humanity</t>
  </si>
  <si>
    <t xml:space="preserve">First Republic </t>
  </si>
  <si>
    <t>WISH</t>
  </si>
  <si>
    <t xml:space="preserve">SGV Habitat </t>
  </si>
  <si>
    <t>City-Land Acqisition Lien</t>
  </si>
  <si>
    <t xml:space="preserve">Homebuyer Downpayment </t>
  </si>
  <si>
    <t xml:space="preserve">Low-Income First-Time Homebuyer Homeownership Program </t>
  </si>
  <si>
    <t xml:space="preserve">San Gabriel Valley Habitat for Humanity (SGV Habitat) is a non-profit developer located in Los Angeles County. We provide homes for qualified first-time, low-income homebuyers who’ve been accepted into our homeownership program. SGV Habitat provides various sources of permanent financing and subsides to ensure initial and long-term affordability. Mortgage assistance for low-income homebuyers is an important and necessary resource for many families, especially in a high-priced market such as Los Angeles County. _x000D_
_x000D_
Funding provided by CalHome will offer down payment assistance to qualified program participants. Providing these funds will help families reduce the  cost of a home purchase, providing a more secure financial future, and achieving the dream of homeownership. _x000D_
_x000D_
Program requirements include: _x000D_
(1) Household income must be less than or equal to 80% of the Area Median Income (“AMI”); _x000D_
(2) All adults (18 and over) must complete 250/500 (dependent on household size) hours of contributed labor to help build their future home or another home built by SGV Habitat; _x000D_
(3) Any title holder in the household must complete homebuyer and financial education classes, including a HUD-approved first-time homebuyer course._x000D_
_x000D_
HCD awarded SGV Habitat CalHome funds in 2008, 2014, and 2019. As a result, we have administered 66 downpayment assistance loans from 2008-2023, including two loans from our reuse account. _x000D_
Our financing sources include City/County subsidies, Habitat for Humanity fundraising and equity, donated materials and services, as well as construction loans._x000D_
_x000D_
Uses: Land/building acquisition, soft costs (architect, project manager, volunteer management, engineering, insurance, studies/reports, accountant), hard costs (grading; foundation; rough carpentry; mechanical, electrical and plumbing; finish carpentry, landscaping, etc.)_x000D_
_x000D_
This past year contributed labor was about 16,1923 voulnteer hours. Volunteer groups and individuals came from corporate, community, faith, school and workforce development organizations to provide financial education, administrative support and, most significantly, build homes for our program participants. _x000D_
</t>
  </si>
  <si>
    <t xml:space="preserve">SGV Habitat has extensive experience administrating this program. We have provided 27 downpayment assistance loans in the past two years. We will operate all program activities as stipulated by the published guidelines. The components of our local program will include all of the following:_x000D_
Marketing and outreach; Homebuyer selection based on maximum of 80% AMI household income (including eligibility for Front/Bank End Ratios, Credit Worthiness, and other requirements); Homebuyer education &amp; self-help labor; Loan servicing including monitoring compliance w/ deed restrictions; Reuse account:  maintaining policies and procedures that segregate CalHome funds for future reuse; Mortgage administration, underwriting and direct financing – including appraisals and insurance.  _x000D_
</t>
  </si>
  <si>
    <t xml:space="preserve">Critical Home Repair Program </t>
  </si>
  <si>
    <t xml:space="preserve">San Gabriel Valley Habitat for Humanity currently administers a Critical Home Repair Program serving low-income (80% of the AMI as determined annually by HUD) homeowners in the San Gabriel Valley. We focus on providing safety, accessibility, and deferred maintenance repairs for long-time homeowners. This often takes the form of providing seniors aging-in-place improvements like grab bars, handrails, and ramps, plus ensuring that safety features like smoke/CO2 detectors are installed in every home. We also tackle significant deferred maintenance issues to help vulnerable homeowners retain their most valuable asset for themselves, their extended families, and future generations. This often includes replacing old roofs, broken windows, or deteriorated siding. We manage all aspects of the program from conducting outreach to diverse local communities, preparing estimates and contracts, reviewing applications and determining eligibility, completing construction, and general communication and administrative tasks. With years of experience administering this Critical Home Repair Program and an extremely dedicated staff, we want to ensure we have the funding to sustain and grow this program. We utilize volunteer labor, with our in-house construction crew leading and supervising this un-skilled crew. We currently raise money for the program by soliciting build day sponsorships from companies, as well as other grants from local foundations, banks, and community supporters. Support for this program will allow us to complete an additional 60 home repairs for homeowners who would otherwise be unable to afford this crucial service. _x000D_
_x000D_
</t>
  </si>
  <si>
    <t xml:space="preserve">Our program staff brings years of experience coordinating owner occupied rehab programs both at SGV Habitat and with other Habitat for Humanity affiliates in California. We have strong collective experience in and have seen the results from targeted, local, marketing. We have experience writing large project scopes and completing significant (both in cost and time) projects. In the past two years we have been prioritizing growth of this program to better serve our communities and have completed 20 repair projects this fiscal year so far. We will ensure a property meets program guidelines for eligibility (both house and household members), complete the necessary repairs with our in-house crew, and all compliance paperwork promptly. </t>
  </si>
  <si>
    <t>CH_ADU_UnrestrictedHousingSupplyPoints</t>
  </si>
  <si>
    <t>CH_ADU_RuralHousingSupplyPoints</t>
  </si>
  <si>
    <t xml:space="preserve">The ADU program envisions building detached ADUs, JADUs and attached ADUs / Garage Conversions in Los Angeles County (specifically the San Gabriel Valley) for low income (under 80% AMI) homeowners. These homeowners will be able to supplement their income by renting the ADU or home to a low income (under 80% AMI) family. We will support the program with additional grants, competitive construction, city partnerships, and favorable lending. We understand that ADUs are an important tool for promoting economic stability, providing various affordable housing options, and creating a more sustainable future. Our program would aim to build 20 new or converted spaces into ADUs to increase the affordable housing in our high-priced Southern California market. _x000D_
_x000D_
</t>
  </si>
  <si>
    <t xml:space="preserve">For ADUs the primary requirement is that the homeowner meets the income guidelines, i.e. the gross income of homeowner(s) should be less than 80% of the AMI for the county. We will ensure proper outreach, marketing, eligibility determination, underwriting, construction, insurance, terms of tenancy, lending, site standards, and additional requirements per the published guidelines. The application process will be clear and available across our service area. Applicants will be eligible if they meet ownership requirements, income eligibility, willingness to rent to a low income person/family, and willingness to partner.  </t>
  </si>
  <si>
    <t xml:space="preserve">Homeownership Program </t>
  </si>
  <si>
    <t>136 W Howard, Pasadena.  Duplex; 3-bed, 2-bath SFRs on one lot</t>
  </si>
  <si>
    <t>752 Manzanita, Pasadena. Duplex. Detached 3-bed, 2-bath SFRs on one lot</t>
  </si>
  <si>
    <t>700 E Lomita, Glendale.  Attached 3-bed, 2-bath units (townhome style)</t>
  </si>
  <si>
    <t>695 Westminster, Pasadena.  Detached 3-bed, 2-bath SFRs on one lot</t>
  </si>
  <si>
    <t>Torch Street Homes</t>
  </si>
  <si>
    <t>Townhouse</t>
  </si>
  <si>
    <t>12779 Torch Street</t>
  </si>
  <si>
    <t xml:space="preserve">Baldwin Park </t>
  </si>
  <si>
    <t xml:space="preserve">Residential project will be located on a vacant site with at least 75% of adjacent sites developed with urban uses._x000D_
</t>
  </si>
  <si>
    <t>On-site improvements will include ground-up construction of 12 attached affordable townhome-type for-sale units that are 100% affordable; private yards; common open space; attached two-car garages for each unit; guest parking; and ingress/egress driveway.  Off-site improvements include upgrade of one fire hydrant; relocation of electric poles and curb front on Marlinda (a private street); new sidewalk curb cut and road surface on a portion of Marlinda; and upgraded electrical and water supply systems on the street front. Site preparation is planned to begin September 1 2023; vertical construction November 1 2023; and off-site improvements December 1 2023. Construction completion is expected in March 2025.</t>
  </si>
  <si>
    <t xml:space="preserve">The local market is comprised of small municipalities that have a number of characteristics in common.  The City of Baldwin Park, where the subject project site is located, has a population of 70,629. The largest Baldwin Park racial/ethnic groups are Latinx (72.6%) followed by Asian (21.9%) and White (3.2%).  Median household income is $72,554 ($22,831 per capita), which is just below 80% of area median income (AMI) for Los Angeles County. The city has a poverty rate of 13.1%. More than 60% of the population lives in a single‐family home, almost half of which (44 percent) are renters. The other half (38 percent) are homeowners and (18 percent) live with friends and family. Over 25% of renter households are overcrowded and about one third of renters spend more than 50% their income on housing. An April 2021 survey by Southern California Association of Governments (SCAG) summarized local housing conditions as follows:  _x000D_
_x000D_
1.	Rapidly rising home values which favor existing homeowners but worsen the housing cost burden for new buyers. _x000D_
2.	Falling homeownership rates particularly among younger age groups and for many Black and Latino households.  _x000D_
3.	Decreases in rental affordability as rent increases outpace incomes._x000D_
_x000D_
The City has determined that it will need to add approximately 850 new units of low and very low-income housing to meet its RHNA target in the 2021-2029 Housing Element period (6th cycle). To that end, the City has set a goal (among other priorities) to conserve and improve the condition of the existing affordable housing stock; and assist in the development of adequate housing to meet the needs of extremely low‐, very low‐, low‐, and moderate‐income households.  Looking at adjacent cities such as Azusa and El Monte, the numbers vary but the central tendencies and housing challenges are similar to Baldwin Park.  _x000D_
_x000D_
SGV Habitat’s pipeline of first-time homebuyers are entirely low- and very low-income households. They are primarily large (4 – 5 member) households ranging between $65,000 and $75,000. Some live in overcrowded or distressed rental housing situations.  Our conversations with these first-time buyers suggest they are motivated to move to homeownership, but can’t afford to make the jump as the local market offers few, if any, suitable starter homes that they can afford.  In the proposed project, SGV Habitat will ensure that every qualified homebuyer will pay no more than 30% of their current monthly household income for housing costs. A family of 4 earning $72,000 per year could afford $1,122 per month for housing including mortgage, insurance, taxes and HOA with a loan for 30 years at 3.75% interest (which can be arranged through a mortgage lender for first-time low-income buyers).  The family would in principle qualify for a mortgage of approximately $242,000 –above the minimum needed to buy a unit at Torch Street Homes.  _x000D_
_x000D_
</t>
  </si>
  <si>
    <t>Sales Contract</t>
  </si>
  <si>
    <t>City Planning/Building &amp; Safety</t>
  </si>
  <si>
    <t>City Planning Department</t>
  </si>
  <si>
    <t>The project consists of the construction of 12 new, attached 3-bedroom units on a 30,000+ sf vacant lot at 12779 Torch Street, in the City of Baldwin Park.  It is planned to be 100% affordable for-sale housing for persons/families at or below 80% AMI.  The City invested $1.4M toward SGV Habitat’s purchase of the land for this project in May 2021.  SGV Habitat submitted an application for City clearance to proceed with the project and received a letter from the City (attached) approving the project to proceed with conditions. Below, we examine several critical aspects of project implementation, assess the feasibility of the project through the lens of each aspect, and offer alternative means of completing the project if necessary to overcome obstacles in the process of implementation. _x000D_
_x000D_
Entitlements:  To do the project, SGV Habitat must obtain City approval for a conditional use permit, zone change, general plan amendment, and density bonus with concessions in addition to design and plan review.  To initiate the process, SGV Habitat submitted entitlements and land use applications to the City in November,2022.  While the City’s formal approval of the requested entitlements has just begun, the City has accepted in principle the basis for SGV Habitat’s application.  The basic arguments for entitling the project are explained in the attached letter addressed to the City by Nixon Peabody (dated June 7, 2021). The risk that the project will not be approved is very low, but SGV Habitat is prepared to make adjustments to the project as needed to reasonably accommodate any concerns that may emanate from the City or community.  CEQA is required in addition to discretionary actions.  We have signed on a CEQA consultant who is about to begin working on Torch St now that the City has given a green light to the project. The City expects to see a negative declaration, and we do not anticipate any material risks in this process.  The entitlements review and CEQA process will run for six months._x000D_
_x000D_
Financing:  The overall development cost of Torch Street Homes will be $5.34M.  SGV Habitat is experienced in assembling layered financing for projects like Torch, and is aware of, and prepared to manage, the inherent risks associated with raising capital. The project has already secured the property with City funds of $1.4M and has been approved for a $1M predevelopment loan from the San Gabriel Valley Regional Housing Trust.  We are in second-stage review for a federal grant of $300,000.  SGV Habitat is providing $1.2 M through its own fundraising. Funding from CalHome will allow SGV Habitat to insure construction is fully financed. We have identified some potential homebuyers.  The back-end sale of completed units to low-income buyers will generate funds needed to pay off 100% of project loans. Where permitted CalHome and City funds will be reconveyed in equal proportions to the end buyers as subliens with affordability requirements._x000D_
_x000D_
Conditions of Approval:  The City of Baldwin Park has put forward several conditions of project approval (see letter from City dated February 15, 2023, included in this application, for reference).  Site access from Marlinda (a private street) will need to be either restricted, or approved by existing residents who live in adjacent homes before the end buyers of the homes to be built in this project take occupancy.  The curb and street surface on the side of Marlinda closest to the project will need to be upgraded.  One fire hydrant across the street on Torch will also need to be upgraded.  And the power lines running along the street front will need to be shifted from their current location to a newly built sidewalk (also required) on Marlinda. These conditions will increase the cost of the project by an estimated $600,000.  To meet these conditions, SGV Habitat is presenting a request for $600,000 in additional funding from the City for these improvements. Because funds are already approved by the City to create affordable housing in Baldwin Park through an Expanding Homeownership Agreement signed 2021 with SGV Habitat, we are confident that the funding will be made available for these Torch St improvements._x000D_
_x000D_
On the basis of SGV Habitat’s consideration of the risk areas cited above and available workarounds, we believe the risks to be manageable, and that this project is feasible.</t>
  </si>
  <si>
    <t xml:space="preserve">City of Baldwin Park paid the full cost of land acquisition.  The City placed a lien against the property to preserve the site as affordable for 45 years, and subject to provisions of an affordability agreement separately created by the City. </t>
  </si>
  <si>
    <t>Development Plan Approval</t>
  </si>
  <si>
    <t>Site Plan Approval</t>
  </si>
  <si>
    <t xml:space="preserve">General Plan Amendment </t>
  </si>
  <si>
    <t xml:space="preserve">Density Bonus </t>
  </si>
  <si>
    <t xml:space="preserve">SGV Habitat’s plan to comply with Section 204 of the HCD CalHome Program Guidelines (2022) consists of the following elements._x000D_
_x000D_
1. The project will be marketed locally to persons across the community in accordance with all applicable nondiscrimination and Fair Housing Laws.  SGV Habitat will rely on partners, including the City of Baldwin Park and San Gabriel Valley Council of Governments, as well as social and conventional media, to get the word out. _x000D_
2. Eligibility of household incomes will be determined using the latest published HOME income limits summary._x000D_
3. Homebuyer education will be provided to all participating homebuyers following a curriculum approved by HCD and accredited by HUD, including all four modules identified in Section 205(a)(1) of the Program Guidelines. All homebuyers will be given a certificate at the end of the training, which will be copied to HCD. See attached PDF brochure for more information about our homebuyer engagement process._x000D_
4. Loan servicing will be implemented through a third-party company, AmeriNat.  The loan servicing plan will include all eight tasks cited in Section 206(a) of the Program Guidelines.  SGV Habitat will sign the required long-term monitoring agreement with HCD for compliance monitoring purposes._x000D_
5. SGV Habitat will maintain completed and accurate records regarding any CalHome liens reconveyed to the final homebuyers in concordance with proper HCD accounting procedures._x000D_
6. SGV Habitat will comply with all reporting requirements as indicated in Section 602 of the Program Guidelines, requirements of all other project-related lender or nonprofit entities, and all applicable federal and state regulations._x000D_
7. SGV Habitat already maintains, and in keeping with CalHome requirements will continue to maintain, a policy and practice of nondiscrimination and fair housing with regard both to participation in SGV Habitat’s homebuyer program and the design and plan for the housing units themselves (including applicable ADA regulations).  The nature and scope of this policy will be aligned with those described under Section 204 (b) and (c) of the Program Guidelines._x000D_
</t>
  </si>
  <si>
    <t>Redfin: Baldwin Park Housing Market Trends</t>
  </si>
  <si>
    <t xml:space="preserve">Redfin: Baldwin Park Housing Market Trends </t>
  </si>
  <si>
    <t>Misc. Supplier &amp; Fees</t>
  </si>
  <si>
    <t xml:space="preserve">Temporary Facilities &amp; Utilities </t>
  </si>
  <si>
    <t xml:space="preserve">Contingency Funds </t>
  </si>
  <si>
    <t>Staffing</t>
  </si>
  <si>
    <t>Developer Fee</t>
  </si>
  <si>
    <t>CH_SH_MFDRuralApplicationStatus</t>
  </si>
  <si>
    <t>CH_ADU_MFDRuralApplicationStatus</t>
  </si>
  <si>
    <t>C:\Users\Compw\Desktop\HOSN Applications\HOSN0000097_attachments\0___Application_Workbook__Excel_\2023 HOSN Application Workbook (Housing Trust Fund of Santa Barbara).xlsm</t>
  </si>
  <si>
    <t>jm</t>
  </si>
  <si>
    <t>C:\Users\Compw\Desktop\HOSN Applications\HOSN0000099_attachments\0___Application_Workbook__Excel_\2023 HOSN Application Workbook (Update For 2-15-2023) (2).xlsm</t>
  </si>
  <si>
    <t>Habitat for Humanity Lake County Ca, Inc.</t>
  </si>
  <si>
    <t>PO Box 1830</t>
  </si>
  <si>
    <t>Richard Birk</t>
  </si>
  <si>
    <t>richardb@lakehabitat.org</t>
  </si>
  <si>
    <t>707-994-1100 x103</t>
  </si>
  <si>
    <t>Director</t>
  </si>
  <si>
    <t>Lower Lake</t>
  </si>
  <si>
    <t>Tammy Brigham</t>
  </si>
  <si>
    <t>tammy@lakehabitat.org</t>
  </si>
  <si>
    <t>707-994-1100 x102</t>
  </si>
  <si>
    <t>Administrator</t>
  </si>
  <si>
    <t>TB</t>
  </si>
  <si>
    <t>707-994-1100x102</t>
  </si>
  <si>
    <t>HfHLC will be responsible for and will engage in all marketing of the Homeownership Program, via mailings, social media, and press releases in local news media outlets._x000D_
Program participants are screened through an application process to verify income eligibility by providing proof of all household income, tax returns, and bank statements. Eligible income is determined using HUD and USDA income guidelines. Program participants are required to complete 12 hours of homeowner education. The Homeowner Education plan is attached._x000D_
Homes are sold at prices not to exceed the appraised value. Loan servicing of Homeowner mortgages is done in house. A reuse plan is in place for each mortgage and HfHLC will maintain accurate records to be made available at the request of HCD. HfHLC will comply with all reporting requirements, as well as all state and federal requirements as applicable._x000D_
Self-Help activities include all construction phases, i.e. sub-flooring, framing, roofing, trimming, plumbing, electrical, painting, landscaping and some site preparations. For those who have physical disabilities, non-physical work is provided, such as office work, providing/delivery lunches, community outreach, and training support._x000D_
The construction training consists of an orientation with HFHLC’s construction plan, building phases, and expectations of volunteers and homeowners. It will include safety training, good site practices, site reading and any other topics necessary.</t>
  </si>
  <si>
    <t>Habitat for Humanity Lake County &amp; CalHome 2019</t>
  </si>
  <si>
    <t>Habitat for Humanity Lake County &amp; CalHome 2020</t>
  </si>
  <si>
    <t>Habitat for Humanity Lake County &amp; CalHome 2021</t>
  </si>
  <si>
    <t>Habitat for Humanity Lake County &amp; CalHome 2022</t>
  </si>
  <si>
    <t>Habitat for Humanity Lake County &amp; CalHome 2023</t>
  </si>
  <si>
    <t>Habitat for Humanity Lake County CA Inc (HfHLC). is applying for Mortgage Assistance Funds for a total of 8 eight houses, in the amount of $110,250.00 per home (Max of $100,000 per house plus $10,250 in Activity and homebuyer education fees per house). The total amount requested is $882,000.00._x000D_
Other funding for the Homeownership program is provided by the USDA 502 program and donations received by HfHLC_x000D_
Homes built will be stricly for low and very low income first time homebuyers. The highly impoverished city of Clearlake is our primary target area. 70% of all HfHLC homes have been built within the city of Clearlake, which has the highest poverty rate and lowest income rate in Lake County._x000D_
Homes will be built with contributed labor/sweat equity/volunteer program under the supervision of paid staff. Income levels are established through HUD and State of California, and all qualified applicants must meet those guidelines. All homes will be within the County of Lake. All building sites have been purchased or will be purchased and owned by Habitat for Humanity Lake County Inc. All homes conform to local R1 zoning ordinances and to city and county building codes._x000D_
HfHLC has been building homes since its inception in 2001, and to date has provided 40 homes throughout Lake County, with the majority of those being in the city of Clearlake.</t>
  </si>
  <si>
    <t>Habitat for Humanity Lake County CalHome 2019</t>
  </si>
  <si>
    <t>Habitat for Humanity Lake County CA Inc (HfHLC). is applying for Technical Assistance Self-Help Funds for a total of 8 (eight) houses, in the amount of $20,000.00 per home (Max of $20,000 per house). Activity Delivery Fees The total amount requested is $160,000.0_x000D_
Other funding for the homeownership program is provided by the USDA 502 program and donations recieved by HfHLC._x000D_
Homes built will be strictly for low and very low income first time homebuyers. The highly impoverished city of Clearlake is our primary target area. Homes will be built with contributed labor/sweat equity/volunteer program under the supervision of paid staff. Income levels are established through HUD and State of California, and all qualified applicants must meet those guidelines. All homes will be within the County of Lake. All building sites have been purchased or will be purchased and owned by Habitat for Humanity Lake County Inc. All homes conform to local R1 zoning ordinances and to city and county building codes._x000D_
HfHLC has been building homes since its inception in 2001, and to date has provided 40 homes throughout Lake County, with the majority (70%) of those being in the city of Clearlake. HfHLC previously operated a Self-Help Technical Assistance Program between 2010 and 2015.  Homes are built to green energy saving standards.</t>
  </si>
  <si>
    <t xml:space="preserve">HfHLC will be responsible for and will engage in all marketing of the Homeownership Program, via mailings, social media, and press releases in local news media outlets._x000D_
Program participants are screened through an application process to verify income eligibility by providing proof of all household income, tax returns, and bank statements. Eligible income is determined using HUD and USDA income guidelines. Program participants are required to complete 12 hours of homeowner education. The Homeowner Education plan is attached._x000D_
Homes are sold at prices not to exceed the appraised value. Loan servicing of Homeowner mortgages is done in house. A reuse plan is in place for each mortgage and HfHLC will maintain accurate records to be made available at the request of HCD. HfHLC will comply with all reporting requirements, as well as all state and federal requirements as applicable._x000D_
Self-Help activities include all construction phases, i.e. sub-flooring, framing, roofing, trimming, plumbing, electrical, painting, landscaping and some site preparations. For those who have physical disabilities, non-physical work is provided, such as office work, providing/delivery lunches, community outreach, and training support._x000D_
The construction training consists of an orientation with HFHLC’s construction plan, building phases, and expectations of volunteers and homeowners. It will include safety training, good site practices, site reading and any other topics necessary._x000D_
</t>
  </si>
  <si>
    <t>Habitat for Humanity Brush of Kindness Repair Program 2019</t>
  </si>
  <si>
    <t xml:space="preserve">Habitat for Humanity Lake County CA Inc (HfHLC) is applying for Owner Occupied Funds for a total of 4 (four) projects, in the amount of $50,000.00 per home (Max of $50,000.00 per house). The total amount requested is $200,000.00. Additional funding may come in conjunction with the USDA 533 repair funds as well as private grants and donations. Rehabilitation/repair/reconstruction work will be stricly for low and very low income home owners. _x000D_
An estimated 70% of homes within the city of Clearlake are in need of some degree of rehabilitation. Because the city of Clearlake has the highest poverty rate in the county, as well as a substantial senior, veteran, and disabled population, it is HfHLC's target area in which to provide service to homeowners._x000D_
Work will primarily be completed by paid staff, with volunteer hours provided as homeowner capability allows and subcontractors coordinated as the job requires. Income levels are established through HUD and the State of California, and all qualified applicants must meet those guidelines. All work will be completed within the County of Lake. All homes will conform to local R1 zoning ordinances and to city and county building codes. Work is completed to green energy saving standards._x000D_
HfHLC has been operating a Home Repair and Rehabilitation Program since its inception in 2011, and to date has provided assistance to more than 300 homeowners throughout Lake County, with the majority of those being in the city of Clearlake. </t>
  </si>
  <si>
    <t xml:space="preserve">HfHLC will be responsible for and will engage in all marketing of the Repair and Rehabilitation Program, via mailings, social media, and press releases in local news media outlets._x000D_
Program participants are screened through an application process to verify income eligibility by providing proof of all household income, tax returns, and bank statements. Eligible income is determined using HUD and USDA income guidelines. Repair needs are inspected and evaluated prior to any work being completed and all costs and fees are explained and agreed upon with the homeowner up front._x000D_
HfHLC will maintain accurate records to be made available at the request of HCD. HfHLC will comply with all reporting requirements, as well as all state and federal requirements as applicable._x000D_
Any potential Self-Help activities include the repairs, i.e. sub-flooring, framing, roofing, trimming, plumbing, electrical, painting, landscaping and some site preparations will be coordinated with the eligible homeowner. As many of the repair and rehabilitation clients have physical disabilities, non-physical work can be provided, such as office work, providing/delivery lunches, community outreach, and training support._x000D_
_x000D_
</t>
  </si>
  <si>
    <t>Habitat for Humanity Lake County CalHome 2020</t>
  </si>
  <si>
    <t>Habitat for Humanity Lake County CalHome 2021</t>
  </si>
  <si>
    <t>Habitat for Humanity Lake County CalHome 2022</t>
  </si>
  <si>
    <t>Habitat for Humanity Lake County CalHome 2023</t>
  </si>
  <si>
    <t>CH_SHTA_PreviousProgramEnd5</t>
  </si>
  <si>
    <t>Habitat for Humanity Brush of Kindness Repair Program 2020</t>
  </si>
  <si>
    <t>Habitat for Humanity Brush of Kindness Repair Program 2021</t>
  </si>
  <si>
    <t>Habitat for Humanity Brush of Kindness Repair Program 2022</t>
  </si>
  <si>
    <t>CH_OOR_PreviousProgram5</t>
  </si>
  <si>
    <t>Habitat for Humanity Brush of Kindness Repair Program 2023</t>
  </si>
  <si>
    <t>CH_OOR_PreviousProgramUnits5</t>
  </si>
  <si>
    <t>CH_OOR_PreviousProgramStart5</t>
  </si>
  <si>
    <t>CH_OOR_PreviousProgramEnd5</t>
  </si>
  <si>
    <t>C:\Users\Compw\Desktop\HOSN Applications\HOSN0000109_attachments\0___Application_Workbook__Excel_\2023-HOSN-Application-Workbook-2-27-2023.xlsm</t>
  </si>
  <si>
    <t>City of Porterville</t>
  </si>
  <si>
    <t>291 N. Main Street</t>
  </si>
  <si>
    <t>Claudia Calderon</t>
  </si>
  <si>
    <t>ccalderon@ci.porterville.ca.us</t>
  </si>
  <si>
    <t>(559) 782-7460</t>
  </si>
  <si>
    <t>Economic Development &amp; Housing Manager</t>
  </si>
  <si>
    <t>Porterville</t>
  </si>
  <si>
    <t>Jason Ridenour</t>
  </si>
  <si>
    <t>jridenour@ci.porterville.ca.us</t>
  </si>
  <si>
    <t>Assistant City Manager</t>
  </si>
  <si>
    <t>Christina Tank</t>
  </si>
  <si>
    <t>CT</t>
  </si>
  <si>
    <t>ctank@ci.porterville.ca.us</t>
  </si>
  <si>
    <t>Housing Administrative Aide</t>
  </si>
  <si>
    <t>City staff markets the Program though various lending programs and periodic Housing Fairs and/or Workshops. Homebuyer education is provided monthly by City staff partnered with Community Services Employment Training (CSET), the local HUD approved counseling agency, on a monthly basis that alternates between English/Spanish. City staff determines household income status per HUD's Annual Income Guidelines. City staff processes applications and presents approved applications to the Community Development Financial Assistance Reivew Committee (CDFARC) associated with the Program and issues funding as applicaitons are approved by CDFARC. Applicants sign a Deed of Trust and Note with the City of Porterville which outline the 30-year deferred loan with 1% simple interest. City staff monitors each file yearly and accounts are entered into a payment database system used for loan servicing.</t>
  </si>
  <si>
    <t>CDBG First Time Homebuyer Downpayment Assistance</t>
  </si>
  <si>
    <t>HOME First Time Homebuyer Downpayment Assistance</t>
  </si>
  <si>
    <t>CalHome First Time Homebuyer Downpayment Assistance</t>
  </si>
  <si>
    <t xml:space="preserve">The City of Porterville's  First Time Low Income Home Buyer program provides selected qualified applicants with second trust deed loans to use toward reducing the first mortgage liability on acquisition of existing homes within the City of Porterville's city limits.  Eligible families must earn 80% or less of the area median income.  Loans provided will be deferred for 30 years at 1% interest.  Private mortgage lenders will provide for the primary mortgage for the highest amount for which the applicant qualifies.  The City's program has been in force since 1995 and over 400 families have beneifited since that time and with use of grant funds. The CalHome assistance may be layered with CalHome program income, HOME funds, CDBG funds, or program income to provide the necessary gap and closing cost financing. Additionally, as part of the program, propsective homebuyers are required to attend an 8-hour Homebuying Education class. </t>
  </si>
  <si>
    <t>C:\Users\Compw\Desktop\HOSN Applications\HOSN0000139_attachments\0___Application_Workbook__Excel_\ORA 2023-HOSN-Application-Workbook 2.22.2023.xlsm</t>
  </si>
  <si>
    <t xml:space="preserve">City of Orange Cove </t>
  </si>
  <si>
    <t xml:space="preserve">633 6th St. </t>
  </si>
  <si>
    <t>Edith Cannon</t>
  </si>
  <si>
    <t>ecannon@cityoforangecove.com</t>
  </si>
  <si>
    <t>559-626-4488</t>
  </si>
  <si>
    <t>Accountant</t>
  </si>
  <si>
    <t>Orange Cove</t>
  </si>
  <si>
    <t>Rudy Hernandex</t>
  </si>
  <si>
    <t>rudy@cityoforangecove.com</t>
  </si>
  <si>
    <t>Interim City Manager</t>
  </si>
  <si>
    <t>Craig Chew</t>
  </si>
  <si>
    <t>CC</t>
  </si>
  <si>
    <t>craigc@selfhelpenterprises.org</t>
  </si>
  <si>
    <t>559-802-1586</t>
  </si>
  <si>
    <t xml:space="preserve">Administrative Analyst </t>
  </si>
  <si>
    <t xml:space="preserve">OOR programs implemented with CDBG, CalHome, and HOME funding. The total number of units assisted reflects both the applicant and administrative subcontractor's combined activity within the last 4 years </t>
  </si>
  <si>
    <t xml:space="preserve">The City of Orange Cove (City), in partnership with Self-Help Enterprises (SHE), is applying for $600,000 to provide financing for the rehabilitation of four (4) low-income (80% AMI or below) households within the incorporated areas of the City of Orange Cove. The City, in partnership with SHE, has administered Owner-Occupied Rehabilitation programs for low-income households for over thirty (30) years. These programs provided financial assistance, unit evaluations, and construction oversight to 212 households with CDBG and HOME grants funds. Overall, Self-Help Enterprises has assisted over 7,000 families throughout its nine (9) county service area (Fresno, Kern, Kings, Madera, Mariposa, Merced, San Joaquin, Stanislaus, and Tulare County) with rehabilitation of their homes since 1975. Participant labor contributions will not be part of the City's Owner-Occupied Rehabilitation Program. </t>
  </si>
  <si>
    <t xml:space="preserve">Self-Help Enterprises will perform all duties required to implement the Owner-Occupied Housing Rehabilitation Program. Program staff specializations include the following: administrative analysts perform marketing, reporting, financial management, draw requests, and regulation compliance duties for grant administration; loan processors determine income eligibility, evaluate property value and total encumbrence, review appraisals, and aid orginating, underwriting, packaging, and closing of CalHome loans in accordance with program guidelines; and, an experienced rehabilitation specialist will identify needed repairs, collaborate with homeowners on project bids and securing a licensed contractor, monitor rehab work for compliance to state/local codes, and health and safety standards, process owner-approved payments to contractors, and clear all construction liens at project completion. The City will provide loan servicing by way of monitoring for occupancy, insurance, and payment of property taxes, tracking payments, calculating payoffs, and processing demands, reconveyances, and default recovery. </t>
  </si>
  <si>
    <t>C:\Users\Compw\Desktop\HOSN Applications\HOSN0000155_attachments\0___Application_Workbook__Excel_\0. 2023-HOSN-Application-Workbook 2.22.2023.xlsm</t>
  </si>
  <si>
    <t>Habitat for Humanity of Greater Los Angeles</t>
  </si>
  <si>
    <t>8739 Artesia Blvd.</t>
  </si>
  <si>
    <t>Andrea Foster</t>
  </si>
  <si>
    <t>afoster@habitatla.org</t>
  </si>
  <si>
    <t>310-323-4663 x 310</t>
  </si>
  <si>
    <t>Senior Director of Public Funding and Contracts</t>
  </si>
  <si>
    <t>Bellflower</t>
  </si>
  <si>
    <t>Erin Rank</t>
  </si>
  <si>
    <t>erank@habitatla.org</t>
  </si>
  <si>
    <t>424-246-3636</t>
  </si>
  <si>
    <t>Habitat LA currently operates seven CalHome contracts, two of which are for Mortgage Assistance programs. Habitat LA will develop new CalHome Mortgage Assistance Program Guidelines, Reuse Account Plan, and Loan Servicing plans to meet the requirements set in the December 2022 CalHome Program Guidelines. Habitat LA will train its staff, ensuring that they understand any changes to the guidelines and can administer the program effectively and correctly. _x000D_
_x000D_
Habitat LA’s trained staff will conduct all homeowner qualifications, including verifying that each household is a first-time homebuyer; is low-income, according to the HCD definition; that the household meets credit and income requirements; and other guidelines as required by HCD. Habitat LA will verify the household continues to meet all requirements every 6 months, and no earlier than 6 months prior to closing of the loan. Habitat LA will also ensure that the property meets all requirements, will collect required promissory note documents from the CalHome loan and primary mortgage; insurance documents; preliminary title reports; and appraisal to ensure the purchase price of the home does not exceed the most recent media sales price for Los Angeles County. Staff will maintain all files including records of disbursements, repayments, and eligibility documents, and can make these files available for auditing, when requested._x000D_
_x000D_
Habitat LA will use an affirmative marketing strategy to target households least likely to apply. Marketing will be conducted through social media, website, flyers mailed to homes, in-person and online orientation sessions, and attendance at community engagements events hosted by Habitat LA or other groups in the community._x000D_
_x000D_
Habitat LA maintains a pro-built execution that uses professional construction staff, hired and managed or subcontracted by Habitat LA, to assure the highest quality construction. Supplemental labor, provided by volunteers will be used. Habitat LA will recruit, train, manage, and track community volunteers to contribute labor on volunteer-safe construction sites. We anticipate that volunteers provide approximately 1,000 hours of contributed labor on volunteer-friendly sites.</t>
  </si>
  <si>
    <t>Habitat LA builds new-construction homes, sold with an affordable mortgage. Habitat LA provides gap financing loans in the form of second and third mortgages to qualifying low-income, first-time homebuyers.</t>
  </si>
  <si>
    <t>Habitat LA provided silent mortgage to low-income, first-time homebuyers needing gap financing to purchase existing homes.</t>
  </si>
  <si>
    <t xml:space="preserve">Habitat for Humanity of Greater Los Angeles (Habitat LA) requests a 5000000 contract to support its First Time Homebuyer Mortgage Assistance Program. If awarded Habitat LA will provide downpayment assistance to as many as 35 low-income first-time homebuyers. Of this amount, $4,537,545 will be used to provide no more than $200,000 in downpayment assistance, based on need and the home’s purchase price; $453,705 will be used to support Activity Delivery fees; and $8,750 will be used to provide Homebuyer Education._x000D_
_x000D_
To qualify, borrower households must meet the following requirements: 1) meet the definition of low-income, as defined by HCD; 2) the downpayment assistance must be used as gap financing to purchase a move-in ready, new-construction property that will serve as the household’s primary residence; 3) the borrowers be a US citizen or legal permanent resident; 4) the applicants must be a first-time homebuyer, as defined by HCD; 5) the borrowers must attend an eight-hour HUD-approved homebuyer education course, provided by Habitat LA; and 6) households must contributed between 125 and 500 hours of sweat equity, based on household size. _x000D_
_x000D_
Habitat LA will restrict use of these funds to newly constructed homeownership units built by Habitat LA. Between 2023 and 2025, Habitat LA plans to build an more than 150 units, the majority of which will be reserved for sale to CalHome-qualified households. Habitat LA has more than 30 years’ experience building and repairing homes in greater Los Angeles County and has provided mortgage assistance to more than 400 low-income households. </t>
  </si>
  <si>
    <t>C:\Users\Compw\Desktop\HOSN Applications\HOSN0000157_attachments\0___Application_Workbook__Excel_\COT - 2023 HOSN Application Workbook (Update For 2-15-2023).xlsm</t>
  </si>
  <si>
    <t>County of Tulare</t>
  </si>
  <si>
    <t>5961 S. Mooney Blvd</t>
  </si>
  <si>
    <t>Denise England</t>
  </si>
  <si>
    <t>DEngland@tularecounty.ca.gov</t>
  </si>
  <si>
    <t>559-624-7035</t>
  </si>
  <si>
    <t xml:space="preserve">Grants and Resources Manager </t>
  </si>
  <si>
    <t>Sandra Sabin</t>
  </si>
  <si>
    <t>ssabin@tularecounty.ca.gov</t>
  </si>
  <si>
    <t>559-624-7071</t>
  </si>
  <si>
    <t>Grants Specialist III</t>
  </si>
  <si>
    <t>Sandra Sabian</t>
  </si>
  <si>
    <t>SS</t>
  </si>
  <si>
    <t>Owner-Occupied Rehabilitation Programs implemented with CalHome, CDBG and HOME grant and program income funds.  The total number of units assisted reflects both the application and administrative subcontractor's combined activity within the last four ye</t>
  </si>
  <si>
    <t>Homebuyer Assistance funded with CDBG, CalHome, HOME, and PLHA funding.</t>
  </si>
  <si>
    <t>The County of Tulare, in partnership with Self-Help Enterprises (SHE) is applying for max funding for $5,000,000 to provide financing for the rehabilitation of single-family residential units for low-income (80% AMI or below) households within the unincorporated areas of the County of Tulare.  The County of Tulare and SHE have administered owner-occupied rehabilitation (OOR) programs that provided the financing to low-income households to complete important home repairs. Assistance will cover the cost of repairs associated with major household components, that would require the homeowner to live without basic plumbing, electrical, heating, cooling, or security, including roof repairs or replacement, code or ordinance violations, and lead-based paint removal. The County expects to assist 10 households with minor to major repairs; 5 households with reconstruction; 5 households with ADU/JADU minor to major repairs; and 5 households with ADU/JADU reconstructions. Repairs may include but are not limited to minor repairs of plumbing, electrical, roofing, windows, exterior siding, drywall repair, flooring, insulation, repair or replacement of mechanical components such as water heaters, air conditioning, heating, and stove. The owner-occupied housing rehabilitation is provided to aid low-income homeowners maintain the safety and functionality of their home in an effort to ensure safe, decent affordable housing and avoid neighborhood blight.  Individually SHE has developed and implemented OOR programs for over 40 years.  During this time, SHE assisted over 6,500 families throughout its nine (9) county service areas (Stanislaus Co., Merced Co., Mariposa Co., Madera Co., Fresno Co., Tulare Co., Kings Co. and Kern Co. San Joaquin County) with rehabilitation of their homes using CDBG, HOME, and/or CalHome funds.  Collectively, the County and SHE's rehabilitation programs offered financial assistance, unit evaluations, construction oversight and loan servicing.  No participant labor contributions will be part of the County’s Owner-Occupied Rehabilitation Program.</t>
  </si>
  <si>
    <t>Self-Help Enterprises, as the County’s administrative subcontractor, will perform the duties required to implement the Owner-Occupied Housing Rehabilitation Program.  Program staff specializations include the following:  administrative analysts perform marketing, reporting, financial management, draw request and regulation compliance duties for grant administration; loan processors determine income eligibility, evaluate property value and total encumbrance, review appraisals and aid originating, packaging and closing of CalHome loans in accordance with the program guidelines; and, an experienced rehabilitation specialist will identify needed repairs, collaborate with homeowners on project bids and securing a licensed contractor, monitor rehab work for compliance to state codes and health and safety standards, process owner approved payments to contractors, and clear all construction liens at project completion.  Additionally, County staff will manage loan servicing by way of monitoring for occupancy, insurance and payment  of property taxes, tracking payments, calculating payoff, and processing demands, reconveyances, and default recovery.</t>
  </si>
  <si>
    <t>C:\Users\Compw\Desktop\HOSN Applications\HOSN0000164_attachments\0___Application_Workbook__Excel_\2023-HOSN-Application-Workbook 2.22.2023.xlsm</t>
  </si>
  <si>
    <t>City of Dinuba</t>
  </si>
  <si>
    <t>405 E. El Monte Way</t>
  </si>
  <si>
    <t>Anna Santillan</t>
  </si>
  <si>
    <t>asantillan@dinuba.gov</t>
  </si>
  <si>
    <t>(559) 591-5924</t>
  </si>
  <si>
    <t>Administative Assistant</t>
  </si>
  <si>
    <t>Dinuba</t>
  </si>
  <si>
    <t>George Avila</t>
  </si>
  <si>
    <t>gavila@dinuba.gov</t>
  </si>
  <si>
    <t>Business Manager</t>
  </si>
  <si>
    <t>Maria Alvarez</t>
  </si>
  <si>
    <t>mariaa@selfhelpenterprises.org</t>
  </si>
  <si>
    <t>(559) 802-1645</t>
  </si>
  <si>
    <t>Administrative Analyst</t>
  </si>
  <si>
    <t>The City's Administrative Subcontractor, Self-Help Enterprises will perform all duties required to implement the Mortgage Assistance Program and manage loan servicing.  Program staff specializations include the following:  administrative analysts perform marketing, reporting, financial management, draw requests, and regulation compliance duties for grant administration;  loan processors determine income eligibility, evaluate underwriting of first mortgage, determine amount of gap financing, review appraisals, and aid originating, underwriting, packaging, and closing of CalHome loans in accordance with program guidelines; a certified home inspector(s) and/or an experienced rehabilitiation specialist(s) conduct unit inspections to ensure a property meets state and local codes, as well as health and sefety standards; and, certified HUD counselors provide homebuyer education services through approved curriculum that covers the five areas required by CalHome.  City staff will manage loan servicing by way of monitoring for occupancy, insurance, and payment of property taxes, tracking payments, calculating payoffs, and processing demands, reconveyances, and default recovery.</t>
  </si>
  <si>
    <t>First-Time Homebuyer Mortgage Assistance Program</t>
  </si>
  <si>
    <t>The City of Dinuba, in partnership with Self-Help Enterprises, is applying for $750,000 to provide financing for down payment and closing cost assistance of up to 40% of the unit's purchase price.  Approximately five (5) low-income (80% AMI or below) households will receive assistance to purchase a single family home at or below the program's purchase price limit within the City limits.  Jointly, the City of Dinuba and Self-Help Enterprises  have implemented Homebuyer Assistance programs for low-income households for over 17 years within City limits.  The programs provided downpayment assistance to 145 households with CDBG, HOME and CalHome funds.  Since 1994 Self-Help Enterprises provided secondary financing to over 2,000 families throught its eight (8) county service area (Stanislaus Co., Merced Co, Mariposa Co., Madera Co., Fresno Co., Tulare Co., Tulare Co., Kings Co., and Kern Co.) This prior experience also includes the operation of a Self-Help Housing Program for over 50 years, which involved secondary financing and participant labor assistance on behalf of 6,000 households.  No participant labor contributions will be part of the City of Dinbua's Mortgage Assitance Program.</t>
  </si>
  <si>
    <t>Owner-Occupied Rehabilitation Program</t>
  </si>
  <si>
    <t>The City of Dinuba, in partership with Self-Help Enterprises (SHE), is applying for $750,000 to provide financing for the rehabilitation of single-family residential units for low-income (80% AMI or below) households within Dinuba's city limits.  For over 12 years, the City of Dinuba and SHE have administered owner-occupied rehabilitation (OOR) programs that provided the financing to low-income households to complete important home repairs.  Individually, SHE has developed and implemented OOR programs for over 40 years.  During this time, SHE assisted over 6,500 families throughout its eight (8) county service areas (Stanislaus Co., Merced Co., Mariposa Co., Madera Co., Fresno Co., Tulare Co., Kings Co., and Kern Co.)  with rehabilitation of their homes using CDBG, HOME and CalHome funds.  Collectively, the City and SHE's rehabilitation programs offered financial assistance, unit elevations, construction oversight, and loan servicing.  No participant labor contributions will be part of the City of Dinuba's Owner Occupied Rehabilitation Program.</t>
  </si>
  <si>
    <t>Self-Help Enterprises, as the City's administrative subcontractor, will perform the duties required to implement the Owner Occupied Housing Rehabilitation Program. Program staff specializations include the following: administrative analysts perform marketing, reporting, financial management, draw request, and regulation compliance duties for grant administration; loan processors determine income eligiblity, evaluate property value and total encumbrence, review appraisals, and aid originating, underwriting, packaging, and closing of CalHome loans in accordance with program guidelines; and, an experienced rehabilitation specialist will identify needed repairs, collaborate with homeowners on project bids and securing a licensed contractor, monitor rehab work for compliance to state codes, local codes, and health and safety standards, process owner approved payments to contractors, and clear all construction liens at project completion. Additionally, City staff will manage loan servicing by way of monitoring for occupancy, insurance, and payment of property taxes, tracking payments, calculating payoffs, and processing demands, reconveyances, and default recovery.</t>
  </si>
  <si>
    <t>C:\Users\Compw\Desktop\HOSN Applications\HOSN0000165_attachments\0___Application_Workbook__Excel_\TUL 2023-HOSN-Application-Workbook 2.22.2023.xlsm</t>
  </si>
  <si>
    <t>City of Tulare</t>
  </si>
  <si>
    <t xml:space="preserve">411 E Kern Ave. </t>
  </si>
  <si>
    <t>Marc Mondell</t>
  </si>
  <si>
    <t>mmondell@tulare.ca.gov</t>
  </si>
  <si>
    <t>559-684-4312</t>
  </si>
  <si>
    <t>Mario Anaya</t>
  </si>
  <si>
    <t>manaya@tulare.ca.gov</t>
  </si>
  <si>
    <t>559-684-4223</t>
  </si>
  <si>
    <t>Interim Community Development Director</t>
  </si>
  <si>
    <t xml:space="preserve">City of Tulare (City) staff will perform all grant administration duties. These duties include quarterly/annual reporting, financial management, submission of draw requests, and regulation compliance duties for grant administration. Self-Help Enterprises (SHE) staff will perform all program administration/implementation duties, which include: determining income eligibility, evaluating the underwriting of first mortgage, determining the amount of gap financing, reviewing appraisals, aiding the originating, underwriting, packaging, and closing of CalHome loans in accordance with program guidelines, a certified home inspector and/or an experienced rehabilitation specialist conduct unit inspections to ensure property meets state and local codes, as well as health and safety standards; and, HUD-certified counselors providing homebuyer education services through approved curriculum that covers the five areas required by CalHome. The City will continue managing its own loan servicing by way of monitoring for occupancy, insurance, and payment of property taxes, tracking payments, calculating payoffs, and processing demands, reconveyances and default recovery. </t>
  </si>
  <si>
    <t>First-time homebuyer assistance funded with CDBG, CalHome, and HOME funding</t>
  </si>
  <si>
    <t xml:space="preserve">The City of Tulare (City), in partnership with Self-Help Enterprises (SHE), is applying for $750,000 to provide financing down downpayment and closing cost assistanace of up to 40% (or $200,000, whichever is less) of a unit's purchase price. Approximately six (6) low-income (80% area-median-income) housholds will receive assistance to purchase a single-family home at or below the program's purchase price limit within the city limits. Jointly, the City and SHE have administered Homebuyer Assistance programs for low-income households for 12 years. Since 1994, SHE has provided secondary financing to over 2,000 families through its nine (9) county service area (San Joaquin, Stanislaus, Merced, Mariposa, Madera, Fresno, Kings, Tulare, and Kern). This prior experience also includes the operation of a Self-Help Housing Program for over 50 years, which involves secondary financing and participant labor services on behalf of over 6,800 households. Participant labor contributions will not be part of the City's Mortgage Assistance program. </t>
  </si>
  <si>
    <t>Base Folder</t>
  </si>
  <si>
    <t>Applications Found</t>
  </si>
  <si>
    <t>C:\Users\Compw\Desktop\HOSN Applications\HOSN0000166_attachments\0___Application_Workbook__Excel_\2023-HOSN-Application-Workbook 2.22.2023.xlsm</t>
  </si>
  <si>
    <t>NHS Neighborhood Lending Services</t>
  </si>
  <si>
    <t>3926 Wilshire Blvd, Suite 200</t>
  </si>
  <si>
    <t>Constance Anderson</t>
  </si>
  <si>
    <t>development@nhslacounty.org</t>
  </si>
  <si>
    <t>213-381-2862</t>
  </si>
  <si>
    <t>Senior Vice President - Chief Development Officer</t>
  </si>
  <si>
    <t>Lori Gay</t>
  </si>
  <si>
    <t>213-382-2862</t>
  </si>
  <si>
    <t>LG</t>
  </si>
  <si>
    <t>NLS has administered CalHome program funds since it was first initiated in FY2000. NLS has consistently applied the program administration rules and remained in compliance with all applicable regulations. NLS will continue to comply with the requirements for Local Program Administration set forth in 7721.</t>
  </si>
  <si>
    <t>NHS Revolving Loan Fund (including ADU)</t>
  </si>
  <si>
    <t>City of Pasadena Home Rehabilitation Program</t>
  </si>
  <si>
    <t>City of Compton Home Rehabilitation Program</t>
  </si>
  <si>
    <t>Cities of El Monte and South El Monte Home Rehabilitation Program (New Program)</t>
  </si>
  <si>
    <t>NHS Neighborhood Lending Services (NLS) is requesting $2,920,000 for ADU/JADU construction, reconstruction, repair, or rehabilitation activities. NLS anticipates assisting up to 11 low-income families to construct/resconstruct/repair/rehab ADU/JADU units. NLS will lend these funds to qualified households at or below 120% AMI at deferred, rates of 0% to 3%. The CalHome funding coupled with CalHFA grant funding (and other local municipalities) will greatly leverage the capacity of potential clients to successfully build an ADU/JADU.  With the average home value in the areas we serve continually rising, and the aging housing stock in our communities,NLS projects that most homeowners will require up to $150,000 on home repairs/ADU financing and proposes the following mortgage scenario: Property Value $710,000, 1st Mortgage $350,000 (conventional lender) @ 3.5% fixed, 2nd Mortgage NLS $120,000 (CalHome), CalHFA Grant of $40,000. NLS expects that the homeowner will have significant equity in the property. If additional funds are needed, NLS will make funding available to assist the homeowner in order to preserve decent, safe, and sustainable homeownership, along with building generational wealth in our communities. Families earning 50% to 120% of the median area income would be able to afford this mortgage, while spending no more than 40% of their monthly income. NLS will provide 100% of the projected borrowers with post-purchase counseling counseling and estate planning counseling to further sustain affordable homeownership and increase their opportunity to manage their finances.</t>
  </si>
  <si>
    <t>NHS Neighborhood Lending Services (NLS) is requesting $2,080,000 for Owner Occupied Rehab activities. CalHome funding will allow NLS to assist those families who have home rehabilitation needs. NLS anticipates assisting up to 13 families earning up to 120% AMI, to construct/rehab their homes to bring them back to a healthy and safe property. This will include using the set-aside for manufactured homes for 6 units to help facilitate more repairs in affordable manufactured home communities.  NLS will lend these funds to qualified households at deferred, rates of 0% to 3%. With the average home value in the areas we serve continually rising, and the aging housing stock in our communities, NLS projects that most homeowners will require up to $85,000 or more on home repair and proposes the following mortgage scenario: Property Value $710,000, 1st Mortgage $350,000 (conventional lender) @ 3.5% fixed, 2nd Mortgage NLS $90,000 (CalHome). NLS expects that the homeowner will have significant equity in the property. If additional funds are needed, NLS will make funding available to assist the homeowner in order to preserve safe, and sustainable homeownership, along with building generational wealth  in our communities. Families earning 50% to 120% of the median area income would be able to afford this mortgage, while spending no more than 40% of their monthly income. NLS will provide 100% of the projected borrowers with post-purchase counseling and estate planning counseling to further sustain affordable homeownership and increase their opportunity to manage their finances.</t>
  </si>
  <si>
    <t>NLS has administered CalHome program funds since it was first initiated in FY2000.  NLS has consistently applied the program administration rules and remained in compliance with all applicable regulations.  NLS will continue to comply with the requirements for Local Program Administration set forth in 7721.</t>
  </si>
  <si>
    <t>NHS Revolving Loan Fund</t>
  </si>
  <si>
    <t>Cities of El Monte and South El Monte (New Program)</t>
  </si>
  <si>
    <t>C:\Users\Compw\Desktop\HOSN Applications\HOSN0000167_attachments\0___Application_Workbook__Excel_\2023-HOSN-Application-Workbook 2.22.2023.xlsm</t>
  </si>
  <si>
    <t>The City of Hollister</t>
  </si>
  <si>
    <t>375 Fifth Street</t>
  </si>
  <si>
    <t>Jamila Saqqa</t>
  </si>
  <si>
    <t>jamila.saqqa@hollister.ca.gov</t>
  </si>
  <si>
    <t>831-636-4356 ext 1254</t>
  </si>
  <si>
    <t>Housing Programs Coordinator</t>
  </si>
  <si>
    <t>JMS</t>
  </si>
  <si>
    <t xml:space="preserve">The City of Hollister is seeking to provide ADU/JADU loan assistance for the construction of new ADU/JADUs to City of Hollister residents located in the incorporated City. The City of Hollister is open to working with all jurisdictions within the County, but due to City sewer infrastructure we will most likely provide more funding to homeowners, who are currently tied to a sewer, not septic service. The City will seek to provide loans of up to $250,000 for ADU/JADU construction aimed to provide households an important source of gap funding for their ADU/JADU projects. The City is seeking to develop a ADU/JADU loan program, which aims to maintain the ADU/JADUs as affordable units for a longer period of time. The City anticipates charging a simple 1% annual interest. Additionally, If the homeower sells the home or the home is no longer their primary residence before the term of the loan the loan, plus interest is due and payable. _x000D_
_x000D_
If possible, the City of Hollister would be interested in developing a loan program, which may forgive a portion of the interest (since we do not believe any prinipcal can be forgiven) if a homeowner seeks to record a deed restriction that would restrict the ADU/JADU to renters of lower income categories. The City of Hollister is seeking to develop broader incentives to expand the rental market for those, who are lower income and not rely on the open rental market. _x000D_
_x000D_
With the CalHOME ADU/JADU program the eligibility requirements will be as follows: _x000D_
- The borrower(s) household must earn at or below 80% of the area median income of San Benito County, _x000D_
- Property much be owner-occupied,_x000D_
- Borrowers must demonstrate ability to cover total project consts when combined with the CalHome ADU/JADU Loan,_x000D_
- Borrowers must meet underwriting guidelines, _x000D_
- Borrower must hire or be working with a licensed contractor that is licensed and bonded withthe Califonria State Licensing Board (CSLB)_x000D_
- Borrower will allow the City of Hollister to record a deed restriction on the property _x000D_
- Borrower may enter into an agreement with the City to restrict the rental ADU/JADU to household of lower income </t>
  </si>
  <si>
    <t>Down Payment Mortgage Assistance-Loan Underwriting</t>
  </si>
  <si>
    <t>ADU/JADU Implementation</t>
  </si>
  <si>
    <t xml:space="preserve">The City of Hollister will follow all CalHOME State guidelines and provide assistance to all households with income 80% or below and conisdered low income. The City of Hollister has successfully operated a down payment assitance program through past RDA funding along with current CalHOME and HOME Grant funding. Staff has experience in revieiwng income eligibility for applicants and loan underwriting. The City of Hollister intends to provide the loan services to all residents in the incorporated City limits and will not limit the location of this activity to a specific district or zone. The goal of the City of Hollister is to increase the number of available units to lower income residents without placing a greater strain on infrastructure. Currently, the City of Hollister does not seek to provide applicants additional funding, but will work with all eligible applicants to review their funding sources. </t>
  </si>
  <si>
    <t>C:\Users\Compw\Desktop\HOSN Applications\HOSN0000186_attachments\0___Application_Workbook__Excel_\2023-HOSN-Application-Workbook 2.22.2023City.xlsm</t>
  </si>
  <si>
    <t>City of Pasadena</t>
  </si>
  <si>
    <t>100 N. Garfield Avenue</t>
  </si>
  <si>
    <t>Miguel Márquez</t>
  </si>
  <si>
    <t>miguelmarquez@cityofpasadena.net</t>
  </si>
  <si>
    <t>626-744-4333</t>
  </si>
  <si>
    <t>Pasadena</t>
  </si>
  <si>
    <t>Nicholas G. Rodriguez</t>
  </si>
  <si>
    <t xml:space="preserve">nirodriguez@cityofpasadena.net		nirodriguez@cityofpasadena.net						</t>
  </si>
  <si>
    <t>626-744-4202</t>
  </si>
  <si>
    <t>Caroline Lockwood Nelson</t>
  </si>
  <si>
    <t>CLN</t>
  </si>
  <si>
    <t>cnelson@cityofpasadena.net</t>
  </si>
  <si>
    <t>626-744-8314</t>
  </si>
  <si>
    <t>Program Coordinator</t>
  </si>
  <si>
    <t xml:space="preserve">As part of the marketing plan, the City will create a webpage dedicated to the Local Program with information on applicant eligibility and program guidelines.  Program announcements will be placed in the local newspaper, sent in e-mail blasts to community stakeholders, and posted to the City's social media platforms. The City will also host two virtual community meetings.  To ensure eligiblity, the City will calculate annual income as defined in 24 CFR Part 5 using the Income Calculation and Determination Guide for Federal Programs. The City will perform origination, underwriting, packaging and closing of CalHome laons in accordance with Program requirements. Program guidelines wil include underwriting guidelines, construction requirments, site standards, insurrance requirements, and restrictions of use for ADUs. The City will maintain complete and accurate records of all CalHome loan disbursements/repayments to ensure adherance to program accouting procedures.  Reporting on status of program activity, problems, resolutions, and program fiscal summaries will at the end of every calendar quarter. In addition to annual reports summerizing the the program actviites for the year. Compliance with local, state and federal regulations will be incorprated into the program guidelines.  </t>
  </si>
  <si>
    <t xml:space="preserve">CDBG-funded single family rehabiltiation program provides minor grants up to $20,000 rehab to households with income at or below 80% AMI. Activites include lead paint stabilization, exterior painting, ADA wheelchair access, and installation of rooftop solar panels. </t>
  </si>
  <si>
    <t xml:space="preserve">HOME-funded single family reahbilitation program provides major rehab loans up to $100,000 to households with income at or below 80% AMI.  Activites include adressing code violations, health &amp; safety, systems replacement, and ADA accessibilty. </t>
  </si>
  <si>
    <t>2nd Unit ADU Program, provides homeowners that met the credit criteria with loans up to $150,000 to build a new ADU.  A second option was also available for households at or below 80% AMI who had an unpermitted ADU on their property to apply for loan of up to $100,000 to bring the illegal ADU strucure up to code and for a loan of up to $200,000 for a newly constructed ADU.</t>
  </si>
  <si>
    <t xml:space="preserve">The City of Pasadena is applying for $2,500,000 to assist up to nine low-income households to either construct a new ADU or bring a illegal ADU garage conversion up to code or to convert an existing garage into an ADU.  $2,000,000 will be for direct loan assistance and the remaining $500,000 will be for delivery activities/program costs. _x000D_
_x000D_
Assisted households will recieve loans as participants in the City of Pasadena's award-winning and nationally recognized ADU Pilot program. All housholds assisted will have incomes at or below 80% AMI.  _x000D_
_x000D_
Homeowners who meet the credit and eligiblity criteria can apply for loans of up to $225,000 to build a new ADU, with a commitment to rent the ADU to a Housing Choice Voucher holder for a minimum of seven years.  The City's ADU Pilot Program also allows for households at or below 80% AMI who have an unpermitted ADU on their property to apply for CalHOME loans of up to $225,000 to bring the illegal ADU strucure up to code; ADU tenancy will be for a period of no less than 30 days per CalHOME guidlines. _x000D_
_x000D_
Previous homeowners who recieved the City's ADU Pilot Program financing owned homes that were located in Pasadena city limits. The City used its local Inclusionary Housing Trust Funds for both loan financing and construction managment. </t>
  </si>
  <si>
    <t xml:space="preserve">The City of Pasadena will issue a NOFA adveristising the availiability of funding. The public will be notified through methods including, but not limited to the following:_x000D_
_x000D_
1. Public Notice through the Office of the City Clerk_x000D_
2. Program announcement on the City's main website, the Housing Department's website, and on the City's social media platforms_x000D_
3. Program announcements in local newspapers, including at least one Spanish-language paper and at least one other publication targeted to minority communities_x000D_
3. E-blasts to community stakeholders, including a non-profit partner who maintains an interest list of over 8,000 households interested in affordable homeownership opportunities. These households have self-screened as income-eligible, first-time homebuyers. _x000D_
_x000D_
During the NOFA period, the City will accept applications from interested households. All applications will be reviwed to determine the household's income-eligiblity (as defined in State's CalHOME guidelines, Health &amp; Safety Code, and the City's AHOP Policies and Procedures) and eligiblity as a first-time homebuyer (again, as defined in CalHOME guidlines, Health &amp; Safety Code, and the City's Policies and Procedures)._x000D_
_x000D_
Applicants' proposed property for purchase  will be reviewed in accordance with the City's AHOP Policies and Procedures to ensure that it is new construction, located on an infill site (as defined by Health and Safety Code), and that it is located in a high or highest resource area._x000D_
_x000D_
Eligible applicants purchasing eligible properties will then be prioritized according to the City's Local Preference and Priority System Guidlines, which prioritize households who currently live and/or work in the City of Pasadena. Eligible applicants will also need to furnish proof of mortgage loan pre-approval from a first-mortgage lender (lender will need to demonstrate that approval of the CalHOME loan documents). _x000D_
_x000D_
Selected Borrowers will furnish appraisal reports. City will conduct a final underwriting approval in accordance with CalHOME requirements and its own AHOP Policies and Procedures. The AHOP Policies and Procedures also contains required protocol for loan document retention, loan servicing, and post-closing compliance monitoring. _x000D_
</t>
  </si>
  <si>
    <t>Decker/Gill Court (New Construction Low/Moderate)</t>
  </si>
  <si>
    <t>Affordable Homeonwerhsip Opportunies ("AHOP") Loan Porfolio (Low/Mod)</t>
  </si>
  <si>
    <t>Habitat for Humanity (Low)</t>
  </si>
  <si>
    <t xml:space="preserve">Since the late 1980s, the City of Pasadena has provided Very Low Income, Low Income, and Moderate-Income households with down-payment assistance loans through its Affordable Homeonwershop Opportunities Program ("AHOP"). 510 households have been assisted to-date through this program. Funding sources for these loans include State Redevelopment dollars, HOME funds, State BEGIN funds, State CalHOME funds, City of Pasadena Inclusionary Housing Funds, and other local City of Pasadena funds. These loans have been provided to income-eligible, first-time homebuyers purchasing homes within the boundaries of the City of Pasadena. The City currently services 198 AHOP loans. Servicing entails, but is not limited to: accepting regular periodic payments,  managing payoff demands, conducting annual occupancy for compliance with deed restrictions, processing deferral requests and other hardship requests, and issuing 1098-B forms/ensuring compliance with IRS regulations. _x000D_
_x000D_
Most recently, the City of Pasadena, in conjunction with a non-profit partner, is providing down-payment assistance financing for a newly completed affordable homeownership project located in Northwest Pasadena. Twenty-two of the homebuyers assisted are Low Income, 13 are Moderate Income, and 8 are Workforce Income (earning between 120% to 150% of AMI). Closings are scheduled to start 2/28/2023. </t>
  </si>
  <si>
    <t>C:\Users\Compw\Desktop\HOSN Applications\HOSN0000190_attachments\0___Application_Workbook__Excel_\2023-HOSN-Application-Workbook 2.22.2023.xlsm</t>
  </si>
  <si>
    <t>County of San Diego</t>
  </si>
  <si>
    <t>3989 Ruffin Rd</t>
  </si>
  <si>
    <t>Kelly Salmons</t>
  </si>
  <si>
    <t>Kelly.Salmons@sdcounty.ca.gov</t>
  </si>
  <si>
    <t>858.694.4806</t>
  </si>
  <si>
    <t>Deputy Director, Deparmental Operations</t>
  </si>
  <si>
    <t>Felipe Murillo</t>
  </si>
  <si>
    <t>Felipe.Murillo@sdcounty.ca.gov</t>
  </si>
  <si>
    <t>858.694.4807</t>
  </si>
  <si>
    <t>Tom D'Lugo</t>
  </si>
  <si>
    <t>DRE</t>
  </si>
  <si>
    <t>tom.dlugo@sdcounty.ca.gov</t>
  </si>
  <si>
    <t>858.694.8704</t>
  </si>
  <si>
    <t>Housing Program Analyst IV</t>
  </si>
  <si>
    <t xml:space="preserve">Since 2014, the County of San Diego has contracted with the San Diego Housing Commission to conduct outreach, lender training, and inital eligibility for the County of San Diego Down Payment and Closing Cost Assistance (DCCA) program.  The CalHome-DCCA Administrative Contract has been uploaded to the CalHome General Documents section of the Homeownership Super NOFA Portal._x000D_
_x000D_
County staff make final CalHome-DCCA program eligibility determinations and administer all fiscal activities related to the CalHome-DCCA program. </t>
  </si>
  <si>
    <t>County of San Diego Downpayment and Closing Cost Assistance Program</t>
  </si>
  <si>
    <t>County of San Diego CalHome First-Time Homebuyer Mortgage Assistance Program</t>
  </si>
  <si>
    <t xml:space="preserve">Since 1980, The County of San Diego has successfully administered various types of Mortgage Assistance Programs, including bond financing, lease to purchase, low interest deferred payment loans, Section 8 Homeownership, mortgage credit certificate and since 2004, a CalHome Mortgage Assistance Program.  The County of San Diego's current Mortgage Assistance Program is the Down Payment and Closing Cost Assistance (DCCA) program.  The DCCA program is a first-time homebuyer assistance program designed to provide mortgage assistance to low-income households to assist with the purchase of a home located in the County of San Diego program area, which includes the cities of: Carlsbad, Coronado, Del Mar, Encinitas, Imperial Beach, La Mesa, Lemon Grove, Poway, San Marcos, Santee, Solana Beach, Vista and all Unincorporated Areas of San Diego County._x000D_
_x000D_
For detailed information about the DCCA program, the DCCA Program Guidelines have been uploaded to the CalHome First-Time Homebuyer Mortage Assistance Program Documents section of the Homeownership Super NOFA Portal._x000D_
</t>
  </si>
  <si>
    <t>C:\Users\Compw\Desktop\HOSN Applications\HOSN0000194_attachments\0___Application_Workbook__Excel_\AVE - 2023 CalHome-Application-Workbook 2.22.2023.xlsm</t>
  </si>
  <si>
    <t>City of Avenal</t>
  </si>
  <si>
    <t>919 Skyline Blvd.</t>
  </si>
  <si>
    <t>Antony Lopez</t>
  </si>
  <si>
    <t>alopez@cityofavenal.us</t>
  </si>
  <si>
    <t>559-386-0629</t>
  </si>
  <si>
    <t>Avenal</t>
  </si>
  <si>
    <t>Kao Nou Yang</t>
  </si>
  <si>
    <t>kyang@cityofavenal.us</t>
  </si>
  <si>
    <t>559-386-5766</t>
  </si>
  <si>
    <t>Community &amp; Economic Dev. Director</t>
  </si>
  <si>
    <t>KY</t>
  </si>
  <si>
    <t>Owner-Occupied Rehab Programs implamented with CalHOme, HOME, CDBG</t>
  </si>
  <si>
    <t>Self-Help Enterprises (SHE) staff will perform all program administration/implementation duties, which include: determining income eligibility, evaluating the underwriting of first mortgage, determining the amount of gap financing, reviewing appraisals, aiding the originating, underwriting, packaging, and closing of CalHome loans in accordance with program guidelines, a certified home inspector and/or an experienced rehabilitation specialist conduct unit inspections to ensure property meets state and local codes, as well as health and safety standards; and, HUD-certified counselors providing homebuyer education services through approved curriculum that covers the five areas required by CalHome. The City will continue managing its own loan servicing by way of monitoring for occupancy, insurance, and payment of property taxes, tracking payments, calculating payoffs, and processing demands, reconveyances and default recovery.</t>
  </si>
  <si>
    <t>The City of Avenal, in partnership with Self-Help Enterprises, is applying for $1,600,000 to provide financing for down payment and closing cost assistance of up to 40% of the units purchase price to assist approximately eleven (11) low-income (80% AMI or below) households with the purchase of a single-family home within the purchase price limits of the program located within the City limits of Avenal.  A partially completed subdivision, due to be fully completed within the next year, will add housing units to the City’s housing stock.  The single-family homes will be available to low-income families and first-time homebuyers. Within this partnership, the City of Avenal has administered Homebuyer Assistance programs for low-income households in providing down payment assistance to households utilizing CDBG and HOME grant funds and Program Income.  Self-Help Enterprises has assisted over 2,000 families throughout its nine-county service area (Fresno County, Kern County, Kings County, Madera County, Mariposa County, Merced County, Stanislaus County, Tulare County, and San Joaquin County) with secondary financing since 1994, as well as over 6,000 households through the Self-Help Housing program with secondary financing and participant labor assistance since 1965.  No participant labor was used in the City's Homebuyer Assistance Program.</t>
  </si>
  <si>
    <t>Self-Help Enterprises, as the City’s administrative subcontractor, will perform the duties required to implement the Owner-Occupied Housing Rehabilitation Program.  Program staff specializations include the following:  administrative analysts perform marketing, reporting, financial management, draw request and regulation compliance duties for grant administration; loan processors determine income eligibility, evaluate property value and total encumbrance, review appraisals and aid originating, packaging and closing of CalHome loans in accordance with the program guidelines; and, an experienced rehabilitation specialist will identify needed repairs, collaborate with homeowners on project bids and securing a licensed contractor, monitor rehab work for compliance to state codes and health and safety standards, process owner approved payments to contractors, and clear all construction liens at project completion.  Additionally, City staff will manage loan servicing by way of monitoring for occupancy, insurance and payment  of property taxes, tracking payments, calculating payoff, and processing demands, reconveyances, and default recovery.</t>
  </si>
  <si>
    <t xml:space="preserve">The City of Avenal, in partnership with Self-Help Enterprises (SHE) is applying for $1,600,000 to provide financing for the rehabilitation of single-family residential units for eight (8) low-income  (80% AMI or below) households within Avenal’s city limits.  The City of Avenal and SHE have administered owner-occupied rehabilitation (OOR) programs that provided the financing to low-income households to complete important home repairs. Collectively, the City and SHE's rehabilitation programs offered financial assistance, unit evaluations, construction oversight and loan servicing.  No participant labor contributions will be part of the City of Avenal’s Owner-Occupied Rehabilitation Program. Assistance will cover the cost of repairs associated with major household components, that would require the homeowner to live without basic plumbing, electrical, heating, cooling, or security, including roof repairs or replacement, code or ordinance violations, and lead-based paint removal. The owner-occupied housing rehabilitation is provided to aid low-income homeowners maintain the safety and functionality of their home in an effort to ensure safe, decent affordable housing and avoid neighborhood blight. Individually SHE has developed and implemented OOR programs for over 40 years.  During this time, SHE has assisted over 6,500 families throughout its nine (9) county service area (Stanislaus Co., Merced Co., Mariposa Co., Madera Co., Fresno Co., Tulare Co., Kings Co. and Kern Co. San Joaquin County) with rehabilitation of their homes using CDBG, HOME, and/or CalHome funds.  </t>
  </si>
  <si>
    <t xml:space="preserve">Owner-Occupied Rehab Programs implamented with CDBG, CalHome, and HOME. </t>
  </si>
  <si>
    <t xml:space="preserve">Homebuyer Assistance funded with CDBG, CalHome, HOME, and PLHA. </t>
  </si>
  <si>
    <t>The City of Avenal, in partnership with Self-Help Enterprises, is applying for $1,600,000 to provide financing for the rehabilitation or construction of eight (8) low-income (80% AMI or below) ADUs/JADUs within the City limits of Avenal.  Within this partnership, the City has administered similar programs such as Owner Occupied Rehabilitation, for low-income households for over 70 years by providing financial assistance, unit evaluations, and construction oversight to households in various jurisdictions utilizing CDBG and HOME grant funds.  Self-Help Enterprises has assisted over 6,500 families throughout its nine (9) county service area (Fresno County, Kern County, Kings County, Madera County, Mariposa County, Merced County, Stanislaus County, Tulare County, and San Joaquin County) with rehabilitation of their homes since 1975.  No participant labor will be used in the City's ADU/JADU Program.</t>
  </si>
  <si>
    <t>The City's Administrative Subcontractor, Self-Help Enterprises, will perform all duties required for the implementation of the ADU/JADU Program by utilizing staff that specialize in the following areas: Grant Administration - Administrative Analyst perform all marketing, reporting, financial management, draw requests and regulation compliance; Loan Processors are responsible for all income eligibility, evaluation of property value and total encumberence, appraisal reviews, originating, underwriting, packaging and closing CalHome loans in accordance with program guidelines; Unit Inspections and Construction are completed by an experienced Rehabilitation Specialist/Certified Home Inspector to identify needed repairs, work with homeowner to put the project out to bid and secure a licensed contractor, ensure all work meets state and local codes, as well as healthy and safety standards, process payments to contracts with owner approval and ensure all construction liens are cleared at completion.  The City will provide loan servicing by way of monitoring for occupancy, insurance, and payment of property taxes, tracking payments, calculating payoffs, and processing demands, reconveyances, and default recovery</t>
  </si>
  <si>
    <t>C:\Users\Compw\Desktop\HOSN Applications\HOSN0000196_attachments\0___Application_Workbook__Excel_\2023-HOSN-Application-Workbook 2.22.2023.xlsm</t>
  </si>
  <si>
    <t>The Coachella Valley Housing Coalition</t>
  </si>
  <si>
    <t>45-701 Monroe Street Suite G</t>
  </si>
  <si>
    <t>Emilia Mojica</t>
  </si>
  <si>
    <t>Emilia.Mojica@cvhc.org</t>
  </si>
  <si>
    <t>Single Family Director</t>
  </si>
  <si>
    <t>Indio</t>
  </si>
  <si>
    <t>Pedro S.G. Rodriguez</t>
  </si>
  <si>
    <t>Pedro.Rodriguez@cvhc.org</t>
  </si>
  <si>
    <t>Sheila McGrath</t>
  </si>
  <si>
    <t>SM</t>
  </si>
  <si>
    <t>Sheila.McGrath@cvhc.org</t>
  </si>
  <si>
    <t>Funding Program Specialist</t>
  </si>
  <si>
    <t>With over 15 years of experience with CalHome funding, CVHC's accounting, loan packaging, and homeownership counseling staff are fully versed and expericenced in implementing and complying with the requirements of CalHome Guideline Sections 7721-7731, and has systems and processed in place to ensure compliance.  _x000D_
_x000D_
CVHC staff shall market the Single Family Self Help program via television, radio, and print ads, public outreach at community resource centers and other gathering places, as well as the CVHC website and social media platforms.</t>
  </si>
  <si>
    <t>Mayfield Ranch 3A, Group 09</t>
  </si>
  <si>
    <t>Mayfield Ranch 3A, Group 08</t>
  </si>
  <si>
    <t>Desert Hot Springs Scattered Lots, Group 14</t>
  </si>
  <si>
    <t>Mayfield Ranch 3A, Group 07</t>
  </si>
  <si>
    <t>Mayfield Ranch 3A, Group 06</t>
  </si>
  <si>
    <t xml:space="preserve">The Coachella Valley Housing Coalition (CVHC) is a non-profit affordable housing developer doing business Riverside, Imperial and San Bernardino Counties in California.  Since it's inception CVHC has developed 2,137 single family homes and 2,953 multi-family affordable apartments, as well as a variety of resident servies for its tenants and surrounding community._x000D_
_x000D_
CVHC is submitting an application for $2,400,000 to provide mortgage assistance to approximately 72 low and very-low income individuals and families of 50-80% AMI participating in two of CVHC's self-help projects known as Nuestro Orgullo, located in Mecca, Riverside County, and Coachella Urban Self-Help located in Coachella, Riverside County, California.  _x000D_
_x000D_
The proposed units will be constructed utilizing the Mutual Self Help method of construction whereby the homebuyer/builder earns sweat equity toward the purchase of their home.  Construction and mortgage funding for the Nuestro Orgullo project will be provided by USDA-RD Section 502 loans with technical assistance provided by CVHC's existing USDA-RD Section 523 Technical Assistance grant.  Construction and mortgage funding for the Coachella Urban Self-Help project to be provided by private mortgage lenderm with technical assistance incorporated into the construction budget. _x000D_
</t>
  </si>
  <si>
    <t>C:\Users\Compw\Desktop\HOSN Applications\HOSN0000201_attachments\0___Application_Workbook__Excel_\2023HOSN_CalHome_Application_HGSF_20230228.xlsm</t>
  </si>
  <si>
    <t>Habitat for Humanity Greater San Francisco</t>
  </si>
  <si>
    <t>300 Montgomery St Suite 450</t>
  </si>
  <si>
    <t>Maureen Sedonaen</t>
  </si>
  <si>
    <t>Chief Executive Officer</t>
  </si>
  <si>
    <t>MSedonaen@habitatgsf.org</t>
  </si>
  <si>
    <t>415-625-1001</t>
  </si>
  <si>
    <t>Ashley Spooner-Choi</t>
  </si>
  <si>
    <t>Public Funding and DRE Manager</t>
  </si>
  <si>
    <t>aspoonerchoi@habitatgsf.org</t>
  </si>
  <si>
    <t>415-625-1015</t>
  </si>
  <si>
    <t>ASC</t>
  </si>
  <si>
    <t>Public Funding - Development Sources</t>
  </si>
  <si>
    <t>Private Donor Funding</t>
  </si>
  <si>
    <t>Corporate Funding Agreement</t>
  </si>
  <si>
    <t>HGSF Internal &amp; Temp Assets</t>
  </si>
  <si>
    <t>Construction Funding - Loan Agreements</t>
  </si>
  <si>
    <t>HGSF Temp Assets</t>
  </si>
  <si>
    <t>Public Subsidy - Development Sources</t>
  </si>
  <si>
    <t>Public Subsidy - Mortgage Assistance</t>
  </si>
  <si>
    <t>HGSF Mortgage Revenue</t>
  </si>
  <si>
    <t>20 units developed at 612 Jefferson Avenue in Redwood City</t>
  </si>
  <si>
    <t>6 units developed at Geneva Village in Daly City</t>
  </si>
  <si>
    <t>Habitat Redwood Blvd.</t>
  </si>
  <si>
    <t>8161 Redwood Blvd.</t>
  </si>
  <si>
    <t>Novato</t>
  </si>
  <si>
    <t>1 unit at 2470 Gloria Way in East Palo Alto as part of our ongoing San Mateo County Buyback, Rehab, &amp; Resale program of individual, deed-restricted Habitat Homes</t>
  </si>
  <si>
    <t>Habitat has completed extensive environmental review of the project and concluded that no severe adverse conditions are present at the jobsite. Our team completed a Phase I Environmental Assessment plus two subsequent limited soiling sampling exercises. These three studies have been provided and conclude that the site is acceptable for residential development. These environmental studies were provided to the City of Novato during the CEQA and zoning approval process.</t>
  </si>
  <si>
    <t>The Habitat for Humanity Greater San Francisco (HGSF ) Redwood Blvd project is located in Novato, adjacent to an abundance of outdoor recreation including Olompali State Historic Park and Mount Burdell Preserve. The project is only two miles from downtown Novato, straight down Redwood Blvd, and a new commuter SMART train station lies just 0.9 miles south of the property. A new market rate residential development by LandSea is underway one-half mile south along Redwood Blvd. There are several other new construction projects in various stages of development within one mile of the project site, including market rate residential , commercial, and mixed-use developments. The need for affordable, diverse housing remains strong._x000D_
According to the California Association of Realtors, as of January 2023 the median sales price of a single-family home in Marin County was $1,201,000. The annual income currently required to afford a $1.2 million home is approximately $275,000, according to NerdWallet, yet Marin County’s median family income is only $166,000. According to California State Income Limits for 2022 a low-income family of four brings in no more than $149,100, just over half the annual income required to purchase a median priced home in Marin County. There is a clear discrepancy between what families can afford and what is available on the market.  _x000D_
According to the Association of Bay Area Governments’ Final Regional Housing Needs Allocation (RHNA) Plan for 2023-2031 the City of Novato needs 328 new low-income and 332 moderate-income housing units.  Habitat Redwood Blvd delivers over 10% of this needed housing. _x000D_
The lack of affordable housing for people earning less than 80% AMI restricts the ability of crucial service providers—such as teachers, nurses, and police officers—to live near the communities in which they work. Additionally, high housing costs limit families’ ability to pay for basic needs, such as food, health care, transportation, and childcare. Most proposed affordable housing opportunities in the Bay Area are for rental, which, while providing the highest opportunity for scale, is not the totality of the necessary solution. Research shows how positively homeownership shapes long-term financial, health, education, and civic participation outcomes, yet affordable homeownership programs and services for low-income families remain underfunded. _x000D_
HGSF provides a rare opportunity for local families: to own a home with zero-down payment, 0% interest, and a mortgage ranging from 15 to 40 years, with monthly housing payments set at no more than 30% of their household income. Applicants must be first-time homebuyers and commit to partner with HGSF throughout the homebuying process, including pledging to provide 500 hours of sweat equity per household. As part of their sweat equity, homebuyers participate in up to 24 hours of homeownership education, setting them up for success as future homeowners. With no interest on their mortgage, families start saving from day one in their Habitat home. _x000D_
Habitat for Humanity policy is to sell homes at the appraised fair market value (FMV). Prior to closing, all homes are appraised, using recent comparable sales, by a state-licensed property appraiser. This protects the market values of other homes in the community, contributes to transparency in the transaction by recognizing the value of the home and how it is subsidized to ensure affordability, and provides a consistent and fair approach to sales pricing for all Habitat for Humanity affiliates. Homebuyers receive a first mortgage from Habitat with affordable housing payments capped at 30% of their annual income. Permanent public subsidy, and a Habitat forgivable silent loan if needed, make up the difference between the FMV sales price and the affordable Habitat mortgage. _x000D_
HGSF’s most recently completed projects, Geneva Village &amp; 612 Jefferson Avenue, welcomed new homeowners in Summer/Fall 2022.  Over 1000 households applied for the 26 units at these developments. In Spring 2022 we received over 500 applications for eight homes currently under construction in San Francisco. Demand and ability to pay was well documented across the board. We expect the same interest in the Habitat  Redwood Blvd development. The need for affordable housing, particularly for low-income households, is clear. _x000D_
To help meet this need, HGSF  is developing an 80-unit 100% affordable housing project along Redwood Blvd in Novato. The project is currently targeting at least 50% of the homes to be sold to low-income families, or those making less than 80% of HUD adjusted Area Median Income (AMI). The remaining approximately 50% of the homes will be sold to moderate-income families earning 80-120% AMI. The anticipated overall target affordability range is 50-120%. To ensure the project remains affordable in perpetuity, each unit will be deed restricted and will comply with applicable requirements under law for affordable for-sale units. Prior to recording a Final Map, HGSF will develop and execute an Affordable Housing Agreement with the City of Novato. It is understood that the project must comply with Novato’s affordable housing requirements which stipulate 10% of the proposed units (or 8 total units) be sold to low-income households earning less than 65% AMI. Examples of low-income workers in Marin County include teachers, first responders, essential healthcare workers, transit employees, as well as other service providers, all of whom are critical to a safe, healthy, and functioning community.   _x000D_
The Habitat Redwood Blvd project consists of 23 residential buildings made up of five different building types, ranging in size from one to six-unit buildings. The 23 buildings will contain 80 homes, with an expected mix of 18 two-bedroom, 37 three-bedroom, and 25 four-bedroom homes. HGSF is committed to providing affordable housing for families and will focus on building these larger, family-sized units at Habitat Redwood Blvd. _x000D_
The breakdown of our current homeowners overall includes: 33% Latino, 11% African American, 40% Asian or Pacific Islander, 13% White, and 3% identifying as multiple races. However, it is impossible to predict the backgrounds of those who will apply for Habitat Redwood Blvd. The people who apply to be homeowners in a specific city are often, but not always, already residents of that county where the city is located, thus we anticipate that many potential homeowners will already be living or working in Marin County. HGSF is committed to going above and beyond to affirmatively market this project and partnering with the County in their efforts to improve diversity in an infamously homogeneous area. The project’s marketing plan is widespread and currently includes outreach in a handful of counties across the Bay Area. Habitat Redwood Blvd will allow homebuyers the opportunity of physical and financial stability in an increasingly expensive region.</t>
  </si>
  <si>
    <t xml:space="preserve">Habitat for Humanity Greater San Francisco (HGSF) has provided homeownership opportunities for over 260 local families over the past 30 years, and we remain the only provider of affordable homeownership opportunities in Marin, San Mateo, and San Francisco counties serving households earning below 80% of the Area Median Income (AMI). With the support of community, philanthropic, corporate, and public investment, we provide a rare opportunity for local families: to own a home with zero-down payment, 0% interest, and a mortgage ranging from 15 to 40 years, with monthly payments set at no more than 30% of their household income. With no interest on their mortgage, families start saving from day one in their Habitat home. _x000D_
As part of our self-help homeownership model, Habitat homebuyers contribute 500 hours of “sweat equity,” including volunteering in their community, helping build their home and the homes of their future neighbors, and participating in pre-purchase homeownership education. This self-help model sets clients up for success as future homeowners.  _x000D_
The Habitat Redwood Boulevard project, featuring 80 new affordable homes, will be the largest affordable homeownership opportunity in Marin County. The project will help address the housing crisis and provide safe, affordable, and sustainable housing to underserved communities in Marin. Once constructed, our marketing and sales team will do community outreach across multiple counties and will work with community partners and various stakeholders to reach communities that have historically been excluded from homeownership. _x000D_
The property is a 13.6-acre parcel of undeveloped land to be donated to HGSF by the current landowner. HGSF is under a Nondisclosure Agreement (NDA) with the current property owner; however, we can share that we signed an enforceable Donation Agreement in August 2022 and are making final preparations for the property transfer to take place per that agreement. The site contains utility infrastructure and previously contained an auto repair facility which has since been removed and remediated. There are currently no existing structures on the parcel. _x000D_
The Habitat Redwood Blvd property is bordered to the east by the Novato Days Inn, Redwood Blvd, and Highway 101; to the south by the Buck Center for Research on Aging; to the north by the old Birkenstock facility; and immediately to the west by Buck Center open space with homes and Olompali State Park beyond. A new commuter SMART train station is located 0.9 miles south and a new residential development by LandSea is under construction one-half mile south along Redwood Blvd. There are several other new construction projects in various stages of development within one mile of the project site, including market-rate residential, commercial, and mixed-use developments._x000D_
The project is characterized by 23 residential buildings made up of five different building types, ranging from single family to 6-plexes. The entire project will contain 80 homes, with an expected mix of 18 two-bedroom, 37 three-bedroom, and 25 four-bedroom homes, with a proposed density of 10 Dwelling Units Per Acre (DUA). The project is anticipated to be developed in two major land development phases and take several years to complete._x000D_
The project’s design aims to reflect the rural farming nature of the surrounding area, set around common greens and courtyards. The site itself is laid out in an oval pattern around a central open space, crossed by pathways and gathering areas. The design team has worked to provide many amenities to this new community, including multiple play areas, a small amphitheater for events, a dog park, a community garden, trails and pathways, seating areas, benches and tables, and neighborhood meeting areas. HGSF will provide future families every opportunity to create and grow a thriving community at Habitat Redwood Blvd. _x000D_
Each new home will include an array of amenities and provide space for families to thrive. Storage space, ample cooking and cabinetry space, multiple bathrooms, living and dining areas, laundry facilities, and high-quality durable finishes will be provided in each unit. The project is designed to surface park all vehicles, with 162 proposed parking spaces. Of these parking spaces, 9 will be accessible spaces and at least 10 will be equipped with EV chargers. A minimum of 40 bicycle parking spaces are also planned.  More than 43,000 sq ft of dedicated common community space will be provided. _x000D_
The project will also be designed to make all reasonable accommodations as required by law for qualified homebuyers with hearing, visual, or mobility impairments. The development will meet or exceed all state and, if necessary, federal accessibility requirements. In anticipation of receiving federal funding for the construction of the homes, HGSF has also engaged an ADA consultant to ensure compliance with applicable codes. _x000D_
The HGSF team has worked diligently to ensure the smooth processing of our entitlement package with the City of Novato. The project was unanimously approved by the Novato Planning Commission in October 2021 and by Novato City Council in January 2022. A Mitigated Negative Declaration was filed with the Secretary of State in January 2022 and in March 2022 a Grading Permit was submitted to Novato Engineering Department. Our Encroachment Permit was submitted to Novato Engineering Department in September 2022 and a Building Permit submitted to Novato Building Department in October 2022.  _x000D_
Over the next 12 months we anticipate processing required permits and agreements with City &amp; Agencies. This includes receiving our Improvement &amp; Encroachment Permits as well as Final Map approval from the Novato Engineering Department and a Residential Building Permit from the Novato Building Department. We will also receive required permits from local agencies including the North Marin Water District, Novato Sanitary District, Novato Fire District, and Caltrans. Work with PG&amp;E has begun for power infrastructure and there will be no natural gas provided for the housing project. During these permit submittals, we will continue refining project plans with the design team, respond to comments from the City and Agencies, and develop final Construction Documents that are consistent and approved by all relevant parties. Our goal is to have all engineering permits secured in 2023, which would allow HGSF to take additional steps like receiving final pricing, signing a contract with a horizontal development contractor, and to begin pre-construction mobilization onsite. This goal is predicated upon on a reliable response from the Novato permitting team and quickly addressing all comments. _x000D_
Prior to breaking ground, a series of pre-construction studies will be performed, as required by the project’s Mitigated Negative Declaration, the City of Novato and other agencies, and best construction practices.  Monitoring for archeological and cultural resources will be performed during ground disturbing activities. Over the next 12 months, our team will also begin conceptualizing and organizing the future Homeowners Association (HOA) that will manage the community. These steps will include creating master management documents for the HOA, establishing a preliminary budget, and considering future management and maintenance responsibilities for the site after construction.    _x000D_
Since project conception, our team has strived to make partners in the area and design and develop a project that will truly benefit the local community. We have leveraged our reputation as a leader in affordable housing to help make the project possible by securing a highly skilled team of dedicated designers and consultants, including local leaders in the field of architecture, engineering, sustainability, environmental topics, and landscaping. Nearly all designers have committed to support HGSF, and the project, by providing discounted fees or donated time to help keep the project affordable and feasible. HGSF has worked tirelessly to ensure the proposed project exceeded all expectation of the City of Novato staff and leadership. Our entitlement package included several public hearings, including with the Design Review Committee, Planning Commission, and City Council.  The Novato City Council unanimously approved the project in January of 2022, with vocal support from all members. _x000D_
HGSF’s real estate team dedicated countless hours working with local and state agencies to secure required regulatory permits and meet all local design and development standards for the project. All discretionary and regulatory approvals have been received, including the California Department of Fish and Wildlife, the Regional Water Quality Control Board, and the Army Corps of Engineers. During the zoning approval phase, our team worked alongside the Novato Sanitary District, the North Marin Water District, the Marin County Airport Land Use Commission, the Novato Fire District, and other partners to ensure the project was approved by all require parties. During the discretionary approval period, HGSF received support from neighbors and community partners in Novato and Marin County. The project received several letters of support for both the Novato Planning Commission and City Council Meetings. Partners and supporters include Novato community members, HGSF volunteers from Marin County, Buck Institute for Research on Aging, Marin Open Space Trust, Marin Humane Society, Marin Community Foundation, Homeward Bound of Marin, North Marin Community Services, Marin Conservation League, and more.  _x000D_
Both the County of Marin and Marin County Housing Trust are financial supporters of the project. The County has approved several different sources of public funding to help capitalize the project and keep the project moving forward. The project also has two dedicated funding awards from the Housing Trust Fund. The Marin Community Foundation (MCF) has been a strong supporter of the project for many years. To date, MCF has awarded three separate grants to Habitat Redwood Blvd, totaling $1.9 million dollars.  As noted above, support from MCF and other local foundations will help our team secure up to 10% of the total project budget in private donations._x000D_
HGSF is currently targeting at least 50% of the homes to be sold to low-income families, or those making less than 80% of HUD adjusted Area Median Income (AMI). The remaining approximately 50% of the homes will be sold to moderate-income families earning between 80-120% AMI. The anticipated overall target affordability range is 50%-120% AMI. Prior to recordation of a Final Map, HGSF will develop and execute an Affordable Housing Agreement with the City of Novato. It is understood that the project must comply with Novato’s affordable housing requirements that 10% of the proposed units be sold to low-income households earning less than 65% AMI and an additional 10% of the units be sold to moderate-income households making less than 90% AMI. These City of Novato requirements fit within the targeted affordability ranges of the project. Deed restrictions will ensure all homes remain affordable in perpetuity. The project is an “affordable housing project” as defined in the Housing Accountability Act and will help the city meet its RHNA obligations._x000D_
HGSF has years of experience marketing and selling homes in the region. Our team will seek out partnerships with local organizations and community groups to best market the project to potential buyers. Providing this rare opportunity to low-income families that have historically been excluded from homeownership is the core mission of our organization. Nearly 90% of the homebuyers HGSF partners with identify as Black, Indigenous, or People of Color (BIPOC). _x000D_
In our program, housing payments are typically capped at 30% of income, considering taxes, insurance, utilities, HOA assessments, and the long-term maintenance of the development. Habitat Redwood Blvd is the largest affordable housing project in Marin County. The lives of 80 families will be transformed through the opportunity of homeownership and the City and County will benefit from 80 new taxpayers. Habitat for Humanity Greater San Francisco plans to self-fund and capitalize up to 70% of the project._x000D_
The total project budget currently sits at $93,900,000. Over the past several years, we have seen the projected budget rise dramatically. Inflation, supply chain disruptions, and labor scarcity in the local market have driven this price upward. However, HGSF has identified the required resources to fund this ambitious development. The total budget includes $75 million in construction spending, plus an additional $19.3 million in pre-development and HGSF costs.  This budget includes anticipated inflation across the life of the project, construction contractor contingency of 11%, developer contingency of 10%, and a developer fee of 2% to cover HGSF staff and overhead costs.  _x000D_
One way our team works to keep costs under control is by securing donated materials, labor, and professional services. To date, all major members of the current design team have provided in-kind services or a reduced billing rate for Habitat Redwood Blvd. We have secured over $150,000 in Gift In-Kind services thus far. Our Real Estate Development and Construction teams, along with our Fund Development team, will continue to work hard to retain these kinds of partnerships and to find new opportunities for donated services. Our current budget anticipates $850,000 in donated goods and services, and the land, valued at $2.95 million, will also be donated to HGSF. These donations help guarantee we can keep our costs reasonable and in budget as the project progresses._x000D_
Our Real Estate Development team has years of experience securing public subsidy for our affordable homeownership opportunities. HGSF has already secured $1.26 million for Habitat Redwood Blvd from Marin County and its Housing Trust Fund. We anticipate over 27% of the project budget, or $26 million to be funded by public subsidy from Marin County, the City of Novato, HCD, the Federal Home Loan Bank, and the California Energy Commission’s Building Initiative for Low-Emissions Development (BUILD) Program, and other sustainability geared programs._x000D_
Habitat’s Fund Development team will also support the project by securing private donations from individual donors, corporate sponsors, or foundations. To date, we have raised over $2.3 million dollars in private donations and funds for the project. We anticipate at least 10% of the project budget, or $9.4 million, to be funded through private donations.   _x000D_
The last piece of our funding stack will be mortgage revenue. As the lender, HGSF can use issued mortgages to help finance and fund our projects. After a home sale, HGSF collects monthly receipts from the affordable mortgage, or can monetize that mortgage through a bank purchase or financial transaction. Overall, we anticipate the final 52% of the project budget, or $57 million, to be permanently financed through the project’s mortgage revenue. As Habitat Redwood Blvd includes both low-income and moderate-income restricted units, we are confident in our ability to make use of mortgage revenue to properly capitalize the development.   _x000D_
Along with these permanent sources, HGSF also has access to temporary sources to finance projects throughout construction. For a project this large, we will use construction lending sources from traditional lenders or a corporate partner, plus temporary HGSF sources like mortgage revenue from other developments, a company line of credit, and a company construction line of credit._x000D_
Throughout the project, HGSF will monitor potential construction cost escalation and supply chain challenges for building materials and interior finishes. HGSF is conservative in estimating the construction costs, as evidenced by including a construction contingency of 10% in the project budget, providing for inflation of the costs for the multi-year construction period, and regularly conferring with HGSF Board Members (who are private sector housing developers) about market conditions. HGSF also plans to order materials in advance as needed to mitigate the supply chain challenges faced by many developers and take other necessary steps to keep costs reasonable. _x000D_
Habitat for Humanity Greater San Francisco (HGSF) will serve as the developer and general contractor for Habitat Redwood Blvd and will self-perform the construction of the project.  Our Construction team will serve as the main lead on the jobsite and anticipates building portions of the project with volunteer labor. Land development operations will be completely subcontracted to specialty contracting firms. The construction of the buildings and site finishes will combine a mix of our highly trained staff, our regular professional volunteer workforce, homeowner partners, local untrained volunteers, and hired trade professionals.  Our highly experienced team will develop the highest quality affordable housing project that will be a benefit and asset to the community.  _x000D_
Sweat equity and volunteerism are core tenants of our organization. HGSF will continue to make long term partners in the community to help achieve our mission. We have begun building relationships and developing a robust volunteer pipeline in Novato and Marin County to ensure our volunteer crews will be able to support our work onsite. Our Construction staff will also work to make partners in the trade and builder industry to ensure our team can meet the project’s needs._x000D_
All new HGSF homes are built with sustainability in mind – HGSF strives to build homes that are healthy, feature low utility bills, and are durable for future homeowners. Through our design and construction methods, we also aim to reduce our impact on the environment. Habitat Redwood Blvd will be certified in the GreenPoint Rating system, targeting the Gold Level at minimum. We will also certify the project through the Department of Energy’s Zero Energy Ready program, which includes the Energy Star and Indoor Air Plus systems. To achieve this certification, a 3rd party inspector will review our plans and certify the homes are built to meet all aspects of these programs.   _x000D_
Sustainability features currently include rooftop solar panels to offset homeowner energy consumption, advanced insulation packages to reduce heating &amp; cooling demands, an Energy Recovery Ventilation system that introduces constant fresh air into the home to ensure a healthy indoor air quality, low-emitting finishes that reduce pollutants in the home, durable materials that reduce long term replacement costs, LED lighting package to keep energy bills low, low-use water fixtures to help keep water utility bills low, and high performing windows.  All exterior street and circulation lighting will be dark sky compliant, limiting any lighting impacts on surrounding areas per Title 24 and Green Point Rating requirements.  _x000D_
Despite our tight budgets, our team is constantly looking for ways to reduce our impact on the environment. Including Habitat Redwood Blvd, HGSF has committed to decarbonize our homes by eliminating natural gas and building 100% electric communities. The benefits of all electric homes include a lower carbon footprint, increased safety, better public health, and lower utility bills for future owners.    _x000D_
Lastly, our organization realizes the complexity and challenges with a project of this size and scope. Our team has already taken steps to internally prepare for this challenge. We have hired additional Real Estate Development, Public Funding, and Construction team staff to support the project as it progresses. Our Construction team plans to increase staffing to meet the demand of the project. Collectively, we are also looking at employing construction management or building processes onsite to ensure our team can meet our construction timeline._x000D_
</t>
  </si>
  <si>
    <t>Habitat for Humanity Greater San Francisco (HGSF) takes a multi-disciplinary approach to homeownership, serving not only as the homebuilder and mortgage company, but also educator and long-term partner.  For over 30 years our teams have been developing new affordable homeownership opportunities, building new homes, refurbishing repurchased homes, educating new homeowners, selling homes, and providing mortgages to qualified, first-time, low-income homebuyers._x000D_
As noted in the project description, the Habitat Redwood Blvd project will serve both low- and moderate-income households through the HGSF homeownership program. Per the project’s current zoning approvals, all homes in the development will be deed restricted and affordable, with at least 40 units serving low-income families (50-80% AMI) and at most 40 units serving moderate-income families (80-120% AMI). Depending on our final subsidy stack, HGSF will explore serving more than 40 low-income households.  _x000D_
The homeownership process described in this application focuses on the low-income, CalHome funded units. Moderate-income units will be sold in a similar process, but ultimately will adhere to a separate, board approved HGSF sales process.  _x000D_
As the developer and general contractor, HGSF has years of experience developing and building residential projects of all sizes and shapes. We have experienced project managers on the team to ensure the project stays on budget, on schedule, and is built to the highest quality. Qualifying expenses will be tracked for this funding award specifically and reimbursed in accordance with the program’s guidelines. This CalHome PDL request for $7.5 million would fund qualifying expenses, focusing mainly on onsite infrastructure, for the affordable housing project. Per the guidelines, this loan would then be reconveyed as Mortgage Assistance to 30 low-income homebuyers at a maximum of $250,000 per home. Our Real Estate and Homeownership teams have decades of combined experience administering the CalHome program in conjunction with our homeownership program. _x000D_
To market each new homeownership opportunity, HGSF takes a diverse approach. Working with local partners , including public agencies, local community-based organizations and community leaders, and faith institutions, HGSF conducts an affirmative marketing needs assessment, including demographic data collection about race/ethnicity and language(s) spoken, as defined and required by HUD. This allows us to identify the target population most in need of, and least likely to apply to, affordable housing opportunities in the jurisdiction’s housing market area and expanded housing market area. HGSF has a dedicated Outreach &amp; Engagement Manager who is tasked with deepening these relationships within the communities we serve to help spread the word about our work, impact, and services. Postcards, in both English and identified, predominant language(s), are mailed to a radius around the project and flyers are shared in many community locations, including libraries and community centers. Additionally, HGSF advertises on social media, the HGSF website, and in newspapers to reach a varied and widespread audience of potential homebuyers. _x000D_
For each new homeownership opportunity, we typically hold informational sessions (in-person and virtual; often dual language) about HGSF and the application process. We have several staff members who support potential applicants and help answer specific questions pertaining to eligibility and completing the application/gathering and obtaining the required documentation. All advertising will display the Equal Opportunity and Equal Access logos. All our programs comply with all nondiscrimination and fair housing laws and our Homeownership Development staff are trained in the Fair Housing Act, Equal Credit Opportunity Act, Americans with Disability Act, Fair Credit Reporting Act, Truth in Lending Act, Secure and Fair Enforcement for Mortgage Licensing Act, and Unfair, Deceptive and Abusive Acts of Practices, among others.  _x000D_
HGSF staff manage all candidate qualification, including determining household income eligibility and walking households through the homebuying process. Applicant families must be first-time homebuyers earning up to 80% HUD adjusted area median income (AMI) and will be considered for ownership via a lottery. HGSF includes all household income earners over the age of 18; if a household member does not earn income, they must provide an affidavit stating as such. HGSF requests income documents, including W2, 1099, and tax returns from the previous two years, as well as paystubs from the past three-months. Additionally, homebuyer applicants provide statements from the previous three months for all financial accounts, including checking, savings, and money market, as well as retirement accounts such as IRA, 401k, and 403(b) accounts. HGSF requests award letters for additional income, such as social security and pension, and compares them directly with bank statements. HGSF may require additional documentation depending on the income source. Employment, along with pay rate and YTD earnings, is verified by contacting previous and current employers. For applicants who have not filed tax returns, HGSF requires form 4506T be signed by the applicant and submitted to the IRS, who then provides tax return transcripts to the applicant for submittal to HGSF._x000D_
HGSF consults with a third-party lender who reviews all documentation in the applicant file and performs their own income qualification. Once the families are officially homeowners, HGSF no longer verifies income and changes will not affect homeownership status with HGSF so long as the family continues to make mortgage payments as agreed. All borrowers agree to live in the home as their principal residence. Habitat for Humanity policy is to sell homes at the appraised fair market value (FMV). Prior to closing, all homes are appraised, using recent comparable sales, by a state-licensed property appraiser. Homebuyers have zero down payment and a first mortgage, repayable to HGSF, ranging from 15 to 40 years, with monthly payments set at no more than 30% of household income. Additional subsidy, such as city and county funding, is stacked on top of the first mortgage. HGSF funds a supplementary silent mortgage to make up the difference between first mortgage plus subsidy and the FMV sales price. HGSF works with a title company to prepare sales packages, including first mortgages, CalHome loans, and all other subsidy, to be reviewed and signed by the new homeowners._x000D_
All potential homebuyers participate in up to 24 hours of homeownership education and receive a certificate of completion. Covered topics include Habitat 101, the homebuying process, budgeting, and home maintenance. This education series is part of the sweat equity component of our program where new home buyers contribute 500 hours of sweat equity helping to build their home and volunteering in the community. Qualified purchasers of our resale homes contribute 250 hours of sweat equity._x000D_
HGSF manages all CalHome homeowner loans and does not charge interest on any homebuyer loans. Homebuyers are required to live in their home as their principal residence, maintain all necessary property insurance, and will pay property taxes along with their first mortgage payments and HOA dues. All CalHome loan principal repayments are recycled to ensure the funds continue to be used for eligible activities under the NOFA and guidelines governing the initial CalHome award. We hold the first right of repurchase on all new homes we sell. When a home is sold back to HGSF, we confirm if there was a CalHome loan on the property and ensure it is repaid to the affiliate. These funds, along with those paid back when a CalHome loan reaches maturity, are placed into a separately maintained reuse account, and recycled strictly for CalHome eligible activities. The payment is recorded as a refundable advance and the funds are used to close the gap on the next property sold to a qualified family. Our organization maintains complete records of all subsidies, including our previous CalHome awards, and is up to date with all quarterly and annual reports to HCD.</t>
  </si>
  <si>
    <t>1 unit at 309 Habitat Way in Daly City as part of our ongoing San Mateo County Buyback, Rehab, &amp; Resale program of individual, deed-restricted Habitat Homes</t>
  </si>
  <si>
    <t>1 unit at 3490 Rolison Road in Redwood City as part of our ongoing San Mateo County Buyback, Rehab, &amp; Resale program of individual, deed-restricted Habitat Homes</t>
  </si>
  <si>
    <t>Telec</t>
  </si>
  <si>
    <t>The Habitat Redwood Blvd project will require extensive on-site and off-site improvements in order to serve the 80 new affordable homes in the development.  These improvements are accounted for in the current project budget construction drawings and project specifications.  _x000D_
On-site improvements consist of all horizontal development work required to build the new eighty-unit affordable housing development.  This work will include but is not limited to site grading new on-site stormwater control systems water and sewer facilities the construction of a new loop road along with sidewalks parking walking paths and numerous community open spaces such as an amphitheater dog park children play areas and community gathering spaces.  _x000D_
Off -site improvements at Habitat Redwood Blvd will include providing water sewer and electric utility connections along the project frontage; new sidewalk curb gutter and required street improvements along Redwood Blvd; a ¼ mile sidewalk extension to connect the project to the existing sidewalk network to the south; and the extension of a recycled and domestic water line ¼ mile from the south.  HGSF will work with the City of Novato Novato Sanitary District North Marin Water District and Caltrans to ensure all improvements meet all local and state requirements.   _x000D_
The overall development will also include a small 2100 square foot office building which will be built and then occupied by HGSF. This office building was part of the entitlement package and plan set. However the office building has been designed on a separate parcel with separate parking drainage and utility facilities. No CalHome funding will be used on the commercial parcel as all expenditures on the commercial building will be under a separate budget and funding package. _x000D_
Our team anticipates beginning grading activates onsite in late 2023 or early 2024.  Grading activities will be contingent upon the timing of this CalHome award and eventual signing of the standard agreement. After construction begins we anticipate a four-to-five-year process to complete all construction activities.</t>
  </si>
  <si>
    <t>City of Novato</t>
  </si>
  <si>
    <t>Master Plan, Precise Development Plan, Vesting Tentative Map, General Plan Amendment, Enviornmental Reivew</t>
  </si>
  <si>
    <t>State Density Bonus Law utilized for associated parking minimums, concessions, and waivers</t>
  </si>
  <si>
    <t xml:space="preserve">HGSF uses a third-party appraiser to set the sales price at fair market value (FMV) taking restrictions into account.  This protects the market values of other homes in the community contributes to transparency in the transaction by recognizing the value of the home and how it is subsidized to ensure affordability and provides a consistent and fair approach to sales pricing for all Habitat for Humanity affiliates.	</t>
  </si>
  <si>
    <t>Developer Contingency and Reserves</t>
  </si>
  <si>
    <t>HGSF Developer Fee</t>
  </si>
  <si>
    <t>Offsite Improvements</t>
  </si>
  <si>
    <t>Vertical Construction &amp; General Conditions</t>
  </si>
  <si>
    <t>Developer Fee, Contingency, Misc.</t>
  </si>
  <si>
    <t>Habitat for Humanity Greater San Francisco (HGSF), a 501(c)(3) organization and one of approximately 1,000+ registered U.S. affiliates of Habitat for Humanity International, was formed in August 2008 through the merger of Peninsula Habitat for Humanity and Habitat for Humanity San Francisco. Prior to the merger, Peninsula Habitat had served the community since 1989 and Habitat San Francisco had served the community since 1992. HGSF has provided homeownership opportunities for over 260 local families in the past 30+ years, and we remain the only provider of affordable homeownership opportunities in Marin, San Mateo, and San Francisco counties serving households that earn below 80% of the Area Median Income (AMI)._x000D_
Our affiliate takes a multi-disciplinary approach to homeownership, serving not only as the homebuilder and mortgage company, but also educator and long-term partner. For over 30 years our teams have been developing new affordable housing opportunities, building new homes, refurbishing repurchased homes, educating new homeowners, selling homes, and providing mortgages to qualified, first-time, low-income homebuyers. For our new construction program, HGSF serves as the general contractor building new, deed-restricted, affordable ownership housing. Our organization also practices a repurchase program where local Habitat homeowners can sell their home back to the affiliate. We then remodel the home and sell to another qualified, low-income homebuyer_x000D_
With the support of community, philanthropic, corporate, and public investment, we provide a rare opportunity for local families: to own a home with zero down payment, 0% interest, and a mortgage ranging from 15 to 40 years, with monthly housing payments set at no more than 30 percent of their household income. With no interest on their mortgage, families start saving from day one in their Habitat home. In the past four years HGSF has completed two new construction projects: 6 townhomes on Geneva Avenue in Daly City were completed in February 2022 and 20 condos on Jefferson Avenue in Redwood City were substantially complete in April 2022, with Final Certificate of Occupancy dated November 2022. An active new construction project features 8 condos in San Francisco with targeted completion in summer 2023. All three of these new developments serve families earning up to 80% AMI and all 34 households received or will receive CalHome Mortgage Assistance from HGSF’s 2019 MA award. In addition to new construction, we have repurchased and refurbished ten existing Habitat homes in San Francisco and San Mateo Counties, eight of which have already been resold to qualified, low-income families. We regularly receive inquiries from current homeowners interested in selling their home back to the affiliate. At this time, another handful of households in San Mateo County have voiced interest in HGSF repurchasing their homes in the next couple fiscal years._x000D_
Our self-help housing program requires first-time homebuyers of newly constructed homes contribute 500 hours of “sweat equity” (volunteer time). Homebuyers of our resale homes contribute 250 sweat equity hours. These hours can be completed by the homebuyer and their families/friends and include helping build their home and the homes of their neighbors as well as volunteering in their community. Qualified homebuyers also participate in up to 24 hours of homeownership education workshops and receive a certificate of completion. Covered workshop topics include Habitat 101, the homebuying process, budgeting, and home maintenance. This education series is part of the sweat equity component of our program. In addition to sweat equity, HGSF receives countless hours of contributed labor from individual and corporate volunteers. We have several regular volunteers who return time and again to offer their specialized skills. Contributed labor, whether volunteers or homebuyer sweat equity, is the foundation of our programming._x000D_
HGSF is applying for $1,000,000 in CalHome Mortgage Assistance for up to eight low-income households earning up to 80% AMI. This funding will support two newly constructed homes in Bolinas, Marin County (Aspen-Overlook Project), and up to six households in HGSF’s resales program in San Mateo County. Our Aspen-Overlook project is a partnership between HGSF and the Bolinas Community Land Trust (BCLT) to develop four prefabricated homes in Bolinas. HGSF will purchase the homes from BCLT upon construction completion. The homes consist of four 3-bedroom/2-bath units with an average size of 1,100 sf. Site improvements include building perimeter fencing, which will provide the appropriate privacy and security, adding driveways and decks, completing landscaping and hardscaping, such as removing excess trees and overgrown shrubs, installation of a septic system, and adding solar to each home to make them more sustainable, energy efficient, and ultimately reduce the energy costs for future homeowners. The dwelling units will be sold as tenancy in common (TIC) shares and the project is targeting an average AMI of 65%, assuming a four-person household. The two homes on Overlook Drive are nearing completion and we are targeting sales in spring/summer 2023. These homes will not receive CalHome MA. The two homes on Aspen Road have a construction start target of spring/summer 2023 with targeted sales at the end of the 2023 calendar year. We are requesting CalHome MA for only the two Aspen Road homes._x000D_
Our program receives a variety of public and private funding. Many of our resale homes have city and county subsidy that run with the property to help keep the homes affordable. To bridge the gap between sales price and the affordable first mortgage plus subsidy, HGSF will commit an additional silent mortgage funded by our mortgage portfolio, private donations, and other internal capital. The Aspen-Overlook project has received two commitments from Marin County totaling $800,000 and many donations through our partnership with BCLT, including the land donation, and gift-in-kind consultants and materials. HGSF is building a great deal, working hard to create a more affordable community for all families, and we believe this qualifies us for our maximum funding request of $1,000,000.</t>
  </si>
  <si>
    <t xml:space="preserve">Habitat for Humanity Greater San Francisco (HGSF) takes a multi-disciplinary approach to homeownership, serving not only as the homebuilder and mortgage company, but also educator and long-term partner.  For over 30 years our teams have been developing new affordable homeownership opportunities, building new homes, refurbishing repurchased homes, educating new homeowners, selling homes, and providing mortgages to qualified, first-time, low-income homebuyers._x000D_
To market each new homeownership opportunity, HGSF takes a diverse approach. Working with local partners , including public agencies, local community-based organizations, community leaders, and faith institutions, HGSF conducts an affirmative marketing needs assessment, including demographic data collection about race/ethnicity and language(s) spoken, as defined and required by HUD. This allows us to identify the target population most in need of, and least likely to apply to, affordable housing opportunities in the jurisdiction’s expanded housing market area. HGSF has a dedicated Outreach &amp; Engagement Manager who is tasked with deepening these relationships within the communities we serve to help spread the word about our work, impact, and services. Postcards, in both English and identified, predominant language(s), are mailed to a radius around the project and flyers are shared in many community locations, including libraries and community centers. Additionally, HGSF advertises on social media, the HGSF website, and in newspapers to reach a varied and widespread audience of potential homebuyers. _x000D_
For each new homeownership opportunity, we typically hold informational sessions (in-person and virtual; often dual language) about HGSF and the application process. Several staff members support potential applicants and help answer specific questions pertaining to eligibility and completing the application/gathering and obtaining the required documentation. All advertising will display the Equal Opportunity and Equal Access logos; and all our programs comply with all nondiscrimination and fair housing laws. Our Homeownership Development team is trained in the Fair Housing Act, Equal Credit Opportunity Act, Americans with Disability Act, Fair Credit Reporting Act, Truth in Lending Act, Secure and Fair Enforcement for Mortgage Licensing Act, and Unfair, Deceptive and Abusive Acts of Practices, among others.  _x000D_
HGSF staff manage all candidate qualification, including determining household income eligibility and walking households through the homebuying process. Applicant families must be first-time homebuyers earning up to 80% HUD adjusted area median income (AMI) and will be considered for ownership via a lottery. HGSF includes all household income earners over the age of 18; if a household member does not earn income, they must provide an affidavit stating as such. HGSF requests income documents, including W2, 1099, and tax returns from the previous two years, as well as paystubs from the past three-months. Additionally, homebuyer applicants provide statements from the previous three months for all financial accounts, including checking, savings, and money market, as well as retirement accounts such as IRA, 401k, and 403(b) accounts. HGSF requests award letters for additional income, such as social security and pension, and compares them directly with bank statements. HGSF may require additional documentation depending on the income source. Employment, along with pay rate and YTD earnings, is verified by contacting previous and current employers. For applicants who have not filed tax returns, HGSF requires form 4506T be signed by the applicant and submitted to the IRS, who then provides tax return transcripts to the applicant for submittal to HGSF._x000D_
HGSF consults with a third-party lender who reviews all documentation in the applicant file and performs their own income qualification. Once the families are officially homeowners, HGSF no longer verifies income and changes will not affect homeownership status with HGSF so long as the family continues to make mortgage payments as agreed. Habitat for Humanity policy is to sell homes at the appraised fair market value (FMV). Prior to closing, all homes are appraised, using recent comparable sales, by a state-licensed property appraiser. Homebuyers have zero down payment and a first mortgage, repayable to HGSF, ranging from 15 to 40 years, with monthly payments set at no more than 30% of household income. Additional subsidy, such as city and county funding, is stacked on top of the first mortgage. HGSF funds a supplementary silent mortgage to make up the difference between first mortgage plus subsidy and the FMV sales price. HGSF works with a title company to prepare sales packages, including first mortgages, CalHome loans, and all other subsidy, to be reviewed and signed by the new homeowners._x000D_
All potential homebuyers participate in up to 24 hours of homeownership education and receive a certificate of completion. Covered topics include Habitat 101, the homebuying process, budgeting, and home maintenance. This education series is part of the sweat equity component of our program where new home buyers contribute 500 hours of sweat equity helping to build their home and volunteering in the community. Qualified purchasers of our resale homes contribute 250 hours of sweat equity._x000D_
HGSF manages all CalHome homeowner loans and does not charge interest on any homebuyer loans. Homebuyers are required to live in their home as their principal residence, maintain all necessary property insurance, and will pay property taxes along with their first mortgage payments and HOA dues. All CalHome loan principal repayments are recycled to ensure the funds continue to be used for eligible activities under the NOFA and guidelines governing the initial CalHome award. We hold the first right of repurchase on all new homes we sell. When a home is sold back to HGSF, we confirm if there was a CalHome loan on the property and ensure it is repaid to the affiliate. These funds, along with those paid back when a CalHome loan reaches maturity, are placed into a separately maintained reuse account, and recycled strictly for CalHome eligible activities. The payment is recorded as a refundable advance and the funds are used to close the gap on the next property sold to a qualified family. Our organization maintains complete records of all subsidies, including our previous CalHome awards, and is up to date with all quarterly and annual reports to HCD._x000D_
</t>
  </si>
  <si>
    <t>geneva</t>
  </si>
  <si>
    <t>jefferson</t>
  </si>
  <si>
    <t>placeholder text</t>
  </si>
  <si>
    <t xml:space="preserve">The Habitat Redwood Blvd property is a 13.6-acre parcel of land to be donated to HGSF by the current landowner. The property has been previously developed and is bordered by developed properties of mixed uses.  _x000D_
The site previously contained an auto repair facility, which was built in the 1970s and removed and remediated by the 1990s. There are currently no existing structures on the parcel except for utility infrastructure.    _x000D_
To the east, the property is bordered by the Novato Days Inn, Redwood Blvd, Highway 101 and then mixed commercial uses beyond the highway. Directly to the south, the property is bordered by Buck Center Drive, which leads to the Buck Institute for Research on Aging, a research facility complex that has an approved master development plan. The Buck Institute’s complex includes open space, which borders the property directly to the West. Finally, directly to the north, the property is adjacent to a commercial facility owned by Birkenstock.   _x000D_
The parcel is located on the north side of Novato along the northern Redwood Blvd corridor, a growing area of the city. A new commuter SMART train station is located 0.9 miles south of the property on Redwood Blvd. A newly constructed residential development by LandSea has units for sale just one-half mile south of the property along Redwood Blvd. A series of new projects in various phases of development are less than one mile from the development, including a hotel, market-rate housing, and mixed-use developments. Olompali State Historic Park is just over one mile north of the property, also on Redwood Blvd.  </t>
  </si>
  <si>
    <t>Habitat for Humanity Greater San Francisco has executed a non-disclosure agreement (NDA) and donation agreement with the current landowner of the property at 8161 Redwood Blvd. The Donation Agreement was executed on August 12, 2022. This document is covered by the current NDA and can be discussed, confidentially, directly with HCD upon request.  _x000D_
HGSF has been working together with the current landowner to ensure that title transfers to HGSF in 2023 to allow construction to commence as soon as feasible.</t>
  </si>
  <si>
    <t>Legal, Appraisals, Printing, Misc.</t>
  </si>
  <si>
    <t xml:space="preserve">HGSF has successfully administered a home rehab and repair program since 2011. Over the last four years, our program has completed 30 rehabs and repairs for homeowners in the city of East Palo Alto and Menlo Park’s Belle Haven neighborhood. These two communities have substantial rates of low-income homeownership, have significant deferred home maintenance, and are all designated as “susceptible to displacement’ according to UC-Berkeley's Urban Displacement Project. In the last four years, HGSF has completed 30 rehabs or repairs valued at between $10,000 and $50,000 as part of this program, including roof repairs or replacement. Over this period, our focus has been on complex repairs that address the structural safety and health of a home in order to thwart the pervasive displacement of vulnerable homeowners. In the program, prospective applicants learned about the opportunity through local partnerships, word of mouth, and referrals from community agencies. They prepare initial applications and meet with our program coordinator to collect application materials, build trust, and begin the eligibility process. Eligible clients have owned their home for at least 10 years, have current homeowner’s insurance, are up to date on mortgage &amp; property tax payments, &amp; meet total household income requirements. Maximum income limits are 80% of AMI, but average household incomes of our clients are 40% AMI. Our hands-on, frequently face-to-face approach with homeowners at all stages was designed to counter long histories of unscrupulous practices that have left many homeowners deeply distrustful of home repair and renovation solicitations or offers from both the public and private sectors. Following qualification, our Construction staff performed a walk through to assess the home. Once the assessment was complete, HGSF prepared a contract to review with the homeowner in person. For jobs which cost $10,000 or less in repairs, our coordinator established a fee schedule for repayment of up to 20% of materials costs. For jobs valued at $10,000 or more, HGSF also required a five-year, forgivable lien, of which 15-25% of the value of the repair is forgiven each year for the loan period. After five years, the loan is forgiven. Upon the execution of the construction contract and loan closing, our in-house repair team undertook the repair or rehab, frequently with seasoned volunteers with construction expertise.  The former program described above was sunseted in September 2022, and has been replaced by a larger, more comprehensive program that launched in the summer of 2022, and which includes a full-service program that provides deferred loans for up to $75,000 per rehab and includes intensive outreach, client support, and underwriting, along with construction management. </t>
  </si>
  <si>
    <t xml:space="preserve">Habitat for Humanity Greater San Francisco (HGSF) proposes to expand its current home rehabilitation program to serve low-income owners of manufactured homes living in mobile home parks across San Mateo County.  _x000D_
Well over 1000 households own mobile homes across at least 16 Mobilehome Parks in San Mateo County, including in its largest cities, rural areas, and unincorporated areas. While specifics on income levels in these Parks are incomplete, data collected by some local government offices and service providers suggest that a strong majority of these households are low income, and in some parks, many are extremely low (&lt;30%) or very low income (30%-49%).  A 2021 survey of homeowners of four mobile home parks by the City of Redwood City found that 67% of survey respondents were below 30% AMI, and that close to 30% of these respondents listed home repairs as a primary concern.  According to City of Daly City officials, approximately 30% of homes in the city’s largest Mobilehome Park (with 501 homeowners) have repair or rehab needs.  In partnership with a local CBO, HGSF recently completed door-to-door surveys of mobile homeowners in Palo Mobile Estates – a midsize Park in the County’s Southeast. Twelve respondents were directly engaged over a two-day period, and 100% expressed specific interest in the CalHOME OOR mobile home rehab loan if available.  According to one homeowner engaged, “our homes are in need of major repairs and we would love to work with you."_x000D_
HGSF will serve mobile homeowners residing in any Mobile Home Park in San Mateo County. While the majority are concentrated along the Highway 101 corridor in Parks like Redwood Trailer Village and Palo Mobile Estates, we’ll ensure that Parks in all communities, like the 500-home Franciscan mobile home community in the county’s Northwest, or the 227-home Pillar Ridge community in more rural Moss Beach on the Pacific coast are engaged.  Collaborating closely with City and County officials and community-based organizations engaged with these communities, HGSF will undertake a formal campaign designed to educate and inform homeowners in all County Mobile Home Parks about the rehab opportunities and loan terms._x000D_
HGSF has successfully administered a home rehab and repair program since 2011, successfully completing more than 200 repairs and rehabs for owner-occupied homes since our start. This program, which we call our Home Preservation Program, began with minor repairs for low-income homeowners in the City of East Palo Alto and San Francisco’s Bayview Hunter’s point neighborhoods and now includes major rehabs and repairs.  We’ve expanded to two additional neighborhoods in San Francisco and the Belle Haven neighborhood of Menlo Park, and have secured formal partnerships with Menlo Park, Daly City, and Marin County to offer home rehab loan programs for low-income homeowners in those communities. In our current CalHome-Funded OOR program in San Francisco, HGSF is offering a full-service program including outreach, client support, and underwriting, along with construction management of all 60 rehabs we will complete by next June.  _x000D_
HGSF has built a robust team of community service, lending, and construction experts to manage all aspects of this program.  Our Outreach and Engagement Manager oversees our marketing strategies to ensure deep penetration of key communities not easily reached by traditional approaches.  We have two Client Services Specialists to work directly with applicants and prospective applicants to provide education, assist in completing applications, and support clients through the entire eligibility, underwriting, and repair process.  Our underwriting team includes a Senior and Assistant Loan Officer dedicated to excellent customer service and compliance, and our Home Preservation construction crew is led by our Construction Manager, who builds and maintains a deep pool of subcontractors across a variety of trades and supervises two Rehab Managers and two Foreman.  Finally, this program is overseen by our Director of Home Preservation.  _x000D_
To ensure equitable awareness of this opportunity to qualified homeowners, HGSF will conduct both direct outreach and partner with city and county agencies and existing agencies that serve homeowners in mobile home communities across the county.  _x000D_
Recognizing that many low-income mobile homeowners may have had previous difficulties with lenders and contractors or have neighbors and family members impacted by predatory lending or unscrupulous contractors, our staff will provide a hands-on, respect-based approach to guide homeowners through each step in the process to ensure trust and confidence in the repair, the schedule, and the loan terms._x000D_
Eligibility begins with the completion by prospective borrowers of an accessible application in which they provide initial income data, describe repair and rehab needs, and confirm they own a home in a mobile home park in the County.  HGSF’s Client Services Specialist will work closely with applicants to educate them on the various program options and to gather documents to verify income and program eligibility, including supporting documentation necessary to determine income and other eligibility requirements, including proof of ownership of the mobile home, insurance, and evidence of regular mortgage and property tax payments. At this point, our Assistant Loan Officer assesses the application and conducts an appraisal to determine eligibility for a grant or loan.  Upon application approval, HGSF’s Rehab Manager will perform a detailed home assessment to determine needs and the cost of those repairs.   _x000D_
Based on the findings documented during the home assessment, the Rehab Manager will develop a Scope of Work that reflects eligible improvements, including health and safety hazards, energy efficiency improvements, remediations of existing Building Code violations, and conformance with local ordinances. The Scope of Work is the document used to itemize all eligible improvements proposed to be completed and develop an overall cost estimate for the eligible improvements. The cost estimate will form the basis of the loan amount.   _x000D_
After executing the loan and signing the construction contract, HGSF’s Construction Department, as a certified contractor, will self-perform the rehabilitation with selected subcontractors with expertise in mobile home repair and renovation, and in-house construction staff as appropriate. _x000D_
Eligible clients must be current mobile homeowners, have current homeowner’s insurance, are up to date on mortgage &amp; property tax payments, &amp; meet total household income requirements.  Maximum income limits are 80% of AMI but HGSF anticipates that homeowner income levels will be significantly lower on average.  _x000D_
Of the requested OOR grant of $1.5 Million, $1,346,364 will be for the loans made to 15 mobile homeowners that cover the costs of repairs, including subcontracts, in-house labor, and any materials purchased for in-house repair work.  Ten percent of this loan amount ($134,636) will cover Activity Delivery Fees associated with applicant support, underwriting, loan packaging, scope of work development, construction oversight, loan completion, closeout, and client resource and referral services for each loan.  $19,000 will be allocated to program development in the project’s first 90 days, with funds allocated to cover materials development, translation services, printing, mailing list purchase, and staffing costs associated with a formal marketing campaign targeting mobile home parks, along with staffing costs associated with project start up and the creation of the program guidelines for CalHome approval.  HGSF anticipates incurring additional oversight and program management costs of at least 10% above the total grant amount including costs associated with prospective clients who decline to proceed with loans and overhead costs including a portion of office rent, utilities, insurance, hardware and software costs, and accounting costs not covered by this grant. These additional costs not covered by the grant will be funded through HGSF individual and corporate contributions.  _x000D_
HGSF often deploys volunteers to supplement our staff labor or subcontractors on our jobs and anticipates engaging community and corporate volunteers regularly on the proposed mobile home rehabs. When our team completes an inspection and scope of work for any rehab, we assess if volunteers can perform key tasks to reduce borrower principal and stretch our grant dollars further.  We have a volunteer manager who works closely with our rehab managers to recruit volunteers and schedule their engagements to ensure alignment with the project scope and schedule.  _x000D_
</t>
  </si>
  <si>
    <t xml:space="preserve">In the first six weeks following agreement execution, HGSF will develop and seek approval for its mobile home rehab program guidelines to ensure adequate time to develop marketing materials and conduct our comprehensive marketing plan for the program.  Upon approval of the guidelines and monitoring agreement, HGSF will launch its marketing, targeting the 16 specific mobile home parks with printed materials and face-to-face visits in order to raise awareness and educate prospective borrowers about the opportunity and necessary qualifications. _x000D_
Eligibility begins with the completion by prospective borrowers of an accessible application in which they provide initial income data, describe repair and rehab needs, and confirm they own a home in the City.  HGSF’s Client and Data Services Specialist will work closely with applicants to gather documents to verify income and program eligibility in alignment with CalHome requirements, including supporting documentation necessary to determine income requirements and other eligibility requirements, including proof of ownership of the home, household income, and insurance (including flood insurance of homes that are located in a flood plain). _x000D_
Once eligibility is determined, HGSF will complete an appraisal to ensure conformance with LTV requirements and confirm that homes have after-rehabilitation values at or below the median sales price.  After the loan amount is determined and approved by the homeowner and HGSF, we will secure an agreement with the borrower stating the rules, intentions, the rehabilitation loan estimate and terms, and other appropriate disclosures, and carry out a loan signing conference with the homeowner.  HGSF will offer a 0% interest forgivable loan for owner-occupied rehabilitation of mobile homes.  If a homeowner decides to sell their home at or before 10 years, the loan would be due in full at the time of sale.  After 10 years, 10% of the loan would be forgiven every year. Loan Servicing for this portfolio will be managed by AmeriNat Community Services (AmeriNat), a mortgage servicer with Headquarters in Minnesota. AmeriNat has serviced all HGSF Mortgages since 2016.  AmeriNat will monitor tax and insurance services, process demands, reconvey deeds of trust, manage the bankruptcy and foreclosure process, maintain records, and manage delinquency.  The resulting payoff will be made payable to HGSF and deposited into a CalHOME OOR reuse account.  HGSF’s staff accountant is the main point of contact for regular correspondence with AmeriNat.  _x000D_
HGSF’s Construction Department will manage the rehab job, including conformance with the scope and budget and CalHome construction requirements. We will deploy subcontractors with mobile home repair expertise, along with in-house staff and volunteers based on the scope of work. After the work is complete, Habitat will obtain any required inspections and then complete a walk through with the client.  At this time, our Chief Loan Officer, will update the final loan amount as necessary.   _x000D_
HGSF will act as the General Contractor because we have in-house expertise, are trusted by homeowners to perform the work with care and respect, and bring unique understanding of circumstances and challenges of performing complex work in the homes of low and very low-income homeowners (often elderly). For every job, we will keep detailed records of labor and materials costs, using a unique job code to track materials, purchases, and time by job. At the end of the rehabilitation, we will generate a detailed report that reflects these costs; this cost report will be used by our Loan Officer to update the final loan amount.  The loan will be no more than the final cost of subcontracts and labor and materials specific to that job.  _x000D_
When an HGSF CalHome loan reaches maturity, or the home is no longer owner-occupied or otherwise transferred or sold, repayments are placed into a dedicated CalHOME OOR account from which they can only be reused for eligible rehabilitations.  The payment is recorded as a refundable advance and the funds are used for a loan for a new eligible borrower.  HGSF agrees to comply with long-term monitoring of our reuse plan by the California Department of Housing and Community Development._x000D_
HGSF will comply with all recordkeeping and reporting requirements, including quarterly and annual performance reports. _x000D_
</t>
  </si>
  <si>
    <t>C:\Users\Compw\Desktop\HOSN Applications\HOSN0000202_attachments\0___Application_Workbook__Excel_\2023 HOSN Application Workbook (Update For 2-13-2023).xlsm</t>
  </si>
  <si>
    <t>Community Housing Improvement Program Incorporated (CHIP)</t>
  </si>
  <si>
    <t>1001 Willow Street</t>
  </si>
  <si>
    <t>Chico</t>
  </si>
  <si>
    <t>Jill Quezada</t>
  </si>
  <si>
    <t>Director of Homeownership</t>
  </si>
  <si>
    <t>jquezada@chiphousing.org</t>
  </si>
  <si>
    <t>530-570-5100</t>
  </si>
  <si>
    <t>Loretta Weber</t>
  </si>
  <si>
    <t>Land Developer</t>
  </si>
  <si>
    <t>lweber@chiphousing.org</t>
  </si>
  <si>
    <t>530-715-4768</t>
  </si>
  <si>
    <t>JQ</t>
  </si>
  <si>
    <t>North Biggs Estates Phase 2</t>
  </si>
  <si>
    <t>Stonefox Ranch Phases 2 &amp; 3</t>
  </si>
  <si>
    <t>CalHome's self-help technical assistance funding will help to fund the construction guidance and education provided by our construction supervisors to our homebuyers/builders as a part of our rural mutul self-help hosuing program.  Households will be part of the 69-home Pacific Flyway Subdivision and incomes will be at or under 80% AMI for Butte County. The Pacific Flyway subdiviison is located in Gridley, Butte County.  _x000D_
_x000D_
Each household must provide at least 65% of the labor needed to complete the homes in their construction group.  At least 30 hours of labor must be contributed by each household each week until all homes in the construction group are completed.  This equates to at least 1200 labor hours per household._x000D_
_x000D_
Adminstrative costs to run the self-help housing program are paid for by USDA Rural Development thorugh their 523 technical assistance grant. We have been continuous 523 grantees with USDA Rural Development since 1981 and built over 2000 single-family homes through this program. Currently USDA Rural Development pays us $39,000 in technical assitance for each home.  However, with rising costs to operate the self-help program, due to increases in inflation and longer build times as a result of Covid and wildfires, the funding is not sufficient. $500,000 in additional CalHome self-help TA funds will help us to fully fund the self-help housing program.</t>
  </si>
  <si>
    <t>CHIP received its first CalHome contract in July of 2001, and since that time we have received 10 additional CalHome contracts. All administration requirements have been met by CHIP staff, and each of these staff members has been with CHIP since CalHome's inception. Jill Quezada, Director of Homeownership, completes all CalHome draws as well as quarterly and annual reports, and ensures that CalHome regulations and requirements are always met. During the over 20 years that CHIP has worked with the CalHome Program, we have never missed a quarterly or annual report submission deadline.  Judy Orozco, our loan packager, determines CalHome borrower eligibility and ensures CalHome borrower files are complete and accurate. Holly McCormick, CHIP's CFO, services our loans, ensuring that reuse funds are properly departmentalized. She also oversees demands and payoffs (please refer to CHIP's CalHome loan servicing agreement for details).</t>
  </si>
  <si>
    <t>Rural Community Assistance Corporation (RCAC)</t>
  </si>
  <si>
    <t>USDA RD 502 mortgage (construction converts to permanent)</t>
  </si>
  <si>
    <t>USDA RD 502</t>
  </si>
  <si>
    <t>North Biggs Estates Subdivision Phase 1</t>
  </si>
  <si>
    <t>Stonefox Ranch Subdivision Phases 2 &amp; 3</t>
  </si>
  <si>
    <t>Pacific Flyway</t>
  </si>
  <si>
    <t>There is an affordable home shortfall for low-income renter households in Butte County that do not have access to an affordable home.   Cost burdened households for extremely low-income families are around 79% that are paying more that half of their income on housing costs compared to just 4% of moderate-income households.  More than 30% of the families in Butte County experience cost burden, paying 30% or more of their income for their housing while another 18% has been documented as paying 35% or more of their monthly income for housing alone. Problems with available housing in the area is also a challenge as more than 30% of the population lives in inadequate housing. (www.ruraldataportal.org)_x000D_
There is a need for 3- and 4-bedroom affordable housing based on data showing that these units make up only 20% and 10% (respectively) of the current housing stock. In recent years local construction costs have risen to between $290 – $320 a square foot, significantly increasing the cost of area housing.  Even before the recent wildfires in northern California housing stock in the area was recorded at less than one percent (1%). The 56,000 people displaced by the Camp Fire (November 8, 2018) alone lowered than ratio to zero, making the need for affordable local housing even more acute.  (www.ruraldataportal.org &amp; https://data.thecalifornian.com/real-estate-market-report/summary/butte-county-ca/county-06007/)_x000D_
The Camp Fire Housing study emphasized the encouragement of affordable housing not only in Butte County, that came up “far short”, but also in the surrounding counties. Renters continue to find themselves unable to afford to buy a home or afford the new rental units under construction. This often leads to population loss or the “out-migration” that has being seen in Butte County since the Camp Fire.  The report makes clear affordability is growing even more out of reach for many low to middle-income earners due to the pandemic._x000D_
_x000D_
According to the City of Gridley 2014-2022 General Plan Housing Element, the City is expected to need 115 extremely low-income housing units, 116 very low-income housing units, 118 low-income housing units, 99 moderate income housing units, and 321 above moderate income housing units by 2022.  In addition, the 2014-2022 General Plan Housing Element includes several goals and policies relating to affordable housing. Specifically, Policy HP-3.1 states the “City shall maintain a zoning ordinance, Municipal Code, and development review process that is free of constraints for development of housing to achieve the City’s regional share of estimated future housing needs for all housing types and incomes.” In addition, Policy HP-4.4 requires the City to “Assist in the development of housing affordable to extremely low, very-low, and low-income households through financial and/or technical assistance to affordable housing developers.”_x000D_
_x000D_
The proposed project would add 69 affordable units to the City’s housing stock. Therefore, the proposed project would contribute to the City’s compliance with the aforementioned General Plan policies as well as the housing needs identified in the Housing Element._x000D_
_x000D_
We currently have over 800 households on our interest list who want to participate in CHIP's self-help housing program in the Gridley area. We do not think that the 69 homes in the Pacific Flyway Subdivision will meet the anticipated demand for our homes. Due to very affordable financing through the USDA Rural Development 502 loan program, mortgage payments are affordable to our homebuyers and are often less than rental payments in the area. Fixed interest rates, reduced interest payments if household income is reduced, and energy efficient features (including solar panels) all contribute to stabilizing housing costs and affordability in perpetuity.</t>
  </si>
  <si>
    <t>The approximately 14.82-acre site, identified by Assessor’s Parcel Number (APN) 010-270-121, is currently undeveloped and consists of regularly disked grasses and approximately 30 trees. Surrounding existing land uses include agricultural land and single-family residences to the east, agricultural land to the south and west, and the partially piped Biggs West Gridley Water District Canal directly to the north, with single-family residences and undeveloped land further north. The City of Gridley General Plan designates the project site as Residential, and the site is zoned as Residential Suburban (R-S) and Agricultural Overlay (AO).  The proposed project would include subdivision of the project site into 70 lots and subsequent development of 69 affordable single-family residential units, as well as a stormwater detention basin.  All on-site trees are anticipated to be removed. The proposed project would also include development of an internal roadway network. Primary site access would be provided by an extension of Jared Drive from the north, and the development of Laurel Street, which would bisect the site from east to west.  Ground disturbance would be limited to site grading, trenching for utilities, and building construction. The proposed project would require City approval of a Rezone from R-S to Single-Family Residential (R-1) and to remove the AO designation.  The Tentative Subdivision Map has received support from The City of Gridley planning commission and will be recommened for approval to the City Council.  The anticipated approval of the final TSM and the City's conditions is July 2023._x000D_
_x000D_
We have purchased the land with a loan from Rural Community Assistance Community Corporation and they have expressed interest in coming in with a site development loan when we are ready to break ground on site work.  We have worked with our engineer to assess site development costs and we have found these costs, combined with house construction, to result in a completed home that is affordable to our low income homebuyers. _x000D_
_x000D_
USDA Rural Development has been CHIP's partner in the rural mutual self-help housing program for the last 40 years. They provide the majority of the funds needed to operate the program, as well as provide the house construction and permanent loan financing for our low-income borrowers. Due to the favorable financing of the USDA Rural Development's loan program, as well as the reduced sales cost to the homebuyers due to the sweat equity component (this becomes their down payment), our homes often offer the only opportunity for low income households to become homeowners.</t>
  </si>
  <si>
    <t>CHIP received its first CalHome contract in July of 2001, and since that time we have received 10 additional CalHome contracts. All administration requirements have been met by CHIP staff, and each of these staff members has been with CHIP since CalHome's inception. Jill Quezada, Director of Homeownership, completes all CalHome draws as well as quarterly and annual reports, and ensures that CalHome regulations and requirements are always met. During the over 20 years that CHIP has worked with the CalHome Program, we have never missed a quarterly or annual report submittal deadline. Judy Orozco, our loan packager, determines CalHome borrower eligibiltiy and ensures CalHome borrower files are complete and accurate. Holly McCormick, CHIP's CFO, services our loans, ensuring that reuse funds are properly departmentalized. She also oversees demands and payoffs (please refer to CHIP's CalHome loan servicing agreement for loan servicing details).</t>
  </si>
  <si>
    <t>591 Colusa Hwy</t>
  </si>
  <si>
    <t>Gridley</t>
  </si>
  <si>
    <t>Full on-site improvements needed consisting of dry and wet utilities roads curb gutter &amp; sidewalk infill dirt work detention pond (possibly sewer lift station) pad and compaction tests road crossings and off site road extension work.  Estimated completion 11/2024.</t>
  </si>
  <si>
    <t xml:space="preserve">City of Gridley </t>
  </si>
  <si>
    <t>City of Gridley</t>
  </si>
  <si>
    <t>Benson Estates</t>
  </si>
  <si>
    <t>estimated costs</t>
  </si>
  <si>
    <t>impound fee (taxes and insurance)</t>
  </si>
  <si>
    <t>TSM &amp; conditions</t>
  </si>
  <si>
    <t>CEQA</t>
  </si>
  <si>
    <t>soils report</t>
  </si>
  <si>
    <t>appraisels</t>
  </si>
  <si>
    <t>realtor fee</t>
  </si>
  <si>
    <t>C:\Users\Compw\Desktop\HOSN Applications\HOSN0000202_attachments\0___Application_Workbook__Excel_\ORLAND 2023 HOSN Application Workbook (Update For 2-13-2023).xlsm</t>
  </si>
  <si>
    <t>Community Housing Improvement Program, Incorporated</t>
  </si>
  <si>
    <t>Seana O'Shaughnessy</t>
  </si>
  <si>
    <t>sosh@chiphousing.org</t>
  </si>
  <si>
    <t>530891-6931</t>
  </si>
  <si>
    <t>CHIP received its first CalHome contract in July of 2001, and since that time we have received 10 additional CalHome contracts. All administration requirements have been met by CHIP staff, and each of these staff members has been with CHIP since CalHome's inception. Jill Quezada, Director of Homeownership, completes all CalHome draws as well as quarterly and annual reports, and ensures that CalHome regulations and requirements are always met. During the more than 20 years that CHIp has worked with CalHome, we have never missed a quarter or annual report submission deadline. Judy Orozco, our loan packager, determines CalHome borrower eligibility and ensures CalHome borrower files are complete and accurate. Holly McCormick, CHIP's CFO, services our loans, ensuring that reuse funds are properly departmentalized. She also oversees demands and payoffs (please refer to CHIP's CalHome loan servicing agreement for loan servicing details).</t>
  </si>
  <si>
    <t>All twenty households assited with CalHome mortgage asssitance will be at or below 80% of the AMI for Glenn County.  The twenty assisted households will be part of a larger, 64-home subdivision called Orland Park Estates. First mortgages will be provided by USDA Rural Development 502 program and CalHome will be awarded as necessary gap financing to first time homebuyers. The Orland Park Subdivision is located in Orland, Glenn County.  All 64 homebuyers will participate in CHIP's rural mutual self-help housing program. CHIP has been a USDA Rural Development 523 technical assistance grantee continuously since 1981.  We have built over 2000 single-family homes utilzing the self-help housing method exclusively for low-income homebuyers._x000D_
_x000D_
Our self-help housing program requires all participants to contribute at least 65% of the labor required to complete the homes in their construction group. Each household must contribute a minimum of 30 hours/week until all homes in the construction group are complete. We estimate that each household will contribute a minimum of 1200 total self-help labor hours.</t>
  </si>
  <si>
    <t>CalHome's self-help technical assistance funding will help to fund the construction guidance and education provided by our construction supervisors to our homebuyers/builders as part of our rural mutual self-help housing program. Households will be part of the 64-home Orland Park Estates Subdivision located in Orland, Glenn County.  All households will have income at or below 80% AMI for Glenn County._x000D_
_x000D_
Each household must provide at least 65% of the labor needed to complete the homes in their construction group. At least 30 hours of labor must be completed by each household each week until all homes in the construction group are completed. This equates to at least 1,200 labor hours per household._x000D_
_x000D_
Administrative costs to run the self-help housing program are paid by the USDA Rural Development through the 523 technical assistance grant. We have been continuous 523 grantees with USDA Rural Development since 1981 and built over 2000 single-family homes utilizing the program. Currently USDA RD pays us $39,000 in technical assistance for each home. However, with rising costs to operate the self-help program due to increases in inflation and longer build times as a result of covid-19 and wildfires, the funding is not sufficient. $320,000 in additional CalHome self-help TA funds will help us to fully fund the self-help housing program.</t>
  </si>
  <si>
    <t>CHIP received its first CalHome contract in July of 2001, and since that time we have received 10 additional CalHome contracts. All administration requirements have been met by CHIP staff, and each of these staff members has been with CHIP since CalHome's inception. Jill Quezada, Director of Homeownership, completes all CalHome draws as well as quarterly and annual reports, and ensures that CalHome regulations and requirements are always met. During the over 20 years that CHIP has worked with the CalHome Program, we have never missed a quarterly or annual report submission deadline. Judy Orozco, our loan packager, determines CalHome borrower eligibility and ensures CalHome borrower files are complete and accurate. Holly McCormick, CHIP's CFO, services our loans, ensuring that reuse funds are property departmentalized. She also oversees demands and payoffs (please refer to CHIP's CalHome loan servicing agreement for loan servicing details).</t>
  </si>
  <si>
    <t>C:\Users\Compw\Desktop\HOSN Applications\HOSN0000209_attachments\0___Application_Workbook__Excel_\2023-HOSN-Application-Workbook 2.22.2023 (1).xlsm</t>
  </si>
  <si>
    <t>Habitat for Humanity Inland Valley</t>
  </si>
  <si>
    <t>27475 Ynez Road #390</t>
  </si>
  <si>
    <t>Mary Stein</t>
  </si>
  <si>
    <t>mary@habitativ.org</t>
  </si>
  <si>
    <t>951-296-3362</t>
  </si>
  <si>
    <t>Associate Director</t>
  </si>
  <si>
    <t>Temecula</t>
  </si>
  <si>
    <t>Tammy Marine</t>
  </si>
  <si>
    <t>tammy@habitativ.org</t>
  </si>
  <si>
    <t>TM</t>
  </si>
  <si>
    <t xml:space="preserve">Upon award, HFHIV will identify, acquire, and rehabilitate a house that meets programmatic descriptions. _x000D_
_x000D_
Once a property has been identified, we will begin marketing and outreach through various sources including our interest list, website, social media and through approved lenders. _x000D_
_x000D_
Potential homebuyers will attend a Homeownership Orientation and submit a pre-application if interested in the program. Once the pre-application has been reviewed and applicant qualification determined, HFHIV will provide guidance as needed to assist each homebuyer with the mortgage application process and submission to a program approved third-party lender of their choosing. Applicants fully approved will be presented to the HFHIV Family Selection Committee, and then to the Board of Directors for final approval. The approximate timeline from family selection to close of escrow is 90-120 days._x000D_
_x000D_
HFHIV’s Downpayment Assistance program will comply with all local program administration requirements described in the guidelines, including Sections 204 Local Program/Project Administration.  _x000D_
</t>
  </si>
  <si>
    <t xml:space="preserve">Highlands Street Rehab, Peck Street New Construction and Habitat Way II New Construction </t>
  </si>
  <si>
    <t>Catano Way Rehab, and Pottery House New Construction</t>
  </si>
  <si>
    <t xml:space="preserve">Habitat for Humanity Inland Valley (HFHIV) has a long-standing history as an advocate and service provider for affordable homeownership solutions as demonstrated through our new home construction, home rehabilitation, and home repair programs.  _x000D_
_x000D_
HFHIV’s portfolio of experience includes the utilization of Neighborhood Stabilization Program funds to purchase, rehabilitate and sell seventeen homes to low-income homebuyers to provide affordable housing within our community. _x000D_
_x000D_
This experience was a catalyst for the expansion of homeownership programming at our affiliate. Over the past two years, we have worked to develop additional process infrastructure, including revising our Family Selection and Loan Origination policy to incorporate a broader variety of homeownership opportunities to serve more low-income homebuyers._x000D_
_x000D_
Through this application to the CalHome Program, we will utilize our experience with rehabilitation efforts to further expand affordable homeownership to low-income homebuyers. By combining CalHome funds with contributed labor and additional sources of compatible mortgage assistance funding we can help a greater number of qualified low-income homebuyers be successful within an otherwise unaffordable real estate market.  _x000D_
_x000D_
CalHome Subsidies will be up to 40% of the purchase price of the home, not to exceed $200,000 per homebuyer. _x000D_
_x000D_
Mortgage loans will be provided by third-party lenders which will hold the first lien position, followed by additional sources of funding, including CalHome program funds.  _x000D_
_x000D_
We anticipate utilizing multiple sources of assistance such as, but not limited to, CalHome funding, Riverside County downpayment assistance, California Housing Finance Agency, Habitat for Humanity Inland Valley funds, private donations, and local available funds to reduce the principle on the first mortgage.  Additional funding sources, like CalHome funding would be tied to the property through deferred payment loans.  _x000D_
_x000D_
Our service area is within Southwest Riverside County and includes the cities/towns of Temecula, Murrieta, Lake Elsinore, Wildomar, Menifee, Perris, Nuevo, Romoland and outlying areas, but we will specifically be serving the high and highest resourced areas, as noted on the CTCAC/HCD Opportunity Area Map, also presented in our attachment entitled “Community Revitalization Map.”  _x000D_
_x000D_
We utilize HUD income guidelines to determine eligibility, with a limit of 80% AMI.  We verify low-income status through a formal intake application process where income status is verified.  _x000D_
</t>
  </si>
  <si>
    <t>C:\Users\Compw\Desktop\HOSN Applications\HOSN0000216_attachments\0___Application_Workbook__Excel_\2023 HOSN Application Workbook (Update For 2-15-2023).xlsm</t>
  </si>
  <si>
    <t>The Long Beach Community Investment Company</t>
  </si>
  <si>
    <t>411 W Ocean Blvd, 3rd Floor</t>
  </si>
  <si>
    <t>Alem Hagos</t>
  </si>
  <si>
    <t>Alem.Hagos@longbeach.gov</t>
  </si>
  <si>
    <t>(562) 570-7403</t>
  </si>
  <si>
    <t>Acting Vice President</t>
  </si>
  <si>
    <t>Long Beach</t>
  </si>
  <si>
    <t>Christopher Koontz</t>
  </si>
  <si>
    <t>Christopher.Koontz@longbeach.gov</t>
  </si>
  <si>
    <t>(562)570-6288</t>
  </si>
  <si>
    <t>President</t>
  </si>
  <si>
    <t>AH</t>
  </si>
  <si>
    <t>Rehabilitation Loan Program/Monitoring</t>
  </si>
  <si>
    <t xml:space="preserve">The Long Beach Community Investment Company (LBCIC) and its staff have extensive experience in the administration of low-income owner-occupied rehabilitation programs. Since 1978, City staff have used a variety of federal, state and local funds to provide loans to rehabilitate several thousand units owned by City of Long Beach homeowners and multi-family apartment owners, with loans totaling over $100,000,000.  In addition, the housing staff also oversee expenditure of funds for projects carried out by Community Housing Development Organizations (CHDOs). Since 1991, $26,500,000 in HOME funds has been committed to non-profit CHDO organizations for the purchase and rehabilitation of housing units for very low and low-income households. Additionally, from 1993 to 2021, City staff have administered the Home Improvement Rebate Program, which offered funding to low-income homeowners to improve the exterior of their properties and in some cases, address code violations. _x000D_
_x000D_
With the aforementioned experience, capacity and funding support from CalHome, the LBCIC will administer a local program to provide financial assistance in the form of loans to homeowners earning 80 percent of the Area Median Income (AMI) or below to fund repair, rehabilitation, or reconstruction of their home, which may also include the rehabilitation, construction, repair, or addition of Accessory Dwelling Units (ADUs) or Junior Accessory Dwelling Units (JADUs). Housing staff will develop a policy and procedures manual to implement CalHome guidelines including underwriting and construction requirements. The LBCIC is applying for $5,000,000 in CalHome funds to assist 29 homeowners. The LBCIC anticipates issuing loans of $100,000, on average, but up to a maximum of $200,000 to approximately 19 homeowners for rehabilitation of their home. In addition, the LBCIC anticipates issuing loans to approximately 5 homeowners of up to $200,000 for the rehabilitation or conversion of an ADU/JADU, and loans of up to $250,000 to approximately 5 homeowners for the addition or full reconstruction of an ADU/JADU. _x000D_
</t>
  </si>
  <si>
    <t>The Long Beach Community Investment Company (LBCIC) board, staffed by the Department of Development Services, Housing and Neighborhood Services Bureau (HNSB) has extensive program administration experience on a variety of Owner-Occupied Rehabilitation (OOR) programs. As such, this highly experienced staff will ensure local and state program administration requirements will be complied with. HNSB staff will work closely with the department’s communication division to market the OOR program and provide all necessary eligibility criteria, program procedure information and program application forms on the city’s website and other online platforms. _x000D_
_x000D_
The LBCIC has a long history of providing owner-occupied rehabilitation programs to Long Beach homeowners.  A number of these programs have been funded by various federal and state funds, and as such, the infrastructure and staff experience to provide loan servicing and underwriting, and ensure administration requirements are met, is already in place. Since most CalHome loans, such as OOR, are deferred by design, key aspects of the loan servicing mechanisms such as owner occupancy, annual renewal of various insurances, payment of annual property tax, repayment of loans, transfer provisions and reconveyance of deed of trust, subordination provisions and default and foreclosure will be handled by experienced staff in the HSNB. This also includes reviewing CalHome required After-Rehabilitation appraisals for property eligibility under value limits established in the current published NOFA; originating, underwriting, packaging and closing CalHome program Loans in accordance with program requirements; and ensuring all rehabilitation program guidelines as required by HCD are monitored closely and complied with. _x000D_
_x000D_
The OOR Program will assist homeowners in rehabilitating their homes and/or constructing or reconstructing an ADU/JADU. Assistance will be provided in the form of second trust deed loans to households earning up to 80% of the area median income.  The maximum loan amount will be $200,000, unless the home is in need of reconstruction or the addition or reconstruction of an ADU/JADU is needed, in which case a maximum of $250,000 may be provided, in compliance with the CalHome limit. _x000D_
_x000D_
Existing manual and procedures from previous CalHome and other similar federally-funded programs will be examined and amended to comply with current CalHome guidelines. This will help in rolling out the program in a timely manner and to institute sound program administration from the start. _x000D_
As described in attached file name: Reuse Acct Plan, the LBCIC has established and upon submittal and approval by HCD, will utilize a Reuse Account plan, which includes a tracking system which will log loans to individuals, CalHome program loan processing, and allowable 5% loan servicing fee. The plan will also monitor repayments of Loan principal and applicable interest, interest earned, and allowable use of funds in the Reuse Account. _x000D_
Likewise, upon approval from HCD, the LBCIC will employ OOR Program Guidelines, which will also be monitored by city staff. These guidelines will adhere to local regulations related to site standards and construction.</t>
  </si>
  <si>
    <t>Home Improvement Rebate Program</t>
  </si>
  <si>
    <t>C:\Users\Compw\Desktop\HOSN Applications\HOSN0000225_attachments\0___Application_Workbook__Excel_\San Diego Habitat HOSN Application.xlsm</t>
  </si>
  <si>
    <t>San Diego Habitat for Humanity, Inc.</t>
  </si>
  <si>
    <t>8128 Mercury Ct.</t>
  </si>
  <si>
    <t>Jordan Parsons</t>
  </si>
  <si>
    <t>jordan.parsons@sandiegohabitat.org</t>
  </si>
  <si>
    <t>619-283-4663 x137</t>
  </si>
  <si>
    <t>Grants and Data Specialist</t>
  </si>
  <si>
    <t>Karen Begin</t>
  </si>
  <si>
    <t>karen.begin@sandiegohabitat.org</t>
  </si>
  <si>
    <t>619-246-1380</t>
  </si>
  <si>
    <t>Chief Development Officer</t>
  </si>
  <si>
    <t>KSB</t>
  </si>
  <si>
    <t xml:space="preserve">San Diego Habitat will comply with the requirements set forth in the Guidelines, Section 402.3 and reiterated below as applicable to this project if funded:_x000D_
(a) Providing information and assistance to First-Time Homebuyers on obtaining the maximum amount of first Mortgage financing pursuant to the underwriting requirements in §402.4(a)(3)(A) _x000D_
_x000D_
(b) Reviewing CalHome program required appraisals for property eligibility under value limits established pursuant to §402.4(b)(3). The appraised value shall not exceed these limits; _x000D_
_x000D_
(c) In the case of acquisition of existing housing, the Recipient shall be responsible for inspection of properties to be purchased or a review of Uniform Residential Appraisal Reports, including the valuation conditions, to ensure that they conform to the requirements of State Housing Law (California H.S.C., §17910 et seq.); _x000D_
_x000D_
(d) If the unit type is a Manufactured Home in a Mobilehome Park, ensuring that the Mobilehome Park has a valid Permit to Operate or conditional Permit to Operate. _x000D_
_x000D_
(e) Ensuring completion by each assisted Household of a Homebuyer Education class that meets the requirements of §205; and _x000D_
_x000D_
(f) Originating, underwriting, packaging, and closing CalHome program Loans in accordance with program requirements. _x000D_
_x000D_
In addition to affirming compliance with the above, we have included a description of our specific organizational policies and processes below: _x000D_
_x000D_
San Diego Habitat has and follows an Affirmative Marketing Plan that includes policies on nondiscrimination and accessibility, training, marketing and outreach to low-income buyers, race and ethnic data collection and reporting, compliance assessment, and record keeping. San Diego Habitat maintains a strong relationship with many of the County's English and Spanish media outlets, including newspapers, television, and radio. San Diego Habitat strives to share about the wide variety of families who have been impacted by the affiliate, and makes efforts to recruit those who would best benefit from affordable homeownership regardless of ethnicity, religion, or any other factor. San Diego Habitat also has partnerships with several local organizations serving low-income families that actively refer potential families to the affiliate. _x000D_
_x000D_
San Diego Habitat is an Equal Opportunity lender, following all Fair Housing guidelines. With respect to the treatment of applicants, San Diego Habitat is pledged to the letter and spirit of U.S. policy for the achievement of equal housing opportunity throughout the nation, and encourages and supports affirmative advertising and marketing programs in which there are no barriers to obtaining housing because of race, color, religion, sex, handicap, familial status, or national origin. This statement is included on all homeownership marketing materials employed by the organization. San Diego Habitat attempts to reach into as many geographic and ethnic audiences as possible through multiple traditional and non- traditional methods, including offering all marketing materials in both English and Spanish. Reasonable accommodations shall be offered to all disabled persons who request accommodations due to disability at any time during the application and homeowner selection process._x000D_
_x000D_
Qualification of Homebuyers: San Diego Habitat Partner Families qualify for programs and purchase new homes by showing a demonstrated need for improved housing (such as poorly maintained rental units, overcrowded living conditions, and/or cost of rent that is over 50% of total gross monthly income), a willingness to partner with Habitat by committing to 250 hours of "sweat equity" per adult helping to build their own homes (sweat equity must be completed prior to closing escrow), and the ability to repay an affordable 30-year mortgage. Buyers qualify for the home by earning at or below 80% of San Diego County's Area Median Income according to household size. Families must be first-time homebuyers, defined as buyers who have not owned a home within the last three years. Buyers must commit to occupying their home for the duration of ownership._x000D_
_x000D_
Potential Partner Families interested in purchasing a Habitat home go through the following Family Selection Process:_x000D_
_x000D_
• Attend a homeownership orientation._x000D_
_x000D_
• Family Selection Committee conducts an initial review of the family's application based on income and credit requirements. Families who do not fall within income and/or credit guidelines are notified._x000D_
_x000D_
• Potential families that are within the income and credit guidelines will have a home visit scheduled. This home visit is a time for a Habitat staff member to meet the family and assess their current residence._x000D_
_x000D_
• Based on selection criteria and information obtained during the home visit, the Family Selection Committee decides which families should meet with the full Committee at San Diego Habitat's office. After these meetings occur, the Committee scores each family on objective criteria and recommends families based on those scores to the San Diego Habitat Board of Directors for final approval._x000D_
_x000D_
• The Board of Directors makes the final decision on the placement of families._x000D_
_x000D_
• Families who are approved by the Board of Directors will sign the "Sweat Equity Agreement" and can begin working on their sweat equity hours (self-help contributed labor) immediately in order to fulfill the required hours by the home's closing date._x000D_
_x000D_
• Thirty days prior to the closing of title and the signing of escrow documents, San Diego Habitat will review each family's status, including documented sweat equity hours and current copies of their credit and income documents to verify that they still meet the required qualification to purchase the home._x000D_
_x000D_
• San Diego Habitat for Humanity staff will work with families to ensure that they understand the legal documents they sign describing San Diego Habitat's "first right of refusal" to repurchase the home at an affordable price with an equity sharing formula and prohibiting families from refinancing or selling the home on the open market._x000D_
_x000D_
San Diego Habitat provides numerous supportive services throughout the home-buying and family selection process. Families learn valuable home maintenance skills while assisting with the construction of their home, they also participate, as needed, in financial literacy education classes that cover budgeting and understanding of credit. Purchasing a home can be an overwhelming process, San Diego Habitat's Family Services Department supports and walks with the family through the entire process._x000D_
</t>
  </si>
  <si>
    <t>Harding Avenue, National City</t>
  </si>
  <si>
    <t>Leucadia II, Encinitas</t>
  </si>
  <si>
    <t>Grossmont, El Cajon</t>
  </si>
  <si>
    <t>Comm22 Phase III, San Diego</t>
  </si>
  <si>
    <t xml:space="preserve">San Diego Habitat for Humanity’s (San Diego Habitat’s) Mortgage Assistance program will serve ten families in San Diego County who earn below 80% of the Area Median Income (AMI). The homes will be built by San Diego Habitat in Escondido on Stanley Avenue as part of the Conway &amp; Ash development._x000D_
_x000D_
Since its inception in 1988, San Diego Habitat has built, repaired, or rehabbed over 400 homes, and has served thousands of individuals through neighborhood revitalization programs – all with the help of over 185,000 volunteer hours. The Habitat model of affordable homeownership has proven sustainable over time. With a 0% foreclosure rate, San Diego Habitat has worked in partnership with homeowners to help them achieve long-term financial stability. Throughout Habitat’s 35-year history serving San Diego County, we have partnered with numerous municipalities. Most recently, we have worked in the Cities National City, San Diego, El Cajon, and Escondido. San Diego Habitat received and successfully administered CalHome Mortgage Assistance Funds through an award of $660,000 in 2020. The funds supported 6 homeowners. We have also successfully reused CalHome Mortgage Assistance for recycled homes (homes sold back to Habitat, and then re-sold to qualified buyers). _x000D_
_x000D_
Financing sources for these ten homes is projected to come from the following sources: _x000D_
•	The Homebuilding Investment Fund, an impact investment loan through our partner Mission Driven Finance_x000D_
•	In-kind support from the general contractor for all entitlement and pre-development expenses (including grading and infrastructure)_x000D_
•	San Diego Habitat’s unrestricted revenue (home sales/re-sales, and ReStore (retail) revenue)._x000D_
•	Contributed income generated from corporate sponsorships, private individual and foundation support, and special event revenue. _x000D_
In addition to the above, we are exploring funding New Market Tax Credits, and The Federal Home Loan Bank’s WISH program at a range of $22,000 per home. _x000D_
_x000D_
Uses of funds cited above include the vertical construction of ten 3-bedroom units (duplexes) and all permitting, fees, and costs associated with construction and sale of homes to financially qualified buyers._x000D_
_x000D_
Contributed labor will be performed by future homebuyers (self-help construction labor) who are required to put in 250 hours per adult in the household. We also engage community volunteers to help with construction. We estimate 4,500 hours of self-help Construction Labor from future homebuyers and 10,000 hours of volunteer labor._x000D_
</t>
  </si>
  <si>
    <t>Harding Ave, National City</t>
  </si>
  <si>
    <t xml:space="preserve">San Diego Habitat for Humanity’s (San Diego Habitat’s) Self Help Technical Assistance program will support the completion of ten homes that will be newly constructed on Stanley Avenue as a subset of the Conway &amp; Ash development in the City of Escondido. The land on Stanley Avenue will be donated to San Diego Habitat to build and sell ten affordable units. Ten families in San Diego County who earn below 80% of the Area Median Income (AMI) will be selected to help build their homes and pay an affordable mortgage that is based on their household income. _x000D_
_x000D_
Since its inception in 1988, San Diego Habitat has built and sold over 168 homes utilizing self-help contributed labor in San Diego County. We have repaired or rehabbed over 232 homes, and served thousands of individuals through neighborhood revitalization programs – all with the help of over 185,000 volunteer hours. Approximately 71,250 of those volunteer hours have been Self-Help Contributed Labor hours that were completed by Habitat Homebuyers. The Habitat model of affordable homeownership has proven sustainable over time. With a 0% foreclosure rate, San Diego Habitat has worked in partnership with homeowners to help them achieve long-term financial stability. Throughout Habitat’s 35-year history serving San Diego County, we have partnered with numerous municipalities. Most recently, we have worked in the Cities of National City, San Diego, El Cajon, and Escondido. _x000D_
_x000D_
San Diego Habitat recently received and successfully administered CalHome Mortgage Assistance Funds through an award of $660,000 in 2020. The funds supported 6 homeowners who also completed the required contributed labor program. We are currently completing a 10-home development in Escondido on El Norte Parkway with the help of a Project Development Loan in the 2019 CalHome funding cycle. Those homebuyers are currently working on their self-help labor hours and the homes will be sold in December of 2023. _x000D_
_x000D_
If awarded through the 2023 CalHome program, Self-Help Technical Assistance funding will support the training and supervision of self-help volunteers on the construction site, preparation of contracts for professional services that volunteers are not qualified to complete, preparation of subdivision maps, engineering review, and compliance with local and federal funding agencies. We anticipate 18-20 individual self-help participants completing a total of 4,500 over the duration of 6-12 months. In addition, the participants will complete Homebuyer Education (HUD approved), and successfully complete all program requirements necessary prior to purchasing and moving into their home._x000D_
Financing sources for these ten homes is projected to come from the following sources: _x000D_
•	The Homebuilding Investment Fund, an impact investment loan through our partner Mission Driven Finance_x000D_
•	In-kind support from the Conway &amp; Ash developer who is donating land, entitlement and pre-development expenses _x000D_
•	San Diego Habitat’s unrestricted revenue (home sales/re-sales, and ReStore (retail) revenue)._x000D_
•	Contributed income generated from corporate sponsorships, private individual and foundation support, and special event revenue. _x000D_
•	In addition to our own resources, additional funding may be secured through New Market Tax Credits (the program is offered through Habitat for Humanity International) and The Federal Home Loan Bank’s WISH program at a range of $22,000 per home. _x000D_
_x000D_
Uses of funds cited above include the vertical construction of ten 3-bedroom units (5 duplexes) and all permitting, fees, and costs associated with construction and sale of homes to financially qualified buyers. _x000D_
_x000D_
San Diego Habitat engages community volunteers to provide contributed labor in addition to our self-help requirements. Volunteers help with construction, site preparation, and maintenance from the beginning of unit construction throughout the duration of the build. We anticipate 10,500 hours of community volunteer labor for this project. _x000D_
</t>
  </si>
  <si>
    <t xml:space="preserve">San Diego Habitat complies with the requirements set forth in the Guidelines, Section 401.3 and reiterated below as applicable to this project if funded:_x000D_
_x000D_
(1) Program Marketing:_x000D_
San Diego Habitat has and follows an Affirmative Marketing Plan that includes policies on nondiscrimination and accessibility, training, marketing and outreach to low-income buyers, race and ethnic data collection and reporting, compliance assessment, and record keeping. San Diego Habitat maintains a strong relationship with many of the County's English and Spanish media outlets, including newspapers, television, and radio. San Diego Habitat strives to share about the wide variety of families who have been impacted by the affiliate, and makes efforts to recruit those who would best benefit from affordable homeownership regardless of ethnicity, religion, or any other factor. San Diego Habitat also has partnerships with several local organizations serving low-income families that actively refer potential families to the affiliate._x000D_
_x000D_
San Diego Habitat is an Equal Opportunity lender, following all Fair Housing guidelines. With respect to the treatment of applicants, San Diego Habitat is pledged to the letter and spirit of U.S. policy for the achievement of equal housing opportunity throughout the nation, and encourages and supports affirmative advertising and marketing programs in which there are no barriers to obtaining housing because of race, color, religion, sex, handicap, familial status, or national origin. This statement is included on all homeownership marketing materials employed by the organization. San Diego Habitat attempts to reach into as many geographic and ethnic audiences as possible through multiple traditional and non- traditional methods, including offering all marketing materials in both English and Spanish. Reasonable accommodations shall be offered to all disabled persons who request accommodations due to disability at any time during the application and homeowner selection process._x000D_
	_x000D_
(2) Recruitment of homebuyers and selection criteria:_x000D_
_x000D_
Buyers must qualify financially by earning below 80% of San Diego County's Area Median Income while at the same time having the financial ability to repay an affordable mortgage that is no more than 30% of their income at the time of purchase. Families must be first-time homebuyers, defined as buyers who have not owned a home within the last three years. Buyers must commit to occupying their home for the duration of ownership. In addition, buyers must show a demonstrated need for improved housing (such as poorly maintained rental units, overcrowded living conditions, and/or cost of rent that is over 50% of total gross monthly income) and be willing to partner with Habitat by committing to 250 hours of contributed labor ("sweat equity") per adult in the household. Sweat equity must be completed prior to closing escrow._x000D_
_x000D_
Potential Partner Families interested in purchasing a Habitat home go through the following Family Selection Process:_x000D_
• Attend a homeownership orientation._x000D_
_x000D_
• Family Selection Committee conducts an initial review of the family's application based on income and credit requirements. Families who do not fall within income and/or credit guidelines are notified._x000D_
_x000D_
• Potential families that are within the income and credit guidelines will have a home visit scheduled. This home visit is a time for a Habitat staff member to meet the family and assess their current residence._x000D_
_x000D_
• Based on selection criteria and information obtained during the home visit, the Family Selection Committee decides which families should meet with the full Committee at San Diego Habitat's office. After these meetings occur, the Committee scores each family on objective criteria and recommends families based on those scores to the San Diego Habitat Board of Directors for final approval._x000D_
_x000D_
• The Board of Directors makes the final decision on the placement of families._x000D_
_x000D_
• Families who are approved by the Board of Directors will sign the "Sweat Equity Agreement" for contributed self-help labor and can begin working on their hours._x000D_
_x000D_
• Thirty days prior to the closing of title and the signing of escrow documents, San Diego Habitat will review each family's status, including documented sweat equity hours and current copies of their credit and income documents to verify that they still meet the required qualification to purchase the home._x000D_
_x000D_
• San Diego Habitat for Humanity staff will work with families to ensure that they understand the legal documents they sign describing San Diego Habitat's "first right of refusal" to repurchase the home at an affordable price with an equity sharing formula and prohibiting families from refinancing or selling the home on the open market._x000D_
	_x000D_
(3) Income limits for participation and income determination procedures:_x000D_
Homebuyers must have a household income that is below 80% of the Area Median Income to qualify for the program. Thirty days prior to the closing of title and the signing of escrow documents, San Diego Habitat will review each family's status, including documented sweat equity hours and current copies of their credit and income documents to verify that they still meet the required income and program qualification to purchase the home._x000D_
	_x000D_
(4) Criteria for homebuyer participation in the program including: _x000D_
	(A) Residency requirements: Homebuyers must reside in San Diego County._x000D_
	(B) Credit requirements: We review the last three years of credit history and current level of debt; no recorded bankruptcy within two years._x000D_
	(C) Process of providing reasonable accommodations to persons with a disability: The Homeowner &amp; Community Services Director will evaluate all accommodation requests and provide options for participants with disabilities to complete their self-help hours. _x000D_
_x000D_
(5) List of activities to be performed by Self-Help participants: Participants work alongside Habitat’s Construction Superintendents and participate in most phases of construction, including: _x000D_
•	Framing_x000D_
•	Roofing _x000D_
•	Decks_x000D_
•	Siding_x000D_
•	Insulation _x000D_
•	Interior/Exterior Painting_x000D_
•	Electrical installation of Lights, Ceiling Fans, etc. _x000D_
•	Finish Plumbing including Toilets, Sinks, Fixtures, etc. _x000D_
•	Cabinets_x000D_
•	Countertops_x000D_
•	Tiling _x000D_
•	Floor Coverings _x000D_
•	Fencing _x000D_
•	Irrigation_x000D_
•	Landscaping_x000D_
•	Retaining Walls_x000D_
Non-construction work includes:_x000D_
•	Marketing to recruit community sponsors and volunteers_x000D_
•	Administrative project support_x000D_
•	Community event registration and support_x000D_
_x000D_
(6) Construction training plan: Participants complete safety training on site with the Construction Site Superintendent. Staff and qualified crew leaders train and manage specific tasks as the project progresses, providing hands-on instruction and oversight throughout the duration of unit construction. _x000D_
_x000D_
(7) Homeownership training plan: San Diego Habitat works with HUD certified Homebuyer Education platforms to provide each homeowner with financial literacy education. Through education, families continue to become more self-sufficient. Prior to moving into their homes, staff distributes a homeowner manual and completes a thorough walk-through with buyers to review ongoing maintenance requirements that will ensure an homeownership experience that is safe, affordable, and stable._x000D_
_x000D_
A home assisted with Self-Help Technical Assistance shall not be sold at a price that exceeds its appraised value. _x000D_
_x000D_
Prior to the disbursement of any advance (not to exceed 25 percent of the total Grant amount), San Diego Habitat will submit a certification that the they do not have available funds to initiate the project. _x000D_
</t>
  </si>
  <si>
    <t>FY22</t>
  </si>
  <si>
    <t xml:space="preserve">Homeowners below 80%AMI for critical home repairs: </t>
  </si>
  <si>
    <t>Yes, it will.</t>
  </si>
  <si>
    <t>Comm22, Phase II and III</t>
  </si>
  <si>
    <t>FY21</t>
  </si>
  <si>
    <t>FY20</t>
  </si>
  <si>
    <t>FY23</t>
  </si>
  <si>
    <t>C:\Users\Compw\Desktop\HOSN Applications\HOSN0000229_attachments\0___Application_Workbook__Excel_\COR 2023-HOSN-Application-Workbook 2.22.2023.xlsm</t>
  </si>
  <si>
    <t>City of Corcoran</t>
  </si>
  <si>
    <t>832 Whitley Avenue</t>
  </si>
  <si>
    <t>Greg Gatzka</t>
  </si>
  <si>
    <t>greg.gatzka@cityofcorcoran.com</t>
  </si>
  <si>
    <t>(559)992-2151</t>
  </si>
  <si>
    <t>Corcoran</t>
  </si>
  <si>
    <t>Kevin Tromborg</t>
  </si>
  <si>
    <t>kevin.tromborg@cityofcorcoran.com</t>
  </si>
  <si>
    <t>Community Development Director</t>
  </si>
  <si>
    <t>(559)802-1645</t>
  </si>
  <si>
    <t>The City's Administrative Subcontractor, Self-Help Enterprises will perform all duties required to implement the Mortgage Assistance Program and manage loan servicing.  Program staff specializations include the following:  administrative analysts perform marketing, reporting, financial management, draw requests and regulation compliance duties for grant administration; loan processors determine income eligibility, evaluate underwriting of first mortgage, determine amount of gap financing, review appraisals, and aid originating, underwriting, packaging and closing of CalHome loans in accordance with program guidelines; a certified home inspector(s) and/or an experienced rehabilitation specialist(s); conduct unit inspections to ensure a property meets state and local codes, as well as safety standards; and, certified HUD counselors provide homebuyer education services through approved curriculum that covers the five areas required by CalHome  City staff will manage loan servicing by way of monitoring for occupancy, insurance and payment of property taxes, tracking payment, calculating payoffs and processing demands, reconveyances and default recovery.</t>
  </si>
  <si>
    <t xml:space="preserve">First-Time Homebuyer Assistance Program Funded with CalHome, HOME , &amp; CDBG </t>
  </si>
  <si>
    <t xml:space="preserve">The City of Corcoran, in partnership with Self-Help Enterprises, is applying for $500,000 to provide financing for down payment and closing cost assistance of up to 40% of the units' purchase price to assist approximately five (5) low-income (80% Average Median Income or below) households with the purchase of a single family home within the purchase price limits of the program located within the City limits of Corcoran. Within this partnership, the City of Corcoran has administered Homebuyer Assistance programs for low-income households for over forty (40) years, providing down payment assistance to approximately sixty-five (65) households utilizing CDBG and HOME grant funds. Self-Help Enterprises has assisted over 2,000 families throughout its eight county service area (Fresno County, Kings County, Kern County, Madera County, Mariposa County, Merced County, Stanislaus County, and Tulare County) with secondary financing since 1994, as well as, over 6,000 households through the Self-Help Housing program with secondary financing and participant labor assistance since 1965. No participant labor will be used in the City's Homebuyer Assistance program. </t>
  </si>
  <si>
    <t>Owner-Occupied Rehabilitation Program Implemented with CDBG, CalHome, and HOME funds</t>
  </si>
  <si>
    <t>The City of Corcoran, in partnership with Self-Help Enterprises (SHE), is applying for $500,000 to provide financing for the rehabilitation of single-family residential units for four (4) low-income (80% AMI or below) households within Dinuba's city limits. For over 10 years, the City of Corcoran and SHE have administered owner-occupied rehabilitation (OOR) programs that provided the financing to 95 low-income households to complete important home repairs. Individually, SHE has developed and implemented OOR programs for over 40 years. During this time, SHE assisted over 6,500 families throughout its eight (8) county service area (Stanislaus Co., Merced Co., Mariposa Co., Madera Co. Fresno Co., Tulare Co., Kings Co., and Kern Co.) with rehabilitation of their homes using CDBG, HOME, and/or CalHome funds. Collectively, the City and SHE's rehabilitation programs offered financial assistance, unit evaluations, construction oversight, and loan servicing. No participant labor contributions will be part of the City of Corcoran's Owner Occupied Rehabilitation Program.</t>
  </si>
  <si>
    <t>C:\Users\Compw\Desktop\HOSN Applications\HOSN0000249_attachments\0___Application_Workbook__Excel_\2023-HOSN-Application-Workbook FINAL.xlsm</t>
  </si>
  <si>
    <t>HABITAT FOR HUMANITY MONTEREY BAY</t>
  </si>
  <si>
    <t>108 MAGNOLIA STREET</t>
  </si>
  <si>
    <t>SANTA CRUZ</t>
  </si>
  <si>
    <t>SATISH RISHI</t>
  </si>
  <si>
    <t>SATISH@HABITATMONTEREYBAY.ORG</t>
  </si>
  <si>
    <t>831 469 4663 x11</t>
  </si>
  <si>
    <t>PATTIE SASO</t>
  </si>
  <si>
    <t>DIRECTOR OF FINANCE &amp; HR</t>
  </si>
  <si>
    <t>PATTIE@HABITATMONTEREYBAY.ORG</t>
  </si>
  <si>
    <t>831 469 4663 x 12</t>
  </si>
  <si>
    <t>SR</t>
  </si>
  <si>
    <t>Housing Trust Silicon Valley/CDFI</t>
  </si>
  <si>
    <t xml:space="preserve">Community Foundation </t>
  </si>
  <si>
    <t>Community Foundation</t>
  </si>
  <si>
    <t>714 FAIRMONT AV, SANTA CRUZ</t>
  </si>
  <si>
    <t>10, 20 &amp; 30 LOS ESTEROS, SANTA CRUZ</t>
  </si>
  <si>
    <t>RODEO CREEK COURT (2342, 2332, 2322, 2318 Harper St., 50 &amp; 60 Rodeo Creek Court) SANTA CRUZ</t>
  </si>
  <si>
    <t>277 VIKING LANE, MARINA, CA</t>
  </si>
  <si>
    <t>AIRPORT ROAD</t>
  </si>
  <si>
    <t>Duplex/Triplex</t>
  </si>
  <si>
    <t>36 AIRPORT ROAD</t>
  </si>
  <si>
    <t>WATSONVILLE</t>
  </si>
  <si>
    <t>City of Watsonville, Planning Department</t>
  </si>
  <si>
    <t>70% AMI</t>
  </si>
  <si>
    <t xml:space="preserve">Santa Cruz County has been ranked as one of the least affordable places (for housing) in California. According to a study published in the San Jose Mercury News (https://www.mercurynews.com/2022/07/29/santa-cruz-area-trails-only-sf-for-high-rental-costs/), the Housing Wage to rent a home in California is $39/hour, whereas for Santa Cruz County it is $60/hour, second only to San Francisco. Watsonville is a working person's city, and houses many tradespeople, agriculture workers, students who commute north to Santa Cruz or south towards Monterey. The median sales price for single family homes has increased from $785K in Jan 2018 to $1,345k in Jan 2022, a 71% increase, making an already unaffordable place even more unaffordable. (https://www.redfin.com/city/17680/CA/Santa-Cruz/housing-market) _x000D_
 _x000D_
Lower income families are the ones who are hit the hardest. Our project will be limited to families who make less than 70% AMI, adjusted for household size. Our programs enable families to own a home and spend less than 30% of their income on housing costs (mortgage, insurance, HOA, taxes). According to the latest Census data, in Watsonville, where this project will be based, 13% of the people live in poverty, and the median annual income is $67k, which for a family of four would translate into an AMI of 43%. Watsonville has a 44% owner occupied housing rate, and with our project, we hope to make a small impact in improving it. We believe that homeownership fosters independence, a sense of community and builds strong neighborhoods, allows the next generation to stand on its own two feet, and reduces dependence on government subsidies and programs.  _x000D_
_x000D_
 Through the Habitat for Humanity model, we ensure the homeowners’ willingness and ability to pay in a few ways. First, by our thorough application and selection process. We select families based on three primary criteria: Need for housing; Ability to pay; and Willingness to partner. The need for affordable housing is determined in the application process as well as the home visit and evaluation; multiple factors are considered, including applicants’ percentage of income currently spent on housing, density/overcrowding in their current living situation, and health and safety risks in their current living situation. To determine the ability to pay, we look at income and credit scores. The selected family will be able to pay the affordable mortgage, a $1,500 down payment, and closing costs. We ensure an affordable mortgage through various funding sources subsidizing the total cost. Finally, the willingness to partner is an essential and unique component in the Habitat model. All homeowners are required to contribute sweat equity toward the purchase of their home. They invest 500 hours of their time building alongside our construction crew. This ensures a high level of commitment from the families. _x000D_
_x000D_
 _x000D_
</t>
  </si>
  <si>
    <t xml:space="preserve">Located in Watsonville, the Airport Road Project will consist of 13 homes for eligible lower income households. The project includes 2- and 3-bedroom, semi-detached and detached homes (eight 3-bedroom, 2-bathroom, and five 2-bedroom, 2-bathroom homes. Construction on the homes is expected to be completed within four years. _x000D_
_x000D_
The homes will be built to be energy-efficient including advanced framing techniques, energy efficient windows and solar electricity. All homes will include Energy Star appliances. A large storage area is included in the design for each home.  All homes will be built with universal design, meaning one downstairs bedroom and the downstairs bathroom are wheelchair accessible. _x000D_
_x000D_
Homes in this project will be available to prospective first-time homebuyers with gross household incomes of between 50% and 70% of the Area Median Income (AMI) for Santa Cruz County, adjusted for their household size. Habitat’s homeownership program ensures that no more than 30% of the homebuyer’s income goes toward their mortgage and other housing-related expenses. As with all Habitat projects, homebuyers must contribute 500 hours of sweat equity working alongside Habitat volunteers in the building of a home. _x000D_
_x000D_
 Given the rising costs of materials and labor, the project is dependent on Habitat obtaining both funding through grants and donations as well as obtaining volunteer labor to help with the project. For the two past projects, Habitat has been successful in obtaining assistance through HOME as well as CalHome funds, and to date, we have been able to build homes for nine families over the past four years. We have a good financial track record and will supplement CalHome funding from the current NOFA with construction loans from our local Foundation and CDFI lender. We have been successful in obtaining volunteer labor for all our projects to date. Watsonville is close to many of our current volunteers, and we expect to be able to recruit existing as well as new volunteers to help make this project a reality.  </t>
  </si>
  <si>
    <t xml:space="preserve">Habitat for Humanity Monterey Bay (Habitat) will follow the procedures presented in sections 400.3 - 400.7 of the CalHome Guidelines. Habitat’s staff has carried out the development and completion of 11 units in the last 4 years. This includes ensuring all necessary permits to build are submitted quickly and accurately to the respective organizations (county, state, local utility companies, etc.) Habitat has site control for the proposed project through a Fee Title. _x000D_
_x000D_
The construction budget needed to carry out the project does not exceed the limits established in the NOFA. Habitat is committed to maintaining that the homes sold are affordable to buyers. By partnering with lenders, local jurisdictions, and other agencies, the housing obligation paid by the Household (along with all other financial responsibilities) will not endanger the financial stability of the Household. The monthly housing cost will not exceed 30% of the buyer's gross monthly income. _x000D_
_x000D_
Habitat has in-house staff that have experience with managing the budgets and contracts needed to fund developments and coordinating with jurisdictions to stay on schedule. Habitat staff also includes licensed contractors who are able to oversee site management and safety, as well as the necessary staff to verify that the selected households meet eligibility requirements. </t>
  </si>
  <si>
    <t xml:space="preserve">Los Esteros Units 30, 20 &amp; 10 in Santa Cruz </t>
  </si>
  <si>
    <t xml:space="preserve">2342, 2332, 2322, 3218  Harper Street, and 50 &amp; 60 Rodeo Creek Court , Santa Cruz (Rodeo Creek Court) </t>
  </si>
  <si>
    <t xml:space="preserve">233 Palm Avenue, Marina </t>
  </si>
  <si>
    <t xml:space="preserve">We have been helping low-income families become homeowners for the past thirty-three years and have assisted over seventy families with mortgages. We currently carry over twenty mortgages on our books, ranging from a term of twenty to thirty years, at zero percent interest.  We have also assisted families buy homes that we have built, with volunteer and self-help labor, obtain third party mortgages supplemented with CalHome mortgage assistance. More details about our Mortgage Origination Policy and Family Selection can be found in our attached Policies, namely “Homeowner Selection and Mortgage Origination Policy Handbook” Sections 7.1-7.7 and 8.1-8.3. _x000D_
_x000D_
This current project, located at 36 Airport Road, Watsonville, CA will cater to families at or below 70 % AMI, adjusted for family size.  _x000D_
_x000D_
Our funding will be from grants, donations, CalHome loans/grants as well as construction loans as needed, from our local Community Foundation and CDFI.  _x000D_
_x000D_
All selected homeowners are required to contribute 500 hours of sweat equity in the building of homes. We also use contributed labor, i.e., volunteers to build the homes, and historically, we have had close to 2,000 volunteer hours contributed towards a single home.  </t>
  </si>
  <si>
    <t xml:space="preserve">Habitat for Humanity Monterey Bay (Habitat) will follow the procedures presented in sections 402.3 - 402.4. Habitat staff works with third-party lenders to ensure the maximum amount of first mortgage financing is obtained while still maintaining a monthly housing cost of 30% of the applicant’s gross monthly income. All documentation required to confirm eligibility is reviewed by Habitat’s qualified loan originator (QLO).  Further, Habitat has criteria in place to ensure all fair lending and ECOA requirements are met. The QLO will work the selected household to obtain maximum mortgage amount with the lender of their choosing. This includes the verification of eligibility according to the income limits. _x000D_
</t>
  </si>
  <si>
    <t>10-30 LOS ESTEROS CT., SANTA CRUZ</t>
  </si>
  <si>
    <t>2342, 2332, 2322, 2318 Harper St &amp; 50&amp;60 Rodeo Creek Court  (Rodeo Creek Court Project) SANTA CRUZ</t>
  </si>
  <si>
    <t xml:space="preserve">Habitat for Humanity Monterey Bay has been operational for thirty-three years, and we have assisted over seventy families with homeownership. Our selection criteria require that all homeowners have an income level of less than 80% AMI, adjusted for family size, but most of our homeowners are in the 50-65% AMI. All of our homeowners own homes in Santa Cruz and Monterey Counties. _x000D_
_x000D_
We have assisted first time homebuyers (FTHB) by underwiring mortgages at zero percent, for terms of thirty to forty years, which we have carried on our books. More recently, we have used third-party mortgage lenders to hold the first mortgages and subsidized the purchase price for low-income homeowners with FTHB assistance through HOME funds as well as CalHome funds, with terms of thirty years at zero percent.  _x000D_
_x000D_
For our mortgage assistance program, we have an in-house resource that manages the application and verification process, credit score, homebuyers education, etc. We follow the procedures as presented in Sections 402.3 and 402.4 of the Guidelines. More details are provided in Habitat’s “Homeowner Selection and Mortgage Origination Policy Handbook”. _x000D_
_x000D_
All of our homes are built with volunteer labor from our community. Homeowners who are selected for a home are required to contribute 500 hours of sweat equity at the construction site. In the calendar year 2022, we had approximately 4,000 hour of self-help labor amd over 12,000 hours contributed at our construction site through contributed labor, where we are building eleven homes. _x000D_
</t>
  </si>
  <si>
    <t xml:space="preserve">Habitat will follow the program requirements and guidelines as presented in section 401.3 of the CalHome Guidelines. Habitat’s homes are deed restricted with Habitat having the first right of refusal. In addition to being deed restricted to maintain homes' affordability, Habitat does not sell the homes for more than their appraised value. The homes are made affordable through multiple financing sources and non-performing gap loans to ensure the Household maintains financial stability.  _x000D_
_x000D_
 _x000D_
_x000D_
Habitat has adopted a policy (“Homeowner Selection and Mortgage Origination Policy Handbook”) to ensure all program marketing, recruitment of homebuyers, and selection criteria (including residency, credit, and ADA accommodations) is carried out diligently and accurately. This includes a requirement for any household selected to complete a homebuyer education course, which Habitat will provide resources to. _x000D_
_x000D_
Habitat has the necessary staff to verify that the selected households meet eligibility requirements, including occupancy requirements, income limits, and the ability to pay. </t>
  </si>
  <si>
    <t>714 FAIRMONT AV., SANTA CRUZ</t>
  </si>
  <si>
    <t>277 VIKING LANE, MARINA</t>
  </si>
  <si>
    <t>277 Viking Lane, Marina CA</t>
  </si>
  <si>
    <t>233 Palm Avenue, Marina CA</t>
  </si>
  <si>
    <t>714 Fairmont Av., Santa Cruz, CA</t>
  </si>
  <si>
    <t xml:space="preserve">Habitat for Humanity Monterey Bay (Habitat) intends to launch the Owner Occupied Rehabilitation Program (“OOR”) dedicated to (1) providing maintenance/repair assistance for low-income homeowners at or below 80% AMI impacted by age, disability, or financial hardships and (2) building ADU’s for low-income homeowners who are struggling to keep up with increasing cost of homeownership on their current property. Repairs would be done for families that have qualified according to Habitat’s main criteria for eligibility: need for housing, ability to pay, willingness to partner.  _x000D_
_x000D_
Habitat’s OOR would focus on serving eligible households in the Opportunity Zones in Santa Cruz County and Monterey County and focus on mobile home repairs, with some ADU repairs as needed. Habitat has administered rehabilitation to three homes over the last four years, two in Monterey County and one in Santa Cruz County. These projects included either repairing the main house or building an ADU for low-income seniors. _x000D_
_x000D_
Our funding will be from grants, donations, and CalHome loans/grants. We use contributed labor, i.e., volunteers to carry out the repairs &amp; rehabilitation. </t>
  </si>
  <si>
    <t xml:space="preserve">Habitat for Humanity Monterey Bay (Habitat) will follow the procedures presented in sections 403.3 - 403.4. All documentation required to confirm eligibility is reviewed by Habitat’s qualified loan originator (QLO). This includes the verification of eligibility according to the income limits. _x000D_
 _x000D_
_x000D_
Habitat’s model will not be used to provide assistance for manufactured homes in unpermitted mobilehome parks. Habitat will ensure the inspection of the property (including appraisals) will be carried out by qualified personnel. In addition, Habitat has implemented its own criteria for the selection and monitoring of qualified families from the initial application phase to the completion of the program. More details about our Mortgage Origination Policy and Family Selection can be found in our attached Policies, namely “Homeowner Selection and Mortgage Origination Policy Handbook” Sections 7.1-7.7 and 8.1-8.3. </t>
  </si>
  <si>
    <t>Assuming 30% of income for a family with 4 people</t>
  </si>
  <si>
    <t>XXXXX</t>
  </si>
  <si>
    <t>Community Development, City of Watsonville</t>
  </si>
  <si>
    <t>Community development, City of Watsonville</t>
  </si>
  <si>
    <t>Los Esteros Court, Units 10, 20 &amp; 30, Santa Cruz</t>
  </si>
  <si>
    <t xml:space="preserve">2342, 2332, 2322, 2318 Harper Street  and 50 &amp; 60 Rodeo Creek Court (Rodeo Creek Court) Santa Cruz </t>
  </si>
  <si>
    <t>231 Palm Avenue, Marina</t>
  </si>
  <si>
    <t>277 Viking Lane, Marina</t>
  </si>
  <si>
    <t xml:space="preserve">We have been helping low-income families become homeowners for the past thirty-three years and have assisted over seventy families with mortgages. We currently carry over twenty mortgages on our books, ranging from a term of twenty to thirty years, at zero percent interest.  We have also assisted families buy homes that we have built, with volunteer and self-help labor, obtain third party mortgages supplemented with CalHome mortgage assistance. More details about our Mortgage Origination Policy and Family Selection can be found in our attached Policies, namely “Homeowner Selection and Mortgage Origination Policy Handbook” Sections 7.1-7.7 and 8.1-8.3. _x000D_
_x000D_
This current project, located at 36 Airport Road, Watsonville, CA will cater to families at or below 70 % AMI, adjusted for family size.  _x000D_
_x000D_
Our funding will be from grants, donations, CalHome loans/grants as well as construction loans as needed, from our local Community Foundation and CDFI.  _x000D_
_x000D_
All selected homeowners are required to contribute 500 hours of sweat equity in the building of homes. We also use contributed labor, i.e., volunteers to build the homes, and historically, we have had close to 2,000 volunteer hours contributed towards a single home.  _x000D_
_x000D_
 </t>
  </si>
  <si>
    <t xml:space="preserve">Habitat for Humanity Monterey Bay (Habitat) will follow the procedures presented in sections 402.3 - 402.4. Habitat staff works with third-party lenders to ensure the maximum amount of first mortgage financing is obtained while still maintaining a monthly housing cost of 30% of the applicant’s gross monthly income. All documentation required to confirm eligibility is reviewed by Habitat’s qualified loan originator (QLO).  Further, Habitat has criteria in place to ensure all fair lending and ECOA requirements are met. The QLO will work the selected household to obtain maximum mortgage amount with the lender of their choosing. This includes the verification of eligibility according to the income limits. _x000D_
_x000D_
All homebuyers funded through Serna Mortgage Assistant will be agricultural workers as defined in the guidelines. _x000D_
_x000D_
  </t>
  </si>
  <si>
    <t xml:space="preserve">Too many of our agricultural workers in the County are living in severely overcrowded conditions or without shelter altogether. A large number of workers in the region are year-round residents, many living with children. Although much focus has been on providing housing for temporary farmworkers, the data is clear that the most significant need is for permanent farmworker family housing._x000D_
n the early days of California agriculture, farmworkers lived in substandard, deplorable conditions, much like the ones described in the Grapes of Wrath. They shared cramped rooms and shacks in squalid migrant camps, and slept in cars and in the fields._x000D_
It turns out, little has changed. Today, California growers rely on approximately 400,000-800,000 farmworkers to churn out more than 400 commodities—including the lion’s share of the country’s fruits, vegetables, and nuts. Most of those workers now live permanently with their families in the U.S. and earn an average annual pay of $20,500 due to the seasonal nature of their job, and often live in areas that suffer severe shortages of affordable housing._x000D_
California is deep in the midst of a state-wide housing crisis and although its cities often get the most attention, the crisis is just as acute in rural areas, where rentals are extremely expensive and hard to find. _x000D_
_x000D_
https://www.santacruzsentinel.com/2019/12/24/bay-area-housing-crisis-farmworker-families-doubling-up/_x000D_
https://pajaronian.com/officials-pushing-for-farmworker-housing/_x000D_
_x000D_
The chronic shortage of safe, affordable farmworker housing has grown even more acute, workers and advocates say, as tentacles of the Bay Area housing crisis have reached into the region. Long-term, low-wage laborers are being pushed even further to the edge._x000D_
Rents in outlying Santa Cruz and Monterey counties have risen nearly 50 percent since 2011 as Silicon Valley refugees have traded longer commutes for cheaper housing._x000D_
Watsonville, a six-square-mile farm town with a city center still recovering from the 1989 Loma Prieta earthquake, has become one destination for Bay Area workers. Its population grew nearly 4 percent between 2010 and 2017, adding 2,250 new residents, according to census figures. Yet in the last five years, just 440 new homes and apartments have been built in the city, showing a great need for new farmworker housing in the City of Watnsoville._x000D_
</t>
  </si>
  <si>
    <t>10-30 Los Esteros Ct. Santa Cruz</t>
  </si>
  <si>
    <t>Rodeo Creek Court (2342, 2332, 2322, 2318 Harper St., 50 &amp; 60 Rodeo Creek Ct., Santa Cruz)</t>
  </si>
  <si>
    <t>714 Fairmont Av., Santa Cruz</t>
  </si>
  <si>
    <t>277 Viking Lane, Marina CA 93933</t>
  </si>
  <si>
    <t>Habitat for Humanity Monterey Bay has been operational for thirty-three years, and we have assisted over seventy families with homeownership. Our selection criteria require that all homeowners have an income level of less than 80% AMI, adjusted for family size, but most of our homeowners are in the 50-65% AMI. All of our homeowners own homes in Santa Cruz and Monterey Counties. _x000D_
_x000D_
We have assisted first time homebuyers (FTHB) by underwriting  mortgages at zero percent, for terms ofthirty to forty years, which we have carrried on our books. More recently, we have used third party mortgage lenders to hold the first mortgages and subsidized the purchase price for low-income homeowners with FTHB assistance through HOME funds as well as CalHome funds, with terms of thirty years at zero percent.  _x000D_
_x000D_
For our mortgage asisstance program, we have an in-house resource that manages the application and verification process, credit score, homebuyers education, etc. We follow the procedures as presented in Sections 402.3 and 402.4 of the Guidelines. More details are provided in Habitat’s “Homeowner Selection and Mortgage Origination Policy Handbook”. _x000D_
_x000D_
All of our homes are built with volunteer labor from our community. Homeowners who are selected for a home are required to contribute 500 hours of sweat equity at the construction site. In the calendar year 2022, we had close to 12,000 hours contributed at our construction site where we are building eleven homes. _x000D_
_x000D_
All homebuyers funded through Serna Self-Help will be agricultural workers as defined in the guidelines</t>
  </si>
  <si>
    <t xml:space="preserve">Too many of our agricultural workers in the County are living in severely overcrowded conditions or without shelter altogether. A large number of workers in the region are year-round residents, many living with children. Although much focus has been on providing housing for temporary farmworkers, the data is clear that the most significant need is for permanent farmworker family housing._x000D_
n the early days of California agriculture, farmworkers lived in substandard, deplorable conditions, much like the ones described in the Grapes of Wrath. They shared cramped rooms and shacks in squalid migrant camps, and slept in cars and in the fields._x000D_
It turns out, little has changed. Today, California growers rely on approximately 400,000-800,000 farmworkers to churn out more than 400 commodities—including the lion’s share of the country’s fruits, vegetables, and nuts. Most of those workers now live permanently with their families in the U.S. and earn an average annual pay of $20,500 due to the seasonal nature of their job, and often live in areas that suffer severe shortages of affordable housing._x000D_
California is deep in the midst of a state-wide housing crisis and although its cities often get the most attention, the crisis is just as acute in rural areas, where rentals are extremely expensive and hard to find. _x000D_
https://www.santacruzsentinel.com/2019/12/24/bay-area-housing-crisis-farmworker-families-doubling-up/_x000D_
https://pajaronian.com/officials-pushing-for-farmworker-housing/_x000D_
_x000D_
The chronic shortage of safe, affordable farmworker housing has grown even more acute, workers and advocates say, as tentacles of the Bay Area housing crisis have reached into the region. Long-term, low-wage laborers are being pushed even further to the edge._x000D_
Rents in outlying Santa Cruz and Monterey counties have risen nearly 50 percent since 2011 as Silicon Valley refugees have traded longer commutes for cheaper housing._x000D_
Watsonville, a six-square-mile farm town with a city center still recovering from the 1989 Loma Prieta earthquake, has become one destination for Bay Area workers. Its population grew nearly 4 percent between 2010 and 2017, adding 2,250 new residents, according to census figures. Yet in the last five years, just 440 new homes and apartments have been built in the city, showing a great need for new farmworker housing in the City of Watnsoville._x000D_
</t>
  </si>
  <si>
    <t>At least 75 percent of the perimeter of the area adjoins parcels that are developed with urban uses, and one development application has been approved or is pending approval for a residential or mixed-use residential project that meets the definition and criteria in this section for a qualifying infill project</t>
  </si>
  <si>
    <t>Assuming 30% of income for a family with 3 people</t>
  </si>
  <si>
    <t>k) Infrastructure</t>
  </si>
  <si>
    <t>l) Construction (Materials &amp; Labor)</t>
  </si>
  <si>
    <t xml:space="preserve">Habitat will follow the program requirements and guidelines as presented in section 401.3 of the CalHome Guidelines. Habitat’s homes are deed restricted with Habitat having the first right of refusal. In addition to being deed restricted to maintain homes' affordability, Habitat does not sell the homes for more than their appraised value. The homes are made affordable through multiple financing sources and non-performing gap loans to ensure the Household maintains financial stability.  _x000D_
 _x000D_
Habitat has adopted a policy (“Homeowner Selection and Mortgage Origination Policy Handbook”) to ensure all program marketing, recruitment of homebuyers, and selection criteria (including residency, credit, and ADA accommodations) is carried out diligently and accurately. This includes a requirement for any household selected to complete a homebuyer education course, which Habitat will provide resources to. _x000D_
_x000D_
Habitat has the necessary staff to verify that the selected households meet eligibility requirements, including occupancy requirements, income limits, and the ability to pay. All homebuyers funded through Serna Self-Help technical assistance will be agricultural workers as defined in the guidelines. </t>
  </si>
  <si>
    <t>C:\Users\Compw\Desktop\HOSN Applications\HOSN0000250_attachments\0___Application_Workbook__Excel_\Excel Workbook.xlsm</t>
  </si>
  <si>
    <t>City of South Gate</t>
  </si>
  <si>
    <t>8650 California Ave.</t>
  </si>
  <si>
    <t>Lissette Montoya</t>
  </si>
  <si>
    <t>lmontoya@agi.com.co</t>
  </si>
  <si>
    <t>323-371-5530</t>
  </si>
  <si>
    <t>Administrative Subcontractor</t>
  </si>
  <si>
    <t>South Gate</t>
  </si>
  <si>
    <t>Carol Averell</t>
  </si>
  <si>
    <t>caverell@sogate.org</t>
  </si>
  <si>
    <t>323-563-9535</t>
  </si>
  <si>
    <t>Housing Manager</t>
  </si>
  <si>
    <t xml:space="preserve">The City of South Gate entered into a Professional Services Agreement with Avant-Garde, Inc. (AGI) to administer the mortgage assistance program and provide other services as needed in relation to CalHome. The City and AGI understand that CalHome funds must be expended within 36 months from the date the Standard Agreement between the City and HCD is fully executed. _x000D_
_x000D_
As part of the program set up, AGI will: develop policies and procedures for the CalHome funded program; develop program documents including applications, loan agreements, Loan Servicing Plan, Reuse Account Plan, and monitoring agreement; and develop and employ Mortgage Assistance Program Underwriting Guidelines to submit to HCD for approval. _x000D_
_x000D_
As part of the program implementation, AGI will: Conduct as needed outreach support to promote and market the program; Provide potential homebuyers contact information for general and specific questions regarding the program; Coordinate with interested/qualified households; Answer all public inquiries concerning the program; Conduct eligibility review of potential homebuyers; Obtain all required documents of income including pay stubs, social security, pensions, tax returns, etc., until all funds are exhausted; Provide information and assistance to first-time homebuyers on obtaining the maximum amount of first mortgage financing pursuant to HCD’s underwriting requirements; Ensure each assisted household completes a Homebuyer Education class that meets HCD requirements; Review appraisals for property eligibility under value limits established pursuant to HCD guidelines; If applicable, inspect property to be purchased or review Uniform Residential Appraisal Reports, including valuation conditions, to ensure they conform to State Housing Law requirements; If applicable, ensure the mobile home park has a valid or conditional permit to operate; Create project files that meet applicable HCD requirements regarding maintenance of documentation for monitoring and auditing purposes; Update City Staff on a monthly basis or as needed; Prepare CalHome funding requests and quarterly/annual reports as needed; and Coordinate with City Attorney to ensure CalHome program loans originating, underwriting, packaging, and closing are performed in accordance with CalHome program requirements._x000D_
_x000D_
As part of the program monitoring, AGI will: Certify occupancy restrictions, ensure property tax payments have been made, and ensure property has the appropriate fire insurance on a yearly basis; Assist with prepayment processing and loan change requests that may arise during the term of this agreement; and Monitor loans up to one year from the date of the issuance of the last CalHome loan, or administer the CalHome Program for four years, whichever is later. _x000D_
_x000D_
As part of the program close-out, AGI will: Provide complete records and project files to the City; Provide a list of projects inclusive of homebuyer and loan data to allow City to successfully process loan payoffs; and Provide written procedures for tracking and closing out loans once they are paid off. </t>
  </si>
  <si>
    <t>Carob Way Housing Development</t>
  </si>
  <si>
    <t>Colegrove Housing Development - Resale</t>
  </si>
  <si>
    <t>Eucalyptus Housing Development</t>
  </si>
  <si>
    <t>Maxson Road Housing Development</t>
  </si>
  <si>
    <t>The City of South Gate is currently working with Azure Community Development (Azure) and Habitat for Humanity of Greater Los Angeles (Habitat LA) to build and sell affordable homes to households at or below 80 percent of the Area Median Income (AMI). The City of South Gate is applying for CalHome funds to provide homeownership opportunities by offering down payment mortgage assistance to first-time homebuyers for the Azure and Habitat LA affordable housing developments. In accordance with the 2023 Homeownership Super NOFA and CalHome Guidelines, financial assistance provided to households at or below 80 percent of the AMI shall be in the form of deferred payment loans of up to $200,000. These loans are to be repayable upon the sale or transfer of the homes, when the home ceases to be owner-occupied, or upon the loan maturity date, whichever comes first. The loan shall be up to a 30-year term. The interest rate will be set by the City at up to 3 percent simple interest per annum. Borrowers shall occupy units as their principal place of residence for the term of the loan._x000D_
_x000D_
The Azure development project, Alma Townhomes, will be located at 7916 Long Beach Blvd., South Gate 90280. Eleven townhome units will receive mortgage assistance loans. The 3-bedroom units purchase price will start at $416,000 and the 4-bedroom units purchase price will start at $438,000. Federal HOME Investment Partnerships Program (HOME) funds and a private construction loan will finance the development costs including hard and soft costs such as onsite infrastructure, community amenities, demolition, signs, contingency, architectural fees, landscaping, streetscape, civil engineering, entitlements, environmental, outreach, market studies, utility connections, insurance, etc. Azure will implement Youth Construction Skills Training Program when developing the project, providing 5,500 hours of contributed labor. Azure is working to complete an affordable housing development project that will result in 9 units._x000D_
_x000D_
The Habitat LA development project will be located at 9001-9009 Long Beach Blvd., South Gate, 90280. Fourteen units will receive mortgage assistance loans. The purchase price will range between $633,350 and $662,500 per unit. Habitat LA will implement Volunteer Labor (375hrs/unit) and Self-Help Labor (125hrs/unit) when developing the project, provide 7,000 hours of contributed labor. Habitat LA has extensive experience with affordable housing development projects and successfully completed 38 units since January 6, 2019.  _x000D_
_x000D_
The City’s designated Administrative Subcontractor, Avant-Garde, Inc., has extensive experience administering federally funded homebuyer programs for various municipalities including for South Gate. Since 2017, Avant-Garde has successfully administered federally funded housing development projects that resulted in mortgage assistance loans for 15 units including the Carob Way, Colegrove, and Maxson Road Housing Developments listed above. Additionally, Avant-Garde is currently administering another seven homebuyer loans for a new housing development project.  To implement the homebuyer programs, Avant-Garde reviewed applications, performed income eligibility qualifications, calculated mortgage affordability ratios, prepared and coordinated loan agreements, prepared and coordinated escrow instructions, and kept project files updated with all executed documents.</t>
  </si>
  <si>
    <t>C:\Users\Compw\Desktop\HOSN Applications\HOSN0000251_attachments\0___Application_Workbook__Excel_\2023-HOSN-Application-Workbook (2)(1)..xlsm</t>
  </si>
  <si>
    <t>Affordable Community Living Corporation</t>
  </si>
  <si>
    <t>326 W Katella Ave #4L</t>
  </si>
  <si>
    <t>Sean McReynolds</t>
  </si>
  <si>
    <t>smcreynolds@townsendpa.com</t>
  </si>
  <si>
    <t>714-904-0541</t>
  </si>
  <si>
    <t>Senior Associate</t>
  </si>
  <si>
    <t>Scott McReynolds</t>
  </si>
  <si>
    <t>scott@scottmcreynolds.com</t>
  </si>
  <si>
    <t>714-585-7094</t>
  </si>
  <si>
    <t>Program Director</t>
  </si>
  <si>
    <t>ACL CalHome Program</t>
  </si>
  <si>
    <t xml:space="preserve">The Affordable Community Living Corporation (ACL) requests $5,000,000 in CalHome Program funds to facilitate the rehabilitation and/or replacement of 50 owner-occupied manufactured housing units in San Bernardino County. Of this requested amount, ACL requests $4,200,000 of OOR Funds for units that need regular rehabilitation and/or replacement and $800,000 (19%) for the allowable OOR Activity Delivery Fee to assist in covering eligible activity delivery fee costs that will be incurred for completion of this project. Further, though ACL’s registered address is in Santa Ana (Orange County) all proposed program activities will take place exclusively within San Bernardino County. _x000D_
Specific rehabilitation locations will include, but will not be limited to, ACL’s six manufactured home communities located in the City of San Bernardino, one manufactured community in the City of Highland, one manufactured home community in the City of Needles, one manufactured home community in the City of Barstow, and one manufactured home community in the City of Apple Valley. ACL owns and operates eight of the 10 communities described in this application and ACL’s loan servicing partner, Santiago Communities, Inc., owns the remaining two. The names and addresses of all 10 communities aforementioned are included in the attached Opportunity Zone maps (attachment entitled “OOR Community Revitalization.”) The attached map also indicates whether ACL or Santiago Communities, Inc. is the owner of each listed community. _x000D_
Per ACL records, the “not to exceed” annual median household income across its eight communities is $51,750, or approximately 81% of the statewide average, with incomes ranging as low as a “not to exceed” level of $40,250 per household. Further, six of the ten communities identified above are located within designated Opportunity Zones, and the remaining four are located in close proximity to Opportunity Zones, generally within 1 mile of an Opportunity Zone boundary, as demonstrated in the included “OOR Community Revitalization” attachment. In determining possible additional locations, ACL will ensure that all are located in or in close proximity to designated Opportunity Zones in the service area for the proposed program. Furthermore, per the California Air Resources Board Disadvantaged Communities and Priority Populations Map tool, all 10 included ACL and Santiago Communities, Inc. manufactured home communities are AB 1550 Low-Income Communities, SB 535 Disadvantaged Communities, both, or AB 1550 Low-Income communities within a half-mile of an SB 535 Disadvantaged Community. This indicates that all of these communities have been identified by CalEPA as being in the top 25% most impacted CalEnviroScreen 3.0 census tracts statewide, or identified as communities that are at or below 80 percent of the statewide median income. _x000D_
In administering this program, ACL will market the proposed Owner-Occupied Rehabilitation program to all eligible residents of ACL manufactured home communities, Santiago Communities, Inc. manufactured home communities, and other manufactured home communities located in San Bernardino County. ACL staff will ensure that clear and complete program information is provided to all eligible homeowners and will be available to respond to inquiries from interested homeowners in a timely manner. ACL will also verify the income of interested households to ensure compliance with the requirement that assisted households be at or below 80 percent of AMI._x000D_
Both ACL and its loan servicing partner for this program, Santiago Communities, Inc., have extensive experience administering manufactured home rehabilitation programs. Since 2019, ACL has rehabilitated a total of 625 manufactured homes, including 66 veteran-owned homes, by working directly with homeowners in its manufactured home communities and with contractors for completion of construction work. Additionally, Santiago Communities has more than 20 years of experience in servicing manufactured home loan contracts, with a current servicing portfolio of 950 loans totaling $71.3 million and is currently servicing 147 loans for ACL under an existing Purchase and Sale Agreement, a copy of which is included with this application for reference. For the labor necessary to complete these rehabilitations, ACL and Santiago Communities have worked with several General Contractors, including Santiago Homes, Gavidia RRP and Team Home Depot, as well as leveraging staff and volunteer efforts. For the program proposed in this application, ACL will follow all program requirements for contracting of labor and facilitating an agreement between the selected contractor(s) and individual manufactured homeowners, as outlined in the CalHome Program guidelines. _x000D_
_x000D_
</t>
  </si>
  <si>
    <t xml:space="preserve">The Affordable Community Living Corporation (ACL) will, with the assistance of its loan servicing partner Santiago Communities, Inc., comply with all requirements for Local Program administration as outlined in the CalHome Program guidelines. This will include:_x000D_
1.	Marketing the proposed Owner-Occupied Rehabilitation program to all eligible residents of the ACL manufactured home communities, and other manufactured home communities, located in San Bernardino County. ACL staff will ensure that clear and complete program information is provided to all eligible homeowners and will be available to respond to inquiries from interested homeowners in a timely manner._x000D_
2.	Determining income eligibility of each household that expresses interest in the program, to ensure meeting the income requirements as identified in the CalHome Program guidelines and CalHome NOFA, which stipulate that eligible households must be at or below 80 percent of AMI._x000D_
3.	Complying with administration requirements specific to OOR programs, including:_x000D_
a.	Reviewing after-rehabilitation valuations to ensure property eligibility under the value limits established in the current NOFA, as required by CalHome Program _x000D_
b.	Originating, underwriting, packaging, and closing CalHome Program loans in accordance with program requirements. For this requirement, Santiago Communities, Inc. will provide loan servicing at no cost to ACL, as indicated in the Loan Servicing Narrative and the commitment letter from Santiago Communities, Inc. that is included with this application._x000D_
c.	Developing and employing OOR Program Guidelines, to be submitted to and approved by the Department of Housing and Community Development, addressing the following topics:_x000D_
i.	OOR underwriting guidelines, including borrower credit requirements_x000D_
ii.	Rehabilitation construction documents_x000D_
d.	Obtaining an assessment of each rehabilitation property prior to commencement of any rehabilitation work, as outlined in the CalHome Program guidelines_x000D_
e.	Obtaining title insurance on the amount of the CalHome Program loan at close of escrow_x000D_
f.	Ensuring that borrowers maintain fire insurance on the property per the requirements outlined in the CalHome Program guidelines. _x000D_
4.	Disbursing funds on behalf of borrowers during rehabilitation_x000D_
5.	Maintaining complete and accurate records of all CalHome Program loan disbursements and repayments to ensure adherence to property accounting procedures_x000D_
6.	Complying with reporting requirements as outlined in the CalHome Program guidelines_x000D_
7.	Complying with all other Nonprofit Corporation requirements as set forth in the CalHome Program Guidelines and all applicable federal and state regulations_x000D_
</t>
  </si>
  <si>
    <t>C:\Users\Compw\Desktop\HOSN Applications\HOSN0000252_attachments\0___Application_Workbook__Excel_\Excel Workbook.xlsm</t>
  </si>
  <si>
    <t>City of Rialto</t>
  </si>
  <si>
    <t>150 S. Palm Ave</t>
  </si>
  <si>
    <t>Rialto</t>
  </si>
  <si>
    <t>Kathy Brann</t>
  </si>
  <si>
    <t>Economic Development Manager</t>
  </si>
  <si>
    <t>kbrann@rialtoca.gov</t>
  </si>
  <si>
    <t>909-820-2505 ext 2041</t>
  </si>
  <si>
    <t>Arron Brown</t>
  </si>
  <si>
    <t>Acting City Manager</t>
  </si>
  <si>
    <t>abrown@rialtoca.gov</t>
  </si>
  <si>
    <t>909-421-7219</t>
  </si>
  <si>
    <t>AB</t>
  </si>
  <si>
    <t>Lynwood Housing Rehab Program</t>
  </si>
  <si>
    <t>Bellflower Housing Rehab Program</t>
  </si>
  <si>
    <t>Cudahy Housing Rehab Program</t>
  </si>
  <si>
    <t>Pico Rivera Housing Rehab Program</t>
  </si>
  <si>
    <t>Rialto Mobile-Home Rehab and Home-Sweet-Home Rehab Programs</t>
  </si>
  <si>
    <t xml:space="preserve">The City of Rialto is applying for CalHome funds to provide loans for owner-occupied rehabilitation assistance. Loans of up to $100,000 will be offered to approximately 25 single-family-home owners and loans of up to $20,000 will be offered to approximately 50 mobile-home owners for rehabilitation of currently occupied residences within the City of Rialto. In accordance with the 2023 Homeownership Super NOFA and CalHome Guidelines, financial assistance provided to qualified individual homeowners at or below 80 percent of the Area Median Income (AMI) shall be in the form of deferred payment loans. These loans are to be repayable upon the sale or transfer of the homes, when the home ceases to be owner-occupied, or upon the loan maturity date, whichever comes first. The loan shall be up to a 30-year term. The interest rate will be set by the City at up to 3 percent simple interest per annum. Borrowers shall occupy units as their principal place of residence for the term of the loan. _x000D_
_x000D_
Financial assistance provided to individual households to rehabilitate, repair, or replace manufactured housing located in a mobile-home park and not permanently affixed to a foundation shall be in the form of a secured forgivable loan. The loan shall be due and payable in 20 years, with 10 percent of the original principal to be forgiven annually for each additional year beyond the 10th year that the home is owned and continuously occupied by the borrower. _x000D_
_x000D_
There is to be no contributed labor associated with this program. _x000D_
_x000D_
The City’s designated Administrative Subcontractor, Avant-Garde, Inc., has extensive experience administering federally funded owner-occupied rehabilitation programs for various municipalities including for Rialto. During the past four years, Avant-Garde has successfully administered federally and state funded housing rehabilitation projects for more than 70 units. To implement the housing rehabilitation programs, Avant-Garde reviewed applications, performed income eligibility qualifications, obtained appraisals, prepared and coordinated loan/grant agreements, conducted inspections, prepared work write ups and environmental documents, processed payment requests, and kept project files updated with all executed documents. </t>
  </si>
  <si>
    <t xml:space="preserve">The City of Rialto entered into a Professional Services Agreement with Avant-Garde, Inc. (AGI) to administer the owner-occupied rehabilitation program and provide other services as needed in relation to CalHome. The City and AGI understand that CalHome funds must be expended within 36 months from the date the Standard Agreement between the City and HCD is fully executed. _x000D_
_x000D_
As part of the program set up, AGI will: develop policies and procedures for the CalHome funded program; develop program documents including applications, loan agreements, Loan Servicing Plan, Reuse Account Plan, and monitoring agreement; and develop and employ Owner-Occupied Rehabilitation Program Underwriting Guidelines, including borrower credit requirements, to submit to HCD for approval. _x000D_
_x000D_
As part of the program implementation, AGI will: Conduct as needed outreach support to promote and market the program; Provide potential households contact information for general and specific questions regarding the program; Coordinate with interested/qualified households; Answer all public inquiries concerning the program; Conduct eligibility review of potential homeowners; Obtain all required documents of income including pay stubs, social security, pensions, tax returns, etc., until all funds are exhausted; Obtain a title report, property profile, or other proof of property ownership; Review after-rehabilitation appraisals for property eligibility under value limits established pursuant to the Super NOFA; Obtain appraisals that include the pre-rehabilitated value and the after-rehabilitation value; Assist the City in obtaining title insurance in the amount of the loan at close of escrow; Prepare the information needed to meet the environmental review and CEQA requirements for all assisted properties prior to construction commencing; Take “before and after” photos including work to be done, work in progress, and completed improvements; Ensure that construction or rehabilitation paid with HCD funds conforms to HCD regulations, as applicable, and any other federal or state requirements which are associated with the grant funding source; Conduct property inspections to identify requested work eligibility under the manual guidelines, as well as meeting the City’s Building and Planning Division’s requirements; Prepare work write-ups, describing necessary repairs and improvements including line-item cost estimates; Obtain required signatures, put out to bid, perform bid opening, evaluate bids, etc.; Keep updated Contractors’ list with all eligible requirements including proof of insurance, verification with the Excluded Parties Listing System, and California Contractor’s State License Board; Ensure professional plans are submitted to the Building Division and that contractors obtain permits; Conduct pre-construction conferences with the contractor and homeowner; Monitor construction for compliance with the construction contact program requirements and assure that all work is professional and includes property materials; Conduct final inspections and close out project with all necessary lien releases, notices of completion and Building Inspector’s final; Prepare and provide (with required signatures) all payment requests to City staff, including lien releases, change orders, and all other required documents; Ensure that property warranty information is provided to the homeowner; Collect and report information per each application about the uses of funds at least monthly, including property location and activity, funds budgeted and expended (all funding sources), beginning and ending dates of activities, other data needed to support HCD reporting requirements and performance measures, and income, family composition and other information required to document eligibility; Create project files that meet applicable HCD requirements regarding maintenance of documentation for monitoring and auditing purposes; Update City Staff on a monthly basis or as needed; Prepare CalHome funding requests and quarterly/annual reports as needed; and Coordinate with City Attorney to ensure CalHome program loans originating, underwriting, packaging, and closing are performed in accordance with CalHome program requirements._x000D_
_x000D_
As part of the program monitoring, AGI will: Certify occupancy restrictions and ensure property has the appropriate fire insurance on a yearly basis; Assist with prepayment processing and loan change requests that may arise during the term of this agreement; and Monitor loans up to one year from the date of the issuance of the last CalHome loan, or administer the CalHome Program for four years, whichever is later. _x000D_
_x000D_
As part of the program close-out, AGI will: Provide complete records and project files to the City; Provide a list of projects inclusive of homeowner and loan data to allow City to successfully process loan payoffs; and Provide written procedures for tracking and closing out loans once they are paid off. </t>
  </si>
  <si>
    <t>C:\Users\Compw\Desktop\HOSN Applications\HOSN0000263_attachments\0___Application_Workbook__Excel_\HOSN-Application-Workbook 2.22.2023.xlsm</t>
  </si>
  <si>
    <t>City of Brawley</t>
  </si>
  <si>
    <t>383 Main Street</t>
  </si>
  <si>
    <t>Brawley</t>
  </si>
  <si>
    <t>Tyler Salcido</t>
  </si>
  <si>
    <t>TSalcido@brawley-ca.gov</t>
  </si>
  <si>
    <t>760-351-3048</t>
  </si>
  <si>
    <t>Eva Madueno</t>
  </si>
  <si>
    <t>EM</t>
  </si>
  <si>
    <t>EMadueno@brawley-ca.gov</t>
  </si>
  <si>
    <t>760-351-1905</t>
  </si>
  <si>
    <t>Loan Processor/Admin. Secretary</t>
  </si>
  <si>
    <t>18-CDBG Owner-Occupied Rehabilitation</t>
  </si>
  <si>
    <t>The City of Brawley recognizes the serious and basic need of providing sound and affordable for low-very low income households and has opted to continue with its housing rehabilitation program.  This program will be implemented city wide, concentration of substandard units occupied by target low-mod income household demonstrates that a need for rehabilitation.  The goal of this program is intended to improve the condition of housing stock, eliminate blight, and improve the ability of life of low-mod income households.  The City is proposing to rehabilitate up to 12 owner-occupied units to include but not limited to reconstructions and grants._x000D_
_x000D_
The City has over 25+ years of experience with this program.</t>
  </si>
  <si>
    <t>Implement local program and be responsbile for marketing determination of household income-eligibility, compliance with owner-occupied rehabilitation administration, underwriting and construction requirements.  Maintain complete and accurate records.  Comply with reporting requirements.  Nondiscrimination policy and comply with all applicable state and federal law, rules, guidelines and regulations.</t>
  </si>
  <si>
    <t>C:\Users\Compw\Desktop\HOSN Applications\HOSN0000004_attachments\0___Application_Workbook__Excel_\2023-HOSN-Application-Workbook 2.22.2023.xlsm</t>
  </si>
  <si>
    <t>County of Santa Clara</t>
  </si>
  <si>
    <t>150 W. Tasman Drive</t>
  </si>
  <si>
    <t>Natalie Monk</t>
  </si>
  <si>
    <t>Natalie.Monk@hhs.sccgov.org</t>
  </si>
  <si>
    <t>408-510-0335</t>
  </si>
  <si>
    <t>HCD Division Manager</t>
  </si>
  <si>
    <t>San jose</t>
  </si>
  <si>
    <t>Lily Nguyen</t>
  </si>
  <si>
    <t>Lily.b.nguyen@hhs.sccgov.org</t>
  </si>
  <si>
    <t>408-793-0550</t>
  </si>
  <si>
    <t>Sr. HCD Specialist</t>
  </si>
  <si>
    <t>LN</t>
  </si>
  <si>
    <t>408-278-6400</t>
  </si>
  <si>
    <t>Empower Homebuyer SCC Program</t>
  </si>
  <si>
    <t>The County will perform all duties required for the implementation of administering the mortgage assistance program by utilizing staff that specializes in grant administration including marketing, reporting financial management, draw requests, and regulation compliance. The County may partner with government agencies and non profit organization within the County to determine income eligibility. The County manages its own loan servicing and will be responsible for annual monitoring for occupancy, insurance, payment of property taxes, payment tracking, payoff, calculations demand processing and reconveyances. and default recovery.</t>
  </si>
  <si>
    <t xml:space="preserve">The County of Santa is applying for $4,000,000 in CalHome Program funds to provide deferred mortgage assistance of up to $250,000 per unit to assist approximately 16 lower-income (80% AMI or below) households with the purchase of a single-family, mobile home, condo, townhomes, or ADU/JADU within the purchase price limit of the program located in the incorporated and unincorporated areas of the County of Santa Clara. The County has administered Empower Homebuyers SCC, a first-time homebuyer mortgage assistance program for low-income family for the past five years.  This program has provided downpayment assistance to approximately 50 households utilizing the County's 2016 Measure A Affordable Housing Bond funds.  No contributed labor will be used in the County's homebuyer assistance program._x000D_
</t>
  </si>
  <si>
    <t>Rebuilding Together Silicon Valley</t>
  </si>
  <si>
    <t xml:space="preserve">Santa Clara Single Family Rehabilitation Loan/Grant Program  </t>
  </si>
  <si>
    <t xml:space="preserve">80% AMI talk about the two program that had helped 20 households (14 from RTSV and 7 from SCC OOR Grant). Program is county wide. Both Program funded with CDBG. No actual program yet. Might put more money into rebuilding together. </t>
  </si>
  <si>
    <t>BMR</t>
  </si>
  <si>
    <t>Rebuiding Together</t>
  </si>
  <si>
    <t xml:space="preserve">Within the past 4 years, the County assisted over 60+ homeowners in rehabilitating their home through various program by providing deferred subordinate loans or direct labor repairs and improvements at no cost to the homeowners. The County is establishing a program to provide deferred subordinate loans to lower-income households to to support the rehabilation, repair, or construction of a new ADUs/JADUs within Santa Clara County. The County intends to use CalHome funding and the County's 2016 Measure A Affordable Housing Bond to fund the programs. _x000D_
_x000D_
The County will reimburse the Borrower for eligible costs to support the rehabilitation, repair, or construction of a new ADU/JADU. If approved, the County will then issue program loans to County-approved borrowers. If CalHome Program funds are used for a program loan, the income of the household shall be 80% AMI or less.  _x000D_
</t>
  </si>
  <si>
    <t>The County will perform all duties required for the implementation of administering loans to qualified borrowers by utilizing staff that specializes in grant administration including marketing, reporting, financial management, draw requests, and regulation compliance. The County may partner with cities and nonprofit agancies within the County to determine income eligibility. The County manages its own loan servicing and will be responsible for annual monitoring for occupancy, insurance, payment of property taxes payment, tracking payoff calculations, demand processing and reconveyances, and default recovery.</t>
  </si>
  <si>
    <t>SF Owner Occupied Rehab Grant Program</t>
  </si>
  <si>
    <t>C:\Users\Compw\Desktop\HOSN Applications\HOSN0000008_attachments\0___Application_Workbook__Excel_\Excel Workbook - Solano-Napa Habitat for Humanity.xlsm</t>
  </si>
  <si>
    <t>Solano-Napa Habitat for Humanity Inc.</t>
  </si>
  <si>
    <t>5130 Fulton Drive Suite R</t>
  </si>
  <si>
    <t>Doris Ferreira</t>
  </si>
  <si>
    <t>dferreira@solanonapahabitat.org</t>
  </si>
  <si>
    <t>Andrew Killeen</t>
  </si>
  <si>
    <t>akilleen@solanonapahabitat.org</t>
  </si>
  <si>
    <t>AK</t>
  </si>
  <si>
    <t>891 Saratoga Drive Napa CA 94559 3-Bed/2-Bath Single-Family Home</t>
  </si>
  <si>
    <t>250 South Jackson Street Dixon CA</t>
  </si>
  <si>
    <t>610 St Francis Way Rio Vista CA</t>
  </si>
  <si>
    <t>Federal Community Projects Funding (CPF)</t>
  </si>
  <si>
    <t>The Home Depot Foundation</t>
  </si>
  <si>
    <t>Wells Fargo Foundation</t>
  </si>
  <si>
    <t>Other Local Philanthropic Corporations</t>
  </si>
  <si>
    <t>Solano-Napa Habitat for Humanity</t>
  </si>
  <si>
    <t>City of Vacaville ARPA Funds</t>
  </si>
  <si>
    <t>891 Saratoga Drive Napa CA 94559 3-Bedroom/2-Bathroom Single-Family Home</t>
  </si>
  <si>
    <t>Scoggins Court Habitat Homeownership Project</t>
  </si>
  <si>
    <t>1035 East Monte Vista Avenue</t>
  </si>
  <si>
    <t>Vacaville</t>
  </si>
  <si>
    <t xml:space="preserve">The site is entirely undeveloped so we will be installing a street sidewalks and all utilities. Subsequently we will be building 10 semi-detached single-family homes on 10 parcels.  Following is a schedule of performance significant milestones in this project:_x000D_
9/15/2023 - Application for Land Use Approval_x000D_
10/1/2023 - Tentative Map Approved_x000D_
3/15/2024 - Obtain Land Use Approval_x000D_
5/1/2024 - Present for Approval the Final Subdivision Map_x000D_
6/30/2024 - Final Map approved_x000D_
8/1/2024 - Submit Construction/Site Improvement/Grading Plans_x000D_
1/1/2025 - Submit Application for Building Permits_x000D_
4/1/2025 - Receive Evidence of Entitlement to Receive Building Permits_x000D_
5/1/2025 - Submit Proposed Construction Contract_x000D_
5/1/2025 - Construction of Off-Site Improvements begins_x000D_
1/1/2026 - Construction of On-Site Improvements begins_x000D_
7/1/2028 - Complete Construction_x000D_
</t>
  </si>
  <si>
    <t>Disposition and Development Agreement (DDA)</t>
  </si>
  <si>
    <t>We executed a Disposition, Development, and Loan Agreement (DDLA) with the City of Vacaville providing us with Site Control for the property on Scoggins Court.  We have opened a dialog with their Housing Department to close escrow at a time that would accommodate a DPL award.</t>
  </si>
  <si>
    <t xml:space="preserve">City of Vacaville, </t>
  </si>
  <si>
    <t>CAR</t>
  </si>
  <si>
    <t>COMMUNITY NEED in Vacaville based on Solano County Statistics: Housing affordability: 5.40; Percentage of Low-Income Rental Households: 58.03%; Percentage of Overcrowded Rental Households: 3.13%. FEASIBILITY:  Median Owner to Renter Cost Ratio:  1.33.  Our project will target households earning between 50% and 80% of the Area Median Income (AMI).  Households will be selected through our traditional Habitat for Humanity selection process whereby we will be seeking Partner Families who have a need for decent housing (i.e. their current housing is substandard in some way e.g. overcrowded or they are paying too much for housing, i.e. over 30% of their income) they are willing to partner with our organization because they will be required to provide up to 500 hours of sweat equity towards building their house (CLP) and they must be able to make monthly housing expenses (PTI) amounting to 30% of their gross income.  Our organization will structure the financing so that the sum of their monthly principal payment on their 30-year 0% interest first mortgage loan their homeowners insurance premium and their property tax will equal no more than 30% of their gross income.</t>
  </si>
  <si>
    <t>FEASIBILITY:  Median Owner to Renter Cost Ratio: 1.33.  Habitat affiliates like ours (Solano-Napa Habitat for Humanity) select buyers (what we call Partner Families) who have been informed of our affordable homeownership program and are willing to partner with us - they are willing to provide up to 500 hours of sweat equity towards building their home and they can afford monthly housing payments of 30% or less of their monthly gross income (based on our loan underwriting process their eligibility for our program and their ability to make monthly payments will be closely vetted)._x000D_
Solano-Napa Habitat for Humanity routinely subsidizes the sales of the houses we build to low-income households by originating soft second/subordinate mortgages that span the difference between the sales price (the Fair Market Value*, or no more than the median sales price for the County) and an affordable first mortgage (also originated by SNHFH).  The first mortgage is a 30-year loan fixed at 0% interest, requiring monthly payments.  The soft second/subordinate mortgage requires no monthly payments and is due upon sale or transfer.  Our plan for this project is to convert the CalHome DPL for which we are hereby applying into CalHome First-Time Homebuyer Mortgage Assistance Loans, which would help us subsidize the sales of the 10 houses we intend to build.  One of the obstacles to completing this project will be the cost to install the infrastructure, e.g. street, sidewalks, and underground utilitilies, and the DPL will assist SNHFH in accomplishing that, and by converting the DPL into mortgage assistance loans, it will also facilitate the sustainable production of yet more affordable housing units for low-income households in Solano County._x000D_
*SNHFH sells the houses we build for their FMV, so that they do not artificially diminish the value of the surrounding market-rate homes, and we structure the financing, so our Partner Families pay no more than 30% of monthly gross income on housing (at the time of closing).</t>
  </si>
  <si>
    <t>Solano-Napa Habitat for Humanity has throughout its history marketed its affordable homeownership opportunity, and promoted and conducted orientation sessions (in-person and now on-line) to inform households interested in applying all about our program and the affordable financing we provide) screened applications.  After the the Family Services Committee has presented the SNHFH board of directors with a slate of the most highly qualified households in need of a safe, decent, and affordable place to call home - the board then selects the same number of Partner Families as available housing units in the project.  Those Partner Families then contribute up to 500 hours of Sweat Equity towards the construction of their homes, and upon completion they buy the homes from SNHFH with the affordable financing made available by SNHFH._x000D_
To be income eligible, households must earn between 50% and 80% of the Area Median Income (AMI) adjusted for family size.  As part of their Sweat Equity obligation, Partner Families will complete a 10-hour curriculum of homebuyer education courses including topics like preparing for homeownership, available financing and credit analysis, loan closing and homebuyer responsibilities, loan servicing, and home maintenance (during the construction of their home).  Upon completion of the homebuyer curriculum, our Partner Families are presented with a Certificate of Completion._x000D_
Our attached Loan Servicing Plan details how we will meet the loan servicing requirements of Section 206 of the Program Guidelines, and our attached Reuse Account Plan details how we will meet the requirements of Section 207 of the Program Guidelines._x000D_
While contributing their Sweat Equity, our Partner Families will learn how to perform a number of construction tasks during the construction of their home._x000D_
Our attached Homeownership Application (presented as: CalHome PDL CLP Participant Criteria) details how Partner Families are selected and how our loan origination process complies with all regulations during the ECOA and RESPA phases of the process._x000D_
First-Time Homebuyer Mortgage Assistance Loans will be committed at the time of the homeowner's property acquisition.  At close of escrow recorded Deeds of Trust will secure the Promissory Notes originated for the CalHome First-Time Homebuyer Mortgage Assistance Loans, and a Reuse Account will be maintained to receive repayments of the CalHome First-Time Homebuyer Mortgage Assistance Loans, so they can be reused on subsequent eligible affordable homeownership projects._x000D_
During the Term of the Standard Agreement, quarterly reports will be submitted to CalHome recording the current status of the program and the number of units served, challenges faced, plans for the upcoming quarter, award amount, funds drawn, and the remaining balance to be awarded._x000D_
SNHFH staff include Qualified Loan Originators (QLOs) who are trained and certified to comply with all ECOA (Equal Credit Opportunity Act) and RESPA (Real Estate Settlement Procedures Act) regulations.  Those regulations include nondiscrimination regulations, and all literature includes the Equal Housing Opportunity logo, to ensure all understand that our Partner Family selection and loan origination process is free of discrimination on any grounds.</t>
  </si>
  <si>
    <t>250 South Jackson Street Dixon CA 95620 6-Bedroom/3-Bathroom Single-Family Home</t>
  </si>
  <si>
    <t>610 St Francis Way Rio Vista CA 94571 6-Bedroom/3-Bathroom Single-Family Home</t>
  </si>
  <si>
    <t>1031 East Monte Vista Avenue</t>
  </si>
  <si>
    <t>1021 East Monte Vista Avenue</t>
  </si>
  <si>
    <t>131 Scoggins Lane</t>
  </si>
  <si>
    <t>137 Scoggins Lane</t>
  </si>
  <si>
    <t>143 Scoggins Lane</t>
  </si>
  <si>
    <t>149 Scoggins Lane</t>
  </si>
  <si>
    <t xml:space="preserve">This entire residential project is located within an urbanized area on a site that was previously developed.  Additionally, 100% of the perimeter of the site adjoins parcels that are developed with urban sites (50% residential and 50% public streets and commercial - see attached Aerial Photo)_x000D_
</t>
  </si>
  <si>
    <t>City of Vacaville</t>
  </si>
  <si>
    <t>General Plan Amendment - NOT Required</t>
  </si>
  <si>
    <t>Density Bonus - NO</t>
  </si>
  <si>
    <t>(k) Site Supervision and O/H (ADF @ 10%)</t>
  </si>
  <si>
    <t>See Verification of Land Use (attached)</t>
  </si>
  <si>
    <t>C:\Users\Compw\Desktop\HOSN Applications\HOSN0000044_attachments\0___Application_Workbook__Excel_\Updated_2023-HOSN-Application-Workbook Update for 2-22-2023_Final.xlsm</t>
  </si>
  <si>
    <t>San Diego Housing Commission (SDHC)</t>
  </si>
  <si>
    <t>1122 Broadway Ste. 300</t>
  </si>
  <si>
    <t>Julia Sauer</t>
  </si>
  <si>
    <t>julias@sdhc.org</t>
  </si>
  <si>
    <t>(619) 578-7593</t>
  </si>
  <si>
    <t>Director Compliance Grants &amp; Special Programs</t>
  </si>
  <si>
    <t>Jeff Davis</t>
  </si>
  <si>
    <t>jeffd@sdhc.org</t>
  </si>
  <si>
    <t>(619) 578-7606</t>
  </si>
  <si>
    <t>Interim President &amp; CEO</t>
  </si>
  <si>
    <t>Local Public Housing Authority</t>
  </si>
  <si>
    <t>Carrie Tapia</t>
  </si>
  <si>
    <t>carriet@sdhc.org</t>
  </si>
  <si>
    <t>(619)578-7497</t>
  </si>
  <si>
    <t>Housing Programs Manager</t>
  </si>
  <si>
    <t>First Time Homebuyer - Down Payment &amp; Closing Cost Assistance Program</t>
  </si>
  <si>
    <t>The San Diego Housing Commission (Housing Authority of the City of San Diego) is requesting $5,000,000 to provide First-Time Homebuyer (FTHB) Mortgage Assistance to approximately 25 eligible households earning up to 80 percent of Area Median Income. Eligible households may apply for a deferred payment loan at 3 percent simple interest of up to 22 percent of their purchase price, not to exceed $200,000, for the purchase of a home in the City of San Diego. The San Diego Housing Commission has administered a first-time homebuyer program since 1990, successfully helping over 5,985 low- to moderate-income families and individuals purchase their first home in the City of San Diego. Since the program's inception, we have provided nearly $100 million in loan and grant funding and more than $97 million in mortgage credit certificates to help low-moderate income households purchase a home in the City of San Diego. Funding for our First-Time Homebuyer Program has been made possible through the 8 previous CalHome grants totaling $12 million, as well as federal HOME, CDBG and NSP funds, local Inclusionary and Housing Trust funds and mortgage credit certificates.</t>
  </si>
  <si>
    <t xml:space="preserve">Marketing for our program is done on our website and through our partnership with 285 local loan officers.  SDHC maintains a FTHB Program Manual and Guideline developed in accordance with HCD CalHome Program Guidelines, the Health and Safety Code, and Federal HOME Regulations.  Our guidelines are reviewed regularly to ensure the most recent rules and regulations imposed by our funding sources are in force.  All loan officers are trained in our program guidelines and are required to submit full underwriting applications to us through our online lender portal.  SDHC has a team of dedicated managers and underwriters who complete a thorough underwriting and eligibility review of the applicant's income, assets, credit history, work history, debt to income ratios, loan to value, homebuyer education certificate, appraisal and inspection to ensure they meet the FTHB program eligibility criteria.  Upon approval, our staff prepares loan documents and coordinates the funding and closing of the loan.  After closing, loans are transferred to our loan servicing department.  All loans are serviced in-house by our loan servicing department and managed in our loan servicing software.  </t>
  </si>
  <si>
    <t>C:\Users\Compw\Desktop\HOSN Applications\HOSN0000052_attachments\0___Application_Workbook__Excel_\2023-HOSN-Revised Application-CHINO 2.15.23.xlsm</t>
  </si>
  <si>
    <t>City of Chino</t>
  </si>
  <si>
    <t>13220 Central Avenue</t>
  </si>
  <si>
    <t>Traci Smith</t>
  </si>
  <si>
    <t>tsmith@cityofchino.org</t>
  </si>
  <si>
    <t>909-334-3509</t>
  </si>
  <si>
    <t>Senior Management Analyst</t>
  </si>
  <si>
    <t>Pat Cacioppo</t>
  </si>
  <si>
    <t>pcacioppo@cityofchino.org</t>
  </si>
  <si>
    <t>909-334-3355</t>
  </si>
  <si>
    <t>Management Assistant</t>
  </si>
  <si>
    <t>pc</t>
  </si>
  <si>
    <t xml:space="preserve">Home Improvement Program </t>
  </si>
  <si>
    <t xml:space="preserve">The City of Chino has successfully administered home improvement programs aimed at revitalizing and preserving the City’s housing stock and residential neighborhoods for over twenty years.  Resources for funding include federal, state, and local funding made available through the U.S. Department of Housing and Urban Development (HUD), Housing and Community Development (HCD), and the City’s Affordable Housing Funds._x000D_
_x000D_
The City’s proposed program for the current funding is designed to provide assistance in the form of deferred home improvement loans to very- low, and low- income mobile home- owners within city limits. This program will help ensure safe, maintained, affordable housing for mobile home park residents with a positive impact on their quality of life.  _x000D_
</t>
  </si>
  <si>
    <t xml:space="preserve">The City of Chino administers Home Improvement programs in house utilizing qualified housing staff. Administration includes intake, eligibility determination, financing, project management, loan servicing, and reporting. Strict guidelines for administration are included in our application documents but in summary the following are required to ensure eligibility:  household size and income; liquid assets, ownership, maximum property value, equity, insurance, property taxes, judgements, ratios, and eligibility of repairs requested. _x000D_
_x000D_
Following determination of eligibility, city staff coordinates with the residents to secure a qualified contractor through formal bidding procedures, manage the project through completion and ensure contractor payment, process the loan, related contracts, and complete any required reporting to the funding source.  The origination and servicing of the Home Improvement Program loans will be administered by the City._x000D_
</t>
  </si>
  <si>
    <t>C:\Users\Compw\Desktop\HOSN Applications\HOSN0000114_attachments\0___Application_Workbook__Excel_\NHSIE 2023-HOSN-Application-Workbook FINAL.xlsm</t>
  </si>
  <si>
    <t>Neighborhood Housing Services of the Inland Empire</t>
  </si>
  <si>
    <t>1845 S. Business Center Dr.</t>
  </si>
  <si>
    <t xml:space="preserve">Alisa Cota </t>
  </si>
  <si>
    <t>Alisa.Cota@nhsie.org</t>
  </si>
  <si>
    <t xml:space="preserve">Real Estate Development Manager </t>
  </si>
  <si>
    <t xml:space="preserve">San Brnardino </t>
  </si>
  <si>
    <t>Kailin Scott</t>
  </si>
  <si>
    <t>kailin.scott@nhsie.org</t>
  </si>
  <si>
    <t xml:space="preserve">CEO/ Executive Director </t>
  </si>
  <si>
    <t>KS</t>
  </si>
  <si>
    <t xml:space="preserve">NHSIE already has the capabilities, infrastructure and staffing to support local program administration for full and effective utilization of CalHome funds to increase first-time homeownership among LMI households in our region. Our capacity in the core areas of local program administration are as follows:_x000D_
_x000D_
(1)	Marketing: NHSIE is a well-established nonprofit based in the Inland Empire, where we have operated Homeownership Promotion programs targeted to LMI households and people of color for over 40 years. We maintain a user-friendly website. We also regularly communicate with past, present and potential customers, volunteers, community partners, stakeholders, and the broader Inland Empire community through a variety of platforms, including Constant Contact emails (with 1,000+ subscribers), emails and mailings (to our 7,500+ contacts in Salesforce), FaceBook (1,600+ followers), Twitter (259 followers) and Instagram (423 followers). Additionally, we engage in routine community outreach; plan and host neighborhood beautification events; and participate in a variety of collaboratives to promote homeownership and the development of more affordable housing opportunities in our community. _x000D_
_x000D_
(2)	Income Eligibility Determination: NHSIE determines households are LMI by having participants complete program applications and financial worksheets, utilizing a nationally recognized, standardized housing counseling client intake form. We collect the following information, as applicable: explanation of financial circumstances; recent paycheck stubs; award letters (social security, pension, retirement, unemployment); federal tax returns; bank statements; mortgage note; mortgage statement(s); utility bills; and notice of default/notice of trustee sale. In addition, for those taking advantage of our Lending program, we do full underwriting, which involves a complex review of full income documentation. We maintain all data regarding customers, including income data, in Salesforce. _x000D_
_x000D_
(3)	Homebuyer Education (HBE) Program: NHSIE is a HUD-certified homeownership counseling agency. We utilize an eight-hour HUD-approved curriculum to deliver in-person and virtual HBE training to potential homebuyers. In 2021, we provided HBE to 599 customers. We require a customer to complete our HBE course and obtain a certificate before dispersing any DPA to support the customer’s home purchase. _x000D_
_x000D_
(4)	Loan servicing procedures: When NHSIE was last awarded CalHome funds in 2012, we updated our CalHome Loan Servicing Plan, which meets the requirements of CalHome Program Guidelines section 7723. HCD approved our Plan._x000D_
_x000D_
(5)	Reuse account procedures: When NHSIE was last awarded CalHome funds in 2012, we developed a CalHome Reuse Account Plan that meets the requirements of CalHome Program Guidelines section 7724. HCD approved our Plan. _x000D_
_x000D_
(6)	Mortgage assistance administration requirements: When NHSIE was last awarded CalHome funds in 2012, we established written Mortgage Assistance Program Guidelines, which were approved by HCD. NHSIE has established relationships with Preferred Lending Partners who have demonstrated commitment to making quality, affordable mortgage loan products available to LMI households. We provide our customers with referrals to all of our Preferred Lending Partners so that they can obtain first mortgage loans that meet the underwriting requirements of the CalHome Program Guidelines. Before disbursing a DPA loan using CalHome funds, our Loan Processor ensures the completion of all steps required under the CalHome Program Guidelines, including the completion and review of a home appraisal to ensure property eligibility under value; inspection of existing housing being purchased or review of the Uniform Residential Appraisal Report; documented completion of HBE class; and originating, underwriting, packaging and closing per program requirements. We utilize a First-Time Homebuyer Promissory Note and Deed of Trust developed in accordance with CalHome Guidelines. _x000D_
_x000D_
(7)	Mortgage assistance underwriting requirements: When NHSIE was last awarded CalHome funds in 2012, we created Underwriting Guidelines which meet all of the CalHome Program Guidelines under section 7731. These Guidelines were approved by HCD. _x000D_
_x000D_
(8)	Disbursing funds at time of property acquisition: Once original signed loan documents have all been received by the escrow officer, the first mortgage lender and escrow officer will send NHSIE notification that the property acquisition is clear to fund. All loans are funded concurrently. _x000D_
_x000D_
(9)	Record-keeping of all CalHome program loan disbursements and repayments and adherence to proper accounting procedures: Historically NHSIE tracked all loans using The Mortgage Office. _x000D_
_x000D_
(10)	Compliance with program requirements: We submit CalHome annual reuse reports to HCD, as required by the CalHome Program. NHSIE’s CEO and Loan Processor collaborate to ensure compliance with all CalHome program requirements._x000D_
_x000D_
(11)	Compliance with other federal, state and local laws and regulations: Both NHSIE's CEO and Transaction Coordinator have NMLS licenses. Additionally, we verify that each of our Preferred Lending Partners is also licensed with NMLS. Our CEO, working hand-in-hand with the management team, leads programmatic and policy reviews to ensure that NHSIE stays in compliance with federal, state and local laws and regulations._x000D_
</t>
  </si>
  <si>
    <t xml:space="preserve">Wells Fargo Neighborhood LIFT Program: NHSIE participated in the Wells Fargo Neighborhood LIFT Program from 2016-2019 in order to dispense DPA forgivable loans to first-time homebuyers earning less than 120% AMI who were purchasing homes in San Diego, San Bernardino and Riverside Counties. We distributed 333 loans totaling $3,524,000. In 2019, we issued 2 loans totaling $40,000. </t>
  </si>
  <si>
    <t xml:space="preserve">CalHome: Since 2005, NHSIE has dispensed 186 CalHome down-payment assistance loans totaling nearly $4M. NHSIE’s three most recent CalHome awards include $1M in 2007, $1.5M in 2012 and an additional $666,600 in 2012. These CalHome funds were used to dispense DPA loans to first time homebuyers earning below 80% AMI who were purchasing homes in San Bernardino and Riverside Counties. Currently, NHSIE is using the Reuse Account funds from previous paid off CalHome awards in order to dispense additional DPA loans. We issued 1 loan for $18,000 in 2019, 5 loans totaling $134,000 in 2020, and 2 loans totaling $107,700 in 2022. </t>
  </si>
  <si>
    <t>SOAR Program: In 2019, NHSIE launched our SOAR Program to provide DPA and closing cost assistance loans to first-time homebuyers using our own internal SOAR fund. Since starting this program, we have made 9 SOAR loans totaling $90,000, including 2 in 2019, 4 in 2020, and 3 in 2021. We have $60,000 in DPA loan funds currently available.</t>
  </si>
  <si>
    <t>REACH: Funded by East West Bank, this program ran from 2016-2019 and provided DPA funds to eligible homebuyers earning less than 80% AMI who were purchasing homes within Riverside, San Bernardino or San Diego Counties. In 2019, NHSIE dispensed 13 REACH DPA loans totaling $112,421.</t>
  </si>
  <si>
    <t xml:space="preserve">$2.5M in CalHome funding would enable NHSIE to provide down payment assistance (DPA) loans to at least 35 first-time homebuyers, all of whom will be low- to moderate-income (LMI) and earn less than 80% of Area Median Income. We will offer DPA loans of up to $100,000, but we anticipate that the average DPA loan amount will be ~$65,000. The DPA will support first-time home purchases within the Inland Empire region (San Bernardino and Riverside Counties) who are purchasing mobile homes/manufactured homes within opportunity zones. NHSIE plans to develop the mobile home/manufactured home communities using non-CalHome funds in order to increase the supply of affordable housing in our region. As described in greater detail in our Community Revitalizaiton attachment, we have already put in bids on surplus land in an opportunity zone owned by the City of San Bernardino. These are qualifying infill areas. We will use these sites, and/or other infill sites in opportunity zones, to build mobile homes/manufactured homes, ideally with 12-24 units per site. These homes will be affordable to LMI households. CalHome DPA funds will enable LMI households to purchase these newly developed mobile homes/manufactured homes. _x000D_
_x000D_
NHSIE has nearly two decades of experience operating DPA loan programs in our Southern California region. We have dispensed more than $12M in DPA loans utilizing funds from CalHOME, HomeStart Program, Wells Fargo’s CityLIFT Program, Wells Fargo’s Neighborhood LIFT Program, Bank of America’s Achieve Mortgage Assistance Program and our own internal SOAR Program. These funds are mostly exhausted and yet there is a significant need for DPA to make homeownership a reality for LMI individuals and families in the Inland Empire. Like with all of our prior DPA programs, households who are assisted with these CalHome DPA funds will all complete our HUD-certified homebuyer education course and have access to homeownership counseling to support them through the homebuying process. _x000D_
_x000D_
NHSIE has a full-time Transaction Coordinator – Maria Solis, who has been with NHSIE since 2012 – who will take the lead in processing these DPA loans and coordinating with the first mortgage lender to ensure each home purchase transaction goes smoothly. NHSIE’s lending team is led by our Real Estate and Lending Manager, Damian Duncan. NHSIE also has four FTE Housing Advisors who teach financial literacy and homebuyer education classes and provide one-on-one housing counseling to customers. They are supervised by our Homeownership Manager, Charlie Pagan. NHSIE is led by Kailin Scott (CEO), who first joined NHSIE in 2021 as our Deputy Director. Ms. Scott has been serving as Interim CEO of NHSIE since May of 2022 and was recently selected to be NHSIE’s permanent CEO. With a MBA from La Sierra University, Ms. Scott is an experienced leader with a decade of experience in the nonprofit and educational arenas. Before joining NHSIE, Ms. Scott served as the Program Manager for Pacific Oaks College Center for Community and Social Impact. She also has been teaching at Riverside City College as an Adjunct Professor of Business since 2018._x000D_
_x000D_
_x000D_
NHSIE has a full-time Transaction Coordinator – Maria Solis, who has been with NHSIE since 2012 – who will take the lead in processing these DPA loans and coordinating with the first mortgage lender to ensure each home purchase transaction goes smoothly. NHSIE’s lending team is led by our Real Estate and Lending Manager, Damian Duncan. NHSIE also has two FTE Housing Advisors who teach financial literacy and homebuyer education classes and provide one-on-one housing counseling to customers. They are supervised by our Homeownership Manager, Charlie Pagan. NHSIE is led by Kailin Scott (CEO), who first joined NHSIE in 2021 as our Deputy Director. Ms. Scott has been serving as Interim CEO of NHSIE since May of 2022 and was recently selected to be NHSIE’s permanent CEO. With a MBA from La Sierra University, Ms. Scott is an experienced leader with a decade of experience in the nonprofit and educational arenas. Before joining NHSIE, Ms. Scott served as the Program Manager for Pacific Oaks College Center for Community and Social Impact. She also has been teaching at Riverside City College as an Adjunct Professor of Business since 2018._x000D_
</t>
  </si>
  <si>
    <t>C:\Users\Compw\Desktop\HOSN Applications\HOSN0000128_attachments\0___Application_Workbook__Excel_\1 -2023-HOSN-Application-Workbook.xlsm</t>
  </si>
  <si>
    <t>City of Upland</t>
  </si>
  <si>
    <t>460 N. Euclid Avenue</t>
  </si>
  <si>
    <t>Bob Dalquest</t>
  </si>
  <si>
    <t>rdalquest@uplandca.gov</t>
  </si>
  <si>
    <t>(909) 931-4148</t>
  </si>
  <si>
    <t>Director of Development Services</t>
  </si>
  <si>
    <t>Upland</t>
  </si>
  <si>
    <t>Michael Blay</t>
  </si>
  <si>
    <t>mblay@uplandca.gov</t>
  </si>
  <si>
    <t>(909) 931-4102</t>
  </si>
  <si>
    <t>Diane Cotto</t>
  </si>
  <si>
    <t>dc</t>
  </si>
  <si>
    <t>dcotto@uplandca.gov</t>
  </si>
  <si>
    <t>(909) 931-4146</t>
  </si>
  <si>
    <t xml:space="preserve">The City has developed policies and procedures that describes the requirements, processing procedures, and program administration responsibilities associated with the City's First Time Homebuyer Program. The City will use a combination of City employees and housing consultants to administer its First Time Homebuyer Program.  Both employees and housing consultants have several years experience managing local, regional, State and Federal grants (e.g., Calhome, HOME, CDBG, local Housing funds, etc.) and administering a variety of programs (including First Time Homebuyer Programs) targeted to assisting persons with low and moderate incomes._x000D_
_x000D_
The City will follow all reporting requirements listed in the guidelines.  _x000D_
_x000D_
_x000D_
</t>
  </si>
  <si>
    <t xml:space="preserve">Calhome Down Payment Assistance Program </t>
  </si>
  <si>
    <t>Upland Housing Fund Down Payment Assistance Program</t>
  </si>
  <si>
    <t xml:space="preserve">The City of Upland's First Time Homebuyer Program will assist income-eligible homebuyers with the purchase of a single-family home, townhome, or condominium in the City of Upland.  To be eligible for assistance applicants must have household incomes that do not exceed 80 percent of San Bernardino County's Area Median Income. _x000D_
_x000D_
Assistance will be provided in the form of a secondary mortgage loan at 3% simbple interest with all payments deferred until the first occurence of sale, refinancing, full payment of the first mortage or 30 years.  The program will be funding primarily with State HCD funds however the City may also use local Housing funds and State HOME funds to support this program.   _x000D_
_x000D_
The City will administer this program using a combination of City employees and experienced housing consultants.  Utilizing a variety of local, State and federal funds, since 2013, the City has assisted over 144 families and individuals to buy their first home. _x000D_
_x000D_
</t>
  </si>
  <si>
    <t>Owner-Occupied Rehabilitation Program (Calhome, State HOME Funds)</t>
  </si>
  <si>
    <t xml:space="preserve">City is requesting $600,000.  Staff anticipates using the CalHome grant to provide deferred, silent second, low or zero interest rate loans to owner-occupied Upland households who have incomes at or below 80% of the income guidelines for San Bernardino County.  Staff anticipates assisting five (five) income-eligible households with a loan amount not to exceed $100,000 per unit.  _x000D_
_x000D_
Staff has recevied Calhome funds in the past and has successfully provided 19 Owner-Occupied Home Improvement loans using a variety of funding sources including but not limited to Calhome, State HOME Investment Partnerships, local Housing Funds and U.S. Department of Housing and Urban Development (HUD) Community Development Block Grant (CDBG) funds.  _x000D_
_x000D_
</t>
  </si>
  <si>
    <t xml:space="preserve">This program will be administered by a combination of City staff and experienced housing consultants. The City will develop, maintain, and follow program policies and procedures that comply with the CalHome guidelines to adminster its Owner Occupied Rehabilitation Program.  Staff will track the program progress no less than quarterly and periodically monitor is project files to ensure compliance with the CalHome requirements. _x000D_
_x000D_
Marketing efforts for the Owner Occupied Rehabilitation Program will include but not be limited to making program brochures available at Upland City Hall, Library, and Senior Center.  Program brochures will also be placed in water bills, distributed at various City-sponsored events and Distributued by the City's Code Enforcement team on an as needed basis.  The City will advertise the availabilty of the program on the City's website, social media sites and on various reader boards/marques located throughout the City._x000D_
_x000D_
_x000D_
</t>
  </si>
  <si>
    <t>Emergency Repair Program (A CDBG grant program)</t>
  </si>
  <si>
    <t>C:\Users\Compw\Desktop\HOSN Applications\HOSN0000131_attachments\0___Application_Workbook__Excel_\2023-HOSN-Application-Workbook 2.22.2023 (1).xlsm</t>
  </si>
  <si>
    <t>Housing Authority of the County of Marin</t>
  </si>
  <si>
    <t>4020 Civic Center Dr</t>
  </si>
  <si>
    <t xml:space="preserve">Ceena ford </t>
  </si>
  <si>
    <t>cford@marinhousing.org</t>
  </si>
  <si>
    <t>415 491-2547</t>
  </si>
  <si>
    <t xml:space="preserve">homeownership programs </t>
  </si>
  <si>
    <t xml:space="preserve">San Rafael </t>
  </si>
  <si>
    <t>Jeff Kelly</t>
  </si>
  <si>
    <t>jkelly@marinhousing.org</t>
  </si>
  <si>
    <t>415 491-2525</t>
  </si>
  <si>
    <t>Homeownership Program Manager</t>
  </si>
  <si>
    <t>stephanie lovette</t>
  </si>
  <si>
    <t>slovette@marinhousing.org</t>
  </si>
  <si>
    <t>415 446-7041</t>
  </si>
  <si>
    <t>homeownership programs</t>
  </si>
  <si>
    <t xml:space="preserve">Marin Housing will market the Cal Home Mortgage Assistance program through its website, local nonprofits, partner agencies, local employers, local lenders and government agencies.  Borrower’s Household Income of all members 18 years old or older will be reviewed for eligibility based on Chapters One-Three of the Income Calculation and Determination Guide for Federal Programs and must fall below the Low-Income Household limits as noted above.  A certificate of completion from a HUD approved First Time Homebuyers Education Program will be required.  The Marin Housing administered BMR program also requires a HUD certified first time homebuyers’ education course.  Marin Housing partners with Fair Housing Advocates of Northern California to offer the course quarterly at no charge.  The Marin Housing website also lists certified online courses.  Due to the 2012 Cal Home funding, Marin Housing has established underwriting guidelines, prepares and records Deeds of Trust and a loan documents, monitors owner occupancy, ensures hazard and flood insurance compliance and payment of property taxes and assessments, calculates payoffs, processes payoff demands and records Full Reconveyances upon payoff, and complies with all Cal Home accounting requirements including Reuse Account requirements described in the attached “Reuse Accounting Plan” and the Loan servicing Plan”.  Marin Housing has and will continue to comply with all pertinent program  CAL Home program administration requirements.    </t>
  </si>
  <si>
    <t>Cal Home Mortgage Assistance</t>
  </si>
  <si>
    <t>Marin City Downpayment</t>
  </si>
  <si>
    <t>Mortgage Credit certificates and RMCC</t>
  </si>
  <si>
    <t>Wish submittals</t>
  </si>
  <si>
    <t xml:space="preserve">Marin Housing is applying for an allocation of Cal Home funds to be used for gap financing on properties of $500,000 or less or the minimum amount necessary to ensure affordable monthly Housing Costs as defined by the first lender up to a maximum of $100,000.  Loans will be used to assist in the purchase of BMR units, condos, townhomes and mobile homes, of which there were 118 sold in the past twenty four months in Marin County.  All loan recipients will be low, very low or extremely low income households per CA HCD Income Limits and all properties will be in Marin County and buyer will be residents of Marin County.  Marin Housing has prior experience with mortgage assistance programs including a Cal Home allocation in 2012 for $1 Million, which was expended on 22 loans.  A reuse account was set up and payoffs were received which in turn were reused for 10 more loans.  Marin Housing also administers a Marin City downpayment assistance program to be used in conjunction with the purchase of a BMR unit by households that live or work in Marin City or have lived there for at least two years out of the last ten years or who are an adult child of a current Marin City resident.  </t>
  </si>
  <si>
    <t>ADU/JDU</t>
  </si>
  <si>
    <t xml:space="preserve">Marin Housing has operated an OOR program for the past 45 years; issuing over 900 loans totaling over $17 Million dollars.  The program provides funding to low income homeowners for health and safety repairs, code violation mitigation, energy efficiency improvements, Ada modifications and for the creation legalization of ADU and JDU units.  Loans have been made for single family homes, condominiums, floating homes in approved berths and mobile homes in mobile home parks.  Marin Housing chose to end the existing locally funded ORR program in 2022 when we received a CAL Home ORR funding allocation. The locally funded program was difficult to use for mobile homes.  Marin Housing is applying for a small allocation to assure that we can continue to fund ORR activities when the 2021 award funds are expended.      _x000D_
_x000D_
Over the past four years the Marin Housing ORR program has made loans to households with the following characteristics: 36% extremely low income, 52% very low income, and 12% low income. We anticipate the Cal Home OOR program will have similar homeowner characteristics.   The program will NOT include contributed labor.  The Cal Home ORR lien will be in first position if there is no existing mortgage or second position if there is an existing mortgage.  </t>
  </si>
  <si>
    <t xml:space="preserve">Marin Housing will undertake the full program administration responsibilities in house.  These activities will include marketing the program, determining applicant eligibility, developing scope of work, executing and recording loan documents, overseeing the project, disbursing fund as the work progresses, servicing the loans and complying with Cal Home accounting requirements including Reuse Account requirements.  Marin Housing has undertaken these activities as part of the locally funded OOR program, including for ADU/JDU units and mobile homes.  Marin Housing has previously received CAL HOME funding for Mortgage assistance, and received CAL HOME funding for OOR in 2022; and has experience complying with the Cal HOME program requirements and reporting.  Marin Housing will comply with all of the administration requirements contained in Section 7734 of the Regulations.  </t>
  </si>
  <si>
    <t>Single Family OOR</t>
  </si>
  <si>
    <t>Mobile Home OOR</t>
  </si>
  <si>
    <t>C:\Users\Compw\Desktop\HOSN Applications\HOSN0000140_attachments\0___Application_Workbook__Excel_\2023-HOSN-Application-Workbook (2).xlsm</t>
  </si>
  <si>
    <t>City of Norwalk</t>
  </si>
  <si>
    <t>12700 Norwalk Boulevard</t>
  </si>
  <si>
    <t>Norwalk</t>
  </si>
  <si>
    <t>Jose Gomez</t>
  </si>
  <si>
    <t>jgomez@norwalkca.gov</t>
  </si>
  <si>
    <t>562-929-5700</t>
  </si>
  <si>
    <t>Cinthia Iniguez</t>
  </si>
  <si>
    <t>cinthia@global-urban.com</t>
  </si>
  <si>
    <t>626-545-2234</t>
  </si>
  <si>
    <t>Account Executive</t>
  </si>
  <si>
    <t>The City of Norwalk has the eligibility to administer the Calhome Program successfully but will utilize Global Urban Strategies, Inc. to manage the service of these loans and programs. Global Urban Strategies, Inc. have over 24 years of federal, state, and local grant administration experience. To ensure that the program is implemented effectively and in compliance with state guidelines, the City of Norwalk has decided to engage a housing consultant. The consultant will provide expertise, efficiency, and technical assistance to help the city design and administer the program in a way that aligns with the Calhome guidelines. The Calhome Program have been successfully administered by them for other municipalities within the Los Angeles County. _x000D_
_x000D_
The City’s Community Development Department and Director oversight the program and final controls. The City has applied and received several Home and CDBG allocations in the past and has successfully administered and serviced these types of programs without any penalties or compliance issues, as noted in the City's Comprehensive Annual Financial Report (CAFR). As part of this packet the city has submitted a Loan Servicing Policies and Procedure Plan as a good-faith effort to demonstrate the City’s administrative understanding of the program._x000D_
_x000D_
Another important factor that will be addressed with the CalHome Mortgage Assistance Program is to ensure that it helps low-income homeowners who come from diverse backgrounds, and may face additional challenges due to systemic discrimination, historical disadvantage, or other factors that have contributed to housing instability and financial insecurity.</t>
  </si>
  <si>
    <t xml:space="preserve">CalHome Grant </t>
  </si>
  <si>
    <t xml:space="preserve">Norwalk is a city located in Los Angeles County, California, United States, with a population of 103,884 according to the 2020 Census. The city covers a total area of 25.23 square miles, all of which is land. Norwalk is situated in the southeastern part of Los Angeles County, approximately 17 miles southeast of downtown Los Angeles. The city shares its borders with Santa Fe Springs to the north, Downey to the south, Bellflower to the west, and Cerritos to the east. The majority of the population is Hispanic or Latino, comprising 76.8% of the total population. Other significant races in Norwalk include White at 9.3%, Asian at 6.8%, African American at 4.4%, and Native American at 0.4%. The remaining 2.4% is comprised of other races.  According to the United States Census Bureau, the median household income in California as of 2019 was $80,440, which is higher than the median household income of $68,027 in Norwalk. California's overall poverty rate in 2019 was 10.8%, which is slightly lower than the poverty rate of 12.1% in Norwalk. All activites will take place withing the boundaries of the City limits. _x000D_
_x000D_
The City of Norwalk will apply for Two Million four Hundred Thousand Dollars ($2,400,000). The previous amount mentioned is to provide the city with a probable number of loans that may be administered and disbursed over three years. To accumulate the amount the number of homes historically sold in the city and the likelihood of having residents being both interested and able to qualify for the loans have been taken into account. The total amount of units that can be assisted is thirteen (13). Families with a  household income level under eighty percent (80%) of the median household income for Los Angeles County based on family size will be assisted.  Residents and prospective applicants have been assisted by the City to find alternative sources of funding, including, but not limited to, Federal Housing and Community Development loans and LA County Housing and Community Development Funds, and tax vouchers. The loans that Calhome would subordinate to have not been listed on the application because they are subject to availability and program restrictions. The Federal HUD money would be the only loan that would potentially go in a superior position. The necessary experience is met by both the city and housing contractor that will administer these loans. The firm president has been administering the Calhome Program since 2008. </t>
  </si>
  <si>
    <t>CalHome Grant Bell Gardens</t>
  </si>
  <si>
    <t xml:space="preserve">Norwalk is a city located in Los Angeles County, California, United States, with a population of 103,884 according to the 2020 Census. The city covers a total area of 25.23 square miles, all of which is land. Norwalk is situated in the southeastern part of Los Angeles County, approximately 17 miles southeast of downtown Los Angeles. The city shares its borders with Santa Fe Springs to the north, Downey to the south, Bellflower to the west, and Cerritos to the east. All program activities will take place within the City boundaries. _x000D_
_x000D_
Hispanic or Latino, comprising 76.8% of the total population. Other significant races in Norwalk include White at 9.3%, Asian at 6.8%, African American at 4.4%, and Native American at 0.4%. The remaining 2.4% is comprised of other races.  he poverty rate in Norwalk as of 2019 is 12.1%, while the unemployment rate is 5.2%. Overall, Norwalk is a diverse city with a relatively young population, and the majority of residents identify as Hispanic or Latino.  the poverty rate, California's overall poverty rate in 2019 was 10.8%, which is slightly lower than the poverty rate of 12.1% in Norwalk._x000D_
_x000D_
The City of Norwalk will apply for Two Million Six Hundred Thousand Dollars (2,600,000). The funds for the Owner Occupied Rehabilitation in the City of Norwalk will concentrate on encouraging to repair homes and mobile homes that are necessary to eliminate blight for disadvantaged communities within their jurisdiction. Norwalk is a 9.745 square mile city that is Southeast of downtown Los Angeles with a population of 100,373 residents based on the 2021 U.S. Census. The city contracted Global Urban Strategies, Inc. firm to administer the program. The firm has over 20 years of experience in administering state and federal grants and have a specific successful 10 year experience on Calhome. </t>
  </si>
  <si>
    <t>The City of Norwalk has retained Global Urban Strategies, Inc. to administer the program. Global Urban Strategies, Inc. has over 24 years of experience of local, state, and federal grant administration programs. The City Community development and its director manages the programs oversight and final controls. Lastly, without any penalties or compliance issues the city has applied for several CalHome NOFA’s in the past and successfully administered programs as noted in the City’s Comprehensive Annual Financial Reports (CAFR). _x000D_
_x000D_
The City of Norwalk has the eligibility to administer the Calhome Program successfully but will utilize Global Urban Strategies, Inc. to manage the service of these loans and programs. Global Urban Strategies, Inc. have over 24 years of federal, state, and local grant administration experience. To ensure that the program is implemented effectively and in compliance with state guidelines, the City of Norwalk has decided to engage a housing consultant. The consultant will provide expertise, efficiency, and technical assistance to help the city design and administer the program in a way that aligns with the Calhome guidelines. The Calhome Program have been successfully administered by them for other municipalities within the Los Angeles County. _x000D_
_x000D_
The City’s Community Development Department and Director oversight the program and final controls. The City has applied and received several Home and CDBG allocations in the past and has successfully administered and serviced these types of programs without any penalties or compliance issues, as noted in the City's Comprehensive Annual Financial Report (CAFR). As part of this packet the city has submitted a Loan Servicing Policies and Procedure Plan as a good-faith effort to demonstrate the City’s administrative understanding of the program._x000D_
_x000D_
Another important factor that will be addressed with the CalHome Owner Occupied Rehabilitation Program is to ensure that it helps low-income homeowners who come from diverse backgrounds, and may face additional challenges due to systemic discrimination, historical disadvantage, or other factors that have contributed to housing instability and financial insecurity.  The City and consultant will help to address disparities in the availability of affordable housing, particularly for low-income residents. By providing assistance with home repairs and upgrades, the City of Norwalk will help to increase the supply of affordable housing, which can reduce the risk of displacement for vulnerable residents. This can help to promote diversity and inclusion by creating more opportunities for low-income residents to live in stable and safe neighborhoods.</t>
  </si>
  <si>
    <t>C:\Users\Compw\Desktop\HOSN Applications\HOSN0000141_attachments\0___Application_Workbook__Excel_\La Puente-2023-HOSN-Application-Workbook Complete.xlsm</t>
  </si>
  <si>
    <t xml:space="preserve">City of La Puente </t>
  </si>
  <si>
    <t>15900 East Main Street</t>
  </si>
  <si>
    <t xml:space="preserve">La Puente </t>
  </si>
  <si>
    <t xml:space="preserve">Robert Lindsey </t>
  </si>
  <si>
    <t>blindsey@lapuente.org</t>
  </si>
  <si>
    <t xml:space="preserve">CIty Manager </t>
  </si>
  <si>
    <t>CI</t>
  </si>
  <si>
    <t>The City of La Puente has the experience, personnel, and capacity to successfully administer the CalHome Program and is successfully administering an Owner Occupied Rehabilitation allocation. However, the City contracted Global Urban Strategies, Inc. to administer the loans due to the firm’s extensive knowledge of federal, state, and local grant administration requirements and the City's need of personnel. Global Urban Strategies has a proven track record of successfully administering the CalHome program for municipalities in Los Angeles County. _x000D_
_x000D_
To ensure that all program requirements are followed, the City's executive team will oversee the entire program. This includes proper documentation of loan activity, adherence to applicable guidelines and regulations, and providing accurate information on program status. By following these protocols, the City of La Puente can guarantee that all program requirements will be met. City Staff will work hand in hand with the housing administrative contractor to ensure the successful administration of the Calhome Mortgage Assistance Program in the City of La Puente. They will provide expertise and experience administering similar programs in other communities, help the City of La Puente avoid common pitfalls and mistakes, and administer the program correctly. _x000D_
 _x000D_
In collaboration with City Staff, the housing administrator will handle many administrative tasks associated with the program, such as verifying eligibility, processing applications, and requesting the disbursement of funds to escrow. This support will help the City of La Puente save time and resources and ensure the program runs smoothly. In addition, the housing administrator will provide additional resources and support for program participants, such as first-time homebuyer workshops and other support services. These additional services can ensure that participants successfully navigate the loan process and maintain their homes over time. The outreach and education efforts will be implemented in a way that ensures that all residents have access to information about the program and can help ensure that the program is administered fairly and without bias.</t>
  </si>
  <si>
    <t>Home/CDBG Grant</t>
  </si>
  <si>
    <t>La Puente is located in the eastern region of Los Angeles County, California. It is bordered by the cities of West Covina, Industry, and Hacienda Heights. La Puente is approximately 3.5 square miles in size. The population density in La Puente is 4435% higher than in California.  La Puente is a predominantly Hispanic community, with over 85% of residents identifying as Hispanic or Latino. The city also has a significant Asian population, with over 9% of residents identifying as Asian.  Additionally, the poverty rate in La Puente is higher than the national average, with approximately 17% of residents living below the poverty line._x000D_
_x000D_
The City of La Puente is requesting Three Million One Hundred Seventy-Two Thousand Five Hundred Dollars ($3,172,500.00) to aid residents in purchasing a home. The funds will be disbursed over a period of thirty-six (36) months, assisting in the procurement of eighteen (18) units. The units will consist of single-family homes, townhomes, condominiums, and manufactured homes. The funds are designated for families and individuals below the Los Angeles County Average Median Income based on family size. The median income for households in the City of La Puente is $73,827, with an average of 4 persons per household, leaving most residents with low or very low income. The cost of living in La Puente is still considered high, with many residents struggling to afford basic necessities such as housing, food, and healthcare._x000D_
_x000D_
The City of La Puente currently administers the CalHome program to its residents through the OOR Program allocation and would like to expand the assistance to include residents in acquiring a home. The City of La Puente proposes a program to help its residents achieve the ability to escape unfair rent increases, allowing their families to have a secure and stable place to call home. The proposed mortgage assistance program will offer educational and financial literacy courses to help families better understand and qualify for the loan program. Partnerships with local banks and other financial institutions have been established to provide more options for potential borrowers.  In addition, the program will prioritize outreach and education efforts in historically marginalized areas of the City, to ensure that all residents have access to information about the program and the application process and continue to provide language assistance in English, Spanish, and Mandarin to ensure that all residents are able to participate.</t>
  </si>
  <si>
    <t xml:space="preserve">HOME/CDBG </t>
  </si>
  <si>
    <t>La Puente is located in the eastern region of Los Angeles County, California. It is bordered by the cities of West Covina, Industry, and Hacienda Heights. La Puente is approximately 3.5 square miles in size. The population density in La Puente is 4435% higher than in California.  La Puente is a predominantly Hispanic community, with over 85% of residents identifying as Hispanic or Latino. The city also has a significant Asian population, with over 9% of residents identifying as Asian.  Additionally, the poverty rate in La Puente is higher than the national average, with approximately 17% of residents living below the poverty line._x000D_
_x000D_
The City of La Puente currently administering the CalHome program to its residents through the OOR Program allocation and would like to expand the assistance to include residents in acquiring a homeThe City of La Puente is requesting One Million Eight Hundred Thousand Dollars ($1,800,000) to aid residents in need of housing repairs. The funds will be disbursed over a period of thirty-six (36) months, assisting in the rehabilitation of ten (10) units. The assisted units consist of single-family homes, townhomes, condominiums, and manufactured homes. The funds will be used to repair or improve the property, convert living spaces into ADU/JADU, or completely reconstruct the property. The funds are designated for families and individuals below 80% of the Los Angeles County Average Median Income based on family size. The median income for households in the City of La Puente is $73,827, with an average of 4 persons per household, leaving most residents with low or very low income. _x000D_
_x000D_
The City of La Puente currently administers the CalHome Owner Occupied Rehabilitation program to its residents and would like to continue to assist more residents, ensuring that families have a safe place to live. The City of La Puente proposes a program to eliminate hazardous conditions and preserve the quality and value of the housing stock. A housing administrator will work wih the City of La Puente to assist in the facilitation of said program. </t>
  </si>
  <si>
    <t>The City of La Puente has the capacity and expertise to administer the program successfully. However, the City has retained the services of Global Urban Strategies, Inc. to manage the service of these loans due to the firm’s extensive knowledge of federal, state, and local grant administration requirements. Global Urban Strategies has a proven track record of successfully administering the program. The City of La Puente will work in unison with Global Urban Strategies to ensure these loans are successfully completed and identify eligible improvements, set program guidelines and eligibility criteria, and develop application and review processes that align with Calhome requirements. Global Urban Strategies, Inc. will distribute the program’s communications through flyers, social media posts, and collateral materials and will play a critical role in implementing the Calhome guidelines by ensuring that the program is designed, implemented, and managed in a way that aligns with Calhome requirements and supports the program's goals of improving housing conditions for low-income residents.</t>
  </si>
  <si>
    <t>CalHome Grant</t>
  </si>
  <si>
    <t>C:\Users\Compw\Desktop\HOSN Applications\HOSN0000142_attachments\0___Application_Workbook__Excel_\LYNWOOD2023-HOSN-Application-Workbook.xlsm</t>
  </si>
  <si>
    <t>City of Lynwood</t>
  </si>
  <si>
    <t>11330 Bullis Road</t>
  </si>
  <si>
    <t>Lynwood</t>
  </si>
  <si>
    <t>Ernie Hernandez</t>
  </si>
  <si>
    <t>ehernandez@lynwood.ca.us</t>
  </si>
  <si>
    <t>310-603-0220</t>
  </si>
  <si>
    <t>Cinthia@global-urban.com</t>
  </si>
  <si>
    <t xml:space="preserve">The Calhome program administrator will establish eligibility criteria for the program based on the Calhome Guidelines, which prioritize assistance to households with the lowest incomes and highest housing needs. The administrator will communicate the program guidelines and criteria to potential applicants, and thorough assistance will be provided throughout every step of the application process._x000D_
_x000D_
To ensure a streamlined and efficient application process, the program administrator will provide clear instructions and assistance filling out the application. The administrator will also ensure that the application process is non-discriminatory and promotes diversity, equity, and inclusion. Funding allocation will be based on the Calhome Guidelines, which considers family size and income. The funding allocation process will be transparent and fair, and all eligible applicants will receive equal consideration._x000D_
_x000D_
The program will be monitored and evaluated continuously to ensure compliance with the Calhome Guidelines and achieve its goals of promoting diversity, equity, and inclusion. The administrator will adjust the program to ensure the program meets the community's needs, including messaging and outreach._x000D_
_x000D_
Outreach and education efforts will be conducted to ensure that the program is widely known in the community. The outreach and education efforts will promote diversity, equity, and inclusion and provide educational materials on the Calhome Guidelines in multiple languages. Assistance will be provided in understanding the eligibility criteria and application process in English and Spanish. _x000D_
_x000D_
By following this plan, the program administrator will ensure that the Calhome program for the City of Lynwood is administered in a non-discriminatory manner that promotes diversity, equity, and inclusion while complying with the Calhome Guidelines. </t>
  </si>
  <si>
    <t>The City of Lynwood is applying for the CalHome Mortgage Assistance Program to assist approximately 19 new potential homeowners. In the City of Lynwood, housing costs are steadily rising, making it difficult for families under 80% of the county median income, particularly those from historically marginalized communities, to afford homes. Many families struggle to make ends meet and cannot save enough money for a down payment or closing costs. This impediment has led to a lack of affordable housing options and a growing sense of frustration and inequity in the community._x000D_
_x000D_
To address these challenges, the City of Lynwood will implement the Calhome program that prioritizes diversity, equity, and inclusion. The program aims to provide financial support to families from diverse backgrounds struggling to purchase homes in Lynwood. The program assists first-time home buyers that meet the Calhome income guidelines criteria of family size and income for the County of Los Angeles._x000D_
_x000D_
The decision to seek Calhome funds is rooted in the City's commitment to promoting equity and inclusion. The City recognizes that homeownership is an essential component of economic development and social equity, and they want to ensure that all community members can achieve the dream of homeownership._x000D_
_x000D_
The Calhome Mortgage Assistance Program will be open to all residents of Lynwood who meet certain income, family size, and credit requirements. Families who are approved for the program receive financial assistance to help them purchase a home in Lynwood, regardless of their race, ethnicity, gender, sexual orientation, or any other characteristic._x000D_
_x000D_
The program is a resounding success in promoting community diversity, equity, and inclusion. Families from diverse backgrounds who had previously been unable to afford homes will now have the opportunity to purchase them with the program's help. Neighborhoods struggling with foreclosures and declining property values are stabilized, and property values increase. The program also helps to create more diverse and inclusive areas throughout Lynwood._x000D_
_x000D_
Ultimately, the  Calhome Mortgage Assistance Program will help make Lynwood more affordable, equitable, and inclusive. Families from all backgrounds can achieve their dream of homeownership, and the City can promote economic development, social equity, and diversity and inclusion. The program is a true example of how government can work to impact the lives of all its citizens positively._x000D_
_x000D_
Although the City of Lynwood has the experience to administer various CDBG and Home Program funds successfully, to ensure efficiency, the City of Lynwood will retain Global Urban Strategies, Inc. to handle the loan and program servicing. Global Urban Strategies, Inc. has administered loans for CalHome since 2008 and has administered Home, CDBG, and CalHome Mortgage Assistance programs for various entities within Los Angeles County.</t>
  </si>
  <si>
    <t xml:space="preserve">Lynwood is located in the southern region of Los Angeles County, California. It is bordered by the cities of South Gate, Compton, and Paramount. Lynwood is approximately 5.2 square miles in size. According to the U.S. Census Bureau, the City of Lynwood has approximately 69,800 people. The median household income in Lynwood is around $43,700, significantly lower than the national median household income of $68,703. Additionally, the poverty rate in Lynwood is higher than the national average, with approximately 22% of residents living below the poverty line. Lynwood is a predominantly Hispanic community, with over 85% of residents identifying as Hispanic or Latino. The City also has a significant Black population, with over 10% of residents identifying as Black or African American. The remaining population comprises other ethnicities, including Asian, White, and Native American._x000D_
_x000D_
The City of Lynwood is seeking to implement an owner-occupied rehabilitation program within the City's boundaries that explicitly targets families that are at or below 80% of the median household income for LA County based on family size. This criterion is based on Calhome guidelines. Additionally, the program would prioritize home rehabilitation activities that address health and safety issues, accessibility, energy efficiency, and code violations. These activities would particularly benefit low-income households, which may need more resources to address these issues or violations. The City of Lynwood would prioritize outreach and education efforts in historically marginalized community sections to ensure the program is equitable and inclusive. The City could work with community organizations and leaders to promote the program and ensure all residents can access information about the program and the application process. The program would also offer language assistance and other accommodations to ensure all residents can participate. _x000D_
_x000D_
The City has extensive experience implementing home improvement programs using CDBG and HOME funds but will utilize an outside consultant to coordinate the program's administration to supplement our staff. </t>
  </si>
  <si>
    <t>The City of Lynwood is applying for twelve Owner Occupied Rehabilitation loans through Calhome funding. The Calhome Guidelines are helping the City of Lynwood establish eligibility criteria for the program. The eligibility criteria prioritize assistance to households with incomes up to 80% of the Los Angeles County median income according to family size. The criteria will also consider diversity, equity, and inclusion, prioritizing families from historically marginalized communities._x000D_
_x000D_
The Calhome Guidelines also guide the types of home improvement activities that are eligible for funding under the program. The guidelines prioritize activities that address health and safety issues, accessibility, energy efficiency, and lead-based paint hazards. The guidelines ensure that funding is allocated fairly and transparently, with equal consideration given to all eligible applicants._x000D_
_x000D_
To ensure the program is administered effectively, the City of Lynwood utilizes an outside contractor to administer the program. The contractor will use the Calhome guidelines to ensure that program funds are used efficiently and effectively, with transparent reporting and monitoring requirements. Just as important, the Calhome Guidelines will guide the City of Lynwood to develop outreach and education efforts for the program. The new guidelines will ensure that outreach and education efforts are non-discriminatory and prioritize diversity, equity, and inclusion. They will also guide the development of educational materials and assist in understanding the eligibility criteria and application process._x000D_
Using the Calhome Guidelines as a resource, the City of Lynwood is working to implement an Owner Occupied Rehabilitation program that is effective, equitable, and promotes diversity, equity, and inclusion.</t>
  </si>
  <si>
    <t>C:\Users\Compw\Desktop\HOSN Applications\HOSN0000151_attachments\0___Application_Workbook__Excel_\2023-HOSN-Application-Workbook 2.22.2023_Esperanza.xlsm</t>
  </si>
  <si>
    <t>Habitat for Humanity East Bay/Silicon Valley</t>
  </si>
  <si>
    <t>2619 Broadway</t>
  </si>
  <si>
    <t>Melanie Mintenko</t>
  </si>
  <si>
    <t>mmintenko@habitatebsv.org</t>
  </si>
  <si>
    <t>510-338-9392</t>
  </si>
  <si>
    <t>Project Manager</t>
  </si>
  <si>
    <t>Rob Simonds</t>
  </si>
  <si>
    <t>rsimonds@habitatebsv.org</t>
  </si>
  <si>
    <t>510-803-3380</t>
  </si>
  <si>
    <t>Director of Housing Development</t>
  </si>
  <si>
    <t>RS</t>
  </si>
  <si>
    <t>Construction Loan</t>
  </si>
  <si>
    <t>City of Walnut Creek</t>
  </si>
  <si>
    <t>Habitat contributions</t>
  </si>
  <si>
    <t>Federal Home Loan Bank AHP</t>
  </si>
  <si>
    <t>Home Sales Proceeds</t>
  </si>
  <si>
    <t>Habitat Contributions</t>
  </si>
  <si>
    <t>Central Commons Phase 2 - Fremont</t>
  </si>
  <si>
    <t>Esperanza Place Phase 2</t>
  </si>
  <si>
    <t>Condominium</t>
  </si>
  <si>
    <t>1250 Las Juntas Way</t>
  </si>
  <si>
    <t>Walnut Creek</t>
  </si>
  <si>
    <t>On-site improvements completion June 2025.  Off-site improvements exist.</t>
  </si>
  <si>
    <t>County AMI, household size, 30% max monthly contribution</t>
  </si>
  <si>
    <t>There is a clear market need for Habitat’s Esperanza Place development.  Rising home sales prices in Central Contra Costa County are making homeownership increasingly unaffordable to families earning less than 80% of AMI.  Homeownership in the Central County is already above the threshold of affordability for many families, with around 24% of households with mortgages paying more than 35% of their income towards housing related expenses.  This development will help remedy this issue by providing homeownership opportunities to low income families.  The Central County is characterized by low housing unit vacancy rates, especially for homeownership housing which is around 0.6% currently.  Together with rising sales prices and the short amount of time a home typically spends on the market, this indicates high demand for housing and a need for greater housing supply.  This development represents a small share of the market for housing in the Central County and will have a large pool of eligible purchasers to draw from.</t>
  </si>
  <si>
    <t>Esperanza Place Phase 2 is a fully entitled project for low- and moderate-income families in Walnut Creek, CA.  Amenities include community space, play areas, and a bike locker and private yard for every unit. It’s centrally located near public transportation, bike trails, quality schools and parks.  Habitat has executed funding and affordable housing agreements with the City of Walnut Creek to deed restrict the affordability of the individual units for up to sixty-five (65) years.  Construction of the project is anticipated to begin in February, 2024.  Site Development and Building Permits have already been obtained.  Project completion and home sales will occur late in 2025.  The community has been supportive with both private and corporate volunteers showing interest.  Funding has also been committed through Habitat for Humanity's contributions. The largest hurdle facing Habitat is the increase in materials and subcontractor pricing as a result of the Covid 19 pandemic and rising inflation and interest rates.  Securing the CalHome PDL will get us closer to closing the funding gap. We are confident in our ability to successfully complete this project with the assistance of CalHome funds.</t>
  </si>
  <si>
    <t>Habitat has a long track record of documenting compliance with federal, state, and/or local funding requirements.  We have an entire Client Services Department that is responsible for documenting income eligibility and we are very experienced with the monitoring and documentation process - for our own records as well as meeting the requirements of our funders.  Habitat has a whole program aimed at making sure that potential homeowners are prepared for the responsibilities of homeownership.  Future residents attend an orientation, complete a pre-application (verify credit, resident status and income) and a full application (re-verify income, review w-2’s, tax returns, bank statements, household members and confirm preferred counties).  If applicants meet all requirements, they become buyer ready.  For the homebuyer education program, Habitat offers a series of pre- and post-purchase workshops to buyers. The homebuyer workshop topics include the closing process, loan documents, warranties, mortgage payments, budgeting, money management, credit repair, and home maintenance. Habitat also provides leadership training on topics including HOAs, relationship building, and meeting facilitation.  The pre-purchase workshops and leadership training are mandatory for all buyers. All of the workshops listed above are available at no cost to our homebuyers. As a HUD-certified financial counselor, Habitat also provides individual counseling sessions on an as-needed basis, which are tailored to the specific needs of buyers.</t>
  </si>
  <si>
    <t>Central Commons Phase 1 - Fremont</t>
  </si>
  <si>
    <t>Density Bonus</t>
  </si>
  <si>
    <t>Variance</t>
  </si>
  <si>
    <t>Administration</t>
  </si>
  <si>
    <t>Home Sales / Marketing</t>
  </si>
  <si>
    <t>Site was previously a swim club.  The site is surrounded by residential neighborhoods to the north and east, is bounded to the south by a Bay Area Rapid Transit rail line, and to the west by the Iron Horse Trail.</t>
  </si>
  <si>
    <t>Pay off Construction Loan</t>
  </si>
  <si>
    <t>Pay off CalHome Loan</t>
  </si>
  <si>
    <t>Grant Funds or Habitat Contribution</t>
  </si>
  <si>
    <t>C:\Users\Compw\Desktop\HOSN Applications\HOSN0000151_attachments\0___Application_Workbook__Excel_\2023-HOSN-Application-Workbook_De La Cruz.xlsm</t>
  </si>
  <si>
    <t>Cameron Delaney</t>
  </si>
  <si>
    <t>cpdelaney@habitatebsv.org</t>
  </si>
  <si>
    <t>408.620.3407</t>
  </si>
  <si>
    <t xml:space="preserve">Rob Simonds </t>
  </si>
  <si>
    <t>RSimonds@HabitatEBSV.org</t>
  </si>
  <si>
    <t>510.803.3380</t>
  </si>
  <si>
    <t>City of Santa Clara</t>
  </si>
  <si>
    <t>County Measure A</t>
  </si>
  <si>
    <t xml:space="preserve">Heritage Bank Line of Credit/Construction Loan </t>
  </si>
  <si>
    <t>AHP/WISH</t>
  </si>
  <si>
    <t xml:space="preserve">AHP/WISH - Home Sales Proceed </t>
  </si>
  <si>
    <t>Habitat - Contribution</t>
  </si>
  <si>
    <t>Central Commons, Phase 1 - Fremont</t>
  </si>
  <si>
    <t>De La Cruz</t>
  </si>
  <si>
    <t>3575 De La Cruz, Blvd</t>
  </si>
  <si>
    <t>On-site and off-site improvement to be completed in June 2026.</t>
  </si>
  <si>
    <t xml:space="preserve">Habitat entered into an Exclusive Negotiating Rights Agreement (ENA) with the City of Santa Clara for property. </t>
  </si>
  <si>
    <t>40% AMI</t>
  </si>
  <si>
    <t xml:space="preserve">The San Francisco Bay Area as a whole is experiencing a crisis of affordability - which impacts both ownership and rental units - and the ability for lower-income families to survivie in this market is staggeringly difficult. From 2020 to 2022, the area’s median home value increased from just under $900,000 to $1.2 million, a 22% increase. Based on our current estimated funding, we anticipate all of the homes will be affordable and for sale to households with incomes from 40-120% of the County Median Income Limits. Out of the 15 units,13 units will apply under CalHome grant. The proposed development will provide homeownership to an estimated 60 people, and most of them would otherwise not be able to own a home. _x000D_
_x000D_
</t>
  </si>
  <si>
    <t xml:space="preserve">Habitat for Humanity East Bay/Silicon Valley (“Habitat”) proposes to create 15 homeownership units for families with limited incomes. The 100% affordable development will include efficiently designed one-, two-, three-, and four-bedroom homes with living areas ranging from approximately 990 to 1,440 sq. ft. Our design concept includes two (2) 1-bedroom homes six, (6) two-bedroom homes, and five (5) three-bedroom homes to serve a wide range of family sizes. The homes will be located within an attractive residential building ranging from one to three stories in height. In addition, 15 of the 30 parking spaces will be located in tuck-under garages, and the remaining 15 will be open stalls. The entry drive will be nicely landscaped with trees between the entry walkway and driveway. _x000D_
_x000D_
Habitat recently acquired the Site Development Permit and CEQA exemption approval. In addition, Habitat and City of Santa Clara will enter into Disposition and Development Agreement (DDA) and estimated to execute this agreement end of Spring 2023. This agreement would include city funding, affordable housing restrictions, and the acquisition of the property. By May 2024, we should have building permits in-hand and start construction in summer 2024. The project completion and home sales will occur in late 2026. The community has been supportive of the project and the only remaining obstacle to the project's execution is securing funding for construction. Habitat in the process to secure funding from the City of Santa Clara. Securing the CalHome PDL will get us closer to closing the funding gap and will help build momentum for securing County of Santa Clara funding. Again, 13 units of the 15 units will be applied to CalHome grant. We are very confident in our ability to overcome these funding obstacles within the next 9-12 months._x000D_
</t>
  </si>
  <si>
    <t>Habitat has a long track record of documenting compliance with federal, state, and/or local funding requirements.  We have an entire Client Services Department that is responsible for documenting income eligibility, and we are very experienced with the monitoring and documentation process - for our own records as well as meeting the requirements of our funders.  Habitat has a whole program aimed at making sure that potential homeowners are prepared for the responsibilities of homeownership.  Future residents attend an orientation, complete a pre-application (verify credit, resident status, and income) and a full application (re-verify income, review w-2’s, tax returns, bank statements, household members and confirm preferred counties).  If applicants meet all requirements, they become buyer ready.  For the homebuyer education program, Habitat offers a series of pre- and post-purchase workshops to buyers. The homebuyer workshop topics include the closing process, loan documents, warranties, mortgage payments, budgeting, money management, credit repair, and home maintenance. Habitat also provides leadership training on topics including HOAs, relationship building, and meeting facilitation.  The pre-purchase workshops and leadership training are mandatory for all buyers. All of the workshops listed above are available at no cost to our homebuyers. As a HUD-certified financial counselor, Habitat also provides individual counseling sessions on an as-needed basis, which are tailored to the specific needs of buyers.</t>
  </si>
  <si>
    <t xml:space="preserve">The Project Site was previously developed as Fire Station 6 of City of Santa Clara Fire Department until the year 2010. The Project Site is surrounded by urban uses in at least 75 percent of its perimeter. Adjacent land uses located north and east of the Project Site are primarily single-family residential uses. Commercial uses are located south of the Project Site, and the De La Cruz Boulevard roadway and open space/recreational uses are located immediately west. </t>
  </si>
  <si>
    <t xml:space="preserve">	5050.07</t>
  </si>
  <si>
    <t>Central Commons, Phase 2 - Fremont</t>
  </si>
  <si>
    <t xml:space="preserve">Other - Admin </t>
  </si>
  <si>
    <t>Other - Payoff Construction Loan</t>
  </si>
  <si>
    <t>Other - Payoff HCD PDL</t>
  </si>
  <si>
    <t>Other - Habitat Contribution or Grant Funds</t>
  </si>
  <si>
    <t xml:space="preserve">Other - Project Contingency </t>
  </si>
  <si>
    <t>C:\Users\Compw\Desktop\HOSN Applications\HOSN0000153_attachments\0___Application_Workbook__Excel_\2023-HOSN-Application-Workbook-Parlier Submission.xlsm</t>
  </si>
  <si>
    <t>City of Parlier</t>
  </si>
  <si>
    <t xml:space="preserve">1100 E. Parlier </t>
  </si>
  <si>
    <t>Eva Beltran</t>
  </si>
  <si>
    <t>ebeltran@parlier.ca.us</t>
  </si>
  <si>
    <t>559-646-3545</t>
  </si>
  <si>
    <t>Grants Administrator</t>
  </si>
  <si>
    <t>Parlier</t>
  </si>
  <si>
    <t>Sonia Hall</t>
  </si>
  <si>
    <t>shall@parlier.ca.us</t>
  </si>
  <si>
    <t>sh</t>
  </si>
  <si>
    <t xml:space="preserve">The City of Parlier has a highly active Housing Program.  Since 2013, the city has had four phases of Monte Vista Housing Development (220 homes) and the two phases of Monterey Homes Housing Development (90 homes) with the next Monterey Homes Development that is currently under construction (300 home), and 12 Owner Occupied Rehabilitation Loans.  There was a break in rehab and construction due to COVID, but it is having been gearing up again and the city has run through all its Program Income and Reuse, but there is no doubt that the city has the staffing in place to manage the program administration in house through their Community and Economic Development Department which includes the Housing Services.  Just this last year, the city did two rehabs using Reuse funds.  The city complies with the requirements by marketing the program through the website and newsletter that go out in the monthly water bill.  There is a staff member who completes the income qualification process, and another who reviews and completes the underwriting.  Each project is reviewed and approved by council.  The Com Dev Coord with the Bldg Inspector develops the SOW and submits to the qualified contractors.  The city operates one of the most successful FTHB and OOR programs in the county and is well versed on the administration requirements.  The city has a separate Reuse fund.  The 220 Loan Serviced is handled through the city's Community Development Department, Housing Division.  _x000D_
_x000D_
</t>
  </si>
  <si>
    <t>Reuse Rehabilitation</t>
  </si>
  <si>
    <t>Program Income</t>
  </si>
  <si>
    <t xml:space="preserve">The median household income in Parlier, CA in 2020 was $37,434, and a 97% Hispanic population.  Parlier is a community with a lot of poverty, but there are also a lot of ADU homes that are owned and have been passed down through the generations.  There are many ADU that do not have heating and do not have air conditioning.  The roofs have tarps on them to cover the holes.  This program has helped many families fix the health and safety hazards in their home and has brought life back to old neighborhoods.  Generally, the income level for a family of four is $26,000 (very low income) up to $50,000 (low income).  In the last 4 years, the city has completed 4 Owner Occupied Rehabilitation projects, but would have completed more if we have the funding and if we did not have COVID.  We have a waiting list for this program with over 10 homeowners that need our assistance to fix their ADU’s that are falling apart.  The city’s Community Development Department has managed the entire department, to include the housing services, since 2014.  We applying for $1,000,000 to complete 8 Owner Occupied Rehabilitation projects.  The city will encourage contributed labor, and has with past rehabilitation projects.  </t>
  </si>
  <si>
    <t xml:space="preserve">The City of Parlier has a highly active Housing Program.  Since 2013, the city has had four phases of Monte Vista Housing Development (220 homes) and the two phases of Monterey Homes Housing Development (90 homes) with the next Monterey Homes Development that is currently under construction (300 home), with 4 homes already being built and sold and another 35 homes that are scheduled to be built.  Almost all of the homes were sold to the qualifying residents utilizing the FTHB program.  In the last four years, the city has closed 12 loans because most of the previous loans were closed prior.  There was a break in construction, but it is has been gearing up again and the city has run through all its Program Income and Reuse, but there is no doubt that the city has the staffing in place to manage the program administration in house through their Community and Economic Development Department which includes the Housing Services.  The city complies with the requirements by marketing the program with all homebuilders and lenders in the area, as well as on their website.  There is a staff member who completes the income qualification process, and another who reviews and completes the underwriting.  The city provides the residents the Homebuyer Education.  The city operates one of the most successful FTHB programs in the county and is well versed on the administration requirements.  The city has a separate Reuse fund.  The Loan Servicing is handled through the city's Community Development Department, Housing Division.  There are 220 loans that are serviced through this department.  </t>
  </si>
  <si>
    <t>The median household income in Parlier, CA in 2020 was $37,434, and a 97% Hispanic population.  For the residents of Parlier to qualify for the home loans, they must have support from the city through down payment assistance.  Their home loans are funded through USDA Rural Development as their first loan and the city FTHB program for their down payment assistance.  Generally, the income level for a family of four is $26,000 (very low income) up to $50,000 (low income).  In the last 8 years, the city has funded over 180 FTHB loans using Joe Serna, CalHOME, HOME, CDBG, PI, and REUSE.  The city’s Community Development Department has managed the housing services since 2014.  The city previously contracted the services out but found that the contractors were spending more time in Parlier managing the program so the city chose to hire the contractors as full-time staff who now manage the housing department for the City of Parlier.  Through this department, the housing FTHB loans are processed as well as the loans are managed.  The city has expended all of their FTHB funds from Program Income, and does not have and active CDBG or HOME yet we have 30 homes that are in process of being built right now.  We have 2 homes that are approved and we are using Reuse, but after this, we have nothing left.  We have 12 residents already pre-approved.  We are applying for FTHB funds for 20 units. We would have applied for more funds and should have, but are trying to be competitive.</t>
  </si>
  <si>
    <t>Reuse</t>
  </si>
  <si>
    <t xml:space="preserve">The median household income in Parlier, CA in 2020 was $37,434, and a 97% Hispanic population.  Parlier is a community with a lot of poverty, but there are also a lot of homes that are owned and have been passed down through the generations.  There are many homes that do not have heating and do not have air conditioning.  The roofs have tarps on them to cover the holes.  This program has helped many families fix the health and safety hazards in their home and has brought life back to old neighborhoods.  Generally, the income level for a family of four is $26,000 (very low income) up to $50,000 (low income).  In the last 4 years, the city has completed 4 Owner Occupied Rehabilitation projects, but would have completed more if we have the funding and if we did not have COVID.  We have a waiting list for this program with over 30 homeowners that need our assistance.  The city’s Community Development Department has managed the entire department, to include the housing services, since 2014.  We applying for $2,000,000 to complete 10 - 12 Owner Occupied Rehabilitation projects.  The city will encourage contributed labor, and has with past rehabilitation projects.  We have the contractor track the hours of the contributed labor.  _x000D_
_x000D_
</t>
  </si>
  <si>
    <t xml:space="preserve">The City of Parlier has a highly active Housing Program.  Since 2013, the city has had four phases of Monte Vista Housing Development (220 homes) and the two phases of Monterey Homes Housing Development (90 homes) with the next Monterey Homes Development that is currently under construction (300 home), and 12 Owner Occupied Rehabilitation Loans.  There was a break in rehab and construction due to COVID, but it is having been gearing up again and the city has run through all its Program Income and Reuse, but there is no doubt that the city has the staffing in place to manage the program administration in house through their Community and Economic Development Department which includes the Housing Services.  Just this last year, the city did two rehabs using Reuse funds.  The city complies with the requirements by marketing the program through the website and newsletter that go out in the monthly water bill.  There is a staff member who completes the income qualification process, and another who reviews and completes the underwriting.  Each project is reviewed and approved by council.  The Com Dev Coord with the Bldg Inspector develops the SOW and submits to the qualified contractors.  The city operates one of the most successful FTHB and OOR programs in the county and is well versed on the administration requirements.  The city has a separate Reuse fund.  The 220 Loan Serviced is handled through the city's Community Development Department, Housing Division.  </t>
  </si>
  <si>
    <t>CDBG</t>
  </si>
  <si>
    <t>PLHA</t>
  </si>
  <si>
    <t>S1_MA_PreviousProgram2</t>
  </si>
  <si>
    <t>S1_MA_PreviousProgramUnits2</t>
  </si>
  <si>
    <t>S1_MA_PreviousProgramStart2</t>
  </si>
  <si>
    <t>S1_MA_PreviousProgramEnd2</t>
  </si>
  <si>
    <t>CH_SH01_CompletedProjects</t>
  </si>
  <si>
    <t>C:\Users\Compw\Desktop\HOSN Applications\HOSN0000205_attachments\0___Application_Workbook__Excel_\Excel Workbook.xlsm</t>
  </si>
  <si>
    <t>City of Rio Dell</t>
  </si>
  <si>
    <t>675 Wildwood Ave</t>
  </si>
  <si>
    <t>Karen Dunham</t>
  </si>
  <si>
    <t>dunhamk@cityofriodell.ca.gov</t>
  </si>
  <si>
    <t>(707) 764-3532</t>
  </si>
  <si>
    <t>City Clerk</t>
  </si>
  <si>
    <t>Rio Dell</t>
  </si>
  <si>
    <t>Kyle Knopp</t>
  </si>
  <si>
    <t>knoppk@cityofriodell.ca.gov</t>
  </si>
  <si>
    <t>Michael Holtermann</t>
  </si>
  <si>
    <t>MH</t>
  </si>
  <si>
    <t>mholtermann@co.humboldt.ca.us</t>
  </si>
  <si>
    <t>(707) 268-3737</t>
  </si>
  <si>
    <t>Planner</t>
  </si>
  <si>
    <t>The County of Humboldt has received funds for an ADU/JADU lending program, and is in the process of implementing the program. The County has also implemented an active owner occupied rehabilitation (OOR) program since 1994. There is a staff member dedicated to OOR and Homebuyer programs, and they rely on written guidelines to ensure compliance. The Guidelines have been drafted to be similar to the OOR Guidelines that address the administrative aspects of marketing and the wait list, HCD approved income verification process, borrower debt/equity, loan documents, insurance, and resale provisions. Although slightly different, the programs are similar in that they address the construction aspects of bidding, contracting, qualified expenses, and inspections. In addition, they will include the provision for no short-term rentals. Funds that are paid back for OOR are deposited in the already established reuse account and used as specified in the CalHome Reuse Account Plan, and ADU paid back funds will be the same.</t>
  </si>
  <si>
    <t>CalHome Program Income OOR Loan Program</t>
  </si>
  <si>
    <t>HOME OOR</t>
  </si>
  <si>
    <t>The City of Rio Dell is proposing an ADU/JADU lending program administered by Humboldt County for home owners at or below 80% of the area median income. Preferential rate and term loans will be provided to homeowners wishing to construct Accessory Dwelling Units or Junior Accessory Dwelling Units on their property. The County will open a waiting list, perform income qualifications, help with project planning and permitting and provide support for bidding and construction monitoring. The City of Rio Dell is proposing 5 ADU/JADU units for completion in the grant period with total CalHome Assistance for this activity $480,000. New housing units will be constructed to comply with or exceed Title 24 requirements and to the extent possible will comply with the standards set in the Humboldt County Climate Action Plan.</t>
  </si>
  <si>
    <t>CalHome Program Income</t>
  </si>
  <si>
    <t xml:space="preserve">The City of Rio Dell is proposing an Owner Occupied Rehabilitiation lending program administered by the County of Humboldt (the County) for Moderate-Income and Lower-Income home owners that are victims of a disaster. The December 20, 2022 6.4 earthquake and resulting aftershocks, damaged many homes in the City of Rio Dell, many of these homes have been dclared unsafe to occupy, and many others have provisional occupancy. Rio Dell and Humboldt County have a housing shortage. Without assistance these housing units will be lost futher exasperating the housing shortage. This proposal would fund repair of approximately 42 houses. The repair work will be done by licensed contractors. Preferential rate and term loans will be provided to homeowners wishing to make needed repairs to their homes. The County will open a waiting list, perform income qualifications, help with project planning and permitting and provide support for bidding and construction monitoring. The County has identified 42 owner occupied red tagged residences and residential accessory structures in the Rio Dell area which have high need for rehabilitations. This new grant will allow the City of Rio Dell to handle the demand for repairs and rehabilitation. Without this funding the City of Rio Dell will face a reduction in available housing stock because most homeowners are low income and did not have homeowner insurance which will prevent financing repairs without assistance. The red tag homes will be demolished and those lots will no longer be used for housing. Total CalHome Assistance for this activity is $4,400,000. New construction will meet or exceed Title 24 energy code requirements. All units rehabilitated through this program will be in areas served by public water, sewer, and public transportation which implement an important measure in the County's draft Regional Climate Action Plan. Wherever possible rehabs will meet Climate Action Plan goals; emphasizing energy efficiency and de-carbonization of home systems-e.g. heating, cooling, and water heating. All homes to be rehabilitated are in infill areas, i.e. in an Urban Cluster Area, in close proximity to schools, shopping, and public parks, and will therefore contribute to County effort to reduce vehicle miles traveled. </t>
  </si>
  <si>
    <t>The City of Rio Dell has not administered an owner-occupied rehabilitation (OOR) program within the last four years. As a result, the County of Humboldt will administer and oversee funds on behalf of the City of Rio Dell. The County has had an active OOR program since 1994. Currently the County has CalHome, HOME, and CDBG Program Income funds which are used to assist with repairs and new construction. There are two staff member dedicated to OOR and Homebuyer programs, and they rely on written guidelines to ensure compliance. In order to address the volume of loans represented the County will be adding at least one position. The Guidelines address the adminsitrative aspects of marketing and the waitlist, HCD approved income verification process, borrower debt/equity, loan documents, insurance, and resale provisions. In addition, they address the construction aspects of bidding, contracting, qualified expenses, and inspections. Staff also relies on the experience of the Humboldt County Building Department for inspections and work write-ups. Funds that are paid back will be deposited in program income accounts per the terms of the grant agreement and current NOFA.</t>
  </si>
  <si>
    <t>HOME Program Income</t>
  </si>
  <si>
    <t>C:\Users\Compw\Desktop\HOSN Applications\HOSN0000211_attachments\0___Application_Workbook__Excel_\Fernwood 2023-HOSN-Application-Workbook 2.22.2023.xlsm</t>
  </si>
  <si>
    <t>Habitat for Humanity Intl Yuba Sutter</t>
  </si>
  <si>
    <t>202 D Street</t>
  </si>
  <si>
    <t>Camille Thomas</t>
  </si>
  <si>
    <t>cami@yubasutterhabitat.org</t>
  </si>
  <si>
    <t>530-742-2727  ext 201</t>
  </si>
  <si>
    <t>Administrative Officer</t>
  </si>
  <si>
    <t>Joseph Hale</t>
  </si>
  <si>
    <t>jhale@yubasutterhabitat.org</t>
  </si>
  <si>
    <t>(530) 742-2727  ext 211</t>
  </si>
  <si>
    <t>CEO and Board President</t>
  </si>
  <si>
    <t>Louise Collis</t>
  </si>
  <si>
    <t>LC</t>
  </si>
  <si>
    <t>louise@thurmondconsultingllc.com</t>
  </si>
  <si>
    <t>(707) 290-2635</t>
  </si>
  <si>
    <t>Senior Consultant</t>
  </si>
  <si>
    <t>Habitat for Humanity Yuba/Sutter</t>
  </si>
  <si>
    <t>Habitat for Humanity Yuba Sutter</t>
  </si>
  <si>
    <t>Completed 25 Homeownership projects in past 4 years, including: 2558 Habitat Way, Linda, CA 95901</t>
  </si>
  <si>
    <t xml:space="preserve">Habitat for Humanity Yuba/Sutter (Habitat) was established in 1993 and is a recognized affiliate of Habitat for Humanity International.  The organization has 30 years of experience providing affordable homeownership housing to lower-income residents of Yuba and Sutter counties.  Habit staff have the training and experience necessary to properly administer CalHome funded activities, including both Housing Development Loan and Self-Help Technical Assistance.  _x000D_
_x000D_
In the past four years, Habitat has developed 25 self-help homeownership units and 62 units of affordable rental units in Yuba County.  Although we accept applications from interested households between 50% and 80% of the Yuba County Area Median Income (AMI), adjusted by household size, we prioritize the lowest income households and most participants are between 50% and 60% AMI._x000D_
_x000D_
Over the years, Habitat has developed strong ties with both private and public lending institutions.  See attached CalHome SHTA Previous Experience._x000D_
_x000D_
Habitat qualifies as a Community Based Developer as defined in the Homeownership SuperNOFA.  See attached CalHome SHTA Community Based Developer for documentation of qualifications._x000D_
_x000D_
Fernwood Village Phase 1 is located at 1708 Ash Way, Linda, CA in the unincorporated area of Yuba County.  The project will construct 22 duplex affordable self-help homeownership units.  Although they are duplex construction, each home will be on a separate parcel (11 buildings on 22 lots)._x000D_
_x000D_
Please note that the site address is 1708 Ash Way, Linda, CA 95901.  However, some documents indicate that the property is located at 1708 Ash Way, Marysville, CA 95901.  This is the mailing address, but the property is located south of the boundary of Marysville in the unincorporated area of Yuba County. _x000D_
_x000D_
Habitat markets self-help homeownership projects to residents of Yuba and Sutter counties through the organization’s many contacts with agencies serving lower-income households in the community.  Outreach includes targeted marketing to persons with Limited English Proficiency.  _x000D_
_x000D_
Persons interested in participating in the program are required to submit an application including income documentation in compliance with CalHome requirements.  Participants must be households with incomes between 50% and 80% of the Yuba County AMI.  Participants are required to complete a minimum of eight hours of homebuyer education offered by a HUD approved housing counseling agency  At a minimum, homebuyer education shall include: preparing for homeownership; available financing and credit analysis; loan closing and homebuyer responsibilities; home maintenance; and loan servicing.  All documentation is verified by Habitat staff.  Participants are required to complete a minimum of 500 hours of self-help labor as required by the CalHome program.  See attached CalHome SHTA Participant Criteria._x000D_
_x000D_
Construction financing for Fernwood Village Phase 1 will be a combination of CalHome funds; Habitat internal funds and donations of materials and funding from community partners.  Any remaining costs will be funded with a loan from one of Habitat’s many private and public lending partners.  Participant home purchase costs will be made affordable through:_x000D_
_x000D_
•	CalHome Housing Development Loan (HDL) funding for construction;_x000D_
•	CalHome Mortgage Assistance (not to exceed 40% of the purchase price);_x000D_
•	A below market interest rate, shared equity, amortized Principle Mortgage (first mortgage) with affordable payments that do not exceed 30% of participant’s household monthly gross income;_x000D_
•	If needed to keep payments on the Primary Mortgage affordable, a deferred Forgiveness Note that is forgiven 5% per year for 20 years; and _x000D_
•	Participant’s required cash Downpayment of 1% of the purchase price._x000D_
</t>
  </si>
  <si>
    <t xml:space="preserve">Habitat has many years of experience administrating self-help labor homeownership programs.  The most recent was Sierra Vista which included completion of 25 units in the last four years.  See attached CalHome PDL Completed Projects.  Habitat received funding from the U.S. Department of Agriculture (USDA) to offer affordable first mortgages to Sierra Vista homebuyers who had completed at least 500 hours of self-help labor towards the project.  Habitat also received funding from the Yuba-Sutter Economic Development Corporation for construction financing for a portion of the Sierra Vista Project.  See attached CalHome PDL CLP Previous Experience.  _x000D_
_x000D_
If awarded CalHome funding, Habitat will develop and employ Self-Help Technical Assistance Program Guidelines meeting all the requirements in CalHome Guidelines Section 401.3.  The Self-Help Guidelines will be submitted to HCD for approval prior to implementing the CalHome funded activity.  _x000D_
_x000D_
At a minimum, the Self-Help Guidelines will include:  Restrictions on sales prices so that homes assisted with Self-Help Technical Assistance will not be sold at a price that exceeds its appraised value; program marketing; recruitment of homebuyers and selection criteria; income limits for participation and income determination procedures; criteria for homebuyer participation in the program including residency requirements and credit requirements; process of providing reasonable accommodations to persons with a disability; list of activities to be performed by Self-Help participants; construction training plan; and homeownership training plan._x000D_
_x000D_
Habitat staff conducts background checks and reviews credit reports of applicants.  Applicants are required to pass a drug test prior to approval.  The applicant’s income, credit history and debt burden must meet program requirements.  Once staff review of applicant is complete, the file is submitted to Habitat’s Family Selection Committee.  Applicants recommended for participation by the Family Select Committee are submitted to the Board of Directors for final approval._x000D_
_x000D_
Habitat conducts a Pre-Construction Conference with each participant and their contractor prior to start of work on the home.  The conference informs the participant and contractor of the following key requirements:_x000D_
_x000D_
•	Required start date and completion date for construction._x000D_
•	Review of plans, bids and specifications, scope of work, construction standards, environmental requirements, materials, liquidated damages, inspections, change orders and payment procedures._x000D_
•	Contractor’s requirement to submit lien waivers indicating that all payrolls, labor, equipment and material bills and other indebtedness connected with the work have been paid._x000D_
•	Dispute resolution process._x000D_
•	Responsibilities of the Participant (Owner) to monitor progress of work, approve payments to contractor and attend final inspection._x000D_
•	Responsibilities of Contractor to obtain and display required posters and permits, perform work in accordance with approved plans and specifications, apply for preapproval of any contract change orders, notify owner and Habitat when work is complete._x000D_
•	Responsibilities of Habitat to protect the interests of the funding source(s), monitor progress of construction, authorize payments and authorize contract change orders._x000D_
</t>
  </si>
  <si>
    <t>25 Completed Homeownership projects in past 4 years, including: 2558 Habitat Way, Marysville, CA 95901</t>
  </si>
  <si>
    <t>Fernwood Village Phase 1</t>
  </si>
  <si>
    <t>1708 Ash Way</t>
  </si>
  <si>
    <t>Linda</t>
  </si>
  <si>
    <t xml:space="preserve">The Fernwood Village Phase 1 site is one of three parcels set aside for affordable homeownership development in the Fernwood Village development planned by Yuba County in the unincorporated community of Linda CA.  Linda is adjacent to the City of Marysville CA.  Parcels 1 and 2 are owned by Yuba County.  Parcel 3 is owned by the Applicant Habitat for Humanity Yuba/Sutter.  The Habitat Fernwood project on Parcel 3 will be the first phase of this development and will produce 22 affordable homeownership housing units._x000D_
_x000D_
After submitting a letter of interest to the HCD Infrastructure Infill Grant (IIG) program Yuba County was invited to apply for funding in the amount of 5500000 for infrastructure in support of affordable homeownership units planned for Fernwood Village.  The infrastructure will serve both the Habitat parcel and the County owned parcels.  The application was submitted in January 2023.  IIG funding is limited to capital improvement projects required to successfully develop Fernwood Village.  _x000D_
_x000D_
See attached CalHome Memorandum of Understanding for the IIG application which explains the partnership between Yuba County and Habitat for infrastructure development on the three parcels.  As noted on page 10 section Describe the CIP funds will be used “to construct but is not limited to water sewer or other utility service improvements (including internet infrastructure) including relocation of such improvements in addition to residential parking and sidewalk or streetscape improvements.”  Use the small + sign in the lower right hand corner and the up/down arrows to read the entire response._x000D_
_x000D_
IIG application page 12 anticipates completion of all infrastructure construction by January 2024._x000D_
_x000D_
</t>
  </si>
  <si>
    <t>Site is owned by applicant.  See attached "CalHome PDL Site Control" for Grant Deed dated 10/30/2020.</t>
  </si>
  <si>
    <t>Yuba County (anticipated 6/21/23)</t>
  </si>
  <si>
    <t>HCD 2022 80% AMI income limit 4 person household $62,300. CAR Dec 2022 Median Sales Price for Yuba County $420,000.  See detailed explanation in Local Area Market Analysis below.</t>
  </si>
  <si>
    <t xml:space="preserve">Habitat proposes to build 22 single family homes in the unincorporated community of Linda, CA located in Yuba County.  Known as Fernwood Village Phase 1, the homes will be duplex units (total of 11 buildings).  Each of the 22 units will be located on a separate parcel.  _x000D_
_x000D_
Homes will be 4 bedroom, 2 bath units of approximately 1,350 square feet.  Sales price is anticipated at $360,000 providing an estimated price per square foot of $267.  The anticipated sales price for Fernwood Village Phase 1 homes is 85.7% of the December 2022 median home sales price in Yuba County.  _x000D_
_x000D_
CAR Sales Data for Single Family Homes in Yuba County_x000D_
According to the California Association of Realtors (CAR), total Yuba County single family existing home sales in 2022 decreased by 17.7% from 2021 levels.  However, this was significantly less than the 44.1% decrease statewide and 39.3% experienced in the central valley.  Despite the downturn in the number of homes sold, prices have remained relatively steady.  The Yuba County median home sales price for existing single family homes in December 2022 was $420,000, up 2.4% from the December 2021 median home sales prices of $410,000.  CAR reports that home sales at higher price points fell faster than more moderately priced housing stock and anticipates that home prices will remain sensitive to continued changes in interest rates._x000D_
_x000D_
Median time on market for Yuba County in December 2022 was 41 days, up from 27 days in November 2022 and 7 days in December 2021.  The Unsold Inventory Index (UII) is the number of days it will take to deplete current inventory at the current rate of sales.  According to CAR, the UII in Yuba County increased from 1.7 to 2.8 over the past year.  The statewide UII increased from 1.2 to 2.7 during the same period.  Sales price per square foot in Yuba County for December 2022 was $250, compared to $263 in December 2021._x000D_
_x000D_
Habitat recently completed 25 single family units at Sierra Vista, which is within two miles of the Fernwood Village project.  These homes are about 150 square foot larger than the homes at Fernwood and appraised at $415,000.  Anticipated sale price for Fernwood Village duplex homes is anticipated at $360,000, which is expected to be below appraisal value and well below the Yuba County median home sale price._x000D_
_x000D_
CAR data is available at https://www.car.org/._x000D_
_x000D_
Mortgage Rates_x000D_
In an effort to slow inflation, the Federal Reserve raised the federal fund rate seven times during 2022 resulting in a spike in Freddie Mac mortgage rates from 3.22% in January to  6.42% in December.  Rates dipped a bit in January 2023, but rose to 6.5% by the end of February. These are the highest mortgage rates seen since 2002.  Coupled with inflation that has raised the cost of other goods, buyers’ purchase power has decreased and this places homeownership out of reach for many households.  Indicators point to the Federal Reserve raising rates again, depending on the results of economic reports regarding inflation, which would place homeownership out of reach for even more households._x000D_
_x000D_
Federal Reserve primary mortgage interest rate history is available at https://www.federalreserve.gov/monetarypolicy/openmarket.htm.  Freddie Mac rates are available at https://www.freddiemac.com/pmms._x000D_
_x000D_
Housing Affordability_x000D_
The high cost of housing across the State of California has been a detriment to homeownership for many years.  Since 2021, housing affordability has declined even more due to rising interest rates and inflation.  The share of household income required to purchase a home has increased.  A 6.41% inflation rate for the 12 months ending January 2023 makes other consumer goods more expense, resulting in reduced purchase power for potential homebuyers.  _x000D_
_x000D_
Homebuyers will be restricted to Low Income households at or below 80% of Yuba County Area Median Income (AMI), adjusted by household size.  However, most will be between 50% and 60% AMI.  The HCD 2022 80% AMI limit for a four person household is $62,300 and the 50% AMI four person household limit is $38,950.  It takes significant assistance to ensure affordability at this income level._x000D_
_x000D_
Habitat will hold an amortized Principle (first) shared equity mortgage on the homes.  The purchase financing will be structured to ensure that monthly housing costs do not exceed 30% of monthly household income.  A portion of the CalHome Homeownership Development Program loan will be converted to a silent second deferred mortgage assistance loan for each home.  To ensure affordability of the Principle mortgage loan, Habitat also will provide a deferred Forgiveness Note that is forgiven at a rate of 5% per year for 20 years for the balance of the purchase price.  Participants are required to provide a 1% cash downpayment. _x000D_
 _x000D_
_x000D_
</t>
  </si>
  <si>
    <t xml:space="preserve">NOTE REGUARDING FINANCING SOURCES AND USES:  Habitat will finance all predevelopment and construction activities except for those funded by CalHome.  Habitat will fund activities first with internal funds and, if needed, will secure bank financing for any remaining costs.  There are no permanent financing sources listed as all encumbrances must be removed from the parcels prior to sale to participant homebuyers.  Financing of homebuyer purchases is explained below,_x000D_
_x000D_
Habitat for Humanity Yuba/Sutter (Habitat) requests funding for Fernwood Village Phase 1, a self-help homeownership project that will provide affordable homeownership for 22 Low Income households between 50% and 80% of Yuba County Area Median Income (AMI), adjusted by family size as determined by HCD.  However, we prioritize the lowest income households.  Most participants are between 50% and 60% AMI._x000D_
_x000D_
The Fernwood Village site is former park land that has been designated for residential development by Yuba County to promote homeownership, wealth generation and family stability.  The site is located in the unincorporated community of Linda, in a predominately residential area with homeowners and renters from a variety of backgrounds.  When completed, Fernwood Village will offer a new community park, recreational trails and a communal feel promoting positive neighborhood interactions.  _x000D_
_x000D_
Please note that the site address is 1708 Ash Way, Linda, CA 95901.  However, some documents indicate that the property is located at 1708 Ash Way, Marysville, CA 95901.  This is the mailing address, but the property is located south of the boundary of Marysville in the unincorporated area of Yuba County. _x000D_
_x000D_
Habitat qualifies as a Community Based Developer as defined in the Homeownership SuperNOFA.  See attached CalHome PDL Community Based Developer for documentation of qualifications._x000D_
_x000D_
Fernwood Village is ideally situated in close proximity to transit with the North Beale Road/Albrecht Avenue bus stop within a 0.2 mile walk.  The bus line provides hourly service starting at 6:22 AM and ending at 5:51 PM.  Fernwood Village is .6 miles from Edgewater Elementary School, 1.3 miles from the Yuba College Library and Resource Center and 1.5 miles from shopping including a Walmart Supercenter, Food Maxx, Dollar Tree, auto repair and other services.  The site is 1.6 miles from the offices of Yuba County Health &amp; Human Services.  All of which are accessible along the bus route.  Major employment centers are nearby including Beale Air Force Base, the City of Marysville and Yuba City.  Transit is available to these locations and to Sacramento, 40 miles to the south._x000D_
_x000D_
Fernwood Village Phase 1 will construct 22 duplex affordable self-help homeownership units.  Participants households must have incomes between 50% and 80% of Yuba County AMI.  Each unit will be on a separate parcel (11 buildings on 22 lots).  Funding is requested for Fernwood Village Phase 1.  Upon completion of all future phases, Fernwood Village will consist of an estimated 90-100 units of affordable homeownership housing.  Habitat owns the site for Phase 1 which is identified as Parcel 3 on the attached CalHome PDL Site Map.  Parcels 1 and 2 are owned by Yuba County and set aside for future affordable homeownership development.  Site design and entitlements are underway and funded by Yuba County.  There are no known environmental concerns associated with the site.  A Phase 1 environmental report is underway.  See attached CalHome PDL Phase 1 and 2 ESAs for a pre-survey environmental questionnaire and the Phase 1 proposal from Silicon Valley Environmental Group._x000D_
_x000D_
Habitat recently completed a similar project in Yuba County just to the east of Fernwood Village.  Known as Sierra Vista, the project produced 25 self-help homeownership units over the past four years.  The project was very well received and there were no issues identifying qualified participants or producing the units.  See attached CalHome PDL Completed Projects.  _x000D_
_x000D_
The major obstacle to feasibility for Fernwood Village is the need for infrastructure serving the site.  Utilities are available at the boundary of the property.  Onsite installation of water, sewer, electric and internet service, in addition to street construction is needed to prepare the site for development.  Yuba County submitted a letter of interest to the HCD Infill Infrastructure Grant (IIG) program for Fernwood Village and was invited to apply for funding.  In January 2023, Yuba County submitted an IIG application to HCD requesting $5,500,000 for  infrastructure improvements serving the site.  See attached CalHome Memorandum of Understanding for a copy of the application that outlines the partnership between Habitat and Yuba County for development of Fernwood Village.  As noted in the IIG application, Yuba County anticipates completion of infrastructure in January 2024._x000D_
_x000D_
A secondary obstacle to the development of owner-occupied housing affordable to Low Income households is cost.  The rising cost of construction, rising mortgage interest rates mortgages and related increases in downpayment requirements has placed affordable homeownership out of reach for many California families.  Habitat proposes to mitigate these costs through the use of:_x000D_
_x000D_
•	CalHome Housing Development Loan (HDL) funding for construction and a portion for conversion to CalHome Mortgage Assistance (not to exceed 40% of the purchase price);_x000D_
•	Self-help labor;_x000D_
•	A below market interest rate, shared equity, amortized Principle Mortgage (first mortgage) with affordable payments that do not exceed 30% of participant’s household monthly gross income;_x000D_
•	If needed to keep payments on the primary mortgage affordable, a deferred Forgiveness Note that is forgiven 5% per year for 20 years; _x000D_
•	Donations of materials and funds from community partners; and_x000D_
•	Participant’s required cash Downpayment of 1% of the purchase price._x000D_
_x000D_
Habitat has long standing relationships with lending institutions that support affordable homeownership for lower-income families.  Sources of funding for the Principle Mortgage may include both private and public lenders.  See attached CalHome PDL CLP Previous Experience for letters of interest from previous lending partners, the U.S. Department of Agriculture (USDA), Yuba-Sutter Economic Development Corporation and Tri Counties Bank._x000D_
_x000D_
Homes assisted with CalHome funding will not be sold at a price that exceeds its appraised value._x000D_
_x000D_
</t>
  </si>
  <si>
    <t xml:space="preserve">Habitat for Humanity Yuba/Sutter (Habitat) was established in 1993 and is a recognized affiliate of Habitat for Humanity International.  The organization has 30 years of experience providing affordable homeownership housing to lower-income residents of Yuba and Sutter counties.  Habit staff have the training and experience necessary to properly administer CalHome funded activities, including both Housing Development Loan and Self-Help Technical Assistance.  In the past four years, Habitat has developed 25 self-help homeownership units and 62 units of affordable rental units in Yuba County._x000D_
_x000D_
Marketing and Outreach_x000D_
Self-help homeownership projects are marketed to residents of Yuba and Sutter counties through Habitat’s many contacts with agencies serving lower-income households in the community.  Outreach includes targeted marketing to persons with Limited English Proficiency.  _x000D_
_x000D_
Participant Eligibility_x000D_
Persons interested in participating in the program are required to submit an application including income documentation in compliance with CalHome requirements.  Participants must be households with incomes between 50% and 80% of the Yuba County AMI income, as determined by HCD with most participants between 50% and 60% AMI.  Participants are required to complete a minimum of eight hours of homebuyer education offered by a HUD approved housing counseling agency  At a minimum, homebuyer education shall include: preparing for homeownership; available financing and credit analysis; loan closing and homebuyer responsibilities; home maintenance; and loan servicing.  All documentation is verified by Habitat staff.  Participants are required to complete a minimum of 500 hours of self-help labor as required by the CalHome program.  See attached CalHome PDL Participant Criteria. _x000D_
_x000D_
Loan Servicing and Reuse Account_x000D_
Habitat has developed a Loan Servicing Plan and Reuse Account Plan in compliance with CalHome requirements.  See attached CalHome Loan Servicing Plan and CalHome Reuse Account Plan.  _x000D_
_x000D_
Resale Restrictions_x000D_
Habitat will record resale restrictions meeting CalHome program administration requirements on all CalHome assisted units.  Participants are informed of all resale restrictions and the language is included the sales agreement, principle promissory note, forgiveness note, deed of trust and rider to first deed of trust.  See attached CalHome PDL Resale Restrictions._x000D_
_x000D_
To secure future affordability of the home, Habitat uses a Rider to the Deed of Trust that requires the unit to be maintained as the home of primary residence for the 20 year term of the Forgiveness Promissory Note.  The Rider gives Habitat first right of refusal to repurchase the property in the event it is sold, transferred or re-financed, based on terms established in the purchase agreement executed for the Participant’s original purchase of the property from Habitat.  Habitat prefers to repurchase the home and resell it to a new income-eligible household through the required affordability period.  If this is not possible, the Primary Mortgage Note (first mortgage) includes an equity sharing provision and the CalHome Mortgage Assistance Note will ensure that the CalHome investment will be recaptured for reuse in another CalHome eligible activity._x000D_
_x000D_
Self-Help Technical Assistance Administration_x000D_
Habitat has many years of experience administrating self-help labor homeownership programs.  The most recent was Sierra Vista which included completion of 25 units in the last four years.  See attached CalHome PDL Completed Projects.  Habitat received funding from the U.S. Department of Agriculture (USDA) to offer affordable first mortgages to Sierra Vista homebuyers who had completed at least 500 hours of self-help labor towards the project.  Habitat also received funding from the Yuba-Sutter Economic Development Corporation for construction financing for a portion of the Sierra Vista Project.  See attached CalHome PDL CLP Previous Experience.  _x000D_
_x000D_
If awarded CalHome funding, Habitat will develop and employ Self-Help Technical Assistance Program Guidelines meeting all the requirements in CalHome Guidelines Section 401.3.  The Self-Help Guidelines will be submitted to HCD for approval prior to implementing the CalHome funded activity.  _x000D_
_x000D_
At a minimum, the Self-Help Guidelines will include:  Restrictions on sales prices so that homes assisted with Self-Help Technical Assistance will not be sold at a price that exceeds its appraised value; program marketing; recruitment of homebuyers and selection criteria; income limits for participation and income determination procedures; criteria for homebuyer participation in the program including residency requirements and credit requirements; process of providing reasonable accommodations to persons with a disability; list of activities to be performed by Self-Help participants; construction training plan; and homeownership training plan._x000D_
_x000D_
Habitat staff conducts background checks and reviews credit reports of applicants.  Applicants are required to pass a drug test prior to approval.  The applicant’s income, credit history and debt burden must meet program requirements.  Once staff review of applicant is complete, the file is submitted to Habitat’s Family Selection Committee.  Applicants recommended for participation by the Family Select Committee are submitted to the Board of Directors for final approval._x000D_
_x000D_
Habitat conducts a Pre-Construction Conference with each participant and their contractor prior to start of work on the home.  The conference informs the participant and contractor of the following key requirements:_x000D_
_x000D_
•	Required start date and completion date for construction._x000D_
•	Review of plans, bids and specifications, scope of work, construction standards, environmental requirements, materials, liquidated damages, inspections, change orders and payment procedures._x000D_
•	Contractor’s requirement to submit lien waivers indicating that all payrolls, labor, equipment and material bills and other indebtedness connected with the work have been paid._x000D_
•	Dispute resolution process._x000D_
•	Responsibilities of the Participant (Owner) to monitor progress of work, approve payments to contractor and attend final inspection._x000D_
•	Responsibilities of Contractor to obtain and display required posters and permits, perform work in accordance with approved plans and specifications, apply for preapproval of any contract change orders, notify owner and Habitat when work is complete._x000D_
•	Responsibilities of Habitat to protect the interests of the funding source(s), monitor progress of construction, authorize payments and authorize contract change orders._x000D_
_x000D_
Mortgage Assistance_x000D_
A portion of the CalHome Housing Development Loan will be converted to Mortgage Assistance for participants, not to exceed 40% of the purchase price of the home.  If awarded CalHome funding, Habitat will develop and employ Mortgage Assistance Guidelines including administration and underwriting criteria meeting the requirements in CalHome Guidelines Sections 402.3 and 402.4.  Guidelines will include records retention policy, non-discrimination policy and will require compliance with all applicable state and federal laws, rules, guidelines, and regulations that pertain to nondiscrimination and fair housing._x000D_
_x000D_
_x000D_
</t>
  </si>
  <si>
    <t>The Fernwood Village site is located in the Yuba County unincorporated community of Linda, CA.  Yuba County, including Linda, is located in the urbanized area of the Sacramento-Roseville Metropolitan Statistical Area (MSA).  The site is roughly rectangular in shape.  The perimteter is bounded by developed properties including a commercial parcel to the west, residential to the north and east, and a public park to the south.  See attachment CalHome PDL Infill Site Documents.</t>
  </si>
  <si>
    <t>No known adverse environmental conditions.  A Phase 1 environmental study is currently underway.  See attached CalHome PDL Phase 1 and 2 ESAs.</t>
  </si>
  <si>
    <t>N/A - not required under current zoning</t>
  </si>
  <si>
    <t xml:space="preserve">N/A - not required under current zoning </t>
  </si>
  <si>
    <t>2564 Habitat Way, Linda, CA 95901</t>
  </si>
  <si>
    <t>2564 Habitat Way, Marysville, CA 95901</t>
  </si>
  <si>
    <t>2570 Habitat Way, Marysville, CA 95901</t>
  </si>
  <si>
    <t>2576 Habitat Way, Marysville, CA 95901</t>
  </si>
  <si>
    <t>2582 Habitat Way, Marysville, CA 95901   See attachment CalHome PDL Completed Projects for documentation of 25 units.</t>
  </si>
  <si>
    <t>2570 Habitat Way, Linda, CA 95901</t>
  </si>
  <si>
    <t>2576 Habitat Way, Linda, CA 95901</t>
  </si>
  <si>
    <t>2582 Habitat Way, Linda, CA 95901  See attachment CalHome SHTA Completed Projects for documentation of all 25 units.</t>
  </si>
  <si>
    <t>C:\Users\Compw\Desktop\HOSN Applications\HOSN0000215_attachments\0___Application_Workbook__Excel_\2023-HOSN-Application-Workbook 2.22.2023 v022723.xlsm</t>
  </si>
  <si>
    <t>City of Oakland</t>
  </si>
  <si>
    <t>250 Frank H Ogawa Plaza, Attn HCD</t>
  </si>
  <si>
    <t>Christina Mun</t>
  </si>
  <si>
    <t>Interim Director, Dept of Housing &amp; Community Development</t>
  </si>
  <si>
    <t>CMun@oaklandca.gov</t>
  </si>
  <si>
    <t>510-238-3360</t>
  </si>
  <si>
    <t>Christia Katz Mulvey</t>
  </si>
  <si>
    <t>Manager, Housing Development Services</t>
  </si>
  <si>
    <t>CMulvey@oaklandca.gov</t>
  </si>
  <si>
    <t>(510) 238-3623</t>
  </si>
  <si>
    <t>Nicki Duesberg</t>
  </si>
  <si>
    <t>Homeownership Programs Coordinator</t>
  </si>
  <si>
    <t>nduesberg@oaklandca.gov</t>
  </si>
  <si>
    <t>510-238-6158</t>
  </si>
  <si>
    <t>nd/CM</t>
  </si>
  <si>
    <t>City of Oakland is applying for Mortgage Assistance (MA) to provide gap financing to assist homebuyers with incomes up to 80% Area Median Income (AMI) to purchase homes in Oakland's Opportunity Zone. The MA program will be modeled on the successful "Oakland CalHome" down payment assistance program we have operated since 2007 which has assisted 74 low income households (through December 31, 2022) to become homeowners; 63 loans were made using original grant funds and when loans were repaid we then reallocated those funds to our CalHome ReUse account to assist an additional 11 households. We will continue to partner with the Oakland Housing Authority as historically 30% of our CalHome funds serve Section 8 Housing Choice Voucher buyers and it is an effective package to bring homeownership within reach to eligible households; the assistance is layered with a first mortgage and occasionally a third lien such as the Federal Home Loan Bank's Workforce Initiative Subsidy for Homeownership (WISH) Program. There is no contributed labor component proposed. We encourage first mortgage acquisition rehab loans such as 203(k) to improve the condition of the housing stock.</t>
  </si>
  <si>
    <t>Plans are to replenish funding to continue operating the CalHome Program as we have since 2007: Homeownership Unit staff market the program through outreach events, City web pages, and our partnerships with local community lenders, realtors, and community liaisons (e.g. HUD-certified housing counselors and Housing Authority staff). Mortgage lenders screen the applicants and assist them to submit an application to the City once under contract. City staff verify compliance with program guidelines, issue approvals or declines, draw docs, and then fund the assistance loans to escrow. The completed loan file is forwarded to our Loan Servicing unit for post-close administration including processing payments, subordinations, and payoffs. The City's portfolio of mortgage assistance loans including CalHome Program loans are serviced in house by City staff in the Loan Servicing unit. Staff report to CA-HCD per the program requirements and submit timely reimbursement requests during the active grant period. We report annually on activity in active grants inactive grants and reuse balances per the monitoring agreement.</t>
  </si>
  <si>
    <t>Home Maintenance Improvement Program (HMIP) comprehensive rehabs</t>
  </si>
  <si>
    <t>City of Oakland is applying for OOR funds to provide financing to assist low income homeowners with incomes not exceeding 80% Area Median Income (AMI) in Oakland's Opportunity Zones. The funds will rehabilitate and will reconstruct owner occupied single family homes in need of health and safety and/or code enforecement repairs. The OOR program will be modeled on the "Oakland CalHome ADU Loan Program" in operation since 2022 to legalize ADUs, and the City’s own long-standing rehab program “Home Maintenance and Improvement Program (HMIP)” which has been administered by local staff since 1975. Low income homeowners typically contribute little to no additional financing and typically have a first mortgage on the property but little access to the technical know-how and to the funds that this Rehab assistance provides. There is no contributed labor component proposed.</t>
  </si>
  <si>
    <t xml:space="preserve">Our plan is to develop and locally administer a CalHome OOR Program in essentially the same fashion as we have operated our longstanding Home Maintenance and Improvement Program. City staff market the program through outreach mailers, outreach events, City web pages, and our partnerships with local community leaders and mission-driven liaisons. Applicants submit a pre-application, and city staff invite candidates to submit an application to the City when the preapplication shows the project appears feasible and likely meets the program requirements. City staff verify compliance with program guidelines, approve or decline the loan, draw docs, and then fund the assistance loans in an onsite escrow. Staff arrange the bid walk, a roster of local contractors and staff may collaborate on refining the scope, and the construction process proceeds with progress payments issued to the contractors from the loan funds in escrow. Upon project completion, the completed loan file is forwarded to our in house Loan Servicing unit for post-close administration including, processing payments, eligible subordinations, and payoffs. The City's portfolio of assistance loans, including CalHome Program loans, are serviced in house by City staff in the Loan Servicing unit. Staff report to CA-HCD per the program requirements and submit timely reimbursement requests during the active grant period. We report annually on activity in active grants, inactive grants, and reuse balances per the monitoring agreement. </t>
  </si>
  <si>
    <t>C:\Users\Compw\Desktop\HOSN Applications\HOSN0000217_attachments\0___Application_Workbook__Excel_\2023-HOSN-Application-Workbook_Habitat-MHR.xlsm</t>
  </si>
  <si>
    <t>Habitat for Humanity East Bay/Silicon Valley, Inc.</t>
  </si>
  <si>
    <t>Dona Gomez</t>
  </si>
  <si>
    <t>dgomez@habitatebsv.org</t>
  </si>
  <si>
    <t>(510) 906-2215</t>
  </si>
  <si>
    <t>Sr. Operations Manager</t>
  </si>
  <si>
    <t>Jen Gray</t>
  </si>
  <si>
    <t>JG</t>
  </si>
  <si>
    <t>jgray@habitatebsv.org</t>
  </si>
  <si>
    <t>(510) 803-3313</t>
  </si>
  <si>
    <t>Director, Home Preservation</t>
  </si>
  <si>
    <t>Alameda County Home Preservation Loan Program</t>
  </si>
  <si>
    <t xml:space="preserve">With this application, Habitat for Humanity East Bay/Silicon Valley seeks funding to serve additional low-income (80% AMI or below) households residing in mobile homes whose homes are in need of critical repairs or rehabilitation in Alameda County, Contra Costa County, and Santa Clara County. Contributed labor will market the program, determine applicant eligibility, perform home inspections, generate project scopes of work and estimated budgets, close loans, procure contractors via a competitive bidding process, generate contracts with contractors awarded bids, monitor construction, issue progress payments, perform project close-out including punch list walks, secure notices of completion, ensure lien releases are secured, conduct homeowner satisfaction surveys, and submit all program reporting in a timely manner._x000D_
_x000D_
Habitat currently receives funding for its own OOR program, and/or administers owner occupied rehabilitation programs (grant and loan) for many jurisdictions including City of San Jose, Alameda County HCD, City of Fremont, City of Hayward, City of Berkeley, City of Pleasanton, Contra Costa County HCD, City of Walnut Creek, City of Concord, and City of Antioch. Habitat is in good standing with all jurisdictions and has been implementing these programs since 2015. </t>
  </si>
  <si>
    <t xml:space="preserve">All Rehabilitation work will be performed on Manufactured Homes that are not on permanent foundations, and thus, appraisals are not required._x000D_
_x000D_
As a HUD-certified mortgage originator, Habitat staff is trained to underwrite, package, and close CalHome program Loans in accordance with program requirements. _x000D_
_x000D_
No work will be performed on properties located within flood zones._x000D_
_x000D_
Habitat staff will ensure completion of all Rehabilitation construction will be in compliance with the requirements pursuant to the Owner- Occupied Rehabilitation Program Guidelines. _x000D_
</t>
  </si>
  <si>
    <t>Contra Costa County Housing Rehabilitation Program</t>
  </si>
  <si>
    <t>City of San Jose Emergency and Minor Repair Program</t>
  </si>
  <si>
    <t>City of Fremont Housing Rehabilitation Program</t>
  </si>
  <si>
    <t>City of Berkeley Home Repair Program</t>
  </si>
  <si>
    <t>C:\Users\Compw\Desktop\HOSN Applications\HOSN0000222_attachments\0___Application_Workbook__Excel_\2023-HOSN-Application-Workbook-NCLT.xlsm</t>
  </si>
  <si>
    <t>Northern California Land Trust, Inc.</t>
  </si>
  <si>
    <t>3120 Shattuck Avenue</t>
  </si>
  <si>
    <t>Sarah Scruggs</t>
  </si>
  <si>
    <t>sarah.scruggs@nclt.org</t>
  </si>
  <si>
    <t>510-548-7878 x</t>
  </si>
  <si>
    <t>Deputy Director and Director of Stewardship</t>
  </si>
  <si>
    <t>Berkeley</t>
  </si>
  <si>
    <t>Ian Winters</t>
  </si>
  <si>
    <t>ian.winters@nclt.org</t>
  </si>
  <si>
    <t>510-548-7878 x343</t>
  </si>
  <si>
    <t>IKW</t>
  </si>
  <si>
    <t xml:space="preserve">NCLT will administer the plan based on our CalHome approved Program Guidelines, Loan Servicing Guidelines, and Reuse Account Guidelines. Please see the attached set of Program and Loan Servicing guidelines that are in current use for our 2021 Calhome Home program. The primary change from the current guidelines is adjusting the maximum loan amount to $200,000 in keeping with the revision in the maximum loan amount. _x000D_
_x000D_
NCLT's  existing CalHome loan program will continue to provide all loan servicing activities for new loans funded through this application/request._x000D_
For purchasers of units at Woolsey Gardens funded by the requested CalHome Project Development Loan NCLT’s existing loan servicing and Homebuyer program will handle all qualification, underwriting, closing and servicing of portions converted to Down-payment Assistance. _x000D_
_x000D_
Please see the attachement  NCLT loan servicing narrative_2023final.pdf - Exhibit 1 to review the full Program Adminstration guidelines which cover NCLT's  implementation of following areas:_x000D_
A. 	Overview										_x000D_
B.	Eligible Uses of Funds								_x000D_
C. 	Ineligible Uses of Funds								_x000D_
D.	Eligible Household								_x000D_
E.	Verification of Previous Ownership Status 					_x000D_
F. 	Verification of Borrower Income						_x000D_
G.	Homebuyer Education							_x000D_
H.	Underwriting Guidelines							_x000D_
I.	First Loan									_x000D_
J.	CalHome Underwriting Guidelines					_x000D_
K. 	Downpayment								_x000D_
L.	Loan Documentation							_x000D_
M.	CalHome loan terms							_x000D_
N.	Maximum Loan Amount								_x000D_
O.	Loan to Value								_x000D_
P.	Subordinate Financing to CalHome Loan				_x000D_
Q.	Maximum sales price								_x000D_
R.	Eligible Property									_x000D_
S.	Appraisal								_x000D_
T.	Insurance										_x000D_
U.	Escrow										_x000D_
_x000D_
</t>
  </si>
  <si>
    <t>Northern California Land Trust DownPayment Assistance Program</t>
  </si>
  <si>
    <t>Northern California Land Trust - Coop / Condo Stewardship Program (45 units stewarded in tota, listed are units without CalHome assistance)</t>
  </si>
  <si>
    <t xml:space="preserve">NCLT's Downpayment Assistance Program (DAP) assists 1st time homebuyer households at or below 80% of AMI located in Alameda County to purchase homes through the provision of Downpayment assistance to help bring low-income households into homeownership. The focus of the program is to assist purchasers of Community Land Trust (CLT) homes and similar subsidised Below-market Rate (BMR) units in Alameda County as current market prices typically are out of low-income buyers reach even with downpayment assistance._x000D_
_x000D_
NCLT has extensive experience running CalHome funded DAP programs beginning in 2007. Our program was founded in 2007 and currently services 13 loans, with approximately 20 hoursholds assisted when repayments are included. This request will  provide essential resources and funding to NCLT's current successful DAP program to be able to assist more low-income buyers in Alameda County. _x000D_
Eligible properties shall include: Single Family Homes, Condominiums, Manufactured homes, and any home in which the Borrower will acquire fee simple title to a unit legally designed and designated for single family residential occupancy. However, priority shall be given to homes situated on NCLT or other CLT owned land, such that Borrowers retain fee-simple ownership of the improvements, but lease the land from NCLT for a period of 99 years with an option to extend the term of the land lease_x000D_
_x000D_
In addition to providing downpayment assistance NCLT stewards an existing portfolio of 118 units with an additional 65 units under development._x000D_
_x000D_
The proopsed program will provide down-payment assistance to 1st time purchasers of newly developed or rehabilated CLT homes in Alameda County including both NCLT's development pipeline and units at our close collaborators OakCLT and Bay Area CLT.  We expect to use the 24 home allocation to support 24 prospective homeowners at the developments that are either new construction or substantially rehabilitated. NCLT developments that are in process or recently acquired include 789 61st St (4 units), 2321 10th St (up to 8 units), 6106-6108 Hilton (16 units), 3120-30 Shattuck Woolsey Gardens* (in permitting - 65 units in total, site includes 25 units potentially assisted by project development loan, and up to 24 assisted by this CalHome request), up to 5 units in our new Artist Space Trust program that rehabiliates existing homes, and up to 5 certificates at projects by our CLT partners that meet the same criteria._x000D_
_x000D_
CalHome funds will be used to support the Buyer Downpayment and will not be part of the overall development financing. Project financing varies by site. Typically resident purchase mortages are provided by one of our Fannie Mae partners such as Caliber Home Loans. _x000D_
_x000D_
</t>
  </si>
  <si>
    <t>Construction loan</t>
  </si>
  <si>
    <t>City of Berkeley Housing Trust Fund</t>
  </si>
  <si>
    <t>AHSC</t>
  </si>
  <si>
    <t>CEC BUILD and Incentives</t>
  </si>
  <si>
    <t>Cash - homebuyer purchases</t>
  </si>
  <si>
    <t>1st mortgage for non-profit commercial</t>
  </si>
  <si>
    <t>Coop first mortgage</t>
  </si>
  <si>
    <t>CA Energy Commission CEC Design Grant</t>
  </si>
  <si>
    <t>City of Berkeley, Housing Trust Fund</t>
  </si>
  <si>
    <t>NCLT Site Equity</t>
  </si>
  <si>
    <t>Local Initiative Supporrt Corp</t>
  </si>
  <si>
    <t xml:space="preserve">6106-6108 Hilton St CLT Homes, Oakland. 16 Unit 100% Aff. anti-displacement acq-rehab in Oakland. acq complete 9/29/20. </t>
  </si>
  <si>
    <t>Woolsey Gardens</t>
  </si>
  <si>
    <t>3120-3130 Shattuck Avenue</t>
  </si>
  <si>
    <t>Currently full utilities exist at the site as it a fully operating existing 1 story commercial office building. The attached site map showing the tentative parcel map shows specific utility locations and connections. _x000D_
It is anticipated that the project will require an increased PGE electrical service as well as larger water and sewer connections from East Bay Municipal Utilities District. Preliminary discussions are in process for those applications and we anticpate completion as part of planned 2024 -2025 construction period. The Tentative Map has been submitted to the City of Berkeley under the SB-35 process with approval expected in the 90 day allowed window._x000D_
The FInal Map will be submitted as part of further development and is anticpated to be approved near the end of the construction period.</t>
  </si>
  <si>
    <t>NCLT is the owner of the site. It is the location of our headquarters building purchased in Aug 1982. Deed is from Aug. 1982. It will be transferred to our single member 100% owned development subsidiary as part fo construction financing.</t>
  </si>
  <si>
    <t xml:space="preserve">City of Berkeley - Ministeral SB-330 Application </t>
  </si>
  <si>
    <t>SB-35 Streamlined Ministerial Approval</t>
  </si>
  <si>
    <t>total housing cost at 33% of 70% of AMI</t>
  </si>
  <si>
    <t>The Berkeley market area has one of the most expensive real estate markets in the nation. Berkeley's most recent Housing Element shows a shortage of over 5000 units affordable to households below the median income to be built in the coming years to meet RHNA reequirments.  Despite a 13% decline in average sales prices year over year as of Jan 2023 the current average sales price in Berkeley is still over $1.3MM with the average home selling at that price in 18 days or less and an average square foot price of $876 / sf. _x000D_
_x000D_
By comparison a median family can afford a unit at less than half of that rate.  NCLT's Woolsey Gardens project will provide 65 affordable units towards filling that critical gap. _x000D_
_x000D_
According to the 17 February 2023 Housing Element Update (“Housing Element”), the City of Berkeley aims to provide “healthy, resilient housing at a range of prices, with special attention given to special needs housing, homelessness prevention, and affirmatively furthering fair housing” to help realize “Berkeley’s sustainable future as a Fossil Fuel Free City, powered by 100 percent renewable electricity, with safe transportation options to vibrant commercial areas and institutions, providing social and community connections for all residents.” _x000D_
_x000D_
Specifically, NCLT believes Woolsey Gardens helps further the following policies and local market needs outlined in Berkeley's Housing Element:_x000D_
_x000D_
Goal A: Housing Affordability_x000D_
H-1: Extremely Low, Very Low, Low, and Moderate-Income Housing (Increase the number of housing units_x000D_
affordable to current and future Berkeley residents, especially those with lower income levels.) _x000D_
WoolseyGardens istargetingtoprovideall65unitsrestrictedtotheseincomelevels._x000D_
_x000D_
H-2: Funding Sources (Seek, advocate for, and develop additional sources of funds for permanently affordable housing, including housing for people with extremely low incomes and special needs.)_x000D_
WoolseyGardenshas,andwillcontinuetotap,tappedadditionalsourcesoffunding(suchasthe California Energy Commission, among others._x000D_
_x000D_
H-3: Permanent Affordability (Ensure that below market rate rental housing remains affordable for the longest period that is economically and legally feasible.)_x000D_
WoolseyGardensistargetingtooffer100%permanentlyaffordableownershipunits._x000D_
_x000D_
 H-4 Economic Diversity (Encourage mixed income housing developments through both regulatory_x000D_
requirements and incentives.)_x000D_
WoolseyGardensistargetingtoofferunitstoextremelylow-(30%AMI) to moderate-income (120% AMI) households (depending on funding levels)._x000D_
_x000D_
H-6 Low-Income Homebuyers (Support efforts that provide opportunities for successful home ownership.)  WoolseyGardensistargetingtooffer100%permanentlyaffordableownershipunits._x000D_
_x000D_
H-8 Workforce Housing (Develop Workforce Housing for low- and moderate-income households, including teachers, artists, and other residents who work in the City of Berkeley.)_x000D_
Bytargetingtoprovideall65unitsrestrictedtotheseincomelevels,WoolseyGardensaimsto address workforce housing shortage issues. In addition, NCLT is developing micro workshop/retail spaces for local, emerging entrepreneurs and is intentionally working with contractors committed to providing paid apprenticeship opportunities for local residents and to working with local subcontractors._x000D_
_x000D_
Goal B: Housing Preservation &amp; Improvement_x000D_
H-14 Resource Efficiency and Climate Resilience (Implement Berkeley’s Climate Action Plan to improve_x000D_
building comfort and safety, reduce energy and water use and costs, provide quality and resilient housing, and reduce greenhouse gas emissions.)_x000D_
Woolsey Gardens is targetingt o be zero net energy (seethelaterportionsofthissection), achieve LEED Platinum certification, and utilize mass timber + cross laminated timber (“CLT”) technology._x000D_
_x000D_
Goal C: Housing Production_x000D_
H-17 Transit-Oriented New Construction (Encourage construction of new high-density housing on major_x000D_
transit corridors and in proximity to transit stations consistent with zoning, applicable area plans, design review guidelines, and the Climate Action Plan.)_x000D_
§ WoolseyGardens will be a high-density TOD development and sited within 0.25 miles of the Ashby BART station and near three AC Transit bus lines._x000D_
_x000D_
H-19 Regional Housing Needs (Encourage adequate housing production to meet City needs and the City’s share of regional housing needs.)_x000D_
§ WoolseyGardens will help the City o fBerkeley meet its RHNA targets._x000D_
_x000D_
H-22 Inter-Jurisdictional and Regional Coordination (Pursue opportunities to work with other jurisdictions_x000D_
and with ABAG to address issues of mutual interest and priority.)_x000D_
§ WoolseyGardensaimstobearegionalproject,requiringsupportfromtheCityofBerkeleyand City of Oakland, AC Transit, BART, and MTC._x000D_
_x000D_
Goal D: Special Needs Housing &amp; Homelessness Prevention_x000D_
H-23 Homelessness and Crisis Prevention (Support programs and actions that prevent homelessness and_x000D_
other housing crises by making appropriate services available.)_x000D_
Asdiscussedlaterinthissection,WoolseyGardensintendstoprovidespecificspaceforthe Homeless Action Center, who is a current tenant at the existing property. HAC operates a vital program addressing homelessness in Alameda County._x000D_
_x000D_
H-25 Family Housing (Support and encourage housing projects that include units affordable and suitable for households with children and large families.)_x000D_
WoolseyGardensintendstooffer100%permanentlyaffordablehousingforextremelylow-to moderate-income (“LMI”) households, including those with children. NCLT is currently exploring options to encourage a small family daycare on the podium level (one option is to prioritize one of the condos on the podium level for those who are willing and able to operate a small family daycare)._x000D_
_x000D_
Goal E: Affirmatively Further Fair Housing_x000D_
H-29 Fair Housing (Ensure compliance with federal, state, and local Fair Housing and anti-discrimination_x000D_
laws and ordinances to affirmatively further fair housing for all, ensuring equal access to housing regardless of their special circumstances as protected by fair housing laws.)_x000D_
AsaprojectintentionallyaimingtoenabledisplacedSouthBerkeleyhouseholdstoexercisetheir right to return and their right to stay, Woolsey Gardens aims to affirmatively further fair housing for all._x000D_
_x000D_
H-30 Accessible Housing (Promote housing mobility by exceeding the accessibility requirements of the ADA and California Title 24 Disabled Access Regulations, and by encouraging incorporation into new construction and rehabilitation the use of technologies and design features that create universal accessibility.)_x000D_
WoolseyGardensintendstomeetFHAfairhousingrequirements,CaliforniaBuildingCode,and City of Berkeley requirements regarding accessibility and strive to accommodate universal design where feasible and/or required._x000D_
_x000D_
 H-31 Affordable Accessible Housing (Encourage new construction and rehabilitation of accessible housing units that are permanently affordable, in particular to extremely low-income households.)_x000D_
WoolseyGardensintendstomeetFHAfairhousingrequirements,CaliforniaBuildingCode,and City of Berkeley requirements regarding accessibility and aims to provide 100% permanently affordable units, with at least 20% of units for extremely low-income households._x000D_
_x000D_
H-32 Middle Housing (Promote and facilitate a mix of dwelling types and sizes, particularly infill middle housing in high resource neighborhoods.)_x000D_
 WoolseyGardensistargetingtoprovideamixofdwellingtypesandsizesandtakesadvantagesof its proximity to a number of critical resources in the neighborhood (see map presented later in this section).</t>
  </si>
  <si>
    <t xml:space="preserve">The Northern California Land Trust (“NCLT”) will develop its current headquarters, 3120-3130 Shattuck Avenue, into a permanently affordable, zero-net energy multifamily/mixed-use project, Woolsey Gardens that will serve 65 low income households in its housing portion. _x000D_
_x000D_
The goal of the Woolsey Gardens project is to provide households the right to return, the right to stay and the right to own, prioritizing households displaced by prior South Berkeley redevelopment projects implemented in the recent decades as well as low-income households that still remain. _x000D_
_x000D_
Furthermore, Woolsey Gardens aims to be a replicable, sustainable, and financeable model for future mixed-use developments located on small, infill parcels near major transit hubs._x000D_
_x000D_
 Five key features of the project include the following: _x000D_
● 100% Permanently Affordable Units. Because NCLT will retain the ground the project, no units will become market-rate units. NCLT aims to target 100% of units to low- to moderate-income (“LMI”) households, but primarily targeting most of units to the extremely low- (30% AMI) to low-income (80% AMI) households _x000D_
● 100% Ownership Units. 100% of the residential units will be affordable ownership units, providing an opportunity for households who have been displaced to return and remain and providing an opportunity for participating households to build equity and access other services._x000B_● Sustainability / Zero Net Energy. 100% of annual solar generation will offset 100% of annual expected electricity consumption by residents and commercial tenants. The project will feature mass timber/cross laminated timber (“CLT”) construction, which has a lighter carbon footprint than other conventional construction methods and sequesters carbon. The project is aiming for LEED Platinum certification, is designed for extended grid outage resilience, and is featuring the latest energy and water efficient technologies._x000B_● Community-Centered Spaces. There will be office spaces as well as programming spaces for current nonprofit tenants, including the Homeless Action Center, the Long Haul Infoshop, and NCLT. There will also be rentable micro workshop/retail spaces for local, emerging entrepreneurs and two outdoor garden spaces (which are rare in the neighborhood) available to host community programs. _x000D_
● Small Lot/Infill Development. The building design provides an alternative solution to urban renewal projects that have damaged neighborhoods and serves as a viable option to address affordable housing demand on smaller lots. _x000D_
_x000D_
By  blending a mixed use model of community services on the ground floor, cooperative owned units targeting extremly and very low income housholds and limted equity condo units targeting low income households the project helps meet feasiblity goals by leveraging multiple subsidy sources to create pathbreaking community centered pathways to permanently affordable home ownership. In addition by providing a mixed inomce community the project helps reduce social and economic risks from over reliance on any one market segment. _x000D_
Our focus on aggressively pursuing energy efficiency through a net zero program Woolsey Gardens aims to provide extrememly affordable units that stay affordable and are climate resilient to help reduce the overhang of climate risk that is currently beginning to affect the CA real estate market. It also allow us to tap into significant cost savings for the energy focused portions of construction through the CEC BUILD program and planned participation in the non-profit direct pay inflation reduction act energy generation tax credits. _x000D_
Combined we believe these opportunities and community support will help overcome the cost challenges of construction in California to create 65 new homes for our community members and neighbors. _x000D_
_x000D_
</t>
  </si>
  <si>
    <t xml:space="preserve">NCLT will administer the program in compliance with our CalHome approved Program Guidelines, Loan Servicing Guidelines, and Reuse Account Guidelines. Please see the attached set of Program and Loan Servicing guidelines that are in current use for our 2021 Calhome Home program and implement the provisions and requirements of Section 402 of the 2023 CalHome Guidelines_x000D_
_x000D_
NCLT's  existing CalHome loan program will provide all loan servicing activities for new downpayment assistance loans to low-income purchasers of units funded through this application/request with the modification of the guidelines to account for the increased maximum loan amount. For purchasers of units at Woolsey Gardens funded by the requested CalHome Project Development Loan NCLT’s existing loan servicing and Homebuyer program will handle all qualification, underwriting, closing and servicing of portions converted to Down-payment Assistance. _x000D_
_x000D_
Please see the attachement  "CG_3_NCLT_Loan_Servicing_Plan_and_Program_Guidelines- Exhibit 1" to review the full Program Adminstration guidelines which cover NCLT's  implementation of following areas:_x000D_
A. 	Overview										_x000D_
B.	Eligible Uses of Funds								_x000D_
C. 	Ineligible Uses of Funds								_x000D_
D.	Eligible Household								_x000D_
E.	Verification of Previous Ownership Status 					_x000D_
F. 	Verification of Borrower Income						_x000D_
G.	Homebuyer Education							_x000D_
H.	Underwriting Guidelines							_x000D_
I.	First Loan									_x000D_
J.	CalHome Underwriting Guidelines					_x000D_
K. 	Downpayment								_x000D_
L.	Loan Documentation							_x000D_
M.	CalHome loan terms							_x000D_
N.	Maximum Loan Amount								_x000D_
O.	Loan to Value								_x000D_
P.	Subordinate Financing to CalHome Loan				_x000D_
Q.	Maximum sales price								_x000D_
R.	Eligible Property									_x000D_
S.	Appraisal								_x000D_
T.	Insurance										_x000D_
U.	Escrow										_x000D_
</t>
  </si>
  <si>
    <t>The site is an infill site that is in an urban core location that is fully urbanized and the site and surrounding areas were  fully developed prior to 1950. It is fully occupied with an existing single story office building.  100% of adjacent sites are fully developed with urban uses (neighborhood commercial and residential) and the site is located less than 1/2 mile to the Ashby BART station. Please see the Infill Site attachement documenting the urban infill nature of the site.</t>
  </si>
  <si>
    <t>None. Existing office space site for over 80 years.</t>
  </si>
  <si>
    <t>NA</t>
  </si>
  <si>
    <t>City of Berkeley Ministerial SB-35 Application submitted  2/21/23</t>
  </si>
  <si>
    <t>2321-2323 10th St CLT Homes, Berkeley. 8 unit 100% Aff. anti-displacement acq-rehab project, acq complete 10/2/19</t>
  </si>
  <si>
    <t>60% AMI</t>
  </si>
  <si>
    <t xml:space="preserve">**Hornet Commons, 3001 State University Drive, Sacramento. new student housing development. ** by project principal / project manager Justin Smith. </t>
  </si>
  <si>
    <t xml:space="preserve">**Hale Mahana, 2615 South King Street, Honolulu, HI. ** by project principal / project manager Justin Smith. </t>
  </si>
  <si>
    <t>total housing cost at 33% of 50% of AMI</t>
  </si>
  <si>
    <t>Payoff construction debt</t>
  </si>
  <si>
    <t>conversion of cal-home PDL to downpayment assistance</t>
  </si>
  <si>
    <t>Construction, and project management, subdivsion cost, developer costs</t>
  </si>
  <si>
    <t>Project management</t>
  </si>
  <si>
    <t>Grant Adminstration and CEC</t>
  </si>
  <si>
    <t>owner consultant</t>
  </si>
  <si>
    <t>owner consultant and subdivsion</t>
  </si>
  <si>
    <t>contingency</t>
  </si>
  <si>
    <t>C:\Users\Compw\Desktop\HOSN Applications\HOSN0000228_attachments\0___Application_Workbook__Excel_\CITY OF HANFORD  -2023-HOSN-Application-Workbook 2.22.2023.xlsm</t>
  </si>
  <si>
    <t xml:space="preserve">City of Hanford </t>
  </si>
  <si>
    <t xml:space="preserve">317 N. Douty Street </t>
  </si>
  <si>
    <t xml:space="preserve">Jason Waters </t>
  </si>
  <si>
    <t xml:space="preserve">jwaters@cityofhanfordca.com </t>
  </si>
  <si>
    <t xml:space="preserve">Deputy City Manager </t>
  </si>
  <si>
    <t xml:space="preserve">Hanford </t>
  </si>
  <si>
    <t xml:space="preserve">Sandra Lerma </t>
  </si>
  <si>
    <t xml:space="preserve">slerma@cityofhanfordca.com </t>
  </si>
  <si>
    <t xml:space="preserve">Administrative Analyst Housing </t>
  </si>
  <si>
    <t>SL</t>
  </si>
  <si>
    <t>The City of Hanford has successfully administered a first-time homebuyers program in-house utilizing: CalHOME, CalHOME PI,  HOME, HOME-PI, CDBG, CDBG-PI, and NSP. Existing Staff has over 18 years of experience administering the City's programs; therefore, the City will not be utilizing subcontractor services. The City will perform general grant set-up, environmental review, and submittal of other required documents as required by the funding source. This experience covers all aspects of grant writing, implementation administration, and having procedures in place for accurate recordkeeping.</t>
  </si>
  <si>
    <t xml:space="preserve">First-Time Homebuyer Mortgage Assistance </t>
  </si>
  <si>
    <t xml:space="preserve">First-Time Homebuyer Mortgage Assistance  </t>
  </si>
  <si>
    <t xml:space="preserve">CalHome Funds will be for gap financing purposes and only be used when necessary to provide affordable housing to the City of Hanford residents considered low to moderate-income, first-time homebuyers. The City anticipates assisting ten (10) Low-income first-time homebuyers, defined as families earning 80% or below the area median income adjusted for the targeted family size.  CalHome may be layered with HOME and Community Development Block Grant (CDBG)  Funds depending on the buyer's needs. </t>
  </si>
  <si>
    <t xml:space="preserve"> Staff provided CDBG-funded housing rehabilitation and minor home repairs.</t>
  </si>
  <si>
    <t xml:space="preserve">The City of Hanford offers housing rehabilitation assistance to low to moderate-income homeowners who qualify. In addition, homeowners may receive help when their home has health and safety problems; repairs include but are not limited to heating and cooling system repair or replacement, plumbing, electrical, mold, or water intrusion roof repair or replacement, water meter replacements, heating and air repair or replacement, exterior painting, and accessibility improvements. The program serves as a vital tool in preserving affordable housing stock._x000D_
_x000D_
The City will loan the homeowner up to $40,000 in financing to bring the home up to code. The loan can be deferred until the homeowner no longer occupies or sells their home. _x000D_
</t>
  </si>
  <si>
    <t xml:space="preserve">The City's Housing Rehabilitation program is administered in-house primarily by the City's Housing Division staff, which has combined 17 years of experience in administering  HUD and HHCD-funded programs. In addition, the team has experience and expertise in implementing many HOME/CDBG-funded projects. This experience covers all aspects of grant writing, implementation, and administration. In addition, this experience covers all aspects of grant writing, grant implementation administration, procedures in place for accurate recordkeeping, and required Cal HOME guidelines._x000D_
</t>
  </si>
  <si>
    <t>C:\Users\Compw\Desktop\HOSN Applications\HOSN0000243_attachments\0___Application_Workbook__Excel_\Habitat OC_2023-HOSN-Application-Workbook.xlsm</t>
  </si>
  <si>
    <t>Habitat for Humanity of Orange County</t>
  </si>
  <si>
    <t>2200 Ritchey Street</t>
  </si>
  <si>
    <t>Anna Song</t>
  </si>
  <si>
    <t>AnnaS@Habitatoc.org</t>
  </si>
  <si>
    <t>(714) 586-5496</t>
  </si>
  <si>
    <t>Chief Fund Development Officer</t>
  </si>
  <si>
    <t>Monique Davis</t>
  </si>
  <si>
    <t>Monique@HabitatOC.org</t>
  </si>
  <si>
    <t>(714) 434-6200</t>
  </si>
  <si>
    <t>MD</t>
  </si>
  <si>
    <t>TBD</t>
  </si>
  <si>
    <t xml:space="preserve">Habitat OC will comply with ALL local program administration requirements outlined in the 2022 CalHome Final Guidelines – including marketing the program funding low-income client ensuring equity 40% of purchase price 200000 max etc. </t>
  </si>
  <si>
    <t xml:space="preserve">Flower Street Project – 7922 W Cerritos Avenue: Habitat OC partnered with the City of Stanton Orange County California to develop three (3) duplex buildings into a total of six (6) affordable single-family units on a 0.39-acre lot in the city. The size of each unit was approximately 1450 sq. ft. and each unit was configured as a 2-story three (3) Bedroom two-and-a-half (2 ½) Bath unit with attached 431 sq. ft. garage private 18 sq. ft. patio and common driveway. The property also contained a picnic area for residents. Qualified households included Moderate-income families. </t>
  </si>
  <si>
    <t>Richman Park Project – 418 and 424 Valencia Drive and 437 443 455 and 467 West Avenue: Habitat OC partnered with the City of Fullerton Orange County California to develop six (6) duplex buildings into a total of twelve (12) affordable single-family units in the city. The size of each unit was approximately 1300 sq. ft. and each unit was configured as a single-story three (3) Bedrooms two (2) Baths unit with attached 2-Car garage. Qualified households included Low-income families.</t>
  </si>
  <si>
    <t xml:space="preserve">Habitat OC (35 years exp.) will assist 39 Low &amp; 1 Very-Income First-Time Homebuyer to obtain MA Loans which will be used to purchase 30 new construction single-family homes in Costa Mesa Santa Ana and Anaheim and 9 resale homes in Rancho Santa Margarita. </t>
  </si>
  <si>
    <t>Construction Loan - Lender</t>
  </si>
  <si>
    <t>Flower Street Project – 7922 W Cerritos Avenue: Habitat OC partnered with the City of Stanton Orange County California to develop three (3) duplex buildings into a total of six (6) affordable single-family units on a 0.39-acre lot in the city. The size of each unit was approximately 1450 sq. ft. and each unit was configured as a 2-story three (3) Bedroom two-and-a-half (2 ½) Bath unit with attached 431 sq. ft. garage private 18 sq. ft. patio and common driveway. The property also contained a picnic area for residents. Qualified households included Moderate-Income families.</t>
  </si>
  <si>
    <t>New Construction Homes - Del Mar Washington St. and St. Michaels</t>
  </si>
  <si>
    <t>212 Del Mar Ave.</t>
  </si>
  <si>
    <t>Costa Mesa</t>
  </si>
  <si>
    <t xml:space="preserve">The following onsite improvements are needed for the proposed project sites: _x000D_
Del Mar – Requires on-site demolition grading and utility connections. The expected completion date is 11/30/2023. 	_x000D_
Washington – Requires on-site demolition grading and utility connections. The expected completion date is 02/29/2024. 		_x000D_
St. Michael’s – Requires on-site demolition grading and utility connections. The expected completion date is 12/31/2024. _x000D_
</t>
  </si>
  <si>
    <t>Leasehold Interest</t>
  </si>
  <si>
    <t xml:space="preserve">The following types of evidence of site control are available for respective properties:_x000D_
Del Mar – Owned by Habitat OC; Grant deeds available and were executed on 2/3/2021._x000D_
Washington – Owned by Habitat OC; Grant deeds available and were executed on 12/23/2021._x000D_
St. Michael’s – MOU between Habitat OC and the City of Anaheim was executed on 07/25/2022; Option to Lease will be executed by March 15 2023 upon the approval of the City of Anaheim.   _x000D_
</t>
  </si>
  <si>
    <t>California Association of Realtors</t>
  </si>
  <si>
    <t>At 962000 the Housing Affordability Index for Orange County is the highest in Southern California and 25 percent higher than the second highest county in Southern California (Ventura) according to the Q4 2022 California Association of Realtors report.</t>
  </si>
  <si>
    <t>The project is a new construction consisting of 30 single family homes (across 3 sites) to be sold to 29 Low &amp; 1 Very-Income First-Time Homebuyers. The 2-Bdrm / 2-Bath homes will be located in Costa Mesa Santa Ana and Anaheim.</t>
  </si>
  <si>
    <t xml:space="preserve">Habitat OC will comply with ALL local program administration requirements outlined in the 2022 CalHome Final Guidelines – including marketing the program funding low-income client ensuring equity primary place of residence etc. </t>
  </si>
  <si>
    <t>1921 W. Washington St.</t>
  </si>
  <si>
    <t>311 W. South St</t>
  </si>
  <si>
    <t>Anaheim</t>
  </si>
  <si>
    <t xml:space="preserve">The following proposed properties are in need of asbestos and lead abatement/ remediation: Washington and St. Michael’s. </t>
  </si>
  <si>
    <t>City of Costa Mesa</t>
  </si>
  <si>
    <t>City of Santa Ana</t>
  </si>
  <si>
    <t>City of Anaheim</t>
  </si>
  <si>
    <t>30% AMI</t>
  </si>
  <si>
    <t>NP_IRS501C32</t>
  </si>
  <si>
    <t>NP_ArticlesofInc2</t>
  </si>
  <si>
    <t>NP_BoardOfDirectors2</t>
  </si>
  <si>
    <t>NP_BoardResolution2</t>
  </si>
  <si>
    <t>NP_Bylaws2</t>
  </si>
  <si>
    <t>NP_CertOfAmendments2</t>
  </si>
  <si>
    <t>NP_SOSLetter2</t>
  </si>
  <si>
    <t>NP_FinancialStatements2</t>
  </si>
  <si>
    <t>NP_OrgChart2</t>
  </si>
  <si>
    <t>NP_PayeeDataRecord2</t>
  </si>
  <si>
    <t>NP_RestatedArticles2</t>
  </si>
  <si>
    <t>S1_PDL_PreviousProject2</t>
  </si>
  <si>
    <t>S1_PDL_PreviousProject3</t>
  </si>
  <si>
    <t>S1_PDL_PreviousProject4</t>
  </si>
  <si>
    <t>S1_PDL_PreviousProgramUnits2</t>
  </si>
  <si>
    <t>S1_PDL_PreviousProgramUnits3</t>
  </si>
  <si>
    <t>S1_PDL_PreviousProgramUnits4</t>
  </si>
  <si>
    <t>S1_PDL_PreviousProjectDate2</t>
  </si>
  <si>
    <t>S1_PDL_PreviousProjectDate3</t>
  </si>
  <si>
    <t>S1_PDL_PreviousProjectDate4</t>
  </si>
  <si>
    <t>S1_PDL_County</t>
  </si>
  <si>
    <t>S1_PDL_NoHomesToDevelop</t>
  </si>
  <si>
    <t>S1_PDL_NoUnitsCompleted</t>
  </si>
  <si>
    <t>S1_PDL_TotalUnits</t>
  </si>
  <si>
    <t>S1_PDL_AssistanceRequesting</t>
  </si>
  <si>
    <t>S1_PDL_ClassFeeRequesting</t>
  </si>
  <si>
    <t>S1_PDL_TypeOfHomeToDevelop</t>
  </si>
  <si>
    <t>S1_PDL_Address1</t>
  </si>
  <si>
    <t>S1_PDL_City1</t>
  </si>
  <si>
    <t>S1_PDL_Zip1</t>
  </si>
  <si>
    <t>S1_PDL_CensusTrack1</t>
  </si>
  <si>
    <t>S1_PDL_GPSLat1</t>
  </si>
  <si>
    <t>S1_PDL_GPSLong1</t>
  </si>
  <si>
    <t>S1_PDL_AllHomesInRuralArea</t>
  </si>
  <si>
    <t>S1_PDL_UnitsAlreadyCompleted</t>
  </si>
  <si>
    <t>S1_PDL_PurchasePrice</t>
  </si>
  <si>
    <t>S1_PDL_AppraisedValue</t>
  </si>
  <si>
    <t>S1_PDL_TentativeMapApproved</t>
  </si>
  <si>
    <t>S1_PDL_FinalMapApproved</t>
  </si>
  <si>
    <t>S1_PDL_TentativeMapDate</t>
  </si>
  <si>
    <t>S1_PDL_FinalMapDate</t>
  </si>
  <si>
    <t>S1_PDL_AdverseEnvConds</t>
  </si>
  <si>
    <t>S1_PDL_SiteControlDocument</t>
  </si>
  <si>
    <t>S1_PDL_SiteControlDocumentDate</t>
  </si>
  <si>
    <t>S1_PDL_UnitCost1</t>
  </si>
  <si>
    <t>S1_PDL_UnitCount1</t>
  </si>
  <si>
    <t>S1_PDL_UnitSqft1</t>
  </si>
  <si>
    <t>S1_PDL_UnitCost2</t>
  </si>
  <si>
    <t>S1_PDL_UnitCount2</t>
  </si>
  <si>
    <t>S1_PDL_UnitBdrmCount1</t>
  </si>
  <si>
    <t>S1_PDL_UnitBathCount1</t>
  </si>
  <si>
    <t>S1_PDL_UnitBdrmCount2</t>
  </si>
  <si>
    <t>S1_PDL_UnitBathCount2</t>
  </si>
  <si>
    <t>S1_PDL_UnitSqft2</t>
  </si>
  <si>
    <t>S1_PDL_LienAmount1</t>
  </si>
  <si>
    <t>S1_PDL_LienAmount2</t>
  </si>
  <si>
    <t>S1_PDL_EstimatedSalePrice1</t>
  </si>
  <si>
    <t>S1_PDL_EstimatedSalePrice2</t>
  </si>
  <si>
    <t>S1_PDL_HouseholdIncome1</t>
  </si>
  <si>
    <t>S1_PDL_HouseholdIncome2</t>
  </si>
  <si>
    <t>S1_PDL_VolunteerHours</t>
  </si>
  <si>
    <t>S1_PDL_SelfHelpHours</t>
  </si>
  <si>
    <t>S1_PDL_ConditionalUsePermitsApproval</t>
  </si>
  <si>
    <t>S1_PDL_SitePlanReviewApproval</t>
  </si>
  <si>
    <t>S1_PDL_ZoningApproval</t>
  </si>
  <si>
    <t>S1_PDL_SitePlanReviewIssuer</t>
  </si>
  <si>
    <t>S1_PDL_ConditionalUsePermitsIssuer</t>
  </si>
  <si>
    <t>S1_PDL_ZoningApprovalIssuer</t>
  </si>
  <si>
    <t>S1_PDL_SitePlanReviewDate</t>
  </si>
  <si>
    <t>S1_PDL_ConditionalUsePermitsDate</t>
  </si>
  <si>
    <t>S1_PDL_ZoningDate</t>
  </si>
  <si>
    <t>S1_MA_PreviousProgram3</t>
  </si>
  <si>
    <t>S1_MA_PreviousProgramUnits3</t>
  </si>
  <si>
    <t>S1_MA_PreviousProgram4</t>
  </si>
  <si>
    <t>S1_MA_PreviousProgramUnits4</t>
  </si>
  <si>
    <t>S1_MA_PreviousProgramStart3</t>
  </si>
  <si>
    <t>S1_MA_PreviousProgramStart4</t>
  </si>
  <si>
    <t>S1_MA_PreviousProgramEnd3</t>
  </si>
  <si>
    <t>S1_MA_PreviousProgramEnd4</t>
  </si>
  <si>
    <t>S1_MA_PreviousProgram5</t>
  </si>
  <si>
    <t>S1_MA_PreviousProgramUnits5</t>
  </si>
  <si>
    <t>S1_MA_PreviousProgramEnd5</t>
  </si>
  <si>
    <t>S1_MA_PreviousProgramStart5</t>
  </si>
  <si>
    <t>S1_SHTA_PreviousProgram3</t>
  </si>
  <si>
    <t>S1_SHTA_PreviousProgram4</t>
  </si>
  <si>
    <t>S1_SHTA_PreviousProgram5</t>
  </si>
  <si>
    <t>S1_SHTA_PreviousProgramUnits3</t>
  </si>
  <si>
    <t>S1_SHTA_PreviousProgramUnits4</t>
  </si>
  <si>
    <t>S1_SHTA_PreviousProgramUnits5</t>
  </si>
  <si>
    <t>S1_SHTA_PreviousProgramEnd3</t>
  </si>
  <si>
    <t>S1_SHTA_PreviousProgramEnd4</t>
  </si>
  <si>
    <t>S1_SHTA_PreviousProgramEnd5</t>
  </si>
  <si>
    <t>S1_SHTA_PreviousProgramStart3</t>
  </si>
  <si>
    <t>S1_SHTA_PreviousProgramStart4</t>
  </si>
  <si>
    <t>S1_SHTA01_CompletedProjects</t>
  </si>
  <si>
    <t>S1_FinalConfirmation</t>
  </si>
  <si>
    <t>C:\Users\Compw\Desktop\HOSN Applications\HOSN0000259_attachments\0___Application_Workbook__Excel_\2023 HOSN Application Workbook (Update For 2-15-2023)_FINAL_San Mateo County.xlsm</t>
  </si>
  <si>
    <t xml:space="preserve">San Mateo County Department of Housing </t>
  </si>
  <si>
    <t>264 Harbor Blvd</t>
  </si>
  <si>
    <t>Rose Cade</t>
  </si>
  <si>
    <t>rcade@smchousing.org</t>
  </si>
  <si>
    <t>650-802-3376</t>
  </si>
  <si>
    <t>Deputy Director of Housing</t>
  </si>
  <si>
    <t>Belmont</t>
  </si>
  <si>
    <t>Raymond Hodges</t>
  </si>
  <si>
    <t>rhodges@smchousing.org</t>
  </si>
  <si>
    <t>(650) 802-3300</t>
  </si>
  <si>
    <t xml:space="preserve">Director, Department of Housing </t>
  </si>
  <si>
    <t>Jane Gray</t>
  </si>
  <si>
    <t>jgray@dudek.com</t>
  </si>
  <si>
    <t>805.308.8531</t>
  </si>
  <si>
    <t>Contract Grant Writer</t>
  </si>
  <si>
    <t>Farm Labor Housing Loan Program</t>
  </si>
  <si>
    <t xml:space="preserve">Income Levels to Be Assisted_x000D_
Within San Mateo County (SMC), those earning less than 30% of the Area Median Income (AMI), which is $55,900 for a family of 4 (HUD, State of CA HCD, San Mateo County 2022) are considered "extremely low income" residents. With the San Francisco, MSA, the median income for Farmworkers in even lower at $40,679, which is significantly lower than the threshold “extremely low income” and much lower than the median wage for all jobs. This income is less than 20% of San Mateo County’s (SMC) area median income for a family of four, making farmworkers and their families among the most economically vulnerable members of our community. Furthermore, one of the highest areas of need is within the Coastside of SMC, specifically the areas in and around the City of Half Moon Bay (City) where the census block information demonstrates that the Median Household Income (MHI) for farmworkers is $37,150. This level of income demonstrates the overwhelming need for funding and housing support, especially as the rate of inflation has accelerated and vulnerability has been exacerbated by the COVID-19 pandemic, which caused significant negative economic and health impacts for farmworkers and their families. _x000D_
_x000D_
Experience with this Type of Program_x000D_
SMC has been and continues to support creation of new farmworker housing as a public lender and partner. As recently as October 2022, SMC allocated $1.5 million in American Rescue Plan Act (ARPA) funds toward a 40-unit affordable housing project located at 555 Kelly Ave. in the downtown area of Half Moon Bay (City) for local farmworkers. The Coastside areas in and around the City have a preponderance of farmworkers within SMC. This allocation of funds was part of a collaborative approach with the City to provide additional farmworker housing; in this case, the City provided $1 million in predevelopment funding from their Affordable Housing Fund and will contribute the site through a long-term ground lease with the affordable housing developer.  Of further significance is SMC’s investments in Moonridge, a 160-unit rental property for low-income agricultural workers in the unincorporated County adjacent to Half Moon Bay.  The County has also provided funds to Cypress Point, a 71-unit rental property in Moss Beach with 18 units specifically reserved for local low-income farmworkers and their families.  Cypress Point recently received $5 million in Joe Serna Housing Grant funds under the first round of the State’s Multifamily Finance Super NOFA and is in the predevelopment stage. _x000D_
In addition, the SMC’s Department of Housing (DOH) has managed the Farm Labor Housing Loan Program since 2014.  This SMC program supports agricultural operators and landowners in providing housing for very low-income farmworkers by creating new farmworker housing, rehabilitating or repairing existing farmworker housing, or replacing dilapidated mobile home units that have been used as farmworker housing in the past. The program provides zero-interest forgivable loans to farmers and agricultural landowners trying to improve housing and expand housing opportunities for very low-income farmworkers engaged in full-time agricultural work in the County.  To date, SMC has made a total of seven loans for a total of twelve units for farm labor housing.  Nine units have been completed and three units are currently under construction. Furthermore, SMC and City staff have collaborated to expand this program to include small sites within the City limits, and additional applications are now pending._x000D_
_x000D_
SMC also has experience in the work of preserving and developing permanent, long-term affordable housing in a mobile home park located in the unincorporated County.  From 2017-2020, SMC allocated just over $5 million for the preservation of a 51-space mobile home park in an effort to resolve outstanding habitability issues without displacing park residents. Almost all the units were structurally unsound and could have been red tagged, thereby displacing over 200 residents, nearly half of whom were children. Many of the residents were low-income, monolingual Spanish speakers.   _x000D_
_x000D_
Working with the property manager and residents, SMC renovated the park’s infrastructure contributing $2 million of the $5 million towards the renovation and replacement of dilapidated units. Renovation included demolition, site clean-up, and site improvements such as new pavement and electrical systems and clear lot lines. DOH also set-up a low-interest loan program assisting residents with the demolition costs of existing units that could not be brought into compliance and costs purchasing and installing new units. DOH managed the purchase of new units and provided $3.1 million in direct loans to 46 residents.  _x000D_
_x000D_
Location of Activities _x000D_
As mentioned, the Coastside communities and the City of Half Moon Bay are the areas where the majority of farmworkers live in San Mateo County. The tragic mass shooting event last month in the Coastside of SMC and the City further underscores the need for safe, affordable housing for farmworkers. After this traumatic event, surviving farmworkers and their families were displaced from illegal and substandard units located at the two farms where the shootings occurred. Therefore, the City and SMC have been actively working together to provide both short-term and long-term housing solutions to the surviving households and other vulnerable low-income farmworker households in the County.  _x000D_
The City, as a supporting agency to this application, has also been working to support creation of farmworker housing within the City limits. A primary means for this is through land use policy. The City is located wholly within the California coastal zone and recently completed a comprehensive update its Local Coastal Land Use Plan (LCLUP), certified by the Coastal Commission in April 2021. The LCLUP established a Workforce Housing Overlay land use designation to encourage affordable housing development for farmworkers and other low-income households on various properties throughout the City. Some of these areas had previously allowed very little housing or had even prohibited housing. The Workforce Housing Overlay sets the stage for several of the City's Housing Element sites. The LCLUP also firmly cemented the City's position that farmworker housing is a Coastal Act priority land use. Coastal Act priority land uses, such as public recreation, habitat conservation, and agriculture are the most favored land._x000D_
_x000D_
_x000D_
Due to the shared interest in securing housing opportunities for farmworkers on the Coastside,  SMC and the City intend to execute a Memorandum of Understanding that will facilitate collaborative efforts to carry out the proposed Acquisition of Manufactured Housing program The City’s primary role will be to identify and secure a real property site that can accommodate the 28 proposed manufactured homes for farmworkers and their families; noting that one criteria for site selection is a preference for locations with capacity for additional units in a future phase(s)._x000D_
_x000D_
The City will need to ensure the selected Manufactured Housing site is appropriate for housing development and can obtain permits (e.g. Coastal Development Permit and CEQA review).  The City has identified 6 appropriate sites, including a City-owned infill property, as potential sites for the proposed 28 manufactured housing units targeted to low-income farmworkers.  Several of these sites have been identified in the City’s draft Cycle 6 Housing Element as housing sites. Preliminary work has already begun to investigate site constraints, utilities capacity, unit layouts, etc. for these sites. _x000D_
_x000D_
Once the site is secured, SMC will work collaboratively with the City to prepare the site for the placement of the 28 proposed manufactured homes.  We envision the new community of manufactured homes to have a neighborhood feel, and be located near employment, amenities, and schools. Manufactured Homes will provide homeownership opportunities to agricultural workers making up to 80% of the area median income and will target “extremely low income” households and displaced households from dilapidated housing conditions. All homebuyers must also work as an agricultural worker in San Mateo County to be eligible. _x000D_
_x000D_
Financing Sources and Uses, and Contributed Labor _x000D_
While SMC is requesting $5 million in funding for the purchase of mobile home units, the project costs will exceed that amount.  In order to fund costs outside of the grant request, SMC will utilize Measure K funds and General Funds. These expenses include land costs; environmental review; technical studies; various engineering documents such as grading and drainage plans, and utility plans; the preparation of a submittal of permit applications and fees; and appurtenant infrastructure._x000D_
_x000D_
Additionally, the City will work collaboratively with SMC to support the program through prompt identification of an appropriate site and potential donation of land for the project as well as through special permitting requirements in compliance with the Coastal Act and the City’s certified Local Coastal Program. The County’s DOH, in collaboration with City staff, will work with a consultant to manage the permitting process and multiple contractors who will work on demo, site cleanup, and any site improvements, including any contractors that will install and setup the new manufactured homes.  All of these efforts will be carried out in an expedient manner so that awarded funds can begin to be expended shortly after an award is made.  _x000D_
_x000D_
History of SMC and City Collaboration _x000D_
_x000D_
SMC and the City have a long history of collaboration on community facilities and affordable housing for farmworkers and seniors.  This collaboration developed over time because the City is surrounded on three sides by unincorporated areas including farms and small communities and serves as the commercial and community services hub for approximately 12,000 City residents as well as over 15,000 residents of the unincorporated Coastside.  Examples of City and County collaborations include:_x000D_
_x000D_
Affordable Housing for Agricultural Workers_x000D_
Moonridge is an affordable rental housing development for agricultural workers and their families earning up to 60% of Area Median Income and was developed by MidPen Housing with significant support from the SMC Department of Housing.  Completed in two phases, the development welcomed residents in 1999 and 2001 for a total of 160 apartment homes including 80 three-bedroom and 48 four-bedroom units.  The development includes a computer center, Head Start Center, basketball court, soccer field and community gardens.   _x000D_
_x000D_
Downtown Senior Housing Campus_x000D_
With City support, SMC led a multi-partner collaboration to transform an underutilized 10-acre site in the City into an award-winning master-planned affordable senior campus including 264 affordable rental units and new senior center and adult day health center.  Planning began in 2006, with the final phase of the campus completed in 2015.  The successful build-out required a complicated 3-way land-swap between the City, SMC, and a nonprofit partner, along with multiple financing sources._x000D_
_x000D_
Half Moon Bay Library_x000D_
The City and SMC jointly funded the construction of a new, 22,000 square foot library that opened in August of 2018.  The new library includes a community room, maker space, teen room, a very large children’s area that includes an outdoor play space and a quiet area for adults.  On opening day, the Half Moon Bay Mayor, Deborah Penrose, described the library as “a modern and inviting community gathering space where everyone on the Coastside can come to learn and explore.”_x000D_
_x000D_
Safe Parking Facility _x000D_
The City and non-profit partner WeHope recently received $983,703 in funding from the County Ending Homelessness Innovation Fund to support a safe parking location for vehicularly housed coastal residents.  SMC and the City are working collaboratively on the project as to provide a safe parking location and supportive services to people living in RVs in either the City or the unincorporated coastal area.  _x000D_
_x000D_
Farmworker Housing _x000D_
In 2022, the SMC Board of Supervisors (Board) approved a $1,500,000 allocation of SMC ARPA funds to support farmworker housing on the Coast.  Before allocating these funds, SMC and City staff jointly reviewed multiple sites for a small modular unit project.  A partnership with the Peninsula Open Space Trust (POST) was explored, but the POST land had multiple environmental constraints.  A partnership with the Mid-Peninsula Open Space District was also considered, but the preferred site had long term development limitations.  Ultimately, the Board decided to commit $1,500,000 to a planned farmworker housing project being developed by the City on City-owned property in the downtown.  The 555 Kelly project referenced earlier in the application is being developed by Mercy Housing in collaboration with the non-profit Ayudando Latinos a Soñar (ALAS).  ALAS will operate a farmworker resource center on the first floor of the projected 40-unit development.  The Board approved funding for the project in late 2022 and is currently working with the City on the funding agreement.  On February 21, 2023, the City approved an allocation of $1,000,000 from its Affordable Housing Fund to support the project’s predevelopment activities.      _x000D_
_x000D_
Summary_x000D_
This proposed project for the addition of 28 manufactured homes in the Half Moon Bay area will meet a critical need by providing affordable homeownership opportunities to low-income farmworker households in an area notorious for some of the nation’s highest housing costs.  We are excited about this project and look forward to its successful implementation, particularly in light of the overwhelming community comments and sentiments expressed within the City about the need and support for farmworker housing, including a preference for mobile home units._x000D_
 _x000D_
_x000D_
</t>
  </si>
  <si>
    <t xml:space="preserve">SMC will be the program administrator.  SMC’s Department of Housing (DOH) will market the homeownership program according to the target population and income eligibility requirements.  As part of the robust marketing plan, the County will work closely with the City and community-based organizations that provide services and support to low-income agricultural workers. DOH will take affirmative steps to market the program to members of the public with limited English proficiency (LEP) or that are deaf or hard of hearing and to be responsive to the diverse means by which these residents communicate with the County.  DOH will manage the application process ensuring that potential manufactured homebuyers work as an agricultural worker in San Mateo County and have a household income of no more than 80% of the area’s median income, targeting extremely-low income households and displaced households from dilapidated housing conditions. DOH will conduct an annual monitoring process with homebuyers which includes submission of documents such as income certification affidavits, bills, pay stubs, copy of current insurance, etc._x000D_
_x000D_
With the support of Joe Serna program funds, the County will be able to offer a rare opportunity for local low-income farmworker families to own a manufactured home with zero down payment, 0% interest, with a loan that is forgivable after 20 years.10 percent of the original principal will be forgiven annually for each additional year beyond the 10th year that the home is owned and continually occupied by the borrower per the Serna guidelines.  Loans shall be repayable upon sale or transfer of the manufactured home, when the manufactured home ceases to be Owner-Occupied, or upon the Program Loan maturity date. _x000D_
DOH currently has a contract with AmeriNational Community Services, LLC to assist with loan collection and portfolio management services.  AmeriNational will provide loan servicing, delinquency monitoring, and foreclosure services for this program. DOH’s fiscal team will work in collaboration with AmeriNational to manage accounting of the program’s loans to borrowers._x000D_
</t>
  </si>
  <si>
    <t xml:space="preserve">According to recent data from the Bureau of Labor Statistics on the San Francisco MSA, there are 3,680 agriculture jobs in the San Francisco MSA and 1,398 agricultural jobs in San Mateo County. As mentioned, although the median wage for farmworkers in the San Francisco MSA is $40,679, pursuant to Census Tract/Block Group information obtained on the US Census Bureau’s website, the Median Household Income (MHI) for farmworkers in the City of Half Moon Bay is $37,150.  The lack of turnover at affordable housing developments in the Half Moon Bay area and the overall dearth of units set aside for both the general low-income population and farmworkers in the area highlight the undersupply of housing for the low-income populations targeted by this proposed program.  _x000D_
_x000D_
The Agricultural Workforce Housing Needs Assessment (Needs Assessment) included in the application identified the need for 1,020 to 1,140 housing units for the agricultural workforce.  Any need for repair or replacement of existing agricultural housing that is in poor condition would add to these numbers.  In surveys from producers and workers, a key reason for the County of San Mateo’s shrinking farmworker labor pool is the lack of available housing. The survey also indicated that there is a shift from the employment of temporary farmworkers to permanent farm workers. Therefore, there is an upward trending need for affordable permanent housing options for farmworkers near their places of employment._x000D_
</t>
  </si>
  <si>
    <t>C:\Users\Compw\Desktop\HOSN Applications\HOSN0000266_attachments\0___Application_Workbook__Excel_\2023-HOSN-Application-Workbook 2.22.2023 - Lancaster.xlsm</t>
  </si>
  <si>
    <t>City of Lancaster</t>
  </si>
  <si>
    <t>45333 Fern Avenue</t>
  </si>
  <si>
    <t>Chenin Dow</t>
  </si>
  <si>
    <t>cdow@cityoflancasterca.gov</t>
  </si>
  <si>
    <t>661-723-6165</t>
  </si>
  <si>
    <t>Assistant Director - Economic Dev &amp; Real Estate</t>
  </si>
  <si>
    <t>Lancaster</t>
  </si>
  <si>
    <t>Chris Aune</t>
  </si>
  <si>
    <t>caune@cityoflancasterca.gov</t>
  </si>
  <si>
    <t>661-723-5870</t>
  </si>
  <si>
    <t>Housing Manager - Real Estate &amp; Economic Dev</t>
  </si>
  <si>
    <t>Los Angeles County Mobile Home Owner-Occupied Rehabilitation Program</t>
  </si>
  <si>
    <t xml:space="preserve">The City has over 3600 mobile homes located in 28 parks within City boundaries.  The proposed OOR program will provide rehabilitation for at least 15 Low and Very Low Income mobile home owner households in the City of Lancaster, and also will provide full reconstruction for at least 15 Low and Very Low Income mobile home owner households.  Applicant will use the Administrative Subcontractor, Habitat for Humanity of Greater Los Angeles (HFHGLA), to supplement its experience.  The City has had local enforcement responsibility for the Mobilehome Parks Act since 2007 and employs a full-time Mobile Ombudsperson and inspector who works closely with park owners and mobile home residents to stabilize these important affordable housing communities.  The City has previously managed mobile home rehabilitation programs prior to the last four years, while HFHGLA has completed over 650 rehabs in the past four years, including over 50 mobile homes rehabilitated or replaced in response to the Woolsey Fire.  The location of all proposed mobile home assistance will be in CHOICE Neighborhoods within the City of Lancaster._x000D_
_x000D_
</t>
  </si>
  <si>
    <t>The City and the Administrative Subcontractor will implement the proposed OOR Program with the following activities:  1) marketing the Progrsam using an affirmative action marketing plan targeting income-qualified mobile home owners; 2) determining each household's income-eligibility using appropriate supporting documents; 3) using required After-Rehabilitation appraisals for property eligibility under value limits published in the current NOFA; 4) originating, underwriting, packaging and closing CalHome Program Loans in accordance with program requirements; 5) following the CalHome underwriting and construction requirements; and 6) maintaining complete records and providing all required reports in a timely manner.</t>
  </si>
  <si>
    <t>C:\Users\Compw\Desktop\HOSN Applications\HOSN0000269_attachments\0___Application_Workbook__Excel_\2023-HOSN-Application-Workbook Version 2.15.2023.xlsm</t>
  </si>
  <si>
    <t>Neighborhood Partnership Housing Services, Inc.</t>
  </si>
  <si>
    <t>9551 Pittsburgh Ave.</t>
  </si>
  <si>
    <t>Clemente Mojica</t>
  </si>
  <si>
    <t>clemente@nphsinc.org</t>
  </si>
  <si>
    <t>909-988-5274</t>
  </si>
  <si>
    <t>Rancho Cucamonga</t>
  </si>
  <si>
    <t>Greg O'Donnell</t>
  </si>
  <si>
    <t>greg@nphsinc.org</t>
  </si>
  <si>
    <t>909-243-7035</t>
  </si>
  <si>
    <t>Chief Impact Officer</t>
  </si>
  <si>
    <t>GO</t>
  </si>
  <si>
    <t>NPHS has and will continue to comply with all requirements for Local Program Administration set forth in Section 7721 applicable to the mortgage assistance program that is being applying for: (1) NPHS will market the mortgage assistance program through its website, social media outlets, press releases, local municipalities, local elected officials, nonprofit partners and Housing Authorities. In addition, NPHS will market the program through collaboratives it is currently a member of including the Inland SoCal Housing Collective and Invest Health Riverside. These collaboratives include members from local financial institutions, nonprofit housing organizations, Kaiser Permanente and local municipalities; (2) NPHS will verify all applicants' household income-eligibility through paystubs, tax returns, fixed income documents and bank statements. In order to be eligible for the mortgage assistance program, all applicants' household income must be at or below 80% of the area median income. NPHS will reference the HCD State Income Limits; (3)(A) NPHS utilizes an 8-hour HUD-Approved homebuyer education curriculum which meets all requirements in Section 7722; (3)(B) the attached NPHS Loan Servicing Plan meets all loan servicing requirements in Section 7723; (3)(C) the attached NPHS Reuse Account Plan meets all requirements in Section 7724; (3)(D) NPHS has developed strict mortgage assistance and underwriting guidelines that have been submitted to and approved by the Department of Housing and Community Development. These mortgage assistance and underwriting guidelines meet all requirements in Section 7730; (3)(E) NPHS has developed strict mortgage assistance and underwriting guidelines that have been submitted to and approved by the Department of Housing and Community Development. These mortgage assistance and underwriting guidelines meet all requirements in Section 7731; (3)(F) N/A; (3)(G) N/A; (3)(H) N/A; (3)(I) N/A; (3)(J) N/A; (3)(K) N/A; (4) NPHS disburses funds on behalf of eligible applicants at close of escrow: (5) As referenced in NPHS' Loan Servicing and Reuse Account Plan, NPHS maintains complete and accurate records of all CalHome program Loan disbursements and repayments to ensure adherence to proper accounting procedures for the CalHome program Loans; (6) NPHS has and will continue to comply with reporting requirements pursuant to Section 7758 which are set forth in the Standard Agreement and Monitoring Agreement; and (7) As a "Exemplary" NeighborWorks America, HUD-Approved Counseling Agency and Community Development Financial Institution, NPHS meets all requirements as set forth in CalHome Program guidelines and all applicable federal and state regulations.</t>
  </si>
  <si>
    <t>NPHS Opportunity Down Payment Assistance Loan Program</t>
  </si>
  <si>
    <t>Cal Home Loans</t>
  </si>
  <si>
    <t>NPHS Home Improvement Loan Program</t>
  </si>
  <si>
    <t>CAR Closing Cost Assistance Program</t>
  </si>
  <si>
    <t>City of Claremont, City of Dana Point, City of San Bernardino Down Payment Assistance Programs</t>
  </si>
  <si>
    <t>NPHS is a non-proﬁt community development organization dedicated to building stronger communities in the Inland Valley. Over the span of 30 years, NPHS has grown from a small grassroots organization serving Montclair, California into a multifaceted organization serving three Southern California counties of Riverside, San Bernardino and Eastern Los Angeles. As part of the NeighborWorks® Network, NPHS holds the following certiﬁcations and designations: a HUD-Approved Housing Counseling Agency; a Department of Treasury certiﬁed Community Development Financial Institution (CDFI); a California State Certiﬁed Community Housing Development Organization (CHDO); and a NeighborWorks Green Organization._x000D_
_x000D_
Since its founding in 1991, NPHS has provided counseling to address over 46,000 pre and post homeownership education issues; assisted more than 11,000 families achieve homeownership and provided foreclosure prevention education to over 6,000 families. NPHS has also developed 230 homes into affordable homeownership and rehabilitated over 1,150 owner-occupied homes for low-to-moderate income families, seniors and veterans. In addition, NPHS has also stimulated over $4.6 billion in direct investment back into the Inland Empire region and originated and funded over $11.5 million in down payment assistance. NPHS is requesting $3,127,904 in mortgage assistance capital to provide 17 low-income first-time homebuyers with deferred down payment assistance loans in the amount of up to $180,000 each. This includes a 4% Activity Delivery Fee (ADF) totaling $120,304. The funding request will be broken down by County as follows: $1,980,000/11 loans for San Bernardino County and $1,027,600/6 loans for Riverside County. Each client/household assisted is required to have a total combined family income of 80% or less of the area median income and the homes being purchased must be located in Opportunity Zones throughout San Bernardino and Riverside Counties.  As a HUD-Approved Counseling Agency, NPHS will require all applicants to attend an 8-hour HUD-Approved Homebuyer Education class at NPHS in order to be eligible for the mortgage assistance. These workshops are all offered online during the Pandemic. NPHS is currently the top producing NeighborWorks America member in regard to educating families into homeownership. In addition, NPHS is a top-tier Freddie Mac Borrower Help Center that educates families into homeownership. According to the California Association of Realtor’s Housing Affordability Index, Housing affordability in the Inland Empire has decreased 64% over the past five years and the dream of homeownership is becoming less attainable for low-to-moderate income families. _x000D_
_x000D_
According to the 2022 HUD income limits, the average LMI family of four earning less than 80% of the AMI can only qualify for a $250,000 loan. Without a form of down payment assistance, it is nearly impossible for these families to purchase a home. NPHS will layer CalHome funds with additional subsidies to bridge the affordability gap. These subsidies include NPHS' Opportunity Down Payment Assistance Program and The Federal Home Loan Bank of San Francisco's WISH Program. As a CDFI, NPHS recognizes the consistent changes in the housing market and understands the importance to create and provide loan products that both promote and preserve affordable homeownership.  For over 20 years, NPHS has been successful at administering internal and external down payment assistance programs having received capital funding and investments from financial institutions, foundations, and from Federal, State, and City government entities. NPHS offers a variety of affordable down payment loans and grants to first-time homebuyers.  NPHS has been awarded three rounds of CalHome Funds in the past totaling $2,157,034. All CalHome funds (100%) have been deployed. In addition, NPHS was received a 2020 Calhome award in the amount of $4,960,750 for Mortgage Assistance of which $2,228,800 has been deployed.  Additionally, NPHS received a 2021 Calhome award of $2,498,000. With a strong pipeline of pre-qualified homebuyers and homeowners, NPHS anticipates deploying the remaining 2020 and 2021 Calhome award capital over the next six months. _x000D_
_x000D_
As a Community Development Financial Institution (CDFI), NPHS has been awarded over $2,000,000 from the U.S. Treasury's CDFI Fund for down payment assistance over the past 4 years. NPHS is also currently administering mortgage assistance programs for the Cities of Dana Point, San Bernardino, Menifee and Claremont. NPHS has successfully administered and funded over $12 million in down payment assistance loans from various sources including CalHome, HOME, CDFI Fund and redevelopment/tax-increments funds.  As a CDFI and experienced community lender, NPHS fully-understands the complexities and guidelines of each funding source. In 2013, 77% of homebuyers could afford a median priced home in the Inland Empire (Riverside and San Bernardino County). According to the California Association of Realtors (C.A.R.), today, only 43% of homebuyers in Riverside County and 51% in San Bernardino County can afford a median priced home. The median housing price in the Riverside and San Bernardino County is $585,000 and $466,900 respectively (January 2023, C.A.R.), which is significantly higher than the national median price of $383,249 (January 2023, Redfin)._x000D_
 _x000D_
NPHS has a strong lending and counseling team which is comprised of the following leads: Jesse Ibarra, Chief Business Officer; Curtis Miller, Director of Community Lending; Lisa Ralph, Director of Homeownership Development and Preservation.  With over 60 years of combined experience, this team is responsible for heading all the organization's lending and counseling efforts. In addition, all NPHS Homeownership Counselors are HUD-Certified._x000D_
_x000D_
Solon Escobar, Chief Financial Officer, manages all the finances and lending activities for NPHS. He is responsible for safeguarding NPHS' assets, developing annual budgets, forecasting, financial statement presentation to the board of directors and the finance committee. In addition, Solon ensures that NPHS is in compliance with GAAP accounting and that its annual financial audit has no material findings. Solon Escobar has more than 27 years of experience working for nonprofit and for-profit organizations.</t>
  </si>
  <si>
    <t>NPHS Opportunity Down Payment Assistance Loan Progrma</t>
  </si>
  <si>
    <t>NPHS is a non-proﬁt community development organization dedicated to building stronger communities in the Inland Valley. Over the span of 30 years, NPHS has grown from a small grassroots organization serving Montclair, California into a multifaceted organization serving three Southern California counties of Riverside, San Bernardino and Eastern Los Angeles. As part of the NeighborWorks® Network, NPHS holds the following certiﬁcations and designations: a HUD-Approved Housing Counseling Agency; a Department of Treasury certiﬁed Community Development Financial Institution (CDFI); a California State Certiﬁed Community Housing Development Organization (CHDO); and a NeighborWorks Green Organization._x000D_
_x000D_
Since its founding in 1991, NPHS has provided counseling to address over 46,000 pre and post homeownership education issues; assisted more than 11,000 families achieve homeownership and provided foreclosure prevention education to over 6,000 families. NPHS has also developed 230 homes into affordable homeownership and rehabilitated over 1,150 owner-occupied homes for low-to-moderate income families, seniors and veterans. In addition, NPHS has also stimulated over $4.6 billion in direct investment back into the Inland Empire region and originated and funded over $11.5 million in down payment assistance. NPHS is requesting $1,870,000 in Owner-Occupied Home Repair Capital to assist seven low-income homeowners with home repairs, three low-income homeowners to add Accessory Dwelling Units to their properties and one low-income homeowner replace their manufactured home. The funding request includes a 10% Activity Delivery Fee (ADF) totaling $170,000. The funding request will be broken down by program as follows: $800,000/8 loans for home repairs at $100,000 each and $750,000/3 loans for adding an ADU at $250,000 each. In addition, NPHS is requesting $180,000 in Manufactured Home Set-Aside funding to assist one low-income homeowner to replace their manufactured home. The funding will be utilized as follows: $150,000 for replacing one manufactured home and $15,000 for Activity Delivery Fees (10%). Each client/household assisted is required to have a total combined family income of 80% or less of the area median income and the owner-occupied homes must be located in Opportunity Zones throughout San Bernardino County._x000D_
_x000D_
Some 38% of Americans could not come up with $500 in cash without selling something or taking out a loan, another report released by SimplyWise, a website that gives advice on Social Security; 1 in 10 are planning to withdraw from their emergency savings to pay bills._x000D_
_x000D_
Nearly six in 10 Americans don't have enough savings to cover a $500 or $1,000 unplanned expense, according to a new report from Bankrate. What’s more, nearly 25% of all Americans had no emergency savings and 16% have taken on more debt, and nearly one-third of households reported lower income since the start of the pandemic, a separate report by Bankrate.com concluded. _x000D_
_x000D_
According to Census Reporter's most recent report. In the Inland Empire, the average median household income for residents over the age of 65 is $51,028. That's lower than the national average income of $65,712, lower than the California average of $80,440, and lower than the Los Angeles average of $67,418. Many senior citizens and disabled persons survive on low fixed-incomes. As such, the cost to repair a roof, install necessary handicap-able devices, or provide the most basic upkeep for the health and safety of their home remains a challenge. NPHS will provide these necessary health and safety items to assure that low-to-moderate income elderly and disabled residents maintain a positive and healthy quality of life. Aging in place helps keep people comfortable and rooted and gives them independence and a feeling of control over their destinies. It is also more comfortable to grow older in the community you know, among the things you love and the memories you have made. In so doing, NPHS is creating decent housing, while also enhancing their living environment which would not have been available if not for the financial assistance offered._x000D_
_x000D_
NPHS plans on providing financing for low-income homeowners to purchase manufactured ADUs. Manufactured ADUs have become an increasingly popular option for residential development. This type of housing is built in a factory setting and then transported to the development site, where it is assembled on a foundation. It offers numerous advantages over traditional on-site construction, including cost-effectiveness, efficiency, and quality control. Not only are manufactured ADUs up to 30% less to construct compared to site-built construction, they can be manufactured within 14 days. ADUs give homeowners the flexibility to share independent living areas with family members and others, allowing seniors to age in place as they require more care and helping extended families to be near one another while maintaining privacy._x000D_
_x000D_
_x000D_
For over 32 years, NPHS has been successful at administering internal and external down owner-occupied rehabilitation programs having received capital funding and investments from financial institutions, foundations, and from Federal, State, and City government entities. NPHS offers a variety of affordable owner-occupied home repair loans and grants.  As a Community Development Financial Institution (CDFI), NPHS has been awarded over $2,000,000 from the U.S. Treasury's CDFI Fund for owner-occupied home repair loans down payment assistance over the past 4 years. NPHS is also currently administering owner-occupied home repair programs for the Cities of San Bernardino, Chino, Chino Hills and County of Riverside. Through these partnerships, NPHS has deployed over $35 million in state and federal funding and has assisted over 1,150 low-income homeowners with home repair loans and grants.  As a CDFI and experienced community lender, NPHS fully-understands the complexities and guidelines of each funding source._x000D_
_x000D_
NPHS has a strong lending and owner-occupied rehabilitation team which is comprised of the following leads: Jesse Ibarra, Chief Business Officer; Curtis Miller, Director of Community Lending; April DeLeon, Redevelopment Senior Project Manager; RaShawna Fahie, Manufactured Housing Program Manager; and Gabby Lopez, Project Support Coordinator. This team leads all of NPHS' community lending and owner-occupied home repair programs. With over 70 years of combined experience, this team is responsible for heading all the organization's lending and owner-occupied home repair efforts. _x000D_
_x000D_
In addition, Solon Escobar, Chief Financial Officer, manages all the finances and lending activities for NPHS. He is responsible for safeguarding NPHS' assets, developing annual budgets, forecasting, financial statement presentation to the board of directors and the finance committee. In addition, Solon ensures that NPHS is in compliance with GAAP accounting and that its annual financial audit has no material findings. Solon Escobar has more than 27 years of experience working for nonprofit and for-profit organizations.</t>
  </si>
  <si>
    <t>NPHS has and will continue to comply with all requirements for Local Program Administration set forth in Section 7721 applicable to the owner-occupied rehabilitation program that is being applying for: (1) NPHS will market the owner-occupied rehabilitation program through its website, social media outlets, press releases, local municipalities, local elected officials, nonprofit partners and Housing Authorities. In addition, NPHS will market the program through collaboratives it is currently a member of including the Inland SoCal Housing Collective and Invest Health Riverside. These collaboratives include members from local financial institutions, nonprofit housing organizations, Kaiser Permanente and local municipalities; (2) NPHS will verify all applicants' household income-eligibility through paystubs, tax returns, fixed income documents and bank statements. In order to be eligible for the owner-occupied rehabilitation program, all applicants' household income must be at or below 80% of the area median income. NPHS will reference the HCD State Income Limits; (3)(A) NPHS utilizes an 8-hour HUD-Approved homebuyer education curriculum which meets all requirements in Section 7722; (3)(B) the attached NPHS Loan Servicing Plan meets all loan servicing requirements in Section 7723; (3)(C) the attached NPHS Reuse Account Plan meets all requirements in Section 7724; (3)(D) NPHS has developed strict owner-occupied rehabilitation and underwriting guidelines that have been submitted to and approved by the Department of Housing and Community Development. These owner-occupied rehabilitation and underwriting guidelines meet all requirements in Section 7730; (3)(E) NPHS has developed strict owner-occupied rehabilitation and underwriting guidelines that have been submitted to and approved by the Department of Housing and Community Development. These owner-occupied rehabilitation  and underwriting guidelines meet all requirements in Section 7731; (3)(F) N/A; (3)(G) N/A; (3)(H) N/A; (3)(I) N/A; (3)(J) N/A; (3)(K) N/A; (4) NPHS disburses funds on behalf of eligible applicants at close of escrow: (5) As referenced in NPHS' Loan Servicing and Reuse Account Plan, NPHS maintains complete and accurate records of all CalHome program Loan disbursements and repayments to ensure adherence to proper accounting procedures for the CalHome program Loans; (6) NPHS has and will continue to comply with reporting requirements pursuant to Section 7758 which are set forth in the Standard Agreement and Monitoring Agreement; and (7) As a "Exemplary" NeighborWorks America, HUD-Approved Counseling Agency and Community Development Financial Institution, NPHS meets all requirements as set forth in CalHome Program guidelines and all applicable federal and state regulations.</t>
  </si>
  <si>
    <t>CAR Closing Cost Assistance Progrma</t>
  </si>
  <si>
    <t>City of Claremont, City of Dana Point, City of San Bernardino Down Payment Assistance Program</t>
  </si>
  <si>
    <t>C:\Users\Compw\Desktop\HOSN Applications\HOSN0000270_attachments\0___Application_Workbook__Excel_\Heritage Housing Partners Napa 2023-HOSN-Application-Workbook 2.28.2023.xlsm</t>
  </si>
  <si>
    <t>Heritage Housing Corporation</t>
  </si>
  <si>
    <t>608 N Fair Oaks</t>
  </si>
  <si>
    <t>Marianne Williams</t>
  </si>
  <si>
    <t>mwilliams@heritagehousingpartners.org</t>
  </si>
  <si>
    <t>626-403-4663, xt. 115</t>
  </si>
  <si>
    <t>Office Manager</t>
  </si>
  <si>
    <t>Charles Loveman</t>
  </si>
  <si>
    <t>cloveman@heritagehousingpartners.org</t>
  </si>
  <si>
    <t>626-403-4663, xt. 114</t>
  </si>
  <si>
    <t>MW</t>
  </si>
  <si>
    <t>HHP markets the availability of an affordable unit through our Interest List, which currently includes over 8,000 households.  HHP also does outreach by hosting quarterly homebuyer education workshops, reaching out to various community and civic organizations, and doing print advertising.  HHP typically receives 12 applications for each available unit. HHP does its own income determinations, and our reviews are double-checked by our city paartner and our preferred lender.  We forward income-qualified applicants to our prefered lender for first mortgage approval.  Over the past several years, our recent practice is that all of our homebuyers are under contract and mortgage approved, waiting for a Certificate of Occupancy to be issued so they can close on their new homes.  For non-CalHome loans, the junior loan documents are prepared by our attorneys, and if required pre-approved by our city partners.  For CalHome loans, we use the CalHome document forms.  We transmit all of the docs to escrow, and the homebuyers sign at escrow.  Prior to closing, HHP works with title &amp; escrow and our real estate attorneys to assure that junior mortgages are recorded in the correct lien priority.  HHP maintains detailed records for each loan of the borrowerof loan origination and maturity dates, loan interest rates, the amount of deferred accrued interest, and loan payments (if any).  We also keep in a fireproof safe the original wet-signature Promissory Notes for each loan, plus paper copies of all loan agreements, deeds of trust, notes, and affordability covenants.  HHP also maintains electronic copies of all loan agreements, deeds of trust, note,s and affordability covenants. HHP currently manages $3.9 million of CalHome funds from the 2014 and the 2021 NOFAs.  Our CalHome Reuse Plan and Monitoring Agreement are all up-to-date.</t>
  </si>
  <si>
    <t>Doran Gardens</t>
  </si>
  <si>
    <t>Fair Oaks Court</t>
  </si>
  <si>
    <t>The Crescent project consists of the new construction of mixed-income condominiums in the City of Napa, including up to 49 affordable units for Low-Income first-time homebuyers.  The total project has 162 condominium units, and in addition to the approximately 49 units for Low-Income households will also have units sold to Moderate-Income households as well as middle-income and market-rate homebuyers.  The project site is located on unused Surplus Land formerly owned by Napa County, which the City of Napa prefers to be developed with residential uses that benefit Low- and Moderate-Income households.  Heritage Housing Partners (HHP) is a non-profit affordable homeownership developer who has completed 18 affordable homeownership projects, with one project about to break ground and another in predevelopment.  HHP previously received BEGIN and CalHome funds from HCD, as well as an award of AHSC funds in 2021's Round 6.  In addition to the CalHome funds, The Crescent project, with a total cost of $125 million, has a financing structure that includes $4 million in in City of Napa Affordable Housing Program funds, a $100 million construction loan and $16.5 mllion of PACE funding and $4.5 million of equity.  HHP is requesting $5 million in CalHome funds to be used as mortgage assistance for a minium of 25 up to a max of 49 Low-Income first-time homebuyers.</t>
  </si>
  <si>
    <t>C:\Users\Compw\Desktop\HOSN Applications\HOSN0000056_attachments\0___Application_Workbook__Excel_\2023-HOSN-Application-Workbook 2.22.2023.xlsm</t>
  </si>
  <si>
    <t>People's Self-Help Housing</t>
  </si>
  <si>
    <t>1060 Kendall Road</t>
  </si>
  <si>
    <t>Kenneth Trigueiro</t>
  </si>
  <si>
    <t>CEO &amp; President</t>
  </si>
  <si>
    <t>kennetht@pshhc.org</t>
  </si>
  <si>
    <t>805-540-2453</t>
  </si>
  <si>
    <t>Sheryl Flores</t>
  </si>
  <si>
    <t>VP of Home Ownership</t>
  </si>
  <si>
    <t>sherylf@pshhc.org</t>
  </si>
  <si>
    <t>805-540-2465</t>
  </si>
  <si>
    <t>Jimmy Summer</t>
  </si>
  <si>
    <t>jimmys@pshhc.org</t>
  </si>
  <si>
    <t>805-548-2348</t>
  </si>
  <si>
    <t>KT</t>
  </si>
  <si>
    <t>Mustang Homes</t>
  </si>
  <si>
    <t>Mission Gardens Group 4</t>
  </si>
  <si>
    <t>Mission Gardens Group 3 started 9/29/18</t>
  </si>
  <si>
    <t>Mission Gardens Group 2 started 8/1/19</t>
  </si>
  <si>
    <t>Mission Gardens Group 1 started 3/15/19</t>
  </si>
  <si>
    <t>Mustang Court self-help built homes in King City CA</t>
  </si>
  <si>
    <t>Mission Gardens Group 4 self-help built homes in San Miguel CA</t>
  </si>
  <si>
    <t xml:space="preserve">49 total self-help homes will be built in Santa Maria, located in Santa Barbara County.  We are seeking assistance for only 40 of the homes (24 CalHome and 16 Serna funded) so that 9 of the homes can be sold to higher income households (up to 120%) or developed without sweat equity should we choose to widen our target population. For the 40 homes we will seek assistance, the household incomes will range from 40% to 80% AMI.  PSHH has assisted over 1200 households to build self-help homes throughout four counties along the Central Coast. The site is already owned by PSHH and has an approved Tentative Maps and Planned Development Permit. Grading and public improvements will be installed in 2024 and home construction should start at the beginning of 2025.  Outreach for participants and loan packaging will occur after site work begins.  The CalHome Award, NeighborWorks Capital and PSHH cash reserves will fund site development.  A construction loan from NeighborWorks Capital will fund home construction. Technical assistance will be funded by this CalHome SHTA. The participating families will work 36 hours per weekend (2 adults working 9 hours/day) for about year to build their homes.  </t>
  </si>
  <si>
    <t>PSHH has procedures in place and staff experienced to manage technical assistance grants.  PSHH has administered technical assistance grant funding from USDA for over 50 years and CalHome many times since the program was initially funded in 2000.  We have developed and implemented Loan Servicing, Reuse and Home Buyer Education Programs as well as packaging and documenting loans and overseeing self-help construction. The Homeownership Department has been led by Sheryl Flores since 1996.  PSHH’s CEO and CFO have been with PSHH for many years and are experienced managing loans and grants.  Two staff members are certified USDA loan packagers and have both completed several housing counseling and lender trainings conducted by Neighborworks America and other providers.  One staff member has passed the HUD Housing Counseling Exam. PSHH markets our self-help home ownership program via social media including YouTube videos LinkedIn posts Instagram Facebook and Twitter. Self-help home ownership opportunities are also marketed via our community and resident newsletters and press releases to regional media outlets. Because we have more interested parties than ownership opportunities PSHH maintains an Interest List of several thousand households that have indicated they would like to participate in a self-help program.  When we are ready to accept applications, we send information about how to apply to those on the Interest List that live in the communities surrounding the project. We always receive far more qualified applicants than we have homes.  Applicants who do not initially qualify are counseled so they may remedy their situation and reapply for a subsequent project. Earlier this month, 279 applications were received to build 10 self-help homes in Nipomo. Many of those applicants may be interested in building a home in this Santa Maria development.</t>
  </si>
  <si>
    <t xml:space="preserve">Mission Gardens Group 3 self-help built homes in San Miguel CA started 9/29/18 </t>
  </si>
  <si>
    <t>Mission Gardens Group 2 self-help built homes in San Miguel CA started 8/1/18</t>
  </si>
  <si>
    <t>Mission Gardens Group 1 self-help built homes in San Miguel CA started 3/15/18</t>
  </si>
  <si>
    <t xml:space="preserve">Pacific Western Bank </t>
  </si>
  <si>
    <t>Santa Barbara Co Housing Trust Fund</t>
  </si>
  <si>
    <t>PSHH Cash</t>
  </si>
  <si>
    <t>NW Capital</t>
  </si>
  <si>
    <t>CalHome SHTA</t>
  </si>
  <si>
    <t>1st Mortgage</t>
  </si>
  <si>
    <t>Mission Gardens Group 3 self-help built homes in San Miguel CA</t>
  </si>
  <si>
    <t>Mission Gardens Group 2 self-help built homes in San Miguel CA</t>
  </si>
  <si>
    <t>Mission Gardens Group 1 self-help built homes in San Miguel CA</t>
  </si>
  <si>
    <t>Skylight Homes</t>
  </si>
  <si>
    <t>3170 Santa Maria Way</t>
  </si>
  <si>
    <t>Santa Maria</t>
  </si>
  <si>
    <t xml:space="preserve">	0020.15</t>
  </si>
  <si>
    <t>Existing structure has tested positive for asbestos and lead paint but will be remediated and demolished prior to the start of site grading.</t>
  </si>
  <si>
    <t>City of Santa Maria</t>
  </si>
  <si>
    <t>Pacific Western Bank</t>
  </si>
  <si>
    <t>Serna SHTA</t>
  </si>
  <si>
    <t>S1_PDL_PreviousProject5</t>
  </si>
  <si>
    <t>S1_PDL_PreviousProgramUnits5</t>
  </si>
  <si>
    <t>S1_PDL_PreviousProjectDate5</t>
  </si>
  <si>
    <t>Demolition of Drive-In screen snackbar fencing and tree removal grading 12/31/23 Grading &amp; Public Improvements 10/31/2024</t>
  </si>
  <si>
    <t>S1_PDL_AdverseEnvCondsDescription</t>
  </si>
  <si>
    <t>S1_PDL_PreDevRate1</t>
  </si>
  <si>
    <t>S1_PDL_PreDevRate2</t>
  </si>
  <si>
    <t>S1_PDL_PreDevRate3</t>
  </si>
  <si>
    <t>S1_PDL_PreDevLienPosition1</t>
  </si>
  <si>
    <t>S1_PDL_PreDevLienPosition2</t>
  </si>
  <si>
    <t>S1_PDL_PreDevLienPosition3</t>
  </si>
  <si>
    <t>S1_PDL_PreDevCommitted1</t>
  </si>
  <si>
    <t>S1_PDL_PreDevCommitted2</t>
  </si>
  <si>
    <t>S1_PDL_PreDevCommitted3</t>
  </si>
  <si>
    <t>S1_PDL_PreDevCommitted4</t>
  </si>
  <si>
    <t>S1_PDL_PreDevLienPosition4</t>
  </si>
  <si>
    <t>S1_PDL_PreDevAmount2</t>
  </si>
  <si>
    <t>S1_PDL_PreDevAmount3</t>
  </si>
  <si>
    <t>S1_PDL_PreDevReqDebtService2</t>
  </si>
  <si>
    <t>S1_PDL_PreDevReqDebtService3</t>
  </si>
  <si>
    <t>S1_PDL_PreDevLandAcquisition2</t>
  </si>
  <si>
    <t>S1_PDL_PreDevLandAcquisition3</t>
  </si>
  <si>
    <t>S1_PDL_ConstructionCommitted1</t>
  </si>
  <si>
    <t>S1_PDL_ConstructionCommitted2</t>
  </si>
  <si>
    <t>S1_PDL_ConstructionLienPosition1</t>
  </si>
  <si>
    <t>S1_PDL_ConstructionLienPosition2</t>
  </si>
  <si>
    <t>S1_PDL_ConstructionRate1</t>
  </si>
  <si>
    <t>S1_PDL_ConstructionRate2</t>
  </si>
  <si>
    <t>S1_PDL_ConstructionPaymentTerms1</t>
  </si>
  <si>
    <t>S1_PDL_ConstructionPaymentTerms2</t>
  </si>
  <si>
    <t>S1_PDL_PermanentCommitted1</t>
  </si>
  <si>
    <t>S1_PDL_PermanentCommitted2</t>
  </si>
  <si>
    <t>S1_PDL_PermanentLienPosition1</t>
  </si>
  <si>
    <t>S1_PDL_PermanentLienPosition2</t>
  </si>
  <si>
    <t>S1_PDL_PermanentRate1</t>
  </si>
  <si>
    <t>S1_PDL_PermanentRate2</t>
  </si>
  <si>
    <t>S1_PDL_PermanentRateType1</t>
  </si>
  <si>
    <t>S1_PDL_PermanentRateType2</t>
  </si>
  <si>
    <t>S1_PDL_PermanentRepayment1</t>
  </si>
  <si>
    <t>S1_PDL_PermanentRepayment2</t>
  </si>
  <si>
    <t>S1_PDL_PermanentPaymentTerms1</t>
  </si>
  <si>
    <t>S1_PDL_PermanentPaymentTerms2</t>
  </si>
  <si>
    <t>S1_PDL02_SiteControl</t>
  </si>
  <si>
    <t>S1_PDL03_PrelimTitleReport</t>
  </si>
  <si>
    <t>S1_PDL04_SiteAppraisal</t>
  </si>
  <si>
    <t>S1_PDL05_SiteMap</t>
  </si>
  <si>
    <t>S1_PDL08_Phase1And2ESAs</t>
  </si>
  <si>
    <t>S1_PDL07_SEGReports</t>
  </si>
  <si>
    <t>S1_PDL_SiteImprovements</t>
  </si>
  <si>
    <t>S1_PDL01_CompletedProjects</t>
  </si>
  <si>
    <t>S1_PDL13_CLPExperience</t>
  </si>
  <si>
    <t xml:space="preserve">Housing is in high demand and very expensive on the Central Coast as it is a very desirable place to live and to retire.  Santa Maria’s rents and home prices are much lower than the Santa Barbara County averages, but so are their household incomes.  Realtor.com reports that the median list price of homes in Santa Maria at $579k is equal to a year ago.  The median sales price is slightly higher at $600k.  With a $120,000 downpayment, monthly payments of $3,544 and an income in excess of $121,500 would be required. Per Zumper, median rent for a 3-bedroom home is $3,200.  Monthly payments for the homes in our project are expected to range from $1,884 with $250,000 CalHome dpa to $3,464 without dpa (assumed 6.5% interest rate on all homes and $120 HOA fees on our homes only). Housing costs will be less than 35% of Household incomes. _x000D_
_x000D_
The 2023 City Draft Housing Element indicates a need for 526 homes for low-income households.  The draft report also indicates 40% of the residents pay more than 30% of their income for housing, the average age of a city resident is 29 years old, 77% of the residents identify as Latino, 24% are employed in agriculture, 22% live in over-crowded conditions, 29% are large household (&gt;5 persons), 3.73 is the average household size._x000D_
</t>
  </si>
  <si>
    <t xml:space="preserve">49 total self-help homes will be built in Santa Maria, located in Santa Barbara County.  While Santa Maria is a large city and not considered rural, it is surrounded by vegetable farms and has a high farmworker population._x000D_
We are seeking assistance for only 40 of the homes so that 9 of the homes can be sold to higher income households (up to 120%) or developed without sweat equity should we choose to widen our target population. For the 40 homes we will seek assistance (24 CalHome and 16 Serna), the household incomes will range from 40% to 80% AMI.  The site is already owned by PSHH and has an approved Tentative Maps and Planned Development Permit. Grading and public improvements will be installed in 2024 and home construction should start at the beginning of 2025.  Outreach for participants and loan packaging will occur after site work begins.  Non-profit lenders, commercial banks and PSHH cash reserves will fund site development.  A construction loan from a local commercial bank will fund home construction. Technical assistance will be provided by this CalHome grant. The participating families will work 40 hours per weekend (2 adults working 9.5 hours/day) for about year to build their homes. _x000D_
Given PSHH's long history of self-help housing development, our ability to secure financing and the project already obtaining its entitlements, PSHH feels extremely confident in its ability to timely complete a successful project. A challenge for this project is the unavailability of the subsidized USDA mortgages and technical assistance grant.  We look to the CalHome/Serna programs, to fill the financing gap created by the higher interest traditional mortgages to create affordability for industrious low-income households in this high cost community.  Additionally, the families self-help labor and efficient home designs, will allow the homes to be produced well below market rates._x000D_
</t>
  </si>
  <si>
    <t xml:space="preserve">PSHH has procedures in place and staff experienced to manage technical assistance grants.  PSHH has administered technical assistance grant funding from USDA for over 50 years and CalHome many times since the program was initially funded in 2000.  We have developed and implemented Loan Servicing, Reuse and Home Buyer Education Programs as well as packaging and documenting loans and overseeing self-help construction. The Homeownership Department has been led by Sheryl Flores since 1996.  PSHH’s CEO and CFO have been with PSHH for many years and are experienced managing loans and grants.  Two staff members are certified USDA loan packagers and have both completed several housing counseling and lender trainings conducted by Neighborworks America and other providers.  One staff member has passed the HUD Housing Counseling Exam. PSHH markets our self-help home ownership program via social media including YouTube videos LinkedIn posts Instagram Facebook and Twitter. Self-help home ownership opportunities are also marketed via our community and resident newsletters and press releases to regional media outlets. Because we have more interested parties than ownership opportunities PSHH maintains an Interest List of several thousand households that have indicated they would like to participate in a self-help program.  When we are ready to accept applications, we send information about how to apply to those on the Interest List that live in the communities surrounding the project. We always receive far more qualified applicants than we have homes.  Applicants who do not initially qualify are counseled so they may remedy their situation and reapply for a subsequent project. Earlier this month, 279 applications were received to build 10 self-help homes in Nipomo. Many of those applicants may be interested in building a home in this Santa Maria development._x000D_
</t>
  </si>
  <si>
    <t>S1_PDL_ConstructionLandAcquisition1</t>
  </si>
  <si>
    <t>S1_PDL_ConstructionAmount1</t>
  </si>
  <si>
    <t>S1_PDL_PermanentAmount1</t>
  </si>
  <si>
    <t>S1_PDL_PermanentLandAcquisition1</t>
  </si>
  <si>
    <t xml:space="preserve">An Affordable Housing Farmworker Housing Market Study of the Santa Maria Market Area was completed in December 2020 by Laurin Associates and Raney Planning Management, Inc. for one of PSHH’s rental rehabilitation projects.  The Santa Maria Market area includes the city and surrounding area west to Guadalupe 6 miles to the west.  Most of the following data was extracted from that report._x000D_
_x000D_
According to the Santa Barbara Ag Commissioner, the primary crops in the area are: strawberries, wine grapes, nursery crops, cauliflower and head lettuce.  The Agricultural Commissioner states that farmworkers in the industry generally work year-round.  The Agricultural Commissioner also states that in the area, farmworkers generally work 40 hours per week for 50 weeks per year.  Incomes for entry level workers range from $23,420 to $68,880 (with two ag workers employed).  The report concluded that there is demand for 723 units targeting farmworker households in the market area earning up to $131,920.  The report indicates a 0% vacancy rate for rental affordable units.  There are no affordable farmworker housing projects planned in the market area._x000D_
_x000D_
This project will serve farmworker households from 45% to 80% of median income._x000D_
_x000D_
Housing is in high demand and very expensive on the Central Coast as it is a very desirable place to live and to retire.  Santa Maria’s rents and home prices are much lower than the Santa Barbara County averages, but so are their household incomes.  Realtor.com reports that the median list price of homes in Santa Maria at $579k is equal to a year ago.  The median sales price is slightly higher at $600k.  With a $120,000 downpayment, monthly payments of $3,544 and an income in excess of $121,500 would be required. Per Zumper, median rent for a 3-bedroom home is $3,200.  Monthly payments for the homes in our project are expected to range from $1,884 with $250,000 CalHome dpa to $3,464 without dpa (assumed 6.5% interest rate on all homes and $120 HOA fees on our homes only)._x000D_
_x000D_
The 2023 City Draft Housing Element indicates a need for 526 homes for low-income households.  The draft report also indicates 40% of the residents pay more than 30% of their income for housing, the average age of a city resident is 29 years old, 77% of the residents identify as Latino, 24% are employed in agriculture, 22% live in over-crowded conditions, 29% are large household (&gt;5 persons), 3.73 is the average household size._x000D_
_x000D_
_x000D_
_x000D_
</t>
  </si>
  <si>
    <t>S1_PDL_LoanEnteredAsFinanceCost</t>
  </si>
  <si>
    <t>S1_PDL_ConstructionReqDebtService1</t>
  </si>
  <si>
    <t>S1_PDL10_VerificationEnvrReview</t>
  </si>
  <si>
    <t>S1_PDL11_VerificationLandUse</t>
  </si>
  <si>
    <t>Yes, the site was previously developed with a commercial use and is located within an urbanized area, the City of Santa Maria (population &gt;50,000). It is surrounded by single family subdivsions to the North, West and East and a mobilehome park to the South.</t>
  </si>
  <si>
    <t>S1_PDL14_CLPParticipationCrit</t>
  </si>
  <si>
    <t>S1_PDL16_CLPActivityPerformed</t>
  </si>
  <si>
    <t>S1_PDL17_CLPActivityContracted</t>
  </si>
  <si>
    <t>S1_PDL_InfillSiteExplain</t>
  </si>
  <si>
    <t>Yes, the site is surrounded by single family subdivsions to the North, West and East and a mobilehome park to the South.</t>
  </si>
  <si>
    <t>Estimated cost</t>
  </si>
  <si>
    <t>Supervision and Overhead</t>
  </si>
  <si>
    <t>Home Purchase</t>
  </si>
  <si>
    <t>Sewer/Water/Utilities</t>
  </si>
  <si>
    <t>Home Construction &amp; Demolition &amp; Legal</t>
  </si>
  <si>
    <t>S1_PDL_Permanent1OtherUse</t>
  </si>
  <si>
    <t>S1_PDL_Permanent1OtherUse1</t>
  </si>
  <si>
    <t>S1_PDL_PermanentEscrowFees1</t>
  </si>
  <si>
    <t>S1_PDL_Permanent1OtherUse2</t>
  </si>
  <si>
    <t>S1_PDL_PermanentAmount2</t>
  </si>
  <si>
    <t>S1_PDL_PermanentReqDebtService1</t>
  </si>
  <si>
    <t>S1_PDL_YouthTrainingHours</t>
  </si>
  <si>
    <t>S1_PDL_ConstructionLienPosition3</t>
  </si>
  <si>
    <t>S1_PDL_ConstructionLandAcquisition2</t>
  </si>
  <si>
    <t>S1_PDL_ConstructionBuildingPermits1</t>
  </si>
  <si>
    <t>S1_PDL_ConstructionOnsiteImprovements1</t>
  </si>
  <si>
    <t>S1_PDL_ConstructionInsurance1</t>
  </si>
  <si>
    <t>S1_PDL_ConstructionFinancingFeesInterest1</t>
  </si>
  <si>
    <t>S1_PDL_ConstructionEnvironmentalReports1</t>
  </si>
  <si>
    <t>S1_PDL_ConstructionBridgeLoanPayoff1</t>
  </si>
  <si>
    <t>S1_PDL_Construction1OtherUse</t>
  </si>
  <si>
    <t>Sewer/Water/ Utility Fees</t>
  </si>
  <si>
    <t>S1_PDL_Construction1OtherUse1</t>
  </si>
  <si>
    <t>S1_PDL_Construction2OtherUse</t>
  </si>
  <si>
    <t>S1_PDL_Construction3OtherUse</t>
  </si>
  <si>
    <t>S1_PDL_Construction2OtherUse2</t>
  </si>
  <si>
    <t>S1_PDL_HouseholdIncome3</t>
  </si>
  <si>
    <t>65% AMI</t>
  </si>
  <si>
    <t>S1_PDL_HouseholdIncome4</t>
  </si>
  <si>
    <t>S1_PDL_HouseholdIncome5</t>
  </si>
  <si>
    <t>50% AMI</t>
  </si>
  <si>
    <t>S1_PDL_HouseholdIncome6</t>
  </si>
  <si>
    <t>S1_PDL_UnitCount6</t>
  </si>
  <si>
    <t>S1_PDL_UnitCost3</t>
  </si>
  <si>
    <t>S1_PDL_UnitCost4</t>
  </si>
  <si>
    <t>S1_PDL_UnitCost5</t>
  </si>
  <si>
    <t>S1_PDL_UnitCost6</t>
  </si>
  <si>
    <t>S1_PDL_UnitCount5</t>
  </si>
  <si>
    <t>S1_PDL_UnitCount4</t>
  </si>
  <si>
    <t>S1_PDL_UnitCount3</t>
  </si>
  <si>
    <t>S1_PDL_UnitSqft3</t>
  </si>
  <si>
    <t>S1_PDL_UnitSqft5</t>
  </si>
  <si>
    <t>S1_PDL_UnitSqft4</t>
  </si>
  <si>
    <t>S1_PDL_UnitSqft6</t>
  </si>
  <si>
    <t>S1_PDL_UnitBdrmCount3</t>
  </si>
  <si>
    <t>S1_PDL_UnitBdrmCount4</t>
  </si>
  <si>
    <t>S1_PDL_UnitBdrmCount5</t>
  </si>
  <si>
    <t>S1_PDL_UnitBdrmCount6</t>
  </si>
  <si>
    <t>S1_PDL_UnitBathCount3</t>
  </si>
  <si>
    <t>S1_PDL_UnitBathCount4</t>
  </si>
  <si>
    <t>S1_PDL_UnitBathCount5</t>
  </si>
  <si>
    <t>S1_PDL_UnitBathCount6</t>
  </si>
  <si>
    <t>S1_PDL_SalesDateSource1</t>
  </si>
  <si>
    <t>Cost Estimate</t>
  </si>
  <si>
    <t>S1_PDL_SalesDateSource2</t>
  </si>
  <si>
    <t>S1_PDL_SalesDateSource3</t>
  </si>
  <si>
    <t>S1_PDL_SalesDateSource4</t>
  </si>
  <si>
    <t>S1_PDL_SalesDateSource5</t>
  </si>
  <si>
    <t>S1_PDL_SalesDateSource6</t>
  </si>
  <si>
    <t>Cosr Estimate</t>
  </si>
  <si>
    <t>S1_PDL_LienAmount3</t>
  </si>
  <si>
    <t>S1_PDL_LienAmount4</t>
  </si>
  <si>
    <t>S1_PDL_LienAmount5</t>
  </si>
  <si>
    <t>S1_PDL_LienAmount6</t>
  </si>
  <si>
    <t>S1_PDL_EstimatedSalePrice3</t>
  </si>
  <si>
    <t>S1_PDL_EstimatedSalePrice4</t>
  </si>
  <si>
    <t>S1_PDL_EstimatedSalePrice5</t>
  </si>
  <si>
    <t>S1_PDL_EstimatedSalePrice6</t>
  </si>
  <si>
    <t>S1_PDL_PreDevArchitectural1</t>
  </si>
  <si>
    <t>S1_PDL_PreDevEngineering1</t>
  </si>
  <si>
    <t>S1_PDL_PreDevAmount1</t>
  </si>
  <si>
    <t>S1_PDL_PreDevLandAcquisition4</t>
  </si>
  <si>
    <t>S1_PDL_PreDevFinancingFeesInterest1</t>
  </si>
  <si>
    <t>S1_PDL_PreDevEnvironmentalReports1</t>
  </si>
  <si>
    <t>S1_PDL_PreDevTaxes4</t>
  </si>
  <si>
    <t>S1_PDL_PreDevTaxes1</t>
  </si>
  <si>
    <t>S1_PDL_PreDevEscrowFees1</t>
  </si>
  <si>
    <t>S1_PDL_PreDevEscrowFees4</t>
  </si>
  <si>
    <t>S1_PDL_PreDev1OtherUse</t>
  </si>
  <si>
    <t>Supervision &amp; Overhead</t>
  </si>
  <si>
    <t>S1_PDL_PreDev1OtherUse4</t>
  </si>
  <si>
    <t>S1_PDL_PreDevAmount4</t>
  </si>
  <si>
    <t>S1_PDL_PreDevFinancingFeesInterest4</t>
  </si>
  <si>
    <t>S1_PDL_ConstructionCommitted3</t>
  </si>
  <si>
    <t>S1_PDL_ConstructionCommitted4</t>
  </si>
  <si>
    <t>S1_PDL_ConstructionLienPosition4</t>
  </si>
  <si>
    <t>S1_PDL_ConstructionRate3</t>
  </si>
  <si>
    <t>S1_PDL_ConstructionLienPosition5</t>
  </si>
  <si>
    <t>S1_PDL_ConstructionCommitted5</t>
  </si>
  <si>
    <t>S1_PDL_ConstructionRate4</t>
  </si>
  <si>
    <t>S1_PDL_ConstructionRate5</t>
  </si>
  <si>
    <t>S1_PDL_ConstructionAmount5</t>
  </si>
  <si>
    <t>S1_PDL_ConstructionAmount3</t>
  </si>
  <si>
    <t>S1_PDL_Construction2OtherUse4</t>
  </si>
  <si>
    <t>S1_PDL_Construction2OtherUse3</t>
  </si>
  <si>
    <t>S1_PDL_ConstructionAmount4</t>
  </si>
  <si>
    <t>S1_PDL_ConstructionAmount2</t>
  </si>
  <si>
    <t>S1_PDL_Construction3OtherUse5</t>
  </si>
  <si>
    <t xml:space="preserve">An Affordable Housing Farmworker Housing Market Study of the Santa Maria Market Area was completed in December 2020 by Laurin Associates and Raney Planning Management, Inc. for one of PSHH’s rental rehabilitation projects.  The Santa Maria Market area includes the city and surrounding area west to Guadalupe 6 miles to the west.  Most of the following data was extracted from that report._x000D_
_x000D_
According to the Santa Barbara Ag Commissioner, the primary crops in the area are: strawberries, wine grapes, nursery crops, cauliflower and head lettuce.  The Agricultural Commissioner states that farmworkers in the industry generally work year-round.  The Agricultural Commissioner also states that in the area, farmworkers generally work 40 hours per week for 50 weeks per year.  Incomes for entry level workers range from $23,420 to $68,880 (with two ag workers employed).  The report concluded that there is demand for 723 units targeting farmworker households in the market area earning up to $131,920.  The report indicates a 0% vacancy rate for rental affordable units.  There are no affordable farmworker housing projects planned in the market area._x000D_
_x000D_
_x000D_
</t>
  </si>
  <si>
    <t>S1_PDL15_CLPAgreement</t>
  </si>
  <si>
    <t>S1_PDL06_ServiceAreaMap</t>
  </si>
  <si>
    <t>S1_PDL_ConstructionTaxes1</t>
  </si>
  <si>
    <t>S1_PDL_Construction3OtherUse4</t>
  </si>
  <si>
    <t>C:\Users\Compw\Desktop\HOSN Applications\HOSN0000086_attachments\0___Application_Workbook__Excel_\2023-HOSN-Application-Workbook 2.22.2023.xlsm</t>
  </si>
  <si>
    <t>California Center for Cooperative Development</t>
  </si>
  <si>
    <t>979 F Street Suite A</t>
  </si>
  <si>
    <t>Davis</t>
  </si>
  <si>
    <t>Elizabeth Kim Coontz</t>
  </si>
  <si>
    <t>info@cccd.coop</t>
  </si>
  <si>
    <t>530-297-1032</t>
  </si>
  <si>
    <t>Megan Krekorian</t>
  </si>
  <si>
    <t>Acquistions Manager</t>
  </si>
  <si>
    <t>info@caliroc.org</t>
  </si>
  <si>
    <t>916-760-7025</t>
  </si>
  <si>
    <t>mkrekorian@cccd.coop</t>
  </si>
  <si>
    <t>MK</t>
  </si>
  <si>
    <t>Esperanza</t>
  </si>
  <si>
    <t xml:space="preserve">Communidad Lago Nuevo – 85% agricultural workers, trilingual community. Located in rural designated section of Fresno County. CCCD sponsored residents through contract negotiation with seller, feasibility study, due diligence escrow period, and are currently locating financing for acquisition.  </t>
  </si>
  <si>
    <t>S1_AMH_PreviousProgram2</t>
  </si>
  <si>
    <t xml:space="preserve">La Buena Esperanza - 100% agricultural workers. Located in King City (Monterey County). Most work and communication is in Spanish, and all documents are in Spanish and English. Technical assistance has included governance, assisting with problems with USDA subsidies which occurred when they paid off their loan, mortgage refinance, conducting a reserve study, assisting with obtaining rehab funds, updating their Bylaws, developing policies and election procedures. Projetced started 10/01/2015  </t>
  </si>
  <si>
    <t>S1_AMH_PreviousProgramUnits2</t>
  </si>
  <si>
    <t>S1_AMH_PreviousProgramStart2</t>
  </si>
  <si>
    <t>S1_AMH_PreviousProgramEnd2</t>
  </si>
  <si>
    <t>S1_AMH_PreviousProgram3</t>
  </si>
  <si>
    <t xml:space="preserve">Cooperativa Santa Elena – 94% agricultural workers. Located in Soledad (Monterey County). Most work and communication is in Spanish, and all documents are in Spanish and English. Technical assistance has included governance support, obtaining share loan financing, a reserve study, financial training, and updating bylaws. Projected started 10/01/2017 </t>
  </si>
  <si>
    <t>S1_AMH_PreviousProgramUnits3</t>
  </si>
  <si>
    <t>S1_AMH_PreviousProgramStart3</t>
  </si>
  <si>
    <t>S1_AMH_PreviousProgramEnd3</t>
  </si>
  <si>
    <t>S1_AMH_PreviousProgram4</t>
  </si>
  <si>
    <t>San Jerardo Cooperative – 85% agricultural workers. Located in rural Salinas (Monterey County). Most work and communication is in Spanish, and all documents are in Spanish and English. Technical assistance has included governance support, Updating Bylaws, Policy development, and assisting with remedying contaminated drinking water, which was so bad that residents were advised to use bottled water for all uses (including bathing). To address the water issues we helped develop a team of advisors from Cal Poly, UC Berkeley and legal advisors, then helped them through the process of obtaining the right to own and operate their own water and waste water treatment facility, as well as navigating its construction.   Projected started 10/01/2014</t>
  </si>
  <si>
    <t>S1_AMH_PreviousProgramUnits4</t>
  </si>
  <si>
    <t>S1_AMH_PreviousProgramStart4</t>
  </si>
  <si>
    <t>S1_AMH_PreviousProgramEnd4</t>
  </si>
  <si>
    <t xml:space="preserve">Mobile Home Site Preservation through Resident Owned Communities _x000D_
_x000D_
This program’s primary goal is to prevent Lower-income farmworker displacement from mobile home parks and/or communities by helping them purchase their sites (Section 404.2.c. Eligible Costs). Homeowners in mobile home communities own their homes but rent the site on which their homes are placed from a profit-seeking investor.  Owning a home on a rented site leaves homeowners vulnerable to excessive site rent increases, exposure to health and safety risks due to dis-investment, and loss of home and community due to changes in land use.    _x000D_
_x000D_
However, for nearly 40 years, mobile homeowners have been working together to purchase their sites by becoming a Resident Owned Community (ROC). This permanently removes the entire community from the speculative real estate market and creates long-term stability in their costs.  Resident Owned Communities align ownership of the sites and the homes and has been shown to stabilize housing, improve individual home values, lower community operation costs and increase peoples’ sense of security (2006, University of New Hampshire). Once a community has entered escrow in this program, historically there is a 99.8% chance of the project completing and becoming a Resident Owned Community.  _x000D_
_x000D_
The program launched in May 2008, and has successfully assisted residents in purchasing and maintaining 304 communities in 12 states. The home site preservation program entered California in late 2019 and primarily was focused on homeowners who fit one of the following categories: senior (55+), socially-disadvantaged, located in rural designated areas, or lower-income (less than 80% median income). Our work since 2019 has revealed that many homesites we targeted are in Agriculture-based Counties and house a large number of farmworkers who were struggling to stay in their homes. For this reason, our program has expanded to target farmworker housing sites.  _x000D_
_x000D_
This program offers mobile homeowners forgivable and assumable loans to help purchase the site their home is attached to, and secure stability through a Resident Owned Community. Eligibility for the loan is restricted to low-income farmworker mobile home owners located in parks in that are either rural, or within a High-Resource or Highest-Resource area, as identified on the Department Opportunity Area Map.  _x000D_
_x000D_
Historically this program has leveraged funds to maximize the program success. The primary source of funding for has been through loans through ROC USA Capital (a CDFI), however HOME funds, USDA funds, and foundation grants such as the California Endowment have been leveraged to maintain affordability for the farmworkers. _x000D_
_x000D_
Serna financing will be provided to homeowner applicants for site purchase in the form of a loan at a 0.00% fixed rate of interest, secured by the land for 20 years, and after 10 years 10 percent of the original principal is forgiven every year. The loans will be assumable by a new homeowner if they meet the income and employment criteria. The maximum loan limit will be $150,000 per household.  _x000D_
_x000D_
 The Mobile Home Site Preservation Program has been designed to help meet the following objectives: _x000D_
_x000D_
 1) Address farmworker and migrant farm worker housing needs; _x000D_
_x000D_
2) Mitigate the displacement of farm workers through potential speculation by an investor or investor group;  _x000D_
_x000D_
3) Maintain housing affordability and security for agricultural workers. _x000D_
_x000D_
Income Level of Households _x000D_
_x000D_
In order to be considered for funding, homeowners must meet certain criteria requirements. If any of the requirements are not met at the time of final application review, the loan will not be completed. The requirements are summarized as follows: _x000D_
_x000D_
1) The applicant must own and occupy the mobile home and provide verification of ownership; _x000D_
_x000D_
2) The park in which the home is located must be in a community that is currently in escrow and will become a Resident Owned Community. Funds will only be released at close of escrow; _x000D_
_x000D_
3) The maximum loan limit will be $150,000; _x000D_
_x000D_
4) The applicant must have an eligible income not to exceed 80% of median area income for the County, adjusted for family size; _x000D_
_x000D_
5) The applicant must be employed in an agricultural-based job. _x000D_
_x000D_
Should the applicant meet the minimum criteria requirements, then the applicant will be required to agree to the following: _x000D_
_x000D_
1) Financial assistance will be limited to the amount necessary to cover that portion of the site loan if lower than the maximum loan limit. In a community where half of the residents meet the programs minimum criteria, only 50% of the sites acquisition costs can be covered by this program; _x000D_
_x000D_
2) Financial assistance will be limited to the identified gap in financing required to complete the project; _x000D_
_x000D_
3) Loans will be principal only and shall not have any interest attached; _x000D_
_x000D_
4) Loan principal will be deferred until such time the mobile home site in question transfers ownership, except if the new owner/buyer meets minimum criteria requirements, if the new buyer does not meet the criteria, then the remaining unforgiven principal shall be due and payable; _x000D_
_x000D_
5) Loans shall be due and payable in twenty (20) years, with 10 percent of the original principal to be forgiven annually for each additional year beyond the 10th year that the homesite is continuously occupied by the borrower; _x000D_
_x000D_
6) Loans shall be assumable; all applicants must meet the program and eligibility criteria; _x000D_
_x000D_
7) Borrowers will maintain their site and home in compliance with all federal and state law and regulations and local ordinances for the duration of the loan term; _x000D_
_x000D_
Experience with Program Type _x000D_
_x000D_
CCCD Resident Owned Community activity: Agricultural Worker housing _x000D_
_x000D_
For more than eight years CCCD has been actively engaged in marketing to and working with farmworker housing. Our work has included addressing challenges, such as contaminated water, securing property management and maintaining regulatory compliance. _x000D_
_x000D_
Most of this work has been with farmworker housing cooperatives in Monterey County. We assisted San Jerardo Cooperative in addressing serious water contamination issues. The effects of the contamination resulted in skin rashes and illness, and finally a prescription to use only bottled water.  _x000D_
_x000D_
Since March 2021, CCCD has worked with the homeowners at the Shady Lakes Mobile Home Park in Fresno to purchase their sites from an investor owner. The majority of the homeowners in this community have head of households that are migrant farmworkers whose families live in Shady Lakes year-round. Nearly half of the residents have stepped forward hoping for assistance from this program. This community is slated to receive some local Fresno County HUD HOME reinvestment funds, ROC USA Capital, but also needs additional support from Serna-backed funding to make the project financially feasible for the homeowners. _x000D_
_x000D_
CCCD Resident Owned Community: non-agricultural activity _x000D_
_x000D_
CCCD assisted 132 home sites in Mendocino County become a Resident Owned Community. The senior living community was threatened when the current owners put the manufactured home on the market. Residents are seniors who are very low, low and moderate income; 41 households in the community have incomes 80% or less below the AMI in the area. _x000D_
_x000D_
Escrow on the purchase closed in 2021; before closing we assisted in all parts of the transactions, from developing a proforma, securing pre-purchase due-diligence, securing insurance and a contract with a property management company. Since closing CCCD has assisted the community with budgeting, contract and loan compliance, governance and other matters. CCCD also maintains a rental support program to assist income-eligible members of the community. _x000D_
_x000D_
CCCD is assisting residents in Los Angeles develop a limited equity housing cooperative on a community land trust.  CCCD is also assisting the Community Land Trust develop processes for helping residents in future buildings purchase and govern their housing as a resident owned community. _x000D_
_x000D_
ROC USA activity _x000D_
_x000D_
Following over a year of discussions, and completion of requirements, such as a business plan, CCCD signed a network agreement with ROC USA. This agreement brought ROC USA systems, experience and the opportunity of funding through ROC USA Capital to Manufactured Home residents in California. ROC USA works with and through state or region-based non-profits, who are “Certified Technical Assistance Providers,” that are referred to as CTAPS, to realize its mission. Currently the network includes 13 CTAPS. _x000D_
_x000D_
ROC USA is a non-profit developed to help homeowners gain economic security through resident ownership of their manufactured home community. To date, this housing preservation program has helped 21,535 homesites in 304 communities in 21 states realize housing security through resident ownership. Of these, 5,556 homesites in 52 communities are senior designated. Every 25 days, a new Resident Owned Community is formed across the nation, illustrating the strength of this program to move projects from development through close. In these communities, on average 82.1% of the homeowners were below 80% of median income of their local area, 56.8% were below 50% median income and 28.50% were at or below extremely low income. To date, the state of California has had the highest cost per homesite even though the homeowners frequently do not show more income than residents in other states, which heightens the need from financial support from programs like Serna. _x000D_
_x000D_
CCCD is able to embrace the experience of ROC USA, as our agreement includes professional development and consultations on every potential transaction. The agreement we have with ROC USA also obligates CCCD to provide intensive technical assistance to resident owned communities for a minimum period of 10 years, post purchase. _x000D_
_x000D_
CCCD Expertise with Agricultural Workers in Business    _x000D_
_x000D_
Resident Owned Communities empower residents not only through acquiring the land under their homes for long term stability, but also through the business skills gained through the process. Best business practices are taught to residents and reinforced through the technical assistance provided by CCCD.  CCCD works with the resident elected board from hiring professional property managers to working with certified public accounts, residents are guided through ownership, organizational communication and board governance. _x000D_
_x000D_
CCCD has an extensive history working with agricultural workers and business. Most of this work has been supported by two USDA grants: The Rural Communities Development Grant (RCDG) and the Socially Disadvantaged Groups Grant (SDGG).  _x000D_
_x000D_
Since 2008 CCCD has used the RCDG program to support farmworkers in ways such as assisting sheep herders in forming a cooperative to expand their market and income, helping dairy farmers access methane digester services to help them mitigate climate change, and helping a rural community implement residential and business waste compost services.  _x000D_
_x000D_
With SDGG funds since 2012, CCCD has helped farm workers by providing technical assistance to farmers, farmers-in-training, prospective agriculture cooperatives, housing cooperatives, food hub cooperatives, worker cooperatives, and mobile home park cooperatives. These proposals were all conceived with emphasis towards rural community strength through joining together to build and maintain local initiatives. _x000D_
_x000D_
CCCD’s staff provide trainings in effective business and governance practices, and also partners in selected areas, to assist in teaching farming skills to Black, Latino, Asian, and Native American farmers, and to improve housing quality and affordability. _x000D_
_x000D_
Location of Activities _x000D_
_x000D_
Our program targets Counties that have the highest number of farmworkers combined with the largest numbers of manufactured housing communities. The primary goal in helping residents is to initiate resident ownership in communities that have not been acquired by large commercial investors. Such communities are called “Mom &amp; Pop” owned as they are typically owned by a single family, and those we try to identify are those with owners who are nearing retirement age and ready to sell. Communities who have already been purchased by commercial investors, since that typically results in steep space rent increases which often results in a large turnover of residents.  _x000D_
_x000D_
Fresno County is our first active County. While Fresno serves as the economic hub of the San Joaquin Valley, the unincorporated areas of the region are largely agriculture driven. Per capita income has increased every year for the past 8 years in the City of Fresno, from $34,539 in 2012 to $48,495 in 2020 (40.4% growth). This is double the US national average per capita personal income growth of just 19.9% ($44,614 in 2012 to $53,504 eight years later per the U.S. Bureau of Economic Analysis).  _x000D_
_x000D_
This is largely due to the population growth as home owners and renters flee the expensive San Francisco Bay area and Los Angeles Metropolitan market. According to the Fresno Bee, Fresno has gained more than 78,000 residents since 2010. The influx in demand for housing has contributed to significant rent growth in the area causing rent to grow by 8.9%.  _x000D_
_x000D_
Housing affordability in Fresno County per the California Association of Realtors is at 30% affordability with minimum qualifying income of $101,600 for the Median Home price of $399,000 in the fourth quarter of 2022. The percent of Households in renter-occupied housing in Fresno with incomes below 80 percent of AMI, as reported in the most recent HUD Comprehensive Housing Affordability Strategy U.S. Census Bureau American Community Survey (HUD CHAS) data, is 67.8%. The percent of renter-occupied housing units with more than 1.5 occupants per room, as reported in the most recent HUD CHAS data, is 5.1%. The percent of rental housing units that are currently vacant, as reported in the most recent HUD CHAS data, is about 3.6%.  _x000D_
_x000D_
Despite undergoing increased urbanization in recent years, the greater Fresno area maintains a strong agricultural economy. This is unsurprising given its location in the Central Valley, which is one of the most productive agricultural regions in the world and produces $17 billion worth of crops annually per the California Water Science Center of the USGS. _x000D_
_x000D_
The State of California Employment Development Department identified 47,700 Total Farm jobs in Fresno County in June of 2022 which accounts for about 11.3% of the entire labor force per the Employment Development Data of the State of California. These figures are similar to those reported for June of 2021 which saw 45,800 jobs for about 11.3% of the labor force. The percentage of workers in farm jobs in Fresno County far exceeds that for the State of California as a whole, which only saw 2.3% of the labor force in farm jobs in June, 2022.  _x000D_
_x000D_
Here is an excerpt from the Fresno County 2015 Regional Plan for Addressing Housing Needs: “Farmworkers have the lowest family income and the highest poverty rate of any occupation surveyed by the Census Bureau and, therefore, cannot afford to pay for adequate housing. According to California Employment Development Department, the median wage for farmworkers was $9.02/hour in 2014 or approximately $18,750 per year for full-time work, which is considered extremely low-income. Many farmworkers are forced to pay market rate for their housing, since most farm owners do not provide housing for their workers, and many publicly-owned or managed housing complexes are restricted to families. Because market rate housing may be more than they can afford, many workers are forced to share a housing unit with several other workers, causing a severely overcrowded living situation.” _x000D_
_x000D_
There is no rent control in Fresno County; however, it is currently being considered for rural areas of the County, including where our first actively targeted community is located. This consideration is largely a response to the current situation at the Shady Lakes Mobile Home Park. After being purchased by a commercial investor, site rents doubled in 3 years. Homeowners at the majority farmworker community have struggled to stay in their homes and has started to see many people lose their homes. Their experience illustrates the vulnerability of the typical owner of a manufactured (“mobile”) home.  When the resident is unable to meet the rising space rent costs, they are often forced to abandon the home, even if they own it outright.  _x000D_
_x000D_
Mobile or manufactured homes are not designed to be moved more than one time. Moving them more than once creates multiple structural issues. However, it is the cost to move a home which is prohibitive add that to the difficulty in locating empty sites to move the home to. In California, the cost to prepare the home for movement, transportation and the final set up of the home can range from $17,000-30,000. Most park residents do not have the cash saved to cover this cost or the credit available.  _x000D_
_x000D_
Consequently, residents who face eviction due the inability to cover increasing site rent also lose their home as they are forced to abandon the home, or allow the landlord to take the home. Some try to sell the home but often can’t afford to continue paying the site rent during the sale process and sell the home at a steep discount to the landlord or give it away to avoid eviction. Such a loss can result in homelessness or vulnerability because once their homes are lost, displaced families are unlikely to find comparable housing costs elsewhere. _x000D_
_x000D_
From our own independent research, vacancy rates for Fresno mobile home parks in particular are extremely low (1.1%). At Shady Lakes specifically, there were no vacant homes or spaces prior to a small number of recent evictions due to the rapid site rent increase by the new investor landlord. In this community there are 30 home sites out of 63 sites already targeted for this program. Shady Lakes Mobile Home Park is located in a USDA-designated rural area approximately 8 miles south-southeast of downtown Fresno as well as a HUD designated Opportunity Zone. The investor landlord is waiting on proof of funds available for contract to sell the community to residents. _x000D_
_x000D_
Financing Sources and Uses _x000D_
_x000D_
As the cost per site in California is extremely high, for homeowners to participate in site purchase to become a Resident Owned Community, multiple sources of funds are utilized.  _x000D_
_x000D_
ROC USA Capital  _x000D_
_x000D_
ROC USA Capital finances eligible manufactured housing projects from network members like CCCD; this will be a key source in Serna supported projects. As a Community Development Financial Institution (CDFI) with the sole purpose of funding this type of project, they have financed 103 resident owned communities with an average loan of $2.6 million since 2007 when they launched with support of the FORD Foundation. The As a non-profit CDFI, ROC USA Capital provides low-rate permanent acquisition loans, as well as loans for pre-development and upfront due diligence costs which means homeowners who want to buy their sites in a for-sale community can borrow money to hire outside experts to assess the community from the financial feasibility to the state of the infrastructure before deciding whether to buy. If they end up deciding against buying, the pre-development loan is forgiven.  _x000D_
_x000D_
These special pre-development loans from ROC USA Capital are intended to pay for all due diligence expenses, including legal fees, contractor fees, escrow fees, earnest money deposit, translation services, appraisal, inspection fees and any other professional fees/studies that are needed to educate the homeowners before the purchase. Aside from the Pre-Development loans that are currently supported by the California Endowment, ROC USA Capital acquisition financing is brought in to supplement projects when grant or other low to zero percent financing programs are exhausted. _x000D_
_x000D_
HOME Investment Partnership American Rescue Plan (HOME-ARP) in Fresno  _x000D_
_x000D_
The County of Fresno (County) is an ongoing recipient of HOME Investment Partnership American Rescue Plan (HOME-ARP) funds by the U.S. Department of Housing and Urban Development (HUD) to reduce homelessness and increase housing stability in qualifying populations. Populations that qualify for funding are, among other groups: the homeless, those at risk of homelessness, and those fleeing various forms of violence &amp; assault. Eligible uses of HOME funds include acquiring and/or rehabilitating affordable rental housing, assisting homeless prevention services, and paying for administrative fees that qualify. The current targeted community, Shady Lakes, in Fresno is slated to receive $2M in reinvestment HOME funds that help the low income who are not farmworkers in the community purchase their sites.  _x000D_
_x000D_
Manufactured Housing Opportunity &amp; Revitalization Program (MORE)  _x000D_
_x000D_
MORE is a program of the State of California that is intended to finance the acquisition, conversion, rehabilitation, and replacement of mobile home parks and individual mobile homes to preserve them as a source of affordable homeownership. The program also provides loans to, among other things, replace infrastructure like roads, water systems, and sewer systems. This program is expected to open in late Spring. Shady Lakes in Fresno will not access these funding sources dure to the timing a funds availability, but other communities will. _x000D_
_x000D_
California Endowment  _x000D_
_x000D_
The California Endowment is a private non-profit, statewide foundation whose mission is to expand access to affordable, quality health care for underserved individuals and communities and to promote fundamental improvements in the health status of all Californians. Since inception in 1996, the Endowment has awarded more than 22,000 grants totaling over $2.9 billion to community-based organizations throughout California. The program team was inspired to assist with this work after a site visit at the Shady Lakes Mobile Home Park and speaking with the homeowners. California Endowment funds help cover due diligence costs such as inspections, appraisals, reports and any pre-purchase items to help reduce financing costs for homeowners. _x000D_
_x000D_
Other grants from foundations like the Catholic Campaign for Human Development will also be pursued. _x000D_
_x000D_
Shady Lakes is also receiving pro bono legal business and real estate services from the Legal Clinic of the University of Irvine (approximately $25k) and translation services from the California Rural Legal Assistance. _x000D_
_x000D_
Contributed Labor _x000D_
_x000D_
While there are no hands-on “building” activities in these projects, homeowners do actively participate in the purchase process and the decision making both before and after it is a Resident Owned Community.  Resident volunteers work alongside the Sponsor to help through the due diligence period before the sites are purchased. They participate by either joining the Resident Board of Directors or one of the committees to help govern or run the business of the community.  _x000D_
_x000D_
Resident Volunteer Board  _x000D_
_x000D_
The board is made up of elected residents and is empowered by the community to direct the affairs of the community. Three main charges for the Boards include fiduciary duty, duty of loyalty and duty of care. As trustees of the business, board members have a special relationship to the community to make business decisions focused only on what benefits the homeowners. _x000D_
_x000D_
Resident Volunteer Committees  _x000D_
_x000D_
Committee members act in an advisory capacity and do the leg work to gather information and present it to the board to assist with decision-making. Typically, committees are comprised of community members that have a specific interest or background that is relevant to the project at hand. _x000D_
_x000D_
The forming of standing committees to oversee certain constant aspects of association business (landscaping or planning events, for example) or ad hoc committees focused on shepherding through one single project (like a facade renovation or acquisition of the property) can go a long way toward alleviating the burden for the board. Creating ad hoc committees to assist the board with projects such as revising rules and regulations, or remodeling the common spaces, are invaluable. </t>
  </si>
  <si>
    <t xml:space="preserve">Program Marketing _x000D_
_x000D_
CCCD has an active marketing program in place for the Resident Owned Community Program using direct mail, local presentations, networking with local authorities and government representatives, as well as networking with local service-based nonprofits in housing, law, and low-income assistance. This program will be expanded to include information targeted at farmworkers and farmworker communities. Through our work with the Shady Lakes community, we have connected with and shared resources with multiple farmworker groups. _x000D_
_x000D_
Applicant Eligibility  _x000D_
_x000D_
As ROC USA Capital is a CDFI and requires monitoring of income levels for use of funds, homeowners are already surveyed in the development phase for the household’s income-eligibility.  For the Serna backed program, the surveys are getting updated to include agriculture worker status. _x000D_
_x000D_
Grant management plan _x000D_
_x000D_
CCCD will be the lender, as it's the recipient of the funds.  ROC USA Capital will be an Administrative Contractor providing lending services. With ROC USA Captial’s CDFI designation and use of multiple grant sources, careful and consistent monitoring from application of homeowners to annual loan compliance is done through existing systems. CCCD will approve, make, and monitor loans.  It will rely on services and experience of ROC US Capital to do so.  _x000D_
_x000D_
ROC USA Capital will: _x000D_
_x000D_
1) Close the loan, including review of documents _x000D_
2) Hold executed copies of relevant loan documents   _x000D_
3) Collects interest, and principal from borrower (s) if any _x000D_
4) Monitor borrowers escrow deposits and approve releases from escrows (includes property and liability insurance, property tax) _x000D_
5) Track and report principal and interest payments and principal balances.  Calculate pay off amounts if appropriate using existing software, FICS Loan Servicing Software. _x000D_
6) Monitor borrower performance, assess operational and financial sustainability / security of borrower _x000D_
7) Monitor condition and security of any collateral securing the loan _x000D_
8) Track compliance with loan covenants and take reasonable steps to remediate deficiencies and delinquencies _x000D_
9) Periodically reports summary of the above to entities providing lending funds (according to their practice and needs) _x000D_
10) At completion or payoff of loan, deed is reconveyed and title is cleared of secured loan _x000D_
_x000D_
For loan compliance reporting, both SalesForce reporting, FICS Loan Servicing Software, as well as a secured online document sharing service are utilized in conjunction to report to both the homeowners as well as lenders. _x000D_
_x000D_
All acquisition loans will be handled and paid through escrow.  _x000D_
_x000D_
Monitoring owner occupancy by agriculture worker status will be done through annual self-verification surveys and income verification through paystub submission. A contracted professional property management company will help track any homes that are for sale as well as the recorded resale restriction on the land to restrict sale of agriculture workers sites to agricultural workers or trigger repayment on eligible home sites.  _x000D_
_x000D_
CCCD agrees to monitor an ensure timely payment of property taxes, fees &amp; other assessments, processing demands, collection of defaults, and grant disbursement tracking and reporting, ensure resale restrictions are in place, comply with nonprofit status requirements, and enter into a 20-year monitoring agreement with HCD.  _x000D_
_x000D_
CCCD agrees to submit to the department, no late than 30 days after the end of each calendar quarter, a performance report addressing compliance with section §602: number of units assisted, description of any issues encountered and course of action taken to address them, description of actions taken to meet program expenditure deadlines and a summary of program fiscal status. This report will also include description of activities to be undertaken in next reporting period.  No later than 30 days after June 30 of each year an annual performance report will be submitted including: number of Units assisted with Program Loans by Program Activity type, amount of Program funds spent on Program eligible activities by category; summary of fiscal status for the reporting period (award amount, funds drawn as of June 30, and remaining balance). _x000D_
_x000D_
CCCD maintains a written nondiscrimination policy, ensures all projects are Fair Housing compliant and property managers are licensed. </t>
  </si>
  <si>
    <t xml:space="preserve">The State of California Employment Development Department identified 47,700 Total Farm jobs in Fresno County in June of 2022 which accounts for about 11.3% of Fresno’s entire labor force. These figures are similar to those reported for June of 2021 which saw 45,800 jobs for about 11.3% of the labor force. The percentage of workers in farm jobs in Fresno County far exceeds that for the State of California as a whole, which only saw 2.3% of the labor force in farm jobs in June, 2022. Fresno County alone, in 2021, employed over 10% of all farmworkers in the state.  _x000D_
_x000D_
As reported in the 2015 Regional Plan for Addressing Housing Needs in Fresno County: “Farmworkers have the lowest family income and the highest poverty rate of any occupation surveyed by the Census Bureau and, therefore, cannot afford to pay for adequate housing. According to California Employment Development Department, the median wage for farmworkers was $9.02/hour in 2014 or approximately $18,750 per year for full-time work, which is considered extremely low-income. Many farmworkers are forced to pay market rate for their housing, since most farm owners do not provide housing for their workers, and many publicly-owned or managed housing complexes are restricted to families. Because market rate housing may be more than they can afford, many workers are forced to share a housing unit with several other workers, causing a severely overcrowded living situation.”  _x000D_
_x000D_
Further, and according to Appendix L of the 2001 Fresno County Regional Housing Needs Allocation Plan, “farmworkers have the lowest family income of any occupation surveyed by the Census Bureau and the highest poverty rate of any surveyed occupation. Farmworkers ... are second from the lowest, after the private housekeeper occupation, in home ownership.” “In many cases, workers today spend 25 to 35 percent of their wages on housing and rides to work.”  _x000D_
_x000D_
“In the city of Parlier in Fresno County, the mayor has said that the population expands from 9,500 to 13,000 each summer as workers arrive from Mexico. Migrants rely on friends, relatives or labor contractors to arrange housing. Oftentimes, with so many men sharing apartments, two to four times the normal rent is generated for the landlord. Furthermore, the shortage of temporary housing for farmworkers in rural areas encourages many to commute long distances from the housing that they find. These long commutes can contribute to the air quality problems that exist in Fresno County and the San Joaquin Valley.” “Within Fresno County there are 4,630 federally-assisted multifamily housing units, of which 3,156 are Section 8. Of the 4,630 units, 2,460 are units at risk, while 1,401 are low risk of conversion to market rate housing.”  _x000D_
_x000D_
Most farmworkers in California are renters. As reported by the California Findings from the National Agricultural Workers Survey (NAWS), “in 2015–2019, more than half of all California farmworkers reported that they lived in housing that they rented from someone other than their employer (67%); 21 percent of workers said they lived in a home owned by themselves or a family member; 2 percent said they paid rent for housing provided by the government, a charity, or other organization; and 9 percent of workers lived in employer-provided housing.” During that same time period, “more than half of California farmworkers reported living in detached, single-family houses (57%), 12 percent said they lived in mobile homes, and another 27 percent lived in apartments. The remaining 4 percent lived in other types of housing.”  _x000D_
_x000D_
Due to the fact that Fresno County employs a large number of Agricultural Workers, many of whom make substantially less income than the local average median income, and that affordable farmworker housing is at risk of conversion to market rate housing, it is clear that there is a strong market for Agricultural Housing in Fresno County. </t>
  </si>
  <si>
    <t>C:\Users\Compw\Desktop\HOSN Applications\HOSN0000138_attachments\0___Application_Workbook__Excel_\2023-HOSN-Application-Workbook 2.22.2023.xlsm</t>
  </si>
  <si>
    <t>City of Arcata</t>
  </si>
  <si>
    <t>736 F Street</t>
  </si>
  <si>
    <t>Susan Diehl McCarthy</t>
  </si>
  <si>
    <t>sdiehlmccarthy@cityofarcata.org</t>
  </si>
  <si>
    <t>707-825-2168</t>
  </si>
  <si>
    <t>Community Development Specialist</t>
  </si>
  <si>
    <t>Arcata</t>
  </si>
  <si>
    <t>David Loya</t>
  </si>
  <si>
    <t>dloya@cityofarcata.org</t>
  </si>
  <si>
    <t>707-825-2045</t>
  </si>
  <si>
    <t>Director, Community Development</t>
  </si>
  <si>
    <t>sdmc</t>
  </si>
  <si>
    <t xml:space="preserve">The City’s CalHome Program administration dovetails neatly with its existing homebuyer ownership programs, as amended for CalHome requirements.  Details of the plan can be found in the City of Arcata CalHome Homebuyer Assistance Guidelines 02-27-23 (a draft is included with this application).  Program administration consists of:_x000D_
•	Marketing the program to target applicants, both directly and through realtors and local lenders.  All marketing will be consistent with the City’s commitment to non-discrimination and conflict of interest policies._x000D_
•	A pre-application process ensures basic eligibility and provides a basis for potential applicants to make an offer on a home._x000D_
•	The application process follows typical grant-based gap financing guidelines, including low-income qualification, requirement for and commitment from a primary lender, minimum borrower contribution, underwriting to specified standards, income and credit documentation, property appraisal, and property inspection, including lead-based paint inspection._x000D_
•	Qualified homebuyer education must be completed by each applicant prior to loan closing._x000D_
•	Closing will require pest clearance, clear property inspection, cash contribution from borrower, review of primary lender loan terms for Program compliance, and loan documentation that protects the City’s interest in the loan.  A policy of title insurance is obtained at closing._x000D_
•	Post-closing activity can be found in the CalHome Loan Servicing Plan.  It consists of management, review, and servicing loans on not less than a monthly basis, including tracking of insurance and property taxes, collections, payoffs, and releases.  _x000D_
•	CalHome reports will be prepared and submitted as required by the Program._x000D_
•	The Reuse Plan describes use of repaid CalHome funds according to the terms of the CalHome Program Guidelines._x000D_
Number of Applicants.  We anticipate assisting five applicants with mortgage assistance for buyers of single-family homes.  We anticipate assisting two applicants with mortgage assistance for manufactured home in permitted mobilehome parks.  Overall, we anticipate assisting seven applicants._x000D_
Anticipated Home Prices.  The City of Arcata has only received applications for homes in a community land trust program over the past four years.  To determine the anticipated purchase price, we took the average sales price of the six loans financed over the last four years.  Using this calculation, we anticipate a price of $211,800 for the homes we will finance._x000D_
_x000D_
To determine the anticipated purchase price of manufactured homes in permitted mobilehome parks, we used the average of five current mobilehome listings in qualified parks.  Using this calculation, we anticipate a price of $158,060 for the manufactured homes we will finance._x000D_
_x000D_
Per-Home Amount of Projected Loans.  Our Guidelines call for advancing 30% of the purchase price of a single family home.  This would result in an estimated loan amount of $63,535 per home.  _x000D_
_x000D_
Manufactured homes are proposed to be financed at a maximum of 40% of the purchase price.  This would result in an estimated loan amount of $63,224 per home.  _x000D_
_x000D_
Manufactured Housing.  We are requesting grant funds for two loans for manufactured homes in a permitted park.  We think this form of housing is an important part of the mix of affordable housing in Arcata.  We work closely with Arcata mobilehome parks with TBRA rental assistance and a Mobilehome Rent Stabilization ordinance, and are keenly aware of the need for financing new manufactured homes in parks for homeowners with non-energy efficient and outdated homes.  There are six permitted mobilehome parks in Arcata._x000D_
</t>
  </si>
  <si>
    <t>Homebuyer Assistance Acquisition Only (HOME Investment Partnerships Program)</t>
  </si>
  <si>
    <t xml:space="preserve">Income Levels.  Eligible households will be a low-income households at or below 80% of the Area Median Income (AMI).  Income shall include that of all household residents greater than 18 years old.  Income will be documented according to Chapter 3, Part 5 of the Income Calculation and Determination Guide for Federal Programs.  _x000D_
_x000D_
City of Arcata Experience.  In addition to the homeownership mortgage assistance loans made over the last four years, the City of Arcata administers a current portfolio of 101 loans dating back to 1993.  These loans have used a variety of funding sources, including HOME Investment Partnerships and CDBG.  We have experience with program marketing to potential home buyers; regulatory requirements for income verification and underwriting, homebuyer education, loan servicing, loan disbursements, reuse accounts (program income); and program reporting._x000D_
_x000D_
The City further has many years of experience in managing other types of state and federal grant programs, including HOME, CDBG, Environmental Protection Agency, Homekey, SB 2, Affordable Housing Sustainable Communities, and Permanent Local Housing Allocation, to name a few. _x000D_
_x000D_
Our draft guidelines and loan documents describe the City of Arcata’s nondiscrimination policy._x000D_
_x000D_
Location of Activities.  Loan activity will be limited to properties within the limits of the City of Arcata.  Located in Humboldt County, the City meets the definition of “rural” under two of the three methods used by the California Tax Credit Allocation Committee (Specified as a non-metropolitan county; and meets small city status with a population under 40,000)._x000D_
</t>
  </si>
  <si>
    <t>C:\Users\Compw\Desktop\HOSN Applications\HOSN0000169_attachments\0___Application_Workbook__Excel_\2023-HOSN-Application-Workbook 2.22.2023.xlsm</t>
  </si>
  <si>
    <t>Ventura County Community Development Corporation</t>
  </si>
  <si>
    <t>2231 Sturgis Road, Ste. A</t>
  </si>
  <si>
    <t>Alex Vega</t>
  </si>
  <si>
    <t>avega@vccdc.org</t>
  </si>
  <si>
    <t>Director of Lending Services</t>
  </si>
  <si>
    <t>Oxnard</t>
  </si>
  <si>
    <t>Bertha Garcia</t>
  </si>
  <si>
    <t>bgarcia@vccdc.org</t>
  </si>
  <si>
    <t>Sylvia Schnopp</t>
  </si>
  <si>
    <t>sschnopp@vccdc.org</t>
  </si>
  <si>
    <t>Director of Fund Development</t>
  </si>
  <si>
    <t xml:space="preserve"> </t>
  </si>
  <si>
    <t>As indicated above, VCCDC has been successful with receiving and disseminating $7M in CalHome Funds, and most recently was awarded an additional $3.3M for the CalHome Disaster Assistance Program – Round 2, of which $1.74M has been funded and deployed since August 2020.  VCCDC has experience and has demonstrated its capacity to comply with all the requirements outlined in 7721 for the local administration and administration as applicable to the CalHome Funding for its First-Time Homebuyer Mortgage Assistance Program. _x000D_
_x000D_
VCCDC is committed to the program and will comply with the requirements by using its systems put in place that help support and ensure the appropriate activities take place, such as marketing the program, determination of a households’ income-eligibility under the income requirements, and compliance with all the requirements pertaining to the CalHome Funding as noted in section 7721.   _x000D_
_x000D_
VCCDC has a strong track record of expending CalHome funds, and according to last year’s site review and audit of our CalHome programs, they resulted in minor recommendations made, which is a testament to our strong work ethic, organizational capacity, and adherence to program guidelines that result in helping clients who need mortgage assistance._x000D_
_x000D_
The VCCDC staff is comprised of twelve professional, licensed, certificated, and clerical individuals. A brief résumé and summary of key staff responsible for CalHome MA follows:_x000D_
_x000D_
Bertha Garcia: Ms. Garcia is Ventura County Community Development Corporation's (VCCDC) Chief Executive Officer and has led VCCDC since its founding in 2001. In 1998, she was instrumental in establishing Cabrillo Economic Development Corporation’s (CEDC) Home Ownership Center. Three years later, that component was spun off by CEDC to become VCCDC, an independently incorporated organization, and in 2007 she was named CEO by the Board. Over the past fifteen years, Ms. Garcia has deepened her knowledge and experience as a non-profit administrator and as the chief architect of VCCDC’s mortgage lending operation. She is a licensed real estate broker and holds her NMLS certificationm and has attended numerous mortgage and homeownership training sessions. She is VCCDC’s Broker of Record. As CEO, Ms. Garcia is responsible for: serving the Board of Directors’ needs for financial and programmatic information on which to base strategic and policy decisions; representing the organization to the broader community; VCCDC's day-to-day operations; ensuring the achievement of corporate goals adopted by the Board; adherence to Board policies and procedures; program development; generating adequate resources to support adopted programs; and for direct supervision and evaluation of management staff.    _x000D_
_x000D_
Alex Vega: Mr. Vega, Director of Lending Services/Mortgage Loan Officer, holds a B.A. in International Business Administration from California State University - Fullerton, and has over 21 years of experience in mortgage financing. He is a licensed real estate broker with the California Bureau of Real Estate (BRE) and is fully endorsed by the National Mortgage Licensing System (NMLS). Mr. Vega is responsible for the operations, supervision, and evaluation of all lending staff and production, and for developing, updating, and monitoring adherence to VCCDC’s lending policies and procedures. He administers the organization’s lending programs, and underwrites subordinate loan files to ensure compatibility with program guidelines and accuracy in form. _x000D_
_x000D_
Marisol Arzola: Ms. Arzola has over 23 years of experience in residential mortgage industry.  She has twelve years of experience as a Transaction Coordinator where she worked closely with loan agents, underwriters, loan processors, and escrow officers to complete the loan closing process. Since 2012 Ms. Arzola has continued to advance and is now the Senior Loan Processor, working closely with borrowers to obtain all documentation needed to complete each loan file prior to submittal for underwriting and funding. She processes both directly funded subordinate loans and brokered first mortgage loans. As the principal processor, funder and closer of VCCDC’s CalHome deferred loan program. In addition, Ms. Arzola is responsible for the servicing and monitoring of VCCDC’s CalHome Loans. VCCDC closed loan files are considered “the standard file of how (audited) files should look like” by our California Housing and Community Development (HUD) auditors. _x000D_
 _x000D_
Ricardo Arosemena: Mr. Arosemena joined the VCCDC team in 2019 as a Mortgage Loan Originator with over 18 years of experience in residential mortgage financing. Since joining VCCDC, he is now the Mortgage Loan Specialist and has gained valuable experience in working with small broker shops, medium sized private banking companies and large national banks allowing him to gain an appreciation of best practices from each company. He has worked with FNMA, FHA , CALHFA, MCC and with a number of municipality down payment assistance programs. _x000D_
_x000D_
Quetzally Gonzalez: Ms. Gonzalez joined VCCDC in May 2021 as a Loan Transaction Coordinator. Before joining VCCDC, Ms. Gonzalez worked in the jewelry industry for nine years responsible for operations, office administration, customer services and completing applications for financing for clients. Her experience in assisting clients with applications for loan approvals, working with clients to obtain financial documents for loan submissions, and working with underwriters to obtain financing for clients’ purchases in a very fast paced environment provides Ms. Gonzalez a strong foundation for her new role as Junior Loan Processor at VCCDC. In the short time Ms. Gonzalez has been with VCCDC, she has already successful assisted over 200 prospective clients to be appointment ready with Mortgage Loan Originators by ensuring they have all the required documents submitted and then processed through our loan origination system. Just recently, Ms. Gonzalez was an important part of the VCCDC team submitting and closing direct funded loans through VCCDC’s own line of credit._x000D_
_x000D_
Overall, VCCDC staff understands the complexity in the housing market and what it takes to assist families in our Target Markets. Since its inception, VCCDC has been successful in increasing the opportunities of many families step into homeownership with our assistance through education, counseling, and lending services; without our assistance many would not have achieved homeownership. By bringing to the table the various resources, VCCDC has been able to eliminate some of the barriers that many low-to-moderate-income families face in becoming homeowners. _x000D_
_x000D_
In conclusion, VCCDC is the only corporation in Ventura/Santa Barbara County and Kern County that focuses on assisting low-income families into homeownership by using more than one service/resource. By awarding VCCDC FY 2023 CalHome Funds First-Time Mortgage Assistance Program, it will continue to provide and offer affordable lending products for families who otherwise may not have an opportunity to purchase a home in these communities.</t>
  </si>
  <si>
    <t>CalHome DR</t>
  </si>
  <si>
    <t>CalHome Re-use</t>
  </si>
  <si>
    <t>Hope to Home DPA Program</t>
  </si>
  <si>
    <t>CDFI-RR</t>
  </si>
  <si>
    <t xml:space="preserve">Ventura County Community Development Corporation (VCCDC) is applying for $5.0 Million in funding to offer the CalHome First-Time Homebuyer Mortgage Assistance Program in Ventura County. The funding will provide 50 deferred loans to eligible households living in Ventura County, CA. The deferred loans will be offered to low- to -moderate-income households at or below eighty percent (80%) of Area Median Income (AMI).  The average home sales price will be $550,000 and maximum mortgage assistance loan amount will be $97,000 for qualified home buyers. _x000D_
 _x000D_
Since 2007, VCCDC has been awarded $10,300,000 in funding for the First-Time Homebuyer Mortgage Assistance Program from the Department of Housing and Community Development for CalHome Program. VCCDC has the experience and excellent track record in administering these funds and assisting eligible homebuyers. Since 2007, VCCDC has funded $11,790,700 in CalHome loans and a total of $3,363,200 was from CalHOME Re-use funds. By reusing these funds, we have the ability to create a multiplier effect, allowing us to reach more LMI households with necessary funding for these families to afford their home purchase._x000D_
_x000D_
During the period 2019-2023, VCCDC funded $3.62M in CalHOME funds that were awarded to 71 first-time homebuyers, and an additional $1.26M in down payment assistance through programs such as Federal Home Loan Bank of San Francisco WISH program, CDFI, and County of Ventura CDBG funding programs._x000D_
_x000D_
VCCDC, a certified CDFI, was incorporated in June 2001 and for over 22 years has worked to increase homeownership and economic stability to the underserved communities of Ventura and Santa Barbara Counties. In 2019, VCCDC expanded its services to Kern County and adjacent areas of Los Angeles County.  VCCDC operates a full-service Home Ownership Center located in the city of Oxnard, California, offering an array of homebuyer education and homeownership counseling services; and provides specialized fixed-rate mortgage products for low- and moderate-income first-time homebuyers._x000D_
_x000D_
VCCDC’s mission is “to strengthen and sustain vibrant communities by empowering individuals and families to build wealth through education and homeownership with a primary focus on serving low-to- moderate income clients.” In 2004, VCCDC received its designation as a certified Community Development Financial Institution (CDFI) from the Department of Treasury and continues to maintain its designation as a certified CDFI._x000D_
_x000D_
VCCDC offers an array of services and is considered a one-stop shop, which includes more than just lending. Lower-income buyers are supported throughout the home ownership process-beginning with home buyer education, counseling, down payment assistance, and consulting for first-time buyers, and if a situation should arise additional counseling is provided for borrowers struggling to remain in their home._x000D_
_x000D_
VCCDC is committed to delivering and providing high quality services, and demonstrates this by maintaining its status as a HUD Approved Housing Counseling Agency, adopter of the National Industry Standards for its Homeownership Education and Counseling Services, a certified Community Development Financial Institution (CDFI), an approved broker with the Nationwide Mortgage Licensing System &amp; Registry (NMLS), and member of Ventura County Coastal Association of Realtors._x000D_
_x000D_
As a result of our commitment, VCCDC has closed an impressive number of mortgage loans, helped  families improve their credit scores and their standard of living, made measurable impacts on neighborhood revitalization by rehabilitating distressed housing and making the refurbished inventory available to families in need, and contributed to improved economic conditions throughout the markets it serves. The organization has been a beacon of responsible lending practices and a provider of safe and appropriate mortgage financing._x000D_
_x000D_
Experience with First-Time Homebuyer Assistance Programs_x000D_
VCCDC has an excellent track record in administering public funds allocated to assist first-time, low- income, and minority homebuyers. Since 2007, VCCDC has been awarded $10.3M in First-Time Homebuyer Mortgage Assistance Program funds from the Department of Housing and Community Development for CalHome Program. It has disseminated $7M in CalHome Funds, and most recently, it was awarded $3.3M for the CalHome Disaster Assistance Program – Round 2. _x000D_
_x000D_
Since January 1, 2007, VCCDC funded 734 first mortgage loans totaling over $187.5M in financing and 437 subordinate loans totaling $25M in financing, which assisted underserved families reach their dream of homeownership. VCCDC has provided over 14,000 prospective homebuyers with education and one- on-one counseling and prevented over $90.4 million in mortgage foreclosure loss through its Home Preservation Counseling._x000D_
_x000D_
VCCDC also partnered with various banks to sponsor and provided access to the Federal Home Loan Bank of San Francisco’s WISH Program. This product has provided up to $15,000 in deferred financing to low- income, first-time homebuyers, and most recently, it has been increased to $29,000. VCCDC’s ability to layer these funds and disseminate these funds has been key for our partner, and although these loans do not appear among the loans directly funded by the organization – they play a critical role in the origination and underwriting process._x000D_
_x000D_
Given VCCDC’s track record and ability to originate, underwrite and fund various types of loans, it has been very successful with establishing and forming numerous partnerships throughout the years with local jurisdictions, financial institutions, developers, and sister non-profits to enhance and increase its effectiveness and impact. It recently expanded its Target Markets to include Santa Barbara County and Kern County/Bakersfield._x000D_
_x000D_
Target Markets_x000D_
Historically, VCCDC's primary serve area was Ventura and Santa Barbara counties. In 2019, VCCDC expanded its service area to include Kern County and Los Angeles County, as part of its 2017-2019 Strategic Plan. This expansion was as a result of the housing crisis and community need for our services in these expanded areas. For the purposes of the CalHOME First-Time Homebuyer Mortgage Assistance Program Application, VCCDC will focus on Ventura County._x000D_
_x000D_
For 2022, based on a family of four, the Area Median Income (80%) for the service areas is as follows:_x000D_
•	Ventura County, Oxnard-Thousand Oaks-Ventura, CA MSA is $100,350._x000D_
_x000D_
Affordability_x000D_
According to the California Association of Realtors, the median home price in Ventura County is $741,500. The median income required to purchase this home after a twenty percent (20%) down payment is $148,300 per year for a $4,413.93 monthly mortgage payment including taxes and insurance based on an effective composite interest rate of six percent (6.0%), debt-to-income ratio of 43% and annual income of $123,000._x000D_
_x000D_
A typical VCCDC client who is low-income, a family of four (4) persons earning $100,350 per year in Ventura County (80% AMI), would have an opportunity to purchase with the support and downpayment assistance available thru VCCDC CalHome Program. Below is a scenario of a family purchasing a home for $550,000 (maximum sales price based on 43% debt-to-income ratio and an interest rate of six percent (6%)) with the following downpayment assistance included in the purchase:_x000D_
_x000D_
Sales Price	$550,000.00_x000D_
CalHome MA	$97,000.00_x000D_
Hope to Home 	$23,000.00_x000D_
FHLBSF WISH	$29,000.00_x000D_
Buyer’s Down	$5,000.00_x000D_
Loan Amount	$396,000.00_x000D_
_x000D_
With a total leveraged down payment assistance of $149,000 along with the $5,000 buyer’s contribution towards downpayment and assuming the same effective composite interest rate of six percent (6%) would generate a $3,044 monthly mortgage payment including taxes and insurance. This would produce a debt-to- income (DTI) ratio of 43%. As a CDFI originator this would meet the Ability-To-Repay (ATR) Rule as well as the Qualified Mortgage standards as published by the Consumer Finance Protection Bureau (CFPB)._x000D_
_x000D_
Lending Production_x000D_
Between February 3, 2019, and December 31, 2022, VCCDC assisted 197 very low and low-to moderate- income families in obtaining homeownership in a high-cost housing market by originating, processing, underwriting and closing 323 homebuyer loans totaling over $71.9M. The 323 closed homebuyer loans include 197 first mortgage loans totaling $67.36M in financing; 52 CalHome subordinate loans totaling $1.814M; 19 CalHOME Disaster Relief subordinate loans totaling $1.807M; 17 Hope to Home forgivable loans totaling $368,000; 40 Workforce Initiative Subsidy for Homeownership (WISH) Program forgivable loans totaling $876,000 in financing; and one VCCDC direct subordinate loan totaling $27,000._x000D_
_x000D_
VCCDC has a strong track record of expending CalHome funds, and according to last year’s site review and audit of our CalHome programs, they resulted in minor recommendations made, which is a testament to our strong work ethic, organizational capacity, and adherence to program guidelines that result in helping clients who need mortgage assistance._x000D_
_x000D_
Capacity/Loan Servicing Experience_x000D_
VCCDC’s Board consists of eleven members who have extensive experience in community development finance, specifically the development and delivery of homeownership financing products. The board provides financial and policy oversight as well as programmatic guidance. The VCCDC staff is comprised of twelve professional, licensed, certificated, and clerical individuals._x000D_
</t>
  </si>
  <si>
    <t>C:\Users\Compw\Desktop\HOSN Applications\HOSN0000254_attachments\0___Application_Workbook__Excel_\Excel Workbook.xlsm</t>
  </si>
  <si>
    <t>City of El Monte</t>
  </si>
  <si>
    <t>11333 Valley Blvd</t>
  </si>
  <si>
    <t>Administrative Contractor</t>
  </si>
  <si>
    <t>El Monte</t>
  </si>
  <si>
    <t>Betty Donavanik</t>
  </si>
  <si>
    <t>bdonavanik@elmonteca.gov</t>
  </si>
  <si>
    <t>626-580-2056</t>
  </si>
  <si>
    <t>Director of Community and Economic Development</t>
  </si>
  <si>
    <t>Alma K. Martinez</t>
  </si>
  <si>
    <t>AKM</t>
  </si>
  <si>
    <t>amartinez@elmonteca.gov</t>
  </si>
  <si>
    <t>626-580-2001</t>
  </si>
  <si>
    <t xml:space="preserve">The City of El Monte entered into a Professional Services Agreement with Avant-Garde, Inc. (AGI) to administer the ADU/JADU program and provide other services as needed in relation to CalHome. The City and AGI understand that CalHome funds must be expended within 36 months from the date the Standard Agreement between the City and HCD is fully executed. _x000D_
_x000D_
As part of the program set up, AGI will: develop policies and procedures for the CalHome funded program; develop program documents including applications, loan agreements, Loan Servicing Plan, Reuse Account Plan, and monitoring agreement; and develop and employ ADU/JADU Program Underwriting Guidelines to submit to HCD for approval. _x000D_
_x000D_
As part of the program implementation, AGI will: Conduct as needed outreach support to promote and market the program; Provide potential households contact information for general and specific questions regarding the program; Coordinate with interested/qualified households; Answer all public inquiries concerning the program; Conduct eligibility review of potential homeowners or ADU loan recipients; Obtain all required documents of income including pay stubs, social security, pensions, tax returns, etc., until all funds are exhausted; Obtain a title report, property profile, or other proof of property ownership; Review appraisals for property eligibility under value limits established pursuant to HCD guidelines; Prepare the information needed to meet the environmental review and CEQA requirements for all assisted properties prior to construction commencing; Take “before and after” photos including work to be done, work in progress, and completed improvements; Ensure that construction or rehabilitation paid with HCD funds conforms to HCD regulations, as applicable, and any other federal or state requirements which are associated with the grant funding source; Conduct property inspections to identify requested work eligibility under the manual guidelines, as well as meeting the City’s Building and Planning Division’s requirements; Prepare work write-ups, describing necessary repairs and improvements including line-item cost estimates; Obtain required signatures, put out to bid, perform bid opening, evaluate bids, etc.; Keep updated Contractors’ list with all eligible requirements including proof of insurance, verification with the Excluded Parties Listing System, and California Contractor’s State License Board; Ensure professional plans are submitted to the Building Division and that contractors obtain permits; Conduct pre-construction conferences with the contractor and homeowner; Monitor construction for compliance with the construction contact program requirements and assure that all work is professional and includes property materials; Conduct final inspections and close out project with all necessary lien releases, notices of completion and Building Inspector’s final; Prepare and provide (with required signatures) all payment requests to City staff, including lien releases, change orders, and all other required documents; Ensure that property warranty information is provided to the homeowner; Collect and report information per each application about the uses of funds at least monthly, including property location and activity, funds budgeted and expended (all funding sources), beginning and ending dates of activities, other data needed to support HCD reporting requirements and performance measures, and income, family composition and other information required to document eligibility; Create project files that meet applicable HCD requirements regarding maintenance of documentation for monitoring and auditing purposes; Update City Staff on a monthly basis or as needed; Prepare CalHome funding requests and quarterly/annual reports as needed; and Coordinate with City Attorney to ensure CalHome program loans originating, underwriting, packaging, and closing are performed in accordance with CalHome program requirements._x000D_
_x000D_
As part of the program monitoring, AGI will: Certify occupancy restrictions, certify tenancy restrictions, and ensure property has the appropriate fire insurance on a yearly basis; Assist with prepayment processing and loan change requests that may arise during the term of this agreement; and Monitor loans up to one year from the date of the issuance of the last CalHome loan, or administer the CalHome Program for four years, whichever is later. _x000D_
_x000D_
As part of the program close-out, AGI will: Provide complete records and project files to the City; Provide a list of projects inclusive of homeowner and loan data to allow City to successfully process loan payoffs; and Provide written procedures for tracking and closing out loans once they are paid off. </t>
  </si>
  <si>
    <t>South Gate Housing Rehab Program</t>
  </si>
  <si>
    <t xml:space="preserve">The City of El Monte is applying for CalHome funds to provide loans for ADU/JADU construction, reconstruction, repair, conversion, or rehabilitation. In accordance with the 2023 Homeownership Super NOFA and CalHome Guidelines, financial assistance provided to qualified households at or below 80 percent of the Area Median Income (AMI) shall be in the form of deferred payment loans of up to $250,000. These loans are to be repayable upon the sale or transfer of the homes, when the home ceases to be owner-occupied, or upon the loan maturity date, whichever comes first. The loan shall be up to a 30-year term. The interest rate will be set by the City at up to 3 percent simple interest per annum. Borrowers shall occupy units as their principal place of residence for the term of the loan. _x000D_
_x000D_
The loans will be used to construct, reconstruct, repair, convert, or rehab up to 8 ADUs/JADUs located within the City of El Monte There is to be no contributed labor associated with this program. _x000D_
_x000D_
The City’s designated Administrative Subcontractor, Avant-Garde, Inc., has extensive experience administering federally funded owner-occupied rehabilitation programs for various municipalities including for El Monte. During the past four years, Avant-Garde has successfully administered federally funded housing rehabilitation projects for more than 70 units. To implement the housing rehabilitation programs, Avant-Garde reviewed applications, performed income eligibility qualifications, obtained appraisals, prepared and coordinated loan/grant agreements, conducted inspections, prepared work write ups and environmental documents, processed payment requests, and kept project files updated with all executed documents. _x000D_
</t>
  </si>
  <si>
    <t xml:space="preserve">The City of El Monte entered into a Professional Services Agreement with Avant-Garde, Inc. (AGI) to administer the mortgage assistance program and provide other services as needed in relation to CalHome. The City and AGI understand that CalHome funds must be expended within 36 months from the date the Standard Agreement between the City and HCD is fully executed. _x000D_
_x000D_
As part of the program set up, AGI will: develop policies and procedures for the CalHome funded program; develop program documents including applications, loan agreements, Loan Servicing Plan, Reuse Account Plan, and monitoring agreement; and develop and employ Mortgage Assistance Program Underwriting Guidelines to submit to HCD for approval. _x000D_
_x000D_
As part of the program implementation, AGI will: Conduct as needed outreach support to promote and market the program; Provide potential homebuyers contact information for general and specific questions regarding the program; Coordinate with interested/qualified households; Answer all public inquiries concerning the program; Conduct eligibility review of potential homebuyers; Obtain all required documents of income including pay stubs, social security, pensions, tax returns, etc., until all funds are exhausted; Provide information and assistance to first-time homebuyers on obtaining the maximum amount of first mortgage financing pursuant to HCD’s underwriting requirements; Ensure each assisted household completes a Homebuyer Education class that meets HCD requirements; Review appraisals for property eligibility under value limits established pursuant to HCD guidelines; If applicable, inspect property to be purchased or review Uniform Residential Appraisal Reports, including valuation conditions, to ensure they conform to State Housing Law requirements; If applicable, ensure the mobile home park has a valid or conditional permit to operate; Create project files that meet applicable HCD requirements regarding maintenance of documentation for monitoring and auditing purposes; Update City Staff on a monthly basis or as needed; Prepare CalHome funding requests and quarterly/annual reports as needed; and Coordinate with City Attorney to ensure CalHome program loans originating, underwriting, packaging, and closing are performed in accordance with CalHome program requirements._x000D_
_x000D_
As part of the program monitoring, AGI will: Certify occupancy restrictions, ensure property tax payments have been made, and ensure property has the appropriate fire insurance on a yearly basis; Assist with prepayment processing and loan change requests that may arise during the term of this agreement; and Monitor loans up to one year from the date of the issuance of the last CalHome loan, or administer the CalHome Program for four years, whichever is later._x000D_
_x000D_
As part of the program close-out, AGI will: Provide complete records and project files to the City; Provide a list of projects inclusive of homebuyer and loan data to allow City to successfully process loan payoffs; and Provide written procedures for tracking and closing out loans once they are paid off. </t>
  </si>
  <si>
    <t xml:space="preserve">The City of El Monte is applying for CalHome funds to provide homeownership opportunities by offering down payment mortgage assistance loans to first-time homebuyers. In accordance with the 2023 Homeownership Super NOFA and CalHome Guidelines, financial assistance provided to households at or below 80 percent of the Area Median Income (AMI) shall be in the form of deferred payment loans of up to $200,000. These loans are to be repayable upon the sale or transfer of the homes, when the home ceases to be owner-occupied, or upon the loan maturity date, whichever comes first. The loan shall be up to a 30-year term. The interest rate will be set by the City at up to 3 percent simple interest per annum. Borrowers shall occupy units as their principal place of residence for the term of the loan._x000D_
_x000D_
The mortgage assistance loans will be used to purchase up to 9 new or existing homes located within the City of El Monte. The anticipated purchase prices will range between $600,000 and $650,000. As there is no housing development associated with this program, contributed labor will not be provided. _x000D_
_x000D_
The City’s designated Administrative Subcontractor, Avant-Garde, Inc., has extensive experience administering federally funded homebuyer programs for various municipalities including for El Monte. Since 2017, Avant-Garde has successfully administered federally funded housing development projects that resulted in mortgage assistance loans for 15 units including the Carob Way, Colegrove, and Maxson Road Housing Developments listed above. Additionally, Avant-Garde is currently administering another seven homebuyer loans for a new housing development project. To implement the homebuyer programs, Avant-Garde reviewed applications, performed income eligibility qualifications, calculated mortgage affordability ratios, prepared and coordinated loan agreements, prepared and coordinated escrow instructions, and kept project files updated with all executed documents. _x000D_
</t>
  </si>
  <si>
    <t>C:\Users\Compw\Desktop\HOSN Applications\HOSN0000260_attachments\0___Application_Workbook__Excel_\2023-HOSN-Application-Workbook.xlsm</t>
  </si>
  <si>
    <t>City of East Palo Alto</t>
  </si>
  <si>
    <t>2415 University Ave</t>
  </si>
  <si>
    <t>East Palo Alto</t>
  </si>
  <si>
    <t>Karen Camacho</t>
  </si>
  <si>
    <t>Housing and Econmic Development Manager</t>
  </si>
  <si>
    <t>kcamacho@cityofepa.org</t>
  </si>
  <si>
    <t>KC</t>
  </si>
  <si>
    <t>CalHome ADU/JADU Program</t>
  </si>
  <si>
    <t>The City of East Palo Alto’s CalHome ADU/JADU Loan Program (Loan Program) takes advantage of a simplified regulatory environment and a local jurisdiction that recognizes the importance of second units to serving the community’s housing needs. _x000D_
_x000D_
The Loan Program forms part of the City’s multi-pronged approach to increasing ADU/JADU production citywide. The City’s local community development corporation and Administrative Subcontractor, East Palo Alto Community Alliance and Neighborhood Development Organization (EPACANDO) received a $750,000 grant from the Packard Foundation to reach every homeowner in the city; offer a language-appropriate physical and financial ADU assessment followed by casework to secure financing, marshal professionals for plans, permits, construction, and rental management. These services are provided to homeowners for free if the household is below 80% AMI ($149,100 for a family of four in San Mateo County) or if the unit to be constructed will be rented to a household below 80% AMI. _x000D_
_x000D_
Over the last two years, EPACANDO has contacted more than 3,500 households through various forms of outreach, including holding ten workshops with over 200 attendees and counseling more than 80 households on different aspects of building an ADU. More than half of these project-ready homeowners can self-fund with savings and conventional financing but will have a gap-- typically 25% to 50% of a total development cost of $250,000 to $400,000. The requested $3M of CalHome loans, coupled with new loan program guidelines and city incentives, would enable 20 (1/4th) of the gap-pending ADUs to follow through. _x000D_
_x000D_
Projects supported through the Loan Program include new construction and rehabilitation of existing unpermitted ADU/JADUs. Based on experience, a majority of existing unpermitted units in EPA are informal garage conversions that can be brought up to code as legal JADUs. Additionally, the City will be amending the code in the Summer of 2023 to support detached unpermitted ADUs or converted structures that violate zoning standards like setbacks, for example._x000D_
_x000D_
To implement this program, we draw upon EPACANDO’s technical expertise as a community development corporation operating in the emerging ADU ecosystem in East Palo Alto. As a leader of the Second Unit Working Group and Second Unit &amp; Anti-Displacement Task Force, EPACANDO has developed the internal capacity and partnerships to assess homeowner readiness, assist with plan development, act as project manager, and navigate unforeseen delays. This extensive experience gained through the past seven years of intensive community-based practice has also allowed EPACANDO to form a network of community practitioners and partners capable and ready to serve homeowners. _x000D_
_x000D_
Together, the City and EPACANDO have put the infrastructure in place to guide low-income homeowners through critical junctures in the process of permitting and building an ADU/JADU. EPACANDO’s uniquely collaborative relationship with the City of East Palo Alto, with a direct line of communication to City staff through monthly meetings, will allow EPACANDO and the City to adapt to challenges as they arise throughout the process efficiently. _x000D_
_x000D_
The City and EPACANDO use the following Workflow for each project in the ADU/JADU program:_x000D_
_x000D_
Workflow_x000D_
The homeowner meets with an EPACANDO for a preliminary assessment of their property for ADU potential.  This comprehensive assessment includes a process overview, ADU types and costs along with financing options.  The standardized assessment template can be customized with the homeowner's details to ensure they have a personalized plan as they review options for ADUs. _x000D_
_x000D_
Financing can be a short or long step in the workflow process. Homeowners that demonstrate financing readiness can move ahead quickly and homeowners that will need some financial literacy and mortgage readiness counseling or credit repair may need to work with certified counselors to gain a lending profile.  EPACANDO performs an initial financial assessment and reviews income documentation_x000D_
_x000D_
After pre-qualification is complete and the homeowner is ready to move ahead, the homeowner can access EPACANDO’s project management team to support them while they select ADU vendors for design and construction.  _x000D_
_x000D_
Once the project management team is identified, EPACANDO helps the homeowner engage a professional for plan submission preparation and permitting to the City._x000D_
_x000D_
The City completes the plan and building code check and issues approval of a permit to begin construction. Comments are addressed by the EPACANDO project management team and resolved.  _x000D_
_x000D_
Once a building permit is issued, the homeowner formally applies for the CalHome ADU/JADU Loan with the help of EPACANDO. Meriwest Mortgage, a subcontractor for EPACANDO, performs the underwriting and communicates with EPACANDO about loan approval. _x000D_
_x000D_
Once loan approval is issued, EPACANDO meets with Homeowner for a pre-construction conference and work begins_x000D_
_x000D_
As work is completed, the homeowner submits draw requests per a draw schedule to EPACANDO. The draw schedule is then forwarded to the City for approval, and the authorization is sent to Meriwest for disbursement. _x000D_
_x000D_
The contractor completes the work._x000D_
_x000D_
EPACANDO, City, and the Homeowner complete the final review of the work._x000D_
_x000D_
EPACANDO guides the homeowner for the lease-up of the new unit._x000D_
_x000D_
The City requests CalHome reimbursement from HCD. City pays EPACANDO, reimbursing EPACANDO for CalHome-eligible expenses advanced by EPACANDO._x000D_
_x000D_
The maximum loan amount for each ADU/JADU project is $250,000, or 80% of the total project costs, whichever is less. The proposed Activity Delivery Fee schedule for each project is shown below._x000D_
_x000D_
Proposed Activity Delivery Fee Schedule_x000D_
ADU/JADU Loans. The Department may provide funding to cover Activity Delivery Fees (ADFs) of up to 20 percent of the total award. Up to 10 percent of the total award may be provided within 90 days after the execution of the Standard Agreement for program development and program management expenses incurred after the execution of the Standard Agreement, and up to 10 percent of the total award may be reimbursed on a per-Loan basis. The per-Loan reimbursement maximum will be 10 percent of the total award divided by the estimated number of Loans to be made under the contract. Applicants need to provide documentation verifying their Activity Delivery expenses. This requirement may be satisfied through documents such as invoices, receipts, time tracking, or other documentation of valid program expenses._x000D_
_x000D_
Task: Project Management_x000D_
Description: Base fee per project for EPACANDO including site visits, homeowner engagement, coordination of building permit application, securing of bids, construction management, communication between parties, and other administrative services_x000D_
Fee: Not to exceed $10,000_x000D_
_x000D_
Task: Loan Servicing and Processing_x000D_
Description: Flat fee for loan servicing per project_x000D_
Fee: Not to exceed $5,000_x000D_
_x000D_
Task: City staff program oversight_x000D_
Description: Fee per project for City staff to conduct program oversight, which includes weekly check-ins and coordination of the program, verification of project completion, and any associated administrative tasks _x000D_
Fee: Not to exceed $10,000_x000D_
_x000D_
Total: Not to exceed $25,000</t>
  </si>
  <si>
    <t xml:space="preserve">Marketing/Outreach_x000D_
_x000D_
The City and EPACANDO will build upon an existing joint marketing and outreach strategy that has successfully engaged East Palo Alto homeowners interested in building an ADU or JADU on their property. This includes City-sponsored and community events, outreach materials in multiple languages, and strategic communications through the City’s website, mailing list, and social media platforms._x000D_
_x000D_
Loan Administration and ADF _x000D_
_x000D_
As an Administrative Subcontractor for the City of East Palo Alto, EPACANDO will conduct the initial financial assessment of homeowners, including a review of income documentation. Loan origination, underwriting, packaging, and closing of CalHome loans will be performed by its subcontractor, Meriwest Mortgage, under the direct supervision of EPACANDO. As the Recipient of CalHome Grant funds, the City will monitor all loan issuance to ensure accordance with program requirements._x000D_
_x000D_
The City will oversee the CalHome program ADF, with all expense verification (invoices, receipts, time tracking) reviewed by the City before requesting ADFs from HCD. The City will ensure that the 20% threshold is not exceeded for reimbursement; this reimbursement will ultimately pass through the City to EPACANDO as the Administrative Subcontractor._x000D_
_x000D_
ADU/JADU Program Guidelines Development_x000D_
_x000D_
The City has jointly developed Program Guidelines with EPACANDO that incorporate all requirements outlined in 7745 of the CalHome Guidelines. This includes loan underwriting guidelines, construction requirements to comply with the state building standards and local ordinances, and site standards as required by the City. The Guidelines will also state requirements for title and flood insurance and place a prohibition on short-term rentals._x000D_
_x000D_
The City’s and EPACANDO’s approach emphasizes transparency, self-help, and empowerment.  While the core statutory elements of the program guidelines are not malleable, they will continue to be field-tested along with all of our ADU program materials to ensure they are accessible and useful for prospective homeowners/developers and the programs of organizational partners._x000D_
_x000D_
Reporting requirements_x000D_
_x000D_
As the Recipient of a CalHome grant, the City is responsible for maintaining all records of CalHome loans and submitting quarterly and annual reports. The City and EPACANDO have developed a recordkeeping plan and review generally accepted accounting principles to ensure proper execution of each disbursement. </t>
  </si>
  <si>
    <t>Amy Chen</t>
  </si>
  <si>
    <t>Community and Economic Development Director</t>
  </si>
  <si>
    <t>achen@cityofepa.org</t>
  </si>
  <si>
    <t>C:\Users\Compw\Desktop\HOSN Applications\HOSN0000261_attachments\0___Application_Workbook__Excel_\2023-HOSN-Application-Workbook (2).xlsm</t>
  </si>
  <si>
    <t>Habitat for Humanity Calaveras</t>
  </si>
  <si>
    <t>P.O. Box 1469</t>
  </si>
  <si>
    <t>Lynne Ayers</t>
  </si>
  <si>
    <t>execdir@habitatcalaveras.org</t>
  </si>
  <si>
    <t>(209)890-3848</t>
  </si>
  <si>
    <t>Angels Camp</t>
  </si>
  <si>
    <t>Jenny Fuqua</t>
  </si>
  <si>
    <t>jennyfuqua19@gmail.com</t>
  </si>
  <si>
    <t>(209)559-2455</t>
  </si>
  <si>
    <t>JF</t>
  </si>
  <si>
    <t>USDA 524 Site Loan</t>
  </si>
  <si>
    <t>California Energy Commission BUILD Grant (application reservation)</t>
  </si>
  <si>
    <t>USDA 502 Direct</t>
  </si>
  <si>
    <t>Richardson / Abel House in Copperopolis (Habitat for Humanity Calaveras)</t>
  </si>
  <si>
    <t>Copello Drive Development</t>
  </si>
  <si>
    <t>Copello Drive</t>
  </si>
  <si>
    <t xml:space="preserve">Raw land: will require all improvements. Appraised value of the raw land is stated above. We are waiting for appraised value of bulk and retail value of the project. This information will be available by March 31 2023. </t>
  </si>
  <si>
    <t>City of Angels</t>
  </si>
  <si>
    <t>HUD/USDA</t>
  </si>
  <si>
    <t>Among lower-income households, 24.5 percent of households in Calaveras County had an excessive or severe housing cost burden in 2010 compared to 15.1 percent of non-lower-income households. This rate of housing cost burden for lower-income households is lower than the statewide average of 30.4_x000D_
percent. This data points to the need for more affordable housing units in Calaveras County. _x000D_
Rates of housing cost burden were greater among low-income renter households than among low_x0002_income owner households for both Calaveras County and California. In Calaveras County 37.5 percent of low-income renter households paid 30 percent or more of their monthly incomes for housing_x000D_
costs in 2010, compared to 21 percent of low-income owner households. Similarly, 45.4 percent of state low-income renters paid 30% or more of their monthly incomes versus 18.9 percent of state low_x0002_income owners were “overpaying.” Among moderate- and above moderate-income households, the_x000D_
percentage of owner households with excessive housing cost burdens was far higher than renter households in both the County and state (18.0 percent of owners overpaying compared to 4.3 percent of renters for the County and 21.8 percent of owners versus 5.5 percent of renters for the state). Our project aims to provide access to affordable housing to low income community members. There are currently ZERO places in California where two full-time minimum wage employees can afford a one-bedroom apartment. Workforce housing is a crisis in Calaveras County and is precluding us from attracting and retaining workforce at all levels of top county employers._x000D_
_x000D_
**Please also see attached National Low Income Housing Coalition Out of Reach Report**_x000D_
**Please also see attached table of Calaveras County housing feasibility data**</t>
  </si>
  <si>
    <t>_x000D_
The vision for the107-unit Copello Housing Development started with the belief that all persons have _x000D_
the right to live in decent, safe, and affordable housing. At Habitat for Humanity Calaveras, our Mission _x000D_
Builds: (1) Quality, Safe, and Attainable Homes, (2) Self-Reliance, (3) and Bright Futures. Our Vision _x000D_
Builds: (1) Family Stability, (2) Healthy Neighborhoods, (3) and a Community of Givers. With more than _x000D_
65% of low-income Calaveras County residents having unmet housing needs, Habitat of Humanity _x000D_
Calaveras is eager to break ground with the support of CalHome._x000D_
The Copello Housing Development is an opportunity to provide affordable, quality, and sustainable _x000D_
homes to income-qualified homeowners in rural Calaveras County. This neighborhood consisting of 65 _x000D_
Single Family Homes and 42 Condomiums (in seven 6-plexes) on 16.92 acres in the heart of Angels _x000D_
Camp, CA will offer energy efficient homes utilizing solar and a low-cost heating/cooling system design _x000D_
with readily available ‘off the shelf’ products that have been proven to lower electrical costs significantly _x000D_
so homeowners can afford to stay/live in their homes. We are partnering with experts in the field to _x000D_
maximize comfort year-round while keeping energy costs to a minimum in this electric only community._x000D_
In addition, our homes will be built with cutting edge materials from ZS2 Technologies. These Tech _x000D_
Panels are designed for each home model and will create safer (high fire rating with noncombustible _x000D_
materials, low/slow flame spread, and minimal smoke development), healthier, stronger, more _x000D_
economical, and sustainable homes. Units will range from 2 bdrm 1100 sq ft, 3 bdrm 1250 sq ft, and a 4 _x000D_
bdrm 1436 sq ft home. The neighborhood will have a park as well as green space for all residents to _x000D_
enjoy and gather._x000D_
The new homeowners will have access to goods and services where they live. Copello will provide _x000D_
affordable workforce housing for individuals employed in the fields of government, education, medical, _x000D_
service, tourism, restaurants, construction &amp; tradespeople, and hospitality thereby reducing commute _x000D_
times, increased engagement in their local community, more time with family and friends, provide an _x000D_
economic boost to the county, and revitalization to the entire community. At Habitat Calaveras, we _x000D_
believe that affordable housing plays a critical role in strong and stable communities. This CalHome _x000D_
award will allow us to realize our joint goal of providing affordable home ownership in stable, self-reliant _x000D_
communities._x000D_
Program Feasibility: Please refer to the two packets submitted with our application - Calaveras County _x000D_
Housing Feasibility Data Updated 12.21.22 and the Housing Stats Calaveras County Updated 12.21.22. _x000D_
By The Numbers:_x000D_
Over 37.3% of HH are paying in excess of 30% of their income towards housing cost while 21.6% are _x000D_
paying between 30-50% of their income and 15.7% are paying over 50% of their income for housing. _x000D_
Total of 48.1% of HH are considered lower income and 10.9% extremely low income in Calaveras _x000D_
County. 17.9% of Lower income HH paying more than 50% of their income towards housing. Our _x000D_
housing stock by vacancy rate is 3.2% in Calaveras County, 6.3% in Angels Camp, and 2.9% in the balance _x000D_
of the County. Even if people can afford to find a place to live, there aren’t enough housing options available due to very low vacancy rates in our County. Currently, there are ZERO places in California _x000D_
where two full-time minimum wage employees can afford a one-bedroom apartment. Workforce _x000D_
housing is a crisis in Calaveras County and is precluding us from attracting and retaining workforce at all _x000D_
levels of top county employers._x000D_
At the County Level, a task force called the Housing Resource Partnership has been created to look at_x000D_
and find solutions for the Housing Crisis in Calaveras County. Members of this team include County _x000D_
Representatives (Board of Supervisors and County Employees from all areas), Non-Profit Organizations _x000D_
tasked with supporting housing including Habitat Calaveras, City of Angels Councilpersons, Housing _x000D_
Developers, Construction and Service Groups, Calaveras School District, Housing Authorities, Destination _x000D_
Angels Camp, Angels Camp Business Association, Chamber of Commerce, Tourism Boards, Professional _x000D_
Organizations representing medical and dental employers, Community Foundations, and more are_x000D_
tackling this critical issue. These organizations are invested in securing affordable housing for Calaveras _x000D_
County. The Housing Department for Calaveras County has agreed to partner with us to advertise our _x000D_
Copello Housing Development and help us qualify homebuyers for the program. In addition, all the _x000D_
partners listed above plus many more will help us get the word out and ensure that interested persons _x000D_
have access to this opportunity. To market Habitat's affordable housing program, Habitat utilizes radio _x000D_
public service announcements, newspaper press releases and articles, local tv interview shows, internet _x000D_
advertisers, social media and direct marketing to realtors and loan officers in Calaveras County. _x000D_
Currently, we have over 60 potential homebuyers on an interest list without any advertising for this _x000D_
development and program. Once we are ready to qualify homebuyers, our Outreach Committee will _x000D_
work with the City, County, and organizations to start an official Interest List and determine eligibility. _x000D_
With the support and help from our friends and neighbors, the Copello Development will become a _x000D_
reality. We applied and were awarded an IIG grant during COVID; unfortunately, the world as we knew _x000D_
it changed and the cost of the infrastructure project rose from $4.7M to $10M. The feasibility of the _x000D_
project changed negatively with the skyrocketing costs to build. Luckily, COVID and the extreme supply_x000D_
chain shortages and high prices for materials is coming to an end. Availability of product and_x000D_
tradespeople to do the work are more readily available and the cost to build (services, product, _x000D_
materials) are decreasing so we can now build a home that is affordable and attainable._x000D_
The Copello Development Site is fully fenced with a locked gate for access. All local government _x000D_
approvals have been secured. This site has no soil or environmental issues. Trees are being cut down _x000D_
before the nesting birds arrive to the area, but no soil will be disturbed. The completed project is _x000D_
projected to cost approximately $40M. The units cost to build range from $270K - $455K depending on _x000D_
the size with an estimated sales price of $393K. Financing will include CalHome, USDA 502, USDA 524, _x000D_
BUILD grant, and potential additional resources include HMS (Habitat Mortgage Services) and RCAC _x000D_
(Rural Community Service Corporation). The estimated monthly costs for the homebuyers range from _x000D_
$1680 - $1890 including mortgage, property tax, insurance, and HOA. With our heating cooling design, _x000D_
electricity should average $10 per month. All homebuyers will attend a Homeowner Education Program_x000D_
designed by Habitat International. We are ready and able to create, develop, build, and welcome income qualified homebuyers to their _x000D_
new community and home. Are you ready to make the dream of homeownership a reality for Calaveras _x000D_
County? If so, please approve our request for funding. Thank you.</t>
  </si>
  <si>
    <t xml:space="preserve">Habitat of Humanity Calaveras will hire:_x000D_
-grant writer / grant manager will ensure compliance with program requirements._x000D_
-construction superintendent will oversee all construction on the site, as well as timelines and deadlines._x000D_
-on-site construction manager will receive, review, and submit subs invoices to project manager. _x000D_
-project manager will review, record, and manage invoices by subs per home and project._x000D_
-bookkeeper will pay and maintain records invoices. _x000D_
 This is in addition to our current Copello Development Consultant who will be staying on with throughout the duration of the project. </t>
  </si>
  <si>
    <t>We are a Qualifying infill project, meaning a residential or mixed-use residential project located within an urbanized area on a site that has been previously developed, or on a vacant site where at least 75 percent of the perimeter of the site adjoins parcels that are developed with urban uses</t>
  </si>
  <si>
    <t xml:space="preserve">Signal Hill (Habitat for Humanity Calaveras) </t>
  </si>
  <si>
    <t>Mosiac Studfent Housing (Hugh Walker)</t>
  </si>
  <si>
    <t>Maple Park - Stonebridge Homes (Hugh Walker)</t>
  </si>
  <si>
    <t>Amortized with Call</t>
  </si>
  <si>
    <t>Hillcrest Meadows - Stonebridge Homes (Hugh Walker)</t>
  </si>
  <si>
    <t>C:\Users\Compw\Desktop\HOSN Applications\HOSN0000264_attachments\0___Application_Workbook__Excel_\2023 HOSN Application Workbook (Update For 2-13-2023).xlsm</t>
  </si>
  <si>
    <t xml:space="preserve">Nevada County Habitat for Humanity </t>
  </si>
  <si>
    <t>P.O. Box 2997</t>
  </si>
  <si>
    <t>Lorraine Larson</t>
  </si>
  <si>
    <t>lorraine@nchabitat.org</t>
  </si>
  <si>
    <t>530-274-1951</t>
  </si>
  <si>
    <t>Grass Valley</t>
  </si>
  <si>
    <t>Jennifer Cordova</t>
  </si>
  <si>
    <t>jennifer@nchabitat.org</t>
  </si>
  <si>
    <t>530-206-8205</t>
  </si>
  <si>
    <t>Development Director</t>
  </si>
  <si>
    <t>JC</t>
  </si>
  <si>
    <t xml:space="preserve">Development Director </t>
  </si>
  <si>
    <t>Homeowner Qualification, Selection and Mortgage Assistance Program_x000D_
 Policy &amp; Guidelines_x000D_
1. Our Affordable Housing Policy/Mission_x000D_
_x000D_
Nevada County Habitat for Humanity is committed to carry our the mission of Habitat International to bring people together to build homes, communities and hope. Specifically, we provide affordable housing to those in the Very-Low to Low income Range (30-80%) of the median income in Nevada County.  We achieve this by offering mortgages at no-interest and not including the cost of labor in our homes.  Also, we are a non-profit corporation so we do not include any profit in the cost of our homes._x000D_
_x000D_
Our current policy is to require a down payment of 1% of the cost of the home.  This results in a loan to value of 99%._x000D_
_x000D_
Our goal is to provide the families with single family detached homes.  However, the increasing cost of land, growing need, and site development may require us to provide multi-family units. Each unit would have individual family ownership and include the land._x000D_
 _x000D_
2.	Qualification, Selection and Home Purchasing Process_x000D_
_x000D_
The Homeowner Selection Committee has the responsibility to solicit and qualify potential homeowners for our Habitat homes.  Once we have an approved project with homes available, this committee advertises the fact to the local community.  A series of informational meetings are held describing the Habitat program and applications are accepted.  This committee’s duties include processing the applications, verifying that eligibility requirements have been met, establishing a pool of potential homeowners and recommends families to the Board of Directors for selection as recipients for the next Habitat home(s).  This verification includes income verification, credit worthiness and home visits to the applicant’s home to verify living conditions and willingness to partner with Habitat.  This process takes approximately 5-6 months._x000D_
_x000D_
The Board of Directors selects the homeowners based on the recommendations from the Homeowner Selection Committee.  The number of homeowners selected depends upon the number of homes that will be available in the near-term.  _x000D_
_x000D_
Home purchasing processing is the responsibility of the Closing Committee, an ad hoc committee, consisting of the Homeowner Partner, Finance Committee, Executive Director, and title company representatives.  This committee’s duties include determining the final cost of the home(s), amount and term of the 1st mortgage, amount of buyers assistance, defining subordinate financing, assisting in preparation of sales/escrow documents and preparation of escrow instructions.  Preparation of the final escrow documents and handling the funds are the responsibility of the title company. _x000D_
_x000D_
3.	  Homeowner Eligibility Requirements_x000D_
_x000D_
To be eligible for a Nevada County Habitat home, the applicant must meet the following criteria:_x000D_
A.  Need for Adequate Shelter:  The applicant must demonstrate that they are currently living in substandard housing.  Substandard housing is defined as one or more of the following:_x000D_
  _x000D_
•	Current housing has problems with heating, water supply, electricity, bathroom(s), kitchen, structure, roof, etc._x000D_
•	Current housing is overcrowded and has an inadequate number of bedrooms a determined by the number, ages, and sex of the family members.  _x000D_
•	The current neighborhood is unsafe or unsanitary._x000D_
_x000D_
The annual household income must be less that 80% of the median income of Nevada County.  The median income amounts are those determined by the California Housing Policy Department and published on the California Department of Housing and Community Development website._x000D_
_x000D_
B. Ability to Pay:  The applicant must have adequate income to make the anticipated mortgage; other associated housing costs and other living expenses._x000D_
_x000D_
The selected homeowner(s) must make cash down payment equal to about one percent of the mortgage amount.  $100 must be paid upon opening of escrow (usually at start of construction) and the remainder before close of escrow and home occupancy._x000D_
_x000D_
The homeowner(s) must have the ability to make monthly payments along with current debt.  As a general guideline, the total housing costs (mortgage, insurance and taxes should not exceed 30% of total gross income).  Allowable limits are contained in Section 5.0 of this document.  A debt management plan must be in place and payments current for other debt prior to close of escrow._x000D_
_x000D_
Applicants must have a satisfactory credit history and references.  Evidence of the ability to pay of past debt must be demonstrated.  All financial judgments and liens must be cleared prior to close of escrow. _x000D_
_x000D_
C.	Willingness to Partner With Habitat:  The applicant must be willing to partner with Habitat by:_x000D_
•	Complete the required number (500) of sweat equity hours before the close of escrow/home occupancy.  _x000D_
•	Participate in Habitat’s Partnering Program, which include financial counseling and education, per CalHome requirements homebuyer counseling will be included for homes mortgaged using CalHome First Time Home Buyer Mortgage Assistance Funding,  household management education, home maintenance and may include homeowner association membership._x000D_
•	Properly maintaining the interior and exterior of the home during occupancy._x000D_
_x000D_
D.	The applicant must be a resident or employed in Nevada County at time of application. _x000D_
_x000D_
4.	Establishing the Potential Homeowner Pool_x000D_
_x000D_
The Homeowner Selection Committee has the responsibility of forming a pool of prospective homeowners for the homes that will be built in the near-term.  The fact that Habitat is again seeking owners is widely publicized locally.  A series of informational meetings are schedules to explain the Habitat Program, hand out application forms and explain the details of making an application.  Persons who have indicated interest or have previously applied are invited to these meetings.  Also, persons that do not attend the meetings are provided with application forms up to the application deadline; usually 30 days after the last informational meeting._x000D_
_x000D_
The applications are processed as detailed in the following sections and the pool of qualified potential homeowners is presented to the Board of Directors for selection._x000D_
_x000D_
5.	Qualification_x000D_
_x000D_
A. Income_x000D_
_x000D_
The first step in income qualification is to determine the income required to purchase the Habitat homes.  This is done in advance of the informational meetings so that the data can be presented there.   Typically we plan to build 2,3 or 4 bedroom homes to accommodate the various sizes of the families that are selected.  Habitat International Policy dictates the size of the homes.  The method of determining the selling price of the homes is detailed in our “House Pricing Policy” and by definition must fall within purchasing power of families making 80% of the median income or less.  These cost estimates are generated/approved by the Finance Committee._x000D_
_x000D_
The selling price and the term of the first mortgage along with estimates of insurance and taxes determines the monthly/annual income required.  Programs offering first-time homebuyers assistance often dictate the term of the first mortgage.  For our Heritage Oaks Projects, we are offering assistance through the CalHome Program.  _x000D_
Income will be determined by:_x000D_
1. Current year to date earnings:  If hourly:  use the hourly rate X the average amount of hours per week they usually work X 4.33 weeks.  _x000D_
2. If a raise is eminent, then use the formula mentioned above for the period until the new pay stubs are available.  Re-calculate their projected income by combining the new income information with the old income information and dividing by 12months. This will establish their new monthly income to be used for qualifying the applicant._x000D_
3. Self-employment income is determined by averaging the last 2 years of their Schedule C from their Federal Tax returns (1040's), adding back depreciation, if taken._x000D_
5. If income is derived by other sources, than a written Verification of Employment (VOE) must be obtained from the employer giving last 2 years of income and year-to-date earnings and of income is likely to continue.  _x000D_
6. If employment has been for less than 2 years, but in the same field as previous employment, then a Verification of Employment (VOE) must be obtained from the current and previous employers._x000D_
These income requirements are used for preliminary screening of the applicants.  They are only one of several factors for qualification.  Determining income and monthly payment amounts for selected families when purchasing their homes is discussed in Section 7._x000D_
_x000D_
_x000D_
_x000D_
            B. Determining Credit Worthiness_x000D_
_x000D_
	Determining the credit worthiness of the applicants is done by the Homeowner Selection 	_x000D_
Committee, in processing the applications.  Family size is verified and reported income is against the allowable 80% of the median.  Families over this limit are disqualified._x000D_
_x000D_
Applicants are required to submit tax returns, W-2 Forms, pay stubs, copies of bank statements, and a list of employers and landlords for the past 5 years.  Along with the data on the application form, the Committee uses this data to determine family income.  The allowable types of income are shown in Table 5-1.  Types of income that are not considered are contained in Table 5-2.  The Committee uses methods and guidelines contained in the Habitat for Humanity International Affiliate Operations Manual-Homeowner Selection and the CalHome Operations Handbook in evaluating the different types of income._x000D_
_x000D_
Also, the Committee verifies employer data in writing.  Landlords are contacted and asked about applicant’s record of payment.  In addition, they obtain credit reports and obtain additional credit history.  Self-employed applicants are asked for additional data if application and tax return information is insufficient to make judgment._x000D_
A credit report will be obtained to verify information the applicant has provided on their application.  The credit report will be used in determining how they repay debt.  The minimum amount due on the listed credit accounts will be used in determining the ratios for qualifying the applicant.  If the applicant does not have established credit, then we will use alternative credit options.  We will send out letters of inquiry to other agencies, (PG&amp;E, auto insurance co, telephone co, etc) to access information on how the applicant pays their bills. If, negative accounts appear on the credit report, a letter of explanation will be requested from the applicant for each account. _x000D_
Table 5-1 Gross Income Inclusions_x000D_
"Gross income" shall mean the anticipated income of a person or family for the twelve month period following the date of determination of income._x000D_
_x000D_
"Income" shall consist of the following:_x000D_
_x000D_
(a) Except as provided in subdivision (b), "Exclusions", all payments from all sources received by the family head (even if temporarily absent) and each additional member of the family household who is not a minor shall be included in the annual income of a family. Income shall include, but not be limited to:_x000D_
_x000D_
(1)	The gross amount, before any payroll deductions, of wages and salaries, overtime pay, commissions, fees, tips and bonuses;_x000D_
(2)	The net income from operation of a business or profession or from rental or real or personal property (for this purpose, expenditures for business expansion or amortization of capital indebtedness shall not be deducted to determine the net income from a business);_x000D_
(3)		Interest and dividends;_x000D_
_x000D_
(4)	The full amount of periodic payments received from social security, annuities, insurance policies, retirement funds, pensions, disability or death benefits and other similar types of periodic receipts;_x000D_
(5)	Payments in lieu of earnings, such as unemployment and disability compensation, worker's compensation and severance pay_x000D_
(6)	Public Assistance. If the public assistance payment includes an amount specifically designated for shelter and utilities which is subject to adjustment by the public assistance agency in accordance with the actual cost of shelter and utilities the amount of public assistance income to be included as income shall consist of:_x000D_
(A) The amount of the allowance or grant exclusive of the amount specifically designated for shelter and utilities, plus_x000D_
(B) The maximum amount which the public assistance agency could in fact allow for the family for shelter and utilities,_x000D_
_x000D_
   (7) Foster childcare payments, provided the applicant has had foster care children for at least two years and can show continuation (such as a letter from the County Social Services)._x000D_
_x000D_
(8)	Periodic and determinable allowances such as alimony and child support payments, and regular contributions or gifts received from persons not residing in the dwelling;_x000D_
_x000D_
(9) All regular pay, special pay and allowances of a member of the Armed Forces (whether or                                                                                         not living in the dwelling) who is head of the family or spouse._x000D_
Table 5-2 Gross Income Exclusions_x000D_
		The following items shall not be considered as income:_x000D_
_x000D_
(1)	Casual, sporadic or irregular gifts;_x000D_
(2)		Amounts which are specifically for or in reimbursement of the cost of medical_x000D_
expenses;_x000D_
(3)		Lump sum additions to family assets, such as inheritances, insurance payments_x000D_
(including payments under health and accident insurance and Worker's_x000D_
Compensation), capital gains and settlement for personal or property losses;_x000D_
_x000D_
(4)		Amounts of educational scholarships paid directly to the student or to the_x000D_
educational institution._x000D_
(5)		The special pay to a serviceman head of a family away from home and_x000D_
exposed to hostile fire;_x000D_
(6)		Relocation payments made pursuant to federal, state, or local relocation law;_x000D_
(7)		Payments received pursuant to participation in the following volunteer_x000D_
programs under the ACTION Agency:_x000D_
(A) National Volunteer Antipoverty Programs which include VISTA, Service Learning Programs and Special Volunteer Programs._x000D_
(B) National Older American Volunteer Programs for persons aged 60 and over._x000D_
_x000D_
_x000D_
_x000D_
C. The Home Visit_x000D_
_x000D_
The Homeowner Selection Committee makes visits to the homes of all applicants that are deemed credit worthy and have met the residency requirements.  During this visit, the need for adequate shelter is verified.  Also, the Habitat Program is explained in more detail and the Willingness to Partner criteria satisfied._x000D_
_x000D_
Upon completion of the above tasks, the Homeowner Selection Committee compiles all the data and submits the pool of qualified applicants to the Board of Directors for selection as homeowners._x000D_
	_x000D_
6.	Homeowner Selection_x000D_
_x000D_
 	A. Selection Committee Recommendations_x000D_
_x000D_
Applicants approved by the Homeowner Selection Committee are recommended to the Board of Directors for final Approval.  The committee chair or designated member makes the presentation.  To enhance the board’s ability to make a sound decision, the committee distributes an application summary document prior to the board meeting._x000D_
_x000D_
The report to the Board of Directors include information related solely to family size, need, ability to pay and willingness to partner.  When discussing potential families, Homeowner Selection Committee members should not tell the Board the name of the family, their race, national origin, religion or ethnic background.  This prevents any possible bias, perception of bias or disclosure of confidential information._x000D_
 _x000D_
B.	Selection by Board of Directors_x000D_
_x000D_
The Board of Directors selects homeowners from the applicant pool for the next home(s).  The circumstances of each family are discussed in detail.  After the board makes their decision, selected and non-selected applicants are notified._x000D_
_x000D_
It is Habitat International Policy not to maintain waiting lists.  However, non-selected applicants can reapply for the next round of homes._x000D_
                                     _x000D_
7.	 Home Purchase_x000D_
_x000D_
Home purchasing processing is the responsibility of the Closing Committee, an ad hoc committee, consisting of Homeowner Partner, Finance Committee and Title Company Representatives.  This committee’s duties include determining the final cost of the home(s), amount and term of the 1st mortgage, amount of buyers assistance, defining subordinate financing, assisting in preparation of sales/escrow documents and preparation of escrow instructions.  Preparation of the final escrow documents and handling the funds are the responsibility of the title company._x000D_
  _x000D_
_x000D_
A. Finalizing the Selling Price_x000D_
_x000D_
Approximately 30 days prior to the anticipated date of close of escrow (home construction completion), the final selling price of the home is determined.  The Finance Committee has the responsibility of determining/approving the selling price.  Cost actuals-to-date of building materials, site improvements, land cost and fees are used in addition of In-kind donation of materials and services to determine the price.  In addition, careful estimates are made of the cost-to-complete to arrive at the total price._x000D_
_x000D_
The selling price along with family income is used to determine if First Time Homebuyers Assistance (FTHB) needed._x000D_
_x000D_
B.	Determining Amount of Assistance (CalHome)_x000D_
_x000D_
If the front-end ratio exceeds 35%, FTHB Assistance will be provided.  The amount of assistance shall be determined in accordance with the procedures outlined in the CalHome Operations Handbook and the NCHfH Loan Underwriting Plan.  The amount of assistance shall bring the front-end ratio into the 28-35% range; preferably near 30%, which is the HfHI guideline value._x000D_
_x000D_
C.	 The Primary Loan_x000D_
_x000D_
The primary loan or first mortgage will be underwritten by and the mortgage held by NCHfH.  The amount of this mortgage will be determined during the process of determining of FTHB is required as detailed in Section 7.B._x000D_
_x000D_
If FTHB is required, the term of the first mortgage will be 30 years as dictated by the CalHome Program.  If FTHB Assistance is not required, the term may be shortened to keep the front-end ratio close to 30%._x000D_
_x000D_
This loan will be at no-interest and will not include provisions for negative amortization, principal increases, balloon payments or deferred interest._x000D_
_x000D_
This loan will be secured by a deed of trust against the property and recorded by the Nevada County Recorder’s Office._x000D_
_x000D_
D.	 Subordinate Loans_x000D_
_x000D_
There are typically two other loans granted in purchase of the property.  They are and their positions relative to the first mortgage are:_x000D_
	 CalHome FTHB Assistance Loan          2nd Position_x000D_
	 NCHfH “Silent 2nd” 3rd Position_x000D_
_x000D_
All of these loans are secured by deeds of trust against the property and recorded by the Nevada County Recorder’s Office._x000D_
_x000D_
1) CalHome FTHB Assistance Loan_x000D_
This loan is held by NCHfH and is payable at the end of the 1st mortgage (30 years) or upon the sale of the property.  The amount of this loan is determined as detailed in Section 7B.  This is a no-interest loan and no principle or interest payments are due until the end of the term/sale of the home._x000D_
_x000D_
2) NCHfH “Silent 2nd”_x000D_
This is a no-interest loan is held by NCHfH to prevent a windfall profit by the buyer.  The amount of this loan is the difference between the selling price of the home and the appraised value of the property at the time of original sale.  There are no principle or interest payments on this loan.  It is payable upon sale of the home if the sale occurs before the end of the term of the 1st mortgage. If is forgiven at the end of the term of the 1st mortgage. _x000D_
_x000D_
E.	Other Conditions Regarding Home Purchase_x000D_
_x000D_
1) Appraisal of the home shall be prepared by a State-licensed residential property appraiser.  The appraisal shall use the sales of comparable properties approach to determine value.  The appraised value at the time of original sale shall not exceed the appraised value limit established by CalHome._x000D_
_x000D_
2) Cash out of escrow to the buyer shall be limited to the amount deposited into escrow by the buyer and not needed for down payment or other closing costs._x000D_
_x000D_
3) NCHfH will obtain title insurance in the amount of all loans at the close of escrow._x000D_
_x000D_
4) The buyer will be required to maintain fire insurance (and flood insurance where applicable) on the property in the amount at least equal to the replacement value of the improvements.  NCHfH and the City of Grass Valley will be named as additional loss payees on the policy.  NCHfH will pay the first year’s premium out of the funds in escrow.  Subsequent years premiums will be paid out of the buyers impound account held by NCHfH._x000D_
_x000D_
5) NCHfH will establish an impound account and deposit into this account the portion of the monthly payment for the purpose of maintaining insurance and payment of property taxes.  NCHfH will pay the insurance premiums and make real estate tax payment out of this account on behalf of the new Habitat homeowner.  Annual evaluations are made on these accounts to ensure adequate funds are available.  Homeowners are given annual statements that show the status of their account and expenditures for the year.</t>
  </si>
  <si>
    <t xml:space="preserve">Nevada County Habitat for Humanity (NCHFH) builds self help housing with eligible applicants and then creates the mortgage and manages the loan from underwriting process through loan maturity. To date NCHFH has not had a loan mature, but has a portfolio of approximately 42 mortgages. Please note that the minimum start date in the application is 1/6/2019. NCHFH has been in business for over 25 years. </t>
  </si>
  <si>
    <t xml:space="preserve">Nevada County Habitat for Humanity (NCHFH), an affiliate of Habitat for Humanity International was established in 1996 as a 501 (c)(3) public benefit corporation. The mission of Nevada County Habitat is to bring people together to build homes, communities and hope by creating decent, safe, and affordable housing. Since our founding we have built 42 homes in conjunction with program participants and volunteers. NCHFH homes are mortgaged by NCHFH, and program applicants purchase their homes through NCHFH. As a builder and lender NCHFH has successfully increased homeownership opportunities people in the 60-80% area median income brackets over the last 27 years. _x000D_
_x000D_
Lorraine Larson is the NCHFH Executive Director, she has served the organization for 14 years in a variety of roles including Development Director then Associate Director. NCHFH employs 18 individuals between the affiliate office and ReStore and works with over 100 volunteers who contribute thousands of hours of volunteer construction labor. As an established organization that focuses on building and lending, we believe we meet the two year threshold requirement to request funding for a CalHome Mortgage Assistance program. NCHFH is requesting 2023 CalHome funds for a first-time homebuyer’s mortgage assistance program. We are requesting a total of $579,250 in mortgage assistance funding for seven self-help housing units that will be built by NCHFH using alternate funds. _x000D_
_x000D_
The Habitat homeownership model was established in 1976 and has proven to be extremely effective in providing households the opportunity to own a safe, decent and affordable home. Selected families must invest 500 hours of sweat-equity into their homes and make a 1% down payment. Their zero-interest mortgage is based on calculations for an affordable mortgage and do not exceed 30% of the program participants annual gross income. Additionally, we believe that program participants contributing to the construction of their homes and attending financial education workshops help prepare the homebuyer for owning their first home. _x000D_
_x000D_
Alternate funding is raised by NCHFH staff through a combination of grants, foundations, fundraising events, sponsorships, and individual donations. Our housing and mortgage program requires that participants contribute 500 hours of sweat equity, i.e., labor toward construction, financial education, and/or other activities like volunteering in the ReStore or within the administrative office. NCHFH partners work side by side with staff and construction, ReStore, or administrative volunteers. Volunteers on the construction site contribute approximately 7,000 hours to the construction of one NCHFH single family unit._x000D_
_x000D_
Currently, NCHFH is working to develop an existing parcel that will be developed into a 12-home community over the next 5-6 years. We are requesting funding for seven of the twelve proposed homes. The seven homes will be built on an existing NCHFH parcel, APN: 029-280-016, located on Joyce Drive in Grass Valley, CA 95945. The parcel is located within a federally designated opportunity zone, map attached under CalHome First-Time Homebuyer Assistance Program Documents, within a rural designated area, and is designated as infill land per the City of Grass Valley, letter from City of Grass Valley can be found under the CalHome First-Time Homebuyer Assistance Program Documents. _x000D_
_x000D_
_x000D_
_x000D_
_x000D_
</t>
  </si>
  <si>
    <t>C:\Users\Compw\Desktop\HOSN Applications\HOSN0000271_attachments\0___Application_Workbook__Excel_\2023-HOSN-Application-Workbook-Parlier Submission.xlsm</t>
  </si>
  <si>
    <t>C:\Users\Compw\Desktop\HOSN Applications\HOSN0000272_attachments\0___Application_Workbook__Excel_\Excel Workbook.xlsm</t>
  </si>
  <si>
    <t>City of Riverside</t>
  </si>
  <si>
    <t>3900 Main Street</t>
  </si>
  <si>
    <t>Michelle Davis</t>
  </si>
  <si>
    <t>mdavis@riversideca.gov</t>
  </si>
  <si>
    <t>951-826-5743</t>
  </si>
  <si>
    <t>Housing Autority Manager</t>
  </si>
  <si>
    <t>Mike Futrell</t>
  </si>
  <si>
    <t>mfutrell@riversideca.gov</t>
  </si>
  <si>
    <t>951-826-5553</t>
  </si>
  <si>
    <t>Andrea Robles</t>
  </si>
  <si>
    <t>AR</t>
  </si>
  <si>
    <t>arobles@riversideca.gov</t>
  </si>
  <si>
    <t>951-826-2279</t>
  </si>
  <si>
    <t>Project Coordinator</t>
  </si>
  <si>
    <t>Owner Occupied Rehabilitation Program. Over the last four years, our Program has</t>
  </si>
  <si>
    <t xml:space="preserve">Over the years, the City of Riverside's Owner Occupied Program has been funded with various funding sources such as CalHome, HOME Investment Partnerships Program, and Community Development Block Grants (CDBG). The City's current program is being funded with CDBG funds as well as CalHome Reuse funds from recaptured loans and provides up to $60,000 in CalHome deferred loans to single family homeowners and up to $15,000 in CDBG grant funds to manufactured homeowners.  At this time, the City is applying to HCD for $3,000,000 in Owner Occupancy Rehabilitation funding to expand its current program to not only allow for higher loan limits to eligible recipients, but to also allow for (1) the repair, reconstruction or addition of an ADU or JADU to single family homes, and (2) major rehabilitation or reconstruction of manufactured homes. The requested funding is estimated to provide rehabilitation to 15 households in the city. All assisted households will have combined household incomes that do not exceed 80% AMI for Riverside County.  This would be the city's first program to provide ADU/JADU opportunities to the residents of Riverside and there has been an increase in ADU applications to the city's Building &amp; Safety Division. Our Building &amp; Safety Division has pre-approved ADU design plans that are available to residents at no cost. The city would require ADU applicants take an education/counseling program offered through Neighborhood Housing Services of the Inland Empire.  The course fee would be a reimbursable ADF fee and homeowners will learn the process of ADU development including how to be a landlord. </t>
  </si>
  <si>
    <t xml:space="preserve">The City of Riverside certifies that it will comply with the requirements for Local Program Administration set forth in the CalHome Program Requirements. The City of Riverside will implement the Owner Occupancy Rehabilitation program, adhering to all requirements pertaining to marketing, loan servicing, reuse account, underwriting and construction requirements, disbursement of funds on behalf of borrowers during rehabilitation, maintenance of loan files, records and repayments to ensure adherence to proper accounting procedures. The City has included with this application its established CalHome Loan Servicing Policies and Procedures, Reuse Account Plan and Housing Rehabilitation Program Guidelines. You will find that our loan servicing procedures comply with CalHome regulations and represent an organized system that continues to perform accordingly.	</t>
  </si>
  <si>
    <t xml:space="preserve">has been funded with CalHome Reuse and Community Development Block </t>
  </si>
  <si>
    <t xml:space="preserve">Grant funds to serve owner-occupied single family and mobile homes. </t>
  </si>
  <si>
    <t>C:\Users\Compw\Desktop\HOSN Applications\HOSN0000273_attachments\0___Application_Workbook__Excel_\2023-HOSN-Application-Workbook 2.22.2023.xlsm</t>
  </si>
  <si>
    <t>Self-Help Enterprises</t>
  </si>
  <si>
    <t>8445 W Elowin Ct</t>
  </si>
  <si>
    <t>Hope Romero</t>
  </si>
  <si>
    <t>hoper@selfhelpenterprises.org</t>
  </si>
  <si>
    <t>(559) 802-1258</t>
  </si>
  <si>
    <t>Analyst</t>
  </si>
  <si>
    <t>Betsy McGovern-Garcia</t>
  </si>
  <si>
    <t>betsyg@selfhelpenterprises.org</t>
  </si>
  <si>
    <t>(559) 802-1653</t>
  </si>
  <si>
    <t>Director-Real Estate Development</t>
  </si>
  <si>
    <t>BMG</t>
  </si>
  <si>
    <t>Director-Real estate Development</t>
  </si>
  <si>
    <t xml:space="preserve">SHE creates Marketing plans for all projects and sends them out to USDA for approval, once the plans are approved SHE begins recruitment in the project area. HCDs' Income Limits for 2022 are used in order to determine the applicants eligibility (based on the level of household income). In order to more comprehensively serve the housing needs of low and very-low income families, SHE has undertaken homebuyer preparation and homebuyer education courses. A loan servicing plan is in place that addresses all topics																																					_x000D_
</t>
  </si>
  <si>
    <t>HOME Homebuyer Program</t>
  </si>
  <si>
    <t>CalHome Homebuyer Program</t>
  </si>
  <si>
    <t>HOME Homebuyer Tulare County</t>
  </si>
  <si>
    <t>CalHome Homebuyer Program Tulare County</t>
  </si>
  <si>
    <t>FWHG Joe Serna Jr</t>
  </si>
  <si>
    <t>$5,000,000 in First-time Homebuyer Mortgage Assistance Program for 20 low-income/very-low income families, which is defined as having income that does not exceed 80% of the particular area median income. The homes will be built through the mutual self-help construction method in Self-Help Enterprises' (SHE) subdivisions in Fresno, Kern, Kings, Madera, Merced, Stanislaus, and Tulare counties, as well as in cities of Reedley (Fresno County), Bakersfield (Kern County), Orosi (Tulare County), Planada (Merced County), Turlock (Stanislaus County), Patterson (Stanislaus County), and unincorporated communities of Goshen (Tulare County). Self-Help Enterprises (SHE) has 49 years of successful experience in improving the living conditions and community standards of lower income families. Funds will be used for FTHB assistance to self-help builders in these counties, all funds to individual homeowners will be in the form of loans. The contributed labor per family is at a minimum of 1600 hours/project.</t>
  </si>
  <si>
    <t>$1,000,000 in First-time Homebuyer Mortgage Assistance Program for 10 low-income/very-low income families, which is defined as having income that does not exceed 80% of the particular area median income. The homes will be built through the mutual self-help construction method in Self-Help Enterprises' (SHE) subdivisions in Kern, Madera, and Merced counties, Self-Help Enterprises (SHE) has 58 years of successful experience in improving the living conditions and community standards of lower income families. Funds will be used for FTHB assistance to self-help builders in these counties, all funds to individual homeowners will be in the form of loans. The contributed labor per family is at a minimum of 1600 hours/project.</t>
  </si>
  <si>
    <t>SHE creates Marketing plans for all projects and sends them out to USDA for approval, once the plans are approved SHE begins recruitment in the project area. HCDs' Income Limits for 2022 are used in order to determine the applicants eligibility (based on the level of household income). In order to more comprehensively serve the housing needs of low and very-low income families, SHE has undertaken homebuyer preparation and homebuyer education courses. A loan servicing plan is in place that addresses all topics</t>
  </si>
  <si>
    <t>SHE will assist low- and very-low-income farmworkers by helping them to build their own homes through the mutual self-help housing program.  Each participating family will join a building group which will share labor to complete all of the houses in the project.  The labor provided by the family will serve as the family’s down payment.   SHE staff will provide the technical assistance they need to obtain their primary mortgage from USDA, prepare for homeownership, and complete construction on their homes.  The group will work collectively to complete the foundation, concrete, rough framing, siding, electrical, finish carpentry, painting, flooring, duct work, and landscaping on the homes.  The resulting cost savings, known as “sweat equity”, will total at least 20% on each of the homes, and ensures cost effectiveness for the project.  Additionally, SHE construction management staff oversees and coordinates all purchasing and subcontracting, which results in the best possible prices for materials and labor.  Finally, SHE’s modest yet functional and attractive house plans combine with these other factors to create the most affordable and cost effective single family housing product in the Central Valley.</t>
  </si>
  <si>
    <t>FWHGH Joe Serna Jr.</t>
  </si>
  <si>
    <t>FORM</t>
  </si>
  <si>
    <t>CONTROL</t>
  </si>
  <si>
    <t>CH_Eligibility_Questions</t>
  </si>
  <si>
    <t>S1_Summary</t>
  </si>
  <si>
    <t>C:\Users\Compw\Desktop\Application Folders</t>
  </si>
  <si>
    <t>Target Folder</t>
  </si>
  <si>
    <t>21:1:Yes|21:12:Yes|21:14:20|21:15:900000|21:16:100000|21:30:No|</t>
  </si>
  <si>
    <t>21:1:Yes|21:12:Yes|21:14:11|21:15:2600000|21:16:320000|21:30:No|</t>
  </si>
  <si>
    <t>37:1:Yes|37:12:Yes|37:14:25|37:15:4200000|37:16:800000|37:30:No|</t>
  </si>
  <si>
    <t>21:1:Yes|21:12:Yes|21:14:9|21:15:2100000|21:16:400000|21:30:No|</t>
  </si>
  <si>
    <t>18:1:Yes|18:12:Yes|18:13:Yes|18:15:0|18:16:0|18:22:10|18:23:1333911|18:24:266089|18:30:No|</t>
  </si>
  <si>
    <t>45:1:Yes|45:12:No|45:13:No|45:14:4|45:15:1000000|45:30:No|</t>
  </si>
  <si>
    <t>12:1:Yes|12:12:Yes|12:13:Yes|12:22:8|12:23:840000|12:24:160000|12:30:Yes|</t>
  </si>
  <si>
    <t>14:12:No|14:13:Yes|14:1:Yes|14:22:5|14:23:500000|14:24:100000|14:30:Yes|</t>
  </si>
  <si>
    <t>35:1:No|38:1:Yes|38:12:Yes|38:14:5|38:15:750000|38:16:20000|38:30:No|</t>
  </si>
  <si>
    <t>21:1:Yes|21:12:No|21:14:8|21:15:2000000|21:16:400000|21:30:Yes|</t>
  </si>
  <si>
    <t>43:1:Yes|43:12:Yes|43:14:12|43:15:3000000|43:16:600000|43:30:Yes|</t>
  </si>
  <si>
    <t>36:1:Yes|36:20:No|36:23:Newly Constructed Housing|36:24:9|36:25:3600000|36:26:900000|36:27:90000|36:28:2250|36:68:Yes|36:69:Yes|36:70:Yes|</t>
  </si>
  <si>
    <t>36:1:Yes|36:20:Yes|36:23:Newly Constructed Housing|36:24:10|36:25:4000000|36:26:1200000|36:27:120000|36:28:2500|36:68:Yes|36:69:Yes|36:70:Yes|</t>
  </si>
  <si>
    <t>36:1:Yes|36:20:No|36:23:Newly Constructed Housing|36:24:14|36:25:56000000|36:26:1960000|36:27:196000|36:28:3500|36:68:Yes|36:69:Yes|36:70:Yes|</t>
  </si>
  <si>
    <t>21:1:Yes|21:20:Yes|21:23:Yes|21:24:12|21:25:5160000|21:26:2064000|21:27:203400|21:28:3000|</t>
  </si>
  <si>
    <t>12:1:Yes|12:20:Yes|12:21:Yes|12:24:7|12:25:2362500|12:26:945000|12:27:94500|12:28:1750|12:35:8|12:36:940000|12:37:376000|12:38:37600|12:39:2000|</t>
  </si>
  <si>
    <t>12:1:Yes|12:20:No|12:21:No|12:22:Yes|12:23:Newly Constructed Housing|12:46:7|12:47:2380000|12:48:952000|12:49:92500|12:50:1750|12:68:No|12:69:Yes|12:70:Yes|</t>
  </si>
  <si>
    <t>35:1:Yes|35:20:No|35:23:Newly Constructed Housing|35:24:26|35:25:12370000|35:26:4540000|35:27:454000|35:28:6000|35:68:Yes|35:69:Yes|35:70:Yes|</t>
  </si>
  <si>
    <t>57:1:Yes|57:20:Yes|57:22:Yes|57:23:Newly Constructed Housing|57:46:8|57:47:1040000|57:48:416000|57:49:41600|57:50:2000|57:68:No|57:69:Yes|57:70:Yes|</t>
  </si>
  <si>
    <t>21:1:Yes|21:20:Yes|21:21:No|21:22:No|21:23:Acquired and Rehabilitated Housing|21:24:15|21:25:9000000|21:26:2846250|21:27:150000|21:28:3750|21:68:No|21:69:Yes|21:70:Yes|</t>
  </si>
  <si>
    <t>44:1:Yes|44:20:No|44:21:No|44:22:No|44:24:17|44:25:8500000|44:26:3400000|44:27:340000|44:28:4250|</t>
  </si>
  <si>
    <t>19:1:Yes|19:20:Yes|19:22:Yes|19:23:Newly Constructed Housing|19:46:8|19:47:2000000|19:48:800000|19:49:80000|19:50:2000|19:68:No|19:69:Yes|19:70:Yes|</t>
  </si>
  <si>
    <t>56:1:Yes|56:20:Yes|56:24:5|56:25:1365000|56:26:546000|56:27:54600|</t>
  </si>
  <si>
    <t>21:1:Yes|21:20:No|21:23:Newly Constructed Housing|21:24:35|21:25:21000000|21:26:4537545|21:27:453705|21:28:8750|21:68:Yes|21:69:Yes|21:70:Yes|</t>
  </si>
  <si>
    <t>56:1:Yes|56:20:Yes|56:22:Yes|56:23:Acquired and Rehabilitated Housing|56:46:6|56:47:1996320|56:48:680722|56:49:68028|56:50:1250|56:68:No|56:69:Yes|56:70:Yes|</t>
  </si>
  <si>
    <t>56:1:Yes|56:20:Yes|56:23:Acquired and Rehabilitated Housing|56:24:6|56:25:1996320|56:26:680722|56:27:67778|56:28:1500|56:68:No|56:69:Yes|56:70:Yes|</t>
  </si>
  <si>
    <t>21:1:Yes|21:20:Yes|21:23:Newly Constructed Housing|21:24:12|21:25:7200000|21:26:2400000|21:27:100000|21:28:0|21:68:Yes|21:69:Yes|21:70:Yes|</t>
  </si>
  <si>
    <t>39:1:Yes|39:20:No|39:22:No|39:24:40|39:25:24000000|39:26:1857000|39:27:140000|39:28:3000|</t>
  </si>
  <si>
    <t>18:1:Yes|18:20:Yes|18:22:Yes|18:23:Acquired and Rehabilitated Housing|18:24:11|18:25:4015000|18:26:1452131|18:27:145119|18:28:2750|18:68:No|18:69:Yes|18:70:Yes|</t>
  </si>
  <si>
    <t>35:1:Yes|35:20:Yes|35:22:Yes|35:23:Newly Constructed Housing|35:24:24|35:25:347000|35:26:138800|35:46:49|35:47:347000|35:48:138800|35:68:No|35:69:Yes|35:70:Yes|</t>
  </si>
  <si>
    <t>9:1:No|23:1:Yes|23:20:Yes|23:21:No|23:22:No|23:23:Newly Constructed Housing|23:24:2|23:25:2000000|23:26:400000|23:68:Yes|23:69:Yes|23:70:Yes|40:1:Yes|40:20:No|40:21:No|40:22:No|40:25:1600000|43:1:Yes|43:20:No|43:21:No|43:22:No|43:23:Acquired and Rehabilitated Housing|43:24:6|43:25:4800000|43:26:600000|43:68:No|43:69:Yes|43:70:Yes|</t>
  </si>
  <si>
    <t>13:1:Yes|13:20:Yes|13:22:Yes|13:23:Newly Constructed Housing|13:46:20|13:47:6400000|13:48:1000000|13:49:33000|13:68:No|13:69:Yes|13:70:Yes|</t>
  </si>
  <si>
    <t>35:1:Yes|35:20:Yes|35:23:Acquired and Rehabilitated Housing|35:24:15|35:25:7650000|35:26:3000000|35:27:300000|35:28:0|35:68:No|35:69:Yes|35:70:Yes|</t>
  </si>
  <si>
    <t>39:1:Yes|39:20:No|39:23:Newly Constructed Housing|39:24:10|39:25:606670000|39:26:2000000|39:27:57000|39:68:No|39:69:Yes|39:70:Yes|</t>
  </si>
  <si>
    <t>18:1:Yes|18:20:Yes|18:22:Yes|18:23:Acquired and Rehabilitated Housing|18:46:5|18:47:1825000|18:48:453562|18:49:45188|18:50:1250|18:68:No|18:69:Yes|18:70:Yes|</t>
  </si>
  <si>
    <t>46:1:Yes|46:20:No|46:23:Newly Constructed Housing|46:24:13|46:25:9750000|46:26:2600000|46:27:260000|46:28:3250|46:68:Yes|46:69:Yes|46:70:Yes|</t>
  </si>
  <si>
    <t>21:1:Yes|21:20:No|21:23:Newly Constructed Housing|21:24:25|21:25:13442900|21:26:4593750|21:27:400000|21:28:6250|21:68:Yes|21:69:Yes|21:70:Yes|</t>
  </si>
  <si>
    <t>45:1:Yes|45:20:No|45:21:No|45:22:No|45:23:Newly Constructed Housing|45:24:20|45:25:14000000|45:26:4000000|45:68:No|45:69:Yes|45:70:Yes|</t>
  </si>
  <si>
    <t>50:1:Yes|50:23:Yes|</t>
  </si>
  <si>
    <t>39:1:Yes|39:20:Yes|39:24:25|39:25:11375000|39:26:4543750|39:27:450000|39:28:6250|</t>
  </si>
  <si>
    <t>35:1:Yes|35:20:Yes|35:21:Yes|35:22:No|35:23:Newly Constructed Housing|35:35:8|35:36:2120000|35:37:517662|35:38:51766|35:39:2000|35:68:Yes|35:69:Yes|35:70:Yes|38:1:Yes|38:20:Yes|38:21:Yes|38:22:No|38:23:Newly Constructed Housing|38:35:27|38:36:7155000|38:37:1747111|38:38:174711|38:39:6750|38:68:Yes|38:69:Yes|38:70:Yes|</t>
  </si>
  <si>
    <t>38:1:Yes|38:20:Yes|38:23:Newly Constructed Housing|38:24:5|38:25:1950000|38:26:780000|38:27:78000|38:28:1250|38:68:Yes|38:69:Yes|38:70:Yes|</t>
  </si>
  <si>
    <t>23:1:Yes|23:20:Yes|23:21:Yes|23:24:11|23:25:4400000|23:26:1760000|23:27:176000|23:35:8|23:36:2400000|23:37:960000|23:38:96000|</t>
  </si>
  <si>
    <t>21:1:Yes|21:20:Yes|21:21:Yes|21:23:Newly Constructed Housing|21:24:9|21:25:5850000|21:26:1800000|21:27:160000|21:28:2250|21:35:6|21:36:1000000|21:37:400000|21:38:36250|21:39:1500|21:68:Yes|21:69:Yes|21:70:Yes|</t>
  </si>
  <si>
    <t>21:1:Yes|21:20:Yes|21:21:Yes|21:24:12|21:25:7800000|21:26:2400000|21:27:240000|21:28:3000|21:35:6|21:36:1200000|21:37:480000|21:38:48000|21:39:1500|</t>
  </si>
  <si>
    <t>21:1:Yes|21:20:Yes|21:21:Yes|21:23:Newly Constructed Housing|21:24:10|21:25:6750000|21:26:2000000|21:27:200000|21:28:2500|21:35:10|21:36:1650000|21:37:545000|21:38:50000|21:39:2500|21:68:Yes|21:69:Yes|21:70:Yes|</t>
  </si>
  <si>
    <t>12:1:Yes|12:20:Yes|12:21:No|12:22:Yes|12:23:Newly Constructed Housing|12:46:20|12:47:7280000|12:48:1900000|12:49:100000|12:68:Yes|12:69:Yes|12:70:Yes|</t>
  </si>
  <si>
    <t>3:1:Yes|3:20:Yes|3:24:15|3:25:8250000|3:26:2000000|3:27:15000|3:28:0|</t>
  </si>
  <si>
    <t>3:1:Yes|3:20:Yes|3:23:Newly Constructed Housing|3:24:24|3:25:13000000|3:26:4700000|3:27:294000|3:28:5750|3:68:Yes|3:69:Yes|3:70:Yes|</t>
  </si>
  <si>
    <t>18:1:Yes|18:24:8|18:25:2168000|18:26:867200|18:27:86720|18:28:0|</t>
  </si>
  <si>
    <t>32:1:Yes|32:20:Yes|32:23:Yes|32:24:39|32:25:13650000|32:26:2500000|32:27:0|32:28:0|32:68:Yes|</t>
  </si>
  <si>
    <t>35:1:Yes|35:20:Yes|35:24:6|35:25:2700000|35:26:1027600|35:27:41104|35:28:0|38:1:Yes|38:20:Yes|38:24:11|38:25:4950000|38:26:1980000|38:27:79200|</t>
  </si>
  <si>
    <t>21:1:Yes|21:20:Yes|21:23:Newly Constructed Housing|21:68:Yes|21:69:Yes|21:70:Yes|30:1:Yes|30:20:Yes|30:23:Newly Constructed Housing|30:24:25|30:25:12500000|30:26:5000000|30:27:0|30:28:0|30:68:Yes|30:69:Yes|30:70:Yes|</t>
  </si>
  <si>
    <t>14:1:Yes|14:20:Yes|14:21:Yes|14:22:Yes|14:46:5|14:47:1270700|14:48:317675|14:49:31768|14:50:1250|14:57:2|14:58:316120|14:59:126448|14:60:12645|14:61:500|</t>
  </si>
  <si>
    <t>58:1:Yes|58:20:No|58:24:50|58:25:27500000|58:26:4850000|58:27:137500|58:28:12500|</t>
  </si>
  <si>
    <t>21:1:Yes|21:20:No|21:24:9|21:25:5400000|21:26:1800000|21:27:180000|21:28:2250|</t>
  </si>
  <si>
    <t>31:1:Yes|31:20:Yes|31:22:Yes|31:23:Newly Constructed Housing|31:24:7|31:25:1400000|31:26:525000|31:27:52500|31:28:1750|31:46:0|31:47:0|31:48:0|31:49:0|31:50:0|31:68:Yes|31:69:Yes|31:70:Yes|</t>
  </si>
  <si>
    <t>12:1:Yes|12:20:No|12:23:Newly Constructed Housing|12:24:17|12:25:5423000|12:26:2169200|12:27:0|12:28:0|12:68:Yes|12:69:Yes|12:70:Yes|17:22:Yes|17:23:Newly Constructed Housing|17:46:2|17:47:596000|17:48:208600|17:49:10430|17:50:500|17:68:No|17:69:Yes|17:1:Yes|18:1:Yes|17:20:No|18:20:No|18:23:Newly Constructed Housing|18:24:6|18:25:1914000|18:26:765600|18:27:0|18:28:0|18:68:Yes|18:69:Yes|18:70:Yes|22:1:Yes|22:20:No|22:22:Yes|22:23:Newly Constructed Housing|22:46:6|22:47:1160000|22:48:406000|22:49:20300|22:50:1000|22:68:No|22:69:Yes|22:70:Yes|26:1:Yes|26:20:No|26:22:Yes|26:23:Newly Constructed Housing|26:46:2|26:47:570000|26:48:199500|26:49:9975|26:50:500|26:68:No|26:69:Yes|26:70:Yes|56:1:Yes|56:22:Yes|56:46:2|56:47:582000|56:48:197880|56:49:9894|56:50:500|</t>
  </si>
  <si>
    <t>12:1:Yes|12:20:Yes|12:21:Yes|12:23:22|12:24:3|12:27:1788770|12:32:20|12:33:1163855|12:53:357754|12:55:232771|</t>
  </si>
  <si>
    <t>57:1:Yes|57:20:Yes|57:21:Yes|57:22:Yes|57:23:0|57:24:0|57:25:0|57:26:0|57:27:0|57:32:0|57:33:0|57:38:0|57:39:0|57:40:0|57:41:0|57:42:0|57:47:5|57:48:1000000|57:53:0|57:55:0|57:57:0|57:59:200000|</t>
  </si>
  <si>
    <t>21:1:Yes|21:20:Yes|21:23:60|21:27:900000|21:53:100000|</t>
  </si>
  <si>
    <t>19:1:Yes|19:20:Yes|19:21:No|19:22:Yes|19:38:4|19:42:200000|19:57:40000|</t>
  </si>
  <si>
    <t>12:1:Yes|12:20:Yes|12:21:No|12:22:Yes|12:38:4|12:42:500217|12:57:99783|</t>
  </si>
  <si>
    <t>56:1:Yes|56:20:Yes|56:22:Yes|56:23:10|56:24:5|56:25:5|56:26:5|56:27:4168473|56:53:831527|</t>
  </si>
  <si>
    <t>56:1:Yes|56:20:Yes|56:22:Yes|56:38:4|56:39:1|56:42:625271|56:57:124729|</t>
  </si>
  <si>
    <t>21:1:Yes|21:20:Yes|21:21:Yes|21:23:3|21:24:0|21:25:0|21:26:0|21:27:600000|21:32:6|21:33:1200000|21:53:120000|21:55:160000|</t>
  </si>
  <si>
    <t>18:1:Yes|18:20:Yes|18:22:Yes|18:27:0|18:38:4|18:39:2|18:40:1|18:41:1|18:42:1333911|18:53:0|18:57:266300|</t>
  </si>
  <si>
    <t>43:1:Yes|43:20:No|43:21:Yes|43:22:No|43:23:0|43:24:0|43:25:0|43:26:0|43:32:15|43:33:1346364|43:55:153636|</t>
  </si>
  <si>
    <t>21:1:Yes|21:20:No|21:21:No|21:22:No|21:23:19|21:25:5|21:26:5|21:27:4170000|21:53:830000|</t>
  </si>
  <si>
    <t>39:1:Yes|39:20:No|39:21:Yes|39:23:10|39:27:500000|39:32:2|39:33:200000|</t>
  </si>
  <si>
    <t>18:1:Yes|18:20:Yes|18:22:Yes|18:38:3|18:39:1|18:42:416715|18:57:83285|</t>
  </si>
  <si>
    <t>29:1:Yes|29:20:Yes|29:21:No|29:22:No|29:23:5|29:27:250000|46:1:Yes|46:20:Yes|46:21:No|46:22:No|46:23:5|46:27:250000|</t>
  </si>
  <si>
    <t>38:1:Yes|38:20:Yes|38:21:Yes|38:32:50|38:33:4200000|38:55:800000|</t>
  </si>
  <si>
    <t>38:1:Yes|38:20:No|38:21:Yes|38:23:25|38:27:2500000|38:32:50|38:33:1000000|38:53:500000|38:55:200000|</t>
  </si>
  <si>
    <t>15:1:Yes|15:23:10|15:24:2|15:27:500000|15:53:45000|</t>
  </si>
  <si>
    <t>45:1:Yes|45:20:No|45:23:10|45:25:5|45:27:2000000|</t>
  </si>
  <si>
    <t>38:1:Yes|38:20:Yes|38:21:Yes|38:22:No|38:23:0|38:24:0|38:25:0|38:26:0|38:27:0|38:32:12|38:33:600000|</t>
  </si>
  <si>
    <t>38:1:Yes|38:20:Yes|38:21:Yes|38:23:3|38:24:0|38:25:0|38:26:0|38:27:600000|38:32:2|38:33:400000|38:53:102000|38:55:80000|</t>
  </si>
  <si>
    <t>23:1:Yes|23:20:Yes|23:21:Yes|23:25:3|23:27:600000|23:32:5|23:33:1000000|23:53:120000|23:55:200000|</t>
  </si>
  <si>
    <t>21:1:Yes|21:20:Yes|21:21:Yes|21:23:6|21:24:0|21:25:4|21:26:2|21:27:1800000|21:32:3|21:33:500000|21:53:200000|21:55:100000|</t>
  </si>
  <si>
    <t>21:1:Yes|21:20:Yes|21:21:Yes|21:23:5|21:24:0|21:25:2|21:26:1|21:27:1200000|21:32:2|21:33:300000|21:53:240000|21:55:60000|32:1:Yes|32:20:Yes|</t>
  </si>
  <si>
    <t>21:1:Yes|21:20:Yes|21:21:Yes|21:23:6|21:24:0|21:25:5|21:26:1|21:27:1500000|21:32:5|21:33:500000|21:53:150000|21:55:50000|</t>
  </si>
  <si>
    <t>12:1:Yes|12:20:Yes|12:21:No|12:22:Yes|12:38:9|12:42:1670000|12:57:330000|</t>
  </si>
  <si>
    <t>14:1:Yes|14:20:No|14:21:Yes|14:22:Yes|14:38:27|14:39:5|14:42:3330000|14:47:3|14:48:370000|14:57:630000|14:59:70000|</t>
  </si>
  <si>
    <t>3:1:Yes|3:20:Yes|3:23:13|3:24:0|3:25:0|3:26:0|3:27:2600000|3:53:385000|</t>
  </si>
  <si>
    <t>3:1:Yes|3:20:No|3:21:Yes|3:22:No|3:23:0|3:24:0|3:25:0|3:26:0|3:32:30|3:33:800000|3:55:160000|9:1:Yes|9:20:No|9:21:Yes|9:23:0|9:24:0|9:25:0|9:26:0|9:32:30|9:33:800000|9:55:160000|45:1:Yes|45:20:No|45:21:Yes|45:23:0|45:24:0|45:25:0|45:26:0|45:32:90|45:33:2600000|45:55:520000|</t>
  </si>
  <si>
    <t>18:1:Yes|18:23:10|18:24:0|18:25:0|18:26:0|18:27:400000|18:53:80000|45:1:Yes|45:27:0|45:53:0|</t>
  </si>
  <si>
    <t>21:1:Yes|21:20:Yes|21:21:Yes|21:23:0|21:24:0|21:25:0|21:26:0|21:32:30|21:33:4250000|21:55:750000|</t>
  </si>
  <si>
    <t>38:1:Yes|38:20:Yes|38:21:Yes|38:23:8|38:24:0|38:25:0|38:26:3|38:27:1550000|38:32:1|38:33:150000|38:53:155000|38:55:15000|</t>
  </si>
  <si>
    <t>35:1:Yes|35:20:No|35:21:Yes|35:23:4|35:24:0|35:25:3|35:26:5|35:27:2050000|35:32:3|35:33:450000|35:53:410000|35:55:90000|</t>
  </si>
  <si>
    <t>36:1:Yes|36:20:No|36:23:14|36:24:280000|36:55:Yes|</t>
  </si>
  <si>
    <t>36:1:Yes|36:20:Yes|36:23:10|36:24:200000|36:55:Yes|</t>
  </si>
  <si>
    <t>12:1:Yes|12:20:No|12:21:No|12:22:Yes|12:39:7|12:40:140000|12:41:1750|12:55:No|</t>
  </si>
  <si>
    <t>19:1:Yes|19:20:Yes|19:22:Yes|19:39:8|19:40:160000|19:55:No|</t>
  </si>
  <si>
    <t>6:1:Yes|6:20:Yes|6:22:Yes|6:39:50|6:40:500000|</t>
  </si>
  <si>
    <t>13:1:Yes|13:20:Yes|13:22:Yes|13:39:32|13:40:320000|13:55:No|</t>
  </si>
  <si>
    <t>39:1:Yes|39:20:No|39:23:10|39:24:100000|39:55:No|</t>
  </si>
  <si>
    <t>46:1:Yes|46:20:No|46:23:13|46:24:260000|46:25:3250|46:55:Yes|</t>
  </si>
  <si>
    <t>27:1:No|60:1:Yes|60:20:Yes|60:21:No|60:23:22|60:24:440000|60:25:5500|60:55:Yes|</t>
  </si>
  <si>
    <t>44:1:Yes|44:20:No|44:21:No|44:23:24|44:24:480000|44:55:Yes|</t>
  </si>
  <si>
    <t>43:1:Yes|43:12:No|43:13:Yes|43:14:No|43:15:0|43:24:28|43:25:4200000|43:26:800000|43:33:No|</t>
  </si>
  <si>
    <t>12:1:Yes|12:12:Yes|12:13:Yes|12:14:No|12:24:30|12:25:4500000|12:26:500000|12:33:No|29:1:No|</t>
  </si>
  <si>
    <t>23:1:Yes|23:12:No|23:13:No|23:14:Yes|23:15:2|23:16:2000000|23:17:400000|</t>
  </si>
  <si>
    <t>46:1:Yes|46:12:No|46:14:Newly Constructed Housing|46:15:5|46:16:3250000|46:17:1000000|46:18:100000|46:19:1250|46:39:Yes|46:40:Yes|46:41:Yes|</t>
  </si>
  <si>
    <t>17:1:Yes|17:13:Yes|17:14:Newly Constructed Housing|17:27:2|17:28:596000|17:29:238400|17:30:11920|17:31:500|17:39:No|17:40:Yes|17:41:Yes|22:1:Yes|22:13:Yes|22:14:Newly Constructed Housing|22:27:6|22:28:1740000|22:29:483000|22:30:24150|22:31:1500|22:39:No|22:40:No|22:41:Yes|26:1:Yes|26:13:Yes|26:14:Newly Constructed Housing|26:27:2|26:28:570000|26:29:228000|26:30:11400|26:31:500|26:39:No|26:40:Yes|26:41:Yes|</t>
  </si>
  <si>
    <t>35:1:Yes|35:12:Yes|35:14:2|35:18:0|35:34:0|</t>
  </si>
  <si>
    <t>46:1:Yes|46:12:No|46:14:5|46:15:100000|46:16:1250|46:32:Yes|</t>
  </si>
  <si>
    <t>44:1:Yes|44:12:No|44:13:No|44:14:16|44:15:320000|44:32:Yes|</t>
  </si>
  <si>
    <t>123</t>
  </si>
  <si>
    <t>S1_SHTA_MFDRuralApplicationStatus</t>
  </si>
  <si>
    <t>S1_MA_MFDRuralApplicationStatus</t>
  </si>
  <si>
    <t>S1_OOR_MFDRuralApplicationStatus</t>
  </si>
  <si>
    <t>S1_AMH_MFDRuralApplicationStatus</t>
  </si>
  <si>
    <t>109. City of Porterville\2023 HOSN Application.xlsm_x000D_
114. Neighborhood Housing Services of the Inland Empire\2023 HOSN Application.xlsm_x000D_
128. City of Upland\2023 HOSN Application.xlsm_x000D_
13. Habitat for Humanity of Greater Sacramento, Inc. (Cornerstone)\2023 HOSN Application.xlsm_x000D_
13. Habitat for Humanity of Greater Sacramento, Inc. (Oak Park)\2023 HOSN Application.xlsm_x000D_
13. Habitat for Humanity of Greater Sacramento, Inc. (Persifer)\2023 HOSN Application.xlsm_x000D_
13. Habitat for Humanity of Greater Sacramento, Inc. (Sayonara)\2023 HOSN Application.xlsm_x000D_
131. Housing Authority of the County of Marin\2023 HOSN Application.xlsm_x000D_
138. City of Arcata\2023 HOSN Application.xlsm_x000D_
139. City of Orange Cove\2023 HOSN Application.xlsm_x000D_
140. City of Norwalk\2023 HOSN Application.xlsm_x000D_
141. City of La Puente\2023 HOSN Application.xlsm_x000D_
142. City of Lynwood\2023 HOSN Application.xlsm_x000D_
151. Habitat for Humanity East BaySilicon Valley (De La Cruz)\2023 HOSN Application.xlsm_x000D_
151. Habitat for Humanity East BaySilicon Valley (Esperanza Place Phase 2)\2023 HOSN Application.xlsm_x000D_
153. City of Parlier\2023 HOSN Application.xlsm_x000D_
155. Habitat for Humanity of Greater Los Angeles\2023 HOSN Application.xlsm_x000D_
157. County of Tulare\2023 HOSN Application.xlsm_x000D_
164. City of Dinuba\2023 HOSN Application.xlsm_x000D_
165. City of Tulare\2023 HOSN Application.xlsm_x000D_
166. NHS Neighborhood Lending Services\2023 HOSN Application.xlsm_x000D_
167. The City of Hollister\2023 HOSN Application.xlsm_x000D_
169. Ventura County Community Development Corporation\2023 HOSN Application.xlsm_x000D_
186. City of Pasadena\2023 HOSN Application.xlsm_x000D_
190. County of San Diego\2023 HOSN Application.xlsm_x000D_
194. City of Avenal\2023 HOSN Application.xlsm_x000D_
196. The Coachella Valley Housing Coalition\2023 HOSN Application.xlsm_x000D_
201. Habitat for Humanity Greater San Francisco (Habitat Redwood Blvd.)\2023 HOSN Application.xlsm_x000D_
202. Community Housing Improvement Program, Incorporated\2023 HOSN Application.xlsm_x000D_
202. Community Housing Improvement Program, Incorporated (Pacific Flyway)\2023 HOSN Application.xlsm_x000D_
205. City of Rio Dell\2023 HOSN Application.xlsm_x000D_
209. Habitat for Humanity Inland Valley\2023 HOSN Application.xlsm_x000D_
211. Habitat for Humanity Intl Yuba Sutter (Fernwood Village Phase 1)\2023 HOSN Application.xlsm_x000D_
215. City of Oakland\2023 HOSN Application.xlsm_x000D_
216. The Long Beach Community Investment Company\2023 HOSN Application.xlsm_x000D_
217. Habitat for Humanity East BaySilicon Valley, Inc\2023 HOSN Application.xlsm_x000D_
222. Northern California Land Trust, Inc. (Woolsey Gardens)\2023 HOSN Application.xlsm_x000D_
225. San Diego Habitat for Humanity, Inc\2023 HOSN Application.xlsm_x000D_
228. City of Hanford\2023 HOSN Application.xlsm_x000D_
229. City of Corcoran\2023 HOSN Application.xlsm_x000D_
24. Homes for Families\2023 HOSN Application.xlsm_x000D_
243. Habitat for Humanity of Orange County (New Construction Homes - Del Mar Washington St. and St. Michaels)\2023 HOSN Application.xlsm_x000D_
249. HABITAT FOR HUMANITY MONTEREY BAY (AIRPORT ROAD)\2023 HOSN Application.xlsm_x000D_
250. City of South Gate\2023 HOSN Application.xlsm_x000D_
251. Affordable Community Living Corporation\2023 HOSN Application.xlsm_x000D_
252. City of Rialto\2023 HOSN Application.xlsm_x000D_
254. City of El Monte\2023 HOSN Application.xlsm_x000D_
259. San Mateo County Department of Housing\2023 HOSN Application.xlsm_x000D_
260. City of East Palo Alto\2023 HOSN Application.xlsm_x000D_
261. Habitat for Humanity Calaveras (Copello Drive Development)\2023 HOSN Application.xlsm_x000D_
263. City of Brawley\2023 HOSN Application.xlsm_x000D_
264. Nevada County Habitat for Humanity\2023 HOSN Application.xlsm_x000D_
266. City of Lancaster\2023 HOSN Application.xlsm_x000D_
269. Neighborhood Partnership Housing Services, Inc\2023 HOSN Application.xlsm_x000D_
270. Heritage Housing Corporation\2023 HOSN Application.xlsm_x000D_
271. City of Parlier\2023 HOSN Application.xlsm_x000D_
272. City of Riverside\2023 HOSN Application.xlsm_x000D_
273. Self-Help Enterprises\2023 HOSN Application.xlsm_x000D_
28. City of Clovis\2023 HOSN Application.xlsm_x000D_
4. County of Santa Clara\2023 HOSN Application.xlsm_x000D_
44. San Diego Housing Commission (SDHC)\2023 HOSN Application.xlsm_x000D_
52. City of Chino\2023 HOSN Application.xlsm_x000D_
53. Habitat for Humanity Fresno, Inc\2023 HOSN Application.xlsm_x000D_
56. People's Self-Help Housing (Skylight Homes)\2023 HOSN Application.xlsm_x000D_
70. Habitat for Humanity Riverside Inc\2023 HOSN Application.xlsm_x000D_
72. Habitat for Humanity of Tuolumne County, Inc\2023 HOSN Application.xlsm_x000D_
8. Solano-Napa Habitat for Humanity Inc. (Scoggins Court Habitat Homeownership Project)\2023 HOSN Application.xlsm_x000D_
81. San Gabriel Valley Habitat for Humanity (Torch Street Homes)\2023 HOSN Application.xlsm_x000D_
86. California Center for Cooperative Development\2023 HOSN Application.xlsm_x000D_
97. Housing Trust Fund of Santa Barbara County\2023 HOSN Application.xlsm_x000D_
99. Habitat for Humanity Lake County Ca, Inc\2023 HOSN Application.xlsm</t>
  </si>
  <si>
    <t>True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</si>
</sst>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_);[Red]\(&quot;$&quot;#,##0\)"/>
    <numFmt numFmtId="8" formatCode="&quot;$&quot;#,##0.00_);[Red]\(&quot;$&quot;#,##0.00\)"/>
    <numFmt numFmtId="44" formatCode="_(&quot;$&quot;* #,##0.00_);_(&quot;$&quot;* \(#,##0.00\);_(&quot;$&quot;* &quot;-&quot;??_);_(@_)"/>
    <numFmt numFmtId="43" formatCode="_(* #,##0.00_);_(* \(#,##0.00\);_(* &quot;-&quot;??_);_(@_)"/>
    <numFmt numFmtId="164" formatCode="0.0%"/>
    <numFmt numFmtId="165" formatCode="&quot;$&quot;* #,##0;_(&quot;$&quot;* \(#,##0\);_(* ??_);_(@_)"/>
    <numFmt numFmtId="166" formatCode="* #,##0;_(* \(#,##0\);_(* ??_);_(@_)"/>
    <numFmt numFmtId="167" formatCode="&quot;$&quot;#,##0.00"/>
    <numFmt numFmtId="168" formatCode="&quot;$&quot;#,##0"/>
    <numFmt numFmtId="169" formatCode="_(&quot;$&quot;* #,##0_);_(&quot;$&quot;* \(#,##0\);_(&quot;$&quot;* &quot;-&quot;??_);_(@_)"/>
    <numFmt numFmtId="170" formatCode="_(* #,##0_);_(* \(#,##0\);_(* &quot;-&quot;??_);_(@_)"/>
    <numFmt numFmtId="171" formatCode="m/d/yy"/>
    <numFmt numFmtId="172" formatCode="0.0"/>
    <numFmt numFmtId="173" formatCode="#.00%"/>
    <numFmt numFmtId="174" formatCode="0.00000"/>
  </numFmts>
  <fonts count="72"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theme="0"/>
      <name val="Calibri"/>
      <family val="2"/>
      <scheme val="minor"/>
    </font>
    <font>
      <sz val="11"/>
      <color theme="1"/>
      <name val="Segoe UI"/>
      <family val="2"/>
    </font>
    <font>
      <sz val="8"/>
      <name val="Calibri"/>
      <family val="2"/>
      <scheme val="minor"/>
    </font>
    <font>
      <sz val="11"/>
      <color rgb="FF006100"/>
      <name val="Calibri"/>
      <family val="2"/>
      <scheme val="minor"/>
    </font>
    <font>
      <sz val="11"/>
      <color theme="0" tint="-0.499984740745262"/>
      <name val="Calibri"/>
      <family val="2"/>
      <scheme val="minor"/>
    </font>
    <font>
      <b/>
      <sz val="16"/>
      <color theme="0"/>
      <name val="Calibri"/>
      <family val="2"/>
      <scheme val="minor"/>
    </font>
    <font>
      <sz val="11"/>
      <name val="Calibri"/>
      <family val="2"/>
      <scheme val="minor"/>
    </font>
    <font>
      <sz val="11"/>
      <color rgb="FFFFFF00"/>
      <name val="Calibri"/>
      <family val="2"/>
      <scheme val="minor"/>
    </font>
    <font>
      <b/>
      <sz val="11"/>
      <color theme="0"/>
      <name val="Calibri"/>
      <family val="2"/>
      <scheme val="minor"/>
    </font>
    <font>
      <sz val="11"/>
      <color rgb="FF66FF33"/>
      <name val="Calibri"/>
      <family val="2"/>
      <scheme val="minor"/>
    </font>
    <font>
      <sz val="14"/>
      <color theme="1"/>
      <name val="Century Gothic"/>
      <family val="2"/>
    </font>
    <font>
      <sz val="11"/>
      <color theme="1"/>
      <name val="Century Gothic"/>
      <family val="2"/>
    </font>
    <font>
      <sz val="20"/>
      <color theme="1"/>
      <name val="Century Gothic"/>
      <family val="2"/>
    </font>
    <font>
      <b/>
      <sz val="11"/>
      <color theme="0" tint="-0.499984740745262"/>
      <name val="Calibri"/>
      <family val="2"/>
      <scheme val="minor"/>
    </font>
    <font>
      <u/>
      <sz val="11"/>
      <color theme="10"/>
      <name val="Calibri"/>
      <family val="2"/>
      <scheme val="minor"/>
    </font>
    <font>
      <sz val="10"/>
      <name val="Segoe UI"/>
      <family val="2"/>
    </font>
    <font>
      <b/>
      <sz val="10"/>
      <name val="Segoe UI"/>
      <family val="2"/>
    </font>
    <font>
      <b/>
      <sz val="10"/>
      <name val="Segoe UI Semibold"/>
      <family val="2"/>
    </font>
    <font>
      <sz val="11"/>
      <color rgb="FFFF0000"/>
      <name val="Calibri"/>
      <family val="2"/>
      <scheme val="minor"/>
    </font>
    <font>
      <sz val="10"/>
      <color theme="1"/>
      <name val="Calibri"/>
      <family val="2"/>
      <scheme val="minor"/>
    </font>
    <font>
      <sz val="10"/>
      <name val="Calibri"/>
      <family val="2"/>
      <scheme val="minor"/>
    </font>
    <font>
      <sz val="16"/>
      <color theme="1"/>
      <name val="Calibri"/>
      <family val="2"/>
      <scheme val="minor"/>
    </font>
    <font>
      <b/>
      <sz val="11"/>
      <color rgb="FFFA7D00"/>
      <name val="Calibri"/>
      <family val="2"/>
      <scheme val="minor"/>
    </font>
    <font>
      <b/>
      <sz val="11"/>
      <color theme="1"/>
      <name val="Segoe UI"/>
      <family val="2"/>
    </font>
    <font>
      <b/>
      <u/>
      <sz val="11"/>
      <color theme="10"/>
      <name val="Calibri"/>
      <family val="2"/>
      <scheme val="minor"/>
    </font>
    <font>
      <sz val="20"/>
      <name val="Century Gothic"/>
      <family val="2"/>
    </font>
    <font>
      <u/>
      <sz val="11"/>
      <color theme="10"/>
      <name val="Century Gothic"/>
      <family val="2"/>
    </font>
    <font>
      <b/>
      <sz val="16"/>
      <name val="Century Gothic"/>
      <family val="2"/>
    </font>
    <font>
      <sz val="10"/>
      <color rgb="FFFF0000"/>
      <name val="Segoe UI"/>
      <family val="2"/>
    </font>
    <font>
      <b/>
      <sz val="11"/>
      <color theme="1"/>
      <name val="Century Gothic"/>
      <family val="2"/>
    </font>
    <font>
      <b/>
      <sz val="14"/>
      <name val="Century Gothic"/>
      <family val="2"/>
    </font>
    <font>
      <b/>
      <sz val="18"/>
      <name val="Century Gothic"/>
      <family val="2"/>
    </font>
    <font>
      <b/>
      <sz val="11"/>
      <color theme="0" tint="-4.9989318521683403E-2"/>
      <name val="Century Gothic"/>
      <family val="2"/>
    </font>
    <font>
      <i/>
      <sz val="11"/>
      <color theme="1"/>
      <name val="Century Gothic"/>
      <family val="2"/>
    </font>
    <font>
      <b/>
      <sz val="11"/>
      <color rgb="FFFFFF00"/>
      <name val="Calibri"/>
      <family val="2"/>
      <scheme val="minor"/>
    </font>
    <font>
      <sz val="11"/>
      <color theme="0" tint="-0.14999847407452621"/>
      <name val="Segoe UI"/>
      <family val="2"/>
    </font>
    <font>
      <b/>
      <sz val="11"/>
      <color rgb="FF66FF33"/>
      <name val="Calibri"/>
      <family val="2"/>
      <scheme val="minor"/>
    </font>
    <font>
      <sz val="11"/>
      <color theme="8" tint="0.39997558519241921"/>
      <name val="Segoe UI"/>
      <family val="2"/>
    </font>
    <font>
      <sz val="11"/>
      <color rgb="FFFFFF00"/>
      <name val="Segoe UI"/>
      <family val="2"/>
    </font>
    <font>
      <b/>
      <sz val="11"/>
      <color rgb="FFFFFF00"/>
      <name val="Segoe UI"/>
      <family val="2"/>
    </font>
    <font>
      <sz val="10"/>
      <color theme="1"/>
      <name val="Segoe UI"/>
      <family val="2"/>
    </font>
    <font>
      <b/>
      <sz val="8"/>
      <color theme="1"/>
      <name val="Bahnschrift SemiBold"/>
      <family val="2"/>
    </font>
    <font>
      <b/>
      <sz val="10"/>
      <color theme="1"/>
      <name val="Bahnschrift SemiBold"/>
      <family val="2"/>
    </font>
    <font>
      <sz val="10"/>
      <color theme="1"/>
      <name val="Bahnschrift SemiBold"/>
      <family val="2"/>
    </font>
    <font>
      <i/>
      <sz val="10"/>
      <color theme="1"/>
      <name val="Bahnschrift SemiBold"/>
      <family val="2"/>
    </font>
    <font>
      <b/>
      <sz val="10"/>
      <color rgb="FFFF0000"/>
      <name val="Bahnschrift SemiBold"/>
      <family val="2"/>
    </font>
    <font>
      <b/>
      <sz val="10"/>
      <color theme="0" tint="-0.14999847407452621"/>
      <name val="Bahnschrift SemiBold"/>
      <family val="2"/>
    </font>
    <font>
      <b/>
      <i/>
      <sz val="10"/>
      <color theme="1"/>
      <name val="Bahnschrift SemiBold"/>
      <family val="2"/>
    </font>
    <font>
      <sz val="9"/>
      <color theme="1"/>
      <name val="Bahnschrift SemiBold"/>
      <family val="2"/>
    </font>
    <font>
      <sz val="8"/>
      <color theme="1"/>
      <name val="Bahnschrift SemiBold"/>
      <family val="2"/>
    </font>
    <font>
      <b/>
      <sz val="7"/>
      <color theme="1"/>
      <name val="Bahnschrift SemiBold"/>
      <family val="2"/>
    </font>
    <font>
      <b/>
      <sz val="10"/>
      <color theme="0"/>
      <name val="Bahnschrift SemiBold"/>
      <family val="2"/>
    </font>
    <font>
      <sz val="10"/>
      <color theme="0"/>
      <name val="Bahnschrift SemiBold"/>
      <family val="2"/>
    </font>
    <font>
      <sz val="10"/>
      <color theme="0" tint="-0.249977111117893"/>
      <name val="Bahnschrift SemiBold"/>
      <family val="2"/>
    </font>
    <font>
      <sz val="11"/>
      <color theme="1"/>
      <name val="Bahnschrift SemiBold"/>
      <family val="2"/>
    </font>
    <font>
      <sz val="8"/>
      <color rgb="FF0070C0"/>
      <name val="Bahnschrift SemiBold"/>
      <family val="2"/>
    </font>
    <font>
      <sz val="6"/>
      <color theme="1"/>
      <name val="Bahnschrift SemiBold"/>
      <family val="2"/>
    </font>
    <font>
      <i/>
      <sz val="8"/>
      <color theme="1"/>
      <name val="Bahnschrift SemiBold"/>
      <family val="2"/>
    </font>
    <font>
      <sz val="10"/>
      <color theme="0" tint="-4.9989318521683403E-2"/>
      <name val="Bahnschrift SemiBold"/>
      <family val="2"/>
    </font>
    <font>
      <b/>
      <sz val="8"/>
      <color theme="0" tint="-0.14999847407452621"/>
      <name val="Bahnschrift SemiBold"/>
      <family val="2"/>
    </font>
    <font>
      <sz val="14"/>
      <color rgb="FF0000FF"/>
      <name val="Calibri"/>
      <family val="2"/>
    </font>
    <font>
      <u/>
      <sz val="14"/>
      <color rgb="FF0000FF"/>
      <name val="Calibri"/>
      <family val="2"/>
    </font>
    <font>
      <b/>
      <sz val="7.5"/>
      <color theme="1"/>
      <name val="Bahnschrift SemiBold"/>
      <family val="2"/>
    </font>
    <font>
      <sz val="7.5"/>
      <color theme="1"/>
      <name val="Calibri"/>
      <family val="2"/>
      <scheme val="minor"/>
    </font>
    <font>
      <sz val="4.2"/>
      <color theme="1"/>
      <name val="Calibri"/>
      <family val="2"/>
      <scheme val="minor"/>
    </font>
    <font>
      <sz val="8"/>
      <color rgb="FFFF0000"/>
      <name val="Calibri"/>
      <family val="2"/>
      <scheme val="minor"/>
    </font>
    <font>
      <sz val="8"/>
      <color theme="1"/>
      <name val="Calibri"/>
      <family val="2"/>
      <scheme val="minor"/>
    </font>
    <font>
      <sz val="10"/>
      <color indexed="8"/>
      <name val="Arial"/>
      <family val="2"/>
    </font>
  </fonts>
  <fills count="31">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8" tint="0.79998168889431442"/>
        <bgColor indexed="64"/>
      </patternFill>
    </fill>
    <fill>
      <patternFill patternType="solid">
        <fgColor rgb="FFFFFFCC"/>
        <bgColor indexed="64"/>
      </patternFill>
    </fill>
    <fill>
      <patternFill patternType="solid">
        <fgColor theme="0" tint="-0.499984740745262"/>
        <bgColor indexed="64"/>
      </patternFill>
    </fill>
    <fill>
      <patternFill patternType="solid">
        <fgColor rgb="FFC6EFCE"/>
      </patternFill>
    </fill>
    <fill>
      <patternFill patternType="solid">
        <fgColor theme="0" tint="-4.9989318521683403E-2"/>
        <bgColor indexed="64"/>
      </patternFill>
    </fill>
    <fill>
      <patternFill patternType="solid">
        <fgColor theme="4"/>
        <bgColor theme="4"/>
      </patternFill>
    </fill>
    <fill>
      <patternFill patternType="solid">
        <fgColor theme="1" tint="0.499984740745262"/>
        <bgColor indexed="64"/>
      </patternFill>
    </fill>
    <fill>
      <patternFill patternType="solid">
        <fgColor theme="0" tint="-0.499984740745262"/>
        <bgColor theme="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4472C4"/>
        <bgColor theme="4"/>
      </patternFill>
    </fill>
    <fill>
      <patternFill patternType="solid">
        <fgColor rgb="FFFF0000"/>
        <bgColor indexed="64"/>
      </patternFill>
    </fill>
    <fill>
      <patternFill patternType="solid">
        <fgColor rgb="FFF2F2F2"/>
      </patternFill>
    </fill>
    <fill>
      <patternFill patternType="solid">
        <fgColor theme="9" tint="0.79998168889431442"/>
        <bgColor indexed="64"/>
      </patternFill>
    </fill>
    <fill>
      <patternFill patternType="solid">
        <fgColor theme="1" tint="0.14999847407452621"/>
        <bgColor indexed="64"/>
      </patternFill>
    </fill>
    <fill>
      <patternFill patternType="solid">
        <fgColor rgb="FFFF3300"/>
        <bgColor indexed="64"/>
      </patternFill>
    </fill>
    <fill>
      <patternFill patternType="solid">
        <fgColor rgb="FFFF3300"/>
        <bgColor theme="4"/>
      </patternFill>
    </fill>
    <fill>
      <patternFill patternType="solid">
        <fgColor rgb="FFC00000"/>
        <bgColor indexed="64"/>
      </patternFill>
    </fill>
    <fill>
      <patternFill patternType="solid">
        <fgColor rgb="FFFFFF00"/>
        <bgColor indexed="64"/>
      </patternFill>
    </fill>
    <fill>
      <patternFill patternType="solid">
        <fgColor theme="2" tint="-0.499984740745262"/>
        <bgColor indexed="64"/>
      </patternFill>
    </fill>
    <fill>
      <patternFill patternType="solid">
        <fgColor theme="8" tint="-0.249977111117893"/>
        <bgColor indexed="64"/>
      </patternFill>
    </fill>
    <fill>
      <patternFill patternType="solid">
        <fgColor theme="6"/>
      </patternFill>
    </fill>
    <fill>
      <patternFill patternType="solid">
        <fgColor theme="0" tint="-0.14999847407452621"/>
        <bgColor indexed="64"/>
      </patternFill>
    </fill>
    <fill>
      <patternFill patternType="solid">
        <fgColor theme="7" tint="0.39997558519241921"/>
        <bgColor indexed="64"/>
      </patternFill>
    </fill>
    <fill>
      <patternFill patternType="solid">
        <fgColor rgb="FFFFC000"/>
        <bgColor indexed="64"/>
      </patternFill>
    </fill>
  </fills>
  <borders count="108">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indexed="64"/>
      </top>
      <bottom style="thin">
        <color auto="1"/>
      </bottom>
      <diagonal/>
    </border>
    <border>
      <left style="medium">
        <color indexed="64"/>
      </left>
      <right style="thin">
        <color auto="1"/>
      </right>
      <top/>
      <bottom style="thin">
        <color auto="1"/>
      </bottom>
      <diagonal/>
    </border>
    <border>
      <left style="medium">
        <color indexed="64"/>
      </left>
      <right style="thin">
        <color auto="1"/>
      </right>
      <top style="thin">
        <color indexed="64"/>
      </top>
      <bottom style="thin">
        <color auto="1"/>
      </bottom>
      <diagonal/>
    </border>
    <border>
      <left style="medium">
        <color indexed="64"/>
      </left>
      <right/>
      <top style="thin">
        <color auto="1"/>
      </top>
      <bottom style="thin">
        <color auto="1"/>
      </bottom>
      <diagonal/>
    </border>
    <border>
      <left style="medium">
        <color indexed="64"/>
      </left>
      <right style="medium">
        <color indexed="64"/>
      </right>
      <top style="thin">
        <color indexed="64"/>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medium">
        <color indexed="64"/>
      </top>
      <bottom style="thin">
        <color auto="1"/>
      </bottom>
      <diagonal/>
    </border>
    <border>
      <left/>
      <right/>
      <top style="thin">
        <color auto="1"/>
      </top>
      <bottom/>
      <diagonal/>
    </border>
    <border>
      <left/>
      <right/>
      <top style="thin">
        <color auto="1"/>
      </top>
      <bottom style="thin">
        <color indexed="64"/>
      </bottom>
      <diagonal/>
    </border>
    <border>
      <left style="thin">
        <color auto="1"/>
      </left>
      <right/>
      <top style="thin">
        <color auto="1"/>
      </top>
      <bottom/>
      <diagonal/>
    </border>
    <border>
      <left/>
      <right style="thin">
        <color auto="1"/>
      </right>
      <top/>
      <bottom style="thin">
        <color auto="1"/>
      </bottom>
      <diagonal/>
    </border>
    <border>
      <left/>
      <right style="thin">
        <color auto="1"/>
      </right>
      <top style="thin">
        <color auto="1"/>
      </top>
      <bottom/>
      <diagonal/>
    </border>
    <border>
      <left/>
      <right style="thin">
        <color indexed="64"/>
      </right>
      <top/>
      <bottom/>
      <diagonal/>
    </border>
    <border>
      <left/>
      <right style="thin">
        <color auto="1"/>
      </right>
      <top style="thin">
        <color auto="1"/>
      </top>
      <bottom style="medium">
        <color indexed="64"/>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top/>
      <bottom/>
      <diagonal/>
    </border>
    <border>
      <left/>
      <right style="medium">
        <color indexed="64"/>
      </right>
      <top/>
      <bottom/>
      <diagonal/>
    </border>
    <border>
      <left style="thin">
        <color auto="1"/>
      </left>
      <right style="medium">
        <color indexed="64"/>
      </right>
      <top/>
      <bottom style="thin">
        <color auto="1"/>
      </bottom>
      <diagonal/>
    </border>
    <border>
      <left style="thin">
        <color auto="1"/>
      </left>
      <right style="medium">
        <color indexed="64"/>
      </right>
      <top style="thin">
        <color auto="1"/>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auto="1"/>
      </left>
      <right style="thin">
        <color auto="1"/>
      </right>
      <top style="thin">
        <color auto="1"/>
      </top>
      <bottom/>
      <diagonal/>
    </border>
    <border>
      <left style="medium">
        <color indexed="64"/>
      </left>
      <right style="thin">
        <color auto="1"/>
      </right>
      <top style="thin">
        <color indexed="64"/>
      </top>
      <bottom/>
      <diagonal/>
    </border>
    <border>
      <left style="thin">
        <color auto="1"/>
      </left>
      <right style="medium">
        <color indexed="64"/>
      </right>
      <top style="thin">
        <color auto="1"/>
      </top>
      <bottom/>
      <diagonal/>
    </border>
    <border>
      <left style="medium">
        <color indexed="64"/>
      </left>
      <right style="medium">
        <color indexed="64"/>
      </right>
      <top style="thin">
        <color indexed="64"/>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right style="medium">
        <color indexed="64"/>
      </right>
      <top style="thin">
        <color auto="1"/>
      </top>
      <bottom style="thin">
        <color indexed="64"/>
      </bottom>
      <diagonal/>
    </border>
    <border>
      <left style="thin">
        <color auto="1"/>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auto="1"/>
      </left>
      <right/>
      <top style="medium">
        <color indexed="64"/>
      </top>
      <bottom/>
      <diagonal/>
    </border>
    <border>
      <left/>
      <right style="thin">
        <color indexed="64"/>
      </right>
      <top style="medium">
        <color indexed="64"/>
      </top>
      <bottom/>
      <diagonal/>
    </border>
    <border>
      <left style="thin">
        <color auto="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auto="1"/>
      </left>
      <right style="thin">
        <color theme="0" tint="-0.24994659260841701"/>
      </right>
      <top/>
      <bottom style="thin">
        <color theme="0" tint="-0.24994659260841701"/>
      </bottom>
      <diagonal/>
    </border>
    <border>
      <left style="thin">
        <color indexed="64"/>
      </left>
      <right/>
      <top style="thin">
        <color theme="0" tint="-0.24994659260841701"/>
      </top>
      <bottom style="thin">
        <color theme="0" tint="-0.24994659260841701"/>
      </bottom>
      <diagonal/>
    </border>
    <border>
      <left style="medium">
        <color indexed="64"/>
      </left>
      <right style="thin">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indexed="64"/>
      </right>
      <top style="thin">
        <color theme="0" tint="-0.24994659260841701"/>
      </top>
      <bottom style="medium">
        <color indexed="64"/>
      </bottom>
      <diagonal/>
    </border>
    <border>
      <left/>
      <right style="thin">
        <color theme="0" tint="-0.24994659260841701"/>
      </right>
      <top style="thin">
        <color theme="0" tint="-0.24994659260841701"/>
      </top>
      <bottom style="medium">
        <color indexed="64"/>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indexed="64"/>
      </left>
      <right/>
      <top style="thin">
        <color theme="0" tint="-0.24994659260841701"/>
      </top>
      <bottom style="medium">
        <color indexed="64"/>
      </bottom>
      <diagonal/>
    </border>
    <border>
      <left style="thin">
        <color indexed="64"/>
      </left>
      <right style="thin">
        <color theme="0" tint="-0.24994659260841701"/>
      </right>
      <top style="thin">
        <color theme="0" tint="-0.24994659260841701"/>
      </top>
      <bottom style="medium">
        <color indexed="64"/>
      </bottom>
      <diagonal/>
    </border>
    <border>
      <left style="thin">
        <color theme="0" tint="-0.24994659260841701"/>
      </left>
      <right style="thin">
        <color indexed="64"/>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medium">
        <color indexed="64"/>
      </right>
      <top style="medium">
        <color indexed="64"/>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medium">
        <color indexed="64"/>
      </right>
      <top/>
      <bottom style="thin">
        <color auto="1"/>
      </bottom>
      <diagonal/>
    </border>
    <border>
      <left style="medium">
        <color indexed="64"/>
      </left>
      <right style="thin">
        <color auto="1"/>
      </right>
      <top/>
      <bottom/>
      <diagonal/>
    </border>
    <border>
      <left style="thin">
        <color auto="1"/>
      </left>
      <right style="medium">
        <color indexed="64"/>
      </right>
      <top/>
      <bottom/>
      <diagonal/>
    </border>
    <border>
      <left style="medium">
        <color indexed="64"/>
      </left>
      <right/>
      <top style="thin">
        <color auto="1"/>
      </top>
      <bottom/>
      <diagonal/>
    </border>
    <border>
      <left/>
      <right style="medium">
        <color indexed="64"/>
      </right>
      <top style="thin">
        <color auto="1"/>
      </top>
      <bottom/>
      <diagonal/>
    </border>
    <border>
      <left style="thin">
        <color rgb="FF7F7F7F"/>
      </left>
      <right style="thin">
        <color rgb="FF7F7F7F"/>
      </right>
      <top style="thin">
        <color rgb="FF7F7F7F"/>
      </top>
      <bottom style="thin">
        <color rgb="FF7F7F7F"/>
      </bottom>
      <diagonal/>
    </border>
    <border>
      <left/>
      <right/>
      <top style="thin">
        <color theme="0" tint="-0.24994659260841701"/>
      </top>
      <bottom style="thin">
        <color theme="0" tint="-0.24994659260841701"/>
      </bottom>
      <diagonal/>
    </border>
    <border>
      <left/>
      <right/>
      <top style="thin">
        <color theme="0" tint="-0.24994659260841701"/>
      </top>
      <bottom style="medium">
        <color indexed="64"/>
      </bottom>
      <diagonal/>
    </border>
    <border>
      <left style="thin">
        <color theme="0" tint="-0.24994659260841701"/>
      </left>
      <right/>
      <top style="thin">
        <color theme="0" tint="-0.24994659260841701"/>
      </top>
      <bottom style="medium">
        <color indexed="64"/>
      </bottom>
      <diagonal/>
    </border>
    <border>
      <left/>
      <right/>
      <top/>
      <bottom style="thin">
        <color theme="0" tint="-0.24994659260841701"/>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thin">
        <color auto="1"/>
      </right>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thin">
        <color theme="0" tint="-0.24994659260841701"/>
      </bottom>
      <diagonal/>
    </border>
    <border>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bottom style="thin">
        <color theme="0" tint="-0.24994659260841701"/>
      </bottom>
      <diagonal/>
    </border>
    <border>
      <left style="thin">
        <color indexed="64"/>
      </left>
      <right/>
      <top/>
      <bottom style="thin">
        <color theme="0" tint="-0.24994659260841701"/>
      </bottom>
      <diagonal/>
    </border>
    <border>
      <left style="thin">
        <color theme="0" tint="-0.24994659260841701"/>
      </left>
      <right style="thin">
        <color indexed="64"/>
      </right>
      <top/>
      <bottom style="thin">
        <color theme="0" tint="-0.24994659260841701"/>
      </bottom>
      <diagonal/>
    </border>
    <border>
      <left style="thin">
        <color theme="0" tint="-0.24994659260841701"/>
      </left>
      <right style="medium">
        <color indexed="64"/>
      </right>
      <top/>
      <bottom style="thin">
        <color theme="0" tint="-0.24994659260841701"/>
      </bottom>
      <diagonal/>
    </border>
    <border>
      <left style="thin">
        <color auto="1"/>
      </left>
      <right style="medium">
        <color indexed="64"/>
      </right>
      <top style="thin">
        <color theme="4" tint="0.39997558519241921"/>
      </top>
      <bottom style="medium">
        <color indexed="64"/>
      </bottom>
      <diagonal/>
    </border>
  </borders>
  <cellStyleXfs count="12">
    <xf numFmtId="0" fontId="0" fillId="0" borderId="0"/>
    <xf numFmtId="0" fontId="1" fillId="2" borderId="1" applyNumberFormat="0" applyFont="0" applyAlignment="0" applyProtection="0"/>
    <xf numFmtId="0" fontId="3"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7" fillId="7" borderId="0" applyNumberFormat="0" applyBorder="0" applyAlignment="0" applyProtection="0"/>
    <xf numFmtId="0" fontId="18" fillId="0" borderId="0" applyNumberFormat="0" applyFill="0" applyBorder="0" applyAlignment="0" applyProtection="0"/>
    <xf numFmtId="43" fontId="1" fillId="0" borderId="0" applyFont="0" applyFill="0" applyBorder="0" applyAlignment="0" applyProtection="0"/>
    <xf numFmtId="0" fontId="26" fillId="18" borderId="85" applyNumberFormat="0" applyAlignment="0" applyProtection="0"/>
    <xf numFmtId="0" fontId="4" fillId="27" borderId="0" applyNumberFormat="0" applyBorder="0" applyAlignment="0" applyProtection="0"/>
    <xf numFmtId="0" fontId="71" fillId="0" borderId="0"/>
  </cellStyleXfs>
  <cellXfs count="1417">
    <xf numFmtId="0" fontId="0" fillId="0" borderId="0" xfId="0"/>
    <xf numFmtId="0" fontId="0" fillId="3" borderId="0" xfId="0" applyFill="1"/>
    <xf numFmtId="0" fontId="0" fillId="0" borderId="0" xfId="0" applyAlignment="1">
      <alignment horizontal="center"/>
    </xf>
    <xf numFmtId="0" fontId="0" fillId="0" borderId="9" xfId="0" applyBorder="1" applyAlignment="1">
      <alignment vertical="top" wrapText="1"/>
    </xf>
    <xf numFmtId="0" fontId="0" fillId="0" borderId="20" xfId="0" applyBorder="1" applyAlignment="1">
      <alignment vertical="top" wrapText="1"/>
    </xf>
    <xf numFmtId="0" fontId="4" fillId="6" borderId="3" xfId="0" applyFont="1" applyFill="1" applyBorder="1" applyAlignment="1">
      <alignment vertical="top" wrapText="1"/>
    </xf>
    <xf numFmtId="9" fontId="4" fillId="6" borderId="3" xfId="5" applyFont="1" applyFill="1" applyBorder="1" applyAlignment="1">
      <alignment vertical="top" wrapText="1"/>
    </xf>
    <xf numFmtId="2" fontId="4" fillId="6" borderId="3" xfId="0" applyNumberFormat="1" applyFont="1" applyFill="1" applyBorder="1" applyAlignment="1">
      <alignment vertical="top" wrapText="1"/>
    </xf>
    <xf numFmtId="2" fontId="4" fillId="6" borderId="20" xfId="0" applyNumberFormat="1" applyFont="1" applyFill="1" applyBorder="1" applyAlignment="1">
      <alignment vertical="top" wrapText="1"/>
    </xf>
    <xf numFmtId="9" fontId="4" fillId="6" borderId="3" xfId="4" applyNumberFormat="1" applyFont="1" applyFill="1" applyBorder="1" applyAlignment="1">
      <alignment vertical="top" wrapText="1"/>
    </xf>
    <xf numFmtId="167" fontId="0" fillId="0" borderId="0" xfId="0" applyNumberFormat="1"/>
    <xf numFmtId="44" fontId="0" fillId="0" borderId="0" xfId="4" applyFont="1"/>
    <xf numFmtId="169" fontId="0" fillId="0" borderId="0" xfId="0" applyNumberFormat="1"/>
    <xf numFmtId="2" fontId="4" fillId="6" borderId="41" xfId="0" applyNumberFormat="1" applyFont="1" applyFill="1" applyBorder="1" applyAlignment="1">
      <alignment vertical="top" wrapText="1"/>
    </xf>
    <xf numFmtId="9" fontId="4" fillId="6" borderId="39" xfId="5" applyFont="1" applyFill="1" applyBorder="1" applyAlignment="1">
      <alignment vertical="top" wrapText="1"/>
    </xf>
    <xf numFmtId="2" fontId="4" fillId="6" borderId="39" xfId="0" applyNumberFormat="1" applyFont="1" applyFill="1" applyBorder="1" applyAlignment="1">
      <alignment vertical="top" wrapText="1"/>
    </xf>
    <xf numFmtId="0" fontId="0" fillId="0" borderId="3" xfId="4" applyNumberFormat="1" applyFont="1" applyBorder="1" applyAlignment="1">
      <alignment vertical="top" wrapText="1"/>
    </xf>
    <xf numFmtId="0" fontId="0" fillId="0" borderId="3" xfId="5" applyNumberFormat="1" applyFont="1" applyBorder="1" applyAlignment="1">
      <alignment vertical="top" wrapText="1"/>
    </xf>
    <xf numFmtId="0" fontId="0" fillId="0" borderId="3" xfId="4" applyNumberFormat="1" applyFont="1" applyBorder="1" applyAlignment="1">
      <alignment horizontal="left" vertical="top" wrapText="1"/>
    </xf>
    <xf numFmtId="49" fontId="0" fillId="0" borderId="3" xfId="0" applyNumberFormat="1" applyBorder="1" applyAlignment="1">
      <alignment vertical="top" wrapText="1"/>
    </xf>
    <xf numFmtId="49" fontId="0" fillId="0" borderId="9" xfId="0" applyNumberFormat="1" applyBorder="1" applyAlignment="1">
      <alignment vertical="top" wrapText="1"/>
    </xf>
    <xf numFmtId="49" fontId="0" fillId="0" borderId="3" xfId="4" applyNumberFormat="1" applyFont="1" applyBorder="1" applyAlignment="1">
      <alignment vertical="top" wrapText="1"/>
    </xf>
    <xf numFmtId="49" fontId="0" fillId="0" borderId="3" xfId="5" applyNumberFormat="1" applyFont="1" applyBorder="1" applyAlignment="1">
      <alignment vertical="top" wrapText="1"/>
    </xf>
    <xf numFmtId="49" fontId="4" fillId="6" borderId="3" xfId="0" applyNumberFormat="1" applyFont="1" applyFill="1" applyBorder="1" applyAlignment="1">
      <alignment vertical="top" wrapText="1"/>
    </xf>
    <xf numFmtId="2" fontId="11" fillId="6" borderId="13" xfId="0" applyNumberFormat="1" applyFont="1" applyFill="1" applyBorder="1" applyAlignment="1">
      <alignment vertical="top" wrapText="1"/>
    </xf>
    <xf numFmtId="49" fontId="4" fillId="6" borderId="45" xfId="0" applyNumberFormat="1" applyFont="1" applyFill="1" applyBorder="1" applyAlignment="1">
      <alignment vertical="top" wrapText="1"/>
    </xf>
    <xf numFmtId="2" fontId="4" fillId="6" borderId="45" xfId="0" applyNumberFormat="1" applyFont="1" applyFill="1" applyBorder="1" applyAlignment="1">
      <alignment vertical="top" wrapText="1"/>
    </xf>
    <xf numFmtId="2" fontId="4" fillId="6" borderId="44" xfId="0" applyNumberFormat="1" applyFont="1" applyFill="1" applyBorder="1" applyAlignment="1">
      <alignment vertical="top" wrapText="1"/>
    </xf>
    <xf numFmtId="2" fontId="4" fillId="6" borderId="46" xfId="0" applyNumberFormat="1" applyFont="1" applyFill="1" applyBorder="1" applyAlignment="1">
      <alignment vertical="top" wrapText="1"/>
    </xf>
    <xf numFmtId="0" fontId="0" fillId="0" borderId="10" xfId="0" applyBorder="1" applyAlignment="1">
      <alignment vertical="top" wrapText="1"/>
    </xf>
    <xf numFmtId="49" fontId="8" fillId="6" borderId="20" xfId="0" applyNumberFormat="1" applyFont="1" applyFill="1" applyBorder="1" applyAlignment="1">
      <alignment vertical="top" wrapText="1"/>
    </xf>
    <xf numFmtId="0" fontId="8" fillId="6" borderId="20" xfId="0" applyFont="1" applyFill="1" applyBorder="1" applyAlignment="1">
      <alignment vertical="top" wrapText="1"/>
    </xf>
    <xf numFmtId="0" fontId="14" fillId="3" borderId="0" xfId="2" applyFont="1" applyFill="1" applyAlignment="1">
      <alignment horizontal="center" wrapText="1"/>
    </xf>
    <xf numFmtId="0" fontId="15" fillId="3" borderId="0" xfId="0" applyFont="1" applyFill="1" applyAlignment="1">
      <alignment horizontal="center"/>
    </xf>
    <xf numFmtId="0" fontId="15" fillId="3" borderId="0" xfId="0" applyFont="1" applyFill="1"/>
    <xf numFmtId="0" fontId="15" fillId="0" borderId="0" xfId="0" applyFont="1" applyAlignment="1">
      <alignment horizontal="center"/>
    </xf>
    <xf numFmtId="0" fontId="15" fillId="0" borderId="0" xfId="0" applyFont="1"/>
    <xf numFmtId="0" fontId="4" fillId="6" borderId="5" xfId="0" applyFont="1" applyFill="1" applyBorder="1" applyAlignment="1">
      <alignment vertical="top" wrapText="1"/>
    </xf>
    <xf numFmtId="0" fontId="4" fillId="6" borderId="20" xfId="0" applyFont="1" applyFill="1" applyBorder="1" applyAlignment="1">
      <alignment vertical="top" wrapText="1"/>
    </xf>
    <xf numFmtId="0" fontId="0" fillId="0" borderId="50" xfId="0" applyBorder="1" applyAlignment="1">
      <alignment vertical="top" wrapText="1"/>
    </xf>
    <xf numFmtId="0" fontId="0" fillId="0" borderId="21" xfId="0" applyBorder="1" applyAlignment="1">
      <alignment vertical="top" wrapText="1"/>
    </xf>
    <xf numFmtId="49" fontId="4" fillId="6" borderId="21" xfId="0" applyNumberFormat="1" applyFont="1" applyFill="1" applyBorder="1" applyAlignment="1">
      <alignment vertical="top" wrapText="1"/>
    </xf>
    <xf numFmtId="0" fontId="4" fillId="6" borderId="21" xfId="0" applyFont="1" applyFill="1" applyBorder="1" applyAlignment="1">
      <alignment vertical="top" wrapText="1"/>
    </xf>
    <xf numFmtId="0" fontId="4" fillId="6" borderId="51" xfId="0" applyFont="1" applyFill="1" applyBorder="1" applyAlignment="1">
      <alignment vertical="top" wrapText="1"/>
    </xf>
    <xf numFmtId="0" fontId="8" fillId="6" borderId="7" xfId="0" applyFont="1" applyFill="1" applyBorder="1" applyAlignment="1">
      <alignment vertical="top" wrapText="1"/>
    </xf>
    <xf numFmtId="49" fontId="4" fillId="6" borderId="54" xfId="0" applyNumberFormat="1" applyFont="1" applyFill="1" applyBorder="1" applyAlignment="1">
      <alignment vertical="top" wrapText="1"/>
    </xf>
    <xf numFmtId="49" fontId="8" fillId="6" borderId="23" xfId="0" applyNumberFormat="1" applyFont="1" applyFill="1" applyBorder="1" applyAlignment="1">
      <alignment vertical="top" wrapText="1"/>
    </xf>
    <xf numFmtId="0" fontId="11" fillId="10" borderId="12" xfId="0" applyFont="1" applyFill="1" applyBorder="1" applyAlignment="1">
      <alignment vertical="top"/>
    </xf>
    <xf numFmtId="0" fontId="11" fillId="10" borderId="13" xfId="0" applyFont="1" applyFill="1" applyBorder="1" applyAlignment="1">
      <alignment vertical="top"/>
    </xf>
    <xf numFmtId="9" fontId="11" fillId="6" borderId="13" xfId="5" applyFont="1" applyFill="1" applyBorder="1" applyAlignment="1">
      <alignment vertical="top" wrapText="1"/>
    </xf>
    <xf numFmtId="2" fontId="11" fillId="6" borderId="34" xfId="0" applyNumberFormat="1" applyFont="1" applyFill="1" applyBorder="1" applyAlignment="1">
      <alignment vertical="top" wrapText="1"/>
    </xf>
    <xf numFmtId="2" fontId="4" fillId="6" borderId="33" xfId="0" applyNumberFormat="1" applyFont="1" applyFill="1" applyBorder="1" applyAlignment="1">
      <alignment vertical="top" wrapText="1"/>
    </xf>
    <xf numFmtId="44" fontId="11" fillId="6" borderId="13" xfId="4" applyFont="1" applyFill="1" applyBorder="1" applyAlignment="1">
      <alignment vertical="top" wrapText="1"/>
    </xf>
    <xf numFmtId="0" fontId="11" fillId="10" borderId="34" xfId="6" applyFont="1" applyFill="1" applyBorder="1" applyAlignment="1">
      <alignment vertical="top"/>
    </xf>
    <xf numFmtId="0" fontId="11" fillId="10" borderId="12" xfId="6" applyFont="1" applyFill="1" applyBorder="1" applyAlignment="1">
      <alignment vertical="top"/>
    </xf>
    <xf numFmtId="0" fontId="11" fillId="6" borderId="34" xfId="0" applyFont="1" applyFill="1" applyBorder="1" applyAlignment="1">
      <alignment vertical="top"/>
    </xf>
    <xf numFmtId="0" fontId="11" fillId="6" borderId="12" xfId="4" applyNumberFormat="1" applyFont="1" applyFill="1" applyBorder="1" applyAlignment="1">
      <alignment vertical="top" wrapText="1"/>
    </xf>
    <xf numFmtId="168" fontId="11" fillId="6" borderId="13" xfId="4" applyNumberFormat="1" applyFont="1" applyFill="1" applyBorder="1" applyAlignment="1">
      <alignment vertical="top" wrapText="1"/>
    </xf>
    <xf numFmtId="0" fontId="8" fillId="6" borderId="33" xfId="0" applyFont="1" applyFill="1" applyBorder="1" applyAlignment="1">
      <alignment vertical="top" wrapText="1"/>
    </xf>
    <xf numFmtId="2" fontId="4" fillId="6" borderId="5" xfId="0" applyNumberFormat="1" applyFont="1" applyFill="1" applyBorder="1" applyAlignment="1">
      <alignment vertical="top" wrapText="1"/>
    </xf>
    <xf numFmtId="0" fontId="9" fillId="11" borderId="55" xfId="0" applyFont="1" applyFill="1" applyBorder="1" applyAlignment="1">
      <alignment vertical="top" wrapText="1"/>
    </xf>
    <xf numFmtId="9" fontId="4" fillId="6" borderId="5" xfId="5" applyFont="1" applyFill="1" applyBorder="1" applyAlignment="1">
      <alignment vertical="top" wrapText="1"/>
    </xf>
    <xf numFmtId="0" fontId="0" fillId="0" borderId="43" xfId="0" applyBorder="1" applyAlignment="1">
      <alignment vertical="top" wrapText="1"/>
    </xf>
    <xf numFmtId="0" fontId="0" fillId="0" borderId="44" xfId="0" applyBorder="1" applyAlignment="1">
      <alignment vertical="top" wrapText="1"/>
    </xf>
    <xf numFmtId="0" fontId="8" fillId="6" borderId="46" xfId="0" applyFont="1" applyFill="1" applyBorder="1" applyAlignment="1">
      <alignment vertical="top" wrapText="1"/>
    </xf>
    <xf numFmtId="44" fontId="0" fillId="0" borderId="44" xfId="4" applyFont="1" applyBorder="1" applyAlignment="1">
      <alignment vertical="top" wrapText="1"/>
    </xf>
    <xf numFmtId="164" fontId="0" fillId="0" borderId="44" xfId="5" applyNumberFormat="1" applyFont="1" applyBorder="1" applyAlignment="1">
      <alignment vertical="top" wrapText="1"/>
    </xf>
    <xf numFmtId="0" fontId="0" fillId="0" borderId="46" xfId="0" applyBorder="1" applyAlignment="1">
      <alignment vertical="top" wrapText="1"/>
    </xf>
    <xf numFmtId="4" fontId="4" fillId="0" borderId="44" xfId="4" applyNumberFormat="1" applyFont="1" applyFill="1" applyBorder="1" applyAlignment="1">
      <alignment vertical="top" wrapText="1"/>
    </xf>
    <xf numFmtId="0" fontId="4" fillId="6" borderId="44" xfId="0" applyFont="1" applyFill="1" applyBorder="1" applyAlignment="1">
      <alignment vertical="top" wrapText="1"/>
    </xf>
    <xf numFmtId="44" fontId="0" fillId="0" borderId="44" xfId="4" applyFont="1" applyBorder="1" applyAlignment="1">
      <alignment horizontal="left" vertical="top" wrapText="1"/>
    </xf>
    <xf numFmtId="0" fontId="0" fillId="0" borderId="43" xfId="0" applyBorder="1" applyAlignment="1">
      <alignment horizontal="left" vertical="top" wrapText="1"/>
    </xf>
    <xf numFmtId="164" fontId="0" fillId="0" borderId="44" xfId="5" applyNumberFormat="1" applyFont="1" applyBorder="1" applyAlignment="1">
      <alignment horizontal="left" vertical="top" wrapText="1"/>
    </xf>
    <xf numFmtId="2" fontId="4" fillId="6" borderId="7" xfId="0" applyNumberFormat="1" applyFont="1" applyFill="1" applyBorder="1" applyAlignment="1">
      <alignment vertical="top" wrapText="1"/>
    </xf>
    <xf numFmtId="168" fontId="4" fillId="6" borderId="3" xfId="4" applyNumberFormat="1" applyFont="1" applyFill="1" applyBorder="1" applyAlignment="1">
      <alignment vertical="top" wrapText="1"/>
    </xf>
    <xf numFmtId="2" fontId="4" fillId="6" borderId="54" xfId="0" applyNumberFormat="1" applyFont="1" applyFill="1" applyBorder="1" applyAlignment="1">
      <alignment vertical="top" wrapText="1"/>
    </xf>
    <xf numFmtId="0" fontId="8" fillId="6" borderId="41" xfId="0" applyFont="1" applyFill="1" applyBorder="1" applyAlignment="1">
      <alignment vertical="top" wrapText="1"/>
    </xf>
    <xf numFmtId="0" fontId="2" fillId="0" borderId="0" xfId="0" applyFont="1"/>
    <xf numFmtId="0" fontId="0" fillId="0" borderId="0" xfId="0" applyAlignment="1">
      <alignment horizontal="left" vertical="top"/>
    </xf>
    <xf numFmtId="0" fontId="0" fillId="0" borderId="0" xfId="0" applyAlignment="1">
      <alignment horizontal="left" vertical="top" wrapText="1"/>
    </xf>
    <xf numFmtId="0" fontId="0" fillId="0" borderId="3" xfId="0" applyBorder="1" applyAlignment="1">
      <alignment horizontal="left" vertical="top"/>
    </xf>
    <xf numFmtId="0" fontId="0" fillId="12" borderId="3" xfId="0" applyFill="1" applyBorder="1" applyAlignment="1">
      <alignment horizontal="left" vertical="top"/>
    </xf>
    <xf numFmtId="0" fontId="0" fillId="12" borderId="3" xfId="0" applyFill="1" applyBorder="1" applyAlignment="1">
      <alignment horizontal="left" vertical="top" wrapText="1"/>
    </xf>
    <xf numFmtId="0" fontId="0" fillId="13" borderId="3" xfId="0" applyFill="1" applyBorder="1" applyAlignment="1">
      <alignment horizontal="left" vertical="top"/>
    </xf>
    <xf numFmtId="0" fontId="0" fillId="13" borderId="3" xfId="0" applyFill="1" applyBorder="1" applyAlignment="1">
      <alignment horizontal="left" vertical="top" wrapText="1"/>
    </xf>
    <xf numFmtId="0" fontId="0" fillId="14" borderId="3" xfId="0" applyFill="1" applyBorder="1" applyAlignment="1">
      <alignment horizontal="left" vertical="top"/>
    </xf>
    <xf numFmtId="0" fontId="0" fillId="15" borderId="3" xfId="0" applyFill="1" applyBorder="1" applyAlignment="1">
      <alignment horizontal="left" vertical="top"/>
    </xf>
    <xf numFmtId="0" fontId="0" fillId="15" borderId="3" xfId="0" applyFill="1" applyBorder="1" applyAlignment="1">
      <alignment horizontal="left" vertical="top" wrapText="1"/>
    </xf>
    <xf numFmtId="0" fontId="23" fillId="12" borderId="3" xfId="0" applyFont="1" applyFill="1" applyBorder="1" applyAlignment="1">
      <alignment horizontal="left" vertical="top" wrapText="1"/>
    </xf>
    <xf numFmtId="0" fontId="23" fillId="13" borderId="3" xfId="0" applyFont="1" applyFill="1" applyBorder="1" applyAlignment="1">
      <alignment horizontal="left" vertical="top" wrapText="1"/>
    </xf>
    <xf numFmtId="0" fontId="23" fillId="15" borderId="3" xfId="0" applyFont="1" applyFill="1" applyBorder="1" applyAlignment="1">
      <alignment horizontal="left" vertical="top" wrapText="1"/>
    </xf>
    <xf numFmtId="0" fontId="23" fillId="0" borderId="0" xfId="0" applyFont="1" applyAlignment="1">
      <alignment horizontal="left" vertical="top"/>
    </xf>
    <xf numFmtId="0" fontId="22" fillId="0" borderId="0" xfId="0" applyFont="1"/>
    <xf numFmtId="0" fontId="10" fillId="15" borderId="3" xfId="0" applyFont="1" applyFill="1" applyBorder="1" applyAlignment="1">
      <alignment horizontal="left" vertical="top"/>
    </xf>
    <xf numFmtId="0" fontId="10" fillId="15" borderId="3" xfId="0" applyFont="1" applyFill="1" applyBorder="1" applyAlignment="1">
      <alignment horizontal="left" vertical="top" wrapText="1"/>
    </xf>
    <xf numFmtId="0" fontId="24" fillId="15" borderId="3" xfId="0" applyFont="1" applyFill="1" applyBorder="1" applyAlignment="1">
      <alignment horizontal="left" vertical="top" wrapText="1"/>
    </xf>
    <xf numFmtId="0" fontId="0" fillId="13" borderId="23" xfId="0" applyFill="1" applyBorder="1" applyAlignment="1">
      <alignment horizontal="left" vertical="top"/>
    </xf>
    <xf numFmtId="168" fontId="4" fillId="10" borderId="57" xfId="0" applyNumberFormat="1" applyFont="1" applyFill="1" applyBorder="1" applyAlignment="1">
      <alignment vertical="top"/>
    </xf>
    <xf numFmtId="168" fontId="4" fillId="6" borderId="5" xfId="4" applyNumberFormat="1" applyFont="1" applyFill="1" applyBorder="1" applyAlignment="1">
      <alignment vertical="top" wrapText="1"/>
    </xf>
    <xf numFmtId="0" fontId="0" fillId="0" borderId="56" xfId="0" applyBorder="1" applyAlignment="1">
      <alignment vertical="top" wrapText="1"/>
    </xf>
    <xf numFmtId="0" fontId="0" fillId="0" borderId="57" xfId="0" applyBorder="1" applyAlignment="1">
      <alignment vertical="top" wrapText="1"/>
    </xf>
    <xf numFmtId="0" fontId="8" fillId="6" borderId="55" xfId="0" applyFont="1" applyFill="1" applyBorder="1" applyAlignment="1">
      <alignment vertical="top" wrapText="1"/>
    </xf>
    <xf numFmtId="44" fontId="0" fillId="0" borderId="57" xfId="4" applyFont="1" applyBorder="1" applyAlignment="1">
      <alignment vertical="top" wrapText="1"/>
    </xf>
    <xf numFmtId="164" fontId="0" fillId="0" borderId="57" xfId="5" applyNumberFormat="1" applyFont="1" applyBorder="1" applyAlignment="1">
      <alignment vertical="top" wrapText="1"/>
    </xf>
    <xf numFmtId="0" fontId="0" fillId="0" borderId="52" xfId="0" applyBorder="1" applyAlignment="1">
      <alignment vertical="top" wrapText="1"/>
    </xf>
    <xf numFmtId="49" fontId="0" fillId="0" borderId="56" xfId="0" applyNumberFormat="1" applyBorder="1" applyAlignment="1">
      <alignment vertical="top" wrapText="1"/>
    </xf>
    <xf numFmtId="49" fontId="0" fillId="0" borderId="57" xfId="0" applyNumberFormat="1" applyBorder="1" applyAlignment="1">
      <alignment vertical="top" wrapText="1"/>
    </xf>
    <xf numFmtId="49" fontId="4" fillId="6" borderId="57" xfId="0" applyNumberFormat="1" applyFont="1" applyFill="1" applyBorder="1" applyAlignment="1">
      <alignment vertical="top" wrapText="1"/>
    </xf>
    <xf numFmtId="0" fontId="13" fillId="6" borderId="57" xfId="0" applyFont="1" applyFill="1" applyBorder="1" applyAlignment="1">
      <alignment vertical="top" wrapText="1"/>
    </xf>
    <xf numFmtId="0" fontId="4" fillId="6" borderId="9" xfId="4" applyNumberFormat="1" applyFont="1" applyFill="1" applyBorder="1" applyAlignment="1">
      <alignment vertical="top" wrapText="1"/>
    </xf>
    <xf numFmtId="0" fontId="4" fillId="6" borderId="9" xfId="0" applyFont="1" applyFill="1" applyBorder="1" applyAlignment="1">
      <alignment vertical="top" wrapText="1"/>
    </xf>
    <xf numFmtId="166" fontId="4" fillId="6" borderId="50" xfId="4" applyNumberFormat="1" applyFont="1" applyFill="1" applyBorder="1" applyAlignment="1">
      <alignment vertical="top" wrapText="1"/>
    </xf>
    <xf numFmtId="9" fontId="4" fillId="6" borderId="21" xfId="5" applyFont="1" applyFill="1" applyBorder="1" applyAlignment="1">
      <alignment vertical="top" wrapText="1"/>
    </xf>
    <xf numFmtId="166" fontId="4" fillId="6" borderId="9" xfId="4" applyNumberFormat="1" applyFont="1" applyFill="1" applyBorder="1" applyAlignment="1">
      <alignment vertical="top" wrapText="1"/>
    </xf>
    <xf numFmtId="166" fontId="4" fillId="6" borderId="9" xfId="4" applyNumberFormat="1" applyFont="1" applyFill="1" applyBorder="1" applyAlignment="1" applyProtection="1">
      <alignment vertical="top" wrapText="1"/>
    </xf>
    <xf numFmtId="49" fontId="10" fillId="5" borderId="9" xfId="0" applyNumberFormat="1" applyFont="1" applyFill="1" applyBorder="1" applyAlignment="1" applyProtection="1">
      <alignment vertical="top" wrapText="1"/>
      <protection locked="0"/>
    </xf>
    <xf numFmtId="0" fontId="10" fillId="5" borderId="9" xfId="0" applyFont="1" applyFill="1" applyBorder="1" applyAlignment="1" applyProtection="1">
      <alignment vertical="top" wrapText="1"/>
      <protection locked="0"/>
    </xf>
    <xf numFmtId="1" fontId="0" fillId="5" borderId="3" xfId="0" applyNumberFormat="1" applyFill="1" applyBorder="1" applyAlignment="1" applyProtection="1">
      <alignment vertical="top" wrapText="1"/>
      <protection locked="0"/>
    </xf>
    <xf numFmtId="168" fontId="10" fillId="5" borderId="3" xfId="4" applyNumberFormat="1" applyFont="1" applyFill="1" applyBorder="1" applyAlignment="1" applyProtection="1">
      <alignment vertical="top" wrapText="1"/>
      <protection locked="0"/>
    </xf>
    <xf numFmtId="0" fontId="0" fillId="5" borderId="3" xfId="0" applyFill="1" applyBorder="1" applyAlignment="1" applyProtection="1">
      <alignment vertical="top" wrapText="1"/>
      <protection locked="0"/>
    </xf>
    <xf numFmtId="44" fontId="10" fillId="5" borderId="3" xfId="4" applyFont="1" applyFill="1" applyBorder="1" applyAlignment="1" applyProtection="1">
      <alignment vertical="top" wrapText="1"/>
      <protection locked="0"/>
    </xf>
    <xf numFmtId="8" fontId="0" fillId="5" borderId="3" xfId="0" applyNumberFormat="1" applyFill="1" applyBorder="1" applyAlignment="1" applyProtection="1">
      <alignment vertical="top" wrapText="1"/>
      <protection locked="0"/>
    </xf>
    <xf numFmtId="2" fontId="4" fillId="6" borderId="82" xfId="0" applyNumberFormat="1" applyFont="1" applyFill="1" applyBorder="1" applyAlignment="1">
      <alignment vertical="top" wrapText="1"/>
    </xf>
    <xf numFmtId="1" fontId="0" fillId="5" borderId="9" xfId="0" applyNumberFormat="1" applyFill="1" applyBorder="1" applyAlignment="1" applyProtection="1">
      <alignment vertical="top" wrapText="1"/>
      <protection locked="0"/>
    </xf>
    <xf numFmtId="0" fontId="0" fillId="5" borderId="9" xfId="0" applyFill="1" applyBorder="1" applyAlignment="1" applyProtection="1">
      <alignment vertical="top" wrapText="1"/>
      <protection locked="0"/>
    </xf>
    <xf numFmtId="1" fontId="0" fillId="5" borderId="19" xfId="0" applyNumberFormat="1" applyFill="1" applyBorder="1" applyAlignment="1" applyProtection="1">
      <alignment vertical="top" wrapText="1"/>
      <protection locked="0"/>
    </xf>
    <xf numFmtId="0" fontId="0" fillId="5" borderId="19" xfId="0" applyFill="1" applyBorder="1" applyAlignment="1" applyProtection="1">
      <alignment vertical="top" wrapText="1"/>
      <protection locked="0"/>
    </xf>
    <xf numFmtId="0" fontId="9" fillId="11" borderId="79" xfId="0" applyFont="1" applyFill="1" applyBorder="1" applyAlignment="1">
      <alignment vertical="top" wrapText="1"/>
    </xf>
    <xf numFmtId="49" fontId="10" fillId="5" borderId="8" xfId="0" applyNumberFormat="1" applyFont="1" applyFill="1" applyBorder="1" applyAlignment="1" applyProtection="1">
      <alignment vertical="top" wrapText="1"/>
      <protection locked="0"/>
    </xf>
    <xf numFmtId="0" fontId="4" fillId="6" borderId="8" xfId="4" applyNumberFormat="1" applyFont="1" applyFill="1" applyBorder="1" applyAlignment="1">
      <alignment vertical="top" wrapText="1"/>
    </xf>
    <xf numFmtId="1" fontId="0" fillId="5" borderId="8" xfId="0" applyNumberFormat="1" applyFill="1" applyBorder="1" applyAlignment="1" applyProtection="1">
      <alignment vertical="top" wrapText="1"/>
      <protection locked="0"/>
    </xf>
    <xf numFmtId="168" fontId="10" fillId="5" borderId="5" xfId="4" applyNumberFormat="1" applyFont="1" applyFill="1" applyBorder="1" applyAlignment="1" applyProtection="1">
      <alignment vertical="top" wrapText="1"/>
      <protection locked="0"/>
    </xf>
    <xf numFmtId="1" fontId="0" fillId="5" borderId="5" xfId="0" applyNumberFormat="1" applyFill="1" applyBorder="1" applyAlignment="1" applyProtection="1">
      <alignment vertical="top" wrapText="1"/>
      <protection locked="0"/>
    </xf>
    <xf numFmtId="1" fontId="0" fillId="5" borderId="25" xfId="0" applyNumberFormat="1" applyFill="1" applyBorder="1" applyAlignment="1" applyProtection="1">
      <alignment vertical="top" wrapText="1"/>
      <protection locked="0"/>
    </xf>
    <xf numFmtId="0" fontId="0" fillId="0" borderId="55" xfId="0" applyBorder="1" applyAlignment="1">
      <alignment vertical="top" wrapText="1"/>
    </xf>
    <xf numFmtId="4" fontId="4" fillId="0" borderId="57" xfId="4" applyNumberFormat="1" applyFont="1" applyFill="1" applyBorder="1" applyAlignment="1">
      <alignment vertical="top" wrapText="1"/>
    </xf>
    <xf numFmtId="0" fontId="4" fillId="6" borderId="57" xfId="0" applyFont="1" applyFill="1" applyBorder="1" applyAlignment="1">
      <alignment vertical="top" wrapText="1"/>
    </xf>
    <xf numFmtId="2" fontId="4" fillId="6" borderId="57" xfId="0" applyNumberFormat="1" applyFont="1" applyFill="1" applyBorder="1" applyAlignment="1">
      <alignment vertical="top" wrapText="1"/>
    </xf>
    <xf numFmtId="2" fontId="4" fillId="6" borderId="55" xfId="0" applyNumberFormat="1" applyFont="1" applyFill="1" applyBorder="1" applyAlignment="1">
      <alignment vertical="top" wrapText="1"/>
    </xf>
    <xf numFmtId="167" fontId="4" fillId="0" borderId="57" xfId="0" applyNumberFormat="1" applyFont="1" applyBorder="1" applyAlignment="1">
      <alignment vertical="top" wrapText="1"/>
    </xf>
    <xf numFmtId="0" fontId="4" fillId="0" borderId="57" xfId="0" applyFont="1" applyBorder="1" applyAlignment="1">
      <alignment vertical="top" wrapText="1"/>
    </xf>
    <xf numFmtId="0" fontId="0" fillId="0" borderId="38" xfId="0" applyBorder="1" applyAlignment="1">
      <alignment vertical="top" wrapText="1"/>
    </xf>
    <xf numFmtId="0" fontId="10" fillId="5" borderId="40" xfId="0" applyFont="1" applyFill="1" applyBorder="1" applyAlignment="1" applyProtection="1">
      <alignment vertical="top" wrapText="1"/>
      <protection locked="0"/>
    </xf>
    <xf numFmtId="0" fontId="4" fillId="6" borderId="39" xfId="0" applyFont="1" applyFill="1" applyBorder="1" applyAlignment="1">
      <alignment vertical="top" wrapText="1"/>
    </xf>
    <xf numFmtId="0" fontId="4" fillId="6" borderId="40" xfId="4" applyNumberFormat="1" applyFont="1" applyFill="1" applyBorder="1" applyAlignment="1">
      <alignment vertical="top" wrapText="1"/>
    </xf>
    <xf numFmtId="168" fontId="4" fillId="6" borderId="39" xfId="4" applyNumberFormat="1" applyFont="1" applyFill="1" applyBorder="1" applyAlignment="1">
      <alignment vertical="top" wrapText="1"/>
    </xf>
    <xf numFmtId="0" fontId="0" fillId="5" borderId="40" xfId="0" applyFill="1" applyBorder="1" applyAlignment="1" applyProtection="1">
      <alignment vertical="top" wrapText="1"/>
      <protection locked="0"/>
    </xf>
    <xf numFmtId="0" fontId="0" fillId="5" borderId="39" xfId="0" applyFill="1" applyBorder="1" applyAlignment="1" applyProtection="1">
      <alignment vertical="top" wrapText="1"/>
      <protection locked="0"/>
    </xf>
    <xf numFmtId="0" fontId="0" fillId="5" borderId="26" xfId="0" applyFill="1" applyBorder="1" applyAlignment="1" applyProtection="1">
      <alignment vertical="top" wrapText="1"/>
      <protection locked="0"/>
    </xf>
    <xf numFmtId="0" fontId="11" fillId="10" borderId="56" xfId="0" applyFont="1" applyFill="1" applyBorder="1" applyAlignment="1">
      <alignment vertical="top"/>
    </xf>
    <xf numFmtId="0" fontId="4" fillId="6" borderId="56" xfId="4" applyNumberFormat="1" applyFont="1" applyFill="1" applyBorder="1" applyAlignment="1">
      <alignment vertical="top" wrapText="1"/>
    </xf>
    <xf numFmtId="168" fontId="4" fillId="6" borderId="57" xfId="4" applyNumberFormat="1" applyFont="1" applyFill="1" applyBorder="1" applyAlignment="1">
      <alignment vertical="top" wrapText="1"/>
    </xf>
    <xf numFmtId="9" fontId="11" fillId="6" borderId="57" xfId="5" applyFont="1" applyFill="1" applyBorder="1" applyAlignment="1">
      <alignment vertical="top" wrapText="1"/>
    </xf>
    <xf numFmtId="2" fontId="11" fillId="6" borderId="57" xfId="0" applyNumberFormat="1" applyFont="1" applyFill="1" applyBorder="1" applyAlignment="1">
      <alignment vertical="top" wrapText="1"/>
    </xf>
    <xf numFmtId="2" fontId="11" fillId="6" borderId="55" xfId="0" applyNumberFormat="1" applyFont="1" applyFill="1" applyBorder="1" applyAlignment="1">
      <alignment vertical="top" wrapText="1"/>
    </xf>
    <xf numFmtId="0" fontId="11" fillId="10" borderId="57" xfId="0" applyFont="1" applyFill="1" applyBorder="1" applyAlignment="1">
      <alignment vertical="top"/>
    </xf>
    <xf numFmtId="0" fontId="11" fillId="10" borderId="38" xfId="0" applyFont="1" applyFill="1" applyBorder="1" applyAlignment="1">
      <alignment vertical="top"/>
    </xf>
    <xf numFmtId="49" fontId="0" fillId="5" borderId="14" xfId="0" applyNumberFormat="1" applyFill="1" applyBorder="1" applyAlignment="1" applyProtection="1">
      <alignment vertical="top" wrapText="1"/>
      <protection locked="0"/>
    </xf>
    <xf numFmtId="49" fontId="0" fillId="5" borderId="5" xfId="0" applyNumberFormat="1" applyFill="1" applyBorder="1" applyAlignment="1" applyProtection="1">
      <alignment vertical="top" wrapText="1"/>
      <protection locked="0"/>
    </xf>
    <xf numFmtId="49" fontId="0" fillId="5" borderId="49" xfId="0" applyNumberFormat="1" applyFill="1" applyBorder="1" applyAlignment="1" applyProtection="1">
      <alignment vertical="top" wrapText="1"/>
      <protection locked="0"/>
    </xf>
    <xf numFmtId="168" fontId="0" fillId="5" borderId="5" xfId="0" applyNumberFormat="1" applyFill="1" applyBorder="1" applyAlignment="1" applyProtection="1">
      <alignment vertical="top" wrapText="1"/>
      <protection locked="0"/>
    </xf>
    <xf numFmtId="168" fontId="0" fillId="5" borderId="3" xfId="0" applyNumberFormat="1" applyFill="1" applyBorder="1" applyAlignment="1" applyProtection="1">
      <alignment vertical="top" wrapText="1"/>
      <protection locked="0"/>
    </xf>
    <xf numFmtId="168" fontId="0" fillId="5" borderId="9" xfId="0" applyNumberFormat="1" applyFill="1" applyBorder="1" applyAlignment="1" applyProtection="1">
      <alignment vertical="top" wrapText="1"/>
      <protection locked="0"/>
    </xf>
    <xf numFmtId="49" fontId="0" fillId="5" borderId="10" xfId="0" applyNumberFormat="1" applyFill="1" applyBorder="1" applyAlignment="1" applyProtection="1">
      <alignment vertical="top" wrapText="1"/>
      <protection locked="0"/>
    </xf>
    <xf numFmtId="49" fontId="0" fillId="5" borderId="3" xfId="0" applyNumberFormat="1" applyFill="1" applyBorder="1" applyAlignment="1" applyProtection="1">
      <alignment vertical="top" wrapText="1"/>
      <protection locked="0"/>
    </xf>
    <xf numFmtId="49" fontId="0" fillId="5" borderId="45" xfId="0" applyNumberFormat="1" applyFill="1" applyBorder="1" applyAlignment="1" applyProtection="1">
      <alignment vertical="top" wrapText="1"/>
      <protection locked="0"/>
    </xf>
    <xf numFmtId="49" fontId="0" fillId="5" borderId="8" xfId="0" applyNumberFormat="1" applyFill="1" applyBorder="1" applyAlignment="1" applyProtection="1">
      <alignment vertical="top" wrapText="1"/>
      <protection locked="0"/>
    </xf>
    <xf numFmtId="49" fontId="0" fillId="5" borderId="9" xfId="0" applyNumberFormat="1" applyFill="1" applyBorder="1" applyAlignment="1" applyProtection="1">
      <alignment vertical="top" wrapText="1"/>
      <protection locked="0"/>
    </xf>
    <xf numFmtId="168" fontId="8" fillId="6" borderId="33" xfId="0" applyNumberFormat="1" applyFont="1" applyFill="1" applyBorder="1" applyAlignment="1">
      <alignment vertical="top" wrapText="1"/>
    </xf>
    <xf numFmtId="9" fontId="4" fillId="6" borderId="5" xfId="4" applyNumberFormat="1" applyFont="1" applyFill="1" applyBorder="1" applyAlignment="1">
      <alignment vertical="top" wrapText="1"/>
    </xf>
    <xf numFmtId="2" fontId="4" fillId="6" borderId="6" xfId="0" applyNumberFormat="1" applyFont="1" applyFill="1" applyBorder="1" applyAlignment="1">
      <alignment vertical="top" wrapText="1"/>
    </xf>
    <xf numFmtId="0" fontId="0" fillId="0" borderId="57" xfId="4" applyNumberFormat="1" applyFont="1" applyBorder="1" applyAlignment="1">
      <alignment vertical="top" wrapText="1"/>
    </xf>
    <xf numFmtId="0" fontId="0" fillId="0" borderId="57" xfId="5" applyNumberFormat="1" applyFont="1" applyBorder="1" applyAlignment="1">
      <alignment vertical="top" wrapText="1"/>
    </xf>
    <xf numFmtId="0" fontId="4" fillId="6" borderId="55" xfId="0" applyFont="1" applyFill="1" applyBorder="1" applyAlignment="1">
      <alignment vertical="top" wrapText="1"/>
    </xf>
    <xf numFmtId="0" fontId="4" fillId="6" borderId="36" xfId="0" applyFont="1" applyFill="1" applyBorder="1" applyAlignment="1">
      <alignment vertical="top" wrapText="1"/>
    </xf>
    <xf numFmtId="0" fontId="8" fillId="10" borderId="33" xfId="0" applyFont="1" applyFill="1" applyBorder="1" applyAlignment="1">
      <alignment vertical="top" wrapText="1"/>
    </xf>
    <xf numFmtId="168" fontId="8" fillId="10" borderId="33" xfId="0" applyNumberFormat="1" applyFont="1" applyFill="1" applyBorder="1" applyAlignment="1">
      <alignment vertical="top" wrapText="1"/>
    </xf>
    <xf numFmtId="0" fontId="8" fillId="10" borderId="20" xfId="0" applyFont="1" applyFill="1" applyBorder="1" applyAlignment="1">
      <alignment vertical="top" wrapText="1"/>
    </xf>
    <xf numFmtId="0" fontId="4" fillId="10" borderId="5" xfId="0" applyFont="1" applyFill="1" applyBorder="1" applyAlignment="1">
      <alignment vertical="top" wrapText="1"/>
    </xf>
    <xf numFmtId="0" fontId="4" fillId="10" borderId="3" xfId="0" applyFont="1" applyFill="1" applyBorder="1" applyAlignment="1">
      <alignment vertical="top" wrapText="1"/>
    </xf>
    <xf numFmtId="166" fontId="4" fillId="10" borderId="8" xfId="4" applyNumberFormat="1" applyFont="1" applyFill="1" applyBorder="1" applyAlignment="1">
      <alignment vertical="top" wrapText="1"/>
    </xf>
    <xf numFmtId="169" fontId="4" fillId="10" borderId="5" xfId="4" applyNumberFormat="1" applyFont="1" applyFill="1" applyBorder="1" applyAlignment="1">
      <alignment vertical="top" wrapText="1"/>
    </xf>
    <xf numFmtId="9" fontId="4" fillId="10" borderId="5" xfId="5" applyFont="1" applyFill="1" applyBorder="1" applyAlignment="1">
      <alignment vertical="top" wrapText="1"/>
    </xf>
    <xf numFmtId="166" fontId="4" fillId="10" borderId="9" xfId="4" applyNumberFormat="1" applyFont="1" applyFill="1" applyBorder="1" applyAlignment="1">
      <alignment vertical="top" wrapText="1"/>
    </xf>
    <xf numFmtId="169" fontId="4" fillId="10" borderId="3" xfId="4" applyNumberFormat="1" applyFont="1" applyFill="1" applyBorder="1" applyAlignment="1">
      <alignment vertical="top" wrapText="1"/>
    </xf>
    <xf numFmtId="9" fontId="4" fillId="10" borderId="3" xfId="5" applyFont="1" applyFill="1" applyBorder="1" applyAlignment="1">
      <alignment vertical="top" wrapText="1"/>
    </xf>
    <xf numFmtId="168" fontId="4" fillId="10" borderId="5" xfId="4" applyNumberFormat="1" applyFont="1" applyFill="1" applyBorder="1" applyAlignment="1">
      <alignment vertical="top" wrapText="1"/>
    </xf>
    <xf numFmtId="168" fontId="4" fillId="10" borderId="3" xfId="4" applyNumberFormat="1" applyFont="1" applyFill="1" applyBorder="1" applyAlignment="1">
      <alignment vertical="top" wrapText="1"/>
    </xf>
    <xf numFmtId="49" fontId="4" fillId="10" borderId="8" xfId="4" applyNumberFormat="1" applyFont="1" applyFill="1" applyBorder="1" applyAlignment="1">
      <alignment vertical="top" wrapText="1"/>
    </xf>
    <xf numFmtId="1" fontId="4" fillId="10" borderId="5" xfId="5" applyNumberFormat="1" applyFont="1" applyFill="1" applyBorder="1" applyAlignment="1">
      <alignment vertical="top" wrapText="1"/>
    </xf>
    <xf numFmtId="49" fontId="4" fillId="10" borderId="9" xfId="4" applyNumberFormat="1" applyFont="1" applyFill="1" applyBorder="1" applyAlignment="1">
      <alignment vertical="top" wrapText="1"/>
    </xf>
    <xf numFmtId="1" fontId="4" fillId="10" borderId="3" xfId="5" applyNumberFormat="1" applyFont="1" applyFill="1" applyBorder="1" applyAlignment="1">
      <alignment vertical="top" wrapText="1"/>
    </xf>
    <xf numFmtId="0" fontId="4" fillId="10" borderId="8" xfId="4" applyNumberFormat="1" applyFont="1" applyFill="1" applyBorder="1" applyAlignment="1">
      <alignment vertical="top" wrapText="1"/>
    </xf>
    <xf numFmtId="0" fontId="4" fillId="10" borderId="9" xfId="4" applyNumberFormat="1" applyFont="1" applyFill="1" applyBorder="1" applyAlignment="1">
      <alignment vertical="top" wrapText="1"/>
    </xf>
    <xf numFmtId="49" fontId="0" fillId="5" borderId="33" xfId="0" applyNumberFormat="1" applyFill="1" applyBorder="1" applyAlignment="1" applyProtection="1">
      <alignment vertical="top" wrapText="1"/>
      <protection locked="0"/>
    </xf>
    <xf numFmtId="168" fontId="0" fillId="5" borderId="5" xfId="4" applyNumberFormat="1" applyFont="1" applyFill="1" applyBorder="1" applyAlignment="1" applyProtection="1">
      <alignment vertical="top" wrapText="1"/>
      <protection locked="0"/>
    </xf>
    <xf numFmtId="0" fontId="0" fillId="5" borderId="10" xfId="0" applyFill="1" applyBorder="1" applyAlignment="1" applyProtection="1">
      <alignment vertical="top" wrapText="1"/>
      <protection locked="0"/>
    </xf>
    <xf numFmtId="0" fontId="0" fillId="5" borderId="20" xfId="0" applyFill="1" applyBorder="1" applyAlignment="1" applyProtection="1">
      <alignment vertical="top" wrapText="1"/>
      <protection locked="0"/>
    </xf>
    <xf numFmtId="168" fontId="0" fillId="5" borderId="3" xfId="4" applyNumberFormat="1" applyFont="1" applyFill="1" applyBorder="1" applyAlignment="1" applyProtection="1">
      <alignment vertical="top" wrapText="1"/>
      <protection locked="0"/>
    </xf>
    <xf numFmtId="49" fontId="0" fillId="5" borderId="20" xfId="0" applyNumberFormat="1" applyFill="1" applyBorder="1" applyAlignment="1" applyProtection="1">
      <alignment vertical="top" wrapText="1"/>
      <protection locked="0"/>
    </xf>
    <xf numFmtId="0" fontId="0" fillId="5" borderId="83" xfId="0" applyFill="1" applyBorder="1" applyAlignment="1" applyProtection="1">
      <alignment vertical="top" wrapText="1"/>
      <protection locked="0"/>
    </xf>
    <xf numFmtId="0" fontId="0" fillId="5" borderId="41" xfId="0" applyFill="1" applyBorder="1" applyAlignment="1" applyProtection="1">
      <alignment vertical="top" wrapText="1"/>
      <protection locked="0"/>
    </xf>
    <xf numFmtId="1" fontId="0" fillId="5" borderId="40" xfId="0" applyNumberFormat="1" applyFill="1" applyBorder="1" applyAlignment="1" applyProtection="1">
      <alignment vertical="top" wrapText="1"/>
      <protection locked="0"/>
    </xf>
    <xf numFmtId="168" fontId="0" fillId="5" borderId="39" xfId="0" applyNumberFormat="1" applyFill="1" applyBorder="1" applyAlignment="1" applyProtection="1">
      <alignment vertical="top" wrapText="1"/>
      <protection locked="0"/>
    </xf>
    <xf numFmtId="168" fontId="0" fillId="5" borderId="39" xfId="4" applyNumberFormat="1" applyFont="1" applyFill="1" applyBorder="1" applyAlignment="1" applyProtection="1">
      <alignment vertical="top" wrapText="1"/>
      <protection locked="0"/>
    </xf>
    <xf numFmtId="9" fontId="4" fillId="6" borderId="39" xfId="4" applyNumberFormat="1" applyFont="1" applyFill="1" applyBorder="1" applyAlignment="1">
      <alignment vertical="top" wrapText="1"/>
    </xf>
    <xf numFmtId="2" fontId="4" fillId="6" borderId="24" xfId="0" applyNumberFormat="1" applyFont="1" applyFill="1" applyBorder="1" applyAlignment="1">
      <alignment vertical="top" wrapText="1"/>
    </xf>
    <xf numFmtId="0" fontId="4" fillId="10" borderId="57" xfId="6" applyFont="1" applyFill="1" applyBorder="1" applyAlignment="1">
      <alignment vertical="top"/>
    </xf>
    <xf numFmtId="9" fontId="4" fillId="6" borderId="57" xfId="5" applyFont="1" applyFill="1" applyBorder="1" applyAlignment="1">
      <alignment vertical="top" wrapText="1"/>
    </xf>
    <xf numFmtId="0" fontId="4" fillId="10" borderId="56" xfId="0" applyFont="1" applyFill="1" applyBorder="1" applyAlignment="1">
      <alignment vertical="top"/>
    </xf>
    <xf numFmtId="1" fontId="0" fillId="5" borderId="26" xfId="0" applyNumberFormat="1" applyFill="1" applyBorder="1" applyAlignment="1" applyProtection="1">
      <alignment vertical="top" wrapText="1"/>
      <protection locked="0"/>
    </xf>
    <xf numFmtId="0" fontId="4" fillId="10" borderId="39" xfId="0" applyFont="1" applyFill="1" applyBorder="1" applyAlignment="1">
      <alignment vertical="top" wrapText="1"/>
    </xf>
    <xf numFmtId="0" fontId="8" fillId="10" borderId="41" xfId="0" applyFont="1" applyFill="1" applyBorder="1" applyAlignment="1">
      <alignment vertical="top" wrapText="1"/>
    </xf>
    <xf numFmtId="166" fontId="4" fillId="10" borderId="40" xfId="4" applyNumberFormat="1" applyFont="1" applyFill="1" applyBorder="1" applyAlignment="1">
      <alignment vertical="top" wrapText="1"/>
    </xf>
    <xf numFmtId="169" fontId="4" fillId="10" borderId="39" xfId="4" applyNumberFormat="1" applyFont="1" applyFill="1" applyBorder="1" applyAlignment="1">
      <alignment vertical="top" wrapText="1"/>
    </xf>
    <xf numFmtId="9" fontId="4" fillId="10" borderId="39" xfId="5" applyFont="1" applyFill="1" applyBorder="1" applyAlignment="1">
      <alignment vertical="top" wrapText="1"/>
    </xf>
    <xf numFmtId="168" fontId="4" fillId="10" borderId="39" xfId="4" applyNumberFormat="1" applyFont="1" applyFill="1" applyBorder="1" applyAlignment="1">
      <alignment vertical="top" wrapText="1"/>
    </xf>
    <xf numFmtId="49" fontId="4" fillId="10" borderId="40" xfId="4" applyNumberFormat="1" applyFont="1" applyFill="1" applyBorder="1" applyAlignment="1">
      <alignment vertical="top" wrapText="1"/>
    </xf>
    <xf numFmtId="1" fontId="4" fillId="10" borderId="39" xfId="5" applyNumberFormat="1" applyFont="1" applyFill="1" applyBorder="1" applyAlignment="1">
      <alignment vertical="top" wrapText="1"/>
    </xf>
    <xf numFmtId="0" fontId="4" fillId="10" borderId="40" xfId="4" applyNumberFormat="1" applyFont="1" applyFill="1" applyBorder="1" applyAlignment="1">
      <alignment vertical="top" wrapText="1"/>
    </xf>
    <xf numFmtId="0" fontId="4" fillId="10" borderId="55" xfId="0" applyFont="1" applyFill="1" applyBorder="1" applyAlignment="1">
      <alignment vertical="top"/>
    </xf>
    <xf numFmtId="166" fontId="4" fillId="6" borderId="40" xfId="4" applyNumberFormat="1" applyFont="1" applyFill="1" applyBorder="1" applyAlignment="1">
      <alignment vertical="top" wrapText="1"/>
    </xf>
    <xf numFmtId="168" fontId="0" fillId="5" borderId="40" xfId="0" applyNumberFormat="1" applyFill="1" applyBorder="1" applyAlignment="1" applyProtection="1">
      <alignment vertical="top" wrapText="1"/>
      <protection locked="0"/>
    </xf>
    <xf numFmtId="0" fontId="4" fillId="10" borderId="53" xfId="6" applyFont="1" applyFill="1" applyBorder="1" applyAlignment="1">
      <alignment vertical="top"/>
    </xf>
    <xf numFmtId="6" fontId="4" fillId="6" borderId="9" xfId="0" applyNumberFormat="1" applyFont="1" applyFill="1" applyBorder="1"/>
    <xf numFmtId="49" fontId="0" fillId="5" borderId="23" xfId="0" applyNumberFormat="1" applyFill="1" applyBorder="1" applyAlignment="1" applyProtection="1">
      <alignment vertical="top" wrapText="1"/>
      <protection locked="0"/>
    </xf>
    <xf numFmtId="165" fontId="0" fillId="5" borderId="3" xfId="4" applyNumberFormat="1" applyFont="1" applyFill="1" applyBorder="1" applyAlignment="1" applyProtection="1">
      <alignment vertical="top" wrapText="1"/>
      <protection locked="0"/>
    </xf>
    <xf numFmtId="0" fontId="0" fillId="5" borderId="23" xfId="0" applyFill="1" applyBorder="1" applyAlignment="1" applyProtection="1">
      <alignment vertical="top" wrapText="1"/>
      <protection locked="0"/>
    </xf>
    <xf numFmtId="0" fontId="0" fillId="5" borderId="22" xfId="0" applyFill="1" applyBorder="1" applyAlignment="1" applyProtection="1">
      <alignment vertical="top" wrapText="1"/>
      <protection locked="0"/>
    </xf>
    <xf numFmtId="168" fontId="0" fillId="5" borderId="11" xfId="4" applyNumberFormat="1" applyFont="1" applyFill="1" applyBorder="1" applyAlignment="1" applyProtection="1">
      <alignment vertical="top" wrapText="1"/>
      <protection locked="0"/>
    </xf>
    <xf numFmtId="6" fontId="4" fillId="6" borderId="40" xfId="0" applyNumberFormat="1" applyFont="1" applyFill="1" applyBorder="1"/>
    <xf numFmtId="6" fontId="4" fillId="6" borderId="8" xfId="0" applyNumberFormat="1" applyFont="1" applyFill="1" applyBorder="1"/>
    <xf numFmtId="49" fontId="0" fillId="5" borderId="2" xfId="0" applyNumberFormat="1" applyFill="1" applyBorder="1" applyAlignment="1" applyProtection="1">
      <alignment vertical="top" wrapText="1"/>
      <protection locked="0"/>
    </xf>
    <xf numFmtId="168" fontId="0" fillId="5" borderId="8" xfId="0" applyNumberFormat="1" applyFill="1" applyBorder="1" applyAlignment="1" applyProtection="1">
      <alignment vertical="top" wrapText="1"/>
      <protection locked="0"/>
    </xf>
    <xf numFmtId="168" fontId="0" fillId="5" borderId="80" xfId="4" applyNumberFormat="1" applyFont="1" applyFill="1" applyBorder="1" applyAlignment="1" applyProtection="1">
      <alignment vertical="top" wrapText="1"/>
      <protection locked="0"/>
    </xf>
    <xf numFmtId="164" fontId="0" fillId="0" borderId="43" xfId="5" applyNumberFormat="1" applyFont="1" applyBorder="1" applyAlignment="1">
      <alignment vertical="top" wrapText="1"/>
    </xf>
    <xf numFmtId="0" fontId="4" fillId="0" borderId="43" xfId="0" applyFont="1" applyBorder="1" applyAlignment="1">
      <alignment vertical="top" wrapText="1"/>
    </xf>
    <xf numFmtId="0" fontId="0" fillId="0" borderId="35" xfId="0" applyBorder="1" applyAlignment="1">
      <alignment vertical="top" wrapText="1"/>
    </xf>
    <xf numFmtId="167" fontId="0" fillId="0" borderId="43" xfId="0" applyNumberFormat="1" applyBorder="1" applyAlignment="1">
      <alignment vertical="top" wrapText="1"/>
    </xf>
    <xf numFmtId="44" fontId="0" fillId="0" borderId="43" xfId="4" applyFont="1" applyBorder="1" applyAlignment="1">
      <alignment vertical="top" wrapText="1"/>
    </xf>
    <xf numFmtId="168" fontId="0" fillId="5" borderId="3" xfId="0" applyNumberFormat="1" applyFill="1" applyBorder="1" applyProtection="1">
      <protection locked="0"/>
    </xf>
    <xf numFmtId="49" fontId="10" fillId="5" borderId="3" xfId="0" applyNumberFormat="1" applyFont="1" applyFill="1" applyBorder="1" applyAlignment="1" applyProtection="1">
      <alignment vertical="top" wrapText="1"/>
      <protection locked="0"/>
    </xf>
    <xf numFmtId="0" fontId="10" fillId="5" borderId="3" xfId="0" applyFont="1" applyFill="1" applyBorder="1" applyAlignment="1" applyProtection="1">
      <alignment vertical="top" wrapText="1"/>
      <protection locked="0"/>
    </xf>
    <xf numFmtId="167" fontId="0" fillId="0" borderId="3" xfId="0" applyNumberFormat="1" applyBorder="1" applyAlignment="1">
      <alignment vertical="top" wrapText="1"/>
    </xf>
    <xf numFmtId="168" fontId="4" fillId="6" borderId="3" xfId="0" applyNumberFormat="1" applyFont="1" applyFill="1" applyBorder="1"/>
    <xf numFmtId="1" fontId="0" fillId="5" borderId="9" xfId="0" applyNumberFormat="1" applyFill="1" applyBorder="1" applyProtection="1">
      <protection locked="0"/>
    </xf>
    <xf numFmtId="0" fontId="4" fillId="0" borderId="50" xfId="0" applyFont="1" applyBorder="1" applyAlignment="1">
      <alignment vertical="top" wrapText="1"/>
    </xf>
    <xf numFmtId="0" fontId="4" fillId="0" borderId="21" xfId="0" applyFont="1" applyBorder="1" applyAlignment="1">
      <alignment vertical="top" wrapText="1"/>
    </xf>
    <xf numFmtId="0" fontId="8" fillId="6" borderId="51" xfId="0" applyFont="1" applyFill="1" applyBorder="1" applyAlignment="1">
      <alignment vertical="top" wrapText="1"/>
    </xf>
    <xf numFmtId="0" fontId="4" fillId="6" borderId="9" xfId="0" applyFont="1" applyFill="1" applyBorder="1"/>
    <xf numFmtId="0" fontId="4" fillId="6" borderId="40" xfId="0" applyFont="1" applyFill="1" applyBorder="1" applyAlignment="1">
      <alignment vertical="top" wrapText="1"/>
    </xf>
    <xf numFmtId="0" fontId="10" fillId="5" borderId="39" xfId="0" applyFont="1" applyFill="1" applyBorder="1" applyAlignment="1" applyProtection="1">
      <alignment vertical="top" wrapText="1"/>
      <protection locked="0"/>
    </xf>
    <xf numFmtId="1" fontId="0" fillId="5" borderId="40" xfId="0" applyNumberFormat="1" applyFill="1" applyBorder="1" applyProtection="1">
      <protection locked="0"/>
    </xf>
    <xf numFmtId="168" fontId="0" fillId="5" borderId="39" xfId="0" applyNumberFormat="1" applyFill="1" applyBorder="1" applyProtection="1">
      <protection locked="0"/>
    </xf>
    <xf numFmtId="168" fontId="4" fillId="6" borderId="39" xfId="0" applyNumberFormat="1" applyFont="1" applyFill="1" applyBorder="1"/>
    <xf numFmtId="0" fontId="0" fillId="5" borderId="45" xfId="0" applyFill="1" applyBorder="1" applyAlignment="1" applyProtection="1">
      <alignment vertical="top" wrapText="1"/>
      <protection locked="0"/>
    </xf>
    <xf numFmtId="166" fontId="4" fillId="6" borderId="10" xfId="0" applyNumberFormat="1" applyFont="1" applyFill="1" applyBorder="1" applyAlignment="1">
      <alignment vertical="top" wrapText="1"/>
    </xf>
    <xf numFmtId="9" fontId="4" fillId="6" borderId="7" xfId="0" applyNumberFormat="1" applyFont="1" applyFill="1" applyBorder="1" applyAlignment="1">
      <alignment vertical="top" wrapText="1"/>
    </xf>
    <xf numFmtId="2" fontId="4" fillId="6" borderId="84" xfId="0" applyNumberFormat="1" applyFont="1" applyFill="1" applyBorder="1" applyAlignment="1">
      <alignment vertical="top" wrapText="1"/>
    </xf>
    <xf numFmtId="0" fontId="4" fillId="10" borderId="57" xfId="0" applyFont="1" applyFill="1" applyBorder="1" applyAlignment="1">
      <alignment vertical="top" wrapText="1"/>
    </xf>
    <xf numFmtId="166" fontId="4" fillId="6" borderId="8" xfId="4" applyNumberFormat="1" applyFont="1" applyFill="1" applyBorder="1" applyAlignment="1">
      <alignment vertical="top" wrapText="1"/>
    </xf>
    <xf numFmtId="2" fontId="4" fillId="6" borderId="49" xfId="0" applyNumberFormat="1" applyFont="1" applyFill="1" applyBorder="1" applyAlignment="1">
      <alignment vertical="top" wrapText="1"/>
    </xf>
    <xf numFmtId="49" fontId="8" fillId="6" borderId="55" xfId="0" applyNumberFormat="1" applyFont="1" applyFill="1" applyBorder="1" applyAlignment="1">
      <alignment vertical="top" wrapText="1"/>
    </xf>
    <xf numFmtId="49" fontId="0" fillId="0" borderId="57" xfId="4" applyNumberFormat="1" applyFont="1" applyBorder="1" applyAlignment="1">
      <alignment vertical="top" wrapText="1"/>
    </xf>
    <xf numFmtId="49" fontId="0" fillId="0" borderId="57" xfId="5" applyNumberFormat="1" applyFont="1" applyBorder="1" applyAlignment="1">
      <alignment vertical="top" wrapText="1"/>
    </xf>
    <xf numFmtId="0" fontId="0" fillId="0" borderId="53" xfId="0" applyBorder="1" applyAlignment="1">
      <alignment vertical="top" wrapText="1"/>
    </xf>
    <xf numFmtId="49" fontId="4" fillId="6" borderId="53" xfId="0" applyNumberFormat="1" applyFont="1" applyFill="1" applyBorder="1" applyAlignment="1">
      <alignment vertical="top" wrapText="1"/>
    </xf>
    <xf numFmtId="49" fontId="12" fillId="6" borderId="57" xfId="0" applyNumberFormat="1" applyFont="1" applyFill="1" applyBorder="1" applyAlignment="1">
      <alignment vertical="top" wrapText="1"/>
    </xf>
    <xf numFmtId="49" fontId="17" fillId="6" borderId="55" xfId="0" applyNumberFormat="1" applyFont="1" applyFill="1" applyBorder="1" applyAlignment="1">
      <alignment vertical="top" wrapText="1"/>
    </xf>
    <xf numFmtId="4" fontId="10" fillId="5" borderId="3" xfId="4" applyNumberFormat="1" applyFont="1" applyFill="1" applyBorder="1" applyAlignment="1" applyProtection="1">
      <alignment vertical="top" wrapText="1"/>
      <protection locked="0"/>
    </xf>
    <xf numFmtId="169" fontId="4" fillId="6" borderId="3" xfId="4" applyNumberFormat="1" applyFont="1" applyFill="1" applyBorder="1" applyAlignment="1" applyProtection="1">
      <alignment vertical="top" wrapText="1"/>
    </xf>
    <xf numFmtId="166" fontId="4" fillId="6" borderId="9" xfId="5" applyNumberFormat="1" applyFont="1" applyFill="1" applyBorder="1" applyAlignment="1" applyProtection="1">
      <alignment vertical="top" wrapText="1"/>
    </xf>
    <xf numFmtId="9" fontId="4" fillId="6" borderId="3" xfId="5" applyFont="1" applyFill="1" applyBorder="1" applyAlignment="1" applyProtection="1">
      <alignment vertical="top" wrapText="1"/>
    </xf>
    <xf numFmtId="0" fontId="0" fillId="5" borderId="81" xfId="0" applyFill="1" applyBorder="1" applyAlignment="1" applyProtection="1">
      <alignment vertical="top" wrapText="1"/>
      <protection locked="0"/>
    </xf>
    <xf numFmtId="0" fontId="4" fillId="6" borderId="54" xfId="0" applyFont="1" applyFill="1" applyBorder="1" applyAlignment="1">
      <alignment vertical="top" wrapText="1"/>
    </xf>
    <xf numFmtId="0" fontId="8" fillId="6" borderId="4" xfId="0" applyFont="1" applyFill="1" applyBorder="1" applyAlignment="1">
      <alignment vertical="top" wrapText="1"/>
    </xf>
    <xf numFmtId="166" fontId="4" fillId="6" borderId="81" xfId="4" applyNumberFormat="1" applyFont="1" applyFill="1" applyBorder="1" applyAlignment="1" applyProtection="1">
      <alignment vertical="top" wrapText="1"/>
    </xf>
    <xf numFmtId="169" fontId="4" fillId="6" borderId="54" xfId="4" applyNumberFormat="1" applyFont="1" applyFill="1" applyBorder="1" applyAlignment="1" applyProtection="1">
      <alignment vertical="top" wrapText="1"/>
    </xf>
    <xf numFmtId="9" fontId="4" fillId="6" borderId="54" xfId="5" applyFont="1" applyFill="1" applyBorder="1" applyAlignment="1" applyProtection="1">
      <alignment vertical="top" wrapText="1"/>
    </xf>
    <xf numFmtId="0" fontId="8" fillId="6" borderId="82" xfId="0" applyFont="1" applyFill="1" applyBorder="1" applyAlignment="1">
      <alignment vertical="top" wrapText="1"/>
    </xf>
    <xf numFmtId="166" fontId="4" fillId="6" borderId="81" xfId="5" applyNumberFormat="1" applyFont="1" applyFill="1" applyBorder="1" applyAlignment="1" applyProtection="1">
      <alignment vertical="top" wrapText="1"/>
    </xf>
    <xf numFmtId="0" fontId="0" fillId="5" borderId="31" xfId="0" applyFill="1" applyBorder="1" applyAlignment="1" applyProtection="1">
      <alignment vertical="top" wrapText="1"/>
      <protection locked="0"/>
    </xf>
    <xf numFmtId="0" fontId="0" fillId="5" borderId="82" xfId="0" applyFill="1" applyBorder="1" applyAlignment="1" applyProtection="1">
      <alignment vertical="top" wrapText="1"/>
      <protection locked="0"/>
    </xf>
    <xf numFmtId="0" fontId="0" fillId="5" borderId="54" xfId="0" applyFill="1" applyBorder="1" applyAlignment="1" applyProtection="1">
      <alignment vertical="top" wrapText="1"/>
      <protection locked="0"/>
    </xf>
    <xf numFmtId="165" fontId="0" fillId="5" borderId="54" xfId="4" applyNumberFormat="1" applyFont="1" applyFill="1" applyBorder="1" applyAlignment="1" applyProtection="1">
      <alignment vertical="top" wrapText="1"/>
      <protection locked="0"/>
    </xf>
    <xf numFmtId="9" fontId="4" fillId="6" borderId="54" xfId="5" applyFont="1" applyFill="1" applyBorder="1" applyAlignment="1">
      <alignment vertical="top" wrapText="1"/>
    </xf>
    <xf numFmtId="0" fontId="2" fillId="3" borderId="0" xfId="0" applyFont="1" applyFill="1"/>
    <xf numFmtId="0" fontId="11" fillId="6" borderId="57" xfId="0" applyFont="1" applyFill="1" applyBorder="1" applyAlignment="1">
      <alignment vertical="top"/>
    </xf>
    <xf numFmtId="0" fontId="11" fillId="6" borderId="55" xfId="0" applyFont="1" applyFill="1" applyBorder="1" applyAlignment="1">
      <alignment vertical="top"/>
    </xf>
    <xf numFmtId="168" fontId="11" fillId="6" borderId="57" xfId="4" applyNumberFormat="1" applyFont="1" applyFill="1" applyBorder="1" applyAlignment="1">
      <alignment vertical="top" wrapText="1"/>
    </xf>
    <xf numFmtId="0" fontId="11" fillId="6" borderId="55" xfId="6" applyFont="1" applyFill="1" applyBorder="1" applyAlignment="1">
      <alignment vertical="top"/>
    </xf>
    <xf numFmtId="0" fontId="11" fillId="6" borderId="56" xfId="0" applyFont="1" applyFill="1" applyBorder="1" applyAlignment="1">
      <alignment vertical="top"/>
    </xf>
    <xf numFmtId="0" fontId="11" fillId="0" borderId="0" xfId="0" applyFont="1"/>
    <xf numFmtId="168" fontId="4" fillId="6" borderId="21" xfId="4" applyNumberFormat="1" applyFont="1" applyFill="1" applyBorder="1" applyAlignment="1">
      <alignment vertical="top" wrapText="1"/>
    </xf>
    <xf numFmtId="168" fontId="0" fillId="0" borderId="57" xfId="4" applyNumberFormat="1" applyFont="1" applyBorder="1" applyAlignment="1">
      <alignment vertical="top" wrapText="1"/>
    </xf>
    <xf numFmtId="0" fontId="11" fillId="10" borderId="55" xfId="0" applyFont="1" applyFill="1" applyBorder="1" applyAlignment="1">
      <alignment vertical="top"/>
    </xf>
    <xf numFmtId="0" fontId="11" fillId="10" borderId="52" xfId="0" applyFont="1" applyFill="1" applyBorder="1" applyAlignment="1">
      <alignment vertical="top"/>
    </xf>
    <xf numFmtId="0" fontId="11" fillId="10" borderId="55" xfId="6" applyFont="1" applyFill="1" applyBorder="1" applyAlignment="1">
      <alignment vertical="top"/>
    </xf>
    <xf numFmtId="0" fontId="25" fillId="0" borderId="0" xfId="0" applyFont="1"/>
    <xf numFmtId="49" fontId="4" fillId="6" borderId="32" xfId="0" applyNumberFormat="1" applyFont="1" applyFill="1" applyBorder="1" applyAlignment="1">
      <alignment vertical="top" wrapText="1"/>
    </xf>
    <xf numFmtId="0" fontId="11" fillId="10" borderId="57" xfId="0" applyFont="1" applyFill="1" applyBorder="1" applyAlignment="1">
      <alignment vertical="top" wrapText="1"/>
    </xf>
    <xf numFmtId="166" fontId="11" fillId="6" borderId="56" xfId="4" applyNumberFormat="1" applyFont="1" applyFill="1" applyBorder="1" applyAlignment="1">
      <alignment vertical="top" wrapText="1"/>
    </xf>
    <xf numFmtId="0" fontId="11" fillId="6" borderId="56" xfId="4" applyNumberFormat="1" applyFont="1" applyFill="1" applyBorder="1" applyAlignment="1">
      <alignment vertical="top" wrapText="1"/>
    </xf>
    <xf numFmtId="0" fontId="11" fillId="10" borderId="37" xfId="0" applyFont="1" applyFill="1" applyBorder="1" applyAlignment="1">
      <alignment vertical="top"/>
    </xf>
    <xf numFmtId="168" fontId="11" fillId="10" borderId="57" xfId="0" applyNumberFormat="1" applyFont="1" applyFill="1" applyBorder="1" applyAlignment="1">
      <alignment vertical="top"/>
    </xf>
    <xf numFmtId="1" fontId="11" fillId="10" borderId="56" xfId="0" applyNumberFormat="1" applyFont="1" applyFill="1" applyBorder="1" applyAlignment="1">
      <alignment vertical="top"/>
    </xf>
    <xf numFmtId="168" fontId="4" fillId="6" borderId="7" xfId="4" applyNumberFormat="1" applyFont="1" applyFill="1" applyBorder="1" applyAlignment="1">
      <alignment vertical="top" wrapText="1"/>
    </xf>
    <xf numFmtId="168" fontId="4" fillId="10" borderId="57" xfId="4" applyNumberFormat="1" applyFont="1" applyFill="1" applyBorder="1" applyAlignment="1">
      <alignment vertical="top"/>
    </xf>
    <xf numFmtId="9" fontId="11" fillId="10" borderId="13" xfId="5" applyFont="1" applyFill="1" applyBorder="1" applyAlignment="1">
      <alignment vertical="top"/>
    </xf>
    <xf numFmtId="0" fontId="11" fillId="10" borderId="36" xfId="0" applyFont="1" applyFill="1" applyBorder="1" applyAlignment="1">
      <alignment vertical="top"/>
    </xf>
    <xf numFmtId="166" fontId="11" fillId="10" borderId="56" xfId="0" applyNumberFormat="1" applyFont="1" applyFill="1" applyBorder="1" applyAlignment="1">
      <alignment vertical="top"/>
    </xf>
    <xf numFmtId="168" fontId="4" fillId="6" borderId="54" xfId="4" applyNumberFormat="1" applyFont="1" applyFill="1" applyBorder="1" applyAlignment="1">
      <alignment vertical="top" wrapText="1"/>
    </xf>
    <xf numFmtId="9" fontId="11" fillId="6" borderId="57" xfId="5" applyFont="1" applyFill="1" applyBorder="1" applyAlignment="1">
      <alignment vertical="top"/>
    </xf>
    <xf numFmtId="0" fontId="11" fillId="6" borderId="36" xfId="0" applyFont="1" applyFill="1" applyBorder="1" applyAlignment="1">
      <alignment vertical="top"/>
    </xf>
    <xf numFmtId="0" fontId="9" fillId="11" borderId="61" xfId="0" applyFont="1" applyFill="1" applyBorder="1" applyAlignment="1">
      <alignment vertical="top" wrapText="1"/>
    </xf>
    <xf numFmtId="0" fontId="8" fillId="6" borderId="36" xfId="0" applyFont="1" applyFill="1" applyBorder="1" applyAlignment="1">
      <alignment vertical="top" wrapText="1"/>
    </xf>
    <xf numFmtId="0" fontId="8" fillId="6" borderId="6" xfId="0" applyFont="1" applyFill="1" applyBorder="1" applyAlignment="1">
      <alignment vertical="top" wrapText="1"/>
    </xf>
    <xf numFmtId="0" fontId="8" fillId="6" borderId="24" xfId="0" applyFont="1" applyFill="1" applyBorder="1" applyAlignment="1">
      <alignment vertical="top" wrapText="1"/>
    </xf>
    <xf numFmtId="9" fontId="11" fillId="10" borderId="37" xfId="5" applyFont="1" applyFill="1" applyBorder="1" applyAlignment="1">
      <alignment vertical="top"/>
    </xf>
    <xf numFmtId="9" fontId="11" fillId="10" borderId="57" xfId="5" applyFont="1" applyFill="1" applyBorder="1" applyAlignment="1">
      <alignment vertical="top"/>
    </xf>
    <xf numFmtId="9" fontId="4" fillId="10" borderId="57" xfId="5" applyFont="1" applyFill="1" applyBorder="1" applyAlignment="1">
      <alignment vertical="top"/>
    </xf>
    <xf numFmtId="1" fontId="4" fillId="10" borderId="56" xfId="0" applyNumberFormat="1" applyFont="1" applyFill="1" applyBorder="1" applyAlignment="1">
      <alignment vertical="top"/>
    </xf>
    <xf numFmtId="168" fontId="0" fillId="5" borderId="42" xfId="4" applyNumberFormat="1" applyFont="1" applyFill="1" applyBorder="1" applyAlignment="1" applyProtection="1">
      <alignment vertical="top" wrapText="1"/>
      <protection locked="0"/>
    </xf>
    <xf numFmtId="2" fontId="11" fillId="6" borderId="18" xfId="0" applyNumberFormat="1" applyFont="1" applyFill="1" applyBorder="1" applyAlignment="1">
      <alignment vertical="top" wrapText="1"/>
    </xf>
    <xf numFmtId="0" fontId="19" fillId="3" borderId="47" xfId="3" applyFont="1" applyFill="1" applyBorder="1" applyAlignment="1">
      <alignment horizontal="left" vertical="top" wrapText="1"/>
    </xf>
    <xf numFmtId="0" fontId="20" fillId="3" borderId="48" xfId="3" applyFont="1" applyFill="1" applyBorder="1" applyAlignment="1">
      <alignment horizontal="centerContinuous" vertical="top" wrapText="1"/>
    </xf>
    <xf numFmtId="0" fontId="19" fillId="3" borderId="48" xfId="3" applyFont="1" applyFill="1" applyBorder="1" applyAlignment="1">
      <alignment horizontal="centerContinuous" vertical="top" wrapText="1"/>
    </xf>
    <xf numFmtId="0" fontId="20" fillId="3" borderId="61" xfId="3" applyFont="1" applyFill="1" applyBorder="1" applyAlignment="1">
      <alignment horizontal="centerContinuous" vertical="top" wrapText="1"/>
    </xf>
    <xf numFmtId="0" fontId="19" fillId="3" borderId="61" xfId="3" applyFont="1" applyFill="1" applyBorder="1" applyAlignment="1">
      <alignment horizontal="centerContinuous" vertical="top" wrapText="1"/>
    </xf>
    <xf numFmtId="0" fontId="19" fillId="3" borderId="62" xfId="3" applyFont="1" applyFill="1" applyBorder="1" applyAlignment="1">
      <alignment horizontal="centerContinuous" vertical="top" wrapText="1"/>
    </xf>
    <xf numFmtId="0" fontId="20" fillId="3" borderId="62" xfId="3" applyFont="1" applyFill="1" applyBorder="1" applyAlignment="1">
      <alignment horizontal="centerContinuous" vertical="top" wrapText="1"/>
    </xf>
    <xf numFmtId="0" fontId="21" fillId="3" borderId="2" xfId="3" applyFont="1" applyFill="1" applyBorder="1" applyAlignment="1">
      <alignment horizontal="left" vertical="top" wrapText="1"/>
    </xf>
    <xf numFmtId="0" fontId="20" fillId="3" borderId="67" xfId="3" applyFont="1" applyFill="1" applyBorder="1" applyAlignment="1">
      <alignment vertical="top"/>
    </xf>
    <xf numFmtId="2" fontId="19" fillId="3" borderId="59" xfId="3" applyNumberFormat="1" applyFont="1" applyFill="1" applyBorder="1" applyAlignment="1">
      <alignment vertical="top"/>
    </xf>
    <xf numFmtId="0" fontId="19" fillId="3" borderId="58" xfId="3" applyFont="1" applyFill="1" applyBorder="1" applyAlignment="1">
      <alignment vertical="top"/>
    </xf>
    <xf numFmtId="10" fontId="19" fillId="3" borderId="58" xfId="3" applyNumberFormat="1" applyFont="1" applyFill="1" applyBorder="1" applyAlignment="1">
      <alignment vertical="top"/>
    </xf>
    <xf numFmtId="0" fontId="19" fillId="3" borderId="64" xfId="3" applyFont="1" applyFill="1" applyBorder="1" applyAlignment="1">
      <alignment vertical="top"/>
    </xf>
    <xf numFmtId="10" fontId="19" fillId="3" borderId="66" xfId="5" applyNumberFormat="1" applyFont="1" applyFill="1" applyBorder="1" applyAlignment="1">
      <alignment vertical="top"/>
    </xf>
    <xf numFmtId="0" fontId="19" fillId="3" borderId="65" xfId="3" applyFont="1" applyFill="1" applyBorder="1" applyAlignment="1">
      <alignment vertical="top"/>
    </xf>
    <xf numFmtId="164" fontId="19" fillId="3" borderId="58" xfId="3" applyNumberFormat="1" applyFont="1" applyFill="1" applyBorder="1" applyAlignment="1">
      <alignment vertical="top"/>
    </xf>
    <xf numFmtId="0" fontId="19" fillId="3" borderId="60" xfId="3" applyFont="1" applyFill="1" applyBorder="1" applyAlignment="1">
      <alignment vertical="top"/>
    </xf>
    <xf numFmtId="2" fontId="19" fillId="3" borderId="63" xfId="0" applyNumberFormat="1" applyFont="1" applyFill="1" applyBorder="1" applyAlignment="1">
      <alignment vertical="top"/>
    </xf>
    <xf numFmtId="0" fontId="19" fillId="3" borderId="58" xfId="0" applyFont="1" applyFill="1" applyBorder="1" applyAlignment="1">
      <alignment vertical="top"/>
    </xf>
    <xf numFmtId="169" fontId="19" fillId="3" borderId="58" xfId="4" applyNumberFormat="1" applyFont="1" applyFill="1" applyBorder="1" applyAlignment="1">
      <alignment vertical="top"/>
    </xf>
    <xf numFmtId="170" fontId="19" fillId="3" borderId="58" xfId="8" applyNumberFormat="1" applyFont="1" applyFill="1" applyBorder="1" applyAlignment="1">
      <alignment vertical="top"/>
    </xf>
    <xf numFmtId="1" fontId="19" fillId="3" borderId="58" xfId="0" applyNumberFormat="1" applyFont="1" applyFill="1" applyBorder="1" applyAlignment="1">
      <alignment vertical="top"/>
    </xf>
    <xf numFmtId="0" fontId="19" fillId="3" borderId="60" xfId="0" applyFont="1" applyFill="1" applyBorder="1" applyAlignment="1">
      <alignment vertical="top"/>
    </xf>
    <xf numFmtId="10" fontId="19" fillId="3" borderId="63" xfId="5" applyNumberFormat="1" applyFont="1" applyFill="1" applyBorder="1" applyAlignment="1">
      <alignment vertical="top"/>
    </xf>
    <xf numFmtId="10" fontId="19" fillId="3" borderId="58" xfId="5" applyNumberFormat="1" applyFont="1" applyFill="1" applyBorder="1" applyAlignment="1">
      <alignment vertical="top"/>
    </xf>
    <xf numFmtId="2" fontId="19" fillId="3" borderId="59" xfId="0" applyNumberFormat="1" applyFont="1" applyFill="1" applyBorder="1" applyAlignment="1">
      <alignment vertical="top"/>
    </xf>
    <xf numFmtId="0" fontId="19" fillId="3" borderId="59" xfId="0" applyFont="1" applyFill="1" applyBorder="1" applyAlignment="1">
      <alignment vertical="top"/>
    </xf>
    <xf numFmtId="0" fontId="19" fillId="3" borderId="68" xfId="0" applyFont="1" applyFill="1" applyBorder="1" applyAlignment="1">
      <alignment vertical="top"/>
    </xf>
    <xf numFmtId="0" fontId="19" fillId="3" borderId="63" xfId="3" applyFont="1" applyFill="1" applyBorder="1" applyAlignment="1">
      <alignment vertical="top"/>
    </xf>
    <xf numFmtId="0" fontId="20" fillId="3" borderId="69" xfId="3" applyFont="1" applyFill="1" applyBorder="1" applyAlignment="1">
      <alignment vertical="top"/>
    </xf>
    <xf numFmtId="2" fontId="19" fillId="3" borderId="70" xfId="3" applyNumberFormat="1" applyFont="1" applyFill="1" applyBorder="1" applyAlignment="1">
      <alignment vertical="top"/>
    </xf>
    <xf numFmtId="0" fontId="19" fillId="3" borderId="71" xfId="3" applyFont="1" applyFill="1" applyBorder="1" applyAlignment="1">
      <alignment vertical="top"/>
    </xf>
    <xf numFmtId="10" fontId="19" fillId="3" borderId="71" xfId="3" applyNumberFormat="1" applyFont="1" applyFill="1" applyBorder="1" applyAlignment="1">
      <alignment vertical="top"/>
    </xf>
    <xf numFmtId="0" fontId="19" fillId="3" borderId="74" xfId="3" applyFont="1" applyFill="1" applyBorder="1" applyAlignment="1">
      <alignment vertical="top"/>
    </xf>
    <xf numFmtId="10" fontId="19" fillId="3" borderId="72" xfId="5" applyNumberFormat="1" applyFont="1" applyFill="1" applyBorder="1" applyAlignment="1">
      <alignment vertical="top"/>
    </xf>
    <xf numFmtId="0" fontId="19" fillId="3" borderId="73" xfId="3" applyFont="1" applyFill="1" applyBorder="1" applyAlignment="1">
      <alignment vertical="top"/>
    </xf>
    <xf numFmtId="164" fontId="19" fillId="3" borderId="71" xfId="3" applyNumberFormat="1" applyFont="1" applyFill="1" applyBorder="1" applyAlignment="1">
      <alignment vertical="top"/>
    </xf>
    <xf numFmtId="2" fontId="19" fillId="3" borderId="73" xfId="0" applyNumberFormat="1" applyFont="1" applyFill="1" applyBorder="1" applyAlignment="1">
      <alignment vertical="top"/>
    </xf>
    <xf numFmtId="0" fontId="19" fillId="3" borderId="71" xfId="0" applyFont="1" applyFill="1" applyBorder="1" applyAlignment="1">
      <alignment vertical="top"/>
    </xf>
    <xf numFmtId="169" fontId="19" fillId="3" borderId="71" xfId="4" applyNumberFormat="1" applyFont="1" applyFill="1" applyBorder="1" applyAlignment="1">
      <alignment vertical="top"/>
    </xf>
    <xf numFmtId="170" fontId="19" fillId="3" borderId="71" xfId="8" applyNumberFormat="1" applyFont="1" applyFill="1" applyBorder="1" applyAlignment="1">
      <alignment vertical="top"/>
    </xf>
    <xf numFmtId="1" fontId="19" fillId="3" borderId="71" xfId="0" applyNumberFormat="1" applyFont="1" applyFill="1" applyBorder="1" applyAlignment="1">
      <alignment vertical="top"/>
    </xf>
    <xf numFmtId="0" fontId="19" fillId="3" borderId="74" xfId="0" applyFont="1" applyFill="1" applyBorder="1" applyAlignment="1">
      <alignment vertical="top"/>
    </xf>
    <xf numFmtId="10" fontId="19" fillId="3" borderId="73" xfId="5" applyNumberFormat="1" applyFont="1" applyFill="1" applyBorder="1" applyAlignment="1">
      <alignment vertical="top"/>
    </xf>
    <xf numFmtId="10" fontId="19" fillId="3" borderId="71" xfId="5" applyNumberFormat="1" applyFont="1" applyFill="1" applyBorder="1" applyAlignment="1">
      <alignment vertical="top"/>
    </xf>
    <xf numFmtId="0" fontId="19" fillId="3" borderId="70" xfId="0" applyFont="1" applyFill="1" applyBorder="1" applyAlignment="1">
      <alignment vertical="top"/>
    </xf>
    <xf numFmtId="0" fontId="19" fillId="3" borderId="75" xfId="0" applyFont="1" applyFill="1" applyBorder="1" applyAlignment="1">
      <alignment vertical="top"/>
    </xf>
    <xf numFmtId="0" fontId="1" fillId="3" borderId="0" xfId="0" applyFont="1" applyFill="1"/>
    <xf numFmtId="0" fontId="0" fillId="3" borderId="0" xfId="0" applyFill="1" applyAlignment="1">
      <alignment vertical="top"/>
    </xf>
    <xf numFmtId="0" fontId="19" fillId="3" borderId="64" xfId="0" applyFont="1" applyFill="1" applyBorder="1" applyAlignment="1">
      <alignment vertical="top"/>
    </xf>
    <xf numFmtId="0" fontId="19" fillId="3" borderId="88" xfId="0" applyFont="1" applyFill="1" applyBorder="1" applyAlignment="1">
      <alignment vertical="top"/>
    </xf>
    <xf numFmtId="0" fontId="19" fillId="3" borderId="86" xfId="0" applyFont="1" applyFill="1" applyBorder="1" applyAlignment="1">
      <alignment vertical="top"/>
    </xf>
    <xf numFmtId="0" fontId="19" fillId="3" borderId="87" xfId="0" applyFont="1" applyFill="1" applyBorder="1" applyAlignment="1">
      <alignment vertical="top"/>
    </xf>
    <xf numFmtId="0" fontId="0" fillId="0" borderId="3" xfId="0" applyBorder="1" applyAlignment="1">
      <alignment vertical="top" wrapText="1"/>
    </xf>
    <xf numFmtId="0" fontId="0" fillId="0" borderId="3" xfId="0" applyBorder="1"/>
    <xf numFmtId="0" fontId="9" fillId="9" borderId="52" xfId="0" applyFont="1" applyFill="1" applyBorder="1" applyAlignment="1">
      <alignment vertical="top" wrapText="1"/>
    </xf>
    <xf numFmtId="0" fontId="9" fillId="9" borderId="37" xfId="0" applyFont="1" applyFill="1" applyBorder="1" applyAlignment="1">
      <alignment vertical="top" wrapText="1"/>
    </xf>
    <xf numFmtId="0" fontId="0" fillId="5" borderId="12" xfId="0" applyFill="1" applyBorder="1" applyAlignment="1" applyProtection="1">
      <alignment vertical="top" wrapText="1"/>
      <protection locked="0"/>
    </xf>
    <xf numFmtId="0" fontId="4" fillId="6" borderId="13" xfId="0" applyFont="1" applyFill="1" applyBorder="1" applyAlignment="1">
      <alignment vertical="top" wrapText="1"/>
    </xf>
    <xf numFmtId="0" fontId="8" fillId="6" borderId="34" xfId="0" applyFont="1" applyFill="1" applyBorder="1" applyAlignment="1">
      <alignment vertical="top" wrapText="1"/>
    </xf>
    <xf numFmtId="166" fontId="4" fillId="6" borderId="12" xfId="4" applyNumberFormat="1" applyFont="1" applyFill="1" applyBorder="1" applyAlignment="1">
      <alignment vertical="top" wrapText="1"/>
    </xf>
    <xf numFmtId="168" fontId="4" fillId="6" borderId="13" xfId="4" applyNumberFormat="1" applyFont="1" applyFill="1" applyBorder="1" applyAlignment="1">
      <alignment vertical="top" wrapText="1"/>
    </xf>
    <xf numFmtId="9" fontId="4" fillId="6" borderId="13" xfId="5" applyFont="1" applyFill="1" applyBorder="1" applyAlignment="1">
      <alignment vertical="top" wrapText="1"/>
    </xf>
    <xf numFmtId="166" fontId="4" fillId="6" borderId="90" xfId="0" applyNumberFormat="1" applyFont="1" applyFill="1" applyBorder="1" applyAlignment="1">
      <alignment vertical="top" wrapText="1"/>
    </xf>
    <xf numFmtId="168" fontId="4" fillId="6" borderId="18" xfId="4" applyNumberFormat="1" applyFont="1" applyFill="1" applyBorder="1" applyAlignment="1">
      <alignment vertical="top" wrapText="1"/>
    </xf>
    <xf numFmtId="9" fontId="4" fillId="6" borderId="18" xfId="0" applyNumberFormat="1" applyFont="1" applyFill="1" applyBorder="1" applyAlignment="1">
      <alignment vertical="top" wrapText="1"/>
    </xf>
    <xf numFmtId="0" fontId="0" fillId="5" borderId="90" xfId="0" applyFill="1" applyBorder="1" applyAlignment="1" applyProtection="1">
      <alignment vertical="top" wrapText="1"/>
      <protection locked="0"/>
    </xf>
    <xf numFmtId="0" fontId="0" fillId="5" borderId="13" xfId="0" applyFill="1" applyBorder="1" applyAlignment="1" applyProtection="1">
      <alignment vertical="top" wrapText="1"/>
      <protection locked="0"/>
    </xf>
    <xf numFmtId="0" fontId="0" fillId="5" borderId="91" xfId="0" applyFill="1" applyBorder="1" applyAlignment="1" applyProtection="1">
      <alignment vertical="top" wrapText="1"/>
      <protection locked="0"/>
    </xf>
    <xf numFmtId="168" fontId="0" fillId="5" borderId="13" xfId="0" applyNumberFormat="1" applyFill="1" applyBorder="1" applyAlignment="1" applyProtection="1">
      <alignment vertical="top" wrapText="1"/>
      <protection locked="0"/>
    </xf>
    <xf numFmtId="2" fontId="4" fillId="6" borderId="13" xfId="0" applyNumberFormat="1" applyFont="1" applyFill="1" applyBorder="1" applyAlignment="1">
      <alignment vertical="top" wrapText="1"/>
    </xf>
    <xf numFmtId="2" fontId="4" fillId="6" borderId="91" xfId="0" applyNumberFormat="1" applyFont="1" applyFill="1" applyBorder="1" applyAlignment="1">
      <alignment vertical="top" wrapText="1"/>
    </xf>
    <xf numFmtId="0" fontId="4" fillId="21" borderId="43" xfId="0" applyFont="1" applyFill="1" applyBorder="1" applyAlignment="1">
      <alignment vertical="top" wrapText="1"/>
    </xf>
    <xf numFmtId="0" fontId="4" fillId="6" borderId="46" xfId="0" applyFont="1" applyFill="1" applyBorder="1" applyAlignment="1">
      <alignment vertical="top" wrapText="1"/>
    </xf>
    <xf numFmtId="2" fontId="4" fillId="21" borderId="93" xfId="0" applyNumberFormat="1" applyFont="1" applyFill="1" applyBorder="1" applyAlignment="1">
      <alignment vertical="top" wrapText="1"/>
    </xf>
    <xf numFmtId="2" fontId="4" fillId="21" borderId="11" xfId="0" applyNumberFormat="1" applyFont="1" applyFill="1" applyBorder="1" applyAlignment="1" applyProtection="1">
      <alignment vertical="top" wrapText="1"/>
      <protection locked="0"/>
    </xf>
    <xf numFmtId="2" fontId="4" fillId="21" borderId="94" xfId="0" applyNumberFormat="1" applyFont="1" applyFill="1" applyBorder="1" applyAlignment="1" applyProtection="1">
      <alignment vertical="top" wrapText="1"/>
      <protection locked="0"/>
    </xf>
    <xf numFmtId="0" fontId="9" fillId="22" borderId="50" xfId="0" applyFont="1" applyFill="1" applyBorder="1" applyAlignment="1">
      <alignment vertical="top" wrapText="1"/>
    </xf>
    <xf numFmtId="49" fontId="4" fillId="21" borderId="44" xfId="0" applyNumberFormat="1" applyFont="1" applyFill="1" applyBorder="1" applyAlignment="1">
      <alignment vertical="top" wrapText="1"/>
    </xf>
    <xf numFmtId="0" fontId="9" fillId="22" borderId="47" xfId="0" applyFont="1" applyFill="1" applyBorder="1" applyAlignment="1">
      <alignment vertical="top" wrapText="1"/>
    </xf>
    <xf numFmtId="49" fontId="4" fillId="21" borderId="96" xfId="0" applyNumberFormat="1" applyFont="1" applyFill="1" applyBorder="1" applyAlignment="1" applyProtection="1">
      <alignment vertical="top" wrapText="1"/>
      <protection locked="0"/>
    </xf>
    <xf numFmtId="49" fontId="4" fillId="21" borderId="11" xfId="0" applyNumberFormat="1" applyFont="1" applyFill="1" applyBorder="1" applyAlignment="1" applyProtection="1">
      <alignment vertical="top" wrapText="1"/>
      <protection locked="0"/>
    </xf>
    <xf numFmtId="2" fontId="11" fillId="6" borderId="53" xfId="0" applyNumberFormat="1" applyFont="1" applyFill="1" applyBorder="1" applyAlignment="1">
      <alignment vertical="top" wrapText="1"/>
    </xf>
    <xf numFmtId="0" fontId="4" fillId="6" borderId="98" xfId="0" applyFont="1" applyFill="1" applyBorder="1" applyAlignment="1">
      <alignment vertical="top" wrapText="1"/>
    </xf>
    <xf numFmtId="2" fontId="4" fillId="6" borderId="17" xfId="0" applyNumberFormat="1" applyFont="1" applyFill="1" applyBorder="1" applyAlignment="1">
      <alignment vertical="top" wrapText="1"/>
    </xf>
    <xf numFmtId="2" fontId="4" fillId="6" borderId="21" xfId="0" applyNumberFormat="1" applyFont="1" applyFill="1" applyBorder="1" applyAlignment="1">
      <alignment vertical="top" wrapText="1"/>
    </xf>
    <xf numFmtId="0" fontId="0" fillId="0" borderId="0" xfId="0" applyAlignment="1">
      <alignment vertical="center" wrapText="1"/>
    </xf>
    <xf numFmtId="0" fontId="33" fillId="3" borderId="0" xfId="0" applyFont="1" applyFill="1"/>
    <xf numFmtId="0" fontId="15" fillId="3" borderId="0" xfId="0" applyFont="1" applyFill="1" applyAlignment="1">
      <alignment vertical="center" wrapText="1"/>
    </xf>
    <xf numFmtId="0" fontId="15" fillId="3" borderId="0" xfId="0" applyFont="1" applyFill="1" applyAlignment="1">
      <alignment vertical="top" wrapText="1"/>
    </xf>
    <xf numFmtId="0" fontId="35" fillId="3" borderId="0" xfId="0" applyFont="1" applyFill="1" applyAlignment="1">
      <alignment vertical="center"/>
    </xf>
    <xf numFmtId="0" fontId="33" fillId="3" borderId="0" xfId="0" applyFont="1" applyFill="1" applyAlignment="1">
      <alignment vertical="top"/>
    </xf>
    <xf numFmtId="0" fontId="15" fillId="3" borderId="0" xfId="0" applyFont="1" applyFill="1" applyAlignment="1">
      <alignment vertical="top"/>
    </xf>
    <xf numFmtId="0" fontId="34" fillId="3" borderId="0" xfId="0" applyFont="1" applyFill="1" applyAlignment="1">
      <alignment vertical="center"/>
    </xf>
    <xf numFmtId="0" fontId="14" fillId="3" borderId="0" xfId="0" applyFont="1" applyFill="1"/>
    <xf numFmtId="0" fontId="9" fillId="22" borderId="3" xfId="0" applyFont="1" applyFill="1" applyBorder="1" applyAlignment="1">
      <alignment vertical="top" wrapText="1"/>
    </xf>
    <xf numFmtId="0" fontId="9" fillId="22" borderId="15" xfId="0" applyFont="1" applyFill="1" applyBorder="1" applyAlignment="1">
      <alignment vertical="top" wrapText="1"/>
    </xf>
    <xf numFmtId="0" fontId="9" fillId="22" borderId="21" xfId="0" applyFont="1" applyFill="1" applyBorder="1" applyAlignment="1">
      <alignment vertical="top" wrapText="1"/>
    </xf>
    <xf numFmtId="2" fontId="11" fillId="21" borderId="3" xfId="0" applyNumberFormat="1" applyFont="1" applyFill="1" applyBorder="1" applyAlignment="1" applyProtection="1">
      <alignment vertical="top" wrapText="1"/>
      <protection locked="0"/>
    </xf>
    <xf numFmtId="49" fontId="12" fillId="6" borderId="92" xfId="0" applyNumberFormat="1" applyFont="1" applyFill="1" applyBorder="1" applyAlignment="1">
      <alignment vertical="top" wrapText="1"/>
    </xf>
    <xf numFmtId="2" fontId="4" fillId="6" borderId="18" xfId="0" applyNumberFormat="1" applyFont="1" applyFill="1" applyBorder="1" applyAlignment="1">
      <alignment vertical="top" wrapText="1"/>
    </xf>
    <xf numFmtId="2" fontId="4" fillId="6" borderId="36" xfId="0" applyNumberFormat="1" applyFont="1" applyFill="1" applyBorder="1" applyAlignment="1">
      <alignment vertical="top" wrapText="1"/>
    </xf>
    <xf numFmtId="49" fontId="11" fillId="21" borderId="3" xfId="0" applyNumberFormat="1" applyFont="1" applyFill="1" applyBorder="1" applyAlignment="1" applyProtection="1">
      <alignment vertical="top" wrapText="1"/>
      <protection locked="0"/>
    </xf>
    <xf numFmtId="0" fontId="11" fillId="21" borderId="3" xfId="0" applyFont="1" applyFill="1" applyBorder="1" applyAlignment="1">
      <alignment vertical="top"/>
    </xf>
    <xf numFmtId="49" fontId="11" fillId="21" borderId="5" xfId="0" applyNumberFormat="1" applyFont="1" applyFill="1" applyBorder="1" applyAlignment="1" applyProtection="1">
      <alignment vertical="top" wrapText="1"/>
      <protection locked="0"/>
    </xf>
    <xf numFmtId="49" fontId="4" fillId="21" borderId="13" xfId="0" applyNumberFormat="1" applyFont="1" applyFill="1" applyBorder="1" applyAlignment="1">
      <alignment vertical="top" wrapText="1"/>
    </xf>
    <xf numFmtId="49" fontId="38" fillId="6" borderId="57" xfId="0" applyNumberFormat="1" applyFont="1" applyFill="1" applyBorder="1" applyAlignment="1">
      <alignment vertical="top" wrapText="1"/>
    </xf>
    <xf numFmtId="2" fontId="11" fillId="6" borderId="5" xfId="0" applyNumberFormat="1" applyFont="1" applyFill="1" applyBorder="1" applyAlignment="1">
      <alignment vertical="top" wrapText="1"/>
    </xf>
    <xf numFmtId="2" fontId="11" fillId="6" borderId="3" xfId="0" applyNumberFormat="1" applyFont="1" applyFill="1" applyBorder="1" applyAlignment="1">
      <alignment vertical="top" wrapText="1"/>
    </xf>
    <xf numFmtId="49" fontId="11" fillId="6" borderId="57" xfId="0" applyNumberFormat="1" applyFont="1" applyFill="1" applyBorder="1" applyAlignment="1">
      <alignment vertical="top" wrapText="1"/>
    </xf>
    <xf numFmtId="1" fontId="4" fillId="21" borderId="11" xfId="0" applyNumberFormat="1" applyFont="1" applyFill="1" applyBorder="1" applyAlignment="1" applyProtection="1">
      <alignment vertical="top" wrapText="1"/>
      <protection locked="0"/>
    </xf>
    <xf numFmtId="0" fontId="5" fillId="0" borderId="0" xfId="0" applyFont="1" applyAlignment="1">
      <alignment vertical="top"/>
    </xf>
    <xf numFmtId="0" fontId="5" fillId="0" borderId="0" xfId="0" applyFont="1" applyAlignment="1" applyProtection="1">
      <alignment vertical="top"/>
      <protection locked="0"/>
    </xf>
    <xf numFmtId="0" fontId="5" fillId="19" borderId="0" xfId="0" applyFont="1" applyFill="1" applyAlignment="1" applyProtection="1">
      <alignment vertical="top"/>
      <protection locked="0"/>
    </xf>
    <xf numFmtId="0" fontId="5" fillId="3" borderId="1" xfId="1" applyFont="1" applyFill="1" applyAlignment="1" applyProtection="1">
      <alignment vertical="top"/>
      <protection locked="0"/>
    </xf>
    <xf numFmtId="0" fontId="39" fillId="20" borderId="1" xfId="1" applyFont="1" applyFill="1" applyAlignment="1" applyProtection="1">
      <alignment horizontal="left" vertical="top" wrapText="1" indent="1"/>
      <protection locked="0"/>
    </xf>
    <xf numFmtId="0" fontId="5" fillId="19" borderId="1" xfId="1" applyNumberFormat="1" applyFont="1" applyFill="1" applyAlignment="1" applyProtection="1">
      <alignment horizontal="left" vertical="top"/>
      <protection locked="0"/>
    </xf>
    <xf numFmtId="0" fontId="39" fillId="20" borderId="0" xfId="0" applyFont="1" applyFill="1" applyAlignment="1" applyProtection="1">
      <alignment horizontal="left" vertical="top" wrapText="1" indent="1"/>
      <protection locked="0"/>
    </xf>
    <xf numFmtId="14" fontId="32" fillId="3" borderId="0" xfId="2" applyNumberFormat="1" applyFont="1" applyFill="1" applyAlignment="1">
      <alignment horizontal="right" wrapText="1"/>
    </xf>
    <xf numFmtId="2" fontId="13" fillId="6" borderId="5" xfId="0" applyNumberFormat="1" applyFont="1" applyFill="1" applyBorder="1" applyAlignment="1">
      <alignment vertical="top" wrapText="1"/>
    </xf>
    <xf numFmtId="2" fontId="13" fillId="6" borderId="3" xfId="0" applyNumberFormat="1" applyFont="1" applyFill="1" applyBorder="1" applyAlignment="1">
      <alignment vertical="top" wrapText="1"/>
    </xf>
    <xf numFmtId="2" fontId="13" fillId="6" borderId="13" xfId="0" applyNumberFormat="1" applyFont="1" applyFill="1" applyBorder="1" applyAlignment="1">
      <alignment vertical="top" wrapText="1"/>
    </xf>
    <xf numFmtId="0" fontId="40" fillId="6" borderId="57" xfId="0" applyFont="1" applyFill="1" applyBorder="1" applyAlignment="1">
      <alignment vertical="top" wrapText="1"/>
    </xf>
    <xf numFmtId="0" fontId="0" fillId="24" borderId="3" xfId="0" applyFill="1" applyBorder="1" applyAlignment="1">
      <alignment horizontal="left" vertical="top"/>
    </xf>
    <xf numFmtId="49" fontId="5" fillId="19" borderId="0" xfId="0" applyNumberFormat="1" applyFont="1" applyFill="1" applyAlignment="1" applyProtection="1">
      <alignment vertical="top"/>
      <protection locked="0"/>
    </xf>
    <xf numFmtId="1" fontId="5" fillId="19" borderId="0" xfId="0" applyNumberFormat="1" applyFont="1" applyFill="1" applyAlignment="1" applyProtection="1">
      <alignment vertical="top"/>
      <protection locked="0"/>
    </xf>
    <xf numFmtId="14" fontId="5" fillId="19" borderId="0" xfId="0" applyNumberFormat="1" applyFont="1" applyFill="1" applyAlignment="1" applyProtection="1">
      <alignment vertical="top"/>
      <protection locked="0"/>
    </xf>
    <xf numFmtId="0" fontId="5" fillId="4" borderId="0" xfId="1" applyNumberFormat="1" applyFont="1" applyFill="1" applyBorder="1" applyAlignment="1">
      <alignment vertical="top"/>
    </xf>
    <xf numFmtId="0" fontId="39" fillId="20" borderId="0" xfId="1" applyNumberFormat="1" applyFont="1" applyFill="1" applyBorder="1" applyAlignment="1">
      <alignment horizontal="left" vertical="top" wrapText="1" indent="1"/>
    </xf>
    <xf numFmtId="0" fontId="42" fillId="20" borderId="0" xfId="1" applyNumberFormat="1" applyFont="1" applyFill="1" applyBorder="1" applyAlignment="1">
      <alignment horizontal="left" vertical="top" wrapText="1" indent="1"/>
    </xf>
    <xf numFmtId="0" fontId="43" fillId="20" borderId="0" xfId="1" applyNumberFormat="1" applyFont="1" applyFill="1" applyBorder="1" applyAlignment="1">
      <alignment horizontal="left" vertical="top" wrapText="1" indent="1"/>
    </xf>
    <xf numFmtId="49" fontId="5" fillId="19" borderId="0" xfId="1" applyNumberFormat="1" applyFont="1" applyFill="1" applyBorder="1" applyAlignment="1">
      <alignment vertical="top" wrapText="1"/>
    </xf>
    <xf numFmtId="1" fontId="5" fillId="19" borderId="0" xfId="1" applyNumberFormat="1" applyFont="1" applyFill="1" applyBorder="1" applyAlignment="1">
      <alignment vertical="top" wrapText="1"/>
    </xf>
    <xf numFmtId="168" fontId="5" fillId="19" borderId="0" xfId="1" applyNumberFormat="1" applyFont="1" applyFill="1" applyBorder="1" applyAlignment="1">
      <alignment vertical="top" wrapText="1"/>
    </xf>
    <xf numFmtId="0" fontId="41" fillId="20" borderId="0" xfId="1" applyNumberFormat="1" applyFont="1" applyFill="1" applyBorder="1" applyAlignment="1">
      <alignment horizontal="left" vertical="top" wrapText="1" indent="1"/>
    </xf>
    <xf numFmtId="168" fontId="5" fillId="19" borderId="0" xfId="0" applyNumberFormat="1" applyFont="1" applyFill="1" applyAlignment="1" applyProtection="1">
      <alignment vertical="top"/>
      <protection locked="0"/>
    </xf>
    <xf numFmtId="0" fontId="0" fillId="3" borderId="3" xfId="0" applyFill="1" applyBorder="1" applyAlignment="1">
      <alignment horizontal="left" vertical="top" wrapText="1"/>
    </xf>
    <xf numFmtId="0" fontId="23" fillId="3" borderId="3" xfId="0" applyFont="1" applyFill="1" applyBorder="1" applyAlignment="1">
      <alignment horizontal="left" vertical="top"/>
    </xf>
    <xf numFmtId="0" fontId="44" fillId="0" borderId="0" xfId="0" applyFont="1"/>
    <xf numFmtId="0" fontId="20" fillId="0" borderId="67" xfId="3" applyFont="1" applyBorder="1" applyAlignment="1">
      <alignment vertical="top"/>
    </xf>
    <xf numFmtId="2" fontId="19" fillId="0" borderId="59" xfId="3" applyNumberFormat="1" applyFont="1" applyBorder="1" applyAlignment="1">
      <alignment vertical="top"/>
    </xf>
    <xf numFmtId="0" fontId="19" fillId="0" borderId="58" xfId="3" applyFont="1" applyBorder="1" applyAlignment="1">
      <alignment vertical="top"/>
    </xf>
    <xf numFmtId="10" fontId="19" fillId="0" borderId="58" xfId="3" applyNumberFormat="1" applyFont="1" applyBorder="1" applyAlignment="1">
      <alignment vertical="top"/>
    </xf>
    <xf numFmtId="0" fontId="19" fillId="0" borderId="64" xfId="3" applyFont="1" applyBorder="1" applyAlignment="1">
      <alignment vertical="top"/>
    </xf>
    <xf numFmtId="10" fontId="19" fillId="0" borderId="66" xfId="5" applyNumberFormat="1" applyFont="1" applyFill="1" applyBorder="1" applyAlignment="1">
      <alignment vertical="top"/>
    </xf>
    <xf numFmtId="0" fontId="19" fillId="0" borderId="63" xfId="3" applyFont="1" applyBorder="1" applyAlignment="1">
      <alignment vertical="top"/>
    </xf>
    <xf numFmtId="164" fontId="19" fillId="0" borderId="58" xfId="3" applyNumberFormat="1" applyFont="1" applyBorder="1" applyAlignment="1">
      <alignment vertical="top"/>
    </xf>
    <xf numFmtId="0" fontId="19" fillId="0" borderId="60" xfId="3" applyFont="1" applyBorder="1" applyAlignment="1">
      <alignment vertical="top"/>
    </xf>
    <xf numFmtId="2" fontId="19" fillId="0" borderId="63" xfId="0" applyNumberFormat="1" applyFont="1" applyBorder="1" applyAlignment="1">
      <alignment vertical="top"/>
    </xf>
    <xf numFmtId="0" fontId="19" fillId="0" borderId="58" xfId="0" applyFont="1" applyBorder="1" applyAlignment="1">
      <alignment vertical="top"/>
    </xf>
    <xf numFmtId="169" fontId="19" fillId="0" borderId="58" xfId="4" applyNumberFormat="1" applyFont="1" applyFill="1" applyBorder="1" applyAlignment="1">
      <alignment vertical="top"/>
    </xf>
    <xf numFmtId="170" fontId="19" fillId="0" borderId="58" xfId="8" applyNumberFormat="1" applyFont="1" applyFill="1" applyBorder="1" applyAlignment="1">
      <alignment vertical="top"/>
    </xf>
    <xf numFmtId="1" fontId="19" fillId="0" borderId="58" xfId="0" applyNumberFormat="1" applyFont="1" applyBorder="1" applyAlignment="1">
      <alignment vertical="top"/>
    </xf>
    <xf numFmtId="0" fontId="19" fillId="0" borderId="64" xfId="0" applyFont="1" applyBorder="1" applyAlignment="1">
      <alignment vertical="top"/>
    </xf>
    <xf numFmtId="0" fontId="19" fillId="0" borderId="60" xfId="0" applyFont="1" applyBorder="1" applyAlignment="1">
      <alignment vertical="top"/>
    </xf>
    <xf numFmtId="0" fontId="19" fillId="0" borderId="86" xfId="0" applyFont="1" applyBorder="1" applyAlignment="1">
      <alignment vertical="top"/>
    </xf>
    <xf numFmtId="10" fontId="19" fillId="0" borderId="63" xfId="5" applyNumberFormat="1" applyFont="1" applyFill="1" applyBorder="1" applyAlignment="1">
      <alignment vertical="top"/>
    </xf>
    <xf numFmtId="10" fontId="19" fillId="0" borderId="58" xfId="5" applyNumberFormat="1" applyFont="1" applyFill="1" applyBorder="1" applyAlignment="1">
      <alignment vertical="top"/>
    </xf>
    <xf numFmtId="2" fontId="19" fillId="0" borderId="59" xfId="0" applyNumberFormat="1" applyFont="1" applyBorder="1" applyAlignment="1">
      <alignment vertical="top"/>
    </xf>
    <xf numFmtId="0" fontId="19" fillId="0" borderId="59" xfId="0" applyFont="1" applyBorder="1" applyAlignment="1">
      <alignment vertical="top"/>
    </xf>
    <xf numFmtId="0" fontId="19" fillId="0" borderId="68" xfId="0" applyFont="1" applyBorder="1" applyAlignment="1">
      <alignment vertical="top"/>
    </xf>
    <xf numFmtId="0" fontId="20" fillId="3" borderId="100" xfId="3" applyFont="1" applyFill="1" applyBorder="1" applyAlignment="1">
      <alignment vertical="top"/>
    </xf>
    <xf numFmtId="2" fontId="19" fillId="3" borderId="101" xfId="3" applyNumberFormat="1" applyFont="1" applyFill="1" applyBorder="1" applyAlignment="1">
      <alignment vertical="top"/>
    </xf>
    <xf numFmtId="0" fontId="19" fillId="3" borderId="102" xfId="3" applyFont="1" applyFill="1" applyBorder="1" applyAlignment="1">
      <alignment vertical="top"/>
    </xf>
    <xf numFmtId="10" fontId="19" fillId="3" borderId="102" xfId="3" applyNumberFormat="1" applyFont="1" applyFill="1" applyBorder="1" applyAlignment="1">
      <alignment vertical="top"/>
    </xf>
    <xf numFmtId="0" fontId="19" fillId="3" borderId="103" xfId="3" applyFont="1" applyFill="1" applyBorder="1" applyAlignment="1">
      <alignment vertical="top"/>
    </xf>
    <xf numFmtId="10" fontId="19" fillId="3" borderId="104" xfId="5" applyNumberFormat="1" applyFont="1" applyFill="1" applyBorder="1" applyAlignment="1">
      <alignment vertical="top"/>
    </xf>
    <xf numFmtId="164" fontId="19" fillId="3" borderId="102" xfId="3" applyNumberFormat="1" applyFont="1" applyFill="1" applyBorder="1" applyAlignment="1">
      <alignment vertical="top"/>
    </xf>
    <xf numFmtId="0" fontId="19" fillId="3" borderId="105" xfId="3" applyFont="1" applyFill="1" applyBorder="1" applyAlignment="1">
      <alignment vertical="top"/>
    </xf>
    <xf numFmtId="2" fontId="19" fillId="3" borderId="65" xfId="0" applyNumberFormat="1" applyFont="1" applyFill="1" applyBorder="1" applyAlignment="1">
      <alignment vertical="top"/>
    </xf>
    <xf numFmtId="0" fontId="19" fillId="3" borderId="102" xfId="0" applyFont="1" applyFill="1" applyBorder="1" applyAlignment="1">
      <alignment vertical="top"/>
    </xf>
    <xf numFmtId="169" fontId="19" fillId="3" borderId="102" xfId="4" applyNumberFormat="1" applyFont="1" applyFill="1" applyBorder="1" applyAlignment="1">
      <alignment vertical="top"/>
    </xf>
    <xf numFmtId="170" fontId="19" fillId="3" borderId="102" xfId="8" applyNumberFormat="1" applyFont="1" applyFill="1" applyBorder="1" applyAlignment="1">
      <alignment vertical="top"/>
    </xf>
    <xf numFmtId="1" fontId="19" fillId="3" borderId="102" xfId="0" applyNumberFormat="1" applyFont="1" applyFill="1" applyBorder="1" applyAlignment="1">
      <alignment vertical="top"/>
    </xf>
    <xf numFmtId="0" fontId="19" fillId="3" borderId="103" xfId="0" applyFont="1" applyFill="1" applyBorder="1" applyAlignment="1">
      <alignment vertical="top"/>
    </xf>
    <xf numFmtId="0" fontId="19" fillId="3" borderId="105" xfId="0" applyFont="1" applyFill="1" applyBorder="1" applyAlignment="1">
      <alignment vertical="top"/>
    </xf>
    <xf numFmtId="0" fontId="19" fillId="3" borderId="89" xfId="0" applyFont="1" applyFill="1" applyBorder="1" applyAlignment="1">
      <alignment vertical="top"/>
    </xf>
    <xf numFmtId="10" fontId="19" fillId="3" borderId="65" xfId="5" applyNumberFormat="1" applyFont="1" applyFill="1" applyBorder="1" applyAlignment="1">
      <alignment vertical="top"/>
    </xf>
    <xf numFmtId="10" fontId="19" fillId="3" borderId="102" xfId="5" applyNumberFormat="1" applyFont="1" applyFill="1" applyBorder="1" applyAlignment="1">
      <alignment vertical="top"/>
    </xf>
    <xf numFmtId="2" fontId="19" fillId="3" borderId="101" xfId="0" applyNumberFormat="1" applyFont="1" applyFill="1" applyBorder="1" applyAlignment="1">
      <alignment vertical="top"/>
    </xf>
    <xf numFmtId="0" fontId="19" fillId="3" borderId="101" xfId="0" applyFont="1" applyFill="1" applyBorder="1" applyAlignment="1">
      <alignment vertical="top"/>
    </xf>
    <xf numFmtId="0" fontId="19" fillId="3" borderId="106" xfId="0" applyFont="1" applyFill="1" applyBorder="1" applyAlignment="1">
      <alignment vertical="top"/>
    </xf>
    <xf numFmtId="0" fontId="21" fillId="3" borderId="9" xfId="3" applyFont="1" applyFill="1" applyBorder="1" applyAlignment="1">
      <alignment horizontal="left" vertical="top" wrapText="1"/>
    </xf>
    <xf numFmtId="0" fontId="21" fillId="3" borderId="6" xfId="3" applyFont="1" applyFill="1" applyBorder="1" applyAlignment="1">
      <alignment horizontal="left" vertical="top" wrapText="1"/>
    </xf>
    <xf numFmtId="0" fontId="21" fillId="3" borderId="25" xfId="3" applyFont="1" applyFill="1" applyBorder="1" applyAlignment="1">
      <alignment horizontal="left" vertical="top" wrapText="1"/>
    </xf>
    <xf numFmtId="0" fontId="21" fillId="3" borderId="6" xfId="0" applyFont="1" applyFill="1" applyBorder="1" applyAlignment="1">
      <alignment horizontal="left" vertical="top" wrapText="1"/>
    </xf>
    <xf numFmtId="0" fontId="21" fillId="3" borderId="2" xfId="0" applyFont="1" applyFill="1" applyBorder="1" applyAlignment="1">
      <alignment horizontal="left" vertical="top" wrapText="1"/>
    </xf>
    <xf numFmtId="0" fontId="21" fillId="3" borderId="25" xfId="0" applyFont="1" applyFill="1" applyBorder="1" applyAlignment="1">
      <alignment horizontal="left" vertical="top" wrapText="1"/>
    </xf>
    <xf numFmtId="0" fontId="21" fillId="3" borderId="49" xfId="0" applyFont="1" applyFill="1" applyBorder="1" applyAlignment="1">
      <alignment horizontal="left" vertical="top" wrapText="1"/>
    </xf>
    <xf numFmtId="0" fontId="19" fillId="0" borderId="71" xfId="0" applyFont="1" applyBorder="1" applyAlignment="1">
      <alignment vertical="top"/>
    </xf>
    <xf numFmtId="0" fontId="45" fillId="3" borderId="7" xfId="0" applyFont="1" applyFill="1" applyBorder="1" applyAlignment="1">
      <alignment vertical="center"/>
    </xf>
    <xf numFmtId="0" fontId="45" fillId="3" borderId="23" xfId="0" applyFont="1" applyFill="1" applyBorder="1" applyAlignment="1">
      <alignment vertical="center"/>
    </xf>
    <xf numFmtId="0" fontId="45" fillId="3" borderId="19" xfId="0" applyFont="1" applyFill="1" applyBorder="1" applyAlignment="1">
      <alignment vertical="center"/>
    </xf>
    <xf numFmtId="0" fontId="46" fillId="3" borderId="0" xfId="0" applyFont="1" applyFill="1"/>
    <xf numFmtId="0" fontId="47" fillId="3" borderId="0" xfId="0" applyFont="1" applyFill="1"/>
    <xf numFmtId="0" fontId="47" fillId="3" borderId="22" xfId="0" applyFont="1" applyFill="1" applyBorder="1" applyAlignment="1">
      <alignment vertical="top" wrapText="1"/>
    </xf>
    <xf numFmtId="0" fontId="47" fillId="3" borderId="19" xfId="0" applyFont="1" applyFill="1" applyBorder="1" applyAlignment="1">
      <alignment vertical="top" wrapText="1"/>
    </xf>
    <xf numFmtId="0" fontId="47" fillId="3" borderId="26" xfId="0" applyFont="1" applyFill="1" applyBorder="1" applyAlignment="1">
      <alignment vertical="top" wrapText="1"/>
    </xf>
    <xf numFmtId="0" fontId="47" fillId="3" borderId="0" xfId="0" applyFont="1" applyFill="1" applyAlignment="1">
      <alignment vertical="top" wrapText="1"/>
    </xf>
    <xf numFmtId="0" fontId="47" fillId="3" borderId="0" xfId="0" applyFont="1" applyFill="1" applyAlignment="1">
      <alignment horizontal="right" vertical="top" indent="1"/>
    </xf>
    <xf numFmtId="0" fontId="47" fillId="3" borderId="0" xfId="0" applyFont="1" applyFill="1" applyAlignment="1">
      <alignment horizontal="center" vertical="top"/>
    </xf>
    <xf numFmtId="0" fontId="49" fillId="3" borderId="0" xfId="0" applyFont="1" applyFill="1" applyAlignment="1">
      <alignment vertical="top"/>
    </xf>
    <xf numFmtId="0" fontId="47" fillId="0" borderId="0" xfId="0" applyFont="1"/>
    <xf numFmtId="0" fontId="47" fillId="3" borderId="2" xfId="0" applyFont="1" applyFill="1" applyBorder="1"/>
    <xf numFmtId="0" fontId="47" fillId="3" borderId="26" xfId="0" applyFont="1" applyFill="1" applyBorder="1"/>
    <xf numFmtId="0" fontId="47" fillId="3" borderId="0" xfId="0" applyFont="1" applyFill="1" applyAlignment="1">
      <alignment vertical="top"/>
    </xf>
    <xf numFmtId="0" fontId="53" fillId="3" borderId="23" xfId="0" applyFont="1" applyFill="1" applyBorder="1" applyAlignment="1">
      <alignment vertical="center"/>
    </xf>
    <xf numFmtId="0" fontId="47" fillId="3" borderId="0" xfId="0" applyFont="1" applyFill="1" applyAlignment="1">
      <alignment wrapText="1"/>
    </xf>
    <xf numFmtId="0" fontId="47" fillId="3" borderId="0" xfId="0" applyFont="1" applyFill="1" applyAlignment="1">
      <alignment vertical="center"/>
    </xf>
    <xf numFmtId="0" fontId="48" fillId="3" borderId="0" xfId="0" applyFont="1" applyFill="1" applyAlignment="1">
      <alignment vertical="top" wrapText="1"/>
    </xf>
    <xf numFmtId="0" fontId="53" fillId="3" borderId="19" xfId="0" applyFont="1" applyFill="1" applyBorder="1" applyAlignment="1">
      <alignment vertical="center"/>
    </xf>
    <xf numFmtId="0" fontId="47" fillId="3" borderId="23" xfId="0" applyFont="1" applyFill="1" applyBorder="1" applyAlignment="1">
      <alignment vertical="center"/>
    </xf>
    <xf numFmtId="0" fontId="58" fillId="3" borderId="0" xfId="0" applyFont="1" applyFill="1"/>
    <xf numFmtId="0" fontId="46" fillId="3" borderId="0" xfId="0" applyFont="1" applyFill="1" applyAlignment="1">
      <alignment vertical="top"/>
    </xf>
    <xf numFmtId="0" fontId="46" fillId="3" borderId="0" xfId="0" applyFont="1" applyFill="1" applyAlignment="1">
      <alignment horizontal="right" vertical="top"/>
    </xf>
    <xf numFmtId="0" fontId="45" fillId="3" borderId="0" xfId="0" applyFont="1" applyFill="1" applyAlignment="1">
      <alignment horizontal="left" vertical="center"/>
    </xf>
    <xf numFmtId="0" fontId="45" fillId="3" borderId="0" xfId="0" applyFont="1" applyFill="1" applyAlignment="1">
      <alignment vertical="center"/>
    </xf>
    <xf numFmtId="0" fontId="46" fillId="3" borderId="0" xfId="0" applyFont="1" applyFill="1" applyAlignment="1">
      <alignment horizontal="left" wrapText="1"/>
    </xf>
    <xf numFmtId="0" fontId="47" fillId="3" borderId="0" xfId="0" applyFont="1" applyFill="1" applyAlignment="1">
      <alignment horizontal="left" vertical="top"/>
    </xf>
    <xf numFmtId="0" fontId="53" fillId="3" borderId="0" xfId="0" applyFont="1" applyFill="1"/>
    <xf numFmtId="0" fontId="53" fillId="3" borderId="0" xfId="0" applyFont="1" applyFill="1" applyAlignment="1">
      <alignment vertical="center"/>
    </xf>
    <xf numFmtId="0" fontId="46" fillId="3" borderId="0" xfId="0" applyFont="1" applyFill="1" applyAlignment="1">
      <alignment horizontal="left"/>
    </xf>
    <xf numFmtId="0" fontId="54" fillId="3" borderId="0" xfId="0" applyFont="1" applyFill="1" applyAlignment="1" applyProtection="1">
      <alignment vertical="top"/>
      <protection locked="0"/>
    </xf>
    <xf numFmtId="0" fontId="47" fillId="3" borderId="0" xfId="0" applyFont="1" applyFill="1" applyAlignment="1">
      <alignment vertical="center" wrapText="1"/>
    </xf>
    <xf numFmtId="0" fontId="47" fillId="0" borderId="0" xfId="0" applyFont="1" applyAlignment="1">
      <alignment vertical="center"/>
    </xf>
    <xf numFmtId="0" fontId="53" fillId="3" borderId="0" xfId="0" applyFont="1" applyFill="1" applyAlignment="1">
      <alignment vertical="center" wrapText="1"/>
    </xf>
    <xf numFmtId="0" fontId="54" fillId="3" borderId="0" xfId="0" applyFont="1" applyFill="1" applyAlignment="1" applyProtection="1">
      <alignment vertical="center"/>
      <protection locked="0"/>
    </xf>
    <xf numFmtId="169" fontId="54" fillId="3" borderId="0" xfId="4" applyNumberFormat="1" applyFont="1" applyFill="1" applyBorder="1" applyAlignment="1" applyProtection="1">
      <alignment vertical="center" wrapText="1"/>
    </xf>
    <xf numFmtId="0" fontId="59" fillId="3" borderId="0" xfId="0" applyFont="1" applyFill="1" applyAlignment="1">
      <alignment horizontal="right" vertical="center"/>
    </xf>
    <xf numFmtId="0" fontId="54" fillId="3" borderId="0" xfId="0" applyFont="1" applyFill="1" applyProtection="1">
      <protection locked="0"/>
    </xf>
    <xf numFmtId="2" fontId="4" fillId="21" borderId="44" xfId="0" applyNumberFormat="1" applyFont="1" applyFill="1" applyBorder="1" applyAlignment="1">
      <alignment vertical="top" wrapText="1"/>
    </xf>
    <xf numFmtId="2" fontId="4" fillId="25" borderId="44" xfId="0" applyNumberFormat="1" applyFont="1" applyFill="1" applyBorder="1" applyAlignment="1">
      <alignment vertical="top" wrapText="1"/>
    </xf>
    <xf numFmtId="168" fontId="4" fillId="21" borderId="82" xfId="0" applyNumberFormat="1" applyFont="1" applyFill="1" applyBorder="1" applyAlignment="1" applyProtection="1">
      <alignment vertical="top" wrapText="1"/>
      <protection locked="0"/>
    </xf>
    <xf numFmtId="2" fontId="4" fillId="6" borderId="92" xfId="0" applyNumberFormat="1" applyFont="1" applyFill="1" applyBorder="1" applyAlignment="1">
      <alignment vertical="top" wrapText="1"/>
    </xf>
    <xf numFmtId="2" fontId="4" fillId="21" borderId="3" xfId="0" applyNumberFormat="1" applyFont="1" applyFill="1" applyBorder="1" applyAlignment="1">
      <alignment vertical="top" wrapText="1"/>
    </xf>
    <xf numFmtId="0" fontId="10" fillId="3" borderId="3" xfId="0" applyFont="1" applyFill="1" applyBorder="1" applyAlignment="1">
      <alignment horizontal="left" vertical="top" wrapText="1"/>
    </xf>
    <xf numFmtId="0" fontId="24" fillId="3" borderId="3" xfId="0" applyFont="1" applyFill="1" applyBorder="1" applyAlignment="1">
      <alignment horizontal="left" vertical="top" wrapText="1"/>
    </xf>
    <xf numFmtId="168" fontId="4" fillId="25" borderId="82" xfId="0" applyNumberFormat="1" applyFont="1" applyFill="1" applyBorder="1" applyAlignment="1">
      <alignment vertical="top" wrapText="1"/>
    </xf>
    <xf numFmtId="168" fontId="4" fillId="25" borderId="94" xfId="0" applyNumberFormat="1" applyFont="1" applyFill="1" applyBorder="1" applyAlignment="1">
      <alignment vertical="top" wrapText="1"/>
    </xf>
    <xf numFmtId="168" fontId="4" fillId="21" borderId="3" xfId="0" applyNumberFormat="1" applyFont="1" applyFill="1" applyBorder="1" applyAlignment="1" applyProtection="1">
      <alignment vertical="top" wrapText="1"/>
      <protection locked="0"/>
    </xf>
    <xf numFmtId="2" fontId="4" fillId="21" borderId="3" xfId="0" applyNumberFormat="1" applyFont="1" applyFill="1" applyBorder="1" applyAlignment="1" applyProtection="1">
      <alignment vertical="top" wrapText="1"/>
      <protection locked="0"/>
    </xf>
    <xf numFmtId="0" fontId="49" fillId="3" borderId="0" xfId="0" applyFont="1" applyFill="1"/>
    <xf numFmtId="0" fontId="46" fillId="3" borderId="0" xfId="0" applyFont="1" applyFill="1" applyAlignment="1">
      <alignment vertical="top" wrapText="1"/>
    </xf>
    <xf numFmtId="0" fontId="53" fillId="3" borderId="0" xfId="0" applyFont="1" applyFill="1" applyAlignment="1">
      <alignment vertical="top" wrapText="1"/>
    </xf>
    <xf numFmtId="0" fontId="53" fillId="3" borderId="0" xfId="0" applyFont="1" applyFill="1" applyAlignment="1">
      <alignment vertical="top"/>
    </xf>
    <xf numFmtId="0" fontId="45" fillId="3" borderId="0" xfId="0" applyFont="1" applyFill="1" applyAlignment="1">
      <alignment vertical="top" wrapText="1"/>
    </xf>
    <xf numFmtId="3" fontId="5" fillId="19" borderId="0" xfId="0" applyNumberFormat="1" applyFont="1" applyFill="1" applyAlignment="1" applyProtection="1">
      <alignment vertical="top"/>
      <protection locked="0"/>
    </xf>
    <xf numFmtId="173" fontId="5" fillId="19" borderId="0" xfId="0" applyNumberFormat="1" applyFont="1" applyFill="1" applyAlignment="1" applyProtection="1">
      <alignment vertical="top"/>
      <protection locked="0"/>
    </xf>
    <xf numFmtId="0" fontId="47" fillId="3" borderId="23" xfId="0" applyFont="1" applyFill="1" applyBorder="1" applyAlignment="1">
      <alignment vertical="top" wrapText="1"/>
    </xf>
    <xf numFmtId="0" fontId="47" fillId="3" borderId="19" xfId="0" applyFont="1" applyFill="1" applyBorder="1"/>
    <xf numFmtId="0" fontId="52" fillId="3" borderId="0" xfId="0" applyFont="1" applyFill="1"/>
    <xf numFmtId="0" fontId="44" fillId="3" borderId="0" xfId="0" applyFont="1" applyFill="1"/>
    <xf numFmtId="0" fontId="54" fillId="5" borderId="7" xfId="0" applyFont="1" applyFill="1" applyBorder="1" applyProtection="1">
      <protection locked="0"/>
    </xf>
    <xf numFmtId="0" fontId="54" fillId="5" borderId="19" xfId="0" applyFont="1" applyFill="1" applyBorder="1" applyAlignment="1">
      <alignment vertical="center"/>
    </xf>
    <xf numFmtId="0" fontId="54" fillId="5" borderId="3" xfId="0" applyFont="1" applyFill="1" applyBorder="1" applyAlignment="1">
      <alignment vertical="center"/>
    </xf>
    <xf numFmtId="0" fontId="46" fillId="3" borderId="0" xfId="0" applyFont="1" applyFill="1" applyAlignment="1">
      <alignment vertical="center"/>
    </xf>
    <xf numFmtId="0" fontId="62" fillId="3" borderId="0" xfId="0" applyFont="1" applyFill="1"/>
    <xf numFmtId="0" fontId="47" fillId="0" borderId="25" xfId="0" applyFont="1" applyBorder="1"/>
    <xf numFmtId="0" fontId="47" fillId="0" borderId="19" xfId="0" applyFont="1" applyBorder="1"/>
    <xf numFmtId="0" fontId="54" fillId="5" borderId="3" xfId="0" applyFont="1" applyFill="1" applyBorder="1" applyAlignment="1">
      <alignment horizontal="center" vertical="center"/>
    </xf>
    <xf numFmtId="0" fontId="54" fillId="5" borderId="19" xfId="0" applyFont="1" applyFill="1" applyBorder="1" applyAlignment="1">
      <alignment horizontal="center" vertical="center"/>
    </xf>
    <xf numFmtId="0" fontId="44" fillId="0" borderId="0" xfId="0" applyFont="1" applyAlignment="1">
      <alignment vertical="top"/>
    </xf>
    <xf numFmtId="0" fontId="49" fillId="3" borderId="0" xfId="0" applyFont="1" applyFill="1" applyAlignment="1">
      <alignment vertical="center"/>
    </xf>
    <xf numFmtId="0" fontId="48" fillId="3" borderId="26" xfId="0" applyFont="1" applyFill="1" applyBorder="1" applyAlignment="1">
      <alignment vertical="top"/>
    </xf>
    <xf numFmtId="0" fontId="54" fillId="3" borderId="0" xfId="0" applyFont="1" applyFill="1" applyAlignment="1">
      <alignment vertical="center"/>
    </xf>
    <xf numFmtId="0" fontId="47" fillId="3" borderId="0" xfId="0" applyFont="1" applyFill="1" applyAlignment="1">
      <alignment horizontal="center"/>
    </xf>
    <xf numFmtId="0" fontId="46" fillId="3" borderId="0" xfId="0" applyFont="1" applyFill="1" applyAlignment="1">
      <alignment horizontal="left" indent="1"/>
    </xf>
    <xf numFmtId="0" fontId="46" fillId="3" borderId="0" xfId="0" applyFont="1" applyFill="1" applyAlignment="1">
      <alignment horizontal="left" vertical="center" indent="1"/>
    </xf>
    <xf numFmtId="0" fontId="45" fillId="3" borderId="0" xfId="0" applyFont="1" applyFill="1" applyAlignment="1">
      <alignment horizontal="center" vertical="center"/>
    </xf>
    <xf numFmtId="0" fontId="54" fillId="5" borderId="7" xfId="0" applyFont="1" applyFill="1" applyBorder="1" applyAlignment="1" applyProtection="1">
      <alignment horizontal="center"/>
      <protection locked="0"/>
    </xf>
    <xf numFmtId="0" fontId="49" fillId="3" borderId="0" xfId="0" applyFont="1" applyFill="1" applyAlignment="1">
      <alignment wrapText="1"/>
    </xf>
    <xf numFmtId="0" fontId="26" fillId="18" borderId="85" xfId="9" applyAlignment="1">
      <alignment horizontal="left"/>
    </xf>
    <xf numFmtId="0" fontId="26" fillId="18" borderId="85" xfId="9" applyAlignment="1">
      <alignment horizontal="left" vertical="top"/>
    </xf>
    <xf numFmtId="0" fontId="26" fillId="18" borderId="85" xfId="9"/>
    <xf numFmtId="0" fontId="4" fillId="27" borderId="0" xfId="10"/>
    <xf numFmtId="0" fontId="4" fillId="27" borderId="0" xfId="10" applyAlignment="1">
      <alignment vertical="top"/>
    </xf>
    <xf numFmtId="0" fontId="47" fillId="3" borderId="22" xfId="0" applyFont="1" applyFill="1" applyBorder="1"/>
    <xf numFmtId="0" fontId="45" fillId="3" borderId="3" xfId="0" applyFont="1" applyFill="1" applyBorder="1" applyAlignment="1">
      <alignment vertical="center"/>
    </xf>
    <xf numFmtId="0" fontId="49" fillId="3" borderId="0" xfId="0" applyFont="1" applyFill="1" applyAlignment="1">
      <alignment vertical="center" wrapText="1"/>
    </xf>
    <xf numFmtId="0" fontId="45" fillId="3" borderId="4" xfId="0" applyFont="1" applyFill="1" applyBorder="1" applyAlignment="1">
      <alignment vertical="top"/>
    </xf>
    <xf numFmtId="0" fontId="45" fillId="3" borderId="0" xfId="0" applyFont="1" applyFill="1" applyAlignment="1">
      <alignment vertical="top"/>
    </xf>
    <xf numFmtId="168" fontId="46" fillId="3" borderId="0" xfId="0" applyNumberFormat="1" applyFont="1" applyFill="1"/>
    <xf numFmtId="0" fontId="4" fillId="27" borderId="0" xfId="10" applyAlignment="1">
      <alignment vertical="center"/>
    </xf>
    <xf numFmtId="0" fontId="26" fillId="18" borderId="85" xfId="9" applyAlignment="1">
      <alignment horizontal="left" vertical="center"/>
    </xf>
    <xf numFmtId="0" fontId="44" fillId="0" borderId="0" xfId="0" applyFont="1" applyAlignment="1">
      <alignment vertical="center"/>
    </xf>
    <xf numFmtId="44" fontId="54" fillId="3" borderId="0" xfId="4" applyFont="1" applyFill="1" applyBorder="1" applyAlignment="1">
      <alignment vertical="center"/>
    </xf>
    <xf numFmtId="9" fontId="54" fillId="3" borderId="0" xfId="5" applyFont="1" applyFill="1" applyBorder="1" applyAlignment="1">
      <alignment vertical="center"/>
    </xf>
    <xf numFmtId="0" fontId="46" fillId="3" borderId="0" xfId="0" applyFont="1" applyFill="1" applyAlignment="1">
      <alignment horizontal="left" vertical="center"/>
    </xf>
    <xf numFmtId="0" fontId="49" fillId="3" borderId="0" xfId="0" applyFont="1" applyFill="1" applyAlignment="1">
      <alignment horizontal="left" vertical="center"/>
    </xf>
    <xf numFmtId="0" fontId="53" fillId="3" borderId="0" xfId="0" applyFont="1" applyFill="1" applyAlignment="1">
      <alignment horizontal="left" vertical="center"/>
    </xf>
    <xf numFmtId="0" fontId="47" fillId="3" borderId="0" xfId="0" applyFont="1" applyFill="1" applyAlignment="1">
      <alignment horizontal="left" vertical="center"/>
    </xf>
    <xf numFmtId="0" fontId="54" fillId="3" borderId="0" xfId="0" applyFont="1" applyFill="1" applyAlignment="1">
      <alignment horizontal="center" vertical="center"/>
    </xf>
    <xf numFmtId="0" fontId="52" fillId="3" borderId="0" xfId="0" applyFont="1" applyFill="1" applyAlignment="1">
      <alignment vertical="center"/>
    </xf>
    <xf numFmtId="0" fontId="47" fillId="3" borderId="2" xfId="0" applyFont="1" applyFill="1" applyBorder="1" applyAlignment="1">
      <alignment vertical="center"/>
    </xf>
    <xf numFmtId="0" fontId="52" fillId="3" borderId="2" xfId="0" applyFont="1" applyFill="1" applyBorder="1" applyAlignment="1">
      <alignment vertical="center"/>
    </xf>
    <xf numFmtId="9" fontId="54" fillId="3" borderId="4" xfId="5" applyFont="1" applyFill="1" applyBorder="1" applyAlignment="1">
      <alignment vertical="center"/>
    </xf>
    <xf numFmtId="0" fontId="0" fillId="8" borderId="0" xfId="0" applyFill="1"/>
    <xf numFmtId="0" fontId="46" fillId="8" borderId="0" xfId="0" applyFont="1" applyFill="1" applyAlignment="1">
      <alignment vertical="center"/>
    </xf>
    <xf numFmtId="0" fontId="66" fillId="8" borderId="9" xfId="0" applyFont="1" applyFill="1" applyBorder="1" applyAlignment="1">
      <alignment vertical="center"/>
    </xf>
    <xf numFmtId="0" fontId="67" fillId="8" borderId="3" xfId="0" applyFont="1" applyFill="1" applyBorder="1"/>
    <xf numFmtId="0" fontId="67" fillId="8" borderId="0" xfId="0" applyFont="1" applyFill="1"/>
    <xf numFmtId="0" fontId="66" fillId="8" borderId="12" xfId="0" applyFont="1" applyFill="1" applyBorder="1" applyAlignment="1">
      <alignment vertical="center"/>
    </xf>
    <xf numFmtId="0" fontId="67" fillId="8" borderId="13" xfId="0" applyFont="1" applyFill="1" applyBorder="1"/>
    <xf numFmtId="0" fontId="46" fillId="8" borderId="12" xfId="0" applyFont="1" applyFill="1" applyBorder="1" applyAlignment="1">
      <alignment vertical="top" wrapText="1"/>
    </xf>
    <xf numFmtId="0" fontId="46" fillId="8" borderId="13" xfId="0" applyFont="1" applyFill="1" applyBorder="1" applyAlignment="1">
      <alignment vertical="top" wrapText="1"/>
    </xf>
    <xf numFmtId="0" fontId="66" fillId="8" borderId="50" xfId="0" applyFont="1" applyFill="1" applyBorder="1" applyAlignment="1">
      <alignment vertical="center"/>
    </xf>
    <xf numFmtId="0" fontId="67" fillId="8" borderId="21" xfId="0" applyFont="1" applyFill="1" applyBorder="1"/>
    <xf numFmtId="0" fontId="46" fillId="8" borderId="43" xfId="0" applyFont="1" applyFill="1" applyBorder="1" applyAlignment="1">
      <alignment vertical="top" wrapText="1"/>
    </xf>
    <xf numFmtId="0" fontId="46" fillId="8" borderId="44" xfId="0" applyFont="1" applyFill="1" applyBorder="1" applyAlignment="1">
      <alignment vertical="top" wrapText="1"/>
    </xf>
    <xf numFmtId="0" fontId="46" fillId="8" borderId="0" xfId="0" applyFont="1" applyFill="1" applyAlignment="1">
      <alignment vertical="top" wrapText="1"/>
    </xf>
    <xf numFmtId="0" fontId="46" fillId="8" borderId="2" xfId="0" applyFont="1" applyFill="1" applyBorder="1" applyAlignment="1">
      <alignment vertical="top" wrapText="1"/>
    </xf>
    <xf numFmtId="0" fontId="46" fillId="8" borderId="2" xfId="0" applyFont="1" applyFill="1" applyBorder="1" applyAlignment="1">
      <alignment vertical="top"/>
    </xf>
    <xf numFmtId="0" fontId="46" fillId="8" borderId="95" xfId="0" applyFont="1" applyFill="1" applyBorder="1" applyAlignment="1">
      <alignment vertical="top" wrapText="1"/>
    </xf>
    <xf numFmtId="0" fontId="66" fillId="8" borderId="30" xfId="0" applyFont="1" applyFill="1" applyBorder="1" applyAlignment="1">
      <alignment vertical="center"/>
    </xf>
    <xf numFmtId="0" fontId="66" fillId="8" borderId="19" xfId="0" applyFont="1" applyFill="1" applyBorder="1" applyAlignment="1">
      <alignment vertical="center"/>
    </xf>
    <xf numFmtId="0" fontId="66" fillId="8" borderId="26" xfId="0" applyFont="1" applyFill="1" applyBorder="1" applyAlignment="1">
      <alignment vertical="center"/>
    </xf>
    <xf numFmtId="0" fontId="46" fillId="8" borderId="28" xfId="0" applyFont="1" applyFill="1" applyBorder="1" applyAlignment="1">
      <alignment vertical="top" wrapText="1"/>
    </xf>
    <xf numFmtId="0" fontId="66" fillId="8" borderId="28" xfId="0" applyFont="1" applyFill="1" applyBorder="1" applyAlignment="1">
      <alignment vertical="center"/>
    </xf>
    <xf numFmtId="0" fontId="66" fillId="28" borderId="30" xfId="0" applyFont="1" applyFill="1" applyBorder="1" applyAlignment="1">
      <alignment vertical="center"/>
    </xf>
    <xf numFmtId="0" fontId="66" fillId="28" borderId="19" xfId="0" applyFont="1" applyFill="1" applyBorder="1" applyAlignment="1">
      <alignment vertical="center"/>
    </xf>
    <xf numFmtId="0" fontId="66" fillId="28" borderId="26" xfId="0" applyFont="1" applyFill="1" applyBorder="1" applyAlignment="1">
      <alignment vertical="center"/>
    </xf>
    <xf numFmtId="0" fontId="46" fillId="28" borderId="95" xfId="0" applyFont="1" applyFill="1" applyBorder="1" applyAlignment="1">
      <alignment vertical="top" wrapText="1"/>
    </xf>
    <xf numFmtId="169" fontId="67" fillId="8" borderId="21" xfId="4" applyNumberFormat="1" applyFont="1" applyFill="1" applyBorder="1"/>
    <xf numFmtId="169" fontId="67" fillId="8" borderId="3" xfId="4" applyNumberFormat="1" applyFont="1" applyFill="1" applyBorder="1"/>
    <xf numFmtId="0" fontId="66" fillId="8" borderId="40" xfId="0" applyFont="1" applyFill="1" applyBorder="1" applyAlignment="1">
      <alignment vertical="center"/>
    </xf>
    <xf numFmtId="0" fontId="67" fillId="8" borderId="39" xfId="0" applyFont="1" applyFill="1" applyBorder="1"/>
    <xf numFmtId="169" fontId="67" fillId="8" borderId="39" xfId="4" applyNumberFormat="1" applyFont="1" applyFill="1" applyBorder="1"/>
    <xf numFmtId="0" fontId="46" fillId="8" borderId="31" xfId="0" applyFont="1" applyFill="1" applyBorder="1" applyAlignment="1">
      <alignment vertical="top" wrapText="1"/>
    </xf>
    <xf numFmtId="0" fontId="46" fillId="8" borderId="25" xfId="0" applyFont="1" applyFill="1" applyBorder="1" applyAlignment="1">
      <alignment vertical="top" wrapText="1"/>
    </xf>
    <xf numFmtId="0" fontId="66" fillId="29" borderId="57" xfId="0" applyFont="1" applyFill="1" applyBorder="1" applyAlignment="1">
      <alignment vertical="center"/>
    </xf>
    <xf numFmtId="0" fontId="67" fillId="29" borderId="57" xfId="0" applyFont="1" applyFill="1" applyBorder="1"/>
    <xf numFmtId="169" fontId="67" fillId="29" borderId="57" xfId="4" applyNumberFormat="1" applyFont="1" applyFill="1" applyBorder="1"/>
    <xf numFmtId="169" fontId="67" fillId="8" borderId="0" xfId="0" applyNumberFormat="1" applyFont="1" applyFill="1"/>
    <xf numFmtId="49" fontId="39" fillId="20" borderId="0" xfId="0" applyNumberFormat="1" applyFont="1" applyFill="1" applyAlignment="1" applyProtection="1">
      <alignment horizontal="left" vertical="top" wrapText="1" indent="1"/>
      <protection locked="0"/>
    </xf>
    <xf numFmtId="174" fontId="5" fillId="19" borderId="0" xfId="0" applyNumberFormat="1" applyFont="1" applyFill="1" applyAlignment="1" applyProtection="1">
      <alignment vertical="top"/>
      <protection locked="0"/>
    </xf>
    <xf numFmtId="1" fontId="5" fillId="19" borderId="0" xfId="0" applyNumberFormat="1" applyFont="1" applyFill="1" applyAlignment="1" applyProtection="1">
      <alignment vertical="top" wrapText="1"/>
      <protection locked="0"/>
    </xf>
    <xf numFmtId="0" fontId="4" fillId="21" borderId="3" xfId="0" applyFont="1" applyFill="1" applyBorder="1"/>
    <xf numFmtId="168" fontId="4" fillId="21" borderId="3" xfId="4" applyNumberFormat="1" applyFont="1" applyFill="1" applyBorder="1"/>
    <xf numFmtId="0" fontId="4" fillId="0" borderId="0" xfId="0" applyFont="1"/>
    <xf numFmtId="2" fontId="4" fillId="21" borderId="3" xfId="0" quotePrefix="1" applyNumberFormat="1" applyFont="1" applyFill="1" applyBorder="1" applyAlignment="1">
      <alignment vertical="top" wrapText="1"/>
    </xf>
    <xf numFmtId="168" fontId="4" fillId="21" borderId="3" xfId="4" applyNumberFormat="1" applyFont="1" applyFill="1" applyBorder="1" applyAlignment="1">
      <alignment vertical="top" wrapText="1"/>
    </xf>
    <xf numFmtId="172" fontId="4" fillId="6" borderId="3" xfId="0" applyNumberFormat="1" applyFont="1" applyFill="1" applyBorder="1" applyAlignment="1">
      <alignment vertical="top" wrapText="1"/>
    </xf>
    <xf numFmtId="172" fontId="4" fillId="6" borderId="7" xfId="0" applyNumberFormat="1" applyFont="1" applyFill="1" applyBorder="1" applyAlignment="1">
      <alignment vertical="top" wrapText="1"/>
    </xf>
    <xf numFmtId="172" fontId="4" fillId="6" borderId="3" xfId="5" applyNumberFormat="1" applyFont="1" applyFill="1" applyBorder="1" applyAlignment="1">
      <alignment vertical="top" wrapText="1"/>
    </xf>
    <xf numFmtId="49" fontId="4" fillId="5" borderId="8" xfId="0" applyNumberFormat="1" applyFont="1" applyFill="1" applyBorder="1" applyAlignment="1" applyProtection="1">
      <alignment vertical="top" wrapText="1"/>
      <protection locked="0"/>
    </xf>
    <xf numFmtId="0" fontId="4" fillId="6" borderId="33" xfId="0" applyFont="1" applyFill="1" applyBorder="1" applyAlignment="1">
      <alignment vertical="top" wrapText="1"/>
    </xf>
    <xf numFmtId="49" fontId="4" fillId="6" borderId="33" xfId="0" applyNumberFormat="1" applyFont="1" applyFill="1" applyBorder="1" applyAlignment="1">
      <alignment vertical="top" wrapText="1"/>
    </xf>
    <xf numFmtId="0" fontId="4" fillId="6" borderId="3" xfId="5" applyNumberFormat="1" applyFont="1" applyFill="1" applyBorder="1" applyAlignment="1">
      <alignment vertical="top" wrapText="1"/>
    </xf>
    <xf numFmtId="49" fontId="4" fillId="23" borderId="5" xfId="0" applyNumberFormat="1" applyFont="1" applyFill="1" applyBorder="1" applyAlignment="1" applyProtection="1">
      <alignment vertical="top" wrapText="1"/>
      <protection locked="0"/>
    </xf>
    <xf numFmtId="49" fontId="4" fillId="23" borderId="49" xfId="0" applyNumberFormat="1" applyFont="1" applyFill="1" applyBorder="1" applyAlignment="1" applyProtection="1">
      <alignment vertical="top" wrapText="1"/>
      <protection locked="0"/>
    </xf>
    <xf numFmtId="49" fontId="4" fillId="5" borderId="9" xfId="0" applyNumberFormat="1" applyFont="1" applyFill="1" applyBorder="1" applyAlignment="1" applyProtection="1">
      <alignment vertical="top" wrapText="1"/>
      <protection locked="0"/>
    </xf>
    <xf numFmtId="49" fontId="4" fillId="6" borderId="20" xfId="0" applyNumberFormat="1" applyFont="1" applyFill="1" applyBorder="1" applyAlignment="1">
      <alignment vertical="top" wrapText="1"/>
    </xf>
    <xf numFmtId="49" fontId="4" fillId="21" borderId="3" xfId="0" applyNumberFormat="1" applyFont="1" applyFill="1" applyBorder="1" applyAlignment="1" applyProtection="1">
      <alignment vertical="top" wrapText="1"/>
      <protection locked="0"/>
    </xf>
    <xf numFmtId="49" fontId="4" fillId="21" borderId="45" xfId="0" applyNumberFormat="1" applyFont="1" applyFill="1" applyBorder="1" applyAlignment="1" applyProtection="1">
      <alignment vertical="top" wrapText="1"/>
      <protection locked="0"/>
    </xf>
    <xf numFmtId="2" fontId="4" fillId="21" borderId="45" xfId="0" applyNumberFormat="1" applyFont="1" applyFill="1" applyBorder="1" applyAlignment="1" applyProtection="1">
      <alignment vertical="top" wrapText="1"/>
      <protection locked="0"/>
    </xf>
    <xf numFmtId="0" fontId="4" fillId="5" borderId="9" xfId="0" applyFont="1" applyFill="1" applyBorder="1" applyAlignment="1" applyProtection="1">
      <alignment vertical="top" wrapText="1"/>
      <protection locked="0"/>
    </xf>
    <xf numFmtId="2" fontId="4" fillId="21" borderId="39" xfId="0" applyNumberFormat="1" applyFont="1" applyFill="1" applyBorder="1" applyAlignment="1" applyProtection="1">
      <alignment vertical="top" wrapText="1"/>
      <protection locked="0"/>
    </xf>
    <xf numFmtId="2" fontId="4" fillId="21" borderId="84" xfId="0" applyNumberFormat="1" applyFont="1" applyFill="1" applyBorder="1" applyAlignment="1" applyProtection="1">
      <alignment vertical="top" wrapText="1"/>
      <protection locked="0"/>
    </xf>
    <xf numFmtId="0" fontId="4" fillId="10" borderId="57" xfId="0" applyFont="1" applyFill="1" applyBorder="1" applyAlignment="1">
      <alignment vertical="top"/>
    </xf>
    <xf numFmtId="0" fontId="4" fillId="0" borderId="56" xfId="0" applyFont="1" applyBorder="1" applyAlignment="1">
      <alignment vertical="top" wrapText="1"/>
    </xf>
    <xf numFmtId="44" fontId="4" fillId="0" borderId="57" xfId="4" applyFont="1" applyBorder="1" applyAlignment="1">
      <alignment vertical="top" wrapText="1"/>
    </xf>
    <xf numFmtId="164" fontId="4" fillId="0" borderId="57" xfId="5" applyNumberFormat="1" applyFont="1" applyBorder="1" applyAlignment="1">
      <alignment vertical="top" wrapText="1"/>
    </xf>
    <xf numFmtId="0" fontId="4" fillId="6" borderId="37" xfId="0" applyFont="1" applyFill="1" applyBorder="1" applyAlignment="1">
      <alignment vertical="top" wrapText="1"/>
    </xf>
    <xf numFmtId="0" fontId="4" fillId="0" borderId="52" xfId="0" applyFont="1" applyBorder="1" applyAlignment="1">
      <alignment vertical="top" wrapText="1"/>
    </xf>
    <xf numFmtId="49" fontId="4" fillId="0" borderId="56" xfId="0" applyNumberFormat="1" applyFont="1" applyBorder="1" applyAlignment="1">
      <alignment vertical="top" wrapText="1"/>
    </xf>
    <xf numFmtId="49" fontId="4" fillId="0" borderId="57" xfId="0" applyNumberFormat="1" applyFont="1" applyBorder="1" applyAlignment="1">
      <alignment vertical="top" wrapText="1"/>
    </xf>
    <xf numFmtId="49" fontId="4" fillId="6" borderId="36" xfId="0" applyNumberFormat="1" applyFont="1" applyFill="1" applyBorder="1" applyAlignment="1">
      <alignment vertical="top" wrapText="1"/>
    </xf>
    <xf numFmtId="49" fontId="4" fillId="0" borderId="9" xfId="0" applyNumberFormat="1" applyFont="1" applyBorder="1" applyAlignment="1">
      <alignment vertical="top" wrapText="1"/>
    </xf>
    <xf numFmtId="49" fontId="4" fillId="0" borderId="3" xfId="0" applyNumberFormat="1" applyFont="1" applyBorder="1" applyAlignment="1">
      <alignment vertical="top" wrapText="1"/>
    </xf>
    <xf numFmtId="49" fontId="4" fillId="0" borderId="19" xfId="0" applyNumberFormat="1" applyFont="1" applyBorder="1" applyAlignment="1">
      <alignment vertical="top" wrapText="1"/>
    </xf>
    <xf numFmtId="172" fontId="4" fillId="6" borderId="20" xfId="0" applyNumberFormat="1" applyFont="1" applyFill="1" applyBorder="1" applyAlignment="1">
      <alignment vertical="top" wrapText="1"/>
    </xf>
    <xf numFmtId="172" fontId="4" fillId="6" borderId="5" xfId="5" applyNumberFormat="1" applyFont="1" applyFill="1" applyBorder="1" applyAlignment="1">
      <alignment vertical="top" wrapText="1"/>
    </xf>
    <xf numFmtId="172" fontId="4" fillId="6" borderId="5" xfId="0" applyNumberFormat="1" applyFont="1" applyFill="1" applyBorder="1" applyAlignment="1">
      <alignment vertical="top" wrapText="1"/>
    </xf>
    <xf numFmtId="172" fontId="4" fillId="6" borderId="6" xfId="0" applyNumberFormat="1" applyFont="1" applyFill="1" applyBorder="1" applyAlignment="1">
      <alignment vertical="top" wrapText="1"/>
    </xf>
    <xf numFmtId="0" fontId="4" fillId="5" borderId="5" xfId="0" applyFont="1" applyFill="1" applyBorder="1" applyAlignment="1" applyProtection="1">
      <alignment vertical="top" wrapText="1"/>
      <protection locked="0"/>
    </xf>
    <xf numFmtId="0" fontId="4" fillId="5" borderId="3" xfId="0" applyFont="1" applyFill="1" applyBorder="1" applyAlignment="1" applyProtection="1">
      <alignment vertical="top" wrapText="1"/>
      <protection locked="0"/>
    </xf>
    <xf numFmtId="1" fontId="10" fillId="5" borderId="8" xfId="0" applyNumberFormat="1" applyFont="1" applyFill="1" applyBorder="1" applyAlignment="1" applyProtection="1">
      <alignment vertical="top" wrapText="1"/>
      <protection locked="0"/>
    </xf>
    <xf numFmtId="168" fontId="10" fillId="5" borderId="5" xfId="0" applyNumberFormat="1" applyFont="1" applyFill="1" applyBorder="1" applyAlignment="1" applyProtection="1">
      <alignment vertical="top" wrapText="1"/>
      <protection locked="0"/>
    </xf>
    <xf numFmtId="1" fontId="10" fillId="5" borderId="9" xfId="0" applyNumberFormat="1" applyFont="1" applyFill="1" applyBorder="1" applyAlignment="1" applyProtection="1">
      <alignment vertical="top" wrapText="1"/>
      <protection locked="0"/>
    </xf>
    <xf numFmtId="168" fontId="10" fillId="5" borderId="3" xfId="0" applyNumberFormat="1" applyFont="1" applyFill="1" applyBorder="1" applyAlignment="1" applyProtection="1">
      <alignment vertical="top" wrapText="1"/>
      <protection locked="0"/>
    </xf>
    <xf numFmtId="168" fontId="10" fillId="5" borderId="9" xfId="0" applyNumberFormat="1" applyFont="1" applyFill="1" applyBorder="1" applyAlignment="1" applyProtection="1">
      <alignment vertical="top" wrapText="1"/>
      <protection locked="0"/>
    </xf>
    <xf numFmtId="0" fontId="10" fillId="5" borderId="19" xfId="0" applyFont="1" applyFill="1" applyBorder="1" applyAlignment="1" applyProtection="1">
      <alignment vertical="top" wrapText="1"/>
      <protection locked="0"/>
    </xf>
    <xf numFmtId="49" fontId="4" fillId="5" borderId="40" xfId="0" applyNumberFormat="1" applyFont="1" applyFill="1" applyBorder="1" applyAlignment="1" applyProtection="1">
      <alignment vertical="top" wrapText="1"/>
      <protection locked="0"/>
    </xf>
    <xf numFmtId="0" fontId="4" fillId="6" borderId="41" xfId="0" applyFont="1" applyFill="1" applyBorder="1" applyAlignment="1">
      <alignment vertical="top" wrapText="1"/>
    </xf>
    <xf numFmtId="49" fontId="4" fillId="6" borderId="41" xfId="0" applyNumberFormat="1" applyFont="1" applyFill="1" applyBorder="1" applyAlignment="1">
      <alignment vertical="top" wrapText="1"/>
    </xf>
    <xf numFmtId="168" fontId="10" fillId="5" borderId="40" xfId="0" applyNumberFormat="1" applyFont="1" applyFill="1" applyBorder="1" applyAlignment="1" applyProtection="1">
      <alignment vertical="top" wrapText="1"/>
      <protection locked="0"/>
    </xf>
    <xf numFmtId="168" fontId="10" fillId="5" borderId="39" xfId="0" applyNumberFormat="1" applyFont="1" applyFill="1" applyBorder="1" applyAlignment="1" applyProtection="1">
      <alignment vertical="top" wrapText="1"/>
      <protection locked="0"/>
    </xf>
    <xf numFmtId="172" fontId="4" fillId="6" borderId="39" xfId="5" applyNumberFormat="1" applyFont="1" applyFill="1" applyBorder="1" applyAlignment="1">
      <alignment vertical="top" wrapText="1"/>
    </xf>
    <xf numFmtId="172" fontId="4" fillId="6" borderId="39" xfId="0" applyNumberFormat="1" applyFont="1" applyFill="1" applyBorder="1" applyAlignment="1">
      <alignment vertical="top" wrapText="1"/>
    </xf>
    <xf numFmtId="172" fontId="4" fillId="6" borderId="24" xfId="0" applyNumberFormat="1" applyFont="1" applyFill="1" applyBorder="1" applyAlignment="1">
      <alignment vertical="top" wrapText="1"/>
    </xf>
    <xf numFmtId="0" fontId="4" fillId="6" borderId="39" xfId="5" applyNumberFormat="1" applyFont="1" applyFill="1" applyBorder="1" applyAlignment="1">
      <alignment vertical="top" wrapText="1"/>
    </xf>
    <xf numFmtId="0" fontId="10" fillId="5" borderId="26" xfId="0" applyFont="1" applyFill="1" applyBorder="1" applyAlignment="1" applyProtection="1">
      <alignment vertical="top" wrapText="1"/>
      <protection locked="0"/>
    </xf>
    <xf numFmtId="172" fontId="4" fillId="6" borderId="41" xfId="0" applyNumberFormat="1" applyFont="1" applyFill="1" applyBorder="1" applyAlignment="1">
      <alignment vertical="top" wrapText="1"/>
    </xf>
    <xf numFmtId="166" fontId="4" fillId="6" borderId="56" xfId="4" applyNumberFormat="1" applyFont="1" applyFill="1" applyBorder="1" applyAlignment="1">
      <alignment vertical="top" wrapText="1"/>
    </xf>
    <xf numFmtId="44" fontId="4" fillId="6" borderId="57" xfId="4" applyFont="1" applyFill="1" applyBorder="1" applyAlignment="1">
      <alignment vertical="top" wrapText="1"/>
    </xf>
    <xf numFmtId="0" fontId="4" fillId="10" borderId="37" xfId="0" applyFont="1" applyFill="1" applyBorder="1" applyAlignment="1">
      <alignment vertical="top"/>
    </xf>
    <xf numFmtId="172" fontId="4" fillId="6" borderId="57" xfId="0" applyNumberFormat="1" applyFont="1" applyFill="1" applyBorder="1" applyAlignment="1">
      <alignment vertical="top" wrapText="1"/>
    </xf>
    <xf numFmtId="172" fontId="4" fillId="6" borderId="36" xfId="0" applyNumberFormat="1" applyFont="1" applyFill="1" applyBorder="1" applyAlignment="1">
      <alignment vertical="top" wrapText="1"/>
    </xf>
    <xf numFmtId="0" fontId="4" fillId="10" borderId="38" xfId="0" applyFont="1" applyFill="1" applyBorder="1" applyAlignment="1">
      <alignment vertical="top"/>
    </xf>
    <xf numFmtId="172" fontId="4" fillId="6" borderId="55" xfId="0" applyNumberFormat="1" applyFont="1" applyFill="1" applyBorder="1" applyAlignment="1">
      <alignment vertical="top" wrapText="1"/>
    </xf>
    <xf numFmtId="0" fontId="4" fillId="21" borderId="52" xfId="0" applyFont="1" applyFill="1" applyBorder="1" applyAlignment="1">
      <alignment vertical="top"/>
    </xf>
    <xf numFmtId="0" fontId="4" fillId="21" borderId="57" xfId="0" applyFont="1" applyFill="1" applyBorder="1" applyAlignment="1">
      <alignment vertical="top"/>
    </xf>
    <xf numFmtId="0" fontId="4" fillId="21" borderId="53" xfId="0" applyFont="1" applyFill="1" applyBorder="1" applyAlignment="1">
      <alignment vertical="top"/>
    </xf>
    <xf numFmtId="0" fontId="9" fillId="22" borderId="17" xfId="0" applyFont="1" applyFill="1" applyBorder="1" applyAlignment="1">
      <alignment vertical="top" wrapText="1"/>
    </xf>
    <xf numFmtId="49" fontId="4" fillId="21" borderId="98" xfId="0" applyNumberFormat="1" applyFont="1" applyFill="1" applyBorder="1" applyAlignment="1">
      <alignment vertical="top" wrapText="1"/>
    </xf>
    <xf numFmtId="49" fontId="4" fillId="21" borderId="99" xfId="0" applyNumberFormat="1" applyFont="1" applyFill="1" applyBorder="1" applyAlignment="1">
      <alignment vertical="top" wrapText="1"/>
    </xf>
    <xf numFmtId="49" fontId="4" fillId="23" borderId="14" xfId="0" applyNumberFormat="1" applyFont="1" applyFill="1" applyBorder="1" applyAlignment="1" applyProtection="1">
      <alignment vertical="top" wrapText="1"/>
      <protection locked="0"/>
    </xf>
    <xf numFmtId="49" fontId="4" fillId="21" borderId="10" xfId="0" applyNumberFormat="1" applyFont="1" applyFill="1" applyBorder="1" applyAlignment="1" applyProtection="1">
      <alignment vertical="top" wrapText="1"/>
      <protection locked="0"/>
    </xf>
    <xf numFmtId="2" fontId="4" fillId="21" borderId="10" xfId="0" applyNumberFormat="1" applyFont="1" applyFill="1" applyBorder="1" applyAlignment="1" applyProtection="1">
      <alignment vertical="top" wrapText="1"/>
      <protection locked="0"/>
    </xf>
    <xf numFmtId="2" fontId="4" fillId="21" borderId="83" xfId="0" applyNumberFormat="1" applyFont="1" applyFill="1" applyBorder="1" applyAlignment="1" applyProtection="1">
      <alignment vertical="top" wrapText="1"/>
      <protection locked="0"/>
    </xf>
    <xf numFmtId="0" fontId="4" fillId="5" borderId="14" xfId="0" applyFont="1" applyFill="1" applyBorder="1" applyAlignment="1" applyProtection="1">
      <alignment vertical="top" wrapText="1"/>
      <protection locked="0"/>
    </xf>
    <xf numFmtId="0" fontId="4" fillId="5" borderId="49" xfId="0" applyFont="1" applyFill="1" applyBorder="1" applyAlignment="1" applyProtection="1">
      <alignment vertical="top" wrapText="1"/>
      <protection locked="0"/>
    </xf>
    <xf numFmtId="0" fontId="4" fillId="5" borderId="10" xfId="0" applyFont="1" applyFill="1" applyBorder="1" applyAlignment="1" applyProtection="1">
      <alignment vertical="top" wrapText="1"/>
      <protection locked="0"/>
    </xf>
    <xf numFmtId="0" fontId="4" fillId="5" borderId="45" xfId="0" applyFont="1" applyFill="1" applyBorder="1" applyAlignment="1" applyProtection="1">
      <alignment vertical="top" wrapText="1"/>
      <protection locked="0"/>
    </xf>
    <xf numFmtId="0" fontId="4" fillId="5" borderId="83" xfId="0" applyFont="1" applyFill="1" applyBorder="1" applyAlignment="1" applyProtection="1">
      <alignment vertical="top" wrapText="1"/>
      <protection locked="0"/>
    </xf>
    <xf numFmtId="0" fontId="4" fillId="5" borderId="39" xfId="0" applyFont="1" applyFill="1" applyBorder="1" applyAlignment="1" applyProtection="1">
      <alignment vertical="top" wrapText="1"/>
      <protection locked="0"/>
    </xf>
    <xf numFmtId="0" fontId="4" fillId="5" borderId="84" xfId="0" applyFont="1" applyFill="1" applyBorder="1" applyAlignment="1" applyProtection="1">
      <alignment vertical="top" wrapText="1"/>
      <protection locked="0"/>
    </xf>
    <xf numFmtId="0" fontId="10" fillId="5" borderId="8" xfId="0" applyFont="1" applyFill="1" applyBorder="1" applyAlignment="1" applyProtection="1">
      <alignment vertical="top" wrapText="1"/>
      <protection locked="0"/>
    </xf>
    <xf numFmtId="0" fontId="10" fillId="5" borderId="5" xfId="0" applyFont="1" applyFill="1" applyBorder="1" applyAlignment="1" applyProtection="1">
      <alignment vertical="top" wrapText="1"/>
      <protection locked="0"/>
    </xf>
    <xf numFmtId="0" fontId="10" fillId="5" borderId="33" xfId="0" applyFont="1" applyFill="1" applyBorder="1" applyAlignment="1" applyProtection="1">
      <alignment vertical="top" wrapText="1"/>
      <protection locked="0"/>
    </xf>
    <xf numFmtId="0" fontId="10" fillId="5" borderId="25" xfId="0" applyFont="1" applyFill="1" applyBorder="1" applyAlignment="1" applyProtection="1">
      <alignment vertical="top" wrapText="1"/>
      <protection locked="0"/>
    </xf>
    <xf numFmtId="0" fontId="10" fillId="5" borderId="20" xfId="0" applyFont="1" applyFill="1" applyBorder="1" applyAlignment="1" applyProtection="1">
      <alignment vertical="top" wrapText="1"/>
      <protection locked="0"/>
    </xf>
    <xf numFmtId="0" fontId="10" fillId="12" borderId="40" xfId="0" applyFont="1" applyFill="1" applyBorder="1" applyAlignment="1" applyProtection="1">
      <alignment vertical="top" wrapText="1"/>
      <protection locked="0"/>
    </xf>
    <xf numFmtId="0" fontId="10" fillId="12" borderId="39" xfId="0" applyFont="1" applyFill="1" applyBorder="1" applyAlignment="1" applyProtection="1">
      <alignment vertical="top" wrapText="1"/>
      <protection locked="0"/>
    </xf>
    <xf numFmtId="0" fontId="10" fillId="12" borderId="41" xfId="0" applyFont="1" applyFill="1" applyBorder="1" applyAlignment="1" applyProtection="1">
      <alignment vertical="top" wrapText="1"/>
      <protection locked="0"/>
    </xf>
    <xf numFmtId="0" fontId="11" fillId="10" borderId="34" xfId="0" applyFont="1" applyFill="1" applyBorder="1" applyAlignment="1">
      <alignment vertical="top"/>
    </xf>
    <xf numFmtId="0" fontId="11" fillId="6" borderId="38" xfId="0" applyFont="1" applyFill="1" applyBorder="1" applyAlignment="1">
      <alignment vertical="top"/>
    </xf>
    <xf numFmtId="168" fontId="10" fillId="5" borderId="39" xfId="4" applyNumberFormat="1" applyFont="1" applyFill="1" applyBorder="1" applyAlignment="1" applyProtection="1">
      <alignment vertical="top" wrapText="1"/>
      <protection locked="0"/>
    </xf>
    <xf numFmtId="172" fontId="4" fillId="6" borderId="33" xfId="0" applyNumberFormat="1" applyFont="1" applyFill="1" applyBorder="1" applyAlignment="1">
      <alignment vertical="top" wrapText="1"/>
    </xf>
    <xf numFmtId="172" fontId="11" fillId="6" borderId="57" xfId="0" applyNumberFormat="1" applyFont="1" applyFill="1" applyBorder="1" applyAlignment="1">
      <alignment vertical="top" wrapText="1"/>
    </xf>
    <xf numFmtId="172" fontId="11" fillId="6" borderId="36" xfId="0" applyNumberFormat="1" applyFont="1" applyFill="1" applyBorder="1" applyAlignment="1">
      <alignment vertical="top" wrapText="1"/>
    </xf>
    <xf numFmtId="172" fontId="11" fillId="6" borderId="55" xfId="0" applyNumberFormat="1" applyFont="1" applyFill="1" applyBorder="1" applyAlignment="1">
      <alignment vertical="top" wrapText="1"/>
    </xf>
    <xf numFmtId="0" fontId="25" fillId="21" borderId="48" xfId="0" applyFont="1" applyFill="1" applyBorder="1"/>
    <xf numFmtId="0" fontId="25" fillId="21" borderId="76" xfId="0" applyFont="1" applyFill="1" applyBorder="1"/>
    <xf numFmtId="2" fontId="4" fillId="25" borderId="46" xfId="0" applyNumberFormat="1" applyFont="1" applyFill="1" applyBorder="1" applyAlignment="1">
      <alignment vertical="top" wrapText="1"/>
    </xf>
    <xf numFmtId="168" fontId="4" fillId="21" borderId="107" xfId="0" applyNumberFormat="1" applyFont="1" applyFill="1" applyBorder="1" applyAlignment="1">
      <alignment vertical="top" wrapText="1"/>
    </xf>
    <xf numFmtId="168" fontId="4" fillId="25" borderId="107" xfId="0" applyNumberFormat="1" applyFont="1" applyFill="1" applyBorder="1" applyAlignment="1">
      <alignment vertical="top" wrapText="1"/>
    </xf>
    <xf numFmtId="172" fontId="4" fillId="21" borderId="80" xfId="0" applyNumberFormat="1" applyFont="1" applyFill="1" applyBorder="1" applyAlignment="1" applyProtection="1">
      <alignment vertical="top" wrapText="1"/>
      <protection locked="0"/>
    </xf>
    <xf numFmtId="172" fontId="4" fillId="6" borderId="96" xfId="0" applyNumberFormat="1" applyFont="1" applyFill="1" applyBorder="1" applyAlignment="1">
      <alignment vertical="top" wrapText="1"/>
    </xf>
    <xf numFmtId="172" fontId="4" fillId="6" borderId="51" xfId="0" applyNumberFormat="1" applyFont="1" applyFill="1" applyBorder="1" applyAlignment="1">
      <alignment vertical="top" wrapText="1"/>
    </xf>
    <xf numFmtId="172" fontId="4" fillId="21" borderId="11" xfId="0" applyNumberFormat="1" applyFont="1" applyFill="1" applyBorder="1" applyAlignment="1" applyProtection="1">
      <alignment vertical="top" wrapText="1"/>
      <protection locked="0"/>
    </xf>
    <xf numFmtId="172" fontId="4" fillId="6" borderId="11" xfId="0" applyNumberFormat="1" applyFont="1" applyFill="1" applyBorder="1" applyAlignment="1">
      <alignment vertical="top" wrapText="1"/>
    </xf>
    <xf numFmtId="172" fontId="4" fillId="21" borderId="42" xfId="0" applyNumberFormat="1" applyFont="1" applyFill="1" applyBorder="1" applyAlignment="1" applyProtection="1">
      <alignment vertical="top" wrapText="1"/>
      <protection locked="0"/>
    </xf>
    <xf numFmtId="172" fontId="4" fillId="6" borderId="42" xfId="0" applyNumberFormat="1" applyFont="1" applyFill="1" applyBorder="1" applyAlignment="1">
      <alignment vertical="top" wrapText="1"/>
    </xf>
    <xf numFmtId="172" fontId="4" fillId="21" borderId="93" xfId="0" applyNumberFormat="1" applyFont="1" applyFill="1" applyBorder="1" applyAlignment="1">
      <alignment vertical="top" wrapText="1"/>
    </xf>
    <xf numFmtId="166" fontId="4" fillId="10" borderId="56" xfId="4" applyNumberFormat="1" applyFont="1" applyFill="1" applyBorder="1" applyAlignment="1">
      <alignment vertical="top" wrapText="1"/>
    </xf>
    <xf numFmtId="169" fontId="4" fillId="10" borderId="57" xfId="4" applyNumberFormat="1" applyFont="1" applyFill="1" applyBorder="1" applyAlignment="1">
      <alignment vertical="top" wrapText="1"/>
    </xf>
    <xf numFmtId="9" fontId="4" fillId="10" borderId="57" xfId="5" applyFont="1" applyFill="1" applyBorder="1" applyAlignment="1">
      <alignment vertical="top" wrapText="1"/>
    </xf>
    <xf numFmtId="0" fontId="4" fillId="10" borderId="55" xfId="0" applyFont="1" applyFill="1" applyBorder="1" applyAlignment="1">
      <alignment vertical="top" wrapText="1"/>
    </xf>
    <xf numFmtId="168" fontId="4" fillId="10" borderId="57" xfId="4" applyNumberFormat="1" applyFont="1" applyFill="1" applyBorder="1" applyAlignment="1">
      <alignment vertical="top" wrapText="1"/>
    </xf>
    <xf numFmtId="49" fontId="4" fillId="10" borderId="56" xfId="4" applyNumberFormat="1" applyFont="1" applyFill="1" applyBorder="1" applyAlignment="1">
      <alignment vertical="top" wrapText="1"/>
    </xf>
    <xf numFmtId="1" fontId="4" fillId="10" borderId="57" xfId="5" applyNumberFormat="1" applyFont="1" applyFill="1" applyBorder="1" applyAlignment="1">
      <alignment vertical="top" wrapText="1"/>
    </xf>
    <xf numFmtId="168" fontId="4" fillId="10" borderId="55" xfId="0" applyNumberFormat="1" applyFont="1" applyFill="1" applyBorder="1" applyAlignment="1">
      <alignment vertical="top" wrapText="1"/>
    </xf>
    <xf numFmtId="0" fontId="4" fillId="10" borderId="56" xfId="4" applyNumberFormat="1" applyFont="1" applyFill="1" applyBorder="1" applyAlignment="1">
      <alignment vertical="top" wrapText="1"/>
    </xf>
    <xf numFmtId="0" fontId="4" fillId="10" borderId="52" xfId="0" applyFont="1" applyFill="1" applyBorder="1" applyAlignment="1">
      <alignment vertical="top"/>
    </xf>
    <xf numFmtId="0" fontId="4" fillId="10" borderId="55" xfId="6" applyFont="1" applyFill="1" applyBorder="1" applyAlignment="1">
      <alignment vertical="top"/>
    </xf>
    <xf numFmtId="0" fontId="4" fillId="6" borderId="56" xfId="0" applyFont="1" applyFill="1" applyBorder="1" applyAlignment="1">
      <alignment vertical="top"/>
    </xf>
    <xf numFmtId="172" fontId="4" fillId="6" borderId="93" xfId="0" applyNumberFormat="1" applyFont="1" applyFill="1" applyBorder="1" applyAlignment="1">
      <alignment vertical="top" wrapText="1"/>
    </xf>
    <xf numFmtId="0" fontId="4" fillId="6" borderId="56" xfId="0" applyFont="1" applyFill="1" applyBorder="1"/>
    <xf numFmtId="0" fontId="4" fillId="6" borderId="57" xfId="0" applyFont="1" applyFill="1" applyBorder="1"/>
    <xf numFmtId="0" fontId="4" fillId="6" borderId="55" xfId="0" applyFont="1" applyFill="1" applyBorder="1"/>
    <xf numFmtId="6" fontId="4" fillId="6" borderId="56" xfId="0" applyNumberFormat="1" applyFont="1" applyFill="1" applyBorder="1"/>
    <xf numFmtId="9" fontId="4" fillId="6" borderId="57" xfId="5" applyFont="1" applyFill="1" applyBorder="1"/>
    <xf numFmtId="0" fontId="4" fillId="6" borderId="37" xfId="0" applyFont="1" applyFill="1" applyBorder="1" applyAlignment="1">
      <alignment vertical="top"/>
    </xf>
    <xf numFmtId="0" fontId="4" fillId="6" borderId="57" xfId="6" applyFont="1" applyFill="1" applyBorder="1" applyAlignment="1">
      <alignment vertical="top" wrapText="1"/>
    </xf>
    <xf numFmtId="168" fontId="4" fillId="6" borderId="56" xfId="0" applyNumberFormat="1" applyFont="1" applyFill="1" applyBorder="1" applyAlignment="1">
      <alignment vertical="top"/>
    </xf>
    <xf numFmtId="168" fontId="4" fillId="6" borderId="57" xfId="0" applyNumberFormat="1" applyFont="1" applyFill="1" applyBorder="1"/>
    <xf numFmtId="1" fontId="4" fillId="6" borderId="56" xfId="0" applyNumberFormat="1" applyFont="1" applyFill="1" applyBorder="1" applyAlignment="1">
      <alignment vertical="top"/>
    </xf>
    <xf numFmtId="168" fontId="4" fillId="6" borderId="57" xfId="0" applyNumberFormat="1" applyFont="1" applyFill="1" applyBorder="1" applyAlignment="1">
      <alignment vertical="top"/>
    </xf>
    <xf numFmtId="172" fontId="4" fillId="6" borderId="57" xfId="0" applyNumberFormat="1" applyFont="1" applyFill="1" applyBorder="1"/>
    <xf numFmtId="172" fontId="4" fillId="21" borderId="96" xfId="0" applyNumberFormat="1" applyFont="1" applyFill="1" applyBorder="1" applyAlignment="1" applyProtection="1">
      <alignment vertical="top" wrapText="1"/>
      <protection locked="0"/>
    </xf>
    <xf numFmtId="172" fontId="4" fillId="21" borderId="97" xfId="0" applyNumberFormat="1" applyFont="1" applyFill="1" applyBorder="1" applyAlignment="1" applyProtection="1">
      <alignment vertical="top" wrapText="1"/>
      <protection locked="0"/>
    </xf>
    <xf numFmtId="172" fontId="4" fillId="6" borderId="56" xfId="0" applyNumberFormat="1" applyFont="1" applyFill="1" applyBorder="1" applyAlignment="1">
      <alignment vertical="top" wrapText="1"/>
    </xf>
    <xf numFmtId="172" fontId="4" fillId="6" borderId="53" xfId="0" applyNumberFormat="1" applyFont="1" applyFill="1" applyBorder="1" applyAlignment="1">
      <alignment vertical="top" wrapText="1"/>
    </xf>
    <xf numFmtId="0" fontId="12" fillId="26" borderId="3" xfId="0" applyFont="1" applyFill="1" applyBorder="1"/>
    <xf numFmtId="49" fontId="5" fillId="19" borderId="0" xfId="0" applyNumberFormat="1" applyFont="1" applyFill="1" applyAlignment="1" applyProtection="1">
      <alignment vertical="top" wrapText="1"/>
      <protection locked="0"/>
    </xf>
    <xf numFmtId="49" fontId="4" fillId="5" borderId="10" xfId="0" applyNumberFormat="1" applyFont="1" applyFill="1" applyBorder="1" applyAlignment="1" applyProtection="1">
      <alignment vertical="top" wrapText="1"/>
      <protection locked="0"/>
    </xf>
    <xf numFmtId="49" fontId="4" fillId="5" borderId="3" xfId="0" applyNumberFormat="1" applyFont="1" applyFill="1" applyBorder="1" applyAlignment="1" applyProtection="1">
      <alignment vertical="top" wrapText="1"/>
      <protection locked="0"/>
    </xf>
    <xf numFmtId="1" fontId="10" fillId="5" borderId="19" xfId="0" applyNumberFormat="1" applyFont="1" applyFill="1" applyBorder="1" applyAlignment="1" applyProtection="1">
      <alignment vertical="top" wrapText="1"/>
      <protection locked="0"/>
    </xf>
    <xf numFmtId="49" fontId="4" fillId="5" borderId="45" xfId="0" applyNumberFormat="1" applyFont="1" applyFill="1" applyBorder="1" applyAlignment="1" applyProtection="1">
      <alignment vertical="top" wrapText="1"/>
      <protection locked="0"/>
    </xf>
    <xf numFmtId="49" fontId="10" fillId="5" borderId="20" xfId="0" applyNumberFormat="1" applyFont="1" applyFill="1" applyBorder="1" applyAlignment="1" applyProtection="1">
      <alignment vertical="top" wrapText="1"/>
      <protection locked="0"/>
    </xf>
    <xf numFmtId="1" fontId="10" fillId="5" borderId="3" xfId="0" applyNumberFormat="1" applyFont="1" applyFill="1" applyBorder="1" applyAlignment="1" applyProtection="1">
      <alignment vertical="top" wrapText="1"/>
      <protection locked="0"/>
    </xf>
    <xf numFmtId="0" fontId="0" fillId="0" borderId="0" xfId="0" applyAlignment="1">
      <alignment vertical="top" wrapText="1"/>
    </xf>
    <xf numFmtId="0" fontId="0" fillId="24" borderId="0" xfId="0" applyFill="1" applyAlignment="1">
      <alignment vertical="top" wrapText="1"/>
    </xf>
    <xf numFmtId="0" fontId="0" fillId="24" borderId="3" xfId="0" applyFill="1" applyBorder="1" applyAlignment="1">
      <alignment vertical="top" wrapText="1"/>
    </xf>
    <xf numFmtId="0" fontId="68" fillId="0" borderId="0" xfId="0" applyFont="1" applyAlignment="1">
      <alignment horizontal="left" vertical="top" wrapText="1"/>
    </xf>
    <xf numFmtId="14" fontId="5" fillId="19" borderId="0" xfId="0" applyNumberFormat="1" applyFont="1" applyFill="1" applyAlignment="1" applyProtection="1">
      <alignment vertical="top" wrapText="1"/>
      <protection locked="0"/>
    </xf>
    <xf numFmtId="14" fontId="0" fillId="0" borderId="0" xfId="0" applyNumberFormat="1" applyAlignment="1">
      <alignment vertical="top" wrapText="1"/>
    </xf>
    <xf numFmtId="44" fontId="0" fillId="30" borderId="0" xfId="4" applyFont="1" applyFill="1" applyAlignment="1">
      <alignment vertical="top" wrapText="1"/>
    </xf>
    <xf numFmtId="0" fontId="0" fillId="24" borderId="5" xfId="0" applyFill="1" applyBorder="1" applyAlignment="1">
      <alignment vertical="top" wrapText="1"/>
    </xf>
    <xf numFmtId="0" fontId="22" fillId="0" borderId="3" xfId="0" applyFont="1" applyBorder="1" applyAlignment="1">
      <alignment vertical="top" wrapText="1"/>
    </xf>
    <xf numFmtId="14" fontId="0" fillId="0" borderId="3" xfId="0" applyNumberFormat="1" applyBorder="1" applyAlignment="1">
      <alignment vertical="top" wrapText="1"/>
    </xf>
    <xf numFmtId="49" fontId="0" fillId="0" borderId="0" xfId="0" applyNumberFormat="1" applyAlignment="1">
      <alignment vertical="top" wrapText="1"/>
    </xf>
    <xf numFmtId="1" fontId="0" fillId="0" borderId="0" xfId="0" applyNumberFormat="1" applyAlignment="1">
      <alignment vertical="top" wrapText="1"/>
    </xf>
    <xf numFmtId="168" fontId="0" fillId="0" borderId="0" xfId="0" applyNumberFormat="1" applyAlignment="1">
      <alignment vertical="top" wrapText="1"/>
    </xf>
    <xf numFmtId="1" fontId="0" fillId="24" borderId="0" xfId="0" applyNumberFormat="1" applyFill="1" applyAlignment="1">
      <alignment vertical="top" wrapText="1"/>
    </xf>
    <xf numFmtId="168" fontId="0" fillId="30" borderId="0" xfId="4" applyNumberFormat="1" applyFont="1" applyFill="1" applyAlignment="1">
      <alignment vertical="top" wrapText="1"/>
    </xf>
    <xf numFmtId="2" fontId="0" fillId="0" borderId="0" xfId="0" applyNumberFormat="1" applyAlignment="1">
      <alignment vertical="top" wrapText="1"/>
    </xf>
    <xf numFmtId="3" fontId="0" fillId="0" borderId="0" xfId="0" applyNumberFormat="1" applyAlignment="1">
      <alignment vertical="top" wrapText="1"/>
    </xf>
    <xf numFmtId="173" fontId="0" fillId="0" borderId="0" xfId="0" applyNumberFormat="1" applyAlignment="1">
      <alignment vertical="top" wrapText="1"/>
    </xf>
    <xf numFmtId="174" fontId="0" fillId="0" borderId="0" xfId="0" applyNumberFormat="1" applyAlignment="1">
      <alignment vertical="top" wrapText="1"/>
    </xf>
    <xf numFmtId="1" fontId="0" fillId="24" borderId="3" xfId="0" applyNumberFormat="1" applyFill="1" applyBorder="1" applyAlignment="1">
      <alignment vertical="top" wrapText="1"/>
    </xf>
    <xf numFmtId="168" fontId="0" fillId="30" borderId="3" xfId="4" applyNumberFormat="1" applyFont="1" applyFill="1" applyBorder="1" applyAlignment="1">
      <alignment vertical="top" wrapText="1"/>
    </xf>
    <xf numFmtId="1" fontId="0" fillId="0" borderId="3" xfId="0" applyNumberFormat="1" applyBorder="1" applyAlignment="1">
      <alignment vertical="top" wrapText="1"/>
    </xf>
    <xf numFmtId="168" fontId="0" fillId="0" borderId="3" xfId="0" applyNumberFormat="1" applyBorder="1" applyAlignment="1">
      <alignment vertical="top" wrapText="1"/>
    </xf>
    <xf numFmtId="49" fontId="0" fillId="24" borderId="3" xfId="0" applyNumberFormat="1" applyFill="1" applyBorder="1" applyAlignment="1">
      <alignment vertical="top" wrapText="1"/>
    </xf>
    <xf numFmtId="49" fontId="0" fillId="30" borderId="3" xfId="4" applyNumberFormat="1" applyFont="1" applyFill="1" applyBorder="1" applyAlignment="1">
      <alignment vertical="top" wrapText="1"/>
    </xf>
    <xf numFmtId="1" fontId="0" fillId="30" borderId="0" xfId="4" applyNumberFormat="1" applyFont="1" applyFill="1" applyAlignment="1">
      <alignment vertical="top" wrapText="1"/>
    </xf>
    <xf numFmtId="172" fontId="0" fillId="24" borderId="0" xfId="0" applyNumberFormat="1" applyFill="1" applyAlignment="1">
      <alignment vertical="top" wrapText="1"/>
    </xf>
    <xf numFmtId="172" fontId="0" fillId="0" borderId="0" xfId="0" applyNumberFormat="1" applyAlignment="1">
      <alignment vertical="top" wrapText="1"/>
    </xf>
    <xf numFmtId="168" fontId="0" fillId="24" borderId="0" xfId="0" applyNumberFormat="1" applyFill="1" applyAlignment="1">
      <alignment vertical="top" wrapText="1"/>
    </xf>
    <xf numFmtId="49" fontId="0" fillId="24" borderId="0" xfId="0" applyNumberFormat="1" applyFill="1" applyAlignment="1">
      <alignment vertical="top" wrapText="1"/>
    </xf>
    <xf numFmtId="49" fontId="0" fillId="30" borderId="0" xfId="4" applyNumberFormat="1" applyFont="1" applyFill="1" applyAlignment="1">
      <alignment vertical="top" wrapText="1"/>
    </xf>
    <xf numFmtId="2" fontId="0" fillId="24" borderId="0" xfId="0" applyNumberFormat="1" applyFill="1" applyAlignment="1">
      <alignment vertical="top" wrapText="1"/>
    </xf>
    <xf numFmtId="0" fontId="69" fillId="0" borderId="3" xfId="0" applyFont="1" applyBorder="1" applyAlignment="1">
      <alignment vertical="top" wrapText="1"/>
    </xf>
    <xf numFmtId="0" fontId="70" fillId="0" borderId="0" xfId="0" applyFont="1" applyAlignment="1">
      <alignment vertical="top" wrapText="1"/>
    </xf>
    <xf numFmtId="0" fontId="70" fillId="0" borderId="0" xfId="0" applyFont="1"/>
    <xf numFmtId="0" fontId="70" fillId="0" borderId="24" xfId="0" applyFont="1" applyBorder="1" applyAlignment="1">
      <alignment vertical="top" wrapText="1"/>
    </xf>
    <xf numFmtId="0" fontId="0" fillId="0" borderId="26" xfId="0" applyBorder="1"/>
    <xf numFmtId="0" fontId="70" fillId="0" borderId="6" xfId="0" applyFont="1" applyBorder="1" applyAlignment="1">
      <alignment vertical="top" wrapText="1"/>
    </xf>
    <xf numFmtId="0" fontId="0" fillId="0" borderId="25" xfId="0" applyBorder="1"/>
    <xf numFmtId="0" fontId="0" fillId="0" borderId="27" xfId="0" applyBorder="1"/>
    <xf numFmtId="168" fontId="5" fillId="19" borderId="0" xfId="0" applyNumberFormat="1" applyFont="1" applyFill="1" applyAlignment="1" applyProtection="1">
      <alignment vertical="top" wrapText="1"/>
      <protection locked="0"/>
    </xf>
    <xf numFmtId="3" fontId="5" fillId="19" borderId="0" xfId="0" applyNumberFormat="1" applyFont="1" applyFill="1" applyAlignment="1" applyProtection="1">
      <alignment vertical="top" wrapText="1"/>
      <protection locked="0"/>
    </xf>
    <xf numFmtId="0" fontId="36" fillId="17" borderId="0" xfId="0" applyFont="1" applyFill="1" applyAlignment="1">
      <alignment vertical="center" wrapText="1"/>
    </xf>
    <xf numFmtId="0" fontId="15" fillId="3" borderId="0" xfId="0" applyFont="1" applyFill="1" applyAlignment="1">
      <alignment horizontal="left" vertical="top" wrapText="1"/>
    </xf>
    <xf numFmtId="0" fontId="15" fillId="3" borderId="0" xfId="2" applyFont="1" applyFill="1" applyAlignment="1">
      <alignment horizontal="center" wrapText="1"/>
    </xf>
    <xf numFmtId="0" fontId="27" fillId="3" borderId="0" xfId="2" applyFont="1" applyFill="1" applyAlignment="1">
      <alignment horizontal="center" wrapText="1"/>
    </xf>
    <xf numFmtId="0" fontId="28" fillId="3" borderId="0" xfId="7" applyFont="1" applyFill="1" applyAlignment="1">
      <alignment horizontal="center" wrapText="1"/>
    </xf>
    <xf numFmtId="0" fontId="5" fillId="3" borderId="0" xfId="2" applyFont="1" applyFill="1" applyAlignment="1">
      <alignment horizontal="center" wrapText="1"/>
    </xf>
    <xf numFmtId="0" fontId="30" fillId="3" borderId="0" xfId="7" applyFont="1" applyFill="1" applyAlignment="1">
      <alignment horizontal="center" wrapText="1"/>
    </xf>
    <xf numFmtId="0" fontId="16" fillId="3" borderId="0" xfId="0" applyFont="1" applyFill="1" applyAlignment="1">
      <alignment horizontal="center"/>
    </xf>
    <xf numFmtId="0" fontId="31" fillId="3" borderId="0" xfId="2" applyFont="1" applyFill="1" applyAlignment="1">
      <alignment horizontal="center"/>
    </xf>
    <xf numFmtId="0" fontId="29" fillId="3" borderId="0" xfId="2" applyFont="1" applyFill="1" applyAlignment="1">
      <alignment horizontal="center" vertical="top" wrapText="1"/>
    </xf>
    <xf numFmtId="0" fontId="14" fillId="3" borderId="0" xfId="2" applyFont="1" applyFill="1" applyAlignment="1">
      <alignment horizontal="center" vertical="top" wrapText="1"/>
    </xf>
    <xf numFmtId="164" fontId="54" fillId="5" borderId="7" xfId="5" applyNumberFormat="1" applyFont="1" applyFill="1" applyBorder="1" applyAlignment="1">
      <alignment vertical="center"/>
    </xf>
    <xf numFmtId="164" fontId="54" fillId="5" borderId="19" xfId="5" applyNumberFormat="1" applyFont="1" applyFill="1" applyBorder="1" applyAlignment="1">
      <alignment vertical="center"/>
    </xf>
    <xf numFmtId="164" fontId="54" fillId="5" borderId="23" xfId="5" applyNumberFormat="1" applyFont="1" applyFill="1" applyBorder="1" applyAlignment="1">
      <alignment vertical="center"/>
    </xf>
    <xf numFmtId="0" fontId="45" fillId="3" borderId="24" xfId="0" applyFont="1" applyFill="1" applyBorder="1" applyAlignment="1">
      <alignment vertical="top" wrapText="1"/>
    </xf>
    <xf numFmtId="0" fontId="45" fillId="3" borderId="22" xfId="0" applyFont="1" applyFill="1" applyBorder="1" applyAlignment="1">
      <alignment vertical="top" wrapText="1"/>
    </xf>
    <xf numFmtId="0" fontId="45" fillId="3" borderId="6" xfId="0" applyFont="1" applyFill="1" applyBorder="1" applyAlignment="1">
      <alignment vertical="top" wrapText="1"/>
    </xf>
    <xf numFmtId="0" fontId="45" fillId="3" borderId="2" xfId="0" applyFont="1" applyFill="1" applyBorder="1" applyAlignment="1">
      <alignment vertical="top" wrapText="1"/>
    </xf>
    <xf numFmtId="9" fontId="54" fillId="5" borderId="7" xfId="5" applyFont="1" applyFill="1" applyBorder="1" applyAlignment="1">
      <alignment vertical="center"/>
    </xf>
    <xf numFmtId="9" fontId="54" fillId="5" borderId="19" xfId="5" applyFont="1" applyFill="1" applyBorder="1" applyAlignment="1">
      <alignment vertical="center"/>
    </xf>
    <xf numFmtId="168" fontId="54" fillId="5" borderId="7" xfId="0" applyNumberFormat="1" applyFont="1" applyFill="1" applyBorder="1" applyAlignment="1">
      <alignment vertical="center"/>
    </xf>
    <xf numFmtId="168" fontId="54" fillId="5" borderId="23" xfId="0" applyNumberFormat="1" applyFont="1" applyFill="1" applyBorder="1" applyAlignment="1">
      <alignment vertical="center"/>
    </xf>
    <xf numFmtId="168" fontId="54" fillId="5" borderId="19" xfId="0" applyNumberFormat="1" applyFont="1" applyFill="1" applyBorder="1" applyAlignment="1">
      <alignment vertical="center"/>
    </xf>
    <xf numFmtId="9" fontId="54" fillId="5" borderId="3" xfId="5" applyFont="1" applyFill="1" applyBorder="1" applyAlignment="1">
      <alignment vertical="center"/>
    </xf>
    <xf numFmtId="0" fontId="45" fillId="3" borderId="3" xfId="0" applyFont="1" applyFill="1" applyBorder="1" applyAlignment="1">
      <alignment vertical="top" wrapText="1"/>
    </xf>
    <xf numFmtId="164" fontId="54" fillId="5" borderId="3" xfId="5" applyNumberFormat="1" applyFont="1" applyFill="1" applyBorder="1" applyAlignment="1">
      <alignment vertical="center"/>
    </xf>
    <xf numFmtId="168" fontId="54" fillId="5" borderId="7" xfId="4" applyNumberFormat="1" applyFont="1" applyFill="1" applyBorder="1" applyAlignment="1">
      <alignment vertical="center"/>
    </xf>
    <xf numFmtId="168" fontId="54" fillId="5" borderId="23" xfId="4" applyNumberFormat="1" applyFont="1" applyFill="1" applyBorder="1" applyAlignment="1">
      <alignment vertical="center"/>
    </xf>
    <xf numFmtId="168" fontId="54" fillId="5" borderId="19" xfId="4" applyNumberFormat="1" applyFont="1" applyFill="1" applyBorder="1" applyAlignment="1">
      <alignment vertical="center"/>
    </xf>
    <xf numFmtId="0" fontId="47" fillId="3" borderId="3" xfId="0" applyFont="1" applyFill="1" applyBorder="1" applyAlignment="1">
      <alignment vertical="center"/>
    </xf>
    <xf numFmtId="172" fontId="47" fillId="8" borderId="7" xfId="0" applyNumberFormat="1" applyFont="1" applyFill="1" applyBorder="1" applyAlignment="1">
      <alignment vertical="center"/>
    </xf>
    <xf numFmtId="172" fontId="47" fillId="8" borderId="23" xfId="0" applyNumberFormat="1" applyFont="1" applyFill="1" applyBorder="1" applyAlignment="1">
      <alignment vertical="center"/>
    </xf>
    <xf numFmtId="172" fontId="47" fillId="8" borderId="19" xfId="0" applyNumberFormat="1" applyFont="1" applyFill="1" applyBorder="1" applyAlignment="1">
      <alignment vertical="center"/>
    </xf>
    <xf numFmtId="0" fontId="57" fillId="6" borderId="3" xfId="0" applyFont="1" applyFill="1" applyBorder="1" applyAlignment="1">
      <alignment vertical="center"/>
    </xf>
    <xf numFmtId="172" fontId="57" fillId="6" borderId="7" xfId="0" applyNumberFormat="1" applyFont="1" applyFill="1" applyBorder="1" applyAlignment="1">
      <alignment horizontal="center" vertical="center"/>
    </xf>
    <xf numFmtId="172" fontId="57" fillId="6" borderId="23" xfId="0" applyNumberFormat="1" applyFont="1" applyFill="1" applyBorder="1" applyAlignment="1">
      <alignment horizontal="center" vertical="center"/>
    </xf>
    <xf numFmtId="172" fontId="57" fillId="6" borderId="19" xfId="0" applyNumberFormat="1" applyFont="1" applyFill="1" applyBorder="1" applyAlignment="1">
      <alignment horizontal="center" vertical="center"/>
    </xf>
    <xf numFmtId="0" fontId="54" fillId="5" borderId="3" xfId="0" applyFont="1" applyFill="1" applyBorder="1" applyAlignment="1">
      <alignment horizontal="center" vertical="center"/>
    </xf>
    <xf numFmtId="0" fontId="54" fillId="5" borderId="7" xfId="0" applyFont="1" applyFill="1" applyBorder="1" applyAlignment="1">
      <alignment vertical="center"/>
    </xf>
    <xf numFmtId="0" fontId="54" fillId="5" borderId="19" xfId="0" applyFont="1" applyFill="1" applyBorder="1" applyAlignment="1">
      <alignment vertical="center"/>
    </xf>
    <xf numFmtId="1" fontId="54" fillId="5" borderId="7" xfId="0" applyNumberFormat="1" applyFont="1" applyFill="1" applyBorder="1" applyAlignment="1">
      <alignment vertical="center"/>
    </xf>
    <xf numFmtId="1" fontId="54" fillId="5" borderId="19" xfId="0" applyNumberFormat="1" applyFont="1" applyFill="1" applyBorder="1" applyAlignment="1">
      <alignment vertical="center"/>
    </xf>
    <xf numFmtId="0" fontId="54" fillId="5" borderId="7" xfId="0" applyFont="1" applyFill="1" applyBorder="1" applyAlignment="1">
      <alignment horizontal="center" vertical="center"/>
    </xf>
    <xf numFmtId="0" fontId="54" fillId="5" borderId="19" xfId="0" applyFont="1" applyFill="1" applyBorder="1" applyAlignment="1">
      <alignment horizontal="center" vertical="center"/>
    </xf>
    <xf numFmtId="0" fontId="45" fillId="3" borderId="26" xfId="0" applyFont="1" applyFill="1" applyBorder="1" applyAlignment="1">
      <alignment vertical="top" wrapText="1"/>
    </xf>
    <xf numFmtId="0" fontId="45" fillId="3" borderId="25" xfId="0" applyFont="1" applyFill="1" applyBorder="1" applyAlignment="1">
      <alignment vertical="top" wrapText="1"/>
    </xf>
    <xf numFmtId="0" fontId="47" fillId="5" borderId="24" xfId="0" applyFont="1" applyFill="1" applyBorder="1" applyAlignment="1">
      <alignment vertical="top"/>
    </xf>
    <xf numFmtId="0" fontId="47" fillId="5" borderId="22" xfId="0" applyFont="1" applyFill="1" applyBorder="1" applyAlignment="1">
      <alignment vertical="top"/>
    </xf>
    <xf numFmtId="0" fontId="47" fillId="5" borderId="26" xfId="0" applyFont="1" applyFill="1" applyBorder="1" applyAlignment="1">
      <alignment vertical="top"/>
    </xf>
    <xf numFmtId="0" fontId="47" fillId="5" borderId="6" xfId="0" applyFont="1" applyFill="1" applyBorder="1" applyAlignment="1">
      <alignment vertical="top"/>
    </xf>
    <xf numFmtId="0" fontId="47" fillId="5" borderId="2" xfId="0" applyFont="1" applyFill="1" applyBorder="1" applyAlignment="1">
      <alignment vertical="top"/>
    </xf>
    <xf numFmtId="0" fontId="47" fillId="5" borderId="25" xfId="0" applyFont="1" applyFill="1" applyBorder="1" applyAlignment="1">
      <alignment vertical="top"/>
    </xf>
    <xf numFmtId="9" fontId="54" fillId="5" borderId="23" xfId="5" applyFont="1" applyFill="1" applyBorder="1" applyAlignment="1">
      <alignment vertical="center"/>
    </xf>
    <xf numFmtId="0" fontId="45" fillId="5" borderId="3" xfId="0" applyFont="1" applyFill="1" applyBorder="1" applyAlignment="1" applyProtection="1">
      <alignment vertical="center"/>
      <protection locked="0"/>
    </xf>
    <xf numFmtId="168" fontId="54" fillId="5" borderId="7" xfId="5" applyNumberFormat="1" applyFont="1" applyFill="1" applyBorder="1" applyAlignment="1">
      <alignment vertical="center"/>
    </xf>
    <xf numFmtId="168" fontId="54" fillId="5" borderId="23" xfId="5" applyNumberFormat="1" applyFont="1" applyFill="1" applyBorder="1" applyAlignment="1">
      <alignment vertical="center"/>
    </xf>
    <xf numFmtId="168" fontId="54" fillId="5" borderId="19" xfId="5" applyNumberFormat="1" applyFont="1" applyFill="1" applyBorder="1" applyAlignment="1">
      <alignment vertical="center"/>
    </xf>
    <xf numFmtId="168" fontId="45" fillId="5" borderId="5" xfId="4" applyNumberFormat="1" applyFont="1" applyFill="1" applyBorder="1" applyAlignment="1" applyProtection="1">
      <alignment vertical="center"/>
      <protection locked="0"/>
    </xf>
    <xf numFmtId="168" fontId="45" fillId="5" borderId="3" xfId="4" applyNumberFormat="1" applyFont="1" applyFill="1" applyBorder="1" applyAlignment="1" applyProtection="1">
      <alignment vertical="center"/>
      <protection locked="0"/>
    </xf>
    <xf numFmtId="0" fontId="46" fillId="3" borderId="0" xfId="0" applyFont="1" applyFill="1"/>
    <xf numFmtId="169" fontId="45" fillId="5" borderId="3" xfId="4" applyNumberFormat="1" applyFont="1" applyFill="1" applyBorder="1" applyAlignment="1" applyProtection="1">
      <alignment vertical="center"/>
      <protection locked="0"/>
    </xf>
    <xf numFmtId="1" fontId="54" fillId="5" borderId="23" xfId="0" applyNumberFormat="1" applyFont="1" applyFill="1" applyBorder="1" applyAlignment="1">
      <alignment vertical="center"/>
    </xf>
    <xf numFmtId="0" fontId="54" fillId="5" borderId="23" xfId="0" applyFont="1" applyFill="1" applyBorder="1" applyAlignment="1">
      <alignment horizontal="center" vertical="center"/>
    </xf>
    <xf numFmtId="0" fontId="46" fillId="3" borderId="7" xfId="0" applyFont="1" applyFill="1" applyBorder="1" applyAlignment="1">
      <alignment horizontal="left" vertical="center" wrapText="1"/>
    </xf>
    <xf numFmtId="0" fontId="46" fillId="3" borderId="23" xfId="0" applyFont="1" applyFill="1" applyBorder="1" applyAlignment="1">
      <alignment horizontal="left" vertical="center" wrapText="1"/>
    </xf>
    <xf numFmtId="168" fontId="46" fillId="8" borderId="7" xfId="0" applyNumberFormat="1" applyFont="1" applyFill="1" applyBorder="1" applyAlignment="1">
      <alignment vertical="center"/>
    </xf>
    <xf numFmtId="168" fontId="46" fillId="8" borderId="23" xfId="0" applyNumberFormat="1" applyFont="1" applyFill="1" applyBorder="1" applyAlignment="1">
      <alignment vertical="center"/>
    </xf>
    <xf numFmtId="168" fontId="46" fillId="8" borderId="19" xfId="0" applyNumberFormat="1" applyFont="1" applyFill="1" applyBorder="1" applyAlignment="1">
      <alignment vertical="center"/>
    </xf>
    <xf numFmtId="0" fontId="55" fillId="17" borderId="3" xfId="0" applyFont="1" applyFill="1" applyBorder="1"/>
    <xf numFmtId="0" fontId="46" fillId="3" borderId="7" xfId="0" applyFont="1" applyFill="1" applyBorder="1" applyAlignment="1">
      <alignment horizontal="left" wrapText="1"/>
    </xf>
    <xf numFmtId="0" fontId="46" fillId="3" borderId="23" xfId="0" applyFont="1" applyFill="1" applyBorder="1" applyAlignment="1">
      <alignment horizontal="left" wrapText="1"/>
    </xf>
    <xf numFmtId="168" fontId="46" fillId="8" borderId="7" xfId="0" applyNumberFormat="1" applyFont="1" applyFill="1" applyBorder="1"/>
    <xf numFmtId="168" fontId="46" fillId="8" borderId="23" xfId="0" applyNumberFormat="1" applyFont="1" applyFill="1" applyBorder="1"/>
    <xf numFmtId="168" fontId="46" fillId="8" borderId="19" xfId="0" applyNumberFormat="1" applyFont="1" applyFill="1" applyBorder="1"/>
    <xf numFmtId="0" fontId="47" fillId="3" borderId="3" xfId="0" applyFont="1" applyFill="1" applyBorder="1"/>
    <xf numFmtId="0" fontId="46" fillId="3" borderId="0" xfId="0" applyFont="1" applyFill="1" applyAlignment="1">
      <alignment vertical="center"/>
    </xf>
    <xf numFmtId="0" fontId="49" fillId="3" borderId="0" xfId="0" applyFont="1" applyFill="1" applyAlignment="1">
      <alignment vertical="center" wrapText="1"/>
    </xf>
    <xf numFmtId="0" fontId="49" fillId="3" borderId="0" xfId="0" applyFont="1" applyFill="1" applyAlignment="1">
      <alignment vertical="center"/>
    </xf>
    <xf numFmtId="0" fontId="48" fillId="8" borderId="3" xfId="0" applyFont="1" applyFill="1" applyBorder="1" applyAlignment="1" applyProtection="1">
      <alignment horizontal="left" vertical="top" wrapText="1"/>
      <protection locked="0"/>
    </xf>
    <xf numFmtId="172" fontId="56" fillId="17" borderId="7" xfId="0" applyNumberFormat="1" applyFont="1" applyFill="1" applyBorder="1" applyAlignment="1" applyProtection="1">
      <alignment vertical="center"/>
      <protection locked="0"/>
    </xf>
    <xf numFmtId="172" fontId="56" fillId="17" borderId="23" xfId="0" applyNumberFormat="1" applyFont="1" applyFill="1" applyBorder="1" applyAlignment="1" applyProtection="1">
      <alignment vertical="center"/>
      <protection locked="0"/>
    </xf>
    <xf numFmtId="172" fontId="56" fillId="17" borderId="19" xfId="0" applyNumberFormat="1" applyFont="1" applyFill="1" applyBorder="1" applyAlignment="1" applyProtection="1">
      <alignment vertical="center"/>
      <protection locked="0"/>
    </xf>
    <xf numFmtId="0" fontId="46" fillId="3" borderId="3" xfId="0" applyFont="1" applyFill="1" applyBorder="1"/>
    <xf numFmtId="0" fontId="46" fillId="3" borderId="19" xfId="0" applyFont="1" applyFill="1" applyBorder="1" applyAlignment="1">
      <alignment horizontal="left" wrapText="1"/>
    </xf>
    <xf numFmtId="0" fontId="47" fillId="3" borderId="7" xfId="0" applyFont="1" applyFill="1" applyBorder="1"/>
    <xf numFmtId="0" fontId="47" fillId="3" borderId="23" xfId="0" applyFont="1" applyFill="1" applyBorder="1"/>
    <xf numFmtId="0" fontId="47" fillId="3" borderId="19" xfId="0" applyFont="1" applyFill="1" applyBorder="1"/>
    <xf numFmtId="0" fontId="45" fillId="3" borderId="24" xfId="0" applyFont="1" applyFill="1" applyBorder="1" applyAlignment="1">
      <alignment horizontal="left" vertical="top" wrapText="1"/>
    </xf>
    <xf numFmtId="0" fontId="45" fillId="3" borderId="22" xfId="0" applyFont="1" applyFill="1" applyBorder="1" applyAlignment="1">
      <alignment horizontal="left" vertical="top" wrapText="1"/>
    </xf>
    <xf numFmtId="0" fontId="45" fillId="3" borderId="6" xfId="0" applyFont="1" applyFill="1" applyBorder="1" applyAlignment="1">
      <alignment horizontal="left" vertical="top" wrapText="1"/>
    </xf>
    <xf numFmtId="0" fontId="45" fillId="3" borderId="2" xfId="0" applyFont="1" applyFill="1" applyBorder="1" applyAlignment="1">
      <alignment horizontal="left" vertical="top" wrapText="1"/>
    </xf>
    <xf numFmtId="1" fontId="54" fillId="5" borderId="3" xfId="0" applyNumberFormat="1" applyFont="1" applyFill="1" applyBorder="1" applyAlignment="1">
      <alignment vertical="center"/>
    </xf>
    <xf numFmtId="168" fontId="54" fillId="5" borderId="3" xfId="0" applyNumberFormat="1" applyFont="1" applyFill="1" applyBorder="1" applyAlignment="1">
      <alignment vertical="center"/>
    </xf>
    <xf numFmtId="1" fontId="54" fillId="5" borderId="3" xfId="0" applyNumberFormat="1" applyFont="1" applyFill="1" applyBorder="1" applyAlignment="1">
      <alignment horizontal="right" vertical="center"/>
    </xf>
    <xf numFmtId="0" fontId="54" fillId="5" borderId="3" xfId="0" applyFont="1" applyFill="1" applyBorder="1" applyAlignment="1">
      <alignment horizontal="right" vertical="center"/>
    </xf>
    <xf numFmtId="168" fontId="54" fillId="5" borderId="3" xfId="4" applyNumberFormat="1" applyFont="1" applyFill="1" applyBorder="1" applyAlignment="1">
      <alignment vertical="center"/>
    </xf>
    <xf numFmtId="0" fontId="54" fillId="3" borderId="3" xfId="0" applyFont="1" applyFill="1" applyBorder="1"/>
    <xf numFmtId="169" fontId="54" fillId="5" borderId="7" xfId="4" applyNumberFormat="1" applyFont="1" applyFill="1" applyBorder="1" applyAlignment="1" applyProtection="1">
      <alignment vertical="center" wrapText="1"/>
      <protection locked="0"/>
    </xf>
    <xf numFmtId="169" fontId="54" fillId="5" borderId="23" xfId="4" applyNumberFormat="1" applyFont="1" applyFill="1" applyBorder="1" applyAlignment="1" applyProtection="1">
      <alignment vertical="center" wrapText="1"/>
      <protection locked="0"/>
    </xf>
    <xf numFmtId="169" fontId="54" fillId="5" borderId="19" xfId="4" applyNumberFormat="1" applyFont="1" applyFill="1" applyBorder="1" applyAlignment="1" applyProtection="1">
      <alignment vertical="center" wrapText="1"/>
      <protection locked="0"/>
    </xf>
    <xf numFmtId="0" fontId="54" fillId="5" borderId="3" xfId="0" applyFont="1" applyFill="1" applyBorder="1" applyAlignment="1" applyProtection="1">
      <alignment horizontal="left" vertical="center"/>
      <protection locked="0"/>
    </xf>
    <xf numFmtId="0" fontId="54" fillId="5" borderId="7" xfId="0" applyFont="1" applyFill="1" applyBorder="1" applyProtection="1">
      <protection locked="0"/>
    </xf>
    <xf numFmtId="0" fontId="54" fillId="5" borderId="23" xfId="0" applyFont="1" applyFill="1" applyBorder="1" applyProtection="1">
      <protection locked="0"/>
    </xf>
    <xf numFmtId="0" fontId="54" fillId="5" borderId="19" xfId="0" applyFont="1" applyFill="1" applyBorder="1" applyProtection="1">
      <protection locked="0"/>
    </xf>
    <xf numFmtId="169" fontId="54" fillId="5" borderId="7" xfId="4" applyNumberFormat="1" applyFont="1" applyFill="1" applyBorder="1" applyProtection="1">
      <protection locked="0"/>
    </xf>
    <xf numFmtId="169" fontId="54" fillId="5" borderId="23" xfId="4" applyNumberFormat="1" applyFont="1" applyFill="1" applyBorder="1" applyProtection="1">
      <protection locked="0"/>
    </xf>
    <xf numFmtId="169" fontId="54" fillId="5" borderId="19" xfId="4" applyNumberFormat="1" applyFont="1" applyFill="1" applyBorder="1" applyProtection="1">
      <protection locked="0"/>
    </xf>
    <xf numFmtId="10" fontId="54" fillId="5" borderId="7" xfId="5" applyNumberFormat="1" applyFont="1" applyFill="1" applyBorder="1" applyAlignment="1" applyProtection="1">
      <alignment horizontal="center"/>
      <protection locked="0"/>
    </xf>
    <xf numFmtId="10" fontId="54" fillId="5" borderId="19" xfId="5" applyNumberFormat="1" applyFont="1" applyFill="1" applyBorder="1" applyAlignment="1" applyProtection="1">
      <alignment horizontal="center"/>
      <protection locked="0"/>
    </xf>
    <xf numFmtId="0" fontId="54" fillId="5" borderId="7" xfId="0" applyFont="1" applyFill="1" applyBorder="1" applyAlignment="1" applyProtection="1">
      <alignment horizontal="left"/>
      <protection locked="0"/>
    </xf>
    <xf numFmtId="0" fontId="54" fillId="5" borderId="23" xfId="0" applyFont="1" applyFill="1" applyBorder="1" applyAlignment="1" applyProtection="1">
      <alignment horizontal="left"/>
      <protection locked="0"/>
    </xf>
    <xf numFmtId="0" fontId="54" fillId="5" borderId="19" xfId="0" applyFont="1" applyFill="1" applyBorder="1" applyAlignment="1" applyProtection="1">
      <alignment horizontal="left"/>
      <protection locked="0"/>
    </xf>
    <xf numFmtId="169" fontId="54" fillId="3" borderId="7" xfId="4" applyNumberFormat="1" applyFont="1" applyFill="1" applyBorder="1" applyAlignment="1" applyProtection="1">
      <alignment vertical="center" wrapText="1"/>
    </xf>
    <xf numFmtId="169" fontId="54" fillId="3" borderId="23" xfId="4" applyNumberFormat="1" applyFont="1" applyFill="1" applyBorder="1" applyAlignment="1" applyProtection="1">
      <alignment vertical="center" wrapText="1"/>
    </xf>
    <xf numFmtId="169" fontId="54" fillId="3" borderId="19" xfId="4" applyNumberFormat="1" applyFont="1" applyFill="1" applyBorder="1" applyAlignment="1" applyProtection="1">
      <alignment vertical="center" wrapText="1"/>
    </xf>
    <xf numFmtId="169" fontId="54" fillId="5" borderId="7" xfId="4" applyNumberFormat="1" applyFont="1" applyFill="1" applyBorder="1" applyAlignment="1" applyProtection="1">
      <alignment horizontal="left" vertical="center" wrapText="1"/>
      <protection locked="0"/>
    </xf>
    <xf numFmtId="169" fontId="54" fillId="5" borderId="23" xfId="4" applyNumberFormat="1" applyFont="1" applyFill="1" applyBorder="1" applyAlignment="1" applyProtection="1">
      <alignment horizontal="left" vertical="center" wrapText="1"/>
      <protection locked="0"/>
    </xf>
    <xf numFmtId="169" fontId="54" fillId="5" borderId="19" xfId="4" applyNumberFormat="1" applyFont="1" applyFill="1" applyBorder="1" applyAlignment="1" applyProtection="1">
      <alignment horizontal="left" vertical="center" wrapText="1"/>
      <protection locked="0"/>
    </xf>
    <xf numFmtId="0" fontId="48" fillId="8" borderId="24" xfId="0" applyFont="1" applyFill="1" applyBorder="1" applyAlignment="1" applyProtection="1">
      <alignment horizontal="left" vertical="top" wrapText="1"/>
      <protection locked="0"/>
    </xf>
    <xf numFmtId="0" fontId="48" fillId="8" borderId="22" xfId="0" applyFont="1" applyFill="1" applyBorder="1" applyAlignment="1" applyProtection="1">
      <alignment horizontal="left" vertical="top" wrapText="1"/>
      <protection locked="0"/>
    </xf>
    <xf numFmtId="0" fontId="48" fillId="8" borderId="26" xfId="0" applyFont="1" applyFill="1" applyBorder="1" applyAlignment="1" applyProtection="1">
      <alignment horizontal="left" vertical="top" wrapText="1"/>
      <protection locked="0"/>
    </xf>
    <xf numFmtId="0" fontId="48" fillId="8" borderId="4" xfId="0" applyFont="1" applyFill="1" applyBorder="1" applyAlignment="1" applyProtection="1">
      <alignment horizontal="left" vertical="top" wrapText="1"/>
      <protection locked="0"/>
    </xf>
    <xf numFmtId="0" fontId="48" fillId="8" borderId="0" xfId="0" applyFont="1" applyFill="1" applyAlignment="1" applyProtection="1">
      <alignment horizontal="left" vertical="top" wrapText="1"/>
      <protection locked="0"/>
    </xf>
    <xf numFmtId="0" fontId="48" fillId="8" borderId="27" xfId="0" applyFont="1" applyFill="1" applyBorder="1" applyAlignment="1" applyProtection="1">
      <alignment horizontal="left" vertical="top" wrapText="1"/>
      <protection locked="0"/>
    </xf>
    <xf numFmtId="0" fontId="48" fillId="8" borderId="6" xfId="0" applyFont="1" applyFill="1" applyBorder="1" applyAlignment="1" applyProtection="1">
      <alignment horizontal="left" vertical="top" wrapText="1"/>
      <protection locked="0"/>
    </xf>
    <xf numFmtId="0" fontId="48" fillId="8" borderId="2" xfId="0" applyFont="1" applyFill="1" applyBorder="1" applyAlignment="1" applyProtection="1">
      <alignment horizontal="left" vertical="top" wrapText="1"/>
      <protection locked="0"/>
    </xf>
    <xf numFmtId="0" fontId="48" fillId="8" borderId="25" xfId="0" applyFont="1" applyFill="1" applyBorder="1" applyAlignment="1" applyProtection="1">
      <alignment horizontal="left" vertical="top" wrapText="1"/>
      <protection locked="0"/>
    </xf>
    <xf numFmtId="0" fontId="45" fillId="5" borderId="24" xfId="0" applyFont="1" applyFill="1" applyBorder="1" applyAlignment="1" applyProtection="1">
      <alignment horizontal="left" vertical="top" wrapText="1"/>
      <protection locked="0"/>
    </xf>
    <xf numFmtId="0" fontId="45" fillId="5" borderId="22" xfId="0" applyFont="1" applyFill="1" applyBorder="1" applyAlignment="1" applyProtection="1">
      <alignment horizontal="left" vertical="top" wrapText="1"/>
      <protection locked="0"/>
    </xf>
    <xf numFmtId="0" fontId="45" fillId="5" borderId="26" xfId="0" applyFont="1" applyFill="1" applyBorder="1" applyAlignment="1" applyProtection="1">
      <alignment horizontal="left" vertical="top" wrapText="1"/>
      <protection locked="0"/>
    </xf>
    <xf numFmtId="0" fontId="45" fillId="5" borderId="4" xfId="0" applyFont="1" applyFill="1" applyBorder="1" applyAlignment="1" applyProtection="1">
      <alignment horizontal="left" vertical="top" wrapText="1"/>
      <protection locked="0"/>
    </xf>
    <xf numFmtId="0" fontId="45" fillId="5" borderId="0" xfId="0" applyFont="1" applyFill="1" applyAlignment="1" applyProtection="1">
      <alignment horizontal="left" vertical="top" wrapText="1"/>
      <protection locked="0"/>
    </xf>
    <xf numFmtId="0" fontId="45" fillId="5" borderId="27" xfId="0" applyFont="1" applyFill="1" applyBorder="1" applyAlignment="1" applyProtection="1">
      <alignment horizontal="left" vertical="top" wrapText="1"/>
      <protection locked="0"/>
    </xf>
    <xf numFmtId="0" fontId="45" fillId="5" borderId="6" xfId="0" applyFont="1" applyFill="1" applyBorder="1" applyAlignment="1" applyProtection="1">
      <alignment horizontal="left" vertical="top" wrapText="1"/>
      <protection locked="0"/>
    </xf>
    <xf numFmtId="0" fontId="45" fillId="5" borderId="2" xfId="0" applyFont="1" applyFill="1" applyBorder="1" applyAlignment="1" applyProtection="1">
      <alignment horizontal="left" vertical="top" wrapText="1"/>
      <protection locked="0"/>
    </xf>
    <xf numFmtId="0" fontId="45" fillId="5" borderId="25" xfId="0" applyFont="1" applyFill="1" applyBorder="1" applyAlignment="1" applyProtection="1">
      <alignment horizontal="left" vertical="top" wrapText="1"/>
      <protection locked="0"/>
    </xf>
    <xf numFmtId="0" fontId="53" fillId="3" borderId="0" xfId="0" applyFont="1" applyFill="1" applyAlignment="1">
      <alignment vertical="top" wrapText="1"/>
    </xf>
    <xf numFmtId="170" fontId="45" fillId="5" borderId="3" xfId="8" applyNumberFormat="1" applyFont="1" applyFill="1" applyBorder="1" applyAlignment="1" applyProtection="1">
      <alignment vertical="center"/>
      <protection locked="0"/>
    </xf>
    <xf numFmtId="0" fontId="47" fillId="3" borderId="0" xfId="0" applyFont="1" applyFill="1"/>
    <xf numFmtId="0" fontId="53" fillId="3" borderId="0" xfId="0" applyFont="1" applyFill="1" applyAlignment="1">
      <alignment horizontal="left" vertical="top" wrapText="1"/>
    </xf>
    <xf numFmtId="0" fontId="54" fillId="5" borderId="3" xfId="0" applyFont="1" applyFill="1" applyBorder="1" applyAlignment="1" applyProtection="1">
      <alignment horizontal="left"/>
      <protection locked="0"/>
    </xf>
    <xf numFmtId="0" fontId="54" fillId="3" borderId="3" xfId="0" applyFont="1" applyFill="1" applyBorder="1" applyAlignment="1" applyProtection="1">
      <alignment vertical="center"/>
      <protection locked="0"/>
    </xf>
    <xf numFmtId="0" fontId="54" fillId="5" borderId="7" xfId="0" applyFont="1" applyFill="1" applyBorder="1" applyAlignment="1" applyProtection="1">
      <alignment vertical="center"/>
      <protection locked="0"/>
    </xf>
    <xf numFmtId="0" fontId="54" fillId="5" borderId="23" xfId="0" applyFont="1" applyFill="1" applyBorder="1" applyAlignment="1" applyProtection="1">
      <alignment vertical="center"/>
      <protection locked="0"/>
    </xf>
    <xf numFmtId="0" fontId="54" fillId="5" borderId="19" xfId="0" applyFont="1" applyFill="1" applyBorder="1" applyAlignment="1" applyProtection="1">
      <alignment vertical="center"/>
      <protection locked="0"/>
    </xf>
    <xf numFmtId="169" fontId="54" fillId="5" borderId="7" xfId="4" applyNumberFormat="1" applyFont="1" applyFill="1" applyBorder="1" applyAlignment="1" applyProtection="1">
      <alignment vertical="center"/>
      <protection locked="0"/>
    </xf>
    <xf numFmtId="169" fontId="54" fillId="5" borderId="23" xfId="4" applyNumberFormat="1" applyFont="1" applyFill="1" applyBorder="1" applyAlignment="1" applyProtection="1">
      <alignment vertical="center"/>
      <protection locked="0"/>
    </xf>
    <xf numFmtId="169" fontId="54" fillId="5" borderId="19" xfId="4" applyNumberFormat="1" applyFont="1" applyFill="1" applyBorder="1" applyAlignment="1" applyProtection="1">
      <alignment vertical="center"/>
      <protection locked="0"/>
    </xf>
    <xf numFmtId="0" fontId="54" fillId="3" borderId="24" xfId="0" applyFont="1" applyFill="1" applyBorder="1" applyAlignment="1">
      <alignment vertical="top"/>
    </xf>
    <xf numFmtId="0" fontId="54" fillId="3" borderId="22" xfId="0" applyFont="1" applyFill="1" applyBorder="1" applyAlignment="1">
      <alignment vertical="top"/>
    </xf>
    <xf numFmtId="0" fontId="54" fillId="3" borderId="26" xfId="0" applyFont="1" applyFill="1" applyBorder="1" applyAlignment="1">
      <alignment vertical="top"/>
    </xf>
    <xf numFmtId="0" fontId="54" fillId="3" borderId="4" xfId="0" applyFont="1" applyFill="1" applyBorder="1" applyAlignment="1">
      <alignment vertical="top"/>
    </xf>
    <xf numFmtId="0" fontId="54" fillId="3" borderId="0" xfId="0" applyFont="1" applyFill="1" applyAlignment="1">
      <alignment vertical="top"/>
    </xf>
    <xf numFmtId="0" fontId="54" fillId="3" borderId="27" xfId="0" applyFont="1" applyFill="1" applyBorder="1" applyAlignment="1">
      <alignment vertical="top"/>
    </xf>
    <xf numFmtId="0" fontId="54" fillId="3" borderId="6" xfId="0" applyFont="1" applyFill="1" applyBorder="1" applyAlignment="1">
      <alignment vertical="top"/>
    </xf>
    <xf numFmtId="0" fontId="54" fillId="3" borderId="2" xfId="0" applyFont="1" applyFill="1" applyBorder="1" applyAlignment="1">
      <alignment vertical="top"/>
    </xf>
    <xf numFmtId="0" fontId="54" fillId="3" borderId="25" xfId="0" applyFont="1" applyFill="1" applyBorder="1" applyAlignment="1">
      <alignment vertical="top"/>
    </xf>
    <xf numFmtId="0" fontId="60" fillId="3" borderId="24" xfId="0" applyFont="1" applyFill="1" applyBorder="1" applyAlignment="1">
      <alignment horizontal="left" vertical="top" wrapText="1"/>
    </xf>
    <xf numFmtId="0" fontId="60" fillId="3" borderId="22" xfId="0" applyFont="1" applyFill="1" applyBorder="1" applyAlignment="1">
      <alignment horizontal="left" vertical="top" wrapText="1"/>
    </xf>
    <xf numFmtId="0" fontId="60" fillId="3" borderId="26" xfId="0" applyFont="1" applyFill="1" applyBorder="1" applyAlignment="1">
      <alignment horizontal="left" vertical="top" wrapText="1"/>
    </xf>
    <xf numFmtId="0" fontId="60" fillId="3" borderId="4" xfId="0" applyFont="1" applyFill="1" applyBorder="1" applyAlignment="1">
      <alignment horizontal="left" vertical="top" wrapText="1"/>
    </xf>
    <xf numFmtId="0" fontId="60" fillId="3" borderId="0" xfId="0" applyFont="1" applyFill="1" applyAlignment="1">
      <alignment horizontal="left" vertical="top" wrapText="1"/>
    </xf>
    <xf numFmtId="0" fontId="60" fillId="3" borderId="27" xfId="0" applyFont="1" applyFill="1" applyBorder="1" applyAlignment="1">
      <alignment horizontal="left" vertical="top" wrapText="1"/>
    </xf>
    <xf numFmtId="0" fontId="60" fillId="3" borderId="6" xfId="0" applyFont="1" applyFill="1" applyBorder="1" applyAlignment="1">
      <alignment horizontal="left" vertical="top" wrapText="1"/>
    </xf>
    <xf numFmtId="0" fontId="60" fillId="3" borderId="2" xfId="0" applyFont="1" applyFill="1" applyBorder="1" applyAlignment="1">
      <alignment horizontal="left" vertical="top" wrapText="1"/>
    </xf>
    <xf numFmtId="0" fontId="60" fillId="3" borderId="25" xfId="0" applyFont="1" applyFill="1" applyBorder="1" applyAlignment="1">
      <alignment horizontal="left" vertical="top" wrapText="1"/>
    </xf>
    <xf numFmtId="0" fontId="54" fillId="3" borderId="24" xfId="0" applyFont="1" applyFill="1" applyBorder="1" applyAlignment="1">
      <alignment horizontal="left" vertical="top" wrapText="1"/>
    </xf>
    <xf numFmtId="0" fontId="54" fillId="3" borderId="22" xfId="0" applyFont="1" applyFill="1" applyBorder="1" applyAlignment="1">
      <alignment horizontal="left" vertical="top" wrapText="1"/>
    </xf>
    <xf numFmtId="0" fontId="54" fillId="3" borderId="26" xfId="0" applyFont="1" applyFill="1" applyBorder="1" applyAlignment="1">
      <alignment horizontal="left" vertical="top" wrapText="1"/>
    </xf>
    <xf numFmtId="0" fontId="54" fillId="3" borderId="4" xfId="0" applyFont="1" applyFill="1" applyBorder="1" applyAlignment="1">
      <alignment horizontal="left" vertical="top" wrapText="1"/>
    </xf>
    <xf numFmtId="0" fontId="54" fillId="3" borderId="0" xfId="0" applyFont="1" applyFill="1" applyAlignment="1">
      <alignment horizontal="left" vertical="top" wrapText="1"/>
    </xf>
    <xf numFmtId="0" fontId="54" fillId="3" borderId="27" xfId="0" applyFont="1" applyFill="1" applyBorder="1" applyAlignment="1">
      <alignment horizontal="left" vertical="top" wrapText="1"/>
    </xf>
    <xf numFmtId="0" fontId="54" fillId="3" borderId="6" xfId="0" applyFont="1" applyFill="1" applyBorder="1" applyAlignment="1">
      <alignment horizontal="left" vertical="top" wrapText="1"/>
    </xf>
    <xf numFmtId="0" fontId="54" fillId="3" borderId="2" xfId="0" applyFont="1" applyFill="1" applyBorder="1" applyAlignment="1">
      <alignment horizontal="left" vertical="top" wrapText="1"/>
    </xf>
    <xf numFmtId="0" fontId="54" fillId="3" borderId="25" xfId="0" applyFont="1" applyFill="1" applyBorder="1" applyAlignment="1">
      <alignment horizontal="left" vertical="top" wrapText="1"/>
    </xf>
    <xf numFmtId="0" fontId="54" fillId="3" borderId="24" xfId="0" applyFont="1" applyFill="1" applyBorder="1" applyAlignment="1">
      <alignment vertical="top" wrapText="1"/>
    </xf>
    <xf numFmtId="0" fontId="54" fillId="3" borderId="22" xfId="0" applyFont="1" applyFill="1" applyBorder="1" applyAlignment="1">
      <alignment vertical="top" wrapText="1"/>
    </xf>
    <xf numFmtId="0" fontId="54" fillId="3" borderId="26" xfId="0" applyFont="1" applyFill="1" applyBorder="1" applyAlignment="1">
      <alignment vertical="top" wrapText="1"/>
    </xf>
    <xf numFmtId="0" fontId="54" fillId="3" borderId="4" xfId="0" applyFont="1" applyFill="1" applyBorder="1" applyAlignment="1">
      <alignment vertical="top" wrapText="1"/>
    </xf>
    <xf numFmtId="0" fontId="54" fillId="3" borderId="0" xfId="0" applyFont="1" applyFill="1" applyAlignment="1">
      <alignment vertical="top" wrapText="1"/>
    </xf>
    <xf numFmtId="0" fontId="54" fillId="3" borderId="27" xfId="0" applyFont="1" applyFill="1" applyBorder="1" applyAlignment="1">
      <alignment vertical="top" wrapText="1"/>
    </xf>
    <xf numFmtId="0" fontId="54" fillId="3" borderId="6" xfId="0" applyFont="1" applyFill="1" applyBorder="1" applyAlignment="1">
      <alignment vertical="top" wrapText="1"/>
    </xf>
    <xf numFmtId="0" fontId="54" fillId="3" borderId="2" xfId="0" applyFont="1" applyFill="1" applyBorder="1" applyAlignment="1">
      <alignment vertical="top" wrapText="1"/>
    </xf>
    <xf numFmtId="0" fontId="54" fillId="3" borderId="25" xfId="0" applyFont="1" applyFill="1" applyBorder="1" applyAlignment="1">
      <alignment vertical="top" wrapText="1"/>
    </xf>
    <xf numFmtId="0" fontId="54" fillId="8" borderId="7" xfId="0" applyFont="1" applyFill="1" applyBorder="1" applyAlignment="1" applyProtection="1">
      <alignment horizontal="left" vertical="center"/>
      <protection locked="0"/>
    </xf>
    <xf numFmtId="0" fontId="54" fillId="8" borderId="23" xfId="0" applyFont="1" applyFill="1" applyBorder="1" applyAlignment="1" applyProtection="1">
      <alignment horizontal="left" vertical="center"/>
      <protection locked="0"/>
    </xf>
    <xf numFmtId="0" fontId="54" fillId="8" borderId="19" xfId="0" applyFont="1" applyFill="1" applyBorder="1" applyAlignment="1" applyProtection="1">
      <alignment horizontal="left" vertical="center"/>
      <protection locked="0"/>
    </xf>
    <xf numFmtId="0" fontId="54" fillId="5" borderId="7" xfId="0" applyFont="1" applyFill="1" applyBorder="1" applyAlignment="1" applyProtection="1">
      <alignment horizontal="left" vertical="center"/>
      <protection locked="0"/>
    </xf>
    <xf numFmtId="0" fontId="54" fillId="5" borderId="23" xfId="0" applyFont="1" applyFill="1" applyBorder="1" applyAlignment="1" applyProtection="1">
      <alignment horizontal="left" vertical="center"/>
      <protection locked="0"/>
    </xf>
    <xf numFmtId="0" fontId="54" fillId="5" borderId="19" xfId="0" applyFont="1" applyFill="1" applyBorder="1" applyAlignment="1" applyProtection="1">
      <alignment horizontal="left" vertical="center"/>
      <protection locked="0"/>
    </xf>
    <xf numFmtId="0" fontId="54" fillId="5" borderId="7" xfId="0" applyFont="1" applyFill="1" applyBorder="1" applyAlignment="1" applyProtection="1">
      <alignment vertical="center" wrapText="1"/>
      <protection locked="0"/>
    </xf>
    <xf numFmtId="0" fontId="0" fillId="0" borderId="19" xfId="0" applyBorder="1" applyAlignment="1">
      <alignment vertical="center" wrapText="1"/>
    </xf>
    <xf numFmtId="10" fontId="54" fillId="5" borderId="7" xfId="5" applyNumberFormat="1" applyFont="1" applyFill="1" applyBorder="1" applyAlignment="1" applyProtection="1">
      <alignment vertical="center"/>
      <protection locked="0"/>
    </xf>
    <xf numFmtId="10" fontId="54" fillId="5" borderId="19" xfId="5" applyNumberFormat="1" applyFont="1" applyFill="1" applyBorder="1" applyAlignment="1" applyProtection="1">
      <alignment vertical="center"/>
      <protection locked="0"/>
    </xf>
    <xf numFmtId="0" fontId="54" fillId="5" borderId="7" xfId="0" applyFont="1" applyFill="1" applyBorder="1" applyAlignment="1" applyProtection="1">
      <alignment horizontal="right" vertical="center" wrapText="1"/>
      <protection locked="0"/>
    </xf>
    <xf numFmtId="0" fontId="54" fillId="5" borderId="19" xfId="0" applyFont="1" applyFill="1" applyBorder="1" applyAlignment="1" applyProtection="1">
      <alignment horizontal="right" vertical="center"/>
      <protection locked="0"/>
    </xf>
    <xf numFmtId="170" fontId="54" fillId="5" borderId="7" xfId="8" applyNumberFormat="1" applyFont="1" applyFill="1" applyBorder="1" applyAlignment="1" applyProtection="1">
      <alignment horizontal="right" vertical="center" wrapText="1"/>
      <protection locked="0"/>
    </xf>
    <xf numFmtId="170" fontId="54" fillId="5" borderId="23" xfId="8" applyNumberFormat="1" applyFont="1" applyFill="1" applyBorder="1" applyAlignment="1" applyProtection="1">
      <alignment horizontal="right" vertical="center" wrapText="1"/>
      <protection locked="0"/>
    </xf>
    <xf numFmtId="170" fontId="54" fillId="5" borderId="19" xfId="8" applyNumberFormat="1" applyFont="1" applyFill="1" applyBorder="1" applyAlignment="1" applyProtection="1">
      <alignment horizontal="right" vertical="center" wrapText="1"/>
      <protection locked="0"/>
    </xf>
    <xf numFmtId="0" fontId="54" fillId="5" borderId="7" xfId="0" applyFont="1" applyFill="1" applyBorder="1" applyAlignment="1" applyProtection="1">
      <alignment horizontal="left" vertical="center" wrapText="1"/>
      <protection locked="0"/>
    </xf>
    <xf numFmtId="0" fontId="54" fillId="5" borderId="23" xfId="0" applyFont="1" applyFill="1" applyBorder="1" applyAlignment="1" applyProtection="1">
      <alignment horizontal="left" vertical="center" wrapText="1"/>
      <protection locked="0"/>
    </xf>
    <xf numFmtId="0" fontId="54" fillId="5" borderId="19" xfId="0" applyFont="1" applyFill="1" applyBorder="1" applyAlignment="1" applyProtection="1">
      <alignment horizontal="left" vertical="center" wrapText="1"/>
      <protection locked="0"/>
    </xf>
    <xf numFmtId="14" fontId="54" fillId="5" borderId="7" xfId="0" applyNumberFormat="1" applyFont="1" applyFill="1" applyBorder="1" applyAlignment="1" applyProtection="1">
      <alignment vertical="center" wrapText="1"/>
      <protection locked="0"/>
    </xf>
    <xf numFmtId="14" fontId="54" fillId="5" borderId="23" xfId="0" applyNumberFormat="1" applyFont="1" applyFill="1" applyBorder="1" applyAlignment="1" applyProtection="1">
      <alignment vertical="center" wrapText="1"/>
      <protection locked="0"/>
    </xf>
    <xf numFmtId="14" fontId="54" fillId="5" borderId="19" xfId="0" applyNumberFormat="1" applyFont="1" applyFill="1" applyBorder="1" applyAlignment="1" applyProtection="1">
      <alignment vertical="center" wrapText="1"/>
      <protection locked="0"/>
    </xf>
    <xf numFmtId="0" fontId="45" fillId="3" borderId="26" xfId="0" applyFont="1" applyFill="1" applyBorder="1" applyAlignment="1">
      <alignment horizontal="left" vertical="top" wrapText="1"/>
    </xf>
    <xf numFmtId="0" fontId="45" fillId="3" borderId="25" xfId="0" applyFont="1" applyFill="1" applyBorder="1" applyAlignment="1">
      <alignment horizontal="left" vertical="top" wrapText="1"/>
    </xf>
    <xf numFmtId="0" fontId="45" fillId="3" borderId="26" xfId="0" applyFont="1" applyFill="1" applyBorder="1" applyAlignment="1">
      <alignment horizontal="left" vertical="top"/>
    </xf>
    <xf numFmtId="0" fontId="45" fillId="3" borderId="6" xfId="0" applyFont="1" applyFill="1" applyBorder="1" applyAlignment="1">
      <alignment horizontal="left" vertical="top"/>
    </xf>
    <xf numFmtId="0" fontId="45" fillId="3" borderId="25" xfId="0" applyFont="1" applyFill="1" applyBorder="1" applyAlignment="1">
      <alignment horizontal="left" vertical="top"/>
    </xf>
    <xf numFmtId="0" fontId="45" fillId="3" borderId="22" xfId="0" applyFont="1" applyFill="1" applyBorder="1" applyAlignment="1">
      <alignment vertical="top"/>
    </xf>
    <xf numFmtId="0" fontId="45" fillId="3" borderId="26" xfId="0" applyFont="1" applyFill="1" applyBorder="1" applyAlignment="1">
      <alignment vertical="top"/>
    </xf>
    <xf numFmtId="0" fontId="45" fillId="3" borderId="6" xfId="0" applyFont="1" applyFill="1" applyBorder="1" applyAlignment="1">
      <alignment vertical="top"/>
    </xf>
    <xf numFmtId="0" fontId="45" fillId="3" borderId="2" xfId="0" applyFont="1" applyFill="1" applyBorder="1" applyAlignment="1">
      <alignment vertical="top"/>
    </xf>
    <xf numFmtId="0" fontId="45" fillId="3" borderId="25" xfId="0" applyFont="1" applyFill="1" applyBorder="1" applyAlignment="1">
      <alignment vertical="top"/>
    </xf>
    <xf numFmtId="0" fontId="54" fillId="8" borderId="7" xfId="0" applyFont="1" applyFill="1" applyBorder="1" applyAlignment="1" applyProtection="1">
      <alignment vertical="center"/>
      <protection locked="0"/>
    </xf>
    <xf numFmtId="0" fontId="54" fillId="8" borderId="23" xfId="0" applyFont="1" applyFill="1" applyBorder="1" applyAlignment="1" applyProtection="1">
      <alignment vertical="center"/>
      <protection locked="0"/>
    </xf>
    <xf numFmtId="0" fontId="54" fillId="8" borderId="19" xfId="0" applyFont="1" applyFill="1" applyBorder="1" applyAlignment="1" applyProtection="1">
      <alignment vertical="center"/>
      <protection locked="0"/>
    </xf>
    <xf numFmtId="0" fontId="45" fillId="5" borderId="7" xfId="0" applyFont="1" applyFill="1" applyBorder="1" applyAlignment="1" applyProtection="1">
      <alignment horizontal="center" vertical="center"/>
      <protection locked="0"/>
    </xf>
    <xf numFmtId="0" fontId="45" fillId="5" borderId="23" xfId="0" applyFont="1" applyFill="1" applyBorder="1" applyAlignment="1" applyProtection="1">
      <alignment horizontal="center" vertical="center"/>
      <protection locked="0"/>
    </xf>
    <xf numFmtId="0" fontId="45" fillId="5" borderId="19" xfId="0" applyFont="1" applyFill="1" applyBorder="1" applyAlignment="1" applyProtection="1">
      <alignment horizontal="center" vertical="center"/>
      <protection locked="0"/>
    </xf>
    <xf numFmtId="0" fontId="45" fillId="5" borderId="7" xfId="0" applyFont="1" applyFill="1" applyBorder="1" applyAlignment="1" applyProtection="1">
      <alignment horizontal="left" vertical="center" wrapText="1"/>
      <protection locked="0"/>
    </xf>
    <xf numFmtId="0" fontId="45" fillId="5" borderId="23" xfId="0" applyFont="1" applyFill="1" applyBorder="1" applyAlignment="1" applyProtection="1">
      <alignment horizontal="left" vertical="center" wrapText="1"/>
      <protection locked="0"/>
    </xf>
    <xf numFmtId="0" fontId="45" fillId="5" borderId="19" xfId="0" applyFont="1" applyFill="1" applyBorder="1" applyAlignment="1" applyProtection="1">
      <alignment horizontal="left" vertical="center" wrapText="1"/>
      <protection locked="0"/>
    </xf>
    <xf numFmtId="0" fontId="53" fillId="3" borderId="0" xfId="0" applyFont="1" applyFill="1" applyAlignment="1">
      <alignment vertical="center" wrapText="1"/>
    </xf>
    <xf numFmtId="0" fontId="53" fillId="3" borderId="27" xfId="0" applyFont="1" applyFill="1" applyBorder="1" applyAlignment="1">
      <alignment vertical="center" wrapText="1"/>
    </xf>
    <xf numFmtId="14" fontId="45" fillId="5" borderId="7" xfId="0" applyNumberFormat="1" applyFont="1" applyFill="1" applyBorder="1" applyAlignment="1" applyProtection="1">
      <alignment horizontal="right" vertical="center"/>
      <protection locked="0"/>
    </xf>
    <xf numFmtId="14" fontId="45" fillId="5" borderId="23" xfId="0" applyNumberFormat="1" applyFont="1" applyFill="1" applyBorder="1" applyAlignment="1" applyProtection="1">
      <alignment horizontal="right" vertical="center"/>
      <protection locked="0"/>
    </xf>
    <xf numFmtId="14" fontId="45" fillId="5" borderId="19" xfId="0" applyNumberFormat="1" applyFont="1" applyFill="1" applyBorder="1" applyAlignment="1" applyProtection="1">
      <alignment horizontal="right" vertical="center"/>
      <protection locked="0"/>
    </xf>
    <xf numFmtId="0" fontId="54" fillId="5" borderId="24" xfId="0" applyFont="1" applyFill="1" applyBorder="1" applyAlignment="1" applyProtection="1">
      <alignment horizontal="left" vertical="top"/>
      <protection locked="0"/>
    </xf>
    <xf numFmtId="0" fontId="54" fillId="5" borderId="22" xfId="0" applyFont="1" applyFill="1" applyBorder="1" applyAlignment="1" applyProtection="1">
      <alignment horizontal="left" vertical="top"/>
      <protection locked="0"/>
    </xf>
    <xf numFmtId="0" fontId="54" fillId="5" borderId="26" xfId="0" applyFont="1" applyFill="1" applyBorder="1" applyAlignment="1" applyProtection="1">
      <alignment horizontal="left" vertical="top"/>
      <protection locked="0"/>
    </xf>
    <xf numFmtId="0" fontId="54" fillId="5" borderId="6" xfId="0" applyFont="1" applyFill="1" applyBorder="1" applyAlignment="1" applyProtection="1">
      <alignment horizontal="left" vertical="top"/>
      <protection locked="0"/>
    </xf>
    <xf numFmtId="0" fontId="54" fillId="5" borderId="2" xfId="0" applyFont="1" applyFill="1" applyBorder="1" applyAlignment="1" applyProtection="1">
      <alignment horizontal="left" vertical="top"/>
      <protection locked="0"/>
    </xf>
    <xf numFmtId="0" fontId="54" fillId="5" borderId="25" xfId="0" applyFont="1" applyFill="1" applyBorder="1" applyAlignment="1" applyProtection="1">
      <alignment horizontal="left" vertical="top"/>
      <protection locked="0"/>
    </xf>
    <xf numFmtId="0" fontId="47" fillId="3" borderId="0" xfId="0" applyFont="1" applyFill="1" applyAlignment="1">
      <alignment vertical="center"/>
    </xf>
    <xf numFmtId="0" fontId="53" fillId="5" borderId="3" xfId="0" applyFont="1" applyFill="1" applyBorder="1" applyAlignment="1" applyProtection="1">
      <alignment horizontal="center" vertical="center" wrapText="1"/>
      <protection locked="0"/>
    </xf>
    <xf numFmtId="0" fontId="45" fillId="3" borderId="7" xfId="0" applyFont="1" applyFill="1" applyBorder="1" applyAlignment="1">
      <alignment vertical="center"/>
    </xf>
    <xf numFmtId="0" fontId="45" fillId="3" borderId="23" xfId="0" applyFont="1" applyFill="1" applyBorder="1" applyAlignment="1">
      <alignment vertical="center"/>
    </xf>
    <xf numFmtId="0" fontId="45" fillId="3" borderId="19" xfId="0" applyFont="1" applyFill="1" applyBorder="1" applyAlignment="1">
      <alignment vertical="center"/>
    </xf>
    <xf numFmtId="0" fontId="45" fillId="3" borderId="7" xfId="0" applyFont="1" applyFill="1" applyBorder="1" applyAlignment="1">
      <alignment vertical="center" wrapText="1"/>
    </xf>
    <xf numFmtId="0" fontId="45" fillId="3" borderId="23" xfId="0" applyFont="1" applyFill="1" applyBorder="1" applyAlignment="1">
      <alignment vertical="center" wrapText="1"/>
    </xf>
    <xf numFmtId="0" fontId="45" fillId="3" borderId="19" xfId="0" applyFont="1" applyFill="1" applyBorder="1" applyAlignment="1">
      <alignment vertical="center" wrapText="1"/>
    </xf>
    <xf numFmtId="0" fontId="45" fillId="5" borderId="24" xfId="0" applyFont="1" applyFill="1" applyBorder="1" applyAlignment="1" applyProtection="1">
      <alignment horizontal="left" vertical="top"/>
      <protection locked="0"/>
    </xf>
    <xf numFmtId="0" fontId="45" fillId="5" borderId="22" xfId="0" applyFont="1" applyFill="1" applyBorder="1" applyAlignment="1" applyProtection="1">
      <alignment horizontal="left" vertical="top"/>
      <protection locked="0"/>
    </xf>
    <xf numFmtId="0" fontId="45" fillId="5" borderId="26" xfId="0" applyFont="1" applyFill="1" applyBorder="1" applyAlignment="1" applyProtection="1">
      <alignment horizontal="left" vertical="top"/>
      <protection locked="0"/>
    </xf>
    <xf numFmtId="0" fontId="45" fillId="5" borderId="6" xfId="0" applyFont="1" applyFill="1" applyBorder="1" applyAlignment="1" applyProtection="1">
      <alignment horizontal="left" vertical="top"/>
      <protection locked="0"/>
    </xf>
    <xf numFmtId="0" fontId="45" fillId="5" borderId="2" xfId="0" applyFont="1" applyFill="1" applyBorder="1" applyAlignment="1" applyProtection="1">
      <alignment horizontal="left" vertical="top"/>
      <protection locked="0"/>
    </xf>
    <xf numFmtId="0" fontId="45" fillId="5" borderId="25" xfId="0" applyFont="1" applyFill="1" applyBorder="1" applyAlignment="1" applyProtection="1">
      <alignment horizontal="left" vertical="top"/>
      <protection locked="0"/>
    </xf>
    <xf numFmtId="14" fontId="45" fillId="5" borderId="3" xfId="0" applyNumberFormat="1" applyFont="1" applyFill="1" applyBorder="1" applyAlignment="1" applyProtection="1">
      <alignment horizontal="center" vertical="center"/>
      <protection locked="0"/>
    </xf>
    <xf numFmtId="0" fontId="53" fillId="3" borderId="0" xfId="0" applyFont="1" applyFill="1" applyAlignment="1">
      <alignment vertical="top"/>
    </xf>
    <xf numFmtId="0" fontId="53" fillId="3" borderId="27" xfId="0" applyFont="1" applyFill="1" applyBorder="1" applyAlignment="1">
      <alignment vertical="top"/>
    </xf>
    <xf numFmtId="0" fontId="45" fillId="5" borderId="7" xfId="0" applyFont="1" applyFill="1" applyBorder="1" applyAlignment="1" applyProtection="1">
      <alignment horizontal="left" vertical="top"/>
      <protection locked="0"/>
    </xf>
    <xf numFmtId="0" fontId="45" fillId="5" borderId="23" xfId="0" applyFont="1" applyFill="1" applyBorder="1" applyAlignment="1" applyProtection="1">
      <alignment horizontal="left" vertical="top"/>
      <protection locked="0"/>
    </xf>
    <xf numFmtId="0" fontId="45" fillId="5" borderId="19" xfId="0" applyFont="1" applyFill="1" applyBorder="1" applyAlignment="1" applyProtection="1">
      <alignment horizontal="left" vertical="top"/>
      <protection locked="0"/>
    </xf>
    <xf numFmtId="0" fontId="53" fillId="3" borderId="0" xfId="0" applyFont="1" applyFill="1" applyAlignment="1">
      <alignment vertical="center"/>
    </xf>
    <xf numFmtId="0" fontId="45" fillId="5" borderId="7" xfId="0" applyFont="1" applyFill="1" applyBorder="1" applyAlignment="1" applyProtection="1">
      <alignment vertical="center"/>
      <protection locked="0"/>
    </xf>
    <xf numFmtId="0" fontId="45" fillId="5" borderId="23" xfId="0" applyFont="1" applyFill="1" applyBorder="1" applyAlignment="1" applyProtection="1">
      <alignment vertical="center"/>
      <protection locked="0"/>
    </xf>
    <xf numFmtId="0" fontId="45" fillId="5" borderId="19" xfId="0" applyFont="1" applyFill="1" applyBorder="1" applyAlignment="1" applyProtection="1">
      <alignment vertical="center"/>
      <protection locked="0"/>
    </xf>
    <xf numFmtId="0" fontId="45" fillId="5" borderId="7" xfId="0" applyFont="1" applyFill="1" applyBorder="1" applyAlignment="1" applyProtection="1">
      <alignment horizontal="right" vertical="center"/>
      <protection locked="0"/>
    </xf>
    <xf numFmtId="0" fontId="45" fillId="5" borderId="23" xfId="0" applyFont="1" applyFill="1" applyBorder="1" applyAlignment="1" applyProtection="1">
      <alignment horizontal="right" vertical="center"/>
      <protection locked="0"/>
    </xf>
    <xf numFmtId="0" fontId="45" fillId="5" borderId="19" xfId="0" applyFont="1" applyFill="1" applyBorder="1" applyAlignment="1" applyProtection="1">
      <alignment horizontal="right" vertical="center"/>
      <protection locked="0"/>
    </xf>
    <xf numFmtId="0" fontId="45" fillId="5" borderId="3" xfId="0" applyFont="1" applyFill="1" applyBorder="1" applyAlignment="1" applyProtection="1">
      <alignment horizontal="right" vertical="center"/>
      <protection locked="0"/>
    </xf>
    <xf numFmtId="0" fontId="53" fillId="3" borderId="27" xfId="0" applyFont="1" applyFill="1" applyBorder="1" applyAlignment="1">
      <alignment vertical="center"/>
    </xf>
    <xf numFmtId="0" fontId="54" fillId="5" borderId="19" xfId="0" applyFont="1" applyFill="1" applyBorder="1" applyAlignment="1" applyProtection="1">
      <alignment vertical="center" wrapText="1"/>
      <protection locked="0"/>
    </xf>
    <xf numFmtId="0" fontId="53" fillId="3" borderId="27" xfId="0" applyFont="1" applyFill="1" applyBorder="1" applyAlignment="1">
      <alignment vertical="top" wrapText="1"/>
    </xf>
    <xf numFmtId="0" fontId="45" fillId="5" borderId="7" xfId="0" applyFont="1" applyFill="1" applyBorder="1" applyAlignment="1" applyProtection="1">
      <alignment horizontal="left" vertical="center"/>
      <protection locked="0"/>
    </xf>
    <xf numFmtId="0" fontId="45" fillId="5" borderId="23" xfId="0" applyFont="1" applyFill="1" applyBorder="1" applyAlignment="1" applyProtection="1">
      <alignment horizontal="left" vertical="center"/>
      <protection locked="0"/>
    </xf>
    <xf numFmtId="0" fontId="45" fillId="5" borderId="19" xfId="0" applyFont="1" applyFill="1" applyBorder="1" applyAlignment="1" applyProtection="1">
      <alignment horizontal="left" vertical="center"/>
      <protection locked="0"/>
    </xf>
    <xf numFmtId="0" fontId="45" fillId="3" borderId="3" xfId="0" applyFont="1" applyFill="1" applyBorder="1" applyAlignment="1">
      <alignment vertical="center"/>
    </xf>
    <xf numFmtId="0" fontId="45" fillId="3" borderId="7" xfId="0" applyFont="1" applyFill="1" applyBorder="1" applyAlignment="1">
      <alignment horizontal="center" vertical="center"/>
    </xf>
    <xf numFmtId="0" fontId="45" fillId="3" borderId="23" xfId="0" applyFont="1" applyFill="1" applyBorder="1" applyAlignment="1">
      <alignment horizontal="center" vertical="center"/>
    </xf>
    <xf numFmtId="0" fontId="45" fillId="3" borderId="19" xfId="0" applyFont="1" applyFill="1" applyBorder="1" applyAlignment="1">
      <alignment horizontal="center" vertical="center"/>
    </xf>
    <xf numFmtId="0" fontId="47" fillId="0" borderId="24" xfId="0" applyFont="1" applyBorder="1" applyAlignment="1">
      <alignment vertical="top" wrapText="1"/>
    </xf>
    <xf numFmtId="0" fontId="47" fillId="0" borderId="22" xfId="0" applyFont="1" applyBorder="1" applyAlignment="1">
      <alignment vertical="top" wrapText="1"/>
    </xf>
    <xf numFmtId="0" fontId="47" fillId="5" borderId="3" xfId="0" applyFont="1" applyFill="1" applyBorder="1" applyAlignment="1">
      <alignment horizontal="center" vertical="top"/>
    </xf>
    <xf numFmtId="0" fontId="47" fillId="0" borderId="7" xfId="0" applyFont="1" applyBorder="1" applyAlignment="1">
      <alignment vertical="top" wrapText="1"/>
    </xf>
    <xf numFmtId="0" fontId="47" fillId="0" borderId="23" xfId="0" applyFont="1" applyBorder="1" applyAlignment="1">
      <alignment vertical="top" wrapText="1"/>
    </xf>
    <xf numFmtId="0" fontId="45" fillId="5" borderId="24" xfId="0" applyFont="1" applyFill="1" applyBorder="1" applyAlignment="1" applyProtection="1">
      <alignment vertical="top" wrapText="1"/>
      <protection locked="0"/>
    </xf>
    <xf numFmtId="0" fontId="45" fillId="5" borderId="22" xfId="0" applyFont="1" applyFill="1" applyBorder="1" applyAlignment="1" applyProtection="1">
      <alignment vertical="top" wrapText="1"/>
      <protection locked="0"/>
    </xf>
    <xf numFmtId="0" fontId="45" fillId="5" borderId="26" xfId="0" applyFont="1" applyFill="1" applyBorder="1" applyAlignment="1" applyProtection="1">
      <alignment vertical="top" wrapText="1"/>
      <protection locked="0"/>
    </xf>
    <xf numFmtId="0" fontId="45" fillId="5" borderId="4" xfId="0" applyFont="1" applyFill="1" applyBorder="1" applyAlignment="1" applyProtection="1">
      <alignment vertical="top" wrapText="1"/>
      <protection locked="0"/>
    </xf>
    <xf numFmtId="0" fontId="45" fillId="5" borderId="0" xfId="0" applyFont="1" applyFill="1" applyAlignment="1" applyProtection="1">
      <alignment vertical="top" wrapText="1"/>
      <protection locked="0"/>
    </xf>
    <xf numFmtId="0" fontId="45" fillId="5" borderId="27" xfId="0" applyFont="1" applyFill="1" applyBorder="1" applyAlignment="1" applyProtection="1">
      <alignment vertical="top" wrapText="1"/>
      <protection locked="0"/>
    </xf>
    <xf numFmtId="0" fontId="45" fillId="5" borderId="6" xfId="0" applyFont="1" applyFill="1" applyBorder="1" applyAlignment="1" applyProtection="1">
      <alignment vertical="top" wrapText="1"/>
      <protection locked="0"/>
    </xf>
    <xf numFmtId="0" fontId="45" fillId="5" borderId="2" xfId="0" applyFont="1" applyFill="1" applyBorder="1" applyAlignment="1" applyProtection="1">
      <alignment vertical="top" wrapText="1"/>
      <protection locked="0"/>
    </xf>
    <xf numFmtId="0" fontId="45" fillId="5" borderId="25" xfId="0" applyFont="1" applyFill="1" applyBorder="1" applyAlignment="1" applyProtection="1">
      <alignment vertical="top" wrapText="1"/>
      <protection locked="0"/>
    </xf>
    <xf numFmtId="0" fontId="45" fillId="5" borderId="3" xfId="0" applyFont="1" applyFill="1" applyBorder="1" applyAlignment="1" applyProtection="1">
      <alignment horizontal="left" vertical="center"/>
      <protection locked="0"/>
    </xf>
    <xf numFmtId="0" fontId="45" fillId="5" borderId="3" xfId="0" applyFont="1" applyFill="1" applyBorder="1" applyAlignment="1" applyProtection="1">
      <alignment vertical="center" wrapText="1"/>
      <protection locked="0"/>
    </xf>
    <xf numFmtId="0" fontId="47" fillId="8" borderId="24" xfId="0" applyFont="1" applyFill="1" applyBorder="1" applyAlignment="1">
      <alignment horizontal="left" vertical="top" wrapText="1"/>
    </xf>
    <xf numFmtId="0" fontId="47" fillId="8" borderId="22" xfId="0" applyFont="1" applyFill="1" applyBorder="1" applyAlignment="1">
      <alignment horizontal="left" vertical="top" wrapText="1"/>
    </xf>
    <xf numFmtId="0" fontId="47" fillId="8" borderId="26" xfId="0" applyFont="1" applyFill="1" applyBorder="1" applyAlignment="1">
      <alignment horizontal="left" vertical="top" wrapText="1"/>
    </xf>
    <xf numFmtId="0" fontId="47" fillId="8" borderId="6" xfId="0" applyFont="1" applyFill="1" applyBorder="1" applyAlignment="1">
      <alignment horizontal="left" vertical="top" wrapText="1"/>
    </xf>
    <xf numFmtId="0" fontId="47" fillId="8" borderId="2" xfId="0" applyFont="1" applyFill="1" applyBorder="1" applyAlignment="1">
      <alignment horizontal="left" vertical="top" wrapText="1"/>
    </xf>
    <xf numFmtId="0" fontId="47" fillId="8" borderId="25" xfId="0" applyFont="1" applyFill="1" applyBorder="1" applyAlignment="1">
      <alignment horizontal="left" vertical="top" wrapText="1"/>
    </xf>
    <xf numFmtId="0" fontId="47" fillId="8" borderId="3" xfId="0" applyFont="1" applyFill="1" applyBorder="1" applyAlignment="1">
      <alignment vertical="top"/>
    </xf>
    <xf numFmtId="0" fontId="47" fillId="8" borderId="24" xfId="0" applyFont="1" applyFill="1" applyBorder="1" applyAlignment="1">
      <alignment vertical="top" wrapText="1"/>
    </xf>
    <xf numFmtId="0" fontId="47" fillId="8" borderId="22" xfId="0" applyFont="1" applyFill="1" applyBorder="1" applyAlignment="1">
      <alignment vertical="top" wrapText="1"/>
    </xf>
    <xf numFmtId="0" fontId="47" fillId="8" borderId="26" xfId="0" applyFont="1" applyFill="1" applyBorder="1" applyAlignment="1">
      <alignment vertical="top" wrapText="1"/>
    </xf>
    <xf numFmtId="0" fontId="47" fillId="8" borderId="6" xfId="0" applyFont="1" applyFill="1" applyBorder="1" applyAlignment="1">
      <alignment vertical="top" wrapText="1"/>
    </xf>
    <xf numFmtId="0" fontId="47" fillId="8" borderId="2" xfId="0" applyFont="1" applyFill="1" applyBorder="1" applyAlignment="1">
      <alignment vertical="top" wrapText="1"/>
    </xf>
    <xf numFmtId="0" fontId="47" fillId="8" borderId="25" xfId="0" applyFont="1" applyFill="1" applyBorder="1" applyAlignment="1">
      <alignment vertical="top" wrapText="1"/>
    </xf>
    <xf numFmtId="0" fontId="52" fillId="5" borderId="24" xfId="0" applyFont="1" applyFill="1" applyBorder="1" applyAlignment="1">
      <alignment horizontal="left" vertical="top" wrapText="1"/>
    </xf>
    <xf numFmtId="0" fontId="52" fillId="5" borderId="22" xfId="0" applyFont="1" applyFill="1" applyBorder="1" applyAlignment="1">
      <alignment horizontal="left" vertical="top" wrapText="1"/>
    </xf>
    <xf numFmtId="0" fontId="52" fillId="5" borderId="26" xfId="0" applyFont="1" applyFill="1" applyBorder="1" applyAlignment="1">
      <alignment horizontal="left" vertical="top" wrapText="1"/>
    </xf>
    <xf numFmtId="0" fontId="52" fillId="5" borderId="6" xfId="0" applyFont="1" applyFill="1" applyBorder="1" applyAlignment="1">
      <alignment horizontal="left" vertical="top" wrapText="1"/>
    </xf>
    <xf numFmtId="0" fontId="52" fillId="5" borderId="2" xfId="0" applyFont="1" applyFill="1" applyBorder="1" applyAlignment="1">
      <alignment horizontal="left" vertical="top" wrapText="1"/>
    </xf>
    <xf numFmtId="0" fontId="52" fillId="5" borderId="25" xfId="0" applyFont="1" applyFill="1" applyBorder="1" applyAlignment="1">
      <alignment horizontal="left" vertical="top" wrapText="1"/>
    </xf>
    <xf numFmtId="14" fontId="47" fillId="5" borderId="24" xfId="0" applyNumberFormat="1" applyFont="1" applyFill="1" applyBorder="1" applyAlignment="1">
      <alignment vertical="top"/>
    </xf>
    <xf numFmtId="14" fontId="47" fillId="5" borderId="22" xfId="0" applyNumberFormat="1" applyFont="1" applyFill="1" applyBorder="1" applyAlignment="1">
      <alignment vertical="top"/>
    </xf>
    <xf numFmtId="14" fontId="47" fillId="5" borderId="26" xfId="0" applyNumberFormat="1" applyFont="1" applyFill="1" applyBorder="1" applyAlignment="1">
      <alignment vertical="top"/>
    </xf>
    <xf numFmtId="14" fontId="47" fillId="5" borderId="6" xfId="0" applyNumberFormat="1" applyFont="1" applyFill="1" applyBorder="1" applyAlignment="1">
      <alignment vertical="top"/>
    </xf>
    <xf numFmtId="14" fontId="47" fillId="5" borderId="2" xfId="0" applyNumberFormat="1" applyFont="1" applyFill="1" applyBorder="1" applyAlignment="1">
      <alignment vertical="top"/>
    </xf>
    <xf numFmtId="14" fontId="47" fillId="5" borderId="25" xfId="0" applyNumberFormat="1" applyFont="1" applyFill="1" applyBorder="1" applyAlignment="1">
      <alignment vertical="top"/>
    </xf>
    <xf numFmtId="171" fontId="52" fillId="5" borderId="24" xfId="0" applyNumberFormat="1" applyFont="1" applyFill="1" applyBorder="1" applyAlignment="1">
      <alignment horizontal="left" vertical="top" wrapText="1"/>
    </xf>
    <xf numFmtId="171" fontId="52" fillId="5" borderId="22" xfId="0" applyNumberFormat="1" applyFont="1" applyFill="1" applyBorder="1" applyAlignment="1">
      <alignment horizontal="left" vertical="top" wrapText="1"/>
    </xf>
    <xf numFmtId="171" fontId="52" fillId="5" borderId="26" xfId="0" applyNumberFormat="1" applyFont="1" applyFill="1" applyBorder="1" applyAlignment="1">
      <alignment horizontal="left" vertical="top" wrapText="1"/>
    </xf>
    <xf numFmtId="171" fontId="52" fillId="5" borderId="6" xfId="0" applyNumberFormat="1" applyFont="1" applyFill="1" applyBorder="1" applyAlignment="1">
      <alignment horizontal="left" vertical="top" wrapText="1"/>
    </xf>
    <xf numFmtId="171" fontId="52" fillId="5" borderId="2" xfId="0" applyNumberFormat="1" applyFont="1" applyFill="1" applyBorder="1" applyAlignment="1">
      <alignment horizontal="left" vertical="top" wrapText="1"/>
    </xf>
    <xf numFmtId="171" fontId="52" fillId="5" borderId="25" xfId="0" applyNumberFormat="1" applyFont="1" applyFill="1" applyBorder="1" applyAlignment="1">
      <alignment horizontal="left" vertical="top" wrapText="1"/>
    </xf>
    <xf numFmtId="0" fontId="55" fillId="17" borderId="7" xfId="0" applyFont="1" applyFill="1" applyBorder="1"/>
    <xf numFmtId="0" fontId="55" fillId="17" borderId="23" xfId="0" applyFont="1" applyFill="1" applyBorder="1"/>
    <xf numFmtId="0" fontId="55" fillId="17" borderId="19" xfId="0" applyFont="1" applyFill="1" applyBorder="1"/>
    <xf numFmtId="0" fontId="46" fillId="3" borderId="7" xfId="0" applyFont="1" applyFill="1" applyBorder="1"/>
    <xf numFmtId="0" fontId="46" fillId="3" borderId="23" xfId="0" applyFont="1" applyFill="1" applyBorder="1"/>
    <xf numFmtId="0" fontId="46" fillId="3" borderId="19" xfId="0" applyFont="1" applyFill="1" applyBorder="1"/>
    <xf numFmtId="0" fontId="48" fillId="8" borderId="7" xfId="0" applyFont="1" applyFill="1" applyBorder="1" applyAlignment="1" applyProtection="1">
      <alignment horizontal="left" vertical="top" wrapText="1"/>
      <protection locked="0"/>
    </xf>
    <xf numFmtId="0" fontId="48" fillId="8" borderId="23" xfId="0" applyFont="1" applyFill="1" applyBorder="1" applyAlignment="1" applyProtection="1">
      <alignment horizontal="left" vertical="top" wrapText="1"/>
      <protection locked="0"/>
    </xf>
    <xf numFmtId="0" fontId="48" fillId="8" borderId="19" xfId="0" applyFont="1" applyFill="1" applyBorder="1" applyAlignment="1" applyProtection="1">
      <alignment horizontal="left" vertical="top" wrapText="1"/>
      <protection locked="0"/>
    </xf>
    <xf numFmtId="0" fontId="47" fillId="5" borderId="7" xfId="0" applyFont="1" applyFill="1" applyBorder="1" applyAlignment="1">
      <alignment vertical="center"/>
    </xf>
    <xf numFmtId="0" fontId="47" fillId="5" borderId="23" xfId="0" applyFont="1" applyFill="1" applyBorder="1" applyAlignment="1">
      <alignment vertical="center"/>
    </xf>
    <xf numFmtId="0" fontId="47" fillId="5" borderId="19" xfId="0" applyFont="1" applyFill="1" applyBorder="1" applyAlignment="1">
      <alignment vertical="center"/>
    </xf>
    <xf numFmtId="0" fontId="50" fillId="3" borderId="0" xfId="0" applyFont="1" applyFill="1" applyAlignment="1">
      <alignment vertical="top"/>
    </xf>
    <xf numFmtId="0" fontId="54" fillId="5" borderId="3" xfId="0" applyFont="1" applyFill="1" applyBorder="1" applyAlignment="1">
      <alignment vertical="center"/>
    </xf>
    <xf numFmtId="0" fontId="45" fillId="3" borderId="24" xfId="0" applyFont="1" applyFill="1" applyBorder="1" applyAlignment="1">
      <alignment vertical="top"/>
    </xf>
    <xf numFmtId="0" fontId="47" fillId="3" borderId="0" xfId="0" applyFont="1" applyFill="1" applyAlignment="1">
      <alignment vertical="top" wrapText="1"/>
    </xf>
    <xf numFmtId="0" fontId="47" fillId="5" borderId="7" xfId="0" applyFont="1" applyFill="1" applyBorder="1" applyAlignment="1">
      <alignment horizontal="right" vertical="center"/>
    </xf>
    <xf numFmtId="0" fontId="47" fillId="5" borderId="23" xfId="0" applyFont="1" applyFill="1" applyBorder="1" applyAlignment="1">
      <alignment horizontal="right" vertical="center"/>
    </xf>
    <xf numFmtId="0" fontId="47" fillId="5" borderId="19" xfId="0" applyFont="1" applyFill="1" applyBorder="1" applyAlignment="1">
      <alignment horizontal="right" vertical="center"/>
    </xf>
    <xf numFmtId="0" fontId="47" fillId="5" borderId="7" xfId="0" applyFont="1" applyFill="1" applyBorder="1" applyAlignment="1">
      <alignment horizontal="right" vertical="top"/>
    </xf>
    <xf numFmtId="0" fontId="47" fillId="5" borderId="23" xfId="0" applyFont="1" applyFill="1" applyBorder="1" applyAlignment="1">
      <alignment horizontal="right" vertical="top"/>
    </xf>
    <xf numFmtId="0" fontId="47" fillId="5" borderId="19" xfId="0" applyFont="1" applyFill="1" applyBorder="1" applyAlignment="1">
      <alignment horizontal="right" vertical="top"/>
    </xf>
    <xf numFmtId="0" fontId="47" fillId="5" borderId="24" xfId="0" applyFont="1" applyFill="1" applyBorder="1" applyAlignment="1">
      <alignment horizontal="center" vertical="top"/>
    </xf>
    <xf numFmtId="0" fontId="47" fillId="5" borderId="26" xfId="0" applyFont="1" applyFill="1" applyBorder="1" applyAlignment="1">
      <alignment horizontal="center" vertical="top"/>
    </xf>
    <xf numFmtId="0" fontId="47" fillId="5" borderId="7" xfId="0" applyFont="1" applyFill="1" applyBorder="1" applyAlignment="1">
      <alignment horizontal="center" vertical="top"/>
    </xf>
    <xf numFmtId="0" fontId="47" fillId="5" borderId="19" xfId="0" applyFont="1" applyFill="1" applyBorder="1" applyAlignment="1">
      <alignment horizontal="center" vertical="top"/>
    </xf>
    <xf numFmtId="0" fontId="46" fillId="3" borderId="2" xfId="0" applyFont="1" applyFill="1" applyBorder="1"/>
    <xf numFmtId="0" fontId="47" fillId="5" borderId="24" xfId="0" applyFont="1" applyFill="1" applyBorder="1" applyAlignment="1">
      <alignment horizontal="left" vertical="top" wrapText="1"/>
    </xf>
    <xf numFmtId="0" fontId="47" fillId="5" borderId="22" xfId="0" applyFont="1" applyFill="1" applyBorder="1" applyAlignment="1">
      <alignment horizontal="left" vertical="top" wrapText="1"/>
    </xf>
    <xf numFmtId="0" fontId="47" fillId="5" borderId="26" xfId="0" applyFont="1" applyFill="1" applyBorder="1" applyAlignment="1">
      <alignment horizontal="left" vertical="top" wrapText="1"/>
    </xf>
    <xf numFmtId="0" fontId="47" fillId="5" borderId="6" xfId="0" applyFont="1" applyFill="1" applyBorder="1" applyAlignment="1">
      <alignment horizontal="left" vertical="top" wrapText="1"/>
    </xf>
    <xf numFmtId="0" fontId="47" fillId="5" borderId="2" xfId="0" applyFont="1" applyFill="1" applyBorder="1" applyAlignment="1">
      <alignment horizontal="left" vertical="top" wrapText="1"/>
    </xf>
    <xf numFmtId="0" fontId="47" fillId="5" borderId="25" xfId="0" applyFont="1" applyFill="1" applyBorder="1" applyAlignment="1">
      <alignment horizontal="left" vertical="top" wrapText="1"/>
    </xf>
    <xf numFmtId="171" fontId="47" fillId="5" borderId="24" xfId="0" applyNumberFormat="1" applyFont="1" applyFill="1" applyBorder="1" applyAlignment="1">
      <alignment vertical="top"/>
    </xf>
    <xf numFmtId="171" fontId="47" fillId="5" borderId="22" xfId="0" applyNumberFormat="1" applyFont="1" applyFill="1" applyBorder="1" applyAlignment="1">
      <alignment vertical="top"/>
    </xf>
    <xf numFmtId="171" fontId="47" fillId="5" borderId="26" xfId="0" applyNumberFormat="1" applyFont="1" applyFill="1" applyBorder="1" applyAlignment="1">
      <alignment vertical="top"/>
    </xf>
    <xf numFmtId="171" fontId="47" fillId="5" borderId="6" xfId="0" applyNumberFormat="1" applyFont="1" applyFill="1" applyBorder="1" applyAlignment="1">
      <alignment vertical="top"/>
    </xf>
    <xf numFmtId="171" fontId="47" fillId="5" borderId="2" xfId="0" applyNumberFormat="1" applyFont="1" applyFill="1" applyBorder="1" applyAlignment="1">
      <alignment vertical="top"/>
    </xf>
    <xf numFmtId="171" fontId="47" fillId="5" borderId="25" xfId="0" applyNumberFormat="1" applyFont="1" applyFill="1" applyBorder="1" applyAlignment="1">
      <alignment vertical="top"/>
    </xf>
    <xf numFmtId="2" fontId="47" fillId="8" borderId="24" xfId="0" applyNumberFormat="1" applyFont="1" applyFill="1" applyBorder="1" applyAlignment="1">
      <alignment vertical="top"/>
    </xf>
    <xf numFmtId="2" fontId="47" fillId="8" borderId="22" xfId="0" applyNumberFormat="1" applyFont="1" applyFill="1" applyBorder="1" applyAlignment="1">
      <alignment vertical="top"/>
    </xf>
    <xf numFmtId="2" fontId="47" fillId="8" borderId="26" xfId="0" applyNumberFormat="1" applyFont="1" applyFill="1" applyBorder="1" applyAlignment="1">
      <alignment vertical="top"/>
    </xf>
    <xf numFmtId="2" fontId="47" fillId="8" borderId="6" xfId="0" applyNumberFormat="1" applyFont="1" applyFill="1" applyBorder="1" applyAlignment="1">
      <alignment vertical="top"/>
    </xf>
    <xf numFmtId="2" fontId="47" fillId="8" borderId="2" xfId="0" applyNumberFormat="1" applyFont="1" applyFill="1" applyBorder="1" applyAlignment="1">
      <alignment vertical="top"/>
    </xf>
    <xf numFmtId="2" fontId="47" fillId="8" borderId="25" xfId="0" applyNumberFormat="1" applyFont="1" applyFill="1" applyBorder="1" applyAlignment="1">
      <alignment vertical="top"/>
    </xf>
    <xf numFmtId="0" fontId="46" fillId="3" borderId="27" xfId="0" applyFont="1" applyFill="1" applyBorder="1"/>
    <xf numFmtId="0" fontId="52" fillId="5" borderId="7" xfId="0" applyFont="1" applyFill="1" applyBorder="1" applyAlignment="1">
      <alignment vertical="center"/>
    </xf>
    <xf numFmtId="0" fontId="52" fillId="5" borderId="23" xfId="0" applyFont="1" applyFill="1" applyBorder="1" applyAlignment="1">
      <alignment vertical="center"/>
    </xf>
    <xf numFmtId="0" fontId="52" fillId="5" borderId="19" xfId="0" applyFont="1" applyFill="1" applyBorder="1" applyAlignment="1">
      <alignment vertical="center"/>
    </xf>
    <xf numFmtId="0" fontId="47" fillId="8" borderId="24" xfId="0" applyFont="1" applyFill="1" applyBorder="1" applyAlignment="1">
      <alignment vertical="top"/>
    </xf>
    <xf numFmtId="0" fontId="47" fillId="8" borderId="22" xfId="0" applyFont="1" applyFill="1" applyBorder="1" applyAlignment="1">
      <alignment vertical="top"/>
    </xf>
    <xf numFmtId="0" fontId="47" fillId="8" borderId="26" xfId="0" applyFont="1" applyFill="1" applyBorder="1" applyAlignment="1">
      <alignment vertical="top"/>
    </xf>
    <xf numFmtId="0" fontId="47" fillId="8" borderId="6" xfId="0" applyFont="1" applyFill="1" applyBorder="1" applyAlignment="1">
      <alignment vertical="top"/>
    </xf>
    <xf numFmtId="0" fontId="47" fillId="8" borderId="2" xfId="0" applyFont="1" applyFill="1" applyBorder="1" applyAlignment="1">
      <alignment vertical="top"/>
    </xf>
    <xf numFmtId="0" fontId="47" fillId="8" borderId="25" xfId="0" applyFont="1" applyFill="1" applyBorder="1" applyAlignment="1">
      <alignment vertical="top"/>
    </xf>
    <xf numFmtId="0" fontId="57" fillId="6" borderId="3" xfId="0" applyFont="1" applyFill="1" applyBorder="1"/>
    <xf numFmtId="0" fontId="45" fillId="3" borderId="3" xfId="0" applyFont="1" applyFill="1" applyBorder="1" applyAlignment="1">
      <alignment horizontal="left" vertical="top" wrapText="1"/>
    </xf>
    <xf numFmtId="0" fontId="55" fillId="17" borderId="3" xfId="0" applyFont="1" applyFill="1" applyBorder="1" applyAlignment="1">
      <alignment vertical="center"/>
    </xf>
    <xf numFmtId="0" fontId="46" fillId="3" borderId="3" xfId="0" applyFont="1" applyFill="1" applyBorder="1" applyAlignment="1">
      <alignment vertical="center"/>
    </xf>
    <xf numFmtId="1" fontId="54" fillId="5" borderId="7" xfId="0" applyNumberFormat="1" applyFont="1" applyFill="1" applyBorder="1" applyAlignment="1">
      <alignment horizontal="right" vertical="center"/>
    </xf>
    <xf numFmtId="0" fontId="54" fillId="5" borderId="23" xfId="0" applyFont="1" applyFill="1" applyBorder="1" applyAlignment="1">
      <alignment horizontal="right" vertical="center"/>
    </xf>
    <xf numFmtId="0" fontId="45" fillId="3" borderId="4" xfId="0" applyFont="1" applyFill="1" applyBorder="1" applyAlignment="1">
      <alignment vertical="top" wrapText="1"/>
    </xf>
    <xf numFmtId="0" fontId="45" fillId="3" borderId="0" xfId="0" applyFont="1" applyFill="1" applyAlignment="1">
      <alignment vertical="top" wrapText="1"/>
    </xf>
    <xf numFmtId="0" fontId="45" fillId="3" borderId="27" xfId="0" applyFont="1" applyFill="1" applyBorder="1" applyAlignment="1">
      <alignment vertical="top" wrapText="1"/>
    </xf>
    <xf numFmtId="0" fontId="54" fillId="5" borderId="23" xfId="0" applyFont="1" applyFill="1" applyBorder="1" applyAlignment="1">
      <alignment vertical="center"/>
    </xf>
    <xf numFmtId="0" fontId="45" fillId="3" borderId="4" xfId="0" applyFont="1" applyFill="1" applyBorder="1" applyAlignment="1">
      <alignment vertical="top"/>
    </xf>
    <xf numFmtId="0" fontId="45" fillId="3" borderId="0" xfId="0" applyFont="1" applyFill="1" applyAlignment="1">
      <alignment vertical="top"/>
    </xf>
    <xf numFmtId="0" fontId="45" fillId="3" borderId="27" xfId="0" applyFont="1" applyFill="1" applyBorder="1" applyAlignment="1">
      <alignment vertical="top"/>
    </xf>
    <xf numFmtId="9" fontId="54" fillId="5" borderId="7" xfId="5" applyFont="1" applyFill="1" applyBorder="1" applyAlignment="1" applyProtection="1">
      <alignment vertical="center"/>
    </xf>
    <xf numFmtId="9" fontId="54" fillId="5" borderId="23" xfId="5" applyFont="1" applyFill="1" applyBorder="1" applyAlignment="1" applyProtection="1">
      <alignment vertical="center"/>
    </xf>
    <xf numFmtId="9" fontId="54" fillId="5" borderId="19" xfId="5" applyFont="1" applyFill="1" applyBorder="1" applyAlignment="1" applyProtection="1">
      <alignment vertical="center"/>
    </xf>
    <xf numFmtId="0" fontId="47" fillId="5" borderId="3" xfId="0" applyFont="1" applyFill="1" applyBorder="1" applyAlignment="1">
      <alignment horizontal="left" vertical="top" wrapText="1"/>
    </xf>
    <xf numFmtId="1" fontId="54" fillId="5" borderId="3" xfId="0" applyNumberFormat="1" applyFont="1" applyFill="1" applyBorder="1" applyAlignment="1">
      <alignment horizontal="center" vertical="center"/>
    </xf>
    <xf numFmtId="0" fontId="62" fillId="6" borderId="3" xfId="0" applyFont="1" applyFill="1" applyBorder="1"/>
    <xf numFmtId="172" fontId="62" fillId="6" borderId="7" xfId="0" applyNumberFormat="1" applyFont="1" applyFill="1" applyBorder="1" applyAlignment="1">
      <alignment horizontal="center" vertical="center"/>
    </xf>
    <xf numFmtId="172" fontId="62" fillId="6" borderId="23" xfId="0" applyNumberFormat="1" applyFont="1" applyFill="1" applyBorder="1" applyAlignment="1">
      <alignment horizontal="center" vertical="center"/>
    </xf>
    <xf numFmtId="172" fontId="62" fillId="6" borderId="19" xfId="0" applyNumberFormat="1" applyFont="1" applyFill="1" applyBorder="1" applyAlignment="1">
      <alignment horizontal="center" vertical="center"/>
    </xf>
    <xf numFmtId="0" fontId="52" fillId="5" borderId="4" xfId="0" applyFont="1" applyFill="1" applyBorder="1" applyAlignment="1">
      <alignment horizontal="left" vertical="top" wrapText="1"/>
    </xf>
    <xf numFmtId="0" fontId="52" fillId="5" borderId="0" xfId="0" applyFont="1" applyFill="1" applyAlignment="1">
      <alignment horizontal="left" vertical="top" wrapText="1"/>
    </xf>
    <xf numFmtId="0" fontId="52" fillId="5" borderId="27" xfId="0" applyFont="1" applyFill="1" applyBorder="1" applyAlignment="1">
      <alignment horizontal="left" vertical="top" wrapText="1"/>
    </xf>
    <xf numFmtId="0" fontId="52" fillId="5" borderId="3" xfId="0" applyFont="1" applyFill="1" applyBorder="1" applyAlignment="1">
      <alignment horizontal="left" vertical="top" wrapText="1"/>
    </xf>
    <xf numFmtId="0" fontId="45" fillId="3" borderId="39" xfId="0" applyFont="1" applyFill="1" applyBorder="1" applyAlignment="1">
      <alignment vertical="top" textRotation="180" wrapText="1"/>
    </xf>
    <xf numFmtId="0" fontId="45" fillId="3" borderId="5" xfId="0" applyFont="1" applyFill="1" applyBorder="1" applyAlignment="1">
      <alignment vertical="top" textRotation="180" wrapText="1"/>
    </xf>
    <xf numFmtId="0" fontId="45" fillId="3" borderId="3" xfId="0" applyFont="1" applyFill="1" applyBorder="1" applyAlignment="1">
      <alignment vertical="top"/>
    </xf>
    <xf numFmtId="0" fontId="46" fillId="3" borderId="0" xfId="0" applyFont="1" applyFill="1" applyAlignment="1">
      <alignment vertical="top" wrapText="1"/>
    </xf>
    <xf numFmtId="0" fontId="47" fillId="3" borderId="6" xfId="0" applyFont="1" applyFill="1" applyBorder="1" applyAlignment="1">
      <alignment vertical="top" wrapText="1"/>
    </xf>
    <xf numFmtId="0" fontId="47" fillId="3" borderId="2" xfId="0" applyFont="1" applyFill="1" applyBorder="1" applyAlignment="1">
      <alignment vertical="top" wrapText="1"/>
    </xf>
    <xf numFmtId="0" fontId="47" fillId="3" borderId="24" xfId="0" applyFont="1" applyFill="1" applyBorder="1" applyAlignment="1">
      <alignment horizontal="right" vertical="top" indent="1"/>
    </xf>
    <xf numFmtId="0" fontId="47" fillId="3" borderId="22" xfId="0" applyFont="1" applyFill="1" applyBorder="1" applyAlignment="1">
      <alignment horizontal="right" vertical="top" indent="1"/>
    </xf>
    <xf numFmtId="0" fontId="47" fillId="5" borderId="22" xfId="0" applyFont="1" applyFill="1" applyBorder="1" applyAlignment="1">
      <alignment horizontal="center" vertical="top"/>
    </xf>
    <xf numFmtId="0" fontId="47" fillId="3" borderId="7" xfId="0" applyFont="1" applyFill="1" applyBorder="1" applyAlignment="1">
      <alignment horizontal="right" vertical="top" indent="1"/>
    </xf>
    <xf numFmtId="0" fontId="47" fillId="3" borderId="23" xfId="0" applyFont="1" applyFill="1" applyBorder="1" applyAlignment="1">
      <alignment horizontal="right" vertical="top" indent="1"/>
    </xf>
    <xf numFmtId="0" fontId="47" fillId="3" borderId="22" xfId="0" applyFont="1" applyFill="1" applyBorder="1" applyAlignment="1">
      <alignment vertical="top" wrapText="1"/>
    </xf>
    <xf numFmtId="0" fontId="47" fillId="3" borderId="23" xfId="0" applyFont="1" applyFill="1" applyBorder="1" applyAlignment="1">
      <alignment vertical="top" wrapText="1"/>
    </xf>
    <xf numFmtId="0" fontId="47" fillId="0" borderId="3" xfId="0" applyFont="1" applyBorder="1" applyAlignment="1">
      <alignment horizontal="right" vertical="top"/>
    </xf>
    <xf numFmtId="0" fontId="47" fillId="0" borderId="7" xfId="0" applyFont="1" applyBorder="1" applyAlignment="1">
      <alignment horizontal="right" vertical="top"/>
    </xf>
    <xf numFmtId="0" fontId="47" fillId="0" borderId="19" xfId="0" applyFont="1" applyBorder="1" applyAlignment="1">
      <alignment vertical="top" wrapText="1"/>
    </xf>
    <xf numFmtId="0" fontId="47" fillId="0" borderId="3" xfId="0" applyFont="1" applyBorder="1" applyAlignment="1">
      <alignment vertical="top" wrapText="1"/>
    </xf>
    <xf numFmtId="0" fontId="47" fillId="0" borderId="24" xfId="0" applyFont="1" applyBorder="1" applyAlignment="1">
      <alignment horizontal="right" vertical="top"/>
    </xf>
    <xf numFmtId="0" fontId="47" fillId="0" borderId="22" xfId="0" applyFont="1" applyBorder="1" applyAlignment="1">
      <alignment horizontal="right" vertical="top"/>
    </xf>
    <xf numFmtId="0" fontId="63" fillId="3" borderId="0" xfId="0" applyFont="1" applyFill="1" applyAlignment="1">
      <alignment vertical="center"/>
    </xf>
    <xf numFmtId="0" fontId="49" fillId="3" borderId="0" xfId="0" applyFont="1" applyFill="1" applyAlignment="1">
      <alignment vertical="top"/>
    </xf>
    <xf numFmtId="0" fontId="47" fillId="3" borderId="3" xfId="0" applyFont="1" applyFill="1" applyBorder="1" applyAlignment="1">
      <alignment horizontal="right" vertical="top" indent="1"/>
    </xf>
    <xf numFmtId="0" fontId="47" fillId="3" borderId="19" xfId="0" applyFont="1" applyFill="1" applyBorder="1" applyAlignment="1">
      <alignment vertical="top" wrapText="1"/>
    </xf>
    <xf numFmtId="0" fontId="47" fillId="3" borderId="3" xfId="0" applyFont="1" applyFill="1" applyBorder="1" applyAlignment="1">
      <alignment vertical="top" wrapText="1"/>
    </xf>
    <xf numFmtId="0" fontId="47" fillId="3" borderId="7" xfId="0" applyFont="1" applyFill="1" applyBorder="1" applyAlignment="1">
      <alignment vertical="top" wrapText="1"/>
    </xf>
    <xf numFmtId="0" fontId="47" fillId="5" borderId="7" xfId="0" applyFont="1" applyFill="1" applyBorder="1" applyAlignment="1">
      <alignment horizontal="left" vertical="top"/>
    </xf>
    <xf numFmtId="0" fontId="47" fillId="5" borderId="23" xfId="0" applyFont="1" applyFill="1" applyBorder="1" applyAlignment="1">
      <alignment horizontal="left" vertical="top"/>
    </xf>
    <xf numFmtId="0" fontId="47" fillId="5" borderId="19" xfId="0" applyFont="1" applyFill="1" applyBorder="1" applyAlignment="1">
      <alignment horizontal="left" vertical="top"/>
    </xf>
    <xf numFmtId="0" fontId="60" fillId="8" borderId="24" xfId="0" applyFont="1" applyFill="1" applyBorder="1" applyAlignment="1">
      <alignment horizontal="left" vertical="top" wrapText="1"/>
    </xf>
    <xf numFmtId="0" fontId="60" fillId="8" borderId="22" xfId="0" applyFont="1" applyFill="1" applyBorder="1" applyAlignment="1">
      <alignment horizontal="left" vertical="top" wrapText="1"/>
    </xf>
    <xf numFmtId="0" fontId="60" fillId="8" borderId="26" xfId="0" applyFont="1" applyFill="1" applyBorder="1" applyAlignment="1">
      <alignment horizontal="left" vertical="top" wrapText="1"/>
    </xf>
    <xf numFmtId="0" fontId="60" fillId="8" borderId="4" xfId="0" applyFont="1" applyFill="1" applyBorder="1" applyAlignment="1">
      <alignment horizontal="left" vertical="top" wrapText="1"/>
    </xf>
    <xf numFmtId="0" fontId="60" fillId="8" borderId="0" xfId="0" applyFont="1" applyFill="1" applyAlignment="1">
      <alignment horizontal="left" vertical="top" wrapText="1"/>
    </xf>
    <xf numFmtId="0" fontId="60" fillId="8" borderId="27" xfId="0" applyFont="1" applyFill="1" applyBorder="1" applyAlignment="1">
      <alignment horizontal="left" vertical="top" wrapText="1"/>
    </xf>
    <xf numFmtId="0" fontId="60" fillId="8" borderId="6" xfId="0" applyFont="1" applyFill="1" applyBorder="1" applyAlignment="1">
      <alignment horizontal="left" vertical="top" wrapText="1"/>
    </xf>
    <xf numFmtId="0" fontId="60" fillId="8" borderId="2" xfId="0" applyFont="1" applyFill="1" applyBorder="1" applyAlignment="1">
      <alignment horizontal="left" vertical="top" wrapText="1"/>
    </xf>
    <xf numFmtId="0" fontId="60" fillId="8" borderId="25" xfId="0" applyFont="1" applyFill="1" applyBorder="1" applyAlignment="1">
      <alignment horizontal="left" vertical="top" wrapText="1"/>
    </xf>
    <xf numFmtId="0" fontId="60" fillId="3" borderId="24" xfId="0" applyFont="1" applyFill="1" applyBorder="1" applyAlignment="1">
      <alignment vertical="top" wrapText="1"/>
    </xf>
    <xf numFmtId="0" fontId="60" fillId="3" borderId="22" xfId="0" applyFont="1" applyFill="1" applyBorder="1" applyAlignment="1">
      <alignment vertical="top" wrapText="1"/>
    </xf>
    <xf numFmtId="0" fontId="60" fillId="3" borderId="26" xfId="0" applyFont="1" applyFill="1" applyBorder="1" applyAlignment="1">
      <alignment vertical="top" wrapText="1"/>
    </xf>
    <xf numFmtId="0" fontId="60" fillId="3" borderId="4" xfId="0" applyFont="1" applyFill="1" applyBorder="1" applyAlignment="1">
      <alignment vertical="top" wrapText="1"/>
    </xf>
    <xf numFmtId="0" fontId="60" fillId="3" borderId="0" xfId="0" applyFont="1" applyFill="1" applyAlignment="1">
      <alignment vertical="top" wrapText="1"/>
    </xf>
    <xf numFmtId="0" fontId="60" fillId="3" borderId="27" xfId="0" applyFont="1" applyFill="1" applyBorder="1" applyAlignment="1">
      <alignment vertical="top" wrapText="1"/>
    </xf>
    <xf numFmtId="0" fontId="60" fillId="3" borderId="6" xfId="0" applyFont="1" applyFill="1" applyBorder="1" applyAlignment="1">
      <alignment vertical="top" wrapText="1"/>
    </xf>
    <xf numFmtId="0" fontId="60" fillId="3" borderId="2" xfId="0" applyFont="1" applyFill="1" applyBorder="1" applyAlignment="1">
      <alignment vertical="top" wrapText="1"/>
    </xf>
    <xf numFmtId="0" fontId="60" fillId="3" borderId="25" xfId="0" applyFont="1" applyFill="1" applyBorder="1" applyAlignment="1">
      <alignment vertical="top" wrapText="1"/>
    </xf>
    <xf numFmtId="0" fontId="49" fillId="3" borderId="0" xfId="0" applyFont="1" applyFill="1" applyAlignment="1">
      <alignment wrapText="1"/>
    </xf>
    <xf numFmtId="0" fontId="49" fillId="3" borderId="0" xfId="0" applyFont="1" applyFill="1"/>
    <xf numFmtId="168" fontId="46" fillId="5" borderId="7" xfId="0" applyNumberFormat="1" applyFont="1" applyFill="1" applyBorder="1"/>
    <xf numFmtId="168" fontId="46" fillId="5" borderId="23" xfId="0" applyNumberFormat="1" applyFont="1" applyFill="1" applyBorder="1"/>
    <xf numFmtId="168" fontId="46" fillId="5" borderId="19" xfId="0" applyNumberFormat="1" applyFont="1" applyFill="1" applyBorder="1"/>
    <xf numFmtId="168" fontId="54" fillId="5" borderId="24" xfId="0" applyNumberFormat="1" applyFont="1" applyFill="1" applyBorder="1" applyAlignment="1">
      <alignment vertical="center"/>
    </xf>
    <xf numFmtId="168" fontId="54" fillId="5" borderId="22" xfId="0" applyNumberFormat="1" applyFont="1" applyFill="1" applyBorder="1" applyAlignment="1">
      <alignment vertical="center"/>
    </xf>
    <xf numFmtId="168" fontId="54" fillId="5" borderId="26" xfId="0" applyNumberFormat="1" applyFont="1" applyFill="1" applyBorder="1" applyAlignment="1">
      <alignment vertical="center"/>
    </xf>
    <xf numFmtId="0" fontId="47" fillId="5" borderId="7" xfId="0" applyFont="1" applyFill="1" applyBorder="1"/>
    <xf numFmtId="0" fontId="47" fillId="5" borderId="23" xfId="0" applyFont="1" applyFill="1" applyBorder="1"/>
    <xf numFmtId="0" fontId="47" fillId="5" borderId="19" xfId="0" applyFont="1" applyFill="1" applyBorder="1"/>
    <xf numFmtId="0" fontId="47" fillId="0" borderId="3" xfId="0" applyFont="1" applyBorder="1"/>
    <xf numFmtId="0" fontId="47" fillId="0" borderId="7" xfId="0" applyFont="1" applyBorder="1"/>
    <xf numFmtId="0" fontId="47" fillId="5" borderId="3" xfId="0" applyFont="1" applyFill="1" applyBorder="1"/>
    <xf numFmtId="0" fontId="47" fillId="0" borderId="23" xfId="0" applyFont="1" applyBorder="1"/>
    <xf numFmtId="0" fontId="47" fillId="0" borderId="3" xfId="0" applyFont="1" applyBorder="1" applyAlignment="1">
      <alignment horizontal="right" vertical="top" indent="1"/>
    </xf>
    <xf numFmtId="0" fontId="47" fillId="0" borderId="7" xfId="0" applyFont="1" applyBorder="1" applyAlignment="1">
      <alignment horizontal="right" vertical="top" indent="1"/>
    </xf>
    <xf numFmtId="0" fontId="47" fillId="5" borderId="6" xfId="0" applyFont="1" applyFill="1" applyBorder="1"/>
    <xf numFmtId="0" fontId="47" fillId="5" borderId="2" xfId="0" applyFont="1" applyFill="1" applyBorder="1"/>
    <xf numFmtId="0" fontId="47" fillId="5" borderId="25" xfId="0" applyFont="1" applyFill="1" applyBorder="1"/>
    <xf numFmtId="0" fontId="47" fillId="0" borderId="24" xfId="0" applyFont="1" applyBorder="1" applyAlignment="1">
      <alignment horizontal="right" vertical="top" indent="1"/>
    </xf>
    <xf numFmtId="0" fontId="47" fillId="0" borderId="22" xfId="0" applyFont="1" applyBorder="1" applyAlignment="1">
      <alignment horizontal="right" vertical="top" indent="1"/>
    </xf>
    <xf numFmtId="0" fontId="47" fillId="0" borderId="23" xfId="0" applyFont="1" applyBorder="1" applyAlignment="1">
      <alignment horizontal="right" vertical="top"/>
    </xf>
    <xf numFmtId="0" fontId="47" fillId="5" borderId="7" xfId="0" applyFont="1" applyFill="1" applyBorder="1" applyAlignment="1">
      <alignment horizontal="left"/>
    </xf>
    <xf numFmtId="0" fontId="47" fillId="5" borderId="23" xfId="0" applyFont="1" applyFill="1" applyBorder="1" applyAlignment="1">
      <alignment horizontal="left"/>
    </xf>
    <xf numFmtId="0" fontId="47" fillId="5" borderId="19" xfId="0" applyFont="1" applyFill="1" applyBorder="1" applyAlignment="1">
      <alignment horizontal="left"/>
    </xf>
    <xf numFmtId="0" fontId="47" fillId="0" borderId="23" xfId="0" applyFont="1" applyBorder="1" applyAlignment="1">
      <alignment horizontal="right" vertical="top" indent="1"/>
    </xf>
    <xf numFmtId="0" fontId="47" fillId="0" borderId="4" xfId="0" applyFont="1" applyBorder="1" applyAlignment="1">
      <alignment vertical="top" wrapText="1"/>
    </xf>
    <xf numFmtId="0" fontId="47" fillId="0" borderId="0" xfId="0" applyFont="1" applyAlignment="1">
      <alignment vertical="top" wrapText="1"/>
    </xf>
    <xf numFmtId="0" fontId="47" fillId="0" borderId="6" xfId="0" applyFont="1" applyBorder="1" applyAlignment="1">
      <alignment vertical="top" wrapText="1"/>
    </xf>
    <xf numFmtId="0" fontId="47" fillId="0" borderId="2" xfId="0" applyFont="1" applyBorder="1" applyAlignment="1">
      <alignment vertical="top" wrapText="1"/>
    </xf>
    <xf numFmtId="0" fontId="47" fillId="3" borderId="26" xfId="0" applyFont="1" applyFill="1" applyBorder="1"/>
    <xf numFmtId="0" fontId="47" fillId="3" borderId="27" xfId="0" applyFont="1" applyFill="1" applyBorder="1"/>
    <xf numFmtId="0" fontId="47" fillId="3" borderId="25" xfId="0" applyFont="1" applyFill="1" applyBorder="1"/>
    <xf numFmtId="0" fontId="61" fillId="8" borderId="3" xfId="0" applyFont="1" applyFill="1" applyBorder="1" applyAlignment="1" applyProtection="1">
      <alignment horizontal="left" vertical="top" wrapText="1"/>
      <protection locked="0"/>
    </xf>
    <xf numFmtId="0" fontId="53" fillId="3" borderId="0" xfId="0" applyFont="1" applyFill="1" applyAlignment="1">
      <alignment wrapText="1"/>
    </xf>
    <xf numFmtId="0" fontId="53" fillId="3" borderId="27" xfId="0" applyFont="1" applyFill="1" applyBorder="1" applyAlignment="1">
      <alignment wrapText="1"/>
    </xf>
    <xf numFmtId="0" fontId="54" fillId="5" borderId="24" xfId="0" applyFont="1" applyFill="1" applyBorder="1" applyAlignment="1" applyProtection="1">
      <alignment horizontal="left" vertical="top" wrapText="1"/>
      <protection locked="0"/>
    </xf>
    <xf numFmtId="14" fontId="54" fillId="5" borderId="7" xfId="0" applyNumberFormat="1" applyFont="1" applyFill="1" applyBorder="1" applyAlignment="1" applyProtection="1">
      <alignment horizontal="right" vertical="center" wrapText="1"/>
      <protection locked="0"/>
    </xf>
    <xf numFmtId="14" fontId="54" fillId="5" borderId="23" xfId="0" applyNumberFormat="1" applyFont="1" applyFill="1" applyBorder="1" applyAlignment="1" applyProtection="1">
      <alignment horizontal="right" vertical="center" wrapText="1"/>
      <protection locked="0"/>
    </xf>
    <xf numFmtId="14" fontId="54" fillId="5" borderId="19" xfId="0" applyNumberFormat="1" applyFont="1" applyFill="1" applyBorder="1" applyAlignment="1" applyProtection="1">
      <alignment horizontal="right" vertical="center" wrapText="1"/>
      <protection locked="0"/>
    </xf>
    <xf numFmtId="0" fontId="53" fillId="5" borderId="3" xfId="0" applyFont="1" applyFill="1" applyBorder="1" applyAlignment="1" applyProtection="1">
      <alignment vertical="center" wrapText="1"/>
      <protection locked="0"/>
    </xf>
    <xf numFmtId="14" fontId="45" fillId="5" borderId="3" xfId="0" applyNumberFormat="1" applyFont="1" applyFill="1" applyBorder="1" applyAlignment="1" applyProtection="1">
      <alignment vertical="center"/>
      <protection locked="0"/>
    </xf>
    <xf numFmtId="10" fontId="54" fillId="5" borderId="7" xfId="5" applyNumberFormat="1" applyFont="1" applyFill="1" applyBorder="1" applyProtection="1">
      <protection locked="0"/>
    </xf>
    <xf numFmtId="10" fontId="54" fillId="5" borderId="19" xfId="5" applyNumberFormat="1" applyFont="1" applyFill="1" applyBorder="1" applyProtection="1">
      <protection locked="0"/>
    </xf>
    <xf numFmtId="0" fontId="54" fillId="5" borderId="7" xfId="0" applyFont="1" applyFill="1" applyBorder="1" applyAlignment="1" applyProtection="1">
      <alignment wrapText="1"/>
      <protection locked="0"/>
    </xf>
    <xf numFmtId="0" fontId="54" fillId="5" borderId="23" xfId="0" applyFont="1" applyFill="1" applyBorder="1" applyAlignment="1" applyProtection="1">
      <alignment wrapText="1"/>
      <protection locked="0"/>
    </xf>
    <xf numFmtId="0" fontId="54" fillId="5" borderId="19" xfId="0" applyFont="1" applyFill="1" applyBorder="1" applyAlignment="1" applyProtection="1">
      <alignment wrapText="1"/>
      <protection locked="0"/>
    </xf>
    <xf numFmtId="0" fontId="54" fillId="3" borderId="24" xfId="0" applyFont="1" applyFill="1" applyBorder="1" applyAlignment="1">
      <alignment vertical="top" textRotation="180"/>
    </xf>
    <xf numFmtId="0" fontId="54" fillId="3" borderId="6" xfId="0" applyFont="1" applyFill="1" applyBorder="1" applyAlignment="1">
      <alignment vertical="top" textRotation="180"/>
    </xf>
    <xf numFmtId="0" fontId="53" fillId="3" borderId="2" xfId="0" applyFont="1" applyFill="1" applyBorder="1" applyAlignment="1">
      <alignment vertical="top" wrapText="1"/>
    </xf>
    <xf numFmtId="0" fontId="47" fillId="5" borderId="7" xfId="0" applyFont="1" applyFill="1" applyBorder="1" applyAlignment="1">
      <alignment wrapText="1"/>
    </xf>
    <xf numFmtId="0" fontId="47" fillId="5" borderId="23" xfId="0" applyFont="1" applyFill="1" applyBorder="1" applyAlignment="1">
      <alignment wrapText="1"/>
    </xf>
    <xf numFmtId="0" fontId="47" fillId="5" borderId="19" xfId="0" applyFont="1" applyFill="1" applyBorder="1" applyAlignment="1">
      <alignment wrapText="1"/>
    </xf>
    <xf numFmtId="0" fontId="54" fillId="3" borderId="3" xfId="0" applyFont="1" applyFill="1" applyBorder="1" applyAlignment="1">
      <alignment vertical="top"/>
    </xf>
    <xf numFmtId="0" fontId="54" fillId="3" borderId="3" xfId="0" applyFont="1" applyFill="1" applyBorder="1" applyAlignment="1">
      <alignment vertical="top" wrapText="1"/>
    </xf>
    <xf numFmtId="0" fontId="54" fillId="3" borderId="3" xfId="0" applyFont="1" applyFill="1" applyBorder="1" applyAlignment="1">
      <alignment horizontal="left" vertical="top" wrapText="1"/>
    </xf>
    <xf numFmtId="0" fontId="54" fillId="5" borderId="3" xfId="0" applyFont="1" applyFill="1" applyBorder="1" applyAlignment="1" applyProtection="1">
      <alignment horizontal="center"/>
      <protection locked="0"/>
    </xf>
    <xf numFmtId="0" fontId="54" fillId="5" borderId="3" xfId="0" applyFont="1" applyFill="1" applyBorder="1" applyProtection="1">
      <protection locked="0"/>
    </xf>
    <xf numFmtId="10" fontId="54" fillId="5" borderId="3" xfId="5" applyNumberFormat="1" applyFont="1" applyFill="1" applyBorder="1" applyProtection="1">
      <protection locked="0"/>
    </xf>
    <xf numFmtId="0" fontId="47" fillId="5" borderId="23" xfId="0" applyFont="1" applyFill="1" applyBorder="1" applyAlignment="1">
      <alignment horizontal="center" vertical="top"/>
    </xf>
    <xf numFmtId="0" fontId="20" fillId="3" borderId="61" xfId="3" applyFont="1" applyFill="1" applyBorder="1" applyAlignment="1">
      <alignment horizontal="center" vertical="top" wrapText="1"/>
    </xf>
    <xf numFmtId="0" fontId="20" fillId="3" borderId="48" xfId="3" applyFont="1" applyFill="1" applyBorder="1" applyAlignment="1">
      <alignment horizontal="center" vertical="top" wrapText="1"/>
    </xf>
    <xf numFmtId="0" fontId="20" fillId="3" borderId="62" xfId="3" applyFont="1" applyFill="1" applyBorder="1" applyAlignment="1">
      <alignment horizontal="center" vertical="top" wrapText="1"/>
    </xf>
    <xf numFmtId="0" fontId="0" fillId="21" borderId="61" xfId="0" applyFill="1" applyBorder="1"/>
    <xf numFmtId="0" fontId="0" fillId="21" borderId="76" xfId="0" applyFill="1" applyBorder="1"/>
    <xf numFmtId="0" fontId="9" fillId="9" borderId="15" xfId="0" applyFont="1" applyFill="1" applyBorder="1" applyAlignment="1">
      <alignment vertical="top"/>
    </xf>
    <xf numFmtId="0" fontId="9" fillId="9" borderId="16" xfId="0" applyFont="1" applyFill="1" applyBorder="1" applyAlignment="1">
      <alignment vertical="top"/>
    </xf>
    <xf numFmtId="0" fontId="9" fillId="9" borderId="17" xfId="0" applyFont="1" applyFill="1" applyBorder="1" applyAlignment="1">
      <alignment vertical="top"/>
    </xf>
    <xf numFmtId="0" fontId="9" fillId="9" borderId="52" xfId="0" applyFont="1" applyFill="1" applyBorder="1" applyAlignment="1">
      <alignment vertical="top"/>
    </xf>
    <xf numFmtId="0" fontId="9" fillId="9" borderId="37" xfId="0" applyFont="1" applyFill="1" applyBorder="1" applyAlignment="1">
      <alignment vertical="top"/>
    </xf>
    <xf numFmtId="0" fontId="9" fillId="9" borderId="53" xfId="0" applyFont="1" applyFill="1" applyBorder="1" applyAlignment="1">
      <alignment vertical="top"/>
    </xf>
    <xf numFmtId="0" fontId="9" fillId="9" borderId="15" xfId="0" applyFont="1" applyFill="1" applyBorder="1" applyAlignment="1">
      <alignment vertical="top" wrapText="1"/>
    </xf>
    <xf numFmtId="0" fontId="9" fillId="9" borderId="17" xfId="0" applyFont="1" applyFill="1" applyBorder="1" applyAlignment="1">
      <alignment vertical="top" wrapText="1"/>
    </xf>
    <xf numFmtId="0" fontId="9" fillId="9" borderId="14" xfId="0" applyFont="1" applyFill="1" applyBorder="1" applyAlignment="1">
      <alignment horizontal="left" vertical="top" wrapText="1"/>
    </xf>
    <xf numFmtId="0" fontId="9" fillId="9" borderId="2" xfId="0" applyFont="1" applyFill="1" applyBorder="1" applyAlignment="1">
      <alignment horizontal="left" vertical="top" wrapText="1"/>
    </xf>
    <xf numFmtId="0" fontId="9" fillId="9" borderId="15" xfId="0" applyFont="1" applyFill="1" applyBorder="1" applyAlignment="1">
      <alignment horizontal="left" vertical="top" wrapText="1"/>
    </xf>
    <xf numFmtId="0" fontId="9" fillId="9" borderId="16" xfId="0" applyFont="1" applyFill="1" applyBorder="1" applyAlignment="1">
      <alignment horizontal="left" vertical="top" wrapText="1"/>
    </xf>
    <xf numFmtId="0" fontId="9" fillId="9" borderId="17" xfId="0" applyFont="1" applyFill="1" applyBorder="1" applyAlignment="1">
      <alignment horizontal="left" vertical="top" wrapText="1"/>
    </xf>
    <xf numFmtId="0" fontId="9" fillId="9" borderId="16" xfId="0" applyFont="1" applyFill="1" applyBorder="1" applyAlignment="1">
      <alignment vertical="top" wrapText="1"/>
    </xf>
    <xf numFmtId="0" fontId="9" fillId="9" borderId="52" xfId="0" applyFont="1" applyFill="1" applyBorder="1" applyAlignment="1">
      <alignment vertical="top" wrapText="1"/>
    </xf>
    <xf numFmtId="0" fontId="9" fillId="9" borderId="37" xfId="0" applyFont="1" applyFill="1" applyBorder="1" applyAlignment="1">
      <alignment vertical="top" wrapText="1"/>
    </xf>
    <xf numFmtId="0" fontId="9" fillId="9" borderId="53" xfId="0" applyFont="1" applyFill="1" applyBorder="1" applyAlignment="1">
      <alignment vertical="top" wrapText="1"/>
    </xf>
    <xf numFmtId="0" fontId="9" fillId="9" borderId="56" xfId="0" applyFont="1" applyFill="1" applyBorder="1" applyAlignment="1">
      <alignment horizontal="left" vertical="top" wrapText="1"/>
    </xf>
    <xf numFmtId="0" fontId="9" fillId="9" borderId="57" xfId="0" applyFont="1" applyFill="1" applyBorder="1" applyAlignment="1">
      <alignment horizontal="left" vertical="top" wrapText="1"/>
    </xf>
    <xf numFmtId="0" fontId="9" fillId="9" borderId="52" xfId="0" applyFont="1" applyFill="1" applyBorder="1" applyAlignment="1">
      <alignment horizontal="left" vertical="top" wrapText="1"/>
    </xf>
    <xf numFmtId="0" fontId="9" fillId="9" borderId="37" xfId="0" applyFont="1" applyFill="1" applyBorder="1" applyAlignment="1">
      <alignment horizontal="left" vertical="top" wrapText="1"/>
    </xf>
    <xf numFmtId="0" fontId="9" fillId="9" borderId="38" xfId="0" applyFont="1" applyFill="1" applyBorder="1" applyAlignment="1">
      <alignment horizontal="left" vertical="top" wrapText="1"/>
    </xf>
    <xf numFmtId="0" fontId="9" fillId="9" borderId="56" xfId="0" applyFont="1" applyFill="1" applyBorder="1" applyAlignment="1">
      <alignment horizontal="center" vertical="top" wrapText="1"/>
    </xf>
    <xf numFmtId="0" fontId="9" fillId="9" borderId="55" xfId="0" applyFont="1" applyFill="1" applyBorder="1" applyAlignment="1">
      <alignment horizontal="center" vertical="top" wrapText="1"/>
    </xf>
    <xf numFmtId="0" fontId="9" fillId="9" borderId="53" xfId="0" applyFont="1" applyFill="1" applyBorder="1" applyAlignment="1">
      <alignment horizontal="left" vertical="top" wrapText="1"/>
    </xf>
    <xf numFmtId="0" fontId="9" fillId="9" borderId="50" xfId="0" applyFont="1" applyFill="1" applyBorder="1" applyAlignment="1">
      <alignment vertical="top" wrapText="1"/>
    </xf>
    <xf numFmtId="0" fontId="9" fillId="9" borderId="21" xfId="0" applyFont="1" applyFill="1" applyBorder="1" applyAlignment="1">
      <alignment vertical="top" wrapText="1"/>
    </xf>
    <xf numFmtId="0" fontId="9" fillId="9" borderId="51" xfId="0" applyFont="1" applyFill="1" applyBorder="1" applyAlignment="1">
      <alignment vertical="top" wrapText="1"/>
    </xf>
    <xf numFmtId="0" fontId="9" fillId="9" borderId="47" xfId="0" applyFont="1" applyFill="1" applyBorder="1" applyAlignment="1">
      <alignment vertical="top" wrapText="1"/>
    </xf>
    <xf numFmtId="0" fontId="9" fillId="9" borderId="48" xfId="0" applyFont="1" applyFill="1" applyBorder="1" applyAlignment="1">
      <alignment vertical="top" wrapText="1"/>
    </xf>
    <xf numFmtId="0" fontId="9" fillId="9" borderId="50" xfId="0" applyFont="1" applyFill="1" applyBorder="1" applyAlignment="1">
      <alignment horizontal="left" vertical="top" wrapText="1"/>
    </xf>
    <xf numFmtId="0" fontId="9" fillId="9" borderId="21" xfId="0" applyFont="1" applyFill="1" applyBorder="1" applyAlignment="1">
      <alignment horizontal="left" vertical="top" wrapText="1"/>
    </xf>
    <xf numFmtId="0" fontId="9" fillId="9" borderId="51" xfId="0" applyFont="1" applyFill="1" applyBorder="1" applyAlignment="1">
      <alignment horizontal="left" vertical="top" wrapText="1"/>
    </xf>
    <xf numFmtId="0" fontId="9" fillId="9" borderId="30" xfId="0" applyFont="1" applyFill="1" applyBorder="1" applyAlignment="1">
      <alignment vertical="top" wrapText="1"/>
    </xf>
    <xf numFmtId="0" fontId="9" fillId="9" borderId="29" xfId="0" applyFont="1" applyFill="1" applyBorder="1" applyAlignment="1">
      <alignment vertical="top" wrapText="1"/>
    </xf>
    <xf numFmtId="0" fontId="9" fillId="9" borderId="76" xfId="0" applyFont="1" applyFill="1" applyBorder="1" applyAlignment="1">
      <alignment vertical="top" wrapText="1"/>
    </xf>
    <xf numFmtId="0" fontId="9" fillId="9" borderId="47" xfId="0" applyFont="1" applyFill="1" applyBorder="1" applyAlignment="1">
      <alignment horizontal="left" vertical="top" wrapText="1"/>
    </xf>
    <xf numFmtId="0" fontId="9" fillId="9" borderId="48" xfId="0" applyFont="1" applyFill="1" applyBorder="1" applyAlignment="1">
      <alignment horizontal="left" vertical="top" wrapText="1"/>
    </xf>
    <xf numFmtId="0" fontId="9" fillId="9" borderId="76" xfId="0" applyFont="1" applyFill="1" applyBorder="1" applyAlignment="1">
      <alignment horizontal="left" vertical="top" wrapText="1"/>
    </xf>
    <xf numFmtId="0" fontId="9" fillId="9" borderId="77" xfId="0" applyFont="1" applyFill="1" applyBorder="1" applyAlignment="1">
      <alignment vertical="top" wrapText="1"/>
    </xf>
    <xf numFmtId="0" fontId="9" fillId="9" borderId="78" xfId="0" applyFont="1" applyFill="1" applyBorder="1" applyAlignment="1">
      <alignment vertical="top" wrapText="1"/>
    </xf>
    <xf numFmtId="0" fontId="9" fillId="9" borderId="79" xfId="0" applyFont="1" applyFill="1" applyBorder="1" applyAlignment="1">
      <alignment vertical="top" wrapText="1"/>
    </xf>
    <xf numFmtId="0" fontId="9" fillId="9" borderId="77" xfId="0" applyFont="1" applyFill="1" applyBorder="1" applyAlignment="1">
      <alignment horizontal="left" vertical="top" wrapText="1"/>
    </xf>
    <xf numFmtId="0" fontId="9" fillId="9" borderId="78" xfId="0" applyFont="1" applyFill="1" applyBorder="1" applyAlignment="1">
      <alignment horizontal="left" vertical="top" wrapText="1"/>
    </xf>
    <xf numFmtId="0" fontId="9" fillId="9" borderId="62" xfId="0" applyFont="1" applyFill="1" applyBorder="1" applyAlignment="1">
      <alignment horizontal="left" vertical="top" wrapText="1"/>
    </xf>
    <xf numFmtId="0" fontId="9" fillId="9" borderId="79" xfId="0" applyFont="1" applyFill="1" applyBorder="1" applyAlignment="1">
      <alignment horizontal="left" vertical="top" wrapText="1"/>
    </xf>
    <xf numFmtId="0" fontId="9" fillId="22" borderId="3" xfId="0" applyFont="1" applyFill="1" applyBorder="1" applyAlignment="1">
      <alignment vertical="top" wrapText="1"/>
    </xf>
    <xf numFmtId="0" fontId="9" fillId="9" borderId="61" xfId="0" applyFont="1" applyFill="1" applyBorder="1" applyAlignment="1">
      <alignment horizontal="left" vertical="top" wrapText="1"/>
    </xf>
    <xf numFmtId="0" fontId="9" fillId="16" borderId="15" xfId="0" applyFont="1" applyFill="1" applyBorder="1" applyAlignment="1">
      <alignment horizontal="left" vertical="top" wrapText="1"/>
    </xf>
    <xf numFmtId="0" fontId="9" fillId="16" borderId="16" xfId="0" applyFont="1" applyFill="1" applyBorder="1" applyAlignment="1">
      <alignment horizontal="left" vertical="top" wrapText="1"/>
    </xf>
    <xf numFmtId="0" fontId="9" fillId="16" borderId="17" xfId="0" applyFont="1" applyFill="1" applyBorder="1" applyAlignment="1">
      <alignment horizontal="left" vertical="top" wrapText="1"/>
    </xf>
    <xf numFmtId="0" fontId="9" fillId="16" borderId="15" xfId="0" applyFont="1" applyFill="1" applyBorder="1" applyAlignment="1">
      <alignment vertical="top" wrapText="1"/>
    </xf>
    <xf numFmtId="0" fontId="9" fillId="16" borderId="16" xfId="0" applyFont="1" applyFill="1" applyBorder="1" applyAlignment="1">
      <alignment vertical="top" wrapText="1"/>
    </xf>
    <xf numFmtId="0" fontId="9" fillId="16" borderId="17" xfId="0" applyFont="1" applyFill="1" applyBorder="1" applyAlignment="1">
      <alignment vertical="top" wrapText="1"/>
    </xf>
    <xf numFmtId="0" fontId="9" fillId="16" borderId="52" xfId="0" applyFont="1" applyFill="1" applyBorder="1" applyAlignment="1">
      <alignment vertical="top" wrapText="1"/>
    </xf>
    <xf numFmtId="0" fontId="9" fillId="16" borderId="53" xfId="0" applyFont="1" applyFill="1" applyBorder="1" applyAlignment="1">
      <alignment vertical="top" wrapText="1"/>
    </xf>
  </cellXfs>
  <cellStyles count="12">
    <cellStyle name="Accent3" xfId="10" builtinId="37"/>
    <cellStyle name="Calculation" xfId="9" builtinId="22"/>
    <cellStyle name="Comma" xfId="8" builtinId="3"/>
    <cellStyle name="Currency" xfId="4" builtinId="4"/>
    <cellStyle name="Good" xfId="6" builtinId="26"/>
    <cellStyle name="Hyperlink" xfId="7" builtinId="8"/>
    <cellStyle name="Normal" xfId="0" builtinId="0"/>
    <cellStyle name="Normal 10" xfId="2" xr:uid="{00000000-0005-0000-0000-000007000000}"/>
    <cellStyle name="Normal 7" xfId="3" xr:uid="{00000000-0005-0000-0000-000008000000}"/>
    <cellStyle name="Normal_Sheet7" xfId="11" xr:uid="{EA70B36C-6BF6-4EBD-AB39-15C9D53FBF6F}"/>
    <cellStyle name="Note" xfId="1" builtinId="10"/>
    <cellStyle name="Percent" xfId="5" builtinId="5"/>
  </cellStyles>
  <dxfs count="775">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72" formatCode="0.0"/>
      <fill>
        <patternFill patternType="solid">
          <fgColor indexed="64"/>
          <bgColor rgb="FFFF3300"/>
        </patternFill>
      </fill>
      <alignment horizontal="general" vertical="top" textRotation="0" wrapText="1" indent="0" justifyLastLine="0" shrinkToFit="0" readingOrder="0"/>
      <border diagonalUp="0" diagonalDown="0" outline="0">
        <left style="medium">
          <color indexed="64"/>
        </left>
        <right style="medium">
          <color indexed="64"/>
        </right>
        <top style="thin">
          <color indexed="64"/>
        </top>
        <bottom style="thin">
          <color indexed="64"/>
        </bottom>
      </border>
      <protection locked="0" hidden="0"/>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style="medium">
          <color indexed="64"/>
        </left>
        <right/>
        <top/>
        <bottom/>
      </border>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right style="medium">
          <color indexed="64"/>
        </right>
        <top/>
        <bottom/>
      </border>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1" hidden="0"/>
    </dxf>
    <dxf>
      <numFmt numFmtId="168" formatCode="&quot;$&quot;#,##0"/>
      <fill>
        <patternFill patternType="solid">
          <fgColor indexed="64"/>
          <bgColor rgb="FFFFFFCC"/>
        </patternFill>
      </fill>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numFmt numFmtId="1" formatCode="0"/>
      <fill>
        <patternFill patternType="solid">
          <fgColor indexed="64"/>
          <bgColor rgb="FFFFFFCC"/>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0" hidden="0"/>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style="medium">
          <color indexed="64"/>
        </left>
        <right/>
        <top/>
        <bottom/>
      </border>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numFmt numFmtId="169" formatCode="_(&quot;$&quot;* #,##0_);_(&quot;$&quot;* \(#,##0\);_(&quot;$&quot;* &quot;-&quot;??_);_(@_)"/>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1" hidden="0"/>
    </dxf>
    <dxf>
      <numFmt numFmtId="168" formatCode="&quot;$&quot;#,##0"/>
      <fill>
        <patternFill>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numFmt numFmtId="168" formatCode="&quot;$&quot;#,##0"/>
      <fill>
        <patternFill>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numFmt numFmtId="1" formatCode="0"/>
      <fill>
        <patternFill>
          <fgColor indexed="64"/>
          <bgColor rgb="FFFFFFCC"/>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0" hidden="0"/>
    </dxf>
    <dxf>
      <font>
        <strike val="0"/>
        <outline val="0"/>
        <shadow val="0"/>
        <u val="none"/>
        <vertAlign val="baseline"/>
        <sz val="11"/>
        <color auto="1"/>
        <name val="Calibri"/>
        <scheme val="minor"/>
      </font>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protection locked="0" hidden="0"/>
    </dxf>
    <dxf>
      <font>
        <strike val="0"/>
        <outline val="0"/>
        <shadow val="0"/>
        <u val="none"/>
        <vertAlign val="baseline"/>
        <sz val="11"/>
        <color auto="1"/>
        <name val="Calibri"/>
        <scheme val="minor"/>
      </font>
      <fill>
        <patternFill patternType="none">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vertical style="thin">
          <color auto="1"/>
        </vertical>
        <horizontal style="thin">
          <color auto="1"/>
        </horizontal>
      </border>
      <protection locked="0" hidden="0"/>
    </dxf>
    <dxf>
      <font>
        <b val="0"/>
        <i val="0"/>
        <strike val="0"/>
        <condense val="0"/>
        <extend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0" tint="-0.499984740745262"/>
        <name val="Calibri"/>
        <scheme val="minor"/>
      </font>
      <numFmt numFmtId="164"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vertical style="thin">
          <color auto="1"/>
        </vertical>
        <horizontal style="thin">
          <color auto="1"/>
        </horizontal>
      </border>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vertical style="thin">
          <color auto="1"/>
        </vertical>
        <horizontal style="thin">
          <color auto="1"/>
        </horizontal>
      </border>
    </dxf>
    <dxf>
      <font>
        <strike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vertical style="thin">
          <color auto="1"/>
        </vertical>
        <horizontal style="thin">
          <color auto="1"/>
        </horizontal>
      </border>
      <protection locked="0" hidden="0"/>
    </dxf>
    <dxf>
      <border diagonalUp="0" diagonalDown="0">
        <left style="thin">
          <color rgb="FF000000"/>
        </left>
        <right style="thin">
          <color rgb="FF000000"/>
        </right>
        <top style="thin">
          <color rgb="FF000000"/>
        </top>
        <bottom style="thin">
          <color rgb="FF000000"/>
        </bottom>
      </border>
    </dxf>
    <dxf>
      <alignment horizontal="general" vertical="top" textRotation="0" wrapText="1" indent="0" justifyLastLine="0" shrinkToFit="0" readingOrder="0"/>
    </dxf>
    <dxf>
      <alignment horizontal="general" vertical="top"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border diagonalUp="0" diagonalDown="0" outline="0">
        <left style="medium">
          <color indexed="64"/>
        </left>
        <right/>
        <top/>
        <bottom/>
      </border>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medium">
          <color indexed="64"/>
        </right>
        <top style="thin">
          <color auto="1"/>
        </top>
        <bottom style="thin">
          <color auto="1"/>
        </bottom>
      </border>
      <protection locked="0" hidden="0"/>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border diagonalUp="0" diagonalDown="0" outline="0">
        <left style="medium">
          <color indexed="64"/>
        </left>
        <right/>
        <top/>
        <bottom/>
      </border>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numFmt numFmtId="169" formatCode="_(&quot;$&quot;* #,##0_);_(&quot;$&quot;* \(#,##0\);_(&quot;$&quot;* &quot;-&quot;??_);_(@_)"/>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medium">
          <color indexed="64"/>
        </right>
        <top style="thin">
          <color indexed="64"/>
        </top>
        <bottom style="thin">
          <color indexed="64"/>
        </bottom>
      </border>
      <protection locked="0" hidden="0"/>
    </dxf>
    <dxf>
      <font>
        <color theme="0" tint="-0.499984740745262"/>
      </font>
      <fill>
        <patternFill patternType="solid">
          <fgColor indexed="64"/>
          <bgColor rgb="FFFFFFCC"/>
        </patternFill>
      </fill>
      <alignment horizontal="general" vertical="top" textRotation="0" wrapText="1" indent="0" justifyLastLine="0" shrinkToFit="0" readingOrder="0"/>
      <border diagonalUp="0" diagonalDown="0">
        <left style="thin">
          <color auto="1"/>
        </left>
        <right/>
        <top style="thin">
          <color indexed="64"/>
        </top>
        <bottom style="thin">
          <color auto="1"/>
        </bottom>
      </border>
      <protection locked="0" hidden="0"/>
    </dxf>
    <dxf>
      <font>
        <b val="0"/>
        <i val="0"/>
        <strike val="0"/>
        <condense val="0"/>
        <extend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scheme val="minor"/>
      </font>
      <numFmt numFmtId="10" formatCode="&quot;$&quot;#,##0_);[Red]\(&quot;$&quot;#,##0\)"/>
      <fill>
        <patternFill patternType="solid">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bottom style="thin">
          <color auto="1"/>
        </bottom>
        <vertical/>
        <horizontal/>
      </border>
    </dxf>
    <dxf>
      <font>
        <b val="0"/>
        <i val="0"/>
        <strike val="0"/>
        <condense val="0"/>
        <extend val="0"/>
        <outline val="0"/>
        <shadow val="0"/>
        <u val="none"/>
        <vertAlign val="baseline"/>
        <sz val="11"/>
        <color theme="0" tint="-0.499984740745262"/>
        <name val="Calibri"/>
        <scheme val="minor"/>
      </font>
      <numFmt numFmtId="164"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scheme val="minor"/>
      </font>
      <numFmt numFmtId="10" formatCode="&quot;$&quot;#,##0_);[Red]\(&quot;$&quot;#,##0\)"/>
      <fill>
        <patternFill patternType="solid">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indexed="64"/>
        </right>
        <top style="thin">
          <color indexed="64"/>
        </top>
        <bottom style="thin">
          <color indexed="64"/>
        </bottom>
      </border>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strike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indexed="64"/>
        </top>
        <bottom style="thin">
          <color indexed="64"/>
        </bottom>
      </border>
      <protection locked="0" hidden="0"/>
    </dxf>
    <dxf>
      <border diagonalUp="0" diagonalDown="0">
        <left style="thin">
          <color rgb="FF000000"/>
        </left>
        <right style="thin">
          <color rgb="FF000000"/>
        </right>
        <top style="thin">
          <color rgb="FF000000"/>
        </top>
        <bottom style="thin">
          <color rgb="FF000000"/>
        </bottom>
      </border>
    </dxf>
    <dxf>
      <alignment horizontal="general" vertical="top" textRotation="0" wrapText="1" indent="0" justifyLastLine="0" shrinkToFit="0" readingOrder="0"/>
    </dxf>
    <dxf>
      <border>
        <bottom style="medium">
          <color indexed="64"/>
        </bottom>
      </border>
    </dxf>
    <dxf>
      <alignment horizontal="general" vertical="top"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6"/>
        <color rgb="FF000000"/>
        <name val="Calibri"/>
        <scheme val="none"/>
      </font>
    </dxf>
    <dxf>
      <font>
        <color theme="0"/>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medium">
          <color indexed="64"/>
        </right>
        <top style="thin">
          <color auto="1"/>
        </top>
        <bottom style="thin">
          <color auto="1"/>
        </bottom>
      </border>
    </dxf>
    <dxf>
      <font>
        <b val="0"/>
        <i val="0"/>
        <strike val="0"/>
        <condense val="0"/>
        <extend val="0"/>
        <outline val="0"/>
        <shadow val="0"/>
        <u val="none"/>
        <vertAlign val="baseline"/>
        <sz val="16"/>
        <color rgb="FF000000"/>
        <name val="Calibri"/>
        <scheme val="none"/>
      </font>
    </dxf>
    <dxf>
      <font>
        <color theme="0"/>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font>
        <b val="0"/>
        <i val="0"/>
        <strike val="0"/>
        <condense val="0"/>
        <extend val="0"/>
        <outline val="0"/>
        <shadow val="0"/>
        <u val="none"/>
        <vertAlign val="baseline"/>
        <sz val="11"/>
        <color theme="0"/>
        <name val="Calibri"/>
        <scheme val="minor"/>
      </font>
      <numFmt numFmtId="172" formatCode="0.0"/>
      <fill>
        <patternFill patternType="solid">
          <fgColor indexed="64"/>
          <bgColor rgb="FFFF3300"/>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rgb="FF000000"/>
        <name val="Calibri"/>
        <scheme val="none"/>
      </font>
    </dxf>
    <dxf>
      <font>
        <color theme="0"/>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font>
        <color theme="0"/>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font>
        <color theme="0"/>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font>
        <color theme="0"/>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font>
        <color theme="0"/>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numFmt numFmtId="168" formatCode="&quot;$&quot;#,##0"/>
      <fill>
        <patternFill>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rgb="FF000000"/>
        <name val="Calibri"/>
        <scheme val="none"/>
      </font>
    </dxf>
    <dxf>
      <numFmt numFmtId="168" formatCode="&quot;$&quot;#,##0"/>
      <fill>
        <patternFill>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rgb="FF000000"/>
        <name val="Calibri"/>
        <scheme val="none"/>
      </font>
    </dxf>
    <dxf>
      <numFmt numFmtId="1" formatCode="0"/>
      <fill>
        <patternFill>
          <fgColor indexed="64"/>
          <bgColor rgb="FFFFFFCC"/>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color theme="0"/>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1" formatCode="0"/>
      <fill>
        <patternFill patternType="solid">
          <fgColor indexed="64"/>
          <bgColor rgb="FFFFFFCC"/>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color theme="0"/>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1" formatCode="0"/>
      <fill>
        <patternFill patternType="solid">
          <fgColor indexed="64"/>
          <bgColor rgb="FFFFFFCC"/>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medium">
          <color indexed="64"/>
        </right>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color theme="0"/>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1" formatCode="0"/>
      <fill>
        <patternFill patternType="solid">
          <fgColor indexed="64"/>
          <bgColor rgb="FFFFFFCC"/>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ont>
        <color theme="0" tint="-0.499984740745262"/>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top style="thin">
          <color indexed="64"/>
        </top>
        <bottom style="thin">
          <color auto="1"/>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top style="thin">
          <color indexed="64"/>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 formatCode="0"/>
      <fill>
        <patternFill patternType="solid">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0" formatCode="General"/>
      <fill>
        <patternFill patternType="solid">
          <fgColor indexed="64"/>
          <bgColor theme="1"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numFmt numFmtId="164" formatCode="0.0%"/>
      <fill>
        <patternFill patternType="solid">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 formatCode="0"/>
      <fill>
        <patternFill>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30" formatCode="@"/>
      <fill>
        <patternFill>
          <fgColor indexed="64"/>
          <bgColor theme="1"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fill>
        <patternFill patternType="solid">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fill>
        <patternFill>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6" formatCode="* #,##0;_(* \(#,##0\);_(* ??_);_(@_)"/>
      <fill>
        <patternFill patternType="none">
          <fgColor indexed="64"/>
          <bgColor theme="1"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fill>
        <patternFill>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9" formatCode="_(&quot;$&quot;* #,##0_);_(&quot;$&quot;* \(#,##0\);_(&quot;$&quot;* &quot;-&quot;??_);_(@_)"/>
      <fill>
        <patternFill>
          <fgColor indexed="64"/>
          <bgColor theme="1"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6" formatCode="* #,##0;_(* \(#,##0\);_(* ??_);_(@_)"/>
      <fill>
        <patternFill>
          <fgColor indexed="64"/>
          <bgColor theme="1"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1"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strike val="0"/>
        <outline val="0"/>
        <shadow val="0"/>
        <u val="none"/>
        <vertAlign val="baseline"/>
        <sz val="11"/>
        <color theme="0"/>
        <name val="Calibri"/>
        <scheme val="minor"/>
      </font>
      <fill>
        <patternFill>
          <fgColor indexed="64"/>
          <bgColor theme="1"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indexed="64"/>
        </right>
        <top style="thin">
          <color indexed="64"/>
        </top>
        <bottom style="thin">
          <color indexed="64"/>
        </bottom>
      </border>
      <protection locked="0" hidden="0"/>
    </dxf>
    <dxf>
      <font>
        <strike val="0"/>
        <outline val="0"/>
        <shadow val="0"/>
        <u val="none"/>
        <vertAlign val="baseline"/>
        <sz val="16"/>
        <color rgb="FF000000"/>
        <name val="Calibri"/>
        <scheme val="none"/>
      </font>
    </dxf>
    <dxf>
      <border diagonalUp="0" diagonalDown="0">
        <left style="thin">
          <color rgb="FF000000"/>
        </left>
        <right style="thin">
          <color rgb="FF000000"/>
        </right>
        <top style="thin">
          <color rgb="FF000000"/>
        </top>
        <bottom style="thin">
          <color rgb="FF000000"/>
        </bottom>
      </border>
    </dxf>
    <dxf>
      <alignment horizontal="general" vertical="top" textRotation="0" wrapText="1" indent="0" justifyLastLine="0" shrinkToFit="0" readingOrder="0"/>
    </dxf>
    <dxf>
      <border>
        <bottom style="medium">
          <color indexed="64"/>
        </bottom>
      </border>
    </dxf>
    <dxf>
      <numFmt numFmtId="0" formatCode="General"/>
      <alignment horizontal="general" vertical="top"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168" formatCode="&quot;$&quot;#,##0"/>
      <fill>
        <patternFill patternType="solid">
          <fgColor indexed="64"/>
          <bgColor theme="2" tint="-0.499984740745262"/>
        </patternFill>
      </fill>
      <alignment horizontal="general" vertical="top" textRotation="0" wrapText="1" indent="0" justifyLastLine="0" shrinkToFit="0" readingOrder="0"/>
      <border diagonalUp="0" diagonalDown="0">
        <left style="medium">
          <color indexed="64"/>
        </left>
        <right style="medium">
          <color indexed="64"/>
        </right>
      </border>
      <protection locked="1" hidden="0"/>
    </dxf>
    <dxf>
      <font>
        <b val="0"/>
        <i val="0"/>
        <strike val="0"/>
        <condense val="0"/>
        <extend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168" formatCode="&quot;$&quot;#,##0"/>
      <fill>
        <patternFill patternType="solid">
          <fgColor indexed="64"/>
          <bgColor rgb="FFFF3300"/>
        </patternFill>
      </fill>
      <alignment horizontal="general" vertical="top" textRotation="0" wrapText="1" indent="0" justifyLastLine="0" shrinkToFit="0" readingOrder="0"/>
      <border diagonalUp="0" diagonalDown="0">
        <left style="medium">
          <color indexed="64"/>
        </left>
        <right style="medium">
          <color indexed="64"/>
        </right>
      </border>
      <protection locked="0" hidden="0"/>
    </dxf>
    <dxf>
      <font>
        <b val="0"/>
        <i val="0"/>
        <strike val="0"/>
        <condense val="0"/>
        <extend val="0"/>
        <outline val="0"/>
        <shadow val="0"/>
        <u val="none"/>
        <vertAlign val="baseline"/>
        <sz val="16"/>
        <color rgb="FF000000"/>
        <name val="Calibri"/>
        <scheme val="none"/>
      </font>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2" tint="-0.499984740745262"/>
        </patternFill>
      </fill>
      <alignment horizontal="general" vertical="top" textRotation="0" wrapText="1" indent="0" justifyLastLine="0" shrinkToFit="0" readingOrder="0"/>
      <border diagonalUp="0" diagonalDown="0">
        <left style="medium">
          <color indexed="64"/>
        </left>
        <right style="medium">
          <color indexed="64"/>
        </right>
        <top/>
        <bottom/>
      </border>
      <protection locked="1" hidden="0"/>
    </dxf>
    <dxf>
      <font>
        <b val="0"/>
        <i val="0"/>
        <strike val="0"/>
        <condense val="0"/>
        <extend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168" formatCode="&quot;$&quot;#,##0"/>
      <fill>
        <patternFill patternType="solid">
          <fgColor indexed="64"/>
          <bgColor rgb="FFFF3300"/>
        </patternFill>
      </fill>
      <alignment horizontal="general" vertical="top" textRotation="0" wrapText="1" indent="0" justifyLastLine="0" shrinkToFit="0" readingOrder="0"/>
      <border diagonalUp="0" diagonalDown="0">
        <left style="medium">
          <color indexed="64"/>
        </left>
        <right style="thin">
          <color auto="1"/>
        </right>
      </border>
      <protection locked="0" hidden="0"/>
    </dxf>
    <dxf>
      <font>
        <b val="0"/>
        <i val="0"/>
        <strike val="0"/>
        <condense val="0"/>
        <extend val="0"/>
        <outline val="0"/>
        <shadow val="0"/>
        <u val="none"/>
        <vertAlign val="baseline"/>
        <sz val="16"/>
        <color rgb="FF000000"/>
        <name val="Calibri"/>
        <scheme val="none"/>
      </font>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2" tint="-0.499984740745262"/>
        </patternFill>
      </fill>
      <alignment horizontal="general" vertical="top" textRotation="0" wrapText="1" indent="0" justifyLastLine="0" shrinkToFit="0" readingOrder="0"/>
      <border diagonalUp="0" diagonalDown="0">
        <left style="medium">
          <color indexed="64"/>
        </left>
        <right style="medium">
          <color indexed="64"/>
        </right>
        <top/>
        <bottom/>
      </border>
      <protection locked="1" hidden="0"/>
    </dxf>
    <dxf>
      <font>
        <b val="0"/>
        <i val="0"/>
        <strike val="0"/>
        <condense val="0"/>
        <extend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168" formatCode="&quot;$&quot;#,##0"/>
      <fill>
        <patternFill patternType="solid">
          <fgColor indexed="64"/>
          <bgColor rgb="FFFF3300"/>
        </patternFill>
      </fill>
      <alignment horizontal="general" vertical="top" textRotation="0" wrapText="1" indent="0" justifyLastLine="0" shrinkToFit="0" readingOrder="0"/>
      <border diagonalUp="0" diagonalDown="0">
        <left style="medium">
          <color indexed="64"/>
        </left>
        <right style="thin">
          <color auto="1"/>
        </right>
      </border>
      <protection locked="0" hidden="0"/>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2" tint="-0.499984740745262"/>
        </patternFill>
      </fill>
      <alignment horizontal="general" vertical="top" textRotation="0" wrapText="1" indent="0" justifyLastLine="0" shrinkToFit="0" readingOrder="0"/>
      <border diagonalUp="0" diagonalDown="0">
        <left style="medium">
          <color indexed="64"/>
        </left>
        <right style="medium">
          <color indexed="64"/>
        </right>
        <top/>
        <bottom/>
      </border>
      <protection locked="1" hidden="0"/>
    </dxf>
    <dxf>
      <font>
        <b val="0"/>
        <i val="0"/>
        <strike val="0"/>
        <condense val="0"/>
        <extend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168" formatCode="&quot;$&quot;#,##0"/>
      <fill>
        <patternFill patternType="solid">
          <fgColor indexed="64"/>
          <bgColor rgb="FFFF3300"/>
        </patternFill>
      </fill>
      <alignment horizontal="general" vertical="top" textRotation="0" wrapText="1" indent="0" justifyLastLine="0" shrinkToFit="0" readingOrder="0"/>
      <border diagonalUp="0" diagonalDown="0">
        <left style="thin">
          <color auto="1"/>
        </left>
        <right style="thin">
          <color auto="1"/>
        </right>
      </border>
      <protection locked="0" hidden="0"/>
    </dxf>
    <dxf>
      <font>
        <b val="0"/>
        <i val="0"/>
        <strike val="0"/>
        <condense val="0"/>
        <extend val="0"/>
        <outline val="0"/>
        <shadow val="0"/>
        <u val="none"/>
        <vertAlign val="baseline"/>
        <sz val="16"/>
        <color rgb="FF000000"/>
        <name val="Calibri"/>
        <scheme val="none"/>
      </font>
    </dxf>
    <dxf>
      <numFmt numFmtId="172" formatCode="0.0"/>
      <alignment horizontal="general" vertical="top" textRotation="0" wrapText="1" indent="0" justifyLastLine="0" shrinkToFit="0" readingOrder="0"/>
      <border diagonalUp="0" diagonalDown="0">
        <left style="thin">
          <color auto="1"/>
        </left>
        <right style="thin">
          <color auto="1"/>
        </right>
      </border>
    </dxf>
    <dxf>
      <font>
        <b val="0"/>
        <i val="0"/>
        <strike val="0"/>
        <condense val="0"/>
        <extend val="0"/>
        <outline val="0"/>
        <shadow val="0"/>
        <u val="none"/>
        <vertAlign val="baseline"/>
        <sz val="16"/>
        <color rgb="FF000000"/>
        <name val="Calibri"/>
        <scheme val="none"/>
      </font>
    </dxf>
    <dxf>
      <numFmt numFmtId="172" formatCode="0.0"/>
      <alignment horizontal="general" vertical="top" textRotation="0" wrapText="1" indent="0" justifyLastLine="0" shrinkToFit="0" readingOrder="0"/>
      <border diagonalUp="0" diagonalDown="0">
        <left style="thin">
          <color auto="1"/>
        </left>
        <right style="thin">
          <color auto="1"/>
        </right>
      </border>
    </dxf>
    <dxf>
      <font>
        <b val="0"/>
        <i val="0"/>
        <strike val="0"/>
        <condense val="0"/>
        <extend val="0"/>
        <outline val="0"/>
        <shadow val="0"/>
        <u val="none"/>
        <vertAlign val="baseline"/>
        <sz val="16"/>
        <color rgb="FF000000"/>
        <name val="Calibri"/>
        <scheme val="none"/>
      </font>
    </dxf>
    <dxf>
      <numFmt numFmtId="172" formatCode="0.0"/>
      <alignment horizontal="general" vertical="top" textRotation="0" wrapText="1" indent="0" justifyLastLine="0" shrinkToFit="0" readingOrder="0"/>
      <border diagonalUp="0" diagonalDown="0">
        <left style="thin">
          <color auto="1"/>
        </left>
        <right style="thin">
          <color auto="1"/>
        </right>
      </border>
    </dxf>
    <dxf>
      <font>
        <b val="0"/>
        <i val="0"/>
        <strike val="0"/>
        <condense val="0"/>
        <extend val="0"/>
        <outline val="0"/>
        <shadow val="0"/>
        <u val="none"/>
        <vertAlign val="baseline"/>
        <sz val="16"/>
        <color rgb="FF000000"/>
        <name val="Calibri"/>
        <scheme val="none"/>
      </font>
    </dxf>
    <dxf>
      <numFmt numFmtId="13" formatCode="0%"/>
      <alignment horizontal="general" vertical="top" textRotation="0" wrapText="1" indent="0" justifyLastLine="0" shrinkToFit="0" readingOrder="0"/>
      <border diagonalUp="0" diagonalDown="0">
        <left style="thin">
          <color auto="1"/>
        </left>
        <right style="thin">
          <color auto="1"/>
        </right>
      </border>
    </dxf>
    <dxf>
      <font>
        <b val="0"/>
        <i val="0"/>
        <strike val="0"/>
        <condense val="0"/>
        <extend val="0"/>
        <outline val="0"/>
        <shadow val="0"/>
        <u val="none"/>
        <vertAlign val="baseline"/>
        <sz val="16"/>
        <color rgb="FF000000"/>
        <name val="Calibri"/>
        <scheme val="none"/>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border>
      <protection locked="0" hidden="0"/>
    </dxf>
    <dxf>
      <font>
        <b val="0"/>
        <i val="0"/>
        <strike val="0"/>
        <condense val="0"/>
        <extend val="0"/>
        <outline val="0"/>
        <shadow val="0"/>
        <u val="none"/>
        <vertAlign val="baseline"/>
        <sz val="16"/>
        <color rgb="FF000000"/>
        <name val="Calibri"/>
        <scheme val="none"/>
      </font>
    </dxf>
    <dxf>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0" formatCode="General"/>
      <fill>
        <patternFill patternType="solid">
          <fgColor indexed="64"/>
          <bgColor theme="7" tint="0.7999816888943144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0" formatCode="General"/>
      <fill>
        <patternFill patternType="solid">
          <fgColor indexed="64"/>
          <bgColor theme="7" tint="0.7999816888943144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0" formatCode="General"/>
      <fill>
        <patternFill patternType="solid">
          <fgColor indexed="64"/>
          <bgColor theme="7" tint="0.7999816888943144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0" formatCode="General"/>
      <fill>
        <patternFill patternType="solid">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strike val="0"/>
        <outline val="0"/>
        <shadow val="0"/>
        <u val="none"/>
        <vertAlign val="baseline"/>
        <sz val="11"/>
        <color theme="0"/>
        <name val="Calibri"/>
        <scheme val="minor"/>
      </font>
      <numFmt numFmtId="0" formatCode="General"/>
      <fill>
        <patternFill>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68" formatCode="&quot;$&quot;#,##0"/>
      <fill>
        <patternFill>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0" formatCode="General"/>
      <fill>
        <patternFill>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numFmt numFmtId="164"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1"/>
        <color theme="0"/>
        <name val="Calibri"/>
        <scheme val="minor"/>
      </font>
      <numFmt numFmtId="164" formatCode="0.0%"/>
      <fill>
        <patternFill>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0"/>
        <name val="Calibri"/>
        <scheme val="minor"/>
      </font>
      <numFmt numFmtId="168" formatCode="&quot;$&quot;#,##0"/>
      <fill>
        <patternFill>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0" formatCode="General"/>
      <fill>
        <patternFill>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numFmt numFmtId="165" formatCode="&quot;$&quot;* #,##0;_(&quot;$&quot;* \(#,##0\);_(* ??_);_(@_)"/>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0"/>
        <name val="Calibri"/>
        <scheme val="minor"/>
      </font>
      <numFmt numFmtId="168" formatCode="&quot;$&quot;#,##0"/>
      <fill>
        <patternFill>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0" formatCode="General"/>
      <fill>
        <patternFill>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strike val="0"/>
        <outline val="0"/>
        <shadow val="0"/>
        <u val="none"/>
        <vertAlign val="baseline"/>
        <sz val="11"/>
        <color theme="0"/>
        <name val="Calibri"/>
        <scheme val="minor"/>
      </font>
      <fill>
        <patternFill>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strike val="0"/>
        <outline val="0"/>
        <shadow val="0"/>
        <u val="none"/>
        <vertAlign val="baseline"/>
        <sz val="16"/>
        <color rgb="FF000000"/>
        <name val="Calibri"/>
        <scheme val="none"/>
      </font>
    </dxf>
    <dxf>
      <border diagonalUp="0" diagonalDown="0">
        <left style="thin">
          <color rgb="FF000000"/>
        </left>
        <right style="thin">
          <color rgb="FF000000"/>
        </right>
        <top style="thin">
          <color rgb="FF000000"/>
        </top>
        <bottom style="thin">
          <color rgb="FF000000"/>
        </bottom>
      </border>
    </dxf>
    <dxf>
      <alignment horizontal="general" vertical="top" textRotation="0" wrapText="1" indent="0" justifyLastLine="0" shrinkToFit="0" readingOrder="0"/>
    </dxf>
    <dxf>
      <border>
        <bottom style="medium">
          <color indexed="64"/>
        </bottom>
      </border>
    </dxf>
    <dxf>
      <alignment horizontal="general" vertical="top"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rgb="FFFF3300"/>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rgb="FFFF3300"/>
        </patternFill>
      </fill>
      <alignment horizontal="general" vertical="top" textRotation="0" wrapText="1" indent="0" justifyLastLine="0" shrinkToFit="0" readingOrder="0"/>
      <border diagonalUp="0" diagonalDown="0">
        <left style="thin">
          <color auto="1"/>
        </left>
        <right style="thin">
          <color indexed="64"/>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rgb="FFFF3300"/>
        </patternFill>
      </fill>
      <alignment horizontal="general" vertical="top" textRotation="0" wrapText="1" indent="0" justifyLastLine="0" shrinkToFit="0" readingOrder="0"/>
      <border diagonalUp="0" diagonalDown="0">
        <left style="medium">
          <color indexed="64"/>
        </left>
        <right style="medium">
          <color indexed="64"/>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auto="1"/>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strike val="0"/>
        <outline val="0"/>
        <shadow val="0"/>
        <u val="none"/>
        <vertAlign val="baseline"/>
        <sz val="11"/>
        <color auto="1"/>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0" formatCode="General"/>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72"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bottom style="thin">
          <color auto="1"/>
        </bottom>
      </border>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strike val="0"/>
        <outline val="0"/>
        <shadow val="0"/>
        <u val="none"/>
        <vertAlign val="baseline"/>
        <sz val="11"/>
        <color auto="1"/>
        <name val="Calibri"/>
        <scheme val="minor"/>
      </font>
      <numFmt numFmtId="168" formatCode="&quot;$&quot;#,##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strike val="0"/>
        <outline val="0"/>
        <shadow val="0"/>
        <u val="none"/>
        <vertAlign val="baseline"/>
        <sz val="11"/>
        <color auto="1"/>
        <name val="Calibri"/>
        <scheme val="minor"/>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outline="0">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FFCC"/>
        </patternFill>
      </fill>
      <alignment horizontal="general" vertical="top" textRotation="0" wrapText="1" indent="0" justifyLastLine="0" shrinkToFit="0" readingOrder="0"/>
      <border diagonalUp="0" diagonalDown="0" outline="0">
        <left style="medium">
          <color indexed="64"/>
        </left>
        <right/>
        <top style="thin">
          <color indexed="64"/>
        </top>
        <bottom style="thin">
          <color auto="1"/>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6" formatCode="* #,##0;_(* \(#,##0\);_(* ??_);_(@_)"/>
      <fill>
        <patternFill patternType="solid">
          <fgColor indexed="64"/>
          <bgColor theme="0" tint="-0.499984740745262"/>
        </patternFill>
      </fill>
      <alignment horizontal="general" vertical="top" textRotation="0" wrapText="1" indent="0" justifyLastLine="0" shrinkToFit="0" readingOrder="0"/>
      <border diagonalUp="0" diagonalDown="0">
        <left/>
        <right style="thin">
          <color auto="1"/>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none">
          <fgColor indexed="64"/>
          <bgColor theme="0" tint="-0.499984740745262"/>
        </patternFill>
      </fill>
      <alignment horizontal="general" vertical="top" textRotation="0" wrapText="1" indent="0" justifyLastLine="0" shrinkToFit="0" readingOrder="0"/>
      <border diagonalUp="0" diagonalDown="0">
        <left style="thin">
          <color auto="1"/>
        </left>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patternType="none">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6" formatCode="* #,##0;_(* \(#,##0\);_(* ??_);_(@_)"/>
      <fill>
        <patternFill patternType="none">
          <fgColor indexed="64"/>
          <bgColor theme="0" tint="-0.499984740745262"/>
        </patternFill>
      </fill>
      <alignment horizontal="general" vertical="top" textRotation="0" wrapText="1" indent="0" justifyLastLine="0" shrinkToFit="0" readingOrder="0"/>
      <border diagonalUp="0" diagonalDown="0">
        <left/>
        <right style="thin">
          <color auto="1"/>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none">
          <fgColor indexed="64"/>
          <bgColor theme="0" tint="-0.499984740745262"/>
        </patternFill>
      </fill>
      <alignment horizontal="general" vertical="top" textRotation="0" wrapText="1" indent="0" justifyLastLine="0" shrinkToFit="0" readingOrder="0"/>
      <border diagonalUp="0" diagonalDown="0">
        <left style="thin">
          <color auto="1"/>
        </left>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patternType="none">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6" formatCode="* #,##0;_(* \(#,##0\);_(* ??_);_(@_)"/>
      <fill>
        <patternFill patternType="none">
          <fgColor indexed="64"/>
          <bgColor theme="0" tint="-0.499984740745262"/>
        </patternFill>
      </fill>
      <alignment horizontal="general" vertical="top" textRotation="0" wrapText="1" indent="0" justifyLastLine="0" shrinkToFit="0" readingOrder="0"/>
      <border diagonalUp="0" diagonalDown="0">
        <left/>
        <right style="thin">
          <color auto="1"/>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4"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fgColor indexed="64"/>
          <bgColor theme="0" tint="-0.499984740745262"/>
        </patternFill>
      </fill>
      <alignment horizontal="general" vertical="top" textRotation="0" wrapText="1" indent="0" justifyLastLine="0" shrinkToFit="0" readingOrder="0"/>
      <border diagonalUp="0" diagonalDown="0">
        <left style="thin">
          <color auto="1"/>
        </left>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outline val="0"/>
        <shadow val="0"/>
        <u val="none"/>
        <vertAlign val="baseline"/>
        <sz val="11"/>
        <color theme="0"/>
        <name val="Calibri"/>
        <scheme val="minor"/>
      </font>
      <numFmt numFmtId="166" formatCode="* #,##0;_(* \(#,##0\);_(* ??_);_(@_)"/>
      <fill>
        <patternFill>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strike val="0"/>
        <outline val="0"/>
        <shadow val="0"/>
        <u val="none"/>
        <vertAlign val="baseline"/>
        <sz val="11"/>
        <color theme="0"/>
        <name val="Calibri"/>
        <scheme val="minor"/>
      </font>
      <fill>
        <patternFill>
          <fgColor indexed="64"/>
          <bgColor theme="0"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indexed="64"/>
        </top>
        <bottom style="thin">
          <color indexed="64"/>
        </bottom>
      </border>
      <protection locked="0" hidden="0"/>
    </dxf>
    <dxf>
      <font>
        <strike val="0"/>
        <outline val="0"/>
        <shadow val="0"/>
        <u val="none"/>
        <vertAlign val="baseline"/>
        <sz val="16"/>
        <color theme="1"/>
        <name val="Calibri"/>
        <scheme val="minor"/>
      </font>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0"/>
        <name val="Calibri"/>
        <scheme val="minor"/>
      </font>
      <alignment horizontal="general" vertical="top" textRotation="0" wrapText="1" indent="0" justifyLastLine="0" shrinkToFit="0" readingOrder="0"/>
    </dxf>
    <dxf>
      <border>
        <bottom style="medium">
          <color indexed="64"/>
        </bottom>
      </border>
    </dxf>
    <dxf>
      <font>
        <strike val="0"/>
        <outline val="0"/>
        <shadow val="0"/>
        <u val="none"/>
        <vertAlign val="baseline"/>
        <sz val="11"/>
        <color theme="0"/>
        <name val="Calibri"/>
        <scheme val="minor"/>
      </font>
      <alignment horizontal="general" vertical="top" textRotation="0" wrapText="1" indent="0" justifyLastLine="0" shrinkToFit="0" readingOrder="0"/>
      <border diagonalUp="0" diagonalDown="0" outline="0">
        <left style="thin">
          <color indexed="64"/>
        </left>
        <right style="thin">
          <color indexed="64"/>
        </right>
        <top/>
        <bottom/>
      </border>
    </dxf>
    <dxf>
      <font>
        <color theme="0"/>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right style="medium">
          <color indexed="64"/>
        </right>
        <top style="thin">
          <color auto="1"/>
        </top>
        <bottom style="thin">
          <color indexed="64"/>
        </bottom>
        <vertical/>
        <horizontal/>
      </border>
    </dxf>
    <dxf>
      <font>
        <color theme="0"/>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color theme="0"/>
      </font>
      <numFmt numFmtId="2" formatCode="0.00"/>
      <fill>
        <patternFill patternType="solid">
          <fgColor indexed="64"/>
          <bgColor rgb="FFFF3300"/>
        </patternFill>
      </fill>
      <alignment horizontal="general" vertical="top" textRotation="0" wrapText="1" indent="0" justifyLastLine="0" shrinkToFit="0" readingOrder="0"/>
      <border diagonalUp="0" diagonalDown="0">
        <left style="medium">
          <color indexed="64"/>
        </left>
        <right style="medium">
          <color indexed="64"/>
        </right>
        <top style="thin">
          <color indexed="64"/>
        </top>
        <bottom style="thin">
          <color auto="1"/>
        </bottom>
        <vertical/>
        <horizontal/>
      </border>
      <protection locked="0" hidden="0"/>
    </dxf>
    <dxf>
      <font>
        <b val="0"/>
        <i val="0"/>
        <strike val="0"/>
        <condense val="0"/>
        <extend val="0"/>
        <outline val="0"/>
        <shadow val="0"/>
        <u val="none"/>
        <vertAlign val="baseline"/>
        <sz val="16"/>
        <color rgb="FF000000"/>
        <name val="Calibri"/>
        <scheme val="none"/>
      </font>
    </dxf>
    <dxf>
      <font>
        <color theme="0"/>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indexed="64"/>
        </left>
        <right style="medium">
          <color indexed="64"/>
        </right>
        <top style="thin">
          <color auto="1"/>
        </top>
        <bottom style="thin">
          <color indexed="64"/>
        </bottom>
      </border>
    </dxf>
    <dxf>
      <font>
        <b val="0"/>
        <i val="0"/>
        <strike val="0"/>
        <condense val="0"/>
        <extend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font>
        <color theme="0"/>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indexed="64"/>
        </right>
        <top style="thin">
          <color auto="1"/>
        </top>
        <bottom style="thin">
          <color auto="1"/>
        </bottom>
      </border>
    </dxf>
    <dxf>
      <font>
        <b val="0"/>
        <i val="0"/>
        <strike val="0"/>
        <condense val="0"/>
        <extend val="0"/>
        <outline val="0"/>
        <shadow val="0"/>
        <u val="none"/>
        <vertAlign val="baseline"/>
        <sz val="16"/>
        <color rgb="FF000000"/>
        <name val="Calibri"/>
        <scheme val="none"/>
      </font>
    </dxf>
    <dxf>
      <font>
        <color theme="0"/>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6"/>
        <color rgb="FF000000"/>
        <name val="Calibri"/>
        <scheme val="none"/>
      </font>
    </dxf>
    <dxf>
      <font>
        <color theme="0"/>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color theme="0"/>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rgb="FF000000"/>
        <name val="Calibri"/>
        <scheme val="none"/>
      </font>
    </dxf>
    <dxf>
      <numFmt numFmtId="168" formatCode="&quot;$&quot;#,##0"/>
      <fill>
        <patternFill patternType="solid">
          <fgColor indexed="64"/>
          <bgColor rgb="FFFFFFCC"/>
        </patternFill>
      </fill>
      <alignment horizontal="general" vertical="top" textRotation="0" wrapText="1" indent="0" justifyLastLine="0" shrinkToFit="0" readingOrder="0"/>
      <border outline="0">
        <left style="thin">
          <color auto="1"/>
        </left>
        <right style="thin">
          <color auto="1"/>
        </right>
      </border>
      <protection locked="0" hidden="0"/>
    </dxf>
    <dxf>
      <font>
        <b val="0"/>
        <i val="0"/>
        <strike val="0"/>
        <condense val="0"/>
        <extend val="0"/>
        <outline val="0"/>
        <shadow val="0"/>
        <u val="none"/>
        <vertAlign val="baseline"/>
        <sz val="16"/>
        <color rgb="FF000000"/>
        <name val="Calibri"/>
        <scheme val="none"/>
      </font>
    </dxf>
    <dxf>
      <numFmt numFmtId="168" formatCode="&quot;$&quot;#,##0"/>
      <fill>
        <patternFill patternType="solid">
          <fgColor indexed="64"/>
          <bgColor rgb="FFFFFFCC"/>
        </patternFill>
      </fill>
      <alignment horizontal="general" vertical="top" textRotation="0" wrapText="1" indent="0" justifyLastLine="0" shrinkToFit="0" readingOrder="0"/>
      <border outline="0">
        <right style="thin">
          <color auto="1"/>
        </right>
      </border>
      <protection locked="0" hidden="0"/>
    </dxf>
    <dxf>
      <font>
        <b val="0"/>
        <i val="0"/>
        <strike val="0"/>
        <condense val="0"/>
        <extend val="0"/>
        <outline val="0"/>
        <shadow val="0"/>
        <u val="none"/>
        <vertAlign val="baseline"/>
        <sz val="16"/>
        <color rgb="FF000000"/>
        <name val="Calibri"/>
        <scheme val="none"/>
      </font>
    </dxf>
    <dxf>
      <fill>
        <patternFill patternType="solid">
          <fgColor indexed="64"/>
          <bgColor rgb="FFFFFFCC"/>
        </patternFill>
      </fill>
      <alignment horizontal="general" vertical="top" textRotation="0" wrapText="1" indent="0" justifyLastLine="0" shrinkToFit="0" readingOrder="0"/>
      <border outline="0">
        <right style="thin">
          <color auto="1"/>
        </right>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top style="thin">
          <color auto="1"/>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right/>
        <top style="thin">
          <color auto="1"/>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indexed="64"/>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top style="thin">
          <color indexed="64"/>
        </top>
        <bottom style="thin">
          <color auto="1"/>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6" formatCode="* #,##0;_(* \(#,##0\);_(* ??_);_(@_)"/>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thin">
          <color auto="1"/>
        </right>
        <top style="thin">
          <color indexed="64"/>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numFmt numFmtId="164"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6" formatCode="* #,##0;_(* \(#,##0\);_(* ??_);_(@_)"/>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indexed="64"/>
        </right>
        <top style="thin">
          <color indexed="64"/>
        </top>
        <bottom style="thin">
          <color indexed="64"/>
        </bottom>
      </border>
    </dxf>
    <dxf>
      <font>
        <strike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indexed="64"/>
        </right>
        <top style="thin">
          <color indexed="64"/>
        </top>
        <bottom style="thin">
          <color indexed="64"/>
        </bottom>
      </border>
      <protection locked="0" hidden="0"/>
    </dxf>
    <dxf>
      <font>
        <strike val="0"/>
        <outline val="0"/>
        <shadow val="0"/>
        <u val="none"/>
        <vertAlign val="baseline"/>
        <sz val="16"/>
        <color rgb="FF000000"/>
        <name val="Calibri"/>
        <scheme val="none"/>
      </font>
    </dxf>
    <dxf>
      <border diagonalUp="0" diagonalDown="0">
        <left style="thin">
          <color rgb="FF000000"/>
        </left>
        <right style="thin">
          <color rgb="FF000000"/>
        </right>
        <top style="thin">
          <color rgb="FF000000"/>
        </top>
        <bottom style="thin">
          <color rgb="FF000000"/>
        </bottom>
      </border>
    </dxf>
    <dxf>
      <alignment horizontal="general" vertical="top" textRotation="0" wrapText="1" indent="0" justifyLastLine="0" shrinkToFit="0" readingOrder="0"/>
    </dxf>
    <dxf>
      <numFmt numFmtId="30" formatCode="@"/>
      <alignment horizontal="general" vertical="top"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6"/>
        <color rgb="FF000000"/>
        <name val="Calibri"/>
        <scheme val="none"/>
      </font>
    </dxf>
    <dxf>
      <fill>
        <patternFill patternType="solid">
          <bgColor rgb="FFFF3300"/>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6"/>
        <color rgb="FF000000"/>
        <name val="Calibri"/>
        <scheme val="none"/>
      </font>
    </dxf>
    <dxf>
      <fill>
        <patternFill patternType="solid">
          <bgColor rgb="FFFF3300"/>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6"/>
        <color rgb="FF000000"/>
        <name val="Calibri"/>
        <scheme val="none"/>
      </font>
    </dxf>
    <dxf>
      <fill>
        <patternFill patternType="solid">
          <bgColor rgb="FFFF3300"/>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6"/>
        <color rgb="FF000000"/>
        <name val="Calibri"/>
        <scheme val="none"/>
      </font>
    </dxf>
    <dxf>
      <alignment horizontal="general" vertical="top" textRotation="0" wrapText="1" indent="0" justifyLastLine="0" shrinkToFit="0" readingOrder="0"/>
      <border outline="0">
        <left style="thin">
          <color auto="1"/>
        </left>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rgb="FFFFFF0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indexed="64"/>
        </top>
        <bottom style="thin">
          <color indexed="64"/>
        </bottom>
      </border>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indexed="64"/>
        </top>
        <bottom style="thin">
          <color indexed="64"/>
        </bottom>
      </border>
    </dxf>
    <dxf>
      <font>
        <b val="0"/>
        <i val="0"/>
        <strike val="0"/>
        <condense val="0"/>
        <extend val="0"/>
        <outline val="0"/>
        <shadow val="0"/>
        <u val="none"/>
        <vertAlign val="baseline"/>
        <sz val="11"/>
        <color rgb="FF66FF33"/>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bottom style="thin">
          <color auto="1"/>
        </bottom>
        <vertical/>
        <horizontal/>
      </border>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outline="0">
        <left style="medium">
          <color indexed="64"/>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top style="thin">
          <color auto="1"/>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rgb="FFFFFF0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rgb="FF66FF33"/>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bottom style="thin">
          <color auto="1"/>
        </bottom>
        <vertical/>
        <horizontal/>
      </border>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168" formatCode="&quot;$&quot;#,##0"/>
      <fill>
        <patternFill patternType="solid">
          <fgColor indexed="64"/>
          <bgColor rgb="FFFFFFCC"/>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top style="thin">
          <color indexed="64"/>
        </top>
        <bottom style="thin">
          <color auto="1"/>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right/>
        <top style="thin">
          <color indexed="64"/>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right style="thin">
          <color auto="1"/>
        </right>
        <top style="thin">
          <color indexed="64"/>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6" formatCode="* #,##0;_(* \(#,##0\);_(* ??_);_(@_)"/>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thin">
          <color auto="1"/>
        </right>
        <top style="thin">
          <color indexed="64"/>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numFmt numFmtId="164" formatCode="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6" formatCode="* #,##0;_(* \(#,##0\);_(* ??_);_(@_)"/>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indexed="64"/>
        </right>
        <top style="thin">
          <color indexed="64"/>
        </top>
        <bottom style="thin">
          <color indexed="64"/>
        </bottom>
      </border>
      <protection locked="0" hidden="0"/>
    </dxf>
    <dxf>
      <font>
        <strike val="0"/>
        <outline val="0"/>
        <shadow val="0"/>
        <u val="none"/>
        <vertAlign val="baseline"/>
        <sz val="16"/>
        <color rgb="FF000000"/>
        <name val="Calibri"/>
        <scheme val="none"/>
      </font>
    </dxf>
    <dxf>
      <border diagonalUp="0" diagonalDown="0">
        <left style="thin">
          <color rgb="FF000000"/>
        </left>
        <right style="thin">
          <color rgb="FF000000"/>
        </right>
        <top style="thin">
          <color rgb="FF000000"/>
        </top>
        <bottom style="thin">
          <color rgb="FF000000"/>
        </bottom>
      </border>
    </dxf>
    <dxf>
      <alignment horizontal="general" vertical="top" textRotation="0" wrapText="1" indent="0" justifyLastLine="0" shrinkToFit="0" readingOrder="0"/>
    </dxf>
    <dxf>
      <border>
        <bottom style="medium">
          <color indexed="64"/>
        </bottom>
      </border>
    </dxf>
    <dxf>
      <numFmt numFmtId="30" formatCode="@"/>
      <alignment horizontal="general" vertical="top"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168" formatCode="&quot;$&quot;#,##0"/>
      <fill>
        <patternFill patternType="solid">
          <fgColor indexed="64"/>
          <bgColor rgb="FFFF3300"/>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2" formatCode="0.00"/>
      <fill>
        <patternFill patternType="solid">
          <fgColor indexed="64"/>
          <bgColor rgb="FFFF3300"/>
        </patternFill>
      </fill>
      <alignment horizontal="general" vertical="top"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ont>
        <strike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168" formatCode="&quot;$&quot;#,##0"/>
      <fill>
        <patternFill patternType="solid">
          <fgColor indexed="64"/>
          <bgColor rgb="FFFF3300"/>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2" formatCode="0.00"/>
      <fill>
        <patternFill patternType="solid">
          <fgColor indexed="64"/>
          <bgColor rgb="FFFF3300"/>
        </patternFill>
      </fill>
      <alignment horizontal="general" vertical="top" textRotation="0" wrapText="1"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ont>
        <b val="0"/>
        <i val="0"/>
        <strike val="0"/>
        <condense val="0"/>
        <extend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style="thin">
          <color auto="1"/>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auto="1"/>
        </top>
        <bottom style="thin">
          <color auto="1"/>
        </bottom>
        <vertical style="thin">
          <color indexed="64"/>
        </vertical>
        <horizontal style="thin">
          <color auto="1"/>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auto="1"/>
        </top>
        <bottom style="thin">
          <color auto="1"/>
        </bottom>
        <vertical style="thin">
          <color indexed="64"/>
        </vertical>
        <horizontal style="thin">
          <color auto="1"/>
        </horizontal>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auto="1"/>
        </top>
        <bottom style="thin">
          <color auto="1"/>
        </bottom>
        <vertical style="thin">
          <color indexed="64"/>
        </vertical>
        <horizontal style="thin">
          <color auto="1"/>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auto="1"/>
        </top>
        <bottom style="thin">
          <color auto="1"/>
        </bottom>
        <vertical style="thin">
          <color indexed="64"/>
        </vertical>
        <horizontal style="thin">
          <color auto="1"/>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numFmt numFmtId="4" formatCode="#,##0.00"/>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indexed="64"/>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indexed="64"/>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color theme="0" tint="-0.499984740745262"/>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strike val="0"/>
        <outline val="0"/>
        <shadow val="0"/>
        <u val="none"/>
        <vertAlign val="baseline"/>
        <sz val="11"/>
        <color theme="0"/>
        <name val="Calibri"/>
        <scheme val="minor"/>
      </font>
      <numFmt numFmtId="0" formatCode="General"/>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strike val="0"/>
        <outline val="0"/>
        <shadow val="0"/>
        <u val="none"/>
        <vertAlign val="baseline"/>
        <sz val="11"/>
        <color theme="0"/>
        <name val="Calibri"/>
        <scheme val="minor"/>
      </font>
      <numFmt numFmtId="0" formatCode="General"/>
      <fill>
        <patternFill patternType="solid">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numFmt numFmtId="165" formatCode="&quot;$&quot;* #,##0;_(&quot;$&quot;* \(#,##0\);_(* ??_);_(@_)"/>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0" formatCode="General"/>
      <fill>
        <patternFill patternType="solid">
          <fgColor indexed="64"/>
          <bgColor theme="0" tint="-0.499984740745262"/>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strike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auto="1"/>
        <name val="Calibri"/>
        <scheme val="minor"/>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strike val="0"/>
        <outline val="0"/>
        <shadow val="0"/>
        <u val="none"/>
        <vertAlign val="baseline"/>
        <sz val="16"/>
        <color rgb="FF000000"/>
        <name val="Calibri"/>
        <scheme val="none"/>
      </font>
    </dxf>
    <dxf>
      <border diagonalUp="0" diagonalDown="0">
        <left style="thin">
          <color rgb="FF000000"/>
        </left>
        <right style="thin">
          <color rgb="FF000000"/>
        </right>
        <top style="thin">
          <color rgb="FF000000"/>
        </top>
        <bottom style="thin">
          <color rgb="FF000000"/>
        </bottom>
      </border>
    </dxf>
    <dxf>
      <alignment horizontal="general" vertical="top" textRotation="0" wrapText="1" indent="0" justifyLastLine="0" shrinkToFit="0" readingOrder="0"/>
    </dxf>
    <dxf>
      <border>
        <bottom style="medium">
          <color indexed="64"/>
        </bottom>
      </border>
    </dxf>
    <dxf>
      <alignment horizontal="general" vertical="top"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theme="0"/>
        <name val="Calibri"/>
        <scheme val="minor"/>
      </font>
      <numFmt numFmtId="2" formatCode="0.00"/>
      <fill>
        <patternFill patternType="solid">
          <fgColor indexed="64"/>
          <bgColor rgb="FFFF3300"/>
        </patternFill>
      </fill>
      <alignment horizontal="general" vertical="top" textRotation="0" wrapText="1" indent="0" justifyLastLine="0" shrinkToFit="0" readingOrder="0"/>
      <border diagonalUp="0" diagonalDown="0">
        <left style="thin">
          <color auto="1"/>
        </left>
        <right style="medium">
          <color indexed="64"/>
        </right>
        <top style="thin">
          <color auto="1"/>
        </top>
        <bottom style="thin">
          <color auto="1"/>
        </bottom>
      </border>
    </dxf>
    <dxf>
      <font>
        <strike val="0"/>
        <outline val="0"/>
        <shadow val="0"/>
        <u val="none"/>
        <vertAlign val="baseline"/>
        <sz val="11"/>
        <color theme="0"/>
        <name val="Calibri"/>
        <scheme val="minor"/>
      </font>
      <numFmt numFmtId="2" formatCode="0.00"/>
      <fill>
        <patternFill patternType="solid">
          <fgColor indexed="64"/>
          <bgColor rgb="FFFF3300"/>
        </patternFill>
      </fill>
      <alignment horizontal="general" vertical="top" textRotation="0" wrapText="1" indent="0" justifyLastLine="0" shrinkToFit="0" readingOrder="0"/>
      <border diagonalUp="0" diagonalDown="0">
        <left style="thin">
          <color auto="1"/>
        </left>
        <right style="thin">
          <color indexed="64"/>
        </right>
        <top style="thin">
          <color auto="1"/>
        </top>
        <bottom style="thin">
          <color auto="1"/>
        </bottom>
        <vertical/>
      </border>
    </dxf>
    <dxf>
      <font>
        <b val="0"/>
        <i val="0"/>
        <strike val="0"/>
        <condense val="0"/>
        <extend val="0"/>
        <outline val="0"/>
        <shadow val="0"/>
        <u val="none"/>
        <vertAlign val="baseline"/>
        <sz val="16"/>
        <color rgb="FF000000"/>
        <name val="Calibri"/>
        <scheme val="none"/>
      </font>
    </dxf>
    <dxf>
      <font>
        <b val="0"/>
        <i val="0"/>
        <strike val="0"/>
        <condense val="0"/>
        <extend val="0"/>
        <outline val="0"/>
        <shadow val="0"/>
        <u val="none"/>
        <vertAlign val="baseline"/>
        <sz val="11"/>
        <color theme="0"/>
        <name val="Calibri"/>
        <scheme val="minor"/>
      </font>
      <numFmt numFmtId="2" formatCode="0.00"/>
      <fill>
        <patternFill patternType="solid">
          <fgColor indexed="64"/>
          <bgColor rgb="FFFF3300"/>
        </patternFill>
      </fill>
      <alignment horizontal="general" vertical="top" textRotation="0" wrapText="1" indent="0" justifyLastLine="0" shrinkToFit="0" readingOrder="0"/>
      <border diagonalUp="0" diagonalDown="0">
        <left style="medium">
          <color indexed="64"/>
        </left>
        <right style="thin">
          <color indexed="64"/>
        </right>
        <top style="thin">
          <color auto="1"/>
        </top>
        <bottom style="thin">
          <color auto="1"/>
        </bottom>
      </border>
      <protection locked="0" hidden="0"/>
    </dxf>
    <dxf>
      <font>
        <b val="0"/>
        <i val="0"/>
        <strike val="0"/>
        <condense val="0"/>
        <extend val="0"/>
        <outline val="0"/>
        <shadow val="0"/>
        <u val="none"/>
        <vertAlign val="baseline"/>
        <sz val="16"/>
        <color rgb="FF000000"/>
        <name val="Calibri"/>
        <scheme val="none"/>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indexed="64"/>
        </right>
        <top style="thin">
          <color auto="1"/>
        </top>
        <bottom style="thin">
          <color auto="1"/>
        </bottom>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6"/>
        <color theme="1"/>
        <name val="Calibri"/>
        <scheme val="minor"/>
      </font>
    </dxf>
    <dxf>
      <font>
        <color theme="0"/>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165" formatCode="&quot;$&quot;* #,##0;_(&quot;$&quot;* \(#,##0\);_(* ??_);_(@_)"/>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ill>
        <patternFill patternType="solid">
          <fgColor indexed="64"/>
          <bgColor rgb="FFFFFFCC"/>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auto="1"/>
        </right>
        <top style="thin">
          <color auto="1"/>
        </top>
        <bottom style="thin">
          <color auto="1"/>
        </bottom>
      </border>
      <protection locked="0" hidden="0"/>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2" formatCode="0.0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3" formatCode="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font>
        <color theme="0"/>
      </font>
      <numFmt numFmtId="168" formatCode="&quot;$&quot;#,##0"/>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theme="1"/>
        <name val="Calibri"/>
        <scheme val="minor"/>
      </font>
    </dxf>
    <dxf>
      <numFmt numFmtId="165" formatCode="&quot;$&quot;* #,##0;_(&quot;$&quot;* \(#,##0\);_(* ??_);_(@_)"/>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numFmt numFmtId="0" formatCode="General"/>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6"/>
        <color theme="1"/>
        <name val="Calibri"/>
        <scheme val="minor"/>
      </font>
    </dxf>
    <dxf>
      <font>
        <color theme="0" tint="-0.499984740745262"/>
      </font>
      <fill>
        <patternFill patternType="solid">
          <fgColor indexed="64"/>
          <bgColor rgb="FFFFFFCC"/>
        </patternFill>
      </fill>
      <alignment horizontal="general" vertical="top" textRotation="0" wrapText="1" indent="0" justifyLastLine="0" shrinkToFit="0" readingOrder="0"/>
      <border diagonalUp="0" diagonalDown="0">
        <left style="medium">
          <color indexed="64"/>
        </left>
        <right/>
        <top style="thin">
          <color indexed="64"/>
        </top>
        <bottom style="thin">
          <color auto="1"/>
        </bottom>
      </border>
      <protection locked="0"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tint="-0.499984740745262"/>
        <name val="Calibri"/>
        <scheme val="minor"/>
      </font>
      <numFmt numFmtId="164" formatCode="0.0%"/>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1"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9" formatCode="_(&quot;$&quot;* #,##0_);_(&quot;$&quot;* \(#,##0\);_(&quot;$&quot;* &quot;-&quot;??_);_(@_)"/>
      <fill>
        <patternFill patternType="solid">
          <fgColor indexed="64"/>
          <bgColor theme="0" tint="-0.499984740745262"/>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border>
      <protection locked="1"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6" formatCode="* #,##0;_(* \(#,##0\);_(* ??_);_(@_)"/>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thin">
          <color auto="1"/>
        </right>
        <top style="thin">
          <color indexed="64"/>
        </top>
        <bottom style="thin">
          <color indexed="64"/>
        </bottom>
      </border>
      <protection locked="1"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1" hidden="0"/>
    </dxf>
    <dxf>
      <font>
        <b val="0"/>
        <i val="0"/>
        <strike val="0"/>
        <condense val="0"/>
        <extend val="0"/>
        <outline val="0"/>
        <shadow val="0"/>
        <u val="none"/>
        <vertAlign val="baseline"/>
        <sz val="16"/>
        <color theme="1"/>
        <name val="Calibri"/>
        <scheme val="minor"/>
      </font>
    </dxf>
    <dxf>
      <font>
        <b val="0"/>
        <i val="0"/>
        <strike val="0"/>
        <condense val="0"/>
        <extend val="0"/>
        <outline val="0"/>
        <shadow val="0"/>
        <u val="none"/>
        <vertAlign val="baseline"/>
        <sz val="11"/>
        <color theme="0"/>
        <name val="Calibri"/>
        <scheme val="minor"/>
      </font>
      <numFmt numFmtId="169" formatCode="_(&quot;$&quot;* #,##0_);_(&quot;$&quot;* \(#,##0\);_(&quot;$&quot;* &quot;-&quot;??_);_(@_)"/>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protection locked="1"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name val="Calibri"/>
        <scheme val="minor"/>
      </font>
      <numFmt numFmtId="166" formatCode="* #,##0;_(* \(#,##0\);_(* ??_);_(@_)"/>
      <fill>
        <patternFill patternType="solid">
          <fgColor indexed="64"/>
          <bgColor theme="0" tint="-0.499984740745262"/>
        </patternFill>
      </fill>
      <alignment horizontal="general" vertical="top" textRotation="0" wrapText="1" indent="0" justifyLastLine="0" shrinkToFit="0" readingOrder="0"/>
      <border diagonalUp="0" diagonalDown="0" outline="0">
        <left style="medium">
          <color indexed="64"/>
        </left>
        <right style="thin">
          <color auto="1"/>
        </right>
        <top style="thin">
          <color auto="1"/>
        </top>
        <bottom style="thin">
          <color auto="1"/>
        </bottom>
      </border>
      <protection locked="1" hidden="0"/>
    </dxf>
    <dxf>
      <font>
        <b val="0"/>
        <i val="0"/>
        <strike val="0"/>
        <condense val="0"/>
        <extend val="0"/>
        <outline val="0"/>
        <shadow val="0"/>
        <u val="none"/>
        <vertAlign val="baseline"/>
        <sz val="16"/>
        <color theme="1"/>
        <name val="Calibri"/>
        <scheme val="minor"/>
      </font>
    </dxf>
    <dxf>
      <font>
        <strike val="0"/>
        <outline val="0"/>
        <shadow val="0"/>
        <u val="none"/>
        <vertAlign val="baseline"/>
        <sz val="11"/>
        <color theme="0" tint="-0.499984740745262"/>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outline="0">
        <left style="thin">
          <color auto="1"/>
        </left>
        <right style="thin">
          <color indexed="64"/>
        </right>
        <top style="thin">
          <color indexed="64"/>
        </top>
        <bottom style="thin">
          <color indexed="64"/>
        </bottom>
      </border>
    </dxf>
    <dxf>
      <font>
        <strike val="0"/>
        <outline val="0"/>
        <shadow val="0"/>
        <u val="none"/>
        <vertAlign val="baseline"/>
        <sz val="11"/>
        <color theme="0"/>
        <name val="Calibri"/>
        <scheme val="minor"/>
      </font>
      <fill>
        <patternFill patternType="solid">
          <fgColor indexed="64"/>
          <bgColor theme="0" tint="-0.499984740745262"/>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6"/>
        <color theme="1"/>
        <name val="Calibri"/>
        <scheme val="minor"/>
      </font>
    </dxf>
    <dxf>
      <fill>
        <patternFill patternType="solid">
          <fgColor indexed="64"/>
          <bgColor rgb="FFFFFFCC"/>
        </patternFill>
      </fill>
      <alignment horizontal="general" vertical="top" textRotation="0" wrapText="1" indent="0" justifyLastLine="0" shrinkToFit="0" readingOrder="0"/>
      <border diagonalUp="0" diagonalDown="0">
        <left/>
        <right style="thin">
          <color indexed="64"/>
        </right>
        <top style="thin">
          <color indexed="64"/>
        </top>
        <bottom style="thin">
          <color indexed="64"/>
        </bottom>
      </border>
      <protection locked="0" hidden="0"/>
    </dxf>
    <dxf>
      <font>
        <strike val="0"/>
        <outline val="0"/>
        <shadow val="0"/>
        <u val="none"/>
        <vertAlign val="baseline"/>
        <sz val="16"/>
        <color rgb="FF000000"/>
        <name val="Calibri"/>
        <scheme val="none"/>
      </font>
    </dxf>
    <dxf>
      <border diagonalUp="0" diagonalDown="0">
        <left style="thin">
          <color rgb="FF000000"/>
        </left>
        <right style="thin">
          <color rgb="FF000000"/>
        </right>
        <top style="thin">
          <color rgb="FF000000"/>
        </top>
        <bottom style="thin">
          <color rgb="FF000000"/>
        </bottom>
      </border>
    </dxf>
    <dxf>
      <alignment horizontal="general" vertical="top" textRotation="0" wrapText="1" indent="0" justifyLastLine="0" shrinkToFit="0" readingOrder="0"/>
    </dxf>
    <dxf>
      <numFmt numFmtId="0" formatCode="General"/>
      <alignment horizontal="general" vertical="top"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auto="1"/>
        <name val="Segoe UI"/>
        <scheme val="none"/>
      </font>
      <numFmt numFmtId="0" formatCode="General"/>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indexed="64"/>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indexed="64"/>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14" formatCode="0.00%"/>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14" formatCode="0.00%"/>
      <fill>
        <patternFill patternType="none">
          <fgColor indexed="64"/>
          <bgColor theme="0"/>
        </patternFill>
      </fill>
      <alignment horizontal="general" vertical="top" textRotation="0" wrapText="0" indent="0" justifyLastLine="0" shrinkToFit="0" readingOrder="0"/>
      <border diagonalUp="0" diagonalDown="0" outline="0">
        <left style="thin">
          <color indexed="64"/>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indexed="64"/>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1" formatCode="0"/>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14" formatCode="0.00%"/>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1" formatCode="0"/>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14" formatCode="0.00%"/>
      <fill>
        <patternFill patternType="none">
          <fgColor indexed="64"/>
          <bgColor theme="0"/>
        </patternFill>
      </fill>
      <alignment horizontal="general" vertical="top" textRotation="0" wrapText="0" indent="0" justifyLastLine="0" shrinkToFit="0" readingOrder="0"/>
      <border diagonalUp="0" diagonalDown="0" outline="0">
        <left style="thin">
          <color indexed="64"/>
        </left>
        <right style="thin">
          <color theme="0" tint="-0.24994659260841701"/>
        </right>
        <top style="thin">
          <color theme="0" tint="-0.24994659260841701"/>
        </top>
        <bottom style="thin">
          <color theme="0" tint="-0.24994659260841701"/>
        </bottom>
      </border>
    </dxf>
    <dxf>
      <font>
        <b val="0"/>
        <i val="0"/>
        <strike val="0"/>
        <condense val="0"/>
        <extend val="0"/>
        <outline val="0"/>
        <shadow val="0"/>
        <u val="none"/>
        <vertAlign val="baseline"/>
        <sz val="10"/>
        <color auto="1"/>
        <name val="Segoe UI"/>
        <scheme val="none"/>
      </font>
      <numFmt numFmtId="0" formatCode="General"/>
      <fill>
        <patternFill patternType="solid">
          <fgColor indexed="64"/>
          <bgColor theme="0"/>
        </patternFill>
      </fill>
      <alignment horizontal="general" vertical="top" textRotation="0" wrapText="0" indent="0" justifyLastLine="0" shrinkToFit="0" readingOrder="0"/>
      <border diagonalUp="0" diagonalDown="0" outline="0">
        <left/>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0" formatCode="General"/>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indexed="64"/>
        </right>
        <top style="thin">
          <color theme="0" tint="-0.24994659260841701"/>
        </top>
        <bottom style="thin">
          <color theme="0" tint="-0.24994659260841701"/>
        </bottom>
      </border>
    </dxf>
    <dxf>
      <font>
        <b val="0"/>
        <i val="0"/>
        <strike val="0"/>
        <condense val="0"/>
        <extend val="0"/>
        <outline val="0"/>
        <shadow val="0"/>
        <u val="none"/>
        <vertAlign val="baseline"/>
        <sz val="10"/>
        <color auto="1"/>
        <name val="Segoe UI"/>
        <scheme val="none"/>
      </font>
      <numFmt numFmtId="0" formatCode="General"/>
      <fill>
        <patternFill patternType="solid">
          <fgColor indexed="64"/>
          <bgColor theme="0"/>
        </patternFill>
      </fill>
      <alignment horizontal="general" vertical="top" textRotation="0" wrapText="0" indent="0" justifyLastLine="0" shrinkToFit="0" readingOrder="0"/>
      <border diagonalUp="0" diagonalDown="0">
        <left style="thin">
          <color theme="0" tint="-0.24994659260841701"/>
        </left>
        <right/>
        <top style="thin">
          <color theme="0" tint="-0.24994659260841701"/>
        </top>
        <bottom style="thin">
          <color theme="0" tint="-0.24994659260841701"/>
        </bottom>
        <vertical/>
        <horizontal/>
      </border>
    </dxf>
    <dxf>
      <font>
        <strike val="0"/>
        <outline val="0"/>
        <shadow val="0"/>
        <u val="none"/>
        <vertAlign val="baseline"/>
        <sz val="10"/>
        <color auto="1"/>
        <name val="Segoe UI"/>
        <scheme val="none"/>
      </font>
      <numFmt numFmtId="0" formatCode="General"/>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b val="0"/>
        <i val="0"/>
        <strike val="0"/>
        <condense val="0"/>
        <extend val="0"/>
        <outline val="0"/>
        <shadow val="0"/>
        <u val="none"/>
        <vertAlign val="baseline"/>
        <sz val="10"/>
        <color auto="1"/>
        <name val="Segoe UI"/>
        <scheme val="none"/>
      </font>
      <numFmt numFmtId="1" formatCode="0"/>
      <fill>
        <patternFill patternType="solid">
          <fgColor indexed="64"/>
          <bgColor theme="0"/>
        </patternFill>
      </fill>
      <alignment horizontal="general" vertical="top" textRotation="0" wrapText="0"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font>
        <b val="0"/>
        <i val="0"/>
        <strike val="0"/>
        <condense val="0"/>
        <extend val="0"/>
        <outline val="0"/>
        <shadow val="0"/>
        <u val="none"/>
        <vertAlign val="baseline"/>
        <sz val="10"/>
        <color auto="1"/>
        <name val="Segoe UI"/>
        <scheme val="none"/>
      </font>
      <numFmt numFmtId="1" formatCode="0"/>
      <fill>
        <patternFill patternType="solid">
          <fgColor indexed="64"/>
          <bgColor theme="0"/>
        </patternFill>
      </fill>
      <alignment horizontal="general" vertical="top" textRotation="0" wrapText="0"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font>
        <b val="0"/>
        <i val="0"/>
        <strike val="0"/>
        <condense val="0"/>
        <extend val="0"/>
        <outline val="0"/>
        <shadow val="0"/>
        <u val="none"/>
        <vertAlign val="baseline"/>
        <sz val="10"/>
        <color auto="1"/>
        <name val="Segoe UI"/>
        <scheme val="none"/>
      </font>
      <numFmt numFmtId="0" formatCode="General"/>
      <fill>
        <patternFill patternType="solid">
          <fgColor indexed="64"/>
          <bgColor theme="0"/>
        </patternFill>
      </fill>
      <alignment horizontal="general" vertical="top" textRotation="0" wrapText="0"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font>
        <b val="0"/>
        <i val="0"/>
        <strike val="0"/>
        <condense val="0"/>
        <extend val="0"/>
        <outline val="0"/>
        <shadow val="0"/>
        <u val="none"/>
        <vertAlign val="baseline"/>
        <sz val="10"/>
        <color auto="1"/>
        <name val="Segoe UI"/>
        <scheme val="none"/>
      </font>
      <numFmt numFmtId="0" formatCode="General"/>
      <fill>
        <patternFill patternType="none">
          <fgColor indexed="64"/>
          <bgColor theme="0"/>
        </patternFill>
      </fill>
      <alignment horizontal="general" vertical="top" textRotation="0" wrapText="0"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170" formatCode="_(* #,##0_);_(* \(#,##0\);_(* &quot;-&quot;??_);_(@_)"/>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b val="0"/>
        <i val="0"/>
        <strike val="0"/>
        <condense val="0"/>
        <extend val="0"/>
        <outline val="0"/>
        <shadow val="0"/>
        <u val="none"/>
        <vertAlign val="baseline"/>
        <sz val="10"/>
        <color auto="1"/>
        <name val="Segoe UI"/>
        <scheme val="none"/>
      </font>
      <numFmt numFmtId="169" formatCode="_(&quot;$&quot;* #,##0_);_(&quot;$&quot;* \(#,##0\);_(&quot;$&quot;* &quot;-&quot;??_);_(@_)"/>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b val="0"/>
        <i val="0"/>
        <strike val="0"/>
        <condense val="0"/>
        <extend val="0"/>
        <outline val="0"/>
        <shadow val="0"/>
        <u val="none"/>
        <vertAlign val="baseline"/>
        <sz val="10"/>
        <color auto="1"/>
        <name val="Segoe UI"/>
        <scheme val="none"/>
      </font>
      <numFmt numFmtId="169" formatCode="_(&quot;$&quot;* #,##0_);_(&quot;$&quot;* \(#,##0\);_(&quot;$&quot;* &quot;-&quot;??_);_(@_)"/>
      <fill>
        <patternFill patternType="solid">
          <fgColor indexed="64"/>
          <bgColor theme="0"/>
        </patternFill>
      </fill>
      <alignment horizontal="general" vertical="top" textRotation="0" wrapText="0" indent="0" justifyLastLine="0" shrinkToFit="0" readingOrder="0"/>
      <border diagonalUp="0" diagonalDown="0">
        <left style="thin">
          <color theme="0" tint="-0.24994659260841701"/>
        </left>
        <right style="thin">
          <color theme="0" tint="-0.24994659260841701"/>
        </right>
        <top/>
        <bottom style="thin">
          <color theme="0" tint="-0.24994659260841701"/>
        </bottom>
        <vertical/>
        <horizontal/>
      </border>
    </dxf>
    <dxf>
      <font>
        <b val="0"/>
        <i val="0"/>
        <strike val="0"/>
        <condense val="0"/>
        <extend val="0"/>
        <outline val="0"/>
        <shadow val="0"/>
        <u val="none"/>
        <vertAlign val="baseline"/>
        <sz val="10"/>
        <color auto="1"/>
        <name val="Segoe UI"/>
        <scheme val="none"/>
      </font>
      <numFmt numFmtId="169" formatCode="_(&quot;$&quot;* #,##0_);_(&quot;$&quot;* \(#,##0\);_(&quot;$&quot;* &quot;-&quot;??_);_(@_)"/>
      <fill>
        <patternFill patternType="solid">
          <fgColor indexed="64"/>
          <bgColor theme="0"/>
        </patternFill>
      </fill>
      <alignment horizontal="general" vertical="top" textRotation="0" wrapText="0" indent="0" justifyLastLine="0" shrinkToFit="0" readingOrder="0"/>
      <border diagonalUp="0" diagonalDown="0">
        <left style="thin">
          <color theme="0" tint="-0.24994659260841701"/>
        </left>
        <right style="thin">
          <color theme="0" tint="-0.24994659260841701"/>
        </right>
        <top/>
        <bottom style="thin">
          <color theme="0" tint="-0.24994659260841701"/>
        </bottom>
        <vertical/>
        <horizontal/>
      </border>
    </dxf>
    <dxf>
      <font>
        <b val="0"/>
        <i val="0"/>
        <strike val="0"/>
        <condense val="0"/>
        <extend val="0"/>
        <outline val="0"/>
        <shadow val="0"/>
        <u val="none"/>
        <vertAlign val="baseline"/>
        <sz val="10"/>
        <color auto="1"/>
        <name val="Segoe UI"/>
        <scheme val="none"/>
      </font>
      <numFmt numFmtId="169" formatCode="_(&quot;$&quot;* #,##0_);_(&quot;$&quot;* \(#,##0\);_(&quot;$&quot;* &quot;-&quot;??_);_(@_)"/>
      <fill>
        <patternFill patternType="solid">
          <fgColor indexed="64"/>
          <bgColor theme="0"/>
        </patternFill>
      </fill>
      <alignment horizontal="general" vertical="top" textRotation="0" wrapText="0" indent="0" justifyLastLine="0" shrinkToFit="0" readingOrder="0"/>
      <border diagonalUp="0" diagonalDown="0">
        <left style="thin">
          <color theme="0" tint="-0.24994659260841701"/>
        </left>
        <right style="thin">
          <color theme="0" tint="-0.24994659260841701"/>
        </right>
        <top/>
        <bottom style="thin">
          <color theme="0" tint="-0.24994659260841701"/>
        </bottom>
        <vertical/>
        <horizontal/>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2" formatCode="0.00"/>
      <fill>
        <patternFill patternType="none">
          <fgColor indexed="64"/>
          <bgColor theme="0"/>
        </patternFill>
      </fill>
      <alignment horizontal="general" vertical="top" textRotation="0" wrapText="0" indent="0" justifyLastLine="0" shrinkToFit="0" readingOrder="0"/>
      <border diagonalUp="0" diagonalDown="0" outline="0">
        <left style="thin">
          <color auto="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0" formatCode="General"/>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auto="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numFmt numFmtId="14" formatCode="0.00%"/>
      <fill>
        <patternFill patternType="none">
          <fgColor indexed="64"/>
          <bgColor theme="0"/>
        </patternFill>
      </fill>
      <alignment horizontal="general" vertical="top" textRotation="0" wrapText="0" indent="0" justifyLastLine="0" shrinkToFit="0" readingOrder="0"/>
      <border diagonalUp="0" diagonalDown="0" outline="0">
        <left style="thin">
          <color indexed="64"/>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theme="0" tint="-0.24994659260841701"/>
        </left>
        <right style="thin">
          <color theme="0" tint="-0.24994659260841701"/>
        </right>
        <top style="thin">
          <color theme="0" tint="-0.24994659260841701"/>
        </top>
        <bottom style="thin">
          <color theme="0" tint="-0.24994659260841701"/>
        </bottom>
      </border>
    </dxf>
    <dxf>
      <font>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border diagonalUp="0" diagonalDown="0" outline="0">
        <left/>
        <right style="thin">
          <color theme="0" tint="-0.24994659260841701"/>
        </right>
        <top style="thin">
          <color theme="0" tint="-0.24994659260841701"/>
        </top>
        <bottom style="thin">
          <color theme="0" tint="-0.24994659260841701"/>
        </bottom>
      </border>
    </dxf>
    <dxf>
      <font>
        <b/>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border diagonalUp="0" diagonalDown="0" outline="0">
        <left style="thin">
          <color indexed="64"/>
        </left>
        <right style="thin">
          <color indexed="64"/>
        </right>
        <top style="thin">
          <color theme="0" tint="-0.24994659260841701"/>
        </top>
        <bottom style="thin">
          <color theme="0" tint="-0.24994659260841701"/>
        </bottom>
      </border>
    </dxf>
    <dxf>
      <border outline="0">
        <top style="thin">
          <color auto="1"/>
        </top>
      </border>
    </dxf>
    <dxf>
      <font>
        <strike val="0"/>
        <outline val="0"/>
        <shadow val="0"/>
        <u val="none"/>
        <vertAlign val="baseline"/>
        <sz val="10"/>
        <color auto="1"/>
        <name val="Segoe UI"/>
        <scheme val="none"/>
      </font>
      <fill>
        <patternFill patternType="none">
          <fgColor indexed="64"/>
          <bgColor theme="0"/>
        </patternFill>
      </fill>
      <alignment horizontal="general" vertical="top" textRotation="0" wrapText="0" indent="0" justifyLastLine="0" shrinkToFit="0" readingOrder="0"/>
    </dxf>
    <dxf>
      <border>
        <bottom style="thin">
          <color indexed="64"/>
        </bottom>
      </border>
    </dxf>
    <dxf>
      <font>
        <b/>
        <strike val="0"/>
        <outline val="0"/>
        <shadow val="0"/>
        <u val="none"/>
        <vertAlign val="baseline"/>
        <sz val="10"/>
        <color auto="1"/>
        <name val="Segoe UI Semibold"/>
        <scheme val="none"/>
      </font>
      <fill>
        <patternFill patternType="none">
          <fgColor indexed="64"/>
          <bgColor theme="0"/>
        </patternFill>
      </fill>
      <alignment horizontal="left" vertical="top" textRotation="0" wrapText="1" indent="0" justifyLastLine="0" shrinkToFit="0" readingOrder="0"/>
    </dxf>
    <dxf>
      <fill>
        <patternFill>
          <bgColor theme="0" tint="-0.14996795556505021"/>
        </patternFill>
      </fill>
    </dxf>
    <dxf>
      <fill>
        <patternFill>
          <bgColor theme="0" tint="-0.14996795556505021"/>
        </patternFill>
      </fill>
    </dxf>
    <dxf>
      <font>
        <color rgb="FF9C0006"/>
      </font>
      <fill>
        <patternFill>
          <bgColor rgb="FFFFC7CE"/>
        </patternFill>
      </fill>
    </dxf>
  </dxfs>
  <tableStyles count="0" defaultTableStyle="TableStyleMedium2" defaultPivotStyle="PivotStyleLight16"/>
  <colors>
    <mruColors>
      <color rgb="FF4472C4"/>
      <color rgb="FFFF3300"/>
      <color rgb="FF66FF33"/>
      <color rgb="FFFFFFCC"/>
      <color rgb="FFDDEBF7"/>
      <color rgb="FFB49200"/>
      <color rgb="FF7CA800"/>
      <color rgb="FF154DFF"/>
      <color rgb="FF0087E2"/>
      <color rgb="FF00AC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130402</xdr:rowOff>
    </xdr:from>
    <xdr:ext cx="3610363" cy="4860561"/>
    <xdr:pic>
      <xdr:nvPicPr>
        <xdr:cNvPr id="4" name="Picture 3" descr="The general tab of the windows explorer file properties menu.&#10;Circled is the Security section with a checkbox for unblocking the file.">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524352"/>
          <a:ext cx="3610363" cy="4860561"/>
        </a:xfrm>
        <a:prstGeom prst="rect">
          <a:avLst/>
        </a:prstGeom>
        <a:noFill/>
        <a:ln>
          <a:noFill/>
        </a:ln>
      </xdr:spPr>
    </xdr:pic>
    <xdr:clientData/>
  </xdr:oneCellAnchor>
  <xdr:twoCellAnchor editAs="oneCell">
    <xdr:from>
      <xdr:col>1</xdr:col>
      <xdr:colOff>1</xdr:colOff>
      <xdr:row>49</xdr:row>
      <xdr:rowOff>0</xdr:rowOff>
    </xdr:from>
    <xdr:to>
      <xdr:col>3</xdr:col>
      <xdr:colOff>1</xdr:colOff>
      <xdr:row>66</xdr:row>
      <xdr:rowOff>88393</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a:stretch>
          <a:fillRect/>
        </a:stretch>
      </xdr:blipFill>
      <xdr:spPr>
        <a:xfrm>
          <a:off x="190501" y="12934950"/>
          <a:ext cx="6153150" cy="32189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1143000</xdr:colOff>
          <xdr:row>5</xdr:row>
          <xdr:rowOff>50800</xdr:rowOff>
        </xdr:from>
        <xdr:to>
          <xdr:col>2</xdr:col>
          <xdr:colOff>603250</xdr:colOff>
          <xdr:row>5</xdr:row>
          <xdr:rowOff>565150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0" i="0" u="none" strike="noStrike" baseline="0">
                  <a:solidFill>
                    <a:srgbClr val="0000FF"/>
                  </a:solidFill>
                  <a:latin typeface="Calibri"/>
                  <a:ea typeface="Calibri"/>
                  <a:cs typeface="Calibri"/>
                </a:rPr>
                <a:t>Click Here or Press the Enter Key to Open the </a:t>
              </a:r>
              <a:r>
                <a:rPr lang="en-US" sz="1400" b="0" i="0" u="sng" strike="noStrike" baseline="0">
                  <a:solidFill>
                    <a:srgbClr val="0000FF"/>
                  </a:solidFill>
                  <a:latin typeface="Calibri"/>
                  <a:ea typeface="Calibri"/>
                  <a:cs typeface="Calibri"/>
                </a:rPr>
                <a:t>A</a:t>
              </a:r>
              <a:r>
                <a:rPr lang="en-US" sz="1400" b="0" i="0" u="none" strike="noStrike" baseline="0">
                  <a:solidFill>
                    <a:srgbClr val="0000FF"/>
                  </a:solidFill>
                  <a:latin typeface="Calibri"/>
                  <a:ea typeface="Calibri"/>
                  <a:cs typeface="Calibri"/>
                </a:rPr>
                <a:t>pplication</a:t>
              </a:r>
            </a:p>
          </xdr:txBody>
        </xdr:sp>
        <xdr:clientData fPrintsWithSheet="0"/>
      </xdr:twoCellAnchor>
    </mc:Choice>
    <mc:Fallback/>
  </mc:AlternateContent>
  <xdr:twoCellAnchor editAs="oneCell">
    <xdr:from>
      <xdr:col>1</xdr:col>
      <xdr:colOff>368300</xdr:colOff>
      <xdr:row>4</xdr:row>
      <xdr:rowOff>38100</xdr:rowOff>
    </xdr:from>
    <xdr:to>
      <xdr:col>1</xdr:col>
      <xdr:colOff>3175000</xdr:colOff>
      <xdr:row>4</xdr:row>
      <xdr:rowOff>2844800</xdr:rowOff>
    </xdr:to>
    <xdr:pic>
      <xdr:nvPicPr>
        <xdr:cNvPr id="4" name="Picture 3" descr="Home">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4550" y="1339850"/>
          <a:ext cx="2806700" cy="280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CountyScoresTbl" displayName="CountyScoresTbl" ref="A2:AW60" totalsRowShown="0" headerRowDxfId="771" dataDxfId="769" headerRowBorderDxfId="770" tableBorderDxfId="768">
  <autoFilter ref="A2:AW60" xr:uid="{00000000-0009-0000-0100-000001000000}"/>
  <tableColumns count="49">
    <tableColumn id="1" xr3:uid="{00000000-0010-0000-0000-000001000000}" name="County" dataDxfId="767"/>
    <tableColumn id="2" xr3:uid="{00000000-0010-0000-0000-000002000000}" name="Housing Affordability" dataDxfId="766"/>
    <tableColumn id="3" xr3:uid="{00000000-0010-0000-0000-000003000000}" name="Housing Affordability Points" dataDxfId="765"/>
    <tableColumn id="4" xr3:uid="{00000000-0010-0000-0000-000004000000}" name="Percent of Low-Income Renter households" dataDxfId="764"/>
    <tableColumn id="5" xr3:uid="{00000000-0010-0000-0000-000005000000}" name="Percent of Low-Income Renter households Points" dataDxfId="763"/>
    <tableColumn id="6" xr3:uid="{00000000-0010-0000-0000-000006000000}" name="Percent of Overcrowded Renter Households" dataDxfId="762"/>
    <tableColumn id="7" xr3:uid="{00000000-0010-0000-0000-000007000000}" name="Percent of Overcrowded Renter Households Points" dataDxfId="761"/>
    <tableColumn id="8" xr3:uid="{00000000-0010-0000-0000-000008000000}" name="Rental Vacancy Rate" dataDxfId="760"/>
    <tableColumn id="9" xr3:uid="{00000000-0010-0000-0000-000009000000}" name="Rental Vacancy Rate Points" dataDxfId="759"/>
    <tableColumn id="10" xr3:uid="{00000000-0010-0000-0000-00000A000000}" name="Community Need Total Points" dataDxfId="758">
      <calculatedColumnFormula>MIN(15,CountyScoresTbl[[#This Row],[Housing Affordability Points]]+CountyScoresTbl[[#This Row],[Percent of Low-Income Renter households Points]]+CountyScoresTbl[[#This Row],[Percent of Overcrowded Renter Households Points]]+CountyScoresTbl[[#This Row],[Rental Vacancy Rate Points]])</calculatedColumnFormula>
    </tableColumn>
    <tableColumn id="11" xr3:uid="{00000000-0010-0000-0000-00000B000000}" name="Age of Housing Stock" dataDxfId="757"/>
    <tableColumn id="12" xr3:uid="{00000000-0010-0000-0000-00000C000000}" name="Age of Housing Stock Points" dataDxfId="756"/>
    <tableColumn id="13" xr3:uid="{00000000-0010-0000-0000-00000D000000}" name="Percent of Homeowners in Poverty" dataDxfId="755"/>
    <tableColumn id="14" xr3:uid="{00000000-0010-0000-0000-00000E000000}" name="Percent of Homeowners in Poverty Points" dataDxfId="754"/>
    <tableColumn id="15" xr3:uid="{00000000-0010-0000-0000-00000F000000}" name="Percent of Low-Income Homeowners" dataDxfId="753"/>
    <tableColumn id="16" xr3:uid="{00000000-0010-0000-0000-000010000000}" name="Percent of Low-Income Homeowners Points" dataDxfId="752"/>
    <tableColumn id="17" xr3:uid="{00000000-0010-0000-0000-000011000000}" name="Percent of Overcrowded Homeowners" dataDxfId="751"/>
    <tableColumn id="18" xr3:uid="{00000000-0010-0000-0000-000012000000}" name="Percent of Overcrowded Homeowners Points" dataDxfId="750"/>
    <tableColumn id="19" xr3:uid="{00000000-0010-0000-0000-000013000000}" name="OOR Community Need" dataDxfId="749">
      <calculatedColumnFormula>ROUND(CountyScoresTbl[[#This Row],[Age of Housing Stock Points]],0)+
ROUND(CountyScoresTbl[[#This Row],[Percent of Homeowners in Poverty Points]],0)+
ROUND(CountyScoresTbl[[#This Row],[Percent of Low-Income Homeowners Points]],0)+
ROUND(CountyScoresTbl[[#This Row],[Percent of Overcrowded Homeowners Points]],0)</calculatedColumnFormula>
    </tableColumn>
    <tableColumn id="20" xr3:uid="{00000000-0010-0000-0000-000014000000}" name="Median Owner to Renter Cost Ratio" dataDxfId="748"/>
    <tableColumn id="21" xr3:uid="{00000000-0010-0000-0000-000015000000}" name="Median Owner Renter Cost Ratio Points" dataDxfId="747"/>
    <tableColumn id="42" xr3:uid="{00000000-0010-0000-0000-00002A000000}" name="Redfin.com _x000a_Median Sales Price" dataDxfId="746"/>
    <tableColumn id="43" xr3:uid="{00000000-0010-0000-0000-00002B000000}" name="Realtor.com Median Sales Price" dataDxfId="745"/>
    <tableColumn id="39" xr3:uid="{00000000-0010-0000-0000-000027000000}" name="Zillow.com Median Sales Price" dataDxfId="744"/>
    <tableColumn id="44" xr3:uid="{00000000-0010-0000-0000-00002C000000}" name="Average from Redfin, Realtor, Zillow" dataDxfId="743">
      <calculatedColumnFormula>AVERAGE(CountyScoresTbl[[#This Row],[Redfin.com 
Median Sales Price]:[Zillow.com Median Sales Price]])</calculatedColumnFormula>
    </tableColumn>
    <tableColumn id="22" xr3:uid="{00000000-0010-0000-0000-000016000000}" name="Affordable Single Family Homes Sold In Last Year_x000a_(Zillow.com)" dataDxfId="742" dataCellStyle="Normal_Sheet7"/>
    <tableColumn id="41" xr3:uid="{00000000-0010-0000-0000-000029000000}" name="CalHome Proposed Number of Loans (entered by Applicant)" dataDxfId="741">
      <calculatedColumnFormula array="1">IF(INDEX(CHMATbl[NEW CONSTRUCTION OR AQUIRE/REHAB],ROW(A1),1)="",
INDEX(CHMATbl[UNRESTRICTED UNITS],ROW(A1),1)+
INDEX(CHMATbl[MANUFACTURED UNITS],ROW(A1),1)+
INDEX(CHMATbl[RURAL UNITS],ROW(A1),1)+
INDEX(CHMATbl[MANUFACTURED AND RURAL UNITS],ROW(A1),1),
0)</calculatedColumnFormula>
    </tableColumn>
    <tableColumn id="47" xr3:uid="{00000000-0010-0000-0000-00002F000000}" name="Serna Proposed Number of Loans (entered by Applicant)" dataDxfId="740">
      <calculatedColumnFormula array="1">IF(INDEX(CHMATbl[NEW CONSTRUCTION OR AQUIRE/REHAB],ROW(A1),1)="",
INDEX(S1MATbl[UNRESTRICTED UNITS],ROW(A1),1)+
INDEX(S1MATbl[RURAL UNITS],ROW(A1),1),
0)</calculatedColumnFormula>
    </tableColumn>
    <tableColumn id="45" xr3:uid="{00000000-0010-0000-0000-00002D000000}" name="CalHome Annualized Home Sales/ Proposed # of Loans" dataDxfId="739">
      <calculatedColumnFormula>IFERROR(
CountyScoresTbl[[#This Row],[Affordable Single Family Homes Sold In Last Year
(Zillow.com)]]/CountyScoresTbl[[#This Row],[CalHome Proposed Number of Loans (entered by Applicant)]],
0)</calculatedColumnFormula>
    </tableColumn>
    <tableColumn id="48" xr3:uid="{00000000-0010-0000-0000-000030000000}" name="Serna Annualized Home Sales/ Proposed # of Loans" dataDxfId="738">
      <calculatedColumnFormula>IFERROR(
CountyScoresTbl[[#This Row],[Affordable Single Family Homes Sold In Last Year
(Zillow.com)]]/CountyScoresTbl[[#This Row],[Serna Proposed Number of Loans (entered by Applicant)]],
0)</calculatedColumnFormula>
    </tableColumn>
    <tableColumn id="23" xr3:uid="{00000000-0010-0000-0000-000017000000}" name="CalHome Proposed Loans to Sales Ratio Points" dataDxfId="737">
      <calculatedColumnFormula>IF(AC3&gt;=167, 10,
IF(AC3&gt;=73, 8,
IF(AC3&gt;=34, 6,
IF(AC3&gt;=11, 4,
2))))</calculatedColumnFormula>
    </tableColumn>
    <tableColumn id="49" xr3:uid="{00000000-0010-0000-0000-000031000000}" name="Serna Proposed Loans to Sales Ratio Points" dataDxfId="736">
      <calculatedColumnFormula>IF(AD3&gt;=167, 10,
IF(AD3&gt;=73, 8,
IF(AD3&gt;=34, 6,
IF(AD3&gt;=11, 4,
2))))</calculatedColumnFormula>
    </tableColumn>
    <tableColumn id="24" xr3:uid="{00000000-0010-0000-0000-000018000000}" name="CalHome Feasibility Points Awarded" dataDxfId="735">
      <calculatedColumnFormula>CountyScoresTbl[[#This Row],[Median Owner Renter Cost Ratio Points]]+CountyScoresTbl[[#This Row],[CalHome Proposed Loans to Sales Ratio Points]]</calculatedColumnFormula>
    </tableColumn>
    <tableColumn id="46" xr3:uid="{00000000-0010-0000-0000-00002E000000}" name="Serna Feasibility Points Awarded" dataDxfId="734">
      <calculatedColumnFormula>CountyScoresTbl[[#This Row],[Median Owner Renter Cost Ratio Points]]+CountyScoresTbl[[#This Row],[Serna Proposed Loans to Sales Ratio Points]]</calculatedColumnFormula>
    </tableColumn>
    <tableColumn id="25" xr3:uid="{00000000-0010-0000-0000-000019000000}" name="Age of Housing Stock (Copy)" dataDxfId="733">
      <calculatedColumnFormula>CountyScoresTbl[[#This Row],[Age of Housing Stock]]</calculatedColumnFormula>
    </tableColumn>
    <tableColumn id="26" xr3:uid="{00000000-0010-0000-0000-00001A000000}" name="Age of Housing Stock Points 2" dataDxfId="732"/>
    <tableColumn id="27" xr3:uid="{00000000-0010-0000-0000-00001B000000}" name="Percent of Overcrowded Homeowners (Copy)" dataDxfId="731">
      <calculatedColumnFormula>CountyScoresTbl[[#This Row],[Percent of Overcrowded Homeowners]]</calculatedColumnFormula>
    </tableColumn>
    <tableColumn id="28" xr3:uid="{00000000-0010-0000-0000-00001C000000}" name="Percent of Overcrowded Homeowners Points 2" dataDxfId="730"/>
    <tableColumn id="29" xr3:uid="{00000000-0010-0000-0000-00001D000000}" name="OOR/ADU Total Feasibility Points Awarded" dataDxfId="729"/>
    <tableColumn id="30" xr3:uid="{00000000-0010-0000-0000-00001E000000}" name="Renters &lt;=80%AMI with Severe Cost Burden" dataDxfId="728"/>
    <tableColumn id="31" xr3:uid="{00000000-0010-0000-0000-00001F000000}" name="Severe Cost Burden Points Awarded" dataDxfId="727"/>
    <tableColumn id="32" xr3:uid="{00000000-0010-0000-0000-000020000000}" name="Rental Vacancy Rate (Copy)" dataDxfId="726">
      <calculatedColumnFormula>CountyScoresTbl[[#This Row],[Rental Vacancy Rate]]</calculatedColumnFormula>
    </tableColumn>
    <tableColumn id="33" xr3:uid="{00000000-0010-0000-0000-000021000000}" name="Rental Vacancy Rate Points 2" dataDxfId="725"/>
    <tableColumn id="34" xr3:uid="{00000000-0010-0000-0000-000022000000}" name="SHTA Total Feasibility Points Awarded" dataDxfId="724"/>
    <tableColumn id="35" xr3:uid="{00000000-0010-0000-0000-000023000000}" name="Median Owner to Renter Cost Ratio (copy)" dataDxfId="723"/>
    <tableColumn id="36" xr3:uid="{00000000-0010-0000-0000-000024000000}" name="Points Awarded" dataDxfId="722"/>
    <tableColumn id="37" xr3:uid="{00000000-0010-0000-0000-000025000000}" name="PDL/SHTA Feasibility Points Awarded" dataDxfId="721"/>
    <tableColumn id="38" xr3:uid="{00000000-0010-0000-0000-000026000000}" name="OMS Migrant Family Housing Centers In County" dataDxfId="720"/>
    <tableColumn id="40" xr3:uid="{00000000-0010-0000-0000-000028000000}" name="Farmworker Need Points Awarded" dataDxfId="71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1000000}" name="S1SHTATbl" displayName="S1SHTATbl" ref="A2:AH60" totalsRowShown="0" headerRowDxfId="718" dataDxfId="717" totalsRowDxfId="715" tableBorderDxfId="716">
  <autoFilter ref="A2:AH60" xr:uid="{00000000-0009-0000-0100-000009000000}"/>
  <sortState xmlns:xlrd2="http://schemas.microsoft.com/office/spreadsheetml/2017/richdata2" ref="A3:AE60">
    <sortCondition ref="B2:B60"/>
  </sortState>
  <tableColumns count="34">
    <tableColumn id="1" xr3:uid="{00000000-0010-0000-0100-000001000000}" name="APPLYING" dataDxfId="714" totalsRowDxfId="713"/>
    <tableColumn id="13" xr3:uid="{00000000-0010-0000-0100-00000D000000}" name="COUNTY" dataDxfId="712"/>
    <tableColumn id="26" xr3:uid="{00000000-0010-0000-0100-00001A000000}" name="|" dataDxfId="711" totalsRowDxfId="710"/>
    <tableColumn id="22" xr3:uid="{00000000-0010-0000-0100-000016000000}" name="UNITS" dataDxfId="709" totalsRowDxfId="708">
      <calculatedColumnFormula>IF(S1SHTATbl[[#This Row],[UNRESTRICTED UNITS]]=0,"",S1SHTATbl[[#This Row],[UNRESTRICTED UNITS]])</calculatedColumnFormula>
    </tableColumn>
    <tableColumn id="21" xr3:uid="{00000000-0010-0000-0100-000015000000}" name="TOTAL $ REQUESTED" dataDxfId="707" totalsRowDxfId="706">
      <calculatedColumnFormula xml:space="preserve">
IF(S1SHTATbl[[#This Row],[UNRESTRICTED TOTAL REQUESTED]]=0,"",
S1SHTATbl[[#This Row],[UNRESTRICTED TOTAL REQUESTED]]*
IF(S1_SHTA_UnrestrictedTotalRequested&lt;=500000,1,
500000/S1_SHTA_UnrestrictedTotalRequested)
)</calculatedColumnFormula>
    </tableColumn>
    <tableColumn id="23" xr3:uid="{00000000-0010-0000-0100-000017000000}" name="% OF TOTAL" dataDxfId="705" totalsRowDxfId="704">
      <calculatedColumnFormula>IF(S1SHTATbl[[#This Row],[UNRESTRICTED % OF FUNDING]]=0,"",S1SHTATbl[[#This Row],[UNRESTRICTED % OF FUNDING]])</calculatedColumnFormula>
    </tableColumn>
    <tableColumn id="32" xr3:uid="{00000000-0010-0000-0100-000020000000}" name="|2" dataDxfId="703" totalsRowDxfId="702"/>
    <tableColumn id="15" xr3:uid="{00000000-0010-0000-0100-00000F000000}" name="UNITS2" dataDxfId="701" totalsRowDxfId="700">
      <calculatedColumnFormula>IF(S1SHTATbl[[#This Row],[RURAL UNITS]]=0,"",S1SHTATbl[[#This Row],[RURAL UNITS]])</calculatedColumnFormula>
    </tableColumn>
    <tableColumn id="37" xr3:uid="{00000000-0010-0000-0100-000025000000}" name="TOTAL $ REQUESTED2" dataDxfId="699" totalsRowDxfId="698">
      <calculatedColumnFormula xml:space="preserve">
IF(S1SHTATbl[[#This Row],[RURAL TOTAL REQUESTED]]=0,"",
S1SHTATbl[[#This Row],[RURAL TOTAL REQUESTED]]*
IF(S1_SHTA_RuralTotalRequested&lt;=(500000-E$61),1,
(500000-E$61)/S1_SHTA_RuralTotalRequested)
)</calculatedColumnFormula>
    </tableColumn>
    <tableColumn id="38" xr3:uid="{00000000-0010-0000-0100-000026000000}" name="% OF TOTAL2" dataDxfId="697" totalsRowDxfId="696">
      <calculatedColumnFormula>IF(S1SHTATbl[[#This Row],[RURAL % OF FUNDING]]=0,"",S1SHTATbl[[#This Row],[RURAL % OF FUNDING]])</calculatedColumnFormula>
    </tableColumn>
    <tableColumn id="34" xr3:uid="{00000000-0010-0000-0100-000022000000}" name="|4" dataDxfId="695" totalsRowDxfId="694"/>
    <tableColumn id="25" xr3:uid="{00000000-0010-0000-0100-000019000000}" name="ALL UNITS IN A HIGH OR HIGHEST RESOURCE AREA" dataDxfId="693" totalsRowDxfId="692"/>
    <tableColumn id="17" xr3:uid="{00000000-0010-0000-0100-000011000000}" name="APPLY FOR RURAL AREA SET ASSIDE?" dataDxfId="691" totalsRowDxfId="690"/>
    <tableColumn id="2" xr3:uid="{00000000-0010-0000-0100-000002000000}" name="UNRESTRICTED UNITS" dataDxfId="689" totalsRowDxfId="688"/>
    <tableColumn id="5" xr3:uid="{00000000-0010-0000-0100-000005000000}" name="UNRESTRICTED DIRECT ASSISTANCE" dataDxfId="687" totalsRowDxfId="686"/>
    <tableColumn id="8" xr3:uid="{00000000-0010-0000-0100-000008000000}" name="UNRESTRICTED HOMEBUYER EDUCATION" dataDxfId="685" totalsRowDxfId="684">
      <calculatedColumnFormula>IF(S1SHTATbl[[#This Row],[UNRESTRICTED DIRECT ASSISTANCE]]="Yes",15250*S1SHTATbl[[#This Row],[UNRESTRICTED UNITS]],15000*S1SHTATbl[[#This Row],[UNRESTRICTED UNITS]])</calculatedColumnFormula>
    </tableColumn>
    <tableColumn id="11" xr3:uid="{00000000-0010-0000-0100-00000B000000}" name="UNRESTRICTED TOTAL REQUESTED" dataDxfId="683" totalsRowDxfId="682">
      <calculatedColumnFormula>SUM(O3:P3)</calculatedColumnFormula>
    </tableColumn>
    <tableColumn id="41" xr3:uid="{00000000-0010-0000-0100-000029000000}" name="UNRESTRICTED % OF FUNDING" dataDxfId="681" totalsRowDxfId="680">
      <calculatedColumnFormula>IF(S1SHTATbl[[#This Row],[UNRESTRICTED TOTAL REQUESTED]]=0,0,S1SHTATbl[[#This Row],[UNRESTRICTED TOTAL REQUESTED]]/S1_SHTA_UnrestrictedTotalRequested)</calculatedColumnFormula>
    </tableColumn>
    <tableColumn id="46" xr3:uid="{00000000-0010-0000-0100-00002E000000}" name="UNRESTRICTED REVITALIZATION POINTS" dataDxfId="679" totalsRowDxfId="678">
      <calculatedColumnFormula>IF(S1SHTATbl[[#This Row],[ALL UNITS IN A HIGH OR HIGHEST RESOURCE AREA]]="Yes",10*S1SHTATbl[[#This Row],[UNRESTRICTED % OF FUNDING]],0)</calculatedColumnFormula>
    </tableColumn>
    <tableColumn id="30" xr3:uid="{00000000-0010-0000-0100-00001E000000}" name="UNRESTRICTED COMMUNITY NEED POINTS" dataDxfId="677" totalsRowDxfId="676">
      <calculatedColumnFormula array="1">INDEX(CountyScoresTbl[Community Need Total Points],ROW(S1SHTATbl[[#This Row],[COUNTY]])-2,1)*S1SHTATbl[[#This Row],[UNRESTRICTED % OF FUNDING]]</calculatedColumnFormula>
    </tableColumn>
    <tableColumn id="39" xr3:uid="{00000000-0010-0000-0100-000027000000}" name="UNRESTRICTED FEASIBILITY POINTS" dataDxfId="675">
      <calculatedColumnFormula array="1">INDEX(CountyScoresTbl[SHTA Total Feasibility Points Awarded],ROW(S1SHTATbl[[#This Row],[COUNTY]])-2,1)*S1SHTATbl[[#This Row],[UNRESTRICTED % OF FUNDING]]</calculatedColumnFormula>
    </tableColumn>
    <tableColumn id="9" xr3:uid="{00000000-0010-0000-0100-000009000000}" name="UNRESTRICTED FARMWORKER NEED POINTS" dataDxfId="674">
      <calculatedColumnFormula array="1">INDEX(CountyScoresTbl[Farmworker Need Points Awarded],ROW(S1SHTATbl[[#This Row],[COUNTY]])-2,1)*S1SHTATbl[[#This Row],[UNRESTRICTED % OF FUNDING]]</calculatedColumnFormula>
    </tableColumn>
    <tableColumn id="4" xr3:uid="{00000000-0010-0000-0100-000004000000}" name="RURAL UNITS" dataDxfId="673" totalsRowDxfId="672"/>
    <tableColumn id="7" xr3:uid="{00000000-0010-0000-0100-000007000000}" name="RURAL DIRECT ASSISTANCE" dataDxfId="671"/>
    <tableColumn id="10" xr3:uid="{00000000-0010-0000-0100-00000A000000}" name="RURAL HOMEBUYER EDUCATION" dataDxfId="670"/>
    <tableColumn id="18" xr3:uid="{00000000-0010-0000-0100-000012000000}" name="RURAL TOTAL REQUESTED" dataDxfId="669" totalsRowDxfId="668">
      <calculatedColumnFormula>SUM(X3:Y3)</calculatedColumnFormula>
    </tableColumn>
    <tableColumn id="42" xr3:uid="{00000000-0010-0000-0100-00002A000000}" name="RURAL % OF FUNDING" dataDxfId="667" totalsRowDxfId="666">
      <calculatedColumnFormula>IF(S1SHTATbl[[#This Row],[RURAL TOTAL REQUESTED]]=0,0,S1SHTATbl[[#This Row],[RURAL TOTAL REQUESTED]]/Z$61)</calculatedColumnFormula>
    </tableColumn>
    <tableColumn id="48" xr3:uid="{00000000-0010-0000-0100-000030000000}" name="RURAL REVITALIZATION POINTS" dataDxfId="665">
      <calculatedColumnFormula>IF(S1SHTATbl[[#This Row],[ALL UNITS IN A HIGH OR HIGHEST RESOURCE AREA]]="Yes",10*S1SHTATbl[[#This Row],[RURAL % OF FUNDING]],0)</calculatedColumnFormula>
    </tableColumn>
    <tableColumn id="27" xr3:uid="{00000000-0010-0000-0100-00001B000000}" name="RURAL COMMUNITY NEED POINTS" dataDxfId="664" totalsRowDxfId="663">
      <calculatedColumnFormula array="1">INDEX(CountyScoresTbl[Community Need Total Points],ROW(S1SHTATbl[[#This Row],[COUNTY]])-2,1)*S1SHTATbl[[#This Row],[RURAL % OF FUNDING]]</calculatedColumnFormula>
    </tableColumn>
    <tableColumn id="31" xr3:uid="{00000000-0010-0000-0100-00001F000000}" name="RURAL FEASIBILITY POINTS" dataDxfId="662" totalsRowDxfId="661">
      <calculatedColumnFormula array="1">INDEX(CountyScoresTbl[SHTA Total Feasibility Points Awarded],ROW(S1SHTATbl[[#This Row],[COUNTY]])-2,1)*S1SHTATbl[[#This Row],[RURAL % OF FUNDING]]</calculatedColumnFormula>
    </tableColumn>
    <tableColumn id="12" xr3:uid="{00000000-0010-0000-0100-00000C000000}" name="RURAL FARMWORKER NEED POINTS" dataDxfId="660" totalsRowDxfId="659">
      <calculatedColumnFormula array="1">INDEX(CountyScoresTbl[Farmworker Need Points Awarded],ROW(S1SHTATbl[[#This Row],[COUNTY]])-2,1)*S1SHTATbl[[#This Row],[RURAL % OF FUNDING]]</calculatedColumnFormula>
    </tableColumn>
    <tableColumn id="14" xr3:uid="{00000000-0010-0000-0100-00000E000000}" name="INFILL SITE" dataDxfId="658" totalsRowDxfId="657"/>
    <tableColumn id="3" xr3:uid="{00000000-0010-0000-0100-000003000000}" name="UNRESTRICTED HOUSING SUPPLY POINTS" dataDxfId="656">
      <calculatedColumnFormula>IF(S1SHTATbl[[#This Row],[INFILL SITE]]="Yes",5,3)*S1SHTATbl[[#This Row],[UNRESTRICTED % OF FUNDING]]</calculatedColumnFormula>
    </tableColumn>
    <tableColumn id="6" xr3:uid="{00000000-0010-0000-0100-000006000000}" name="RURAL HOUSING SUPPLY POINTS" dataDxfId="655">
      <calculatedColumnFormula>IF(S1SHTATbl[[#This Row],[INFILL SITE]]="Yes",5,3)*S1SHTATbl[[#This Row],[RURAL % OF FUNDING]]</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2000000}" name="S1OORTbl" displayName="S1OORTbl" ref="A2:AK60" totalsRowShown="0" headerRowDxfId="654" dataDxfId="652" totalsRowDxfId="650" headerRowBorderDxfId="653" tableBorderDxfId="651">
  <autoFilter ref="A2:AK60" xr:uid="{00000000-0009-0000-0100-00000A000000}"/>
  <tableColumns count="37">
    <tableColumn id="1" xr3:uid="{00000000-0010-0000-0200-000001000000}" name="APPLYING" dataDxfId="649" totalsRowDxfId="648"/>
    <tableColumn id="13" xr3:uid="{00000000-0010-0000-0200-00000D000000}" name="COUNTY" dataDxfId="647"/>
    <tableColumn id="26" xr3:uid="{00000000-0010-0000-0200-00001A000000}" name="|" dataDxfId="646" totalsRowDxfId="645"/>
    <tableColumn id="14" xr3:uid="{00000000-0010-0000-0200-00000E000000}" name="UNITS" dataDxfId="644" totalsRowDxfId="643">
      <calculatedColumnFormula>IF(SUM(S1OORTbl[[#This Row],[Unrestricted Repair Units]:[Unrestricted ADU Reconstruct Units]])=0,"",SUM(S1OORTbl[[#This Row],[Unrestricted Repair Units]:[Unrestricted ADU Reconstruct Units]]))</calculatedColumnFormula>
    </tableColumn>
    <tableColumn id="12" xr3:uid="{00000000-0010-0000-0200-00000C000000}" name="TOTAL $ REQUESTED" dataDxfId="642" totalsRowDxfId="641">
      <calculatedColumnFormula xml:space="preserve">
IF(S1OORTbl[[#This Row],[TOTAL UNRESTRICTED]]=0,"",
S1OORTbl[[#This Row],[TOTAL UNRESTRICTED]]*
IF(S1_OOR_UnrestrictedTotalRequested&lt;=5000000,1,
5000000/S1_OOR_UnrestrictedTotalRequested)
)</calculatedColumnFormula>
    </tableColumn>
    <tableColumn id="9" xr3:uid="{00000000-0010-0000-0200-000009000000}" name="% OF TOTAL" dataDxfId="640" totalsRowDxfId="639">
      <calculatedColumnFormula>IF(S1OORTbl[[#This Row],[UNRESTRICTED FUNDING %]]=0,"",S1OORTbl[[#This Row],[UNRESTRICTED FUNDING %]])</calculatedColumnFormula>
    </tableColumn>
    <tableColumn id="33" xr3:uid="{00000000-0010-0000-0200-000021000000}" name="|3" dataDxfId="638" totalsRowDxfId="637"/>
    <tableColumn id="16" xr3:uid="{00000000-0010-0000-0200-000010000000}" name="UNITS2" dataDxfId="636">
      <calculatedColumnFormula>IF(SUM(S1OORTbl[[#This Row],[Rural Repair Units]:[Rural ADU Reconstruct Units]])=0,"",SUM(S1OORTbl[[#This Row],[Rural Repair Units]:[Rural ADU Reconstruct Units]]))</calculatedColumnFormula>
    </tableColumn>
    <tableColumn id="22" xr3:uid="{00000000-0010-0000-0200-000016000000}" name="TOTAL $ REQUESTED2" dataDxfId="635">
      <calculatedColumnFormula xml:space="preserve">
IF(S1OORTbl[[#This Row],[TOTAL RURAL]]=0,"",
S1OORTbl[[#This Row],[TOTAL RURAL]]*
IF(S1_OOR_RuralTotalRequested&lt;=(5000000-E$61),1,
(5000000-E$61)/S1_OOR_RuralTotalRequested)
)</calculatedColumnFormula>
    </tableColumn>
    <tableColumn id="21" xr3:uid="{00000000-0010-0000-0200-000015000000}" name="% OF TOTAL2" dataDxfId="634">
      <calculatedColumnFormula>IF(S1OORTbl[[#This Row],[RURAL FUNDING %]]=0,"",S1OORTbl[[#This Row],[RURAL FUNDING %]])</calculatedColumnFormula>
    </tableColumn>
    <tableColumn id="35" xr3:uid="{00000000-0010-0000-0200-000023000000}" name="|5" dataDxfId="633" totalsRowDxfId="632"/>
    <tableColumn id="25" xr3:uid="{00000000-0010-0000-0200-000019000000}" name="ALL UNITS IN A HIGH OR HIGHEST RESOURCE AREA" dataDxfId="631" totalsRowDxfId="630"/>
    <tableColumn id="17" xr3:uid="{00000000-0010-0000-0200-000011000000}" name="APPLY FOR RURAL AREA SET ASIDE?" dataDxfId="629" totalsRowDxfId="628"/>
    <tableColumn id="2" xr3:uid="{00000000-0010-0000-0200-000002000000}" name="Unrestricted Repair Units" dataDxfId="627" totalsRowDxfId="626"/>
    <tableColumn id="5" xr3:uid="{00000000-0010-0000-0200-000005000000}" name="Unrestricted Reconstruct Units" dataDxfId="625" totalsRowDxfId="624"/>
    <tableColumn id="8" xr3:uid="{00000000-0010-0000-0200-000008000000}" name="Unrestricted ADU Repair Units" dataDxfId="623" totalsRowDxfId="622"/>
    <tableColumn id="11" xr3:uid="{00000000-0010-0000-0200-00000B000000}" name="Unrestricted ADU Reconstruct Units" dataDxfId="621" totalsRowDxfId="620"/>
    <tableColumn id="40" xr3:uid="{00000000-0010-0000-0200-000028000000}" name="Unrestricted Funds Requesting" dataDxfId="619" totalsRowDxfId="618"/>
    <tableColumn id="41" xr3:uid="{00000000-0010-0000-0200-000029000000}" name="UNRESTRICTED FUNDING %" dataDxfId="617" totalsRowDxfId="616">
      <calculatedColumnFormula>IF(S1OORTbl[[#This Row],[TOTAL UNRESTRICTED]]=0,0,S1OORTbl[[#This Row],[TOTAL UNRESTRICTED]]/S1_OOR_UnrestrictedTotalRequested)</calculatedColumnFormula>
    </tableColumn>
    <tableColumn id="46" xr3:uid="{00000000-0010-0000-0200-00002E000000}" name="UNRESTRICTED REVITALIZATION POINTS" dataDxfId="615" totalsRowDxfId="614">
      <calculatedColumnFormula>IF(S1OORTbl[[#This Row],[ALL UNITS IN A HIGH OR HIGHEST RESOURCE AREA]]="Yes",10*S1OORTbl[[#This Row],[UNRESTRICTED FUNDING %]],0)</calculatedColumnFormula>
    </tableColumn>
    <tableColumn id="30" xr3:uid="{00000000-0010-0000-0200-00001E000000}" name="UNRESTRICTED COMMUNITY NEED POINTS" dataDxfId="613" totalsRowDxfId="612">
      <calculatedColumnFormula array="1">INDEX(CountyScoresTbl[OOR Community Need],ROW(S1OORTbl[[#This Row],[COUNTY]])-2,1)*S1OORTbl[[#This Row],[UNRESTRICTED FUNDING %]]</calculatedColumnFormula>
    </tableColumn>
    <tableColumn id="39" xr3:uid="{00000000-0010-0000-0200-000027000000}" name="UNRESTRICTED FEASIBILITY POINTS" dataDxfId="611" totalsRowDxfId="610">
      <calculatedColumnFormula array="1">INDEX(CountyScoresTbl[OOR/ADU Total Feasibility Points Awarded],ROW(S1OORTbl[[#This Row],[COUNTY]])-2,1)*S1OORTbl[[#This Row],[UNRESTRICTED FUNDING %]]</calculatedColumnFormula>
    </tableColumn>
    <tableColumn id="6" xr3:uid="{00000000-0010-0000-0200-000006000000}" name="UNRESTRICTED FARMWORKER NEED POINTS" dataDxfId="609" totalsRowDxfId="608">
      <calculatedColumnFormula array="1">INDEX(CountyScoresTbl[Farmworker Need Points Awarded],ROW(S1OORTbl[[#This Row],[COUNTY]])-2,1)*S1OORTbl[[#This Row],[UNRESTRICTED FUNDING %]]</calculatedColumnFormula>
    </tableColumn>
    <tableColumn id="4" xr3:uid="{00000000-0010-0000-0200-000004000000}" name="Rural Repair Units" dataDxfId="607" totalsRowDxfId="606"/>
    <tableColumn id="7" xr3:uid="{00000000-0010-0000-0200-000007000000}" name="Rural Reconstruct Units" dataDxfId="605" totalsRowDxfId="604"/>
    <tableColumn id="10" xr3:uid="{00000000-0010-0000-0200-00000A000000}" name="Rural ADU Repair Units" dataDxfId="603" totalsRowDxfId="602"/>
    <tableColumn id="18" xr3:uid="{00000000-0010-0000-0200-000012000000}" name="Rural ADU Reconstruct Units" dataDxfId="601" totalsRowDxfId="600"/>
    <tableColumn id="28" xr3:uid="{00000000-0010-0000-0200-00001C000000}" name="Rural Funds Requesting" dataDxfId="599" totalsRowDxfId="598"/>
    <tableColumn id="42" xr3:uid="{00000000-0010-0000-0200-00002A000000}" name="RURAL FUNDING %" dataDxfId="597" totalsRowDxfId="596">
      <calculatedColumnFormula>IF(S1OORTbl[[#This Row],[TOTAL RURAL]]=0,0,S1OORTbl[[#This Row],[TOTAL RURAL]]/S1_OOR_RuralTotalRequested)</calculatedColumnFormula>
    </tableColumn>
    <tableColumn id="48" xr3:uid="{00000000-0010-0000-0200-000030000000}" name="RURAL REVITALIZATION POINTS" dataDxfId="595">
      <calculatedColumnFormula>IF(S1OORTbl[[#This Row],[ALL UNITS IN A HIGH OR HIGHEST RESOURCE AREA]]="Yes",10*S1OORTbl[[#This Row],[RURAL FUNDING %]],0)</calculatedColumnFormula>
    </tableColumn>
    <tableColumn id="27" xr3:uid="{00000000-0010-0000-0200-00001B000000}" name="RURAL COMMUNITY NEED POINTS" dataDxfId="594" totalsRowDxfId="593">
      <calculatedColumnFormula array="1">INDEX(CountyScoresTbl[OOR Community Need],ROW(S1OORTbl[[#This Row],[COUNTY]])-2,1)*S1OORTbl[[#This Row],[RURAL FUNDING %]]</calculatedColumnFormula>
    </tableColumn>
    <tableColumn id="31" xr3:uid="{00000000-0010-0000-0200-00001F000000}" name="RURAL FEASIBILITY POINTS" dataDxfId="592" totalsRowDxfId="591">
      <calculatedColumnFormula array="1">INDEX(CountyScoresTbl[OOR/ADU Total Feasibility Points Awarded],ROW(S1OORTbl[[#This Row],[COUNTY]])-2,1)*S1OORTbl[[#This Row],[RURAL FUNDING %]]</calculatedColumnFormula>
    </tableColumn>
    <tableColumn id="3" xr3:uid="{00000000-0010-0000-0200-000003000000}" name="RURAL FARMWORKER NEED POINTS" dataDxfId="590" totalsRowDxfId="589">
      <calculatedColumnFormula array="1">INDEX(CountyScoresTbl[Farmworker Need Points Awarded],ROW(S1OORTbl[[#This Row],[COUNTY]])-2,1)*S1OORTbl[[#This Row],[RURAL FUNDING %]]</calculatedColumnFormula>
    </tableColumn>
    <tableColumn id="15" xr3:uid="{00000000-0010-0000-0200-00000F000000}" name="UNRESTRICTED ADF" dataDxfId="588" totalsRowDxfId="587"/>
    <tableColumn id="19" xr3:uid="{00000000-0010-0000-0200-000013000000}" name="TOTAL UNRESTRICTED" dataDxfId="586" totalsRowDxfId="585">
      <calculatedColumnFormula>SUM(S1OORTbl[[#This Row],[UNRESTRICTED ADF]],S1OORTbl[[#This Row],[Unrestricted Funds Requesting]])</calculatedColumnFormula>
    </tableColumn>
    <tableColumn id="20" xr3:uid="{00000000-0010-0000-0200-000014000000}" name="RURAL ADF" dataDxfId="584" totalsRowDxfId="583"/>
    <tableColumn id="23" xr3:uid="{00000000-0010-0000-0200-000017000000}" name="TOTAL RURAL" dataDxfId="582" totalsRowDxfId="581">
      <calculatedColumnFormula>SUM(S1OORTbl[[#This Row],[Rural Funds Requesting]],S1OORTbl[[#This Row],[RURAL ADF]])</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3000000}" name="S1MATbl" displayName="S1MATbl" ref="A2:AO60" totalsRowShown="0" headerRowDxfId="580" dataDxfId="578" totalsRowDxfId="576" headerRowBorderDxfId="579" tableBorderDxfId="577">
  <autoFilter ref="A2:AO60" xr:uid="{00000000-0009-0000-0100-000007000000}"/>
  <sortState xmlns:xlrd2="http://schemas.microsoft.com/office/spreadsheetml/2017/richdata2" ref="A3:AL60">
    <sortCondition ref="B2:B60"/>
  </sortState>
  <tableColumns count="41">
    <tableColumn id="1" xr3:uid="{00000000-0010-0000-0300-000001000000}" name="APPLYING" dataDxfId="575"/>
    <tableColumn id="13" xr3:uid="{00000000-0010-0000-0300-00000D000000}" name="COUNTY" dataDxfId="574"/>
    <tableColumn id="26" xr3:uid="{00000000-0010-0000-0300-00001A000000}" name="|" dataDxfId="573" totalsRowDxfId="572"/>
    <tableColumn id="22" xr3:uid="{00000000-0010-0000-0300-000016000000}" name="UNITS" dataDxfId="571" totalsRowDxfId="570">
      <calculatedColumnFormula>IF(SUM(S1MATbl[[#This Row],[UNRESTRICTED UNITS]])=0,"",S1MATbl[[#This Row],[UNRESTRICTED UNITS]])</calculatedColumnFormula>
    </tableColumn>
    <tableColumn id="14" xr3:uid="{00000000-0010-0000-0300-00000E000000}" name="TOTAL $ REQUESTED" dataDxfId="569">
      <calculatedColumnFormula xml:space="preserve">
IF(S1MATbl[[#This Row],[UNRESTRICTED FUNDING REQUESTED]]=0,"",
S1MATbl[[#This Row],[UNRESTRICTED FUNDING REQUESTED]]*
IF(S1_MA_UnrestrictedTotalRequested&lt;=5000000,1,
5000000/S1_MA_UnrestrictedTotalRequested)
)</calculatedColumnFormula>
    </tableColumn>
    <tableColumn id="15" xr3:uid="{00000000-0010-0000-0300-00000F000000}" name="% OF TOTAL" dataDxfId="568" totalsRowDxfId="567">
      <calculatedColumnFormula>IFERROR(S1MATbl[[#This Row],[TOTAL $ REQUESTED]]/SUM(S1MATbl[TOTAL $ REQUESTED]),"")</calculatedColumnFormula>
    </tableColumn>
    <tableColumn id="34" xr3:uid="{00000000-0010-0000-0300-000022000000}" name="|4" dataDxfId="566" totalsRowDxfId="565"/>
    <tableColumn id="36" xr3:uid="{00000000-0010-0000-0300-000024000000}" name="UNITS2" dataDxfId="564" totalsRowDxfId="563">
      <calculatedColumnFormula>IF(SUM(S1MATbl[[#This Row],[RURAL UNITS]])=0,"",S1MATbl[[#This Row],[RURAL UNITS]])</calculatedColumnFormula>
    </tableColumn>
    <tableColumn id="37" xr3:uid="{00000000-0010-0000-0300-000025000000}" name="TOTAL $ REQUESTED2" dataDxfId="562" totalsRowDxfId="561">
      <calculatedColumnFormula xml:space="preserve">
IF(S1MATbl[[#This Row],[RURAL FUNDING REQUESTED]]=0,"",
S1MATbl[[#This Row],[RURAL FUNDING REQUESTED]]*
IF(S1_MA_RuralTotalRequested&lt;=(5000000-E$61),1,
(5000000-E$61)/S1_MA_RuralTotalRequested)
)</calculatedColumnFormula>
    </tableColumn>
    <tableColumn id="43" xr3:uid="{00000000-0010-0000-0300-00002B000000}" name="% OF TOTAL2" dataDxfId="560" totalsRowDxfId="559">
      <calculatedColumnFormula>IFERROR(S1MATbl[[#This Row],[TOTAL $ REQUESTED2]]/SUM(S1MATbl[TOTAL $ REQUESTED2]),"")</calculatedColumnFormula>
    </tableColumn>
    <tableColumn id="49" xr3:uid="{00000000-0010-0000-0300-000031000000}" name="|12" dataDxfId="558" totalsRowDxfId="557"/>
    <tableColumn id="23" xr3:uid="{00000000-0010-0000-0300-000017000000}" name="ALL UNITS IN A HIGH OR HIGHEST RESOURCE AREA" dataDxfId="556" totalsRowDxfId="555"/>
    <tableColumn id="17" xr3:uid="{00000000-0010-0000-0300-000011000000}" name="APPLY FOR RURAL AREA SET ASSIDE?" dataDxfId="554" totalsRowDxfId="553"/>
    <tableColumn id="3" xr3:uid="{00000000-0010-0000-0300-000003000000}" name="NEW CONSTRUCTION OR AQUIRE/REHAB" dataDxfId="552" totalsRowDxfId="551"/>
    <tableColumn id="2" xr3:uid="{00000000-0010-0000-0300-000002000000}" name="UNRESTRICTED UNITS" dataDxfId="550" totalsRowDxfId="549"/>
    <tableColumn id="5" xr3:uid="{00000000-0010-0000-0300-000005000000}" name="UNRESTRICTED COST" dataDxfId="548" totalsRowDxfId="547"/>
    <tableColumn id="8" xr3:uid="{00000000-0010-0000-0300-000008000000}" name="UNRESTRICTED DIRECT ASSISTANCE" dataDxfId="546" totalsRowDxfId="545"/>
    <tableColumn id="11" xr3:uid="{00000000-0010-0000-0300-00000B000000}" name="UNRESTRICTED DELIVERY FEE" dataDxfId="544" totalsRowDxfId="543"/>
    <tableColumn id="19" xr3:uid="{00000000-0010-0000-0300-000013000000}" name="UNRESTRICTED CLASS FEE" dataDxfId="542" totalsRowDxfId="541"/>
    <tableColumn id="40" xr3:uid="{00000000-0010-0000-0300-000028000000}" name="UNRESTRICTED FUNDING REQUESTED" dataDxfId="540" totalsRowDxfId="539">
      <calculatedColumnFormula>SUM(Q3:S3)</calculatedColumnFormula>
    </tableColumn>
    <tableColumn id="41" xr3:uid="{00000000-0010-0000-0300-000029000000}" name="% OF TOTAL UNRESTRICTED FUNDING" dataDxfId="538" totalsRowDxfId="537">
      <calculatedColumnFormula>IF(S1MATbl[[#This Row],[UNRESTRICTED FUNDING REQUESTED]]=0,0,S1MATbl[[#This Row],[UNRESTRICTED FUNDING REQUESTED]]/S1_MA_UnrestrictedTotalRequested)</calculatedColumnFormula>
    </tableColumn>
    <tableColumn id="6" xr3:uid="{00000000-0010-0000-0300-000006000000}" name="UNRESTRICTED HOUSING SUPPLY POINTS" dataDxfId="536" totalsRowDxfId="535">
      <calculatedColumnFormula xml:space="preserve">
IF(S1MATbl[[#This Row],[NEW CONSTRUCTION OR AQUIRE/REHAB]]&lt;&gt;"",
3+IF(S1MATbl[[#This Row],[INFILL SITE]]="Yes",2,0),0)
*S1MATbl[[#This Row],[% OF TOTAL UNRESTRICTED FUNDING]]</calculatedColumnFormula>
    </tableColumn>
    <tableColumn id="46" xr3:uid="{00000000-0010-0000-0300-00002E000000}" name="UNRESTRICTED  REVITALIZATION POINTS" dataDxfId="534" totalsRowDxfId="533">
      <calculatedColumnFormula>IF(S1MATbl[[#This Row],[ALL UNITS IN A HIGH OR HIGHEST RESOURCE AREA]]="Yes",10*S1MATbl[[#This Row],[% OF TOTAL UNRESTRICTED FUNDING]],0)</calculatedColumnFormula>
    </tableColumn>
    <tableColumn id="30" xr3:uid="{00000000-0010-0000-0300-00001E000000}" name="UNRESTRICTED COMMUNITY NEED POINTS" dataDxfId="532" totalsRowDxfId="531">
      <calculatedColumnFormula array="1">INDEX(CountyScoresTbl[Community Need Total Points],ROW(S1MATbl[[#This Row],[COUNTY]])-2,1)*S1MATbl[[#This Row],[% OF TOTAL UNRESTRICTED FUNDING]]</calculatedColumnFormula>
    </tableColumn>
    <tableColumn id="39" xr3:uid="{00000000-0010-0000-0300-000027000000}" name="UNRESTRICTED FEASIBILITY POINTS" dataDxfId="530" totalsRowDxfId="529">
      <calculatedColumnFormula array="1"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calculatedColumnFormula>
    </tableColumn>
    <tableColumn id="25" xr3:uid="{00000000-0010-0000-0300-000019000000}" name="UNRESTRICTED FARMWORKER NEED POINTS" dataDxfId="528" totalsRowDxfId="527">
      <calculatedColumnFormula array="1">INDEX(CountyScoresTbl[Farmworker Need Points Awarded],ROW(S1MATbl[[#This Row],[COUNTY]])-2,1)*S1MATbl[[#This Row],[% OF TOTAL UNRESTRICTED FUNDING]]</calculatedColumnFormula>
    </tableColumn>
    <tableColumn id="4" xr3:uid="{00000000-0010-0000-0300-000004000000}" name="RURAL UNITS" dataDxfId="526" totalsRowDxfId="525"/>
    <tableColumn id="7" xr3:uid="{00000000-0010-0000-0300-000007000000}" name="RURAL COST" dataDxfId="524" totalsRowDxfId="523"/>
    <tableColumn id="10" xr3:uid="{00000000-0010-0000-0300-00000A000000}" name="RURAL DIRECT ASSISTANCE" dataDxfId="522" totalsRowDxfId="521"/>
    <tableColumn id="18" xr3:uid="{00000000-0010-0000-0300-000012000000}" name="RURAL DELIVERY FEE" dataDxfId="520" totalsRowDxfId="519"/>
    <tableColumn id="21" xr3:uid="{00000000-0010-0000-0300-000015000000}" name="RURAL CLASS FEE" dataDxfId="518" totalsRowDxfId="517"/>
    <tableColumn id="28" xr3:uid="{00000000-0010-0000-0300-00001C000000}" name="RURAL FUNDING REQUESTED" dataDxfId="516" totalsRowDxfId="515">
      <calculatedColumnFormula>SUM(AC3:AE3)</calculatedColumnFormula>
    </tableColumn>
    <tableColumn id="42" xr3:uid="{00000000-0010-0000-0300-00002A000000}" name="% OF TOTAL RURAL FUNDING" dataDxfId="514" totalsRowDxfId="513">
      <calculatedColumnFormula>IF(S1MATbl[[#This Row],[RURAL FUNDING REQUESTED]]=0,0,S1MATbl[[#This Row],[RURAL FUNDING REQUESTED]]/S1_MA_RuralTotalRequested)</calculatedColumnFormula>
    </tableColumn>
    <tableColumn id="9" xr3:uid="{00000000-0010-0000-0300-000009000000}" name="RURAL HOUSING SUPPLY POINTS" dataDxfId="512">
      <calculatedColumnFormula xml:space="preserve">
IF(S1MATbl[[#This Row],[NEW CONSTRUCTION OR AQUIRE/REHAB]]&lt;&gt;"",
3+IF(S1MATbl[[#This Row],[INFILL SITE]]="Yes",2,0),0)
*S1MATbl[[#This Row],[% OF TOTAL RURAL FUNDING]]</calculatedColumnFormula>
    </tableColumn>
    <tableColumn id="48" xr3:uid="{00000000-0010-0000-0300-000030000000}" name="RURAL  REVITALIZATION POINTS" dataDxfId="511">
      <calculatedColumnFormula>IF(S1MATbl[[#This Row],[ALL UNITS IN A HIGH OR HIGHEST RESOURCE AREA]]="Yes",10*S1MATbl[[#This Row],[% OF TOTAL RURAL FUNDING]],0)</calculatedColumnFormula>
    </tableColumn>
    <tableColumn id="27" xr3:uid="{00000000-0010-0000-0300-00001B000000}" name="RURAL COMMUNITY NEED POINTS" dataDxfId="510" totalsRowDxfId="509">
      <calculatedColumnFormula array="1">INDEX(CountyScoresTbl[Community Need Total Points],ROW(S1MATbl[[#This Row],[COUNTY]])-2,1)*S1MATbl[[#This Row],[% OF TOTAL RURAL FUNDING]]</calculatedColumnFormula>
    </tableColumn>
    <tableColumn id="31" xr3:uid="{00000000-0010-0000-0300-00001F000000}" name="RURAL FEASIBILITY POINTS" dataDxfId="508" totalsRowDxfId="507">
      <calculatedColumnFormula array="1"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calculatedColumnFormula>
    </tableColumn>
    <tableColumn id="12" xr3:uid="{00000000-0010-0000-0300-00000C000000}" name="RURAL FARMWORKER NEED POINTS" dataDxfId="506" totalsRowDxfId="505">
      <calculatedColumnFormula array="1">INDEX(CountyScoresTbl[Farmworker Need Points Awarded],ROW(S1MATbl[[#This Row],[COUNTY]])-2,1)*S1MATbl[[#This Row],[% OF TOTAL RURAL FUNDING]]</calculatedColumnFormula>
    </tableColumn>
    <tableColumn id="16" xr3:uid="{00000000-0010-0000-0300-000010000000}" name="INFILL SITE" dataDxfId="504" totalsRowDxfId="503"/>
    <tableColumn id="20" xr3:uid="{00000000-0010-0000-0300-000014000000}" name="FundingSource" dataDxfId="502" totalsRowDxfId="501"/>
    <tableColumn id="24" xr3:uid="{00000000-0010-0000-0300-000018000000}" name="FirstTimeBuyers" dataDxfId="500" totalsRowDxfId="49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4000000}" name="S1AMHTbl" displayName="S1AMHTbl" ref="A2:AI60" totalsRowShown="0" headerRowDxfId="498" dataDxfId="497" totalsRowDxfId="495" tableBorderDxfId="496">
  <autoFilter ref="A2:AI60" xr:uid="{00000000-0009-0000-0100-000008000000}"/>
  <tableColumns count="35">
    <tableColumn id="1" xr3:uid="{00000000-0010-0000-0400-000001000000}" name="APPLYING" dataDxfId="494"/>
    <tableColumn id="13" xr3:uid="{00000000-0010-0000-0400-00000D000000}" name="COUNTY" dataDxfId="493"/>
    <tableColumn id="26" xr3:uid="{00000000-0010-0000-0400-00001A000000}" name="|" dataDxfId="492" totalsRowDxfId="491"/>
    <tableColumn id="22" xr3:uid="{00000000-0010-0000-0400-000016000000}" name="UNITS" dataDxfId="490" totalsRowDxfId="489">
      <calculatedColumnFormula>IF(SUM(S1AMHTbl[[#This Row],[UNRESTRICTED UNITS]])=0,"",S1AMHTbl[[#This Row],[UNRESTRICTED UNITS]])</calculatedColumnFormula>
    </tableColumn>
    <tableColumn id="14" xr3:uid="{00000000-0010-0000-0400-00000E000000}" name="TOTAL $ REQUESTED" dataDxfId="488" totalsRowDxfId="487">
      <calculatedColumnFormula>IF(S1AMHTbl[[#This Row],[UNRESTRICTED FUNDING REQUESTED]]=0,"",S1AMHTbl[[#This Row],[UNRESTRICTED FUNDING REQUESTED]]*
IF(S1_AMH_UnrestrictedTotalRequested&lt;=5000000,1,
5000000/S1_AMH_UnrestrictedTotalRequested))</calculatedColumnFormula>
    </tableColumn>
    <tableColumn id="15" xr3:uid="{00000000-0010-0000-0400-00000F000000}" name="% OF TOTAL" dataDxfId="486" totalsRowDxfId="485">
      <calculatedColumnFormula>IFERROR(S1AMHTbl[[#This Row],[TOTAL $ REQUESTED]]/SUM(S1AMHTbl[TOTAL $ REQUESTED]),"")</calculatedColumnFormula>
    </tableColumn>
    <tableColumn id="34" xr3:uid="{00000000-0010-0000-0400-000022000000}" name="|4" dataDxfId="484" totalsRowDxfId="483"/>
    <tableColumn id="19" xr3:uid="{00000000-0010-0000-0400-000013000000}" name="UNITS2" dataDxfId="482" totalsRowDxfId="481">
      <calculatedColumnFormula>IF(SUM(S1AMHTbl[[#This Row],[RURAL UNITS]])=0,"",S1AMHTbl[[#This Row],[RURAL UNITS]])</calculatedColumnFormula>
    </tableColumn>
    <tableColumn id="20" xr3:uid="{00000000-0010-0000-0400-000014000000}" name="TOTAL $ REQUESTED2" dataDxfId="480" totalsRowDxfId="479">
      <calculatedColumnFormula>IF(S1AMHTbl[[#This Row],[RURAL FUNDING REQUESTED]]=0,"",S1AMHTbl[[#This Row],[RURAL FUNDING REQUESTED]]*
IF(S1_AMH_RuralTotalRequested&lt;=(5000000-E$61),1,
(5000000-E$61)/S1_AMH_RuralTotalRequested))</calculatedColumnFormula>
    </tableColumn>
    <tableColumn id="21" xr3:uid="{00000000-0010-0000-0400-000015000000}" name="% OF TOTAL2" dataDxfId="478" totalsRowDxfId="477">
      <calculatedColumnFormula>IFERROR(S1AMHTbl[[#This Row],[TOTAL $ REQUESTED2]]/SUM(S1AMHTbl[TOTAL $ REQUESTED2]),"")</calculatedColumnFormula>
    </tableColumn>
    <tableColumn id="24" xr3:uid="{00000000-0010-0000-0400-000018000000}" name="|8" dataDxfId="476" totalsRowDxfId="475"/>
    <tableColumn id="23" xr3:uid="{00000000-0010-0000-0400-000017000000}" name="ALL UNITS IN A HIGH OR HIGHEST RESOURCE AREA" dataDxfId="474" totalsRowDxfId="473"/>
    <tableColumn id="27" xr3:uid="{00000000-0010-0000-0400-00001B000000}" name="APPLY FOR RURAL AREA SET ASSIDE?" dataDxfId="472" totalsRowDxfId="471"/>
    <tableColumn id="4" xr3:uid="{00000000-0010-0000-0400-000004000000}" name="SITE CONTROL" dataDxfId="470" totalsRowDxfId="469"/>
    <tableColumn id="2" xr3:uid="{00000000-0010-0000-0400-000002000000}" name="UNRESTRICTED UNITS" dataDxfId="468" totalsRowDxfId="467"/>
    <tableColumn id="8" xr3:uid="{00000000-0010-0000-0400-000008000000}" name="UNRESTRICTED DIRECT ASSISTANCE" dataDxfId="466" totalsRowDxfId="465"/>
    <tableColumn id="11" xr3:uid="{00000000-0010-0000-0400-00000B000000}" name="UNRESTRICTED DELIVERY FEE" dataDxfId="464" totalsRowDxfId="463"/>
    <tableColumn id="40" xr3:uid="{00000000-0010-0000-0400-000028000000}" name="UNRESTRICTED FUNDING REQUESTED" dataDxfId="462" totalsRowDxfId="461">
      <calculatedColumnFormula>SUM(P3:Q3)</calculatedColumnFormula>
    </tableColumn>
    <tableColumn id="41" xr3:uid="{00000000-0010-0000-0400-000029000000}" name="UNRESTRICTED % OF FUNDING" dataDxfId="460" totalsRowDxfId="459">
      <calculatedColumnFormula>IF(S1AMHTbl[[#This Row],[UNRESTRICTED FUNDING REQUESTED]]=0,0,S1AMHTbl[[#This Row],[UNRESTRICTED FUNDING REQUESTED]]/S1_AMH_UnrestrictedTotalRequested)</calculatedColumnFormula>
    </tableColumn>
    <tableColumn id="46" xr3:uid="{00000000-0010-0000-0400-00002E000000}" name="UNRESTRICTED REVITALIZATION POINTS" dataDxfId="458" totalsRowDxfId="457">
      <calculatedColumnFormula>IF(S1AMHTbl[[#This Row],[ALL UNITS IN A HIGH OR HIGHEST RESOURCE AREA]]="Yes",10*S1AMHTbl[[#This Row],[UNRESTRICTED % OF FUNDING]],0)</calculatedColumnFormula>
    </tableColumn>
    <tableColumn id="30" xr3:uid="{00000000-0010-0000-0400-00001E000000}" name="UNRESTRICTED COMMUNITY NEED POINTS" dataDxfId="456" totalsRowDxfId="455">
      <calculatedColumnFormula array="1">INDEX(CountyScoresTbl[Community Need Total Points],ROW(S1AMHTbl[[#This Row],[COUNTY]])-2,1)*S1AMHTbl[[#This Row],[UNRESTRICTED % OF FUNDING]]</calculatedColumnFormula>
    </tableColumn>
    <tableColumn id="39" xr3:uid="{00000000-0010-0000-0400-000027000000}" name="UNRESTRICTED FEASIBILITY POINTS" dataDxfId="454" totalsRowDxfId="453">
      <calculatedColumnFormula>IF(S1AMHTbl[[#This Row],[SITE CONTROL]]="Yes",20,10)*S1AMHTbl[[#This Row],[UNRESTRICTED % OF FUNDING]]</calculatedColumnFormula>
    </tableColumn>
    <tableColumn id="25" xr3:uid="{00000000-0010-0000-0400-000019000000}" name="UNRESTRICTED FARMWORKER POINTS" dataDxfId="452" totalsRowDxfId="451">
      <calculatedColumnFormula array="1">INDEX(CountyScoresTbl[Farmworker Need Points Awarded],ROW(S1AMHTbl[[#This Row],[COUNTY]])-2,1)*S1AMHTbl[[#This Row],[UNRESTRICTED % OF FUNDING]]</calculatedColumnFormula>
    </tableColumn>
    <tableColumn id="3" xr3:uid="{00000000-0010-0000-0400-000003000000}" name="RURAL UNITS" dataDxfId="450" totalsRowDxfId="449"/>
    <tableColumn id="6" xr3:uid="{00000000-0010-0000-0400-000006000000}" name="RURAL DIRECT ASSISTANCE" dataDxfId="448" totalsRowDxfId="447"/>
    <tableColumn id="7" xr3:uid="{00000000-0010-0000-0400-000007000000}" name="RURAL DELIVERY FEE" dataDxfId="446" totalsRowDxfId="445"/>
    <tableColumn id="9" xr3:uid="{00000000-0010-0000-0400-000009000000}" name="RURAL FUNDING REQUESTED" dataDxfId="444">
      <calculatedColumnFormula>SUM(Y3:Z3)</calculatedColumnFormula>
    </tableColumn>
    <tableColumn id="10" xr3:uid="{00000000-0010-0000-0400-00000A000000}" name="RURAL % OF FUNDING" dataDxfId="443" totalsRowDxfId="442">
      <calculatedColumnFormula>IF(S1AMHTbl[[#This Row],[RURAL FUNDING REQUESTED]]=0,0,S1AMHTbl[[#This Row],[RURAL FUNDING REQUESTED]]/S1_AMH_RuralTotalRequested)</calculatedColumnFormula>
    </tableColumn>
    <tableColumn id="12" xr3:uid="{00000000-0010-0000-0400-00000C000000}" name="RURAL REVITALIZATION POINTS" dataDxfId="441" totalsRowDxfId="440">
      <calculatedColumnFormula>IF(S1AMHTbl[[#This Row],[ALL UNITS IN A HIGH OR HIGHEST RESOURCE AREA]]="Yes",10*S1AMHTbl[[#This Row],[RURAL % OF FUNDING]],0)</calculatedColumnFormula>
    </tableColumn>
    <tableColumn id="16" xr3:uid="{00000000-0010-0000-0400-000010000000}" name="RURAL COMMUNITY NEED POINTS" dataDxfId="439" totalsRowDxfId="438">
      <calculatedColumnFormula array="1">INDEX(CountyScoresTbl[Community Need Total Points],ROW(S1AMHTbl[[#This Row],[COUNTY]])-2,1)*S1AMHTbl[[#This Row],[RURAL % OF FUNDING]]</calculatedColumnFormula>
    </tableColumn>
    <tableColumn id="17" xr3:uid="{00000000-0010-0000-0400-000011000000}" name="RURAL FEASIBILITY POINTS" dataDxfId="437" totalsRowDxfId="436">
      <calculatedColumnFormula>IF(S1AMHTbl[[#This Row],[SITE CONTROL]]="Yes",20,10)*S1AMHTbl[[#This Row],[RURAL % OF FUNDING]]</calculatedColumnFormula>
    </tableColumn>
    <tableColumn id="18" xr3:uid="{00000000-0010-0000-0400-000012000000}" name="RURAL FARMWORKER POINTS" dataDxfId="435" totalsRowDxfId="434">
      <calculatedColumnFormula array="1">INDEX(CountyScoresTbl[Farmworker Need Points Awarded],ROW(S1AMHTbl[[#This Row],[COUNTY]])-2,1)*S1AMHTbl[[#This Row],[RURAL % OF FUNDING]]</calculatedColumnFormula>
    </tableColumn>
    <tableColumn id="5" xr3:uid="{00000000-0010-0000-0400-000005000000}" name="INFILL SITE" dataDxfId="433"/>
    <tableColumn id="28" xr3:uid="{00000000-0010-0000-0400-00001C000000}" name="UNRESTRICTED HOUSING SUPPLY POINTS" dataDxfId="432">
      <calculatedColumnFormula>IF(S1AMHTbl[[#This Row],[INFILL SITE]]="Yes",5,3)*S1AMHTbl[[#This Row],[UNRESTRICTED % OF FUNDING]]</calculatedColumnFormula>
    </tableColumn>
    <tableColumn id="29" xr3:uid="{00000000-0010-0000-0400-00001D000000}" name="RURAL HOUSING SUPPLY POINTS" dataDxfId="431">
      <calculatedColumnFormula>IF(S1AMHTbl[[#This Row],[INFILL SITE]]="Yes",5,3)*S1AMHTbl[[#This Row],[RURAL % OF FUNDING]]</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5000000}" name="CHMATbl" displayName="CHMATbl" ref="A2:BR60" totalsRowShown="0" headerRowDxfId="430" dataDxfId="428" totalsRowDxfId="426" headerRowBorderDxfId="429" tableBorderDxfId="427">
  <autoFilter ref="A2:BR60" xr:uid="{00000000-0009-0000-0100-000002000000}"/>
  <sortState xmlns:xlrd2="http://schemas.microsoft.com/office/spreadsheetml/2017/richdata2" ref="A3:BO60">
    <sortCondition ref="B2:B60"/>
  </sortState>
  <tableColumns count="70">
    <tableColumn id="1" xr3:uid="{00000000-0010-0000-0500-000001000000}" name="APPLYING" dataDxfId="425" totalsRowDxfId="424"/>
    <tableColumn id="13" xr3:uid="{00000000-0010-0000-0500-00000D000000}" name="COUNTY" dataDxfId="423"/>
    <tableColumn id="26" xr3:uid="{00000000-0010-0000-0500-00001A000000}" name="|" dataDxfId="422" totalsRowDxfId="421"/>
    <tableColumn id="22" xr3:uid="{00000000-0010-0000-0500-000016000000}" name="UNITS" dataDxfId="420" totalsRowDxfId="419">
      <calculatedColumnFormula>IF(SUM(CHMATbl[[#This Row],[UNRESTRICTED UNITS]])=0,"",CHMATbl[[#This Row],[UNRESTRICTED UNITS]])</calculatedColumnFormula>
    </tableColumn>
    <tableColumn id="14" xr3:uid="{00000000-0010-0000-0500-00000E000000}" name="TOTAL $ REQUESTED" dataDxfId="418" totalsRowDxfId="417">
      <calculatedColumnFormula xml:space="preserve">
IF(CHMATbl[[#This Row],[UNRESTRICTED FUNDING REQUESTED]]=0,"",
CHMATbl[[#This Row],[UNRESTRICTED FUNDING REQUESTED]]*
IF(CH_MA_UnrestrictedTotalRequested&lt;=5000000,1,
5000000/CH_MA_UnrestrictedTotalRequested)
)</calculatedColumnFormula>
    </tableColumn>
    <tableColumn id="15" xr3:uid="{00000000-0010-0000-0500-00000F000000}" name="% OF TOTAL" dataDxfId="416" totalsRowDxfId="415">
      <calculatedColumnFormula>IFERROR(CHMATbl[[#This Row],[TOTAL $ REQUESTED]]/SUM(CHMATbl[TOTAL $ REQUESTED]),"")</calculatedColumnFormula>
    </tableColumn>
    <tableColumn id="34" xr3:uid="{00000000-0010-0000-0500-000022000000}" name="|4" dataDxfId="414" totalsRowDxfId="413"/>
    <tableColumn id="24" xr3:uid="{00000000-0010-0000-0500-000018000000}" name="UNITS2" dataDxfId="412" totalsRowDxfId="411">
      <calculatedColumnFormula>IF(SUM(CHMATbl[[#This Row],[MANUFACTURED UNITS]])=0,"",CHMATbl[[#This Row],[MANUFACTURED UNITS]])</calculatedColumnFormula>
    </tableColumn>
    <tableColumn id="32" xr3:uid="{00000000-0010-0000-0500-000020000000}" name="TOTAL $ REQUESTED2" dataDxfId="410" totalsRowDxfId="409">
      <calculatedColumnFormula xml:space="preserve">
IF(CHMATbl[[#This Row],[MANUFACTURED FUNDING REQUESTED]]=0,"",
CHMATbl[[#This Row],[MANUFACTURED FUNDING REQUESTED]]*
IF(CH_MA_ManufacturedTotalRequested&lt;=(5000000-E$61),1,
(5000000-E$61)/CH_MA_ManufacturedTotalRequested)
)</calculatedColumnFormula>
    </tableColumn>
    <tableColumn id="33" xr3:uid="{00000000-0010-0000-0500-000021000000}" name="% OF TOTAL2" dataDxfId="408" totalsRowDxfId="407">
      <calculatedColumnFormula>IFERROR(CHMATbl[[#This Row],[TOTAL $ REQUESTED2]]/SUM(CHMATbl[TOTAL $ REQUESTED2]),"")</calculatedColumnFormula>
    </tableColumn>
    <tableColumn id="35" xr3:uid="{00000000-0010-0000-0500-000023000000}" name="|8" dataDxfId="406" totalsRowDxfId="405"/>
    <tableColumn id="36" xr3:uid="{00000000-0010-0000-0500-000024000000}" name="UNITS3" dataDxfId="404" totalsRowDxfId="403">
      <calculatedColumnFormula>IF(SUM(CHMATbl[[#This Row],[RURAL UNITS]])=0,"",CHMATbl[[#This Row],[RURAL UNITS]])</calculatedColumnFormula>
    </tableColumn>
    <tableColumn id="37" xr3:uid="{00000000-0010-0000-0500-000025000000}" name="TOTAL $ REQUESTED3" dataDxfId="402" totalsRowDxfId="401">
      <calculatedColumnFormula xml:space="preserve">
IF(CHMATbl[[#This Row],[RURAL FUNDING REQUESTED]]=0,"",
CHMATbl[[#This Row],[RURAL FUNDING REQUESTED]]*
IF(CH_MA_RuralTotalRequested&lt;=(5000000-E$61-I$61),1,
(5000000-E$61-I$61)/CH_MA_RuralTotalRequested)
)</calculatedColumnFormula>
    </tableColumn>
    <tableColumn id="43" xr3:uid="{00000000-0010-0000-0500-00002B000000}" name="% OF TOTAL3" dataDxfId="400" totalsRowDxfId="399">
      <calculatedColumnFormula>IFERROR(CHMATbl[[#This Row],[TOTAL $ REQUESTED3]]/SUM(CHMATbl[TOTAL $ REQUESTED3]),"")</calculatedColumnFormula>
    </tableColumn>
    <tableColumn id="49" xr3:uid="{00000000-0010-0000-0500-000031000000}" name="|12" dataDxfId="398" totalsRowDxfId="397"/>
    <tableColumn id="57" xr3:uid="{00000000-0010-0000-0500-000039000000}" name="UNITS4" dataDxfId="396" totalsRowDxfId="395">
      <calculatedColumnFormula>IF(SUM(CHMATbl[[#This Row],[MANUFACTURED AND RURAL UNITS]])=0,"",CHMATbl[[#This Row],[MANUFACTURED AND RURAL UNITS]])</calculatedColumnFormula>
    </tableColumn>
    <tableColumn id="58" xr3:uid="{00000000-0010-0000-0500-00003A000000}" name="TOTAL $ REQUESTED4" dataDxfId="394" totalsRowDxfId="393">
      <calculatedColumnFormula xml:space="preserve">
IF(CHMATbl[[#This Row],[MANUFACTURED AND RURAL FUNDING REQUESTED]]=0,"",
CHMATbl[[#This Row],[MANUFACTURED AND RURAL FUNDING REQUESTED]]*
IF(CH_MA_MFDRuralTotalRequested&lt;=(5000000-E$61-I$61-M$61),1,
(5000000-E$61-I$61-M$61)/CH_MA_MFDRuralTotalRequested)
)</calculatedColumnFormula>
    </tableColumn>
    <tableColumn id="59" xr3:uid="{00000000-0010-0000-0500-00003B000000}" name="% OF TOTAL4" dataDxfId="392" totalsRowDxfId="391">
      <calculatedColumnFormula>IFERROR(CHMATbl[[#This Row],[TOTAL $ REQUESTED4]]/SUM(CHMATbl[TOTAL $ REQUESTED4]),"")</calculatedColumnFormula>
    </tableColumn>
    <tableColumn id="60" xr3:uid="{00000000-0010-0000-0500-00003C000000}" name="|16" dataDxfId="390" totalsRowDxfId="389"/>
    <tableColumn id="23" xr3:uid="{00000000-0010-0000-0500-000017000000}" name="ALL UNITS IN A HIGH OR HIGHEST RESOURCE AREA" dataDxfId="388" totalsRowDxfId="387"/>
    <tableColumn id="16" xr3:uid="{00000000-0010-0000-0500-000010000000}" name="APPLYING FOR MANUFACTURED HOMES SET ASIDE?" dataDxfId="386" totalsRowDxfId="385"/>
    <tableColumn id="17" xr3:uid="{00000000-0010-0000-0500-000011000000}" name="APPLY FOR RURAL AREA SET ASSIDE?" dataDxfId="384" totalsRowDxfId="383"/>
    <tableColumn id="25" xr3:uid="{00000000-0010-0000-0500-000019000000}" name="NEW CONSTRUCTION OR AQUIRE/REHAB" dataDxfId="382" totalsRowDxfId="381"/>
    <tableColumn id="2" xr3:uid="{00000000-0010-0000-0500-000002000000}" name="UNRESTRICTED UNITS" dataDxfId="380"/>
    <tableColumn id="5" xr3:uid="{00000000-0010-0000-0500-000005000000}" name="UNRESTRICTED COST" dataDxfId="379"/>
    <tableColumn id="8" xr3:uid="{00000000-0010-0000-0500-000008000000}" name="UNRESTRICTED DIRECT ASSISTANCE" dataDxfId="378"/>
    <tableColumn id="11" xr3:uid="{00000000-0010-0000-0500-00000B000000}" name="UNRESTRICTED DELIVERY FEE" dataDxfId="377"/>
    <tableColumn id="19" xr3:uid="{00000000-0010-0000-0500-000013000000}" name="UNRESTRICTED CLASS FEE" dataDxfId="376"/>
    <tableColumn id="40" xr3:uid="{00000000-0010-0000-0500-000028000000}" name="UNRESTRICTED FUNDING REQUESTED" dataDxfId="375" totalsRowDxfId="374">
      <calculatedColumnFormula>SUM(Z3:AB3)</calculatedColumnFormula>
    </tableColumn>
    <tableColumn id="41" xr3:uid="{00000000-0010-0000-0500-000029000000}" name="% OF TOTAL UNRESTRICTED FUNDING" dataDxfId="373" totalsRowDxfId="372">
      <calculatedColumnFormula>IF(CHMATbl[[#This Row],[UNRESTRICTED FUNDING REQUESTED]]=0,0,CHMATbl[[#This Row],[UNRESTRICTED FUNDING REQUESTED]]/CH_MA_UnrestrictedTotalRequested)</calculatedColumnFormula>
    </tableColumn>
    <tableColumn id="50" xr3:uid="{00000000-0010-0000-0500-000032000000}" name="UNRESTRICTED HOUSING SUPPLY POINTS" dataDxfId="371" totalsRowDxfId="370">
      <calculatedColumnFormula xml:space="preserve">
IF(CHMATbl[[#This Row],[NEW CONSTRUCTION OR AQUIRE/REHAB]]&lt;&gt;"",
3+IF(CHMATbl[[#This Row],[INFILL SITE]]="Yes",2,0),0)
*CHMATbl[[#This Row],[% OF TOTAL UNRESTRICTED FUNDING]]</calculatedColumnFormula>
    </tableColumn>
    <tableColumn id="46" xr3:uid="{00000000-0010-0000-0500-00002E000000}" name="UNRESTRICTED  REVITALIZATION POINTS" dataDxfId="369" totalsRowDxfId="368">
      <calculatedColumnFormula>IF(CHMATbl[[#This Row],[ALL UNITS IN A HIGH OR HIGHEST RESOURCE AREA]]="Yes",10*CHMATbl[[#This Row],[% OF TOTAL UNRESTRICTED FUNDING]],0)</calculatedColumnFormula>
    </tableColumn>
    <tableColumn id="30" xr3:uid="{00000000-0010-0000-0500-00001E000000}" name="UNRESTRICTED COMMUNITY NEED POINTS" dataDxfId="367" totalsRowDxfId="366">
      <calculatedColumnFormula array="1">INDEX(CountyScoresTbl[Community Need Total Points],ROW(CHMATbl[[#This Row],[COUNTY]])-2,1)*CHMATbl[[#This Row],[% OF TOTAL UNRESTRICTED FUNDING]]</calculatedColumnFormula>
    </tableColumn>
    <tableColumn id="39" xr3:uid="{00000000-0010-0000-0500-000027000000}" name="UNRESTRICTED FEASIBILITY POINTS" dataDxfId="365">
      <calculatedColumnFormula array="1"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calculatedColumnFormula>
    </tableColumn>
    <tableColumn id="3" xr3:uid="{00000000-0010-0000-0500-000003000000}" name="MANUFACTURED UNITS" dataDxfId="364" totalsRowDxfId="363"/>
    <tableColumn id="6" xr3:uid="{00000000-0010-0000-0500-000006000000}" name="MANUFACTURED COST" dataDxfId="362" totalsRowDxfId="361"/>
    <tableColumn id="9" xr3:uid="{00000000-0010-0000-0500-000009000000}" name="MANUFACTURED DIRECT ASSISTANCE" dataDxfId="360" totalsRowDxfId="359"/>
    <tableColumn id="12" xr3:uid="{00000000-0010-0000-0500-00000C000000}" name="MANUFACTURED DELIVERY FEE" dataDxfId="358" totalsRowDxfId="357"/>
    <tableColumn id="20" xr3:uid="{00000000-0010-0000-0500-000014000000}" name="MANUFACTURED CLASS FEE" dataDxfId="356" totalsRowDxfId="355"/>
    <tableColumn id="44" xr3:uid="{00000000-0010-0000-0500-00002C000000}" name="MANUFACTURED FUNDING REQUESTED" dataDxfId="354" totalsRowDxfId="353">
      <calculatedColumnFormula>SUM(AK3:AM3)</calculatedColumnFormula>
    </tableColumn>
    <tableColumn id="45" xr3:uid="{00000000-0010-0000-0500-00002D000000}" name="% OF TOTAL MANUFACTURED FUNDING" dataDxfId="352" totalsRowDxfId="351">
      <calculatedColumnFormula>IF(CHMATbl[[#This Row],[MANUFACTURED FUNDING REQUESTED]]=0,0,CHMATbl[[#This Row],[MANUFACTURED FUNDING REQUESTED]]/CH_MA_ManufacturedTotalRequested)</calculatedColumnFormula>
    </tableColumn>
    <tableColumn id="51" xr3:uid="{00000000-0010-0000-0500-000033000000}" name="MANUFACTURED HOUSING SUPPLY POINTS" dataDxfId="350" totalsRowDxfId="349">
      <calculatedColumnFormula>IF(
CHMATbl[[#This Row],[NEW CONSTRUCTION OR AQUIRE/REHAB]]&lt;&gt;"",
3+IF(CHMATbl[[#This Row],[INFILL SITE]]="Yes",2,0),0)
*CHMATbl[[#This Row],[% OF TOTAL MANUFACTURED FUNDING]]</calculatedColumnFormula>
    </tableColumn>
    <tableColumn id="47" xr3:uid="{00000000-0010-0000-0500-00002F000000}" name="MANUFACTURED  REVITALIZATION POINTS" dataDxfId="348" totalsRowDxfId="347">
      <calculatedColumnFormula>IF(CHMATbl[[#This Row],[ALL UNITS IN A HIGH OR HIGHEST RESOURCE AREA]]="Yes",10*CHMATbl[[#This Row],[% OF TOTAL MANUFACTURED FUNDING]],0)</calculatedColumnFormula>
    </tableColumn>
    <tableColumn id="29" xr3:uid="{00000000-0010-0000-0500-00001D000000}" name="MANUFACTURED COMMUNITY NEED POINTS" dataDxfId="346" totalsRowDxfId="345">
      <calculatedColumnFormula array="1">INDEX(CountyScoresTbl[Community Need Total Points],ROW(CHMATbl[[#This Row],[COUNTY]])-2,1)*CHMATbl[[#This Row],[% OF TOTAL MANUFACTURED FUNDING]]</calculatedColumnFormula>
    </tableColumn>
    <tableColumn id="38" xr3:uid="{00000000-0010-0000-0500-000026000000}" name="MANUFACTURED FEASIBILITY POINTS" dataDxfId="344" totalsRowDxfId="343">
      <calculatedColumnFormula array="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calculatedColumnFormula>
    </tableColumn>
    <tableColumn id="4" xr3:uid="{00000000-0010-0000-0500-000004000000}" name="RURAL UNITS" dataDxfId="342"/>
    <tableColumn id="7" xr3:uid="{00000000-0010-0000-0500-000007000000}" name="RURAL COST" dataDxfId="341"/>
    <tableColumn id="10" xr3:uid="{00000000-0010-0000-0500-00000A000000}" name="RURAL DIRECT ASSISTANCE" dataDxfId="340"/>
    <tableColumn id="18" xr3:uid="{00000000-0010-0000-0500-000012000000}" name="RURAL DELIVERY FEE" dataDxfId="339"/>
    <tableColumn id="21" xr3:uid="{00000000-0010-0000-0500-000015000000}" name="RURAL CLASS FEE" dataDxfId="338"/>
    <tableColumn id="28" xr3:uid="{00000000-0010-0000-0500-00001C000000}" name="RURAL FUNDING REQUESTED" dataDxfId="337" totalsRowDxfId="336">
      <calculatedColumnFormula>SUM(AV3:AX3)</calculatedColumnFormula>
    </tableColumn>
    <tableColumn id="42" xr3:uid="{00000000-0010-0000-0500-00002A000000}" name="% OF TOTAL RURAL FUNDING" dataDxfId="335" totalsRowDxfId="334">
      <calculatedColumnFormula>IF(CHMATbl[[#This Row],[RURAL FUNDING REQUESTED]]=0,0,CHMATbl[[#This Row],[RURAL FUNDING REQUESTED]]/CH_MA_RuralTotalRequested)</calculatedColumnFormula>
    </tableColumn>
    <tableColumn id="52" xr3:uid="{00000000-0010-0000-0500-000034000000}" name="RURAL HOUSING SUPPLY POINTS" dataDxfId="333" totalsRowDxfId="332">
      <calculatedColumnFormula>IF(
CHMATbl[[#This Row],[NEW CONSTRUCTION OR AQUIRE/REHAB]]&lt;&gt;"",
3+IF(CHMATbl[[#This Row],[INFILL SITE]]="Yes",2,0),0)
*CHMATbl[[#This Row],[% OF TOTAL RURAL FUNDING]]</calculatedColumnFormula>
    </tableColumn>
    <tableColumn id="48" xr3:uid="{00000000-0010-0000-0500-000030000000}" name="RURAL  REVITALIZATION POINTS" dataDxfId="331">
      <calculatedColumnFormula>IF(
CHMATbl[[#This Row],[ALL UNITS IN A HIGH OR HIGHEST RESOURCE AREA]]="Yes",
10*CHMATbl[[#This Row],[% OF TOTAL RURAL FUNDING]],
0)</calculatedColumnFormula>
    </tableColumn>
    <tableColumn id="27" xr3:uid="{00000000-0010-0000-0500-00001B000000}" name="RURAL COMMUNITY NEED POINTS" dataDxfId="330" totalsRowDxfId="329">
      <calculatedColumnFormula array="1">INDEX(
CountyScoresTbl[Community Need Total Points],
ROW(CHMATbl[[#This Row],[COUNTY]])-2,1)*CHMATbl[[#This Row],[% OF TOTAL RURAL FUNDING]]</calculatedColumnFormula>
    </tableColumn>
    <tableColumn id="31" xr3:uid="{00000000-0010-0000-0500-00001F000000}" name="RURAL FEASIBILITY POINTS" dataDxfId="328" totalsRowDxfId="327">
      <calculatedColumnFormula array="1"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calculatedColumnFormula>
    </tableColumn>
    <tableColumn id="63" xr3:uid="{00000000-0010-0000-0500-00003F000000}" name="MANUFACTURED AND RURAL UNITS" dataDxfId="326" totalsRowDxfId="325"/>
    <tableColumn id="64" xr3:uid="{00000000-0010-0000-0500-000040000000}" name="MANUFACTURED AND RURAL COST" dataDxfId="324" totalsRowDxfId="323"/>
    <tableColumn id="61" xr3:uid="{00000000-0010-0000-0500-00003D000000}" name="MANUFACTURED AND RURAL DIRECT ASSISTANCE" dataDxfId="322" totalsRowDxfId="321"/>
    <tableColumn id="62" xr3:uid="{00000000-0010-0000-0500-00003E000000}" name="MANUFACTURED AND RURAL DELIVERY FEE" dataDxfId="320" totalsRowDxfId="319"/>
    <tableColumn id="65" xr3:uid="{00000000-0010-0000-0500-000041000000}" name="MANUFACTURED AND RURAL CLASS FEE" dataDxfId="318" totalsRowDxfId="317"/>
    <tableColumn id="66" xr3:uid="{00000000-0010-0000-0500-000042000000}" name="MANUFACTURED AND RURAL FUNDING REQUESTED" dataDxfId="316" totalsRowDxfId="315">
      <calculatedColumnFormula>SUM(BG3:BI3)</calculatedColumnFormula>
    </tableColumn>
    <tableColumn id="67" xr3:uid="{00000000-0010-0000-0500-000043000000}" name="% OF TOTAL MANUFACTURED AND RURAL FUNDING" dataDxfId="314" totalsRowDxfId="313">
      <calculatedColumnFormula>IF(CHMATbl[[#This Row],[MANUFACTURED AND RURAL FUNDING REQUESTED]]=0,0,CHMATbl[[#This Row],[MANUFACTURED AND RURAL FUNDING REQUESTED]]/CH_MA_MFDRuralTotalRequested)</calculatedColumnFormula>
    </tableColumn>
    <tableColumn id="68" xr3:uid="{00000000-0010-0000-0500-000044000000}" name="MANUFACTURED AND RURAL HOUSING SUPPLY POINTS" dataDxfId="312" totalsRowDxfId="311">
      <calculatedColumnFormula xml:space="preserve">
IF(CHMATbl[[#This Row],[NEW CONSTRUCTION OR AQUIRE/REHAB]]&lt;&gt;"",
3+IF(CHMATbl[[#This Row],[INFILL SITE]]="Yes",2,0),0)
*CHMATbl[[#This Row],[% OF TOTAL MANUFACTURED AND RURAL FUNDING]]</calculatedColumnFormula>
    </tableColumn>
    <tableColumn id="69" xr3:uid="{00000000-0010-0000-0500-000045000000}" name="MANUFACTURED AND RURAL  REVITALIZATION POINTS" dataDxfId="310" totalsRowDxfId="309">
      <calculatedColumnFormula>IF(
CHMATbl[[#This Row],[ALL UNITS IN A HIGH OR HIGHEST RESOURCE AREA]]="Yes",
10*CHMATbl[[#This Row],[% OF TOTAL MANUFACTURED AND RURAL FUNDING]],
0)</calculatedColumnFormula>
    </tableColumn>
    <tableColumn id="70" xr3:uid="{00000000-0010-0000-0500-000046000000}" name="MANUFACTURED AND RURAL COMMUNITY NEED POINTS" dataDxfId="308" totalsRowDxfId="307">
      <calculatedColumnFormula array="1">INDEX(
CountyScoresTbl[Community Need Total Points],
ROW(CHMATbl[[#This Row],[COUNTY]])-2,1)*CHMATbl[[#This Row],[% OF TOTAL MANUFACTURED AND RURAL FUNDING]]</calculatedColumnFormula>
    </tableColumn>
    <tableColumn id="71" xr3:uid="{00000000-0010-0000-0500-000047000000}" name="MANUFACTURED AND RURAL FEASIBILITY POINTS" dataDxfId="306" totalsRowDxfId="305">
      <calculatedColumnFormula array="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calculatedColumnFormula>
    </tableColumn>
    <tableColumn id="53" xr3:uid="{00000000-0010-0000-0500-000035000000}" name="INFILL SITE" dataDxfId="304" totalsRowDxfId="303"/>
    <tableColumn id="54" xr3:uid="{00000000-0010-0000-0500-000036000000}" name="FundingSource" dataDxfId="302" totalsRowDxfId="301"/>
    <tableColumn id="55" xr3:uid="{00000000-0010-0000-0500-000037000000}" name="FirstTimeBuyers" dataDxfId="300" totalsRowDxfId="29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6000000}" name="CHOORTbl" displayName="CHOORTbl" ref="A2:BH60" totalsRowShown="0" headerRowDxfId="298" dataDxfId="296" totalsRowDxfId="294" headerRowBorderDxfId="297" tableBorderDxfId="295">
  <autoFilter ref="A2:BH60" xr:uid="{00000000-0009-0000-0100-000003000000}"/>
  <tableColumns count="60">
    <tableColumn id="1" xr3:uid="{00000000-0010-0000-0600-000001000000}" name="APPLYING" dataDxfId="293" totalsRowDxfId="292"/>
    <tableColumn id="13" xr3:uid="{00000000-0010-0000-0600-00000D000000}" name="COUNTY" dataDxfId="291"/>
    <tableColumn id="26" xr3:uid="{00000000-0010-0000-0600-00001A000000}" name="|" dataDxfId="290" totalsRowDxfId="289"/>
    <tableColumn id="14" xr3:uid="{00000000-0010-0000-0600-00000E000000}" name="UNITS" dataDxfId="288" totalsRowDxfId="287">
      <calculatedColumnFormula>IF(SUM(CHOORTbl[[#This Row],[Unrestricted Repair Units]:[Unrestricted ADU Reconstruct Units]])=0,"",SUM(CHOORTbl[[#This Row],[Unrestricted Repair Units]:[Unrestricted ADU Reconstruct Units]]))</calculatedColumnFormula>
    </tableColumn>
    <tableColumn id="12" xr3:uid="{00000000-0010-0000-0600-00000C000000}" name="TOTAL $ REQUESTED" dataDxfId="286">
      <calculatedColumnFormula xml:space="preserve">
IF(CHOORTbl[[#This Row],[TOTAL UNRESTRICTED]]=0,"",
CHOORTbl[[#This Row],[TOTAL UNRESTRICTED]]*
IF(CH_OOR_UnrestrictedTotalRequested&lt;=5000000,1,
5000000/CH_OOR_UnrestrictedTotalRequested)
)</calculatedColumnFormula>
    </tableColumn>
    <tableColumn id="9" xr3:uid="{00000000-0010-0000-0600-000009000000}" name="% OF TOTAL" dataDxfId="285" totalsRowDxfId="284">
      <calculatedColumnFormula>IF(CHOORTbl[[#This Row],[ % OF TOTAL FUNDING]]=0,"",CHOORTbl[[#This Row],[ % OF TOTAL FUNDING]])</calculatedColumnFormula>
    </tableColumn>
    <tableColumn id="33" xr3:uid="{00000000-0010-0000-0600-000021000000}" name="|3" dataDxfId="283" totalsRowDxfId="282"/>
    <tableColumn id="15" xr3:uid="{00000000-0010-0000-0600-00000F000000}" name="UNITS2" dataDxfId="281" totalsRowDxfId="280">
      <calculatedColumnFormula>IF(SUM(CHOORTbl[[#This Row],[Manufactured Home Units]])=0,"",SUM(CHOORTbl[[#This Row],[Manufactured Home Units]]))</calculatedColumnFormula>
    </tableColumn>
    <tableColumn id="20" xr3:uid="{00000000-0010-0000-0600-000014000000}" name="TOTAL $ REQUESTED2" dataDxfId="279">
      <calculatedColumnFormula xml:space="preserve">
IF(CHOORTbl[[#This Row],[TOTAL MANUFACTURED]]=0,"",
CHOORTbl[[#This Row],[TOTAL MANUFACTURED]]*
IF(CH_OOR_ManufacturedTotalRequested&lt;=(5000000-E$61),1,
(5000000-E$61)/CH_OOR_ManufacturedTotalRequested)
)</calculatedColumnFormula>
    </tableColumn>
    <tableColumn id="19" xr3:uid="{00000000-0010-0000-0600-000013000000}" name="% OF TOTAL2" dataDxfId="278">
      <calculatedColumnFormula>IF(CHOORTbl[[#This Row],[ % OF TOTAL FUNDING2]]=0,"",CHOORTbl[[#This Row],[ % OF TOTAL FUNDING2]])</calculatedColumnFormula>
    </tableColumn>
    <tableColumn id="34" xr3:uid="{00000000-0010-0000-0600-000022000000}" name="|4" dataDxfId="277" totalsRowDxfId="276"/>
    <tableColumn id="16" xr3:uid="{00000000-0010-0000-0600-000010000000}" name="UNITS3" dataDxfId="275">
      <calculatedColumnFormula>IF(SUM(CHOORTbl[[#This Row],[RURAL AREA HOMES TO REPAIR2]:[RURAL AREA ADUS TO ADD OR RECONSTRUCT]])=0,"",SUM(CHOORTbl[[#This Row],[RURAL AREA HOMES TO REPAIR2]:[RURAL AREA ADUS TO ADD OR RECONSTRUCT]]))</calculatedColumnFormula>
    </tableColumn>
    <tableColumn id="22" xr3:uid="{00000000-0010-0000-0600-000016000000}" name="TOTAL $ REQUESTED3" dataDxfId="274">
      <calculatedColumnFormula xml:space="preserve">
IF(CHOORTbl[[#This Row],[TOTAL RURAL]]=0,"",
CHOORTbl[[#This Row],[TOTAL RURAL]]*
IF(CH_OOR_RuralTotalRequested&lt;=(5000000-E$61-I$61),1,
(5000000-E$61-I$61)/CH_OOR_RuralTotalRequested)
)</calculatedColumnFormula>
    </tableColumn>
    <tableColumn id="21" xr3:uid="{00000000-0010-0000-0600-000015000000}" name="% OF TOTAL3" dataDxfId="273">
      <calculatedColumnFormula>IF(CHOORTbl[[#This Row],[ % OF TOTAL RURAL FUNDING]]=0,"",CHOORTbl[[#This Row],[ % OF TOTAL RURAL FUNDING]])</calculatedColumnFormula>
    </tableColumn>
    <tableColumn id="35" xr3:uid="{00000000-0010-0000-0600-000023000000}" name="|5" dataDxfId="272" totalsRowDxfId="271"/>
    <tableColumn id="52" xr3:uid="{00000000-0010-0000-0600-000034000000}" name="UNITS4" dataDxfId="270" totalsRowDxfId="269">
      <calculatedColumnFormula>IF(SUM(CHOORTbl[[#This Row],[MFD RURAL UNITS]])=0,"",SUM(CHOORTbl[[#This Row],[MFD RURAL UNITS]]))</calculatedColumnFormula>
    </tableColumn>
    <tableColumn id="53" xr3:uid="{00000000-0010-0000-0600-000035000000}" name="TOTAL $ REQUESTED4" dataDxfId="268" totalsRowDxfId="267">
      <calculatedColumnFormula xml:space="preserve">
IF(CHOORTbl[[#This Row],[TOTAL MFD RURAL]]=0,"",
CHOORTbl[[#This Row],[TOTAL MFD RURAL]]*
IF(CH_OOR_MFDRuralTotalRequested&lt;=(5000000-E$61-I$61-M$61),1,
(5000000-E$61-I$61-M$61)/CH_OOR_MFDRuralTotalRequested)
)</calculatedColumnFormula>
    </tableColumn>
    <tableColumn id="54" xr3:uid="{00000000-0010-0000-0600-000036000000}" name="% OF TOTAL4" dataDxfId="266" totalsRowDxfId="265">
      <calculatedColumnFormula>IF(CHOORTbl[[#This Row],[ % OF TOTAL MFD RURAL FUNDING]]=0,"",CHOORTbl[[#This Row],[ % OF TOTAL MFD RURAL FUNDING]])</calculatedColumnFormula>
    </tableColumn>
    <tableColumn id="55" xr3:uid="{00000000-0010-0000-0600-000037000000}" name="|9" dataDxfId="264" totalsRowDxfId="263"/>
    <tableColumn id="25" xr3:uid="{00000000-0010-0000-0600-000019000000}" name="ALL UNITS IN A HIGH OR HIGHEST RESOURCE AREA" dataDxfId="262" totalsRowDxfId="261"/>
    <tableColumn id="6" xr3:uid="{00000000-0010-0000-0600-000006000000}" name="APPLY FOR MANUFACTURED HOME SET ASIDE?" dataDxfId="260" totalsRowDxfId="259"/>
    <tableColumn id="17" xr3:uid="{00000000-0010-0000-0600-000011000000}" name="APPLY FOR RURAL AREA SET ASIDE?" dataDxfId="258" totalsRowDxfId="257"/>
    <tableColumn id="2" xr3:uid="{00000000-0010-0000-0600-000002000000}" name="Unrestricted Repair Units" dataDxfId="256" totalsRowDxfId="255"/>
    <tableColumn id="5" xr3:uid="{00000000-0010-0000-0600-000005000000}" name="Unrestricted Reconstruct Units" dataDxfId="254" totalsRowDxfId="253"/>
    <tableColumn id="8" xr3:uid="{00000000-0010-0000-0600-000008000000}" name="Unrestricted ADU Repair Units" dataDxfId="252" totalsRowDxfId="251"/>
    <tableColumn id="11" xr3:uid="{00000000-0010-0000-0600-00000B000000}" name="Unrestricted ADU Reconstruct Units" dataDxfId="250" totalsRowDxfId="249"/>
    <tableColumn id="40" xr3:uid="{00000000-0010-0000-0600-000028000000}" name="Unrestricted Funds Requesting" dataDxfId="248" totalsRowDxfId="247"/>
    <tableColumn id="41" xr3:uid="{00000000-0010-0000-0600-000029000000}" name=" % OF TOTAL FUNDING" dataDxfId="246" totalsRowDxfId="245">
      <calculatedColumnFormula>IF(CHOORTbl[[#This Row],[TOTAL UNRESTRICTED]]=0,0,CHOORTbl[[#This Row],[TOTAL UNRESTRICTED]]/SUM(CHOORTbl[TOTAL UNRESTRICTED]))</calculatedColumnFormula>
    </tableColumn>
    <tableColumn id="46" xr3:uid="{00000000-0010-0000-0600-00002E000000}" name="WEIGHTED REVITALIZATION POINTS" dataDxfId="244" totalsRowDxfId="243">
      <calculatedColumnFormula>IF(CHOORTbl[[#This Row],[ALL UNITS IN A HIGH OR HIGHEST RESOURCE AREA]]="Yes",10*CHOORTbl[[#This Row],[ % OF TOTAL FUNDING]],0)</calculatedColumnFormula>
    </tableColumn>
    <tableColumn id="30" xr3:uid="{00000000-0010-0000-0600-00001E000000}" name="WEIGHTED COMMUNITY NEED POINTS" dataDxfId="242" totalsRowDxfId="241">
      <calculatedColumnFormula array="1">INDEX(CountyScoresTbl[OOR Community Need],ROW(CHOORTbl[[#This Row],[COUNTY]])-2,1)*CHOORTbl[[#This Row],[ % OF TOTAL FUNDING]]</calculatedColumnFormula>
    </tableColumn>
    <tableColumn id="39" xr3:uid="{00000000-0010-0000-0600-000027000000}" name="WEIGHTED FEASIBILITY POINTS" dataDxfId="240" totalsRowDxfId="239">
      <calculatedColumnFormula array="1">INDEX(CountyScoresTbl[OOR/ADU Total Feasibility Points Awarded],ROW(CHOORTbl[[#This Row],[COUNTY]])-2,1)*CHOORTbl[[#This Row],[ % OF TOTAL FUNDING]]</calculatedColumnFormula>
    </tableColumn>
    <tableColumn id="3" xr3:uid="{00000000-0010-0000-0600-000003000000}" name="Manufactured Home Units" dataDxfId="238" totalsRowDxfId="237"/>
    <tableColumn id="44" xr3:uid="{00000000-0010-0000-0600-00002C000000}" name="Manufactured Home Funds Requesting" dataDxfId="236" totalsRowDxfId="235"/>
    <tableColumn id="45" xr3:uid="{00000000-0010-0000-0600-00002D000000}" name=" % OF TOTAL FUNDING2" dataDxfId="234">
      <calculatedColumnFormula>IF(CHOORTbl[[#This Row],[TOTAL MANUFACTURED]]=0,0,CHOORTbl[[#This Row],[TOTAL MANUFACTURED]]/SUM(CHOORTbl[TOTAL MANUFACTURED]))</calculatedColumnFormula>
    </tableColumn>
    <tableColumn id="47" xr3:uid="{00000000-0010-0000-0600-00002F000000}" name="WEIGHTED REVITALIZATION POINTS2" dataDxfId="233" totalsRowDxfId="232">
      <calculatedColumnFormula>IF(CHOORTbl[[#This Row],[ALL UNITS IN A HIGH OR HIGHEST RESOURCE AREA]]="Yes",10*CHOORTbl[[#This Row],[ % OF TOTAL FUNDING2]],0)</calculatedColumnFormula>
    </tableColumn>
    <tableColumn id="29" xr3:uid="{00000000-0010-0000-0600-00001D000000}" name="WEIGHTED COMMUNITY NEED POINTS2" dataDxfId="231" totalsRowDxfId="230">
      <calculatedColumnFormula array="1">INDEX(CountyScoresTbl[OOR Community Need],ROW(CHOORTbl[[#This Row],[COUNTY]])-2,1)*CHOORTbl[[#This Row],[ % OF TOTAL FUNDING2]]</calculatedColumnFormula>
    </tableColumn>
    <tableColumn id="38" xr3:uid="{00000000-0010-0000-0600-000026000000}" name="WEIGHTED FEASIBILITY POINTS2" dataDxfId="229" totalsRowDxfId="228">
      <calculatedColumnFormula array="1">INDEX(CountyScoresTbl[OOR/ADU Total Feasibility Points Awarded],ROW(CHOORTbl[[#This Row],[COUNTY]])-2,1)*CHOORTbl[[#This Row],[ % OF TOTAL FUNDING2]]</calculatedColumnFormula>
    </tableColumn>
    <tableColumn id="4" xr3:uid="{00000000-0010-0000-0600-000004000000}" name="RURAL AREA HOMES TO REPAIR2" dataDxfId="227" totalsRowDxfId="226"/>
    <tableColumn id="7" xr3:uid="{00000000-0010-0000-0600-000007000000}" name="RURAL AREA HOMES TO RECONSTRUCT" dataDxfId="225" totalsRowDxfId="224"/>
    <tableColumn id="10" xr3:uid="{00000000-0010-0000-0600-00000A000000}" name="RURAL AREA ADUS TO REPAIR OR CONVERT" dataDxfId="223" totalsRowDxfId="222"/>
    <tableColumn id="18" xr3:uid="{00000000-0010-0000-0600-000012000000}" name="RURAL AREA ADUS TO ADD OR RECONSTRUCT" dataDxfId="221" totalsRowDxfId="220"/>
    <tableColumn id="28" xr3:uid="{00000000-0010-0000-0600-00001C000000}" name="RURAL FUNDING REQUESTED" dataDxfId="219" totalsRowDxfId="218"/>
    <tableColumn id="42" xr3:uid="{00000000-0010-0000-0600-00002A000000}" name=" % OF TOTAL RURAL FUNDING" dataDxfId="217" totalsRowDxfId="216">
      <calculatedColumnFormula>IF(CHOORTbl[[#This Row],[TOTAL RURAL]]=0,0,CHOORTbl[[#This Row],[TOTAL RURAL]]/SUM(CHOORTbl[TOTAL RURAL]))</calculatedColumnFormula>
    </tableColumn>
    <tableColumn id="48" xr3:uid="{00000000-0010-0000-0600-000030000000}" name="RURAL REVITALIZATION POINTS" dataDxfId="215">
      <calculatedColumnFormula>IF(CHOORTbl[[#This Row],[ALL UNITS IN A HIGH OR HIGHEST RESOURCE AREA]]="Yes",10*CHOORTbl[[#This Row],[ % OF TOTAL RURAL FUNDING]],0)</calculatedColumnFormula>
    </tableColumn>
    <tableColumn id="27" xr3:uid="{00000000-0010-0000-0600-00001B000000}" name="RURAL COMMUNITY NEED POINTS" dataDxfId="214" totalsRowDxfId="213">
      <calculatedColumnFormula array="1">INDEX(CountyScoresTbl[OOR Community Need],ROW(CHOORTbl[[#This Row],[COUNTY]])-2,1)*CHOORTbl[[#This Row],[ % OF TOTAL RURAL FUNDING]]</calculatedColumnFormula>
    </tableColumn>
    <tableColumn id="31" xr3:uid="{00000000-0010-0000-0600-00001F000000}" name="RURAL FEASIBILITY POINTS" dataDxfId="212" totalsRowDxfId="211">
      <calculatedColumnFormula array="1">INDEX(CountyScoresTbl[OOR/ADU Total Feasibility Points Awarded],ROW(CHOORTbl[[#This Row],[COUNTY]])-2,1)*CHOORTbl[[#This Row],[ % OF TOTAL RURAL FUNDING]]</calculatedColumnFormula>
    </tableColumn>
    <tableColumn id="23" xr3:uid="{00000000-0010-0000-0600-000017000000}" name="MFD RURAL UNITS" dataDxfId="210" totalsRowDxfId="209"/>
    <tableColumn id="37" xr3:uid="{00000000-0010-0000-0600-000025000000}" name="MFD RURAL FUNDING REQUESTED" dataDxfId="208" totalsRowDxfId="207"/>
    <tableColumn id="43" xr3:uid="{00000000-0010-0000-0600-00002B000000}" name=" % OF TOTAL MFD RURAL FUNDING" dataDxfId="206" totalsRowDxfId="205">
      <calculatedColumnFormula>IF(CHOORTbl[[#This Row],[TOTAL MFD RURAL]]=0,0,CHOORTbl[[#This Row],[TOTAL MFD RURAL]]/SUM(CHOORTbl[TOTAL MFD RURAL]))</calculatedColumnFormula>
    </tableColumn>
    <tableColumn id="49" xr3:uid="{00000000-0010-0000-0600-000031000000}" name="MFD RURAL REVITALIZATION POINTS" dataDxfId="204" totalsRowDxfId="203">
      <calculatedColumnFormula>IF(CHOORTbl[[#This Row],[ALL UNITS IN A HIGH OR HIGHEST RESOURCE AREA]]="Yes",10*CHOORTbl[[#This Row],[ % OF TOTAL MFD RURAL FUNDING]],0)</calculatedColumnFormula>
    </tableColumn>
    <tableColumn id="50" xr3:uid="{00000000-0010-0000-0600-000032000000}" name="MFD RURAL COMMUNITY NEED POINTS" dataDxfId="202" totalsRowDxfId="201">
      <calculatedColumnFormula array="1">INDEX(CountyScoresTbl[OOR Community Need],ROW(CHOORTbl[[#This Row],[COUNTY]])-2,1)*CHOORTbl[[#This Row],[ % OF TOTAL MFD RURAL FUNDING]]</calculatedColumnFormula>
    </tableColumn>
    <tableColumn id="51" xr3:uid="{00000000-0010-0000-0600-000033000000}" name="MFD RURAL FEASIBILITY POINTS" dataDxfId="200" totalsRowDxfId="199">
      <calculatedColumnFormula array="1">INDEX(CountyScoresTbl[OOR/ADU Total Feasibility Points Awarded],ROW(CHOORTbl[[#This Row],[COUNTY]])-2,1)*CHOORTbl[[#This Row],[ % OF TOTAL MFD RURAL FUNDING]]</calculatedColumnFormula>
    </tableColumn>
    <tableColumn id="24" xr3:uid="{00000000-0010-0000-0600-000018000000}" name="UNRESTRICTED ADF" dataDxfId="198" totalsRowDxfId="197"/>
    <tableColumn id="57" xr3:uid="{00000000-0010-0000-0600-000039000000}" name="TOTAL UNRESTRICTED" dataDxfId="196">
      <calculatedColumnFormula>SUM(CHOORTbl[[#This Row],[UNRESTRICTED ADF]],CHOORTbl[[#This Row],[Unrestricted Funds Requesting]])</calculatedColumnFormula>
    </tableColumn>
    <tableColumn id="32" xr3:uid="{00000000-0010-0000-0600-000020000000}" name="MANUFACTURED ADF" dataDxfId="195" totalsRowDxfId="194"/>
    <tableColumn id="58" xr3:uid="{00000000-0010-0000-0600-00003A000000}" name="TOTAL MANUFACTURED" dataDxfId="193" totalsRowDxfId="192">
      <calculatedColumnFormula>SUM(CHOORTbl[[#This Row],[MANUFACTURED ADF]],CHOORTbl[[#This Row],[Manufactured Home Funds Requesting]])</calculatedColumnFormula>
    </tableColumn>
    <tableColumn id="36" xr3:uid="{00000000-0010-0000-0600-000024000000}" name="RURAL ADF" dataDxfId="191" totalsRowDxfId="190"/>
    <tableColumn id="59" xr3:uid="{00000000-0010-0000-0600-00003B000000}" name="TOTAL RURAL" dataDxfId="189" totalsRowDxfId="188">
      <calculatedColumnFormula>SUM(CHOORTbl[[#This Row],[RURAL ADF]],CHOORTbl[[#This Row],[RURAL FUNDING REQUESTED]])</calculatedColumnFormula>
    </tableColumn>
    <tableColumn id="56" xr3:uid="{00000000-0010-0000-0600-000038000000}" name="MFD RURAL ADF" dataDxfId="187" totalsRowDxfId="186"/>
    <tableColumn id="60" xr3:uid="{00000000-0010-0000-0600-00003C000000}" name="TOTAL MFD RURAL" dataDxfId="185" totalsRowDxfId="184">
      <calculatedColumnFormula>SUM(CHOORTbl[[#This Row],[MFD RURAL ADF]],CHOORTbl[[#This Row],[MFD RURAL FUNDING REQUESTED]])</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7000000}" name="CHSHTATbl" displayName="CHSHTATbl" ref="A2:BG60" totalsRowShown="0" headerRowDxfId="183" dataDxfId="181" totalsRowDxfId="179" headerRowBorderDxfId="182" tableBorderDxfId="180">
  <autoFilter ref="A2:BG60" xr:uid="{00000000-0009-0000-0100-000004000000}"/>
  <tableColumns count="59">
    <tableColumn id="1" xr3:uid="{00000000-0010-0000-0700-000001000000}" name="APPLYING" dataDxfId="178" totalsRowDxfId="177"/>
    <tableColumn id="13" xr3:uid="{00000000-0010-0000-0700-00000D000000}" name="COUNTY" dataDxfId="176"/>
    <tableColumn id="26" xr3:uid="{00000000-0010-0000-0700-00001A000000}" name="|" dataDxfId="175" totalsRowDxfId="174"/>
    <tableColumn id="22" xr3:uid="{00000000-0010-0000-0700-000016000000}" name="UNITS" dataDxfId="173" totalsRowDxfId="172">
      <calculatedColumnFormula>IF(CHSHTATbl[[#This Row],[UNRESTRICTED UNITS]]=0,"",CHSHTATbl[[#This Row],[UNRESTRICTED UNITS]])</calculatedColumnFormula>
    </tableColumn>
    <tableColumn id="21" xr3:uid="{00000000-0010-0000-0700-000015000000}" name="TOTAL $ REQUESTED" dataDxfId="171" totalsRowDxfId="170">
      <calculatedColumnFormula xml:space="preserve">
IF(CHSHTATbl[[#This Row],[UNRESTRICTED TOTAL REQUESTED]]=0,"",
CHSHTATbl[[#This Row],[UNRESTRICTED TOTAL REQUESTED]]*
IF(CH_SHTA_UnrestrictedTotalRequested&lt;=500000,1,
500000/CH_SHTA_UnrestrictedTotalRequested)
)</calculatedColumnFormula>
    </tableColumn>
    <tableColumn id="23" xr3:uid="{00000000-0010-0000-0700-000017000000}" name="% OF TOTAL" dataDxfId="169" totalsRowDxfId="168">
      <calculatedColumnFormula>IF(CHSHTATbl[[#This Row],[UNRESTRICTED % OF FUNDING]]=0,"",CHSHTATbl[[#This Row],[UNRESTRICTED % OF FUNDING]])</calculatedColumnFormula>
    </tableColumn>
    <tableColumn id="32" xr3:uid="{00000000-0010-0000-0700-000020000000}" name="|2" dataDxfId="167" totalsRowDxfId="166"/>
    <tableColumn id="19" xr3:uid="{00000000-0010-0000-0700-000013000000}" name="UNITS2" dataDxfId="165" totalsRowDxfId="164">
      <calculatedColumnFormula>IF(CHSHTATbl[[#This Row],[MANUFACTURED UNITS]]=0,"",CHSHTATbl[[#This Row],[MANUFACTURED UNITS]])</calculatedColumnFormula>
    </tableColumn>
    <tableColumn id="28" xr3:uid="{00000000-0010-0000-0700-00001C000000}" name="TOTAL $ REQUESTED2" dataDxfId="163" totalsRowDxfId="162">
      <calculatedColumnFormula xml:space="preserve">
IF(CHSHTATbl[[#This Row],[MANUFACTURED TOTAL REQUESTED]]=0,"",
CHSHTATbl[[#This Row],[MANUFACTURED TOTAL REQUESTED]]*
IF(CH_SHTA_ManufacturedTotalRequested&lt;=(500000-E$61),1,
(500000-E$61)/CH_SHTA_ManufacturedTotalRequested)
)</calculatedColumnFormula>
    </tableColumn>
    <tableColumn id="33" xr3:uid="{00000000-0010-0000-0700-000021000000}" name="% OF TOTAL2" dataDxfId="161" totalsRowDxfId="160">
      <calculatedColumnFormula>IF(CHSHTATbl[[#This Row],[MANUFACTURED % OF FUNDING]]=0,"",CHSHTATbl[[#This Row],[MANUFACTURED % OF FUNDING]])</calculatedColumnFormula>
    </tableColumn>
    <tableColumn id="20" xr3:uid="{00000000-0010-0000-0700-000014000000}" name="|23" dataDxfId="159" totalsRowDxfId="158"/>
    <tableColumn id="15" xr3:uid="{00000000-0010-0000-0700-00000F000000}" name="UNITS3" dataDxfId="157" totalsRowDxfId="156">
      <calculatedColumnFormula>IF(CHSHTATbl[[#This Row],[RURAL UNITS]]=0,"",CHSHTATbl[[#This Row],[RURAL UNITS]])</calculatedColumnFormula>
    </tableColumn>
    <tableColumn id="37" xr3:uid="{00000000-0010-0000-0700-000025000000}" name="TOTAL $ REQUESTED3" dataDxfId="155" totalsRowDxfId="154">
      <calculatedColumnFormula xml:space="preserve">
IF(CHSHTATbl[[#This Row],[RURAL TOTAL REQUESTED]]=0,"",
CHSHTATbl[[#This Row],[RURAL TOTAL REQUESTED]]*
IF(CH_SHTA_RuralTotalRequested&lt;=(500000-E$61-I$61),1,
(500000-E$61-I$61)/CH_SHTA_RuralTotalRequested)
)</calculatedColumnFormula>
    </tableColumn>
    <tableColumn id="38" xr3:uid="{00000000-0010-0000-0700-000026000000}" name="% OF TOTAL3" dataDxfId="153" totalsRowDxfId="152">
      <calculatedColumnFormula>IF(CHSHTATbl[[#This Row],[RURAL % OF FUNDING]]=0,"",CHSHTATbl[[#This Row],[RURAL % OF FUNDING]])</calculatedColumnFormula>
    </tableColumn>
    <tableColumn id="34" xr3:uid="{00000000-0010-0000-0700-000022000000}" name="|4" dataDxfId="151" totalsRowDxfId="150"/>
    <tableColumn id="14" xr3:uid="{00000000-0010-0000-0700-00000E000000}" name="UNITS4" dataDxfId="149" totalsRowDxfId="148">
      <calculatedColumnFormula>IF(CHSHTATbl[[#This Row],[MFD RURAL UNITS]]=0,"",CHSHTATbl[[#This Row],[MFD RURAL UNITS]])</calculatedColumnFormula>
    </tableColumn>
    <tableColumn id="24" xr3:uid="{00000000-0010-0000-0700-000018000000}" name="TOTAL $ REQUESTED33" dataDxfId="147">
      <calculatedColumnFormula xml:space="preserve">
IF(CHSHTATbl[[#This Row],[MFD RURAL TOTAL REQUESTED]]=0,"",
CHSHTATbl[[#This Row],[MFD RURAL TOTAL REQUESTED]]*
IF(CH_SHTA_MFDRuralTotalRequested&lt;=(500000-E$61-I$61-M$61),1,
(500000-E$61-I$61-M$61)/CH_SHTA_MFDRuralTotalRequested)
)</calculatedColumnFormula>
    </tableColumn>
    <tableColumn id="35" xr3:uid="{00000000-0010-0000-0700-000023000000}" name="% OF TOTAL4" dataDxfId="146" totalsRowDxfId="145">
      <calculatedColumnFormula>IF(CHSHTATbl[[#This Row],[MFD RURAL % OF FUNDING]]=0,"",CHSHTATbl[[#This Row],[MFD RURAL % OF FUNDING]])</calculatedColumnFormula>
    </tableColumn>
    <tableColumn id="36" xr3:uid="{00000000-0010-0000-0700-000024000000}" name="|8" dataDxfId="144" totalsRowDxfId="143"/>
    <tableColumn id="25" xr3:uid="{00000000-0010-0000-0700-000019000000}" name="ALL UNITS IN A HIGH OR HIGHEST RESOURCE AREA" dataDxfId="142" totalsRowDxfId="141"/>
    <tableColumn id="16" xr3:uid="{00000000-0010-0000-0700-000010000000}" name="APPLYING FOR MANUFACTURED HOMES SET ASIDE?" dataDxfId="140" totalsRowDxfId="139"/>
    <tableColumn id="17" xr3:uid="{00000000-0010-0000-0700-000011000000}" name="APPLY FOR RURAL AREA SET ASSIDE?" dataDxfId="138" totalsRowDxfId="137"/>
    <tableColumn id="2" xr3:uid="{00000000-0010-0000-0700-000002000000}" name="UNRESTRICTED UNITS" dataDxfId="136" totalsRowDxfId="135"/>
    <tableColumn id="5" xr3:uid="{00000000-0010-0000-0700-000005000000}" name="UNRESTRICTED ASSISTANCE" dataDxfId="134" totalsRowDxfId="133"/>
    <tableColumn id="8" xr3:uid="{00000000-0010-0000-0700-000008000000}" name="UNRESTRICTED HOMEBUYER CLASSES" dataDxfId="132" totalsRowDxfId="131"/>
    <tableColumn id="11" xr3:uid="{00000000-0010-0000-0700-00000B000000}" name="UNRESTRICTED TOTAL REQUESTED" dataDxfId="130" totalsRowDxfId="129">
      <calculatedColumnFormula>SUM(X3:Y3)</calculatedColumnFormula>
    </tableColumn>
    <tableColumn id="41" xr3:uid="{00000000-0010-0000-0700-000029000000}" name="UNRESTRICTED % OF FUNDING" dataDxfId="128" totalsRowDxfId="127">
      <calculatedColumnFormula>IF(CHSHTATbl[[#This Row],[UNRESTRICTED TOTAL REQUESTED]]=0,0,CHSHTATbl[[#This Row],[UNRESTRICTED TOTAL REQUESTED]]/CH_SHTA_UnrestrictedTotalRequested)</calculatedColumnFormula>
    </tableColumn>
    <tableColumn id="46" xr3:uid="{00000000-0010-0000-0700-00002E000000}" name="UNRESTRICTED REVITALIZATION POINTS" dataDxfId="126" totalsRowDxfId="125">
      <calculatedColumnFormula>IF(CHSHTATbl[[#This Row],[ALL UNITS IN A HIGH OR HIGHEST RESOURCE AREA]]="Yes",10*CHSHTATbl[[#This Row],[UNRESTRICTED % OF FUNDING]],0)</calculatedColumnFormula>
    </tableColumn>
    <tableColumn id="30" xr3:uid="{00000000-0010-0000-0700-00001E000000}" name="UNRESTRICTED COMMUNITY NEED POINTS" dataDxfId="124" totalsRowDxfId="123">
      <calculatedColumnFormula array="1">INDEX(CountyScoresTbl[Community Need Total Points],ROW(CHSHTATbl[[#This Row],[COUNTY]])-2,1)*CHSHTATbl[[#This Row],[UNRESTRICTED % OF FUNDING]]</calculatedColumnFormula>
    </tableColumn>
    <tableColumn id="39" xr3:uid="{00000000-0010-0000-0700-000027000000}" name="UNRESTRICTED FEASIBILITY POINTS" dataDxfId="122" totalsRowDxfId="121">
      <calculatedColumnFormula array="1">INDEX(CountyScoresTbl[SHTA Total Feasibility Points Awarded],ROW(CHSHTATbl[[#This Row],[COUNTY]])-2,1)*CHSHTATbl[[#This Row],[UNRESTRICTED % OF FUNDING]]</calculatedColumnFormula>
    </tableColumn>
    <tableColumn id="3" xr3:uid="{00000000-0010-0000-0700-000003000000}" name="MANUFACTURED UNITS" dataDxfId="120" totalsRowDxfId="119"/>
    <tableColumn id="6" xr3:uid="{00000000-0010-0000-0700-000006000000}" name="MANUFACTURED ASSISTANCE" dataDxfId="118" totalsRowDxfId="117"/>
    <tableColumn id="9" xr3:uid="{00000000-0010-0000-0700-000009000000}" name="MANUFACTURED HOMEBUYER CLASSES" dataDxfId="116"/>
    <tableColumn id="12" xr3:uid="{00000000-0010-0000-0700-00000C000000}" name="MANUFACTURED TOTAL REQUESTED" dataDxfId="115" totalsRowDxfId="114">
      <calculatedColumnFormula>SUM(AF3:AG3)</calculatedColumnFormula>
    </tableColumn>
    <tableColumn id="44" xr3:uid="{00000000-0010-0000-0700-00002C000000}" name="MANUFACTURED % OF FUNDING" dataDxfId="113" totalsRowDxfId="112">
      <calculatedColumnFormula>IF(CHSHTATbl[[#This Row],[MANUFACTURED TOTAL REQUESTED]]=0,0,CHSHTATbl[[#This Row],[MANUFACTURED TOTAL REQUESTED]]/CH_SHTA_ManufacturedTotalRequested)</calculatedColumnFormula>
    </tableColumn>
    <tableColumn id="45" xr3:uid="{00000000-0010-0000-0700-00002D000000}" name="MANUFACTURED REVITALIZATION POINTS" dataDxfId="111" totalsRowDxfId="110">
      <calculatedColumnFormula>IF(CHSHTATbl[[#This Row],[ALL UNITS IN A HIGH OR HIGHEST RESOURCE AREA]]="Yes",10*CHSHTATbl[[#This Row],[MANUFACTURED % OF FUNDING]],0)</calculatedColumnFormula>
    </tableColumn>
    <tableColumn id="47" xr3:uid="{00000000-0010-0000-0700-00002F000000}" name="MANUFACTURED COMMUNITY NEED POINTS" dataDxfId="109" totalsRowDxfId="108">
      <calculatedColumnFormula array="1">INDEX(CountyScoresTbl[Community Need Total Points],ROW(CHSHTATbl[[#This Row],[COUNTY]])-2,1)*CHSHTATbl[[#This Row],[MANUFACTURED % OF FUNDING]]</calculatedColumnFormula>
    </tableColumn>
    <tableColumn id="29" xr3:uid="{00000000-0010-0000-0700-00001D000000}" name="MANUFACTURED FEASIBILITY POINTS" dataDxfId="107" totalsRowDxfId="106">
      <calculatedColumnFormula array="1">INDEX(CountyScoresTbl[SHTA Total Feasibility Points Awarded],ROW(CHSHTATbl[[#This Row],[COUNTY]])-2,1)*CHSHTATbl[[#This Row],[MANUFACTURED % OF FUNDING]]</calculatedColumnFormula>
    </tableColumn>
    <tableColumn id="4" xr3:uid="{00000000-0010-0000-0700-000004000000}" name="RURAL UNITS" dataDxfId="105" totalsRowDxfId="104"/>
    <tableColumn id="7" xr3:uid="{00000000-0010-0000-0700-000007000000}" name="RURAL ASSISTANCE" dataDxfId="103"/>
    <tableColumn id="10" xr3:uid="{00000000-0010-0000-0700-00000A000000}" name="RURAL HOMEBUYER CLASSES" dataDxfId="102"/>
    <tableColumn id="18" xr3:uid="{00000000-0010-0000-0700-000012000000}" name="RURAL TOTAL REQUESTED" dataDxfId="101" totalsRowDxfId="100">
      <calculatedColumnFormula>SUM(AN3:AO3)</calculatedColumnFormula>
    </tableColumn>
    <tableColumn id="42" xr3:uid="{00000000-0010-0000-0700-00002A000000}" name="RURAL % OF FUNDING" dataDxfId="99" totalsRowDxfId="98">
      <calculatedColumnFormula>IF(CHSHTATbl[[#This Row],[RURAL TOTAL REQUESTED]]=0,0,CHSHTATbl[[#This Row],[RURAL TOTAL REQUESTED]]/CH_SHTA_RuralTotalRequested)</calculatedColumnFormula>
    </tableColumn>
    <tableColumn id="48" xr3:uid="{00000000-0010-0000-0700-000030000000}" name="RURAL REVITALIZATION POINTS" dataDxfId="97">
      <calculatedColumnFormula>IF(CHSHTATbl[[#This Row],[ALL UNITS IN A HIGH OR HIGHEST RESOURCE AREA]]="Yes",10*CHSHTATbl[[#This Row],[RURAL % OF FUNDING]],0)</calculatedColumnFormula>
    </tableColumn>
    <tableColumn id="27" xr3:uid="{00000000-0010-0000-0700-00001B000000}" name="RURAL COMMUNITY NEED POINTS" dataDxfId="96" totalsRowDxfId="95">
      <calculatedColumnFormula array="1">INDEX(CountyScoresTbl[Community Need Total Points],ROW(CHSHTATbl[[#This Row],[COUNTY]])-2,1)*CHSHTATbl[[#This Row],[RURAL % OF FUNDING]]</calculatedColumnFormula>
    </tableColumn>
    <tableColumn id="31" xr3:uid="{00000000-0010-0000-0700-00001F000000}" name="RURAL FEASIBILITY POINTS" dataDxfId="94" totalsRowDxfId="93">
      <calculatedColumnFormula array="1">INDEX(CountyScoresTbl[SHTA Total Feasibility Points Awarded],ROW(CHSHTATbl[[#This Row],[COUNTY]])-2,1)*CHSHTATbl[[#This Row],[RURAL % OF FUNDING]]</calculatedColumnFormula>
    </tableColumn>
    <tableColumn id="40" xr3:uid="{00000000-0010-0000-0700-000028000000}" name="MFD RURAL UNITS" dataDxfId="92" totalsRowDxfId="91"/>
    <tableColumn id="43" xr3:uid="{00000000-0010-0000-0700-00002B000000}" name="MFD RURAL ASSISTANCE" dataDxfId="90" totalsRowDxfId="89"/>
    <tableColumn id="49" xr3:uid="{00000000-0010-0000-0700-000031000000}" name="MFD RURAL HOMEBUYER CLASSES" dataDxfId="88" totalsRowDxfId="87"/>
    <tableColumn id="50" xr3:uid="{00000000-0010-0000-0700-000032000000}" name="MFD RURAL TOTAL REQUESTED" dataDxfId="86" totalsRowDxfId="85">
      <calculatedColumnFormula>SUM(AV3:AW3)</calculatedColumnFormula>
    </tableColumn>
    <tableColumn id="51" xr3:uid="{00000000-0010-0000-0700-000033000000}" name="MFD RURAL % OF FUNDING" dataDxfId="84" totalsRowDxfId="83">
      <calculatedColumnFormula>IF(CHSHTATbl[[#This Row],[MFD RURAL TOTAL REQUESTED]]=0,0,CHSHTATbl[[#This Row],[MFD RURAL TOTAL REQUESTED]]/CH_SHTA_MFDRuralTotalRequested)</calculatedColumnFormula>
    </tableColumn>
    <tableColumn id="52" xr3:uid="{00000000-0010-0000-0700-000034000000}" name="MFD RURAL REVITALIZATION POINTS" dataDxfId="82" totalsRowDxfId="81">
      <calculatedColumnFormula>IF(CHSHTATbl[[#This Row],[ALL UNITS IN A HIGH OR HIGHEST RESOURCE AREA]]="Yes",10*CHSHTATbl[[#This Row],[MFD RURAL % OF FUNDING]],0)</calculatedColumnFormula>
    </tableColumn>
    <tableColumn id="53" xr3:uid="{00000000-0010-0000-0700-000035000000}" name="MFD RURAL COMMUNITY NEED POINTS" dataDxfId="80" totalsRowDxfId="79">
      <calculatedColumnFormula array="1">INDEX(CountyScoresTbl[Community Need Total Points],ROW(CHSHTATbl[[#This Row],[COUNTY]])-2,1)*CHSHTATbl[[#This Row],[MFD RURAL % OF FUNDING]]</calculatedColumnFormula>
    </tableColumn>
    <tableColumn id="54" xr3:uid="{00000000-0010-0000-0700-000036000000}" name="MFD RURAL FEASIBILITY POINTS" dataDxfId="78" totalsRowDxfId="77">
      <calculatedColumnFormula array="1">INDEX(CountyScoresTbl[SHTA Total Feasibility Points Awarded],ROW(CHSHTATbl[[#This Row],[COUNTY]])-2,1)*CHSHTATbl[[#This Row],[MFD RURAL % OF FUNDING]]</calculatedColumnFormula>
    </tableColumn>
    <tableColumn id="57" xr3:uid="{00000000-0010-0000-0700-000039000000}" name="INFILL SITE" dataDxfId="76" totalsRowDxfId="75"/>
    <tableColumn id="59" xr3:uid="{00000000-0010-0000-0700-00003B000000}" name="UNRESTRICTED HOUSING SUPPLY POINTS" dataDxfId="74" totalsRowDxfId="73">
      <calculatedColumnFormula>IF(CHSHTATbl[[#This Row],[INFILL SITE]]="Yes",5,3)*CHSHTATbl[[#This Row],[UNRESTRICTED % OF FUNDING]]</calculatedColumnFormula>
    </tableColumn>
    <tableColumn id="58" xr3:uid="{00000000-0010-0000-0700-00003A000000}" name="MANUFACTURED HOUSING SUPPLY POINTS" dataDxfId="72" totalsRowDxfId="71">
      <calculatedColumnFormula>IF(CHSHTATbl[[#This Row],[INFILL SITE]]="Yes",5,3)*CHSHTATbl[[#This Row],[MANUFACTURED % OF FUNDING]]</calculatedColumnFormula>
    </tableColumn>
    <tableColumn id="55" xr3:uid="{00000000-0010-0000-0700-000037000000}" name="RURAL HOUSING SUPPLY POINTS" dataDxfId="70" totalsRowDxfId="69">
      <calculatedColumnFormula>IF(CHSHTATbl[[#This Row],[INFILL SITE]]="Yes",5,3)*CHSHTATbl[[#This Row],[RURAL % OF FUNDING]]</calculatedColumnFormula>
    </tableColumn>
    <tableColumn id="56" xr3:uid="{00000000-0010-0000-0700-000038000000}" name="MFD RURAL HOUSING SUPPLY POINTS" dataDxfId="68" totalsRowDxfId="67">
      <calculatedColumnFormula>IF(CHSHTATbl[[#This Row],[INFILL SITE]]="Yes",5,3)*CHSHTATbl[[#This Row],[MFD RURAL % OF FUNDING]]</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8000000}" name="CHSHTbl" displayName="CHSHTbl" ref="A2:U60" totalsRowShown="0" headerRowDxfId="66" dataDxfId="64" headerRowBorderDxfId="65" tableBorderDxfId="63">
  <autoFilter ref="A2:U60" xr:uid="{00000000-0009-0000-0100-000005000000}"/>
  <tableColumns count="21">
    <tableColumn id="1" xr3:uid="{00000000-0010-0000-0800-000001000000}" name="APPLYING" dataDxfId="62"/>
    <tableColumn id="13" xr3:uid="{00000000-0010-0000-0800-00000D000000}" name="COUNTY" dataDxfId="61"/>
    <tableColumn id="26" xr3:uid="{00000000-0010-0000-0800-00001A000000}" name="|" dataDxfId="60"/>
    <tableColumn id="20" xr3:uid="{00000000-0010-0000-0800-000014000000}" name="NOT LIMITED TO RURAL AREAS" dataDxfId="59">
      <calculatedColumnFormula>IF(CHSHTbl[[#This Row],[TOTAL REQUESTED]]=0,"",CHSHTbl[[#This Row],[TOTAL REQUESTED]]*
IF(L$61&lt;=300000,1,
300000/L$61))</calculatedColumnFormula>
    </tableColumn>
    <tableColumn id="15" xr3:uid="{00000000-0010-0000-0800-00000F000000}" name="% OF TOTAL" dataDxfId="58">
      <calculatedColumnFormula>IF(CHSHTbl[[#This Row],[FUNDING %]]=0,"",CHSHTbl[[#This Row],[FUNDING %]])</calculatedColumnFormula>
    </tableColumn>
    <tableColumn id="34" xr3:uid="{00000000-0010-0000-0800-000022000000}" name="|3" dataDxfId="57"/>
    <tableColumn id="4" xr3:uid="{00000000-0010-0000-0800-000004000000}" name="TO SUPPORT SHARED HOUSING IN RURAL AREAS" dataDxfId="56">
      <calculatedColumnFormula>IF(CHSHTbl[[#This Row],[TOTAL REQUESTED2]]=0,"",CHSHTbl[[#This Row],[TOTAL REQUESTED2]]*
IF(CH_SH_RuralTotalRequested&lt;=(300000-D$61),1,(300000-D$61)/CH_SH_RuralTotalRequested)
)</calculatedColumnFormula>
    </tableColumn>
    <tableColumn id="6" xr3:uid="{00000000-0010-0000-0800-000006000000}" name="% OF TOTAL2" dataDxfId="55">
      <calculatedColumnFormula>IF(CHSHTbl[[#This Row],[FUNDING %2]]=0,"",CHSHTbl[[#This Row],[FUNDING %2]])</calculatedColumnFormula>
    </tableColumn>
    <tableColumn id="5" xr3:uid="{00000000-0010-0000-0800-000005000000}" name="|5" dataDxfId="54"/>
    <tableColumn id="25" xr3:uid="{00000000-0010-0000-0800-000019000000}" name="ALL UNITS IN A HIGH OR HIGHEST RESOURCE AREA" dataDxfId="53"/>
    <tableColumn id="17" xr3:uid="{00000000-0010-0000-0800-000011000000}" name="APPLY FOR RURAL AREA SET ASSIDE?" dataDxfId="52"/>
    <tableColumn id="11" xr3:uid="{00000000-0010-0000-0800-00000B000000}" name="TOTAL REQUESTED" dataDxfId="51"/>
    <tableColumn id="41" xr3:uid="{00000000-0010-0000-0800-000029000000}" name="FUNDING %" dataDxfId="50" totalsRowDxfId="49">
      <calculatedColumnFormula>IF(CHSHTbl[[#This Row],[TOTAL REQUESTED]]=0,0,CHSHTbl[[#This Row],[TOTAL REQUESTED]]/CH_SH_UnrestrictedTotalRequested)</calculatedColumnFormula>
    </tableColumn>
    <tableColumn id="46" xr3:uid="{00000000-0010-0000-0800-00002E000000}" name="REVITALIZATION POINTS" dataDxfId="48" totalsRowDxfId="47">
      <calculatedColumnFormula>IF(CHSHTbl[[#This Row],[ALL UNITS IN A HIGH OR HIGHEST RESOURCE AREA]]="Yes",10*CHSHTbl[[#This Row],[FUNDING %]],0)</calculatedColumnFormula>
    </tableColumn>
    <tableColumn id="30" xr3:uid="{00000000-0010-0000-0800-00001E000000}" name="COMMUNITY NEED POINTS" dataDxfId="46">
      <calculatedColumnFormula array="1">INDEX(CountyScoresTbl[Community Need Total Points],ROW(CHSHTbl[[#This Row],[COUNTY]])-2,1)*CHSHTbl[[#This Row],[FUNDING %]]</calculatedColumnFormula>
    </tableColumn>
    <tableColumn id="39" xr3:uid="{00000000-0010-0000-0800-000027000000}" name="FEASIBILITY POINTS" dataDxfId="45">
      <calculatedColumnFormula array="1">INDEX(CountyScoresTbl[SHTA Total Feasibility Points Awarded],ROW(CHSHTbl[[#This Row],[COUNTY]])-2,1)*CHSHTbl[[#This Row],[FUNDING %]]</calculatedColumnFormula>
    </tableColumn>
    <tableColumn id="18" xr3:uid="{00000000-0010-0000-0800-000012000000}" name="TOTAL REQUESTED2" dataDxfId="44"/>
    <tableColumn id="42" xr3:uid="{00000000-0010-0000-0800-00002A000000}" name="FUNDING %2" dataDxfId="43">
      <calculatedColumnFormula>IF(CHSHTbl[[#This Row],[TOTAL REQUESTED2]]=0,0,CHSHTbl[[#This Row],[TOTAL REQUESTED2]]/CH_SH_RuralTotalRequested)</calculatedColumnFormula>
    </tableColumn>
    <tableColumn id="48" xr3:uid="{00000000-0010-0000-0800-000030000000}" name="REVITALIZATION POINTS3" dataDxfId="42" totalsRowDxfId="41">
      <calculatedColumnFormula>IF(CHSHTbl[[#This Row],[ALL UNITS IN A HIGH OR HIGHEST RESOURCE AREA]]="Yes",10*CHSHTbl[[#This Row],[FUNDING %2]],0)</calculatedColumnFormula>
    </tableColumn>
    <tableColumn id="27" xr3:uid="{00000000-0010-0000-0800-00001B000000}" name="COMMUNITY NEED POINTS3" dataDxfId="40">
      <calculatedColumnFormula array="1">INDEX(CountyScoresTbl[Community Need Total Points],ROW(CHSHTbl[[#This Row],[COUNTY]])-2,1)*CHSHTbl[[#This Row],[FUNDING %2]]</calculatedColumnFormula>
    </tableColumn>
    <tableColumn id="31" xr3:uid="{00000000-0010-0000-0800-00001F000000}" name="FEASIBILITY POINTS3" dataDxfId="39">
      <calculatedColumnFormula array="1">INDEX(CountyScoresTbl[SHTA Total Feasibility Points Awarded],ROW(CHSHTbl[[#This Row],[COUNTY]])-2,1)*CHSHTbl[[#This Row],[FUNDING %2]]</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9000000}" name="CHADUtbl" displayName="CHADUtbl" ref="A2:AF60" totalsRowShown="0" headerRowDxfId="38" dataDxfId="37" tableBorderDxfId="36">
  <autoFilter ref="A2:AF60" xr:uid="{00000000-0009-0000-0100-000006000000}"/>
  <tableColumns count="32">
    <tableColumn id="1" xr3:uid="{00000000-0010-0000-0900-000001000000}" name="APPLYING" dataDxfId="35"/>
    <tableColumn id="13" xr3:uid="{00000000-0010-0000-0900-00000D000000}" name="COUNTY" dataDxfId="34"/>
    <tableColumn id="26" xr3:uid="{00000000-0010-0000-0900-00001A000000}" name="|" dataDxfId="33"/>
    <tableColumn id="28" xr3:uid="{00000000-0010-0000-0900-00001C000000}" name="UNITS" dataDxfId="32">
      <calculatedColumnFormula>IF(CHADUtbl[[#This Row],[UNITS3]]=0,"",CHADUtbl[[#This Row],[UNITS3]])</calculatedColumnFormula>
    </tableColumn>
    <tableColumn id="20" xr3:uid="{00000000-0010-0000-0900-000014000000}" name="TOTAL $ REQUESTED" dataDxfId="31">
      <calculatedColumnFormula xml:space="preserve">
IF(CHADUtbl[[#This Row],[UNRESTRICTED FUNDING REQUESTED]]=0,"",
CHADUtbl[[#This Row],[UNRESTRICTED FUNDING REQUESTED]]*
IF(CH_ADU_UnrestrictedTotalRequested&lt;=5000000,1,
5000000/CH_ADU_UnrestrictedTotalRequested)
)</calculatedColumnFormula>
    </tableColumn>
    <tableColumn id="15" xr3:uid="{00000000-0010-0000-0900-00000F000000}" name="% OF TOTAL" dataDxfId="30">
      <calculatedColumnFormula>IF(CHADUtbl[[#This Row],[UNRESTRICTED % OF FUNDING]]=0,"",CHADUtbl[[#This Row],[UNRESTRICTED % OF FUNDING]])</calculatedColumnFormula>
    </tableColumn>
    <tableColumn id="34" xr3:uid="{00000000-0010-0000-0900-000022000000}" name="|3" dataDxfId="29"/>
    <tableColumn id="29" xr3:uid="{00000000-0010-0000-0900-00001D000000}" name="UNITS2" dataDxfId="28">
      <calculatedColumnFormula>IF(CHADUtbl[[#This Row],[UNITS22]]=0,"",CHADUtbl[[#This Row],[UNITS22]])</calculatedColumnFormula>
    </tableColumn>
    <tableColumn id="4" xr3:uid="{00000000-0010-0000-0900-000004000000}" name="TOTAL $ REQUESTED2" dataDxfId="27">
      <calculatedColumnFormula xml:space="preserve">
IF(CHADUtbl[[#This Row],[RURAL FUNDING REQUESTED]]=0,"",
CHADUtbl[[#This Row],[RURAL FUNDING REQUESTED]]*
IF(CH_ADU_RuralTotalRequested&lt;=(5000000-E$61),1,
(5000000-E$61)/CH_ADU_RuralTotalRequested)
)</calculatedColumnFormula>
    </tableColumn>
    <tableColumn id="6" xr3:uid="{00000000-0010-0000-0900-000006000000}" name="% OF TOTAL2" dataDxfId="26">
      <calculatedColumnFormula>IF(CHADUtbl[[#This Row],[RURAL % OF FUNDING]]=0,"",CHADUtbl[[#This Row],[RURAL % OF FUNDING]])</calculatedColumnFormula>
    </tableColumn>
    <tableColumn id="5" xr3:uid="{00000000-0010-0000-0900-000005000000}" name="|5" dataDxfId="25"/>
    <tableColumn id="25" xr3:uid="{00000000-0010-0000-0900-000019000000}" name="ALL UNITS IN A HIGH OR HIGHEST RESOURCE AREA" dataDxfId="24"/>
    <tableColumn id="17" xr3:uid="{00000000-0010-0000-0900-000011000000}" name="APPLY FOR RURAL AREA SET ASSIDE?" dataDxfId="23"/>
    <tableColumn id="11" xr3:uid="{00000000-0010-0000-0900-00000B000000}" name="UNITS3" dataDxfId="22"/>
    <tableColumn id="14" xr3:uid="{00000000-0010-0000-0900-00000E000000}" name="DIRECT ASSISTANCE" dataDxfId="21"/>
    <tableColumn id="33" xr3:uid="{00000000-0010-0000-0900-000021000000}" name="DELIVERY FEE" dataDxfId="20"/>
    <tableColumn id="16" xr3:uid="{00000000-0010-0000-0900-000010000000}" name="UNRESTRICTED FUNDING REQUESTED" dataDxfId="19">
      <calculatedColumnFormula>SUM(O3:P3)</calculatedColumnFormula>
    </tableColumn>
    <tableColumn id="41" xr3:uid="{00000000-0010-0000-0900-000029000000}" name="UNRESTRICTED % OF FUNDING" dataDxfId="18" totalsRowDxfId="17">
      <calculatedColumnFormula>IF(SUM(CHADUtbl[[#This Row],[UNRESTRICTED FUNDING REQUESTED]])=0,0,CHADUtbl[[#This Row],[UNRESTRICTED FUNDING REQUESTED]]/CH_ADU_UnrestrictedTotalRequested)</calculatedColumnFormula>
    </tableColumn>
    <tableColumn id="46" xr3:uid="{00000000-0010-0000-0900-00002E000000}" name="UNRESTRICTED REVITALIZATION POINTS" dataDxfId="16" totalsRowDxfId="15">
      <calculatedColumnFormula>IF(CHADUtbl[[#This Row],[ALL UNITS IN A HIGH OR HIGHEST RESOURCE AREA]]="Yes",10*CHADUtbl[[#This Row],[UNRESTRICTED % OF FUNDING]],0)</calculatedColumnFormula>
    </tableColumn>
    <tableColumn id="30" xr3:uid="{00000000-0010-0000-0900-00001E000000}" name="UNRESTRICTED COMMUNITY NEED POINTS" dataDxfId="14">
      <calculatedColumnFormula array="1">INDEX(CountyScoresTbl[Community Need Total Points],ROW(CHADUtbl[[#This Row],[COUNTY]])-2,1)*CHADUtbl[[#This Row],[UNRESTRICTED % OF FUNDING]]</calculatedColumnFormula>
    </tableColumn>
    <tableColumn id="39" xr3:uid="{00000000-0010-0000-0900-000027000000}" name="UNRESTRICTED FEASIBILITY POINTS" dataDxfId="13">
      <calculatedColumnFormula array="1">INDEX(CountyScoresTbl[OOR/ADU Total Feasibility Points Awarded],ROW(CHADUtbl[[#This Row],[COUNTY]])-2,1)*CHADUtbl[[#This Row],[UNRESTRICTED % OF FUNDING]]</calculatedColumnFormula>
    </tableColumn>
    <tableColumn id="18" xr3:uid="{00000000-0010-0000-0900-000012000000}" name="UNITS22" dataDxfId="12"/>
    <tableColumn id="23" xr3:uid="{00000000-0010-0000-0900-000017000000}" name="DIRECT ASSISTANCE2" dataDxfId="11"/>
    <tableColumn id="35" xr3:uid="{00000000-0010-0000-0900-000023000000}" name="DELIVERY FEE2" dataDxfId="10"/>
    <tableColumn id="24" xr3:uid="{00000000-0010-0000-0900-000018000000}" name="RURAL FUNDING REQUESTED" dataDxfId="9">
      <calculatedColumnFormula>SUM(W3:X3)</calculatedColumnFormula>
    </tableColumn>
    <tableColumn id="42" xr3:uid="{00000000-0010-0000-0900-00002A000000}" name="RURAL % OF FUNDING" dataDxfId="8" totalsRowDxfId="7">
      <calculatedColumnFormula>IF(SUM(CHADUtbl[[#This Row],[RURAL FUNDING REQUESTED]])=0,0,CHADUtbl[[#This Row],[RURAL FUNDING REQUESTED]]/CH_ADU_RuralTotalRequested)</calculatedColumnFormula>
    </tableColumn>
    <tableColumn id="48" xr3:uid="{00000000-0010-0000-0900-000030000000}" name="RURAL REVITALIZATION POINTS" dataDxfId="6" totalsRowDxfId="5">
      <calculatedColumnFormula>IF(CHADUtbl[[#This Row],[ALL UNITS IN A HIGH OR HIGHEST RESOURCE AREA]]="Yes",10*CHADUtbl[[#This Row],[RURAL % OF FUNDING]],0)</calculatedColumnFormula>
    </tableColumn>
    <tableColumn id="27" xr3:uid="{00000000-0010-0000-0900-00001B000000}" name="RURAL COMMUNITY NEED POINTS" dataDxfId="4">
      <calculatedColumnFormula array="1">INDEX(CountyScoresTbl[Community Need Total Points],ROW(CHADUtbl[[#This Row],[COUNTY]])-2,1)*CHADUtbl[[#This Row],[RURAL % OF FUNDING]]</calculatedColumnFormula>
    </tableColumn>
    <tableColumn id="31" xr3:uid="{00000000-0010-0000-0900-00001F000000}" name="RURAL FEASIBILITY POINTS" dataDxfId="3">
      <calculatedColumnFormula array="1">INDEX(CountyScoresTbl[OOR/ADU Total Feasibility Points Awarded],ROW(CHADUtbl[[#This Row],[COUNTY]])-2,1)*CHADUtbl[[#This Row],[RURAL % OF FUNDING]]</calculatedColumnFormula>
    </tableColumn>
    <tableColumn id="2" xr3:uid="{00000000-0010-0000-0900-000002000000}" name="INFILL SITE" dataDxfId="2"/>
    <tableColumn id="3" xr3:uid="{00000000-0010-0000-0900-000003000000}" name="UNRESTRICTED HOUSING SUPPLY POINTS" dataDxfId="1">
      <calculatedColumnFormula>IF(CHADUtbl[[#This Row],[INFILL SITE]]="Yes",5,3)*CHADUtbl[[#This Row],[UNRESTRICTED % OF FUNDING]]</calculatedColumnFormula>
    </tableColumn>
    <tableColumn id="7" xr3:uid="{00000000-0010-0000-0900-000007000000}" name="RURAL HOUSING SUPPLY POINTS" dataDxfId="0">
      <calculatedColumnFormula>IF(CHADUtbl[[#This Row],[INFILL SITE]]="Yes",5,3)*CHADUtbl[[#This Row],[RURAL % OF FUNDING]]</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HOSN@hcd.ca.gov" TargetMode="External"/><Relationship Id="rId1" Type="http://schemas.openxmlformats.org/officeDocument/2006/relationships/hyperlink" Target="mailto:HOSNSupport@hcd.ca.gov"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17" Type="http://schemas.openxmlformats.org/officeDocument/2006/relationships/hyperlink" Target="https://www.zillow.com/home-values/102001/united-states/" TargetMode="External"/><Relationship Id="rId21" Type="http://schemas.openxmlformats.org/officeDocument/2006/relationships/hyperlink" Target="https://www.redfin.com/county/323/CA/Marin-County/housing-market" TargetMode="External"/><Relationship Id="rId42" Type="http://schemas.openxmlformats.org/officeDocument/2006/relationships/hyperlink" Target="https://www.redfin.com/county/344/CA/Santa-Barbara-County/housing-market" TargetMode="External"/><Relationship Id="rId63" Type="http://schemas.openxmlformats.org/officeDocument/2006/relationships/hyperlink" Target="https://www.realtor.com/realestateandhomes-search/Tulare-County_CA/overview" TargetMode="External"/><Relationship Id="rId84" Type="http://schemas.openxmlformats.org/officeDocument/2006/relationships/hyperlink" Target="https://www.realtor.com/realestateandhomes-search/Los-Angeles-County_CA/overview" TargetMode="External"/><Relationship Id="rId138" Type="http://schemas.openxmlformats.org/officeDocument/2006/relationships/hyperlink" Target="https://www.zillow.com/home-values/102001/united-states/" TargetMode="External"/><Relationship Id="rId159" Type="http://schemas.openxmlformats.org/officeDocument/2006/relationships/hyperlink" Target="https://www.zillow.com/home-values/102001/united-states/" TargetMode="External"/><Relationship Id="rId170" Type="http://schemas.openxmlformats.org/officeDocument/2006/relationships/hyperlink" Target="https://www.zillow.com/home-values/102001/united-states/" TargetMode="External"/><Relationship Id="rId107" Type="http://schemas.openxmlformats.org/officeDocument/2006/relationships/hyperlink" Target="https://www.realtor.com/realestateandhomes-search/Santa-Barbara-County_CA/overview" TargetMode="External"/><Relationship Id="rId11" Type="http://schemas.openxmlformats.org/officeDocument/2006/relationships/hyperlink" Target="https://www.redfin.com/county/313/CA/Glenn-County/housing-market" TargetMode="External"/><Relationship Id="rId32" Type="http://schemas.openxmlformats.org/officeDocument/2006/relationships/hyperlink" Target="https://www.redfin.com/county/334/CA/Plumas-County/housing-market" TargetMode="External"/><Relationship Id="rId53" Type="http://schemas.openxmlformats.org/officeDocument/2006/relationships/hyperlink" Target="https://www.redfin.com/county/355/CA/Trinity-County/housing-market" TargetMode="External"/><Relationship Id="rId74" Type="http://schemas.openxmlformats.org/officeDocument/2006/relationships/hyperlink" Target="https://www.realtor.com/realestateandhomes-search/El-Dorado-County_CA/overview" TargetMode="External"/><Relationship Id="rId128" Type="http://schemas.openxmlformats.org/officeDocument/2006/relationships/hyperlink" Target="https://www.zillow.com/home-values/102001/united-states/" TargetMode="External"/><Relationship Id="rId149" Type="http://schemas.openxmlformats.org/officeDocument/2006/relationships/hyperlink" Target="https://www.zillow.com/home-values/102001/united-states/" TargetMode="External"/><Relationship Id="rId5" Type="http://schemas.openxmlformats.org/officeDocument/2006/relationships/hyperlink" Target="https://www.redfin.com/county/307/CA/Calaveras-County/housing-market" TargetMode="External"/><Relationship Id="rId95" Type="http://schemas.openxmlformats.org/officeDocument/2006/relationships/hyperlink" Target="https://www.realtor.com/realestateandhomes-search/Orange-County_CA/overview" TargetMode="External"/><Relationship Id="rId160" Type="http://schemas.openxmlformats.org/officeDocument/2006/relationships/hyperlink" Target="https://www.zillow.com/home-values/102001/united-states/" TargetMode="External"/><Relationship Id="rId22" Type="http://schemas.openxmlformats.org/officeDocument/2006/relationships/hyperlink" Target="https://www.redfin.com/county/324/CA/Mariposa-County/housing-market" TargetMode="External"/><Relationship Id="rId43" Type="http://schemas.openxmlformats.org/officeDocument/2006/relationships/hyperlink" Target="https://www.redfin.com/county/345/CA/Santa-Clara-County/housing-market" TargetMode="External"/><Relationship Id="rId64" Type="http://schemas.openxmlformats.org/officeDocument/2006/relationships/hyperlink" Target="https://www.realtor.com/realestateandhomes-search/Trinity-County_CA/overview" TargetMode="External"/><Relationship Id="rId118" Type="http://schemas.openxmlformats.org/officeDocument/2006/relationships/hyperlink" Target="https://www.zillow.com/home-values/102001/united-states/" TargetMode="External"/><Relationship Id="rId139" Type="http://schemas.openxmlformats.org/officeDocument/2006/relationships/hyperlink" Target="https://www.zillow.com/home-values/102001/united-states/" TargetMode="External"/><Relationship Id="rId85" Type="http://schemas.openxmlformats.org/officeDocument/2006/relationships/hyperlink" Target="https://www.realtor.com/realestateandhomes-search/Madera-County_CA/overview" TargetMode="External"/><Relationship Id="rId150" Type="http://schemas.openxmlformats.org/officeDocument/2006/relationships/hyperlink" Target="https://www.zillow.com/home-values/102001/united-states/" TargetMode="External"/><Relationship Id="rId171" Type="http://schemas.openxmlformats.org/officeDocument/2006/relationships/hyperlink" Target="https://www.zillow.com/home-values/102001/united-states/" TargetMode="External"/><Relationship Id="rId12" Type="http://schemas.openxmlformats.org/officeDocument/2006/relationships/hyperlink" Target="https://www.redfin.com/county/314/CA/Humboldt-County/housing-market" TargetMode="External"/><Relationship Id="rId33" Type="http://schemas.openxmlformats.org/officeDocument/2006/relationships/hyperlink" Target="https://www.redfin.com/county/335/CA/Riverside-County/housing-market" TargetMode="External"/><Relationship Id="rId108" Type="http://schemas.openxmlformats.org/officeDocument/2006/relationships/hyperlink" Target="https://www.realtor.com/realestateandhomes-search/Santa-Clara-County_CA/overview" TargetMode="External"/><Relationship Id="rId129" Type="http://schemas.openxmlformats.org/officeDocument/2006/relationships/hyperlink" Target="https://www.zillow.com/home-values/102001/united-states/" TargetMode="External"/><Relationship Id="rId54" Type="http://schemas.openxmlformats.org/officeDocument/2006/relationships/hyperlink" Target="https://www.redfin.com/county/356/CA/Tulare-County/housing-market" TargetMode="External"/><Relationship Id="rId75" Type="http://schemas.openxmlformats.org/officeDocument/2006/relationships/hyperlink" Target="https://www.realtor.com/realestateandhomes-search/Fresno-County_CA/overview" TargetMode="External"/><Relationship Id="rId96" Type="http://schemas.openxmlformats.org/officeDocument/2006/relationships/hyperlink" Target="https://www.realtor.com/realestateandhomes-search/Placer-County_CA/overview" TargetMode="External"/><Relationship Id="rId140" Type="http://schemas.openxmlformats.org/officeDocument/2006/relationships/hyperlink" Target="https://www.zillow.com/home-values/102001/united-states/" TargetMode="External"/><Relationship Id="rId161" Type="http://schemas.openxmlformats.org/officeDocument/2006/relationships/hyperlink" Target="https://www.zillow.com/home-values/102001/united-states/" TargetMode="External"/><Relationship Id="rId1" Type="http://schemas.openxmlformats.org/officeDocument/2006/relationships/hyperlink" Target="https://www.redfin.com/county/303/CA/Alameda-County/housing-market" TargetMode="External"/><Relationship Id="rId6" Type="http://schemas.openxmlformats.org/officeDocument/2006/relationships/hyperlink" Target="https://www.redfin.com/county/308/CA/Colusa-County/housing-market" TargetMode="External"/><Relationship Id="rId23" Type="http://schemas.openxmlformats.org/officeDocument/2006/relationships/hyperlink" Target="https://www.redfin.com/county/325/CA/Mendocino-County/housing-market" TargetMode="External"/><Relationship Id="rId28" Type="http://schemas.openxmlformats.org/officeDocument/2006/relationships/hyperlink" Target="https://www.redfin.com/county/330/CA/Napa-County/housing-market" TargetMode="External"/><Relationship Id="rId49" Type="http://schemas.openxmlformats.org/officeDocument/2006/relationships/hyperlink" Target="https://www.redfin.com/county/351/CA/Sonoma-County/housing-market" TargetMode="External"/><Relationship Id="rId114" Type="http://schemas.openxmlformats.org/officeDocument/2006/relationships/hyperlink" Target="https://www.realtor.com/realestateandhomes-search/Sonoma-County_CA/overview" TargetMode="External"/><Relationship Id="rId119" Type="http://schemas.openxmlformats.org/officeDocument/2006/relationships/hyperlink" Target="https://www.zillow.com/home-values/102001/united-states/" TargetMode="External"/><Relationship Id="rId44" Type="http://schemas.openxmlformats.org/officeDocument/2006/relationships/hyperlink" Target="https://www.redfin.com/county/346/CA/Santa-Cruz-County/housing-market" TargetMode="External"/><Relationship Id="rId60" Type="http://schemas.openxmlformats.org/officeDocument/2006/relationships/hyperlink" Target="https://www.realtor.com/realestateandhomes-search/Yolo-County_CA/overview" TargetMode="External"/><Relationship Id="rId65" Type="http://schemas.openxmlformats.org/officeDocument/2006/relationships/hyperlink" Target="https://www.realtor.com/realestateandhomes-search/Tehama-County_CA/overview" TargetMode="External"/><Relationship Id="rId81" Type="http://schemas.openxmlformats.org/officeDocument/2006/relationships/hyperlink" Target="https://www.realtor.com/realestateandhomes-search/Kings-County_CA/overview" TargetMode="External"/><Relationship Id="rId86" Type="http://schemas.openxmlformats.org/officeDocument/2006/relationships/hyperlink" Target="https://www.realtor.com/realestateandhomes-search/Marin-County_CA/overview" TargetMode="External"/><Relationship Id="rId130" Type="http://schemas.openxmlformats.org/officeDocument/2006/relationships/hyperlink" Target="https://www.zillow.com/home-values/102001/united-states/" TargetMode="External"/><Relationship Id="rId135" Type="http://schemas.openxmlformats.org/officeDocument/2006/relationships/hyperlink" Target="https://www.zillow.com/home-values/102001/united-states/" TargetMode="External"/><Relationship Id="rId151" Type="http://schemas.openxmlformats.org/officeDocument/2006/relationships/hyperlink" Target="https://www.zillow.com/home-values/102001/united-states/" TargetMode="External"/><Relationship Id="rId156" Type="http://schemas.openxmlformats.org/officeDocument/2006/relationships/hyperlink" Target="https://www.zillow.com/home-values/102001/united-states/" TargetMode="External"/><Relationship Id="rId172" Type="http://schemas.openxmlformats.org/officeDocument/2006/relationships/hyperlink" Target="https://www.zillow.com/home-values/102001/united-states/" TargetMode="External"/><Relationship Id="rId13" Type="http://schemas.openxmlformats.org/officeDocument/2006/relationships/hyperlink" Target="https://www.redfin.com/county/315/CA/Imperial-County/housing-market" TargetMode="External"/><Relationship Id="rId18" Type="http://schemas.openxmlformats.org/officeDocument/2006/relationships/hyperlink" Target="https://www.redfin.com/county/320/CA/Lassen-County/housing-market" TargetMode="External"/><Relationship Id="rId39" Type="http://schemas.openxmlformats.org/officeDocument/2006/relationships/hyperlink" Target="https://www.redfin.com/county/341/CA/San-Joaquin-County/housing-market" TargetMode="External"/><Relationship Id="rId109" Type="http://schemas.openxmlformats.org/officeDocument/2006/relationships/hyperlink" Target="https://www.realtor.com/realestateandhomes-search/Santa-Cruz-County_CA/overview" TargetMode="External"/><Relationship Id="rId34" Type="http://schemas.openxmlformats.org/officeDocument/2006/relationships/hyperlink" Target="https://www.redfin.com/county/336/CA/Sacramento-County/housing-market" TargetMode="External"/><Relationship Id="rId50" Type="http://schemas.openxmlformats.org/officeDocument/2006/relationships/hyperlink" Target="https://www.redfin.com/county/352/CA/Stanislaus-County/housing-market" TargetMode="External"/><Relationship Id="rId55" Type="http://schemas.openxmlformats.org/officeDocument/2006/relationships/hyperlink" Target="https://www.redfin.com/county/357/CA/Tuolumne-County/housing-market" TargetMode="External"/><Relationship Id="rId76" Type="http://schemas.openxmlformats.org/officeDocument/2006/relationships/hyperlink" Target="https://www.realtor.com/realestateandhomes-search/Glenn-County_CA/overview" TargetMode="External"/><Relationship Id="rId97" Type="http://schemas.openxmlformats.org/officeDocument/2006/relationships/hyperlink" Target="https://www.realtor.com/realestateandhomes-search/Plumas-County_CA/overview" TargetMode="External"/><Relationship Id="rId104" Type="http://schemas.openxmlformats.org/officeDocument/2006/relationships/hyperlink" Target="https://www.realtor.com/realestateandhomes-search/San-Joaquin-County_CA/overview" TargetMode="External"/><Relationship Id="rId120" Type="http://schemas.openxmlformats.org/officeDocument/2006/relationships/hyperlink" Target="https://www.zillow.com/home-values/102001/united-states/" TargetMode="External"/><Relationship Id="rId125" Type="http://schemas.openxmlformats.org/officeDocument/2006/relationships/hyperlink" Target="https://www.zillow.com/home-values/102001/united-states/" TargetMode="External"/><Relationship Id="rId141" Type="http://schemas.openxmlformats.org/officeDocument/2006/relationships/hyperlink" Target="https://www.zillow.com/home-values/102001/united-states/" TargetMode="External"/><Relationship Id="rId146" Type="http://schemas.openxmlformats.org/officeDocument/2006/relationships/hyperlink" Target="https://www.zillow.com/home-values/102001/united-states/" TargetMode="External"/><Relationship Id="rId167" Type="http://schemas.openxmlformats.org/officeDocument/2006/relationships/hyperlink" Target="https://www.zillow.com/home-values/102001/united-states/" TargetMode="External"/><Relationship Id="rId7" Type="http://schemas.openxmlformats.org/officeDocument/2006/relationships/hyperlink" Target="https://www.redfin.com/county/309/CA/Contra-Costa-County/housing-market" TargetMode="External"/><Relationship Id="rId71" Type="http://schemas.openxmlformats.org/officeDocument/2006/relationships/hyperlink" Target="https://www.realtor.com/realestateandhomes-search/Colusa-County_CA/overview" TargetMode="External"/><Relationship Id="rId92" Type="http://schemas.openxmlformats.org/officeDocument/2006/relationships/hyperlink" Target="https://www.realtor.com/realestateandhomes-search/Monterey-County_CA/overview" TargetMode="External"/><Relationship Id="rId162" Type="http://schemas.openxmlformats.org/officeDocument/2006/relationships/hyperlink" Target="https://www.zillow.com/home-values/102001/united-states/" TargetMode="External"/><Relationship Id="rId2" Type="http://schemas.openxmlformats.org/officeDocument/2006/relationships/hyperlink" Target="https://www.redfin.com/county/304/CA/Alpine-County/housing-market" TargetMode="External"/><Relationship Id="rId29" Type="http://schemas.openxmlformats.org/officeDocument/2006/relationships/hyperlink" Target="https://www.redfin.com/county/331/CA/Nevada-County/housing-market" TargetMode="External"/><Relationship Id="rId24" Type="http://schemas.openxmlformats.org/officeDocument/2006/relationships/hyperlink" Target="https://www.redfin.com/county/326/CA/Merced-County/housing-market" TargetMode="External"/><Relationship Id="rId40" Type="http://schemas.openxmlformats.org/officeDocument/2006/relationships/hyperlink" Target="https://www.redfin.com/county/342/CA/San-Luis-Obispo-County/housing-market" TargetMode="External"/><Relationship Id="rId45" Type="http://schemas.openxmlformats.org/officeDocument/2006/relationships/hyperlink" Target="https://www.redfin.com/county/347/CA/Shasta-County/housing-market" TargetMode="External"/><Relationship Id="rId66" Type="http://schemas.openxmlformats.org/officeDocument/2006/relationships/hyperlink" Target="https://www.realtor.com/realestateandhomes-search/Alameda-County_CA/overview" TargetMode="External"/><Relationship Id="rId87" Type="http://schemas.openxmlformats.org/officeDocument/2006/relationships/hyperlink" Target="https://www.realtor.com/realestateandhomes-search/Mariposa-County_CA/overview" TargetMode="External"/><Relationship Id="rId110" Type="http://schemas.openxmlformats.org/officeDocument/2006/relationships/hyperlink" Target="https://www.realtor.com/realestateandhomes-search/Shasta-County_CA/overview" TargetMode="External"/><Relationship Id="rId115" Type="http://schemas.openxmlformats.org/officeDocument/2006/relationships/hyperlink" Target="https://www.realtor.com/realestateandhomes-search/Stanislaus-County_CA/overview" TargetMode="External"/><Relationship Id="rId131" Type="http://schemas.openxmlformats.org/officeDocument/2006/relationships/hyperlink" Target="https://www.zillow.com/home-values/102001/united-states/" TargetMode="External"/><Relationship Id="rId136" Type="http://schemas.openxmlformats.org/officeDocument/2006/relationships/hyperlink" Target="https://www.zillow.com/home-values/102001/united-states/" TargetMode="External"/><Relationship Id="rId157" Type="http://schemas.openxmlformats.org/officeDocument/2006/relationships/hyperlink" Target="https://www.zillow.com/home-values/102001/united-states/" TargetMode="External"/><Relationship Id="rId61" Type="http://schemas.openxmlformats.org/officeDocument/2006/relationships/hyperlink" Target="https://www.realtor.com/realestateandhomes-search/Ventura-County_CA/overview" TargetMode="External"/><Relationship Id="rId82" Type="http://schemas.openxmlformats.org/officeDocument/2006/relationships/hyperlink" Target="https://www.realtor.com/realestateandhomes-search/Lake-County_CA/overview" TargetMode="External"/><Relationship Id="rId152" Type="http://schemas.openxmlformats.org/officeDocument/2006/relationships/hyperlink" Target="https://www.zillow.com/home-values/102001/united-states/" TargetMode="External"/><Relationship Id="rId173" Type="http://schemas.openxmlformats.org/officeDocument/2006/relationships/hyperlink" Target="https://www.zillow.com/home-values/102001/united-states/" TargetMode="External"/><Relationship Id="rId19" Type="http://schemas.openxmlformats.org/officeDocument/2006/relationships/hyperlink" Target="https://www.redfin.com/county/321/CA/Los-Angeles-County/housing-market" TargetMode="External"/><Relationship Id="rId14" Type="http://schemas.openxmlformats.org/officeDocument/2006/relationships/hyperlink" Target="https://www.redfin.com/county/316/CA/Inyo-County/housing-market" TargetMode="External"/><Relationship Id="rId30" Type="http://schemas.openxmlformats.org/officeDocument/2006/relationships/hyperlink" Target="https://www.redfin.com/county/332/CA/Orange-County/housing-market" TargetMode="External"/><Relationship Id="rId35" Type="http://schemas.openxmlformats.org/officeDocument/2006/relationships/hyperlink" Target="https://www.redfin.com/county/337/CA/San-Benito-County/housing-market" TargetMode="External"/><Relationship Id="rId56" Type="http://schemas.openxmlformats.org/officeDocument/2006/relationships/hyperlink" Target="https://www.redfin.com/county/358/CA/Ventura-County/housing-market" TargetMode="External"/><Relationship Id="rId77" Type="http://schemas.openxmlformats.org/officeDocument/2006/relationships/hyperlink" Target="https://www.realtor.com/realestateandhomes-search/Humboldt-County_CA/overview" TargetMode="External"/><Relationship Id="rId100" Type="http://schemas.openxmlformats.org/officeDocument/2006/relationships/hyperlink" Target="https://www.realtor.com/realestateandhomes-search/San-Benito-County_CA/overview" TargetMode="External"/><Relationship Id="rId105" Type="http://schemas.openxmlformats.org/officeDocument/2006/relationships/hyperlink" Target="https://www.realtor.com/realestateandhomes-search/San-Luis-Obispo-County_CA/overview" TargetMode="External"/><Relationship Id="rId126" Type="http://schemas.openxmlformats.org/officeDocument/2006/relationships/hyperlink" Target="https://www.zillow.com/home-values/102001/united-states/" TargetMode="External"/><Relationship Id="rId147" Type="http://schemas.openxmlformats.org/officeDocument/2006/relationships/hyperlink" Target="https://www.zillow.com/home-values/102001/united-states/" TargetMode="External"/><Relationship Id="rId168" Type="http://schemas.openxmlformats.org/officeDocument/2006/relationships/hyperlink" Target="https://www.zillow.com/home-values/102001/united-states/" TargetMode="External"/><Relationship Id="rId8" Type="http://schemas.openxmlformats.org/officeDocument/2006/relationships/hyperlink" Target="https://www.redfin.com/county/310/CA/Del-Norte-County/housing-market" TargetMode="External"/><Relationship Id="rId51" Type="http://schemas.openxmlformats.org/officeDocument/2006/relationships/hyperlink" Target="https://www.redfin.com/county/353/CA/Sutter-County/housing-market" TargetMode="External"/><Relationship Id="rId72" Type="http://schemas.openxmlformats.org/officeDocument/2006/relationships/hyperlink" Target="https://www.realtor.com/realestateandhomes-search/Contra-Costa-County_CA/overview" TargetMode="External"/><Relationship Id="rId93" Type="http://schemas.openxmlformats.org/officeDocument/2006/relationships/hyperlink" Target="https://www.realtor.com/realestateandhomes-search/Napa-County_CA/overview" TargetMode="External"/><Relationship Id="rId98" Type="http://schemas.openxmlformats.org/officeDocument/2006/relationships/hyperlink" Target="https://www.realtor.com/realestateandhomes-search/Riverside-County_CA/overview" TargetMode="External"/><Relationship Id="rId121" Type="http://schemas.openxmlformats.org/officeDocument/2006/relationships/hyperlink" Target="https://www.zillow.com/home-values/102001/united-states/" TargetMode="External"/><Relationship Id="rId142" Type="http://schemas.openxmlformats.org/officeDocument/2006/relationships/hyperlink" Target="https://www.zillow.com/home-values/102001/united-states/" TargetMode="External"/><Relationship Id="rId163" Type="http://schemas.openxmlformats.org/officeDocument/2006/relationships/hyperlink" Target="https://www.zillow.com/home-values/102001/united-states/" TargetMode="External"/><Relationship Id="rId3" Type="http://schemas.openxmlformats.org/officeDocument/2006/relationships/hyperlink" Target="https://www.redfin.com/county/305/CA/Amador-County/housing-market" TargetMode="External"/><Relationship Id="rId25" Type="http://schemas.openxmlformats.org/officeDocument/2006/relationships/hyperlink" Target="https://www.redfin.com/county/327/CA/Modoc-County/housing-market" TargetMode="External"/><Relationship Id="rId46" Type="http://schemas.openxmlformats.org/officeDocument/2006/relationships/hyperlink" Target="https://www.redfin.com/county/348/CA/Sierra-County/housing-market" TargetMode="External"/><Relationship Id="rId67" Type="http://schemas.openxmlformats.org/officeDocument/2006/relationships/hyperlink" Target="https://www.realtor.com/realestateandhomes-search/Alpine-County_CA/overview" TargetMode="External"/><Relationship Id="rId116" Type="http://schemas.openxmlformats.org/officeDocument/2006/relationships/hyperlink" Target="https://www.realtor.com/realestateandhomes-search/Sutter-County_CA/overview" TargetMode="External"/><Relationship Id="rId137" Type="http://schemas.openxmlformats.org/officeDocument/2006/relationships/hyperlink" Target="https://www.zillow.com/home-values/102001/united-states/" TargetMode="External"/><Relationship Id="rId158" Type="http://schemas.openxmlformats.org/officeDocument/2006/relationships/hyperlink" Target="https://www.zillow.com/home-values/102001/united-states/" TargetMode="External"/><Relationship Id="rId20" Type="http://schemas.openxmlformats.org/officeDocument/2006/relationships/hyperlink" Target="https://www.redfin.com/county/322/CA/Madera-County/housing-market" TargetMode="External"/><Relationship Id="rId41" Type="http://schemas.openxmlformats.org/officeDocument/2006/relationships/hyperlink" Target="https://www.redfin.com/county/343/CA/San-Mateo-County/housing-market" TargetMode="External"/><Relationship Id="rId62" Type="http://schemas.openxmlformats.org/officeDocument/2006/relationships/hyperlink" Target="https://www.realtor.com/realestateandhomes-search/Tuolumne-County_CA/overview" TargetMode="External"/><Relationship Id="rId83" Type="http://schemas.openxmlformats.org/officeDocument/2006/relationships/hyperlink" Target="https://www.realtor.com/realestateandhomes-search/Lassen-County_CA/overview" TargetMode="External"/><Relationship Id="rId88" Type="http://schemas.openxmlformats.org/officeDocument/2006/relationships/hyperlink" Target="https://www.realtor.com/realestateandhomes-search/Mendocino-County_CA/overview" TargetMode="External"/><Relationship Id="rId111" Type="http://schemas.openxmlformats.org/officeDocument/2006/relationships/hyperlink" Target="https://www.realtor.com/realestateandhomes-search/Sierra-County_CA/overview" TargetMode="External"/><Relationship Id="rId132" Type="http://schemas.openxmlformats.org/officeDocument/2006/relationships/hyperlink" Target="https://www.zillow.com/home-values/102001/united-states/" TargetMode="External"/><Relationship Id="rId153" Type="http://schemas.openxmlformats.org/officeDocument/2006/relationships/hyperlink" Target="https://www.zillow.com/home-values/102001/united-states/" TargetMode="External"/><Relationship Id="rId174" Type="http://schemas.openxmlformats.org/officeDocument/2006/relationships/hyperlink" Target="https://www.zillow.com/home-values/102001/united-states/" TargetMode="External"/><Relationship Id="rId15" Type="http://schemas.openxmlformats.org/officeDocument/2006/relationships/hyperlink" Target="https://www.redfin.com/county/317/CA/Kern-County/housing-market" TargetMode="External"/><Relationship Id="rId36" Type="http://schemas.openxmlformats.org/officeDocument/2006/relationships/hyperlink" Target="https://www.redfin.com/county/338/CA/San-Bernardino-County/housing-market" TargetMode="External"/><Relationship Id="rId57" Type="http://schemas.openxmlformats.org/officeDocument/2006/relationships/hyperlink" Target="https://www.redfin.com/county/359/CA/Yolo-County/housing-market" TargetMode="External"/><Relationship Id="rId106" Type="http://schemas.openxmlformats.org/officeDocument/2006/relationships/hyperlink" Target="https://www.realtor.com/realestateandhomes-search/San-Mateo-County_CA/overview" TargetMode="External"/><Relationship Id="rId127" Type="http://schemas.openxmlformats.org/officeDocument/2006/relationships/hyperlink" Target="https://www.zillow.com/home-values/102001/united-states/" TargetMode="External"/><Relationship Id="rId10" Type="http://schemas.openxmlformats.org/officeDocument/2006/relationships/hyperlink" Target="https://www.redfin.com/county/312/CA/Fresno-County/housing-market" TargetMode="External"/><Relationship Id="rId31" Type="http://schemas.openxmlformats.org/officeDocument/2006/relationships/hyperlink" Target="https://www.redfin.com/county/333/CA/Placer-County/housing-market" TargetMode="External"/><Relationship Id="rId52" Type="http://schemas.openxmlformats.org/officeDocument/2006/relationships/hyperlink" Target="https://www.redfin.com/county/354/CA/Tehama-County/housing-market" TargetMode="External"/><Relationship Id="rId73" Type="http://schemas.openxmlformats.org/officeDocument/2006/relationships/hyperlink" Target="https://www.realtor.com/realestateandhomes-search/Del-Norte-County_CA/overview" TargetMode="External"/><Relationship Id="rId78" Type="http://schemas.openxmlformats.org/officeDocument/2006/relationships/hyperlink" Target="https://www.realtor.com/realestateandhomes-search/Imperial-County_CA/overview" TargetMode="External"/><Relationship Id="rId94" Type="http://schemas.openxmlformats.org/officeDocument/2006/relationships/hyperlink" Target="https://www.realtor.com/realestateandhomes-search/Nevada-County_CA/overview" TargetMode="External"/><Relationship Id="rId99" Type="http://schemas.openxmlformats.org/officeDocument/2006/relationships/hyperlink" Target="https://www.realtor.com/realestateandhomes-search/Sacramento-County_CA/overview" TargetMode="External"/><Relationship Id="rId101" Type="http://schemas.openxmlformats.org/officeDocument/2006/relationships/hyperlink" Target="https://www.realtor.com/realestateandhomes-search/San-Bernardino-County_CA/overview" TargetMode="External"/><Relationship Id="rId122" Type="http://schemas.openxmlformats.org/officeDocument/2006/relationships/hyperlink" Target="https://www.zillow.com/home-values/102001/united-states/" TargetMode="External"/><Relationship Id="rId143" Type="http://schemas.openxmlformats.org/officeDocument/2006/relationships/hyperlink" Target="https://www.zillow.com/home-values/102001/united-states/" TargetMode="External"/><Relationship Id="rId148" Type="http://schemas.openxmlformats.org/officeDocument/2006/relationships/hyperlink" Target="https://www.zillow.com/home-values/102001/united-states/" TargetMode="External"/><Relationship Id="rId164" Type="http://schemas.openxmlformats.org/officeDocument/2006/relationships/hyperlink" Target="https://www.zillow.com/home-values/102001/united-states/" TargetMode="External"/><Relationship Id="rId169" Type="http://schemas.openxmlformats.org/officeDocument/2006/relationships/hyperlink" Target="https://www.zillow.com/home-values/102001/united-states/" TargetMode="External"/><Relationship Id="rId4" Type="http://schemas.openxmlformats.org/officeDocument/2006/relationships/hyperlink" Target="https://www.redfin.com/county/306/CA/Butte-County/housing-market" TargetMode="External"/><Relationship Id="rId9" Type="http://schemas.openxmlformats.org/officeDocument/2006/relationships/hyperlink" Target="https://www.redfin.com/county/311/CA/El-Dorado-County/housing-market" TargetMode="External"/><Relationship Id="rId26" Type="http://schemas.openxmlformats.org/officeDocument/2006/relationships/hyperlink" Target="https://www.redfin.com/county/328/CA/Mono-County/housing-market" TargetMode="External"/><Relationship Id="rId47" Type="http://schemas.openxmlformats.org/officeDocument/2006/relationships/hyperlink" Target="https://www.redfin.com/county/349/CA/Siskiyou-County/housing-market" TargetMode="External"/><Relationship Id="rId68" Type="http://schemas.openxmlformats.org/officeDocument/2006/relationships/hyperlink" Target="https://www.realtor.com/realestateandhomes-search/Amador-County_CA/overview" TargetMode="External"/><Relationship Id="rId89" Type="http://schemas.openxmlformats.org/officeDocument/2006/relationships/hyperlink" Target="https://www.realtor.com/realestateandhomes-search/Merced-County_CA/overview" TargetMode="External"/><Relationship Id="rId112" Type="http://schemas.openxmlformats.org/officeDocument/2006/relationships/hyperlink" Target="https://www.realtor.com/realestateandhomes-search/Siskiyou-County_CA/overview" TargetMode="External"/><Relationship Id="rId133" Type="http://schemas.openxmlformats.org/officeDocument/2006/relationships/hyperlink" Target="https://www.zillow.com/home-values/102001/united-states/" TargetMode="External"/><Relationship Id="rId154" Type="http://schemas.openxmlformats.org/officeDocument/2006/relationships/hyperlink" Target="https://www.zillow.com/home-values/102001/united-states/" TargetMode="External"/><Relationship Id="rId175" Type="http://schemas.openxmlformats.org/officeDocument/2006/relationships/printerSettings" Target="../printerSettings/printerSettings7.bin"/><Relationship Id="rId16" Type="http://schemas.openxmlformats.org/officeDocument/2006/relationships/hyperlink" Target="https://www.redfin.com/county/318/CA/Kings-County/housing-market" TargetMode="External"/><Relationship Id="rId37" Type="http://schemas.openxmlformats.org/officeDocument/2006/relationships/hyperlink" Target="https://www.redfin.com/county/339/CA/San-Diego-County/housing-market" TargetMode="External"/><Relationship Id="rId58" Type="http://schemas.openxmlformats.org/officeDocument/2006/relationships/hyperlink" Target="https://www.redfin.com/county/360/CA/Yuba-County/housing-market" TargetMode="External"/><Relationship Id="rId79" Type="http://schemas.openxmlformats.org/officeDocument/2006/relationships/hyperlink" Target="https://www.realtor.com/realestateandhomes-search/Inyo-County_CA/overview" TargetMode="External"/><Relationship Id="rId102" Type="http://schemas.openxmlformats.org/officeDocument/2006/relationships/hyperlink" Target="https://www.realtor.com/realestateandhomes-search/San-Diego-County_CA/overview" TargetMode="External"/><Relationship Id="rId123" Type="http://schemas.openxmlformats.org/officeDocument/2006/relationships/hyperlink" Target="https://www.zillow.com/home-values/102001/united-states/" TargetMode="External"/><Relationship Id="rId144" Type="http://schemas.openxmlformats.org/officeDocument/2006/relationships/hyperlink" Target="https://www.zillow.com/home-values/102001/united-states/" TargetMode="External"/><Relationship Id="rId90" Type="http://schemas.openxmlformats.org/officeDocument/2006/relationships/hyperlink" Target="https://www.realtor.com/realestateandhomes-search/Modoc-County_CA/overview" TargetMode="External"/><Relationship Id="rId165" Type="http://schemas.openxmlformats.org/officeDocument/2006/relationships/hyperlink" Target="https://www.zillow.com/home-values/102001/united-states/" TargetMode="External"/><Relationship Id="rId27" Type="http://schemas.openxmlformats.org/officeDocument/2006/relationships/hyperlink" Target="https://www.redfin.com/county/329/CA/Monterey-County/housing-market" TargetMode="External"/><Relationship Id="rId48" Type="http://schemas.openxmlformats.org/officeDocument/2006/relationships/hyperlink" Target="https://www.redfin.com/county/350/CA/Solano-County/housing-market" TargetMode="External"/><Relationship Id="rId69" Type="http://schemas.openxmlformats.org/officeDocument/2006/relationships/hyperlink" Target="https://www.realtor.com/realestateandhomes-search/Butte-County_CA/overview" TargetMode="External"/><Relationship Id="rId113" Type="http://schemas.openxmlformats.org/officeDocument/2006/relationships/hyperlink" Target="https://www.realtor.com/realestateandhomes-search/Solano-County_CA/overview" TargetMode="External"/><Relationship Id="rId134" Type="http://schemas.openxmlformats.org/officeDocument/2006/relationships/hyperlink" Target="https://www.zillow.com/home-values/102001/united-states/" TargetMode="External"/><Relationship Id="rId80" Type="http://schemas.openxmlformats.org/officeDocument/2006/relationships/hyperlink" Target="https://www.realtor.com/realestateandhomes-search/Kern-County_CA/overview" TargetMode="External"/><Relationship Id="rId155" Type="http://schemas.openxmlformats.org/officeDocument/2006/relationships/hyperlink" Target="https://www.zillow.com/home-values/102001/united-states/" TargetMode="External"/><Relationship Id="rId176" Type="http://schemas.openxmlformats.org/officeDocument/2006/relationships/table" Target="../tables/table1.xml"/><Relationship Id="rId17" Type="http://schemas.openxmlformats.org/officeDocument/2006/relationships/hyperlink" Target="https://www.redfin.com/county/319/CA/Lake-County/housing-market" TargetMode="External"/><Relationship Id="rId38" Type="http://schemas.openxmlformats.org/officeDocument/2006/relationships/hyperlink" Target="https://www.redfin.com/county/340/CA/San-Francisco-County/housing-market" TargetMode="External"/><Relationship Id="rId59" Type="http://schemas.openxmlformats.org/officeDocument/2006/relationships/hyperlink" Target="https://www.realtor.com/realestateandhomes-search/Yuba-County_CA/overview" TargetMode="External"/><Relationship Id="rId103" Type="http://schemas.openxmlformats.org/officeDocument/2006/relationships/hyperlink" Target="https://www.realtor.com/realestateandhomes-search/San-Francisco_CA/overview" TargetMode="External"/><Relationship Id="rId124" Type="http://schemas.openxmlformats.org/officeDocument/2006/relationships/hyperlink" Target="https://www.zillow.com/home-values/102001/united-states/" TargetMode="External"/><Relationship Id="rId70" Type="http://schemas.openxmlformats.org/officeDocument/2006/relationships/hyperlink" Target="https://www.realtor.com/realestateandhomes-search/Calaveras-County_CA/overview" TargetMode="External"/><Relationship Id="rId91" Type="http://schemas.openxmlformats.org/officeDocument/2006/relationships/hyperlink" Target="https://www.realtor.com/realestateandhomes-search/Mono-County_CA/overview" TargetMode="External"/><Relationship Id="rId145" Type="http://schemas.openxmlformats.org/officeDocument/2006/relationships/hyperlink" Target="https://www.zillow.com/home-values/102001/united-states/" TargetMode="External"/><Relationship Id="rId166" Type="http://schemas.openxmlformats.org/officeDocument/2006/relationships/hyperlink" Target="https://www.zillow.com/home-values/102001/united-states/" TargetMode="External"/></Relationships>
</file>

<file path=xl/worksheets/_rels/sheet10.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193FB-1808-43EA-9D92-F3BF6AF8B5C9}">
  <sheetPr codeName="Sheet9"/>
  <dimension ref="A1:B3"/>
  <sheetViews>
    <sheetView workbookViewId="0">
      <selection activeCell="B6" sqref="B6"/>
    </sheetView>
  </sheetViews>
  <sheetFormatPr defaultRowHeight="14.5" x14ac:dyDescent="0.35"/>
  <cols>
    <col min="1" max="1" width="16.81640625" bestFit="1" customWidth="1"/>
    <col min="2" max="2" width="126.1796875" bestFit="1" customWidth="1"/>
  </cols>
  <sheetData>
    <row r="1" spans="1:2" x14ac:dyDescent="0.35">
      <c r="A1" s="78" t="s">
        <v>2841</v>
      </c>
      <c r="B1" s="78" t="s">
        <v>4374</v>
      </c>
    </row>
    <row r="2" spans="1:2" ht="390.5" x14ac:dyDescent="0.35">
      <c r="A2" s="78" t="s">
        <v>2842</v>
      </c>
      <c r="B2" s="809" t="s">
        <v>4489</v>
      </c>
    </row>
    <row r="3" spans="1:2" x14ac:dyDescent="0.35">
      <c r="A3" t="s">
        <v>4375</v>
      </c>
      <c r="B3" t="s">
        <v>4374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5559D-E9AF-4B52-BF99-DE6614B194C3}">
  <sheetPr codeName="Sheet10"/>
  <dimension ref="A1:B71"/>
  <sheetViews>
    <sheetView workbookViewId="0">
      <selection activeCell="A11" sqref="A11"/>
    </sheetView>
  </sheetViews>
  <sheetFormatPr defaultRowHeight="14.5" x14ac:dyDescent="0.35"/>
  <cols>
    <col min="1" max="1" width="122.54296875" style="840" bestFit="1" customWidth="1"/>
    <col min="2" max="2" width="12.54296875" bestFit="1" customWidth="1"/>
  </cols>
  <sheetData>
    <row r="1" spans="1:2" x14ac:dyDescent="0.35">
      <c r="A1" s="838" t="s">
        <v>2459</v>
      </c>
      <c r="B1" s="842" t="str">
        <f>MID(A1,42,11)</f>
        <v>HOSN0000013</v>
      </c>
    </row>
    <row r="2" spans="1:2" x14ac:dyDescent="0.35">
      <c r="A2" s="838" t="s">
        <v>2493</v>
      </c>
      <c r="B2" s="845" t="str">
        <f t="shared" ref="B2:B64" si="0">MID(A2,42,11)</f>
        <v>HOSN0000013</v>
      </c>
    </row>
    <row r="3" spans="1:2" x14ac:dyDescent="0.35">
      <c r="A3" s="838" t="s">
        <v>2532</v>
      </c>
      <c r="B3" s="845" t="str">
        <f t="shared" si="0"/>
        <v>HOSN0000013</v>
      </c>
    </row>
    <row r="4" spans="1:2" x14ac:dyDescent="0.35">
      <c r="A4" s="838" t="s">
        <v>2498</v>
      </c>
      <c r="B4" s="844" t="str">
        <f t="shared" si="0"/>
        <v>HOSN0000013</v>
      </c>
    </row>
    <row r="5" spans="1:2" x14ac:dyDescent="0.35">
      <c r="A5" s="839" t="s">
        <v>2535</v>
      </c>
      <c r="B5" t="str">
        <f t="shared" si="0"/>
        <v>HOSN0000024</v>
      </c>
    </row>
    <row r="6" spans="1:2" x14ac:dyDescent="0.35">
      <c r="A6" s="839" t="s">
        <v>2550</v>
      </c>
      <c r="B6" t="str">
        <f t="shared" si="0"/>
        <v>HOSN0000028</v>
      </c>
    </row>
    <row r="7" spans="1:2" x14ac:dyDescent="0.35">
      <c r="A7" s="839" t="s">
        <v>2576</v>
      </c>
      <c r="B7" t="str">
        <f t="shared" si="0"/>
        <v>HOSN0000053</v>
      </c>
    </row>
    <row r="8" spans="1:2" x14ac:dyDescent="0.35">
      <c r="A8" s="839" t="s">
        <v>2602</v>
      </c>
      <c r="B8" t="str">
        <f t="shared" si="0"/>
        <v>HOSN0000070</v>
      </c>
    </row>
    <row r="9" spans="1:2" x14ac:dyDescent="0.35">
      <c r="A9" s="839" t="s">
        <v>2616</v>
      </c>
      <c r="B9" t="str">
        <f t="shared" si="0"/>
        <v>HOSN0000072</v>
      </c>
    </row>
    <row r="10" spans="1:2" x14ac:dyDescent="0.35">
      <c r="A10" s="839" t="s">
        <v>2632</v>
      </c>
      <c r="B10" t="str">
        <f t="shared" si="0"/>
        <v>HOSN0000081</v>
      </c>
    </row>
    <row r="11" spans="1:2" x14ac:dyDescent="0.35">
      <c r="A11" s="839" t="s">
        <v>2694</v>
      </c>
      <c r="B11" t="str">
        <f t="shared" si="0"/>
        <v>HOSN0000097</v>
      </c>
    </row>
    <row r="12" spans="1:2" x14ac:dyDescent="0.35">
      <c r="A12" s="839" t="s">
        <v>2696</v>
      </c>
      <c r="B12" t="str">
        <f t="shared" si="0"/>
        <v>HOSN0000099</v>
      </c>
    </row>
    <row r="13" spans="1:2" x14ac:dyDescent="0.35">
      <c r="A13" s="839" t="s">
        <v>2736</v>
      </c>
      <c r="B13" t="str">
        <f t="shared" si="0"/>
        <v>HOSN0000109</v>
      </c>
    </row>
    <row r="14" spans="1:2" x14ac:dyDescent="0.35">
      <c r="A14" s="839" t="s">
        <v>2756</v>
      </c>
      <c r="B14" t="str">
        <f t="shared" si="0"/>
        <v>HOSN0000139</v>
      </c>
    </row>
    <row r="15" spans="1:2" x14ac:dyDescent="0.35">
      <c r="A15" s="839" t="s">
        <v>2775</v>
      </c>
      <c r="B15" t="str">
        <f t="shared" si="0"/>
        <v>HOSN0000155</v>
      </c>
    </row>
    <row r="16" spans="1:2" x14ac:dyDescent="0.35">
      <c r="A16" s="839" t="s">
        <v>2790</v>
      </c>
      <c r="B16" t="str">
        <f t="shared" si="0"/>
        <v>HOSN0000157</v>
      </c>
    </row>
    <row r="17" spans="1:2" x14ac:dyDescent="0.35">
      <c r="A17" s="839" t="s">
        <v>2807</v>
      </c>
      <c r="B17" t="str">
        <f t="shared" si="0"/>
        <v>HOSN0000164</v>
      </c>
    </row>
    <row r="18" spans="1:2" x14ac:dyDescent="0.35">
      <c r="A18" s="839" t="s">
        <v>2828</v>
      </c>
      <c r="B18" t="str">
        <f t="shared" si="0"/>
        <v>HOSN0000165</v>
      </c>
    </row>
    <row r="19" spans="1:2" x14ac:dyDescent="0.35">
      <c r="A19" s="839" t="s">
        <v>2843</v>
      </c>
      <c r="B19" t="str">
        <f t="shared" si="0"/>
        <v>HOSN0000166</v>
      </c>
    </row>
    <row r="20" spans="1:2" x14ac:dyDescent="0.35">
      <c r="A20" s="839" t="s">
        <v>2863</v>
      </c>
      <c r="B20" t="str">
        <f t="shared" si="0"/>
        <v>HOSN0000167</v>
      </c>
    </row>
    <row r="21" spans="1:2" x14ac:dyDescent="0.35">
      <c r="A21" s="839" t="s">
        <v>2875</v>
      </c>
      <c r="B21" t="str">
        <f t="shared" si="0"/>
        <v>HOSN0000186</v>
      </c>
    </row>
    <row r="22" spans="1:2" x14ac:dyDescent="0.35">
      <c r="A22" s="839" t="s">
        <v>2900</v>
      </c>
      <c r="B22" t="str">
        <f t="shared" si="0"/>
        <v>HOSN0000190</v>
      </c>
    </row>
    <row r="23" spans="1:2" x14ac:dyDescent="0.35">
      <c r="A23" s="839" t="s">
        <v>2919</v>
      </c>
      <c r="B23" t="str">
        <f t="shared" si="0"/>
        <v>HOSN0000194</v>
      </c>
    </row>
    <row r="24" spans="1:2" x14ac:dyDescent="0.35">
      <c r="A24" s="839" t="s">
        <v>2940</v>
      </c>
      <c r="B24" t="str">
        <f t="shared" si="0"/>
        <v>HOSN0000196</v>
      </c>
    </row>
    <row r="25" spans="1:2" x14ac:dyDescent="0.35">
      <c r="A25" s="839" t="s">
        <v>2960</v>
      </c>
      <c r="B25" t="str">
        <f t="shared" si="0"/>
        <v>HOSN0000201</v>
      </c>
    </row>
    <row r="26" spans="1:2" x14ac:dyDescent="0.35">
      <c r="A26" s="841" t="s">
        <v>3015</v>
      </c>
      <c r="B26" s="842" t="str">
        <f t="shared" si="0"/>
        <v>HOSN0000202</v>
      </c>
    </row>
    <row r="27" spans="1:2" x14ac:dyDescent="0.35">
      <c r="A27" s="843" t="s">
        <v>3054</v>
      </c>
      <c r="B27" s="844" t="str">
        <f t="shared" si="0"/>
        <v>HOSN0000202</v>
      </c>
    </row>
    <row r="28" spans="1:2" x14ac:dyDescent="0.35">
      <c r="A28" s="839" t="s">
        <v>3063</v>
      </c>
      <c r="B28" t="str">
        <f t="shared" si="0"/>
        <v>HOSN0000209</v>
      </c>
    </row>
    <row r="29" spans="1:2" x14ac:dyDescent="0.35">
      <c r="A29" s="839" t="s">
        <v>3078</v>
      </c>
      <c r="B29" t="str">
        <f t="shared" si="0"/>
        <v>HOSN0000216</v>
      </c>
    </row>
    <row r="30" spans="1:2" x14ac:dyDescent="0.35">
      <c r="A30" s="839" t="s">
        <v>3095</v>
      </c>
      <c r="B30" t="str">
        <f t="shared" si="0"/>
        <v>HOSN0000225</v>
      </c>
    </row>
    <row r="31" spans="1:2" x14ac:dyDescent="0.35">
      <c r="A31" s="839" t="s">
        <v>3123</v>
      </c>
      <c r="B31" t="str">
        <f t="shared" si="0"/>
        <v>HOSN0000229</v>
      </c>
    </row>
    <row r="32" spans="1:2" x14ac:dyDescent="0.35">
      <c r="A32" s="839" t="s">
        <v>3139</v>
      </c>
      <c r="B32" t="str">
        <f t="shared" si="0"/>
        <v>HOSN0000249</v>
      </c>
    </row>
    <row r="33" spans="1:2" x14ac:dyDescent="0.35">
      <c r="A33" s="839" t="s">
        <v>3205</v>
      </c>
      <c r="B33" t="str">
        <f t="shared" si="0"/>
        <v>HOSN0000250</v>
      </c>
    </row>
    <row r="34" spans="1:2" x14ac:dyDescent="0.35">
      <c r="A34" s="841" t="s">
        <v>3223</v>
      </c>
      <c r="B34" s="842" t="str">
        <f t="shared" si="0"/>
        <v>HOSN0000251</v>
      </c>
    </row>
    <row r="35" spans="1:2" x14ac:dyDescent="0.35">
      <c r="A35" s="839" t="s">
        <v>3237</v>
      </c>
      <c r="B35" t="str">
        <f t="shared" si="0"/>
        <v>HOSN0000252</v>
      </c>
    </row>
    <row r="36" spans="1:2" x14ac:dyDescent="0.35">
      <c r="A36" s="839" t="s">
        <v>3257</v>
      </c>
      <c r="B36" t="str">
        <f t="shared" si="0"/>
        <v>HOSN0000263</v>
      </c>
    </row>
    <row r="37" spans="1:2" x14ac:dyDescent="0.35">
      <c r="A37" s="839" t="s">
        <v>3272</v>
      </c>
      <c r="B37" t="str">
        <f t="shared" si="0"/>
        <v>HOSN0000004</v>
      </c>
    </row>
    <row r="38" spans="1:2" x14ac:dyDescent="0.35">
      <c r="A38" s="839" t="s">
        <v>3297</v>
      </c>
      <c r="B38" t="str">
        <f t="shared" si="0"/>
        <v>HOSN0000008</v>
      </c>
    </row>
    <row r="39" spans="1:2" x14ac:dyDescent="0.35">
      <c r="A39" s="839" t="s">
        <v>3340</v>
      </c>
      <c r="B39" t="str">
        <f t="shared" si="0"/>
        <v>HOSN0000044</v>
      </c>
    </row>
    <row r="40" spans="1:2" x14ac:dyDescent="0.35">
      <c r="A40" s="839" t="s">
        <v>3359</v>
      </c>
      <c r="B40" t="str">
        <f t="shared" si="0"/>
        <v>HOSN0000052</v>
      </c>
    </row>
    <row r="41" spans="1:2" x14ac:dyDescent="0.35">
      <c r="A41" s="839" t="s">
        <v>3374</v>
      </c>
      <c r="B41" t="str">
        <f t="shared" si="0"/>
        <v>HOSN0000114</v>
      </c>
    </row>
    <row r="42" spans="1:2" x14ac:dyDescent="0.35">
      <c r="A42" s="839" t="s">
        <v>3391</v>
      </c>
      <c r="B42" t="str">
        <f t="shared" si="0"/>
        <v>HOSN0000128</v>
      </c>
    </row>
    <row r="43" spans="1:2" x14ac:dyDescent="0.35">
      <c r="A43" s="839" t="s">
        <v>3414</v>
      </c>
      <c r="B43" t="str">
        <f t="shared" si="0"/>
        <v>HOSN0000131</v>
      </c>
    </row>
    <row r="44" spans="1:2" x14ac:dyDescent="0.35">
      <c r="A44" s="839" t="s">
        <v>3441</v>
      </c>
      <c r="B44" t="str">
        <f t="shared" si="0"/>
        <v>HOSN0000140</v>
      </c>
    </row>
    <row r="45" spans="1:2" x14ac:dyDescent="0.35">
      <c r="A45" s="839" t="s">
        <v>3458</v>
      </c>
      <c r="B45" t="str">
        <f t="shared" si="0"/>
        <v>HOSN0000141</v>
      </c>
    </row>
    <row r="46" spans="1:2" x14ac:dyDescent="0.35">
      <c r="A46" s="839" t="s">
        <v>3473</v>
      </c>
      <c r="B46" t="str">
        <f t="shared" si="0"/>
        <v>HOSN0000142</v>
      </c>
    </row>
    <row r="47" spans="1:2" x14ac:dyDescent="0.35">
      <c r="A47" s="841" t="s">
        <v>3485</v>
      </c>
      <c r="B47" s="842" t="str">
        <f t="shared" si="0"/>
        <v>HOSN0000151</v>
      </c>
    </row>
    <row r="48" spans="1:2" x14ac:dyDescent="0.35">
      <c r="A48" s="843" t="s">
        <v>3522</v>
      </c>
      <c r="B48" s="844" t="str">
        <f t="shared" si="0"/>
        <v>HOSN0000151</v>
      </c>
    </row>
    <row r="49" spans="1:2" x14ac:dyDescent="0.35">
      <c r="A49" s="839" t="s">
        <v>3552</v>
      </c>
      <c r="B49" t="str">
        <f t="shared" si="0"/>
        <v>HOSN0000153</v>
      </c>
    </row>
    <row r="50" spans="1:2" x14ac:dyDescent="0.35">
      <c r="A50" s="839" t="s">
        <v>3579</v>
      </c>
      <c r="B50" t="str">
        <f t="shared" si="0"/>
        <v>HOSN0000205</v>
      </c>
    </row>
    <row r="51" spans="1:2" x14ac:dyDescent="0.35">
      <c r="A51" s="839" t="s">
        <v>3602</v>
      </c>
      <c r="B51" t="str">
        <f t="shared" si="0"/>
        <v>HOSN0000211</v>
      </c>
    </row>
    <row r="52" spans="1:2" x14ac:dyDescent="0.35">
      <c r="A52" s="839" t="s">
        <v>3646</v>
      </c>
      <c r="B52" t="str">
        <f t="shared" si="0"/>
        <v>HOSN0000215</v>
      </c>
    </row>
    <row r="53" spans="1:2" x14ac:dyDescent="0.35">
      <c r="A53" s="839" t="s">
        <v>3667</v>
      </c>
      <c r="B53" t="str">
        <f t="shared" si="0"/>
        <v>HOSN0000217</v>
      </c>
    </row>
    <row r="54" spans="1:2" x14ac:dyDescent="0.35">
      <c r="A54" s="839" t="s">
        <v>3685</v>
      </c>
      <c r="B54" t="str">
        <f t="shared" si="0"/>
        <v>HOSN0000222</v>
      </c>
    </row>
    <row r="55" spans="1:2" x14ac:dyDescent="0.35">
      <c r="A55" s="839" t="s">
        <v>3740</v>
      </c>
      <c r="B55" t="str">
        <f t="shared" si="0"/>
        <v>HOSN0000228</v>
      </c>
    </row>
    <row r="56" spans="1:2" x14ac:dyDescent="0.35">
      <c r="A56" s="839" t="s">
        <v>3758</v>
      </c>
      <c r="B56" t="str">
        <f t="shared" si="0"/>
        <v>HOSN0000243</v>
      </c>
    </row>
    <row r="57" spans="1:2" x14ac:dyDescent="0.35">
      <c r="A57" s="839" t="s">
        <v>3890</v>
      </c>
      <c r="B57" t="str">
        <f t="shared" si="0"/>
        <v>HOSN0000259</v>
      </c>
    </row>
    <row r="58" spans="1:2" x14ac:dyDescent="0.35">
      <c r="A58" s="839" t="s">
        <v>3910</v>
      </c>
      <c r="B58" t="str">
        <f t="shared" si="0"/>
        <v>HOSN0000266</v>
      </c>
    </row>
    <row r="59" spans="1:2" x14ac:dyDescent="0.35">
      <c r="A59" s="839" t="s">
        <v>3925</v>
      </c>
      <c r="B59" t="str">
        <f t="shared" si="0"/>
        <v>HOSN0000269</v>
      </c>
    </row>
    <row r="60" spans="1:2" x14ac:dyDescent="0.35">
      <c r="A60" s="839" t="s">
        <v>3949</v>
      </c>
      <c r="B60" t="str">
        <f t="shared" si="0"/>
        <v>HOSN0000270</v>
      </c>
    </row>
    <row r="61" spans="1:2" x14ac:dyDescent="0.35">
      <c r="A61" s="839" t="s">
        <v>3964</v>
      </c>
      <c r="B61" t="str">
        <f t="shared" si="0"/>
        <v>HOSN0000056</v>
      </c>
    </row>
    <row r="62" spans="1:2" x14ac:dyDescent="0.35">
      <c r="A62" s="839" t="s">
        <v>4180</v>
      </c>
      <c r="B62" t="str">
        <f t="shared" si="0"/>
        <v>HOSN0000086</v>
      </c>
    </row>
    <row r="63" spans="1:2" x14ac:dyDescent="0.35">
      <c r="A63" s="839" t="s">
        <v>4213</v>
      </c>
      <c r="B63" t="str">
        <f t="shared" si="0"/>
        <v>HOSN0000138</v>
      </c>
    </row>
    <row r="64" spans="1:2" x14ac:dyDescent="0.35">
      <c r="A64" s="839" t="s">
        <v>4229</v>
      </c>
      <c r="B64" t="str">
        <f t="shared" si="0"/>
        <v>HOSN0000169</v>
      </c>
    </row>
    <row r="65" spans="1:2" x14ac:dyDescent="0.35">
      <c r="A65" s="839" t="s">
        <v>4248</v>
      </c>
      <c r="B65" t="str">
        <f t="shared" ref="B65:B71" si="1">MID(A65,42,11)</f>
        <v>HOSN0000254</v>
      </c>
    </row>
    <row r="66" spans="1:2" x14ac:dyDescent="0.35">
      <c r="A66" s="839" t="s">
        <v>4266</v>
      </c>
      <c r="B66" t="str">
        <f t="shared" si="1"/>
        <v>HOSN0000260</v>
      </c>
    </row>
    <row r="67" spans="1:2" x14ac:dyDescent="0.35">
      <c r="A67" s="839" t="s">
        <v>4280</v>
      </c>
      <c r="B67" t="str">
        <f t="shared" si="1"/>
        <v>HOSN0000261</v>
      </c>
    </row>
    <row r="68" spans="1:2" x14ac:dyDescent="0.35">
      <c r="A68" s="839" t="s">
        <v>4309</v>
      </c>
      <c r="B68" t="str">
        <f t="shared" si="1"/>
        <v>HOSN0000264</v>
      </c>
    </row>
    <row r="69" spans="1:2" x14ac:dyDescent="0.35">
      <c r="A69" s="839" t="s">
        <v>4325</v>
      </c>
      <c r="B69" t="str">
        <f t="shared" si="1"/>
        <v>HOSN0000271</v>
      </c>
    </row>
    <row r="70" spans="1:2" x14ac:dyDescent="0.35">
      <c r="A70" s="839" t="s">
        <v>4326</v>
      </c>
      <c r="B70" t="str">
        <f t="shared" si="1"/>
        <v>HOSN0000272</v>
      </c>
    </row>
    <row r="71" spans="1:2" x14ac:dyDescent="0.35">
      <c r="A71" s="839" t="s">
        <v>4346</v>
      </c>
      <c r="B71" t="str">
        <f t="shared" si="1"/>
        <v>HOSN0000273</v>
      </c>
    </row>
  </sheetData>
  <conditionalFormatting sqref="B1:B1048576">
    <cfRule type="duplicateValues" dxfId="774"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D2169"/>
  <sheetViews>
    <sheetView workbookViewId="0">
      <selection activeCell="A6" sqref="A6"/>
    </sheetView>
  </sheetViews>
  <sheetFormatPr defaultColWidth="9.453125" defaultRowHeight="16.5" x14ac:dyDescent="0.35"/>
  <cols>
    <col min="1" max="1" width="27.54296875" style="436" bestFit="1" customWidth="1"/>
    <col min="2" max="2" width="46.1796875" style="436" customWidth="1"/>
    <col min="3" max="3" width="72.26953125" style="441" customWidth="1"/>
    <col min="4" max="4" width="55.1796875" style="437" customWidth="1"/>
    <col min="5" max="5" width="9.453125" style="435" customWidth="1"/>
    <col min="6" max="16384" width="9.453125" style="435"/>
  </cols>
  <sheetData>
    <row r="1" spans="1:4" x14ac:dyDescent="0.35">
      <c r="A1" s="438" t="s">
        <v>499</v>
      </c>
      <c r="B1" s="438" t="s">
        <v>500</v>
      </c>
      <c r="C1" s="439" t="s">
        <v>501</v>
      </c>
      <c r="D1" s="440" t="s">
        <v>502</v>
      </c>
    </row>
    <row r="2" spans="1:4" x14ac:dyDescent="0.35">
      <c r="A2" s="436" t="s">
        <v>690</v>
      </c>
      <c r="B2" s="436" t="s">
        <v>691</v>
      </c>
      <c r="D2" s="448"/>
    </row>
    <row r="3" spans="1:4" x14ac:dyDescent="0.35">
      <c r="A3" s="436" t="s">
        <v>690</v>
      </c>
      <c r="B3" s="436" t="s">
        <v>693</v>
      </c>
      <c r="D3" s="448"/>
    </row>
    <row r="4" spans="1:4" x14ac:dyDescent="0.35">
      <c r="A4" s="436" t="s">
        <v>690</v>
      </c>
      <c r="B4" s="436" t="s">
        <v>701</v>
      </c>
      <c r="D4" s="448"/>
    </row>
    <row r="5" spans="1:4" x14ac:dyDescent="0.35">
      <c r="A5" s="436" t="s">
        <v>690</v>
      </c>
      <c r="B5" s="436" t="s">
        <v>703</v>
      </c>
      <c r="D5" s="448"/>
    </row>
    <row r="6" spans="1:4" x14ac:dyDescent="0.35">
      <c r="A6" s="436" t="s">
        <v>690</v>
      </c>
      <c r="B6" s="436" t="s">
        <v>704</v>
      </c>
      <c r="D6" s="448"/>
    </row>
    <row r="7" spans="1:4" x14ac:dyDescent="0.35">
      <c r="A7" s="436" t="s">
        <v>690</v>
      </c>
      <c r="B7" s="436" t="s">
        <v>702</v>
      </c>
      <c r="D7" s="448"/>
    </row>
    <row r="8" spans="1:4" x14ac:dyDescent="0.35">
      <c r="A8" s="436" t="s">
        <v>690</v>
      </c>
      <c r="B8" s="436" t="s">
        <v>694</v>
      </c>
      <c r="D8" s="448"/>
    </row>
    <row r="9" spans="1:4" x14ac:dyDescent="0.35">
      <c r="A9" s="436" t="s">
        <v>690</v>
      </c>
      <c r="B9" s="436" t="s">
        <v>697</v>
      </c>
      <c r="D9" s="448"/>
    </row>
    <row r="10" spans="1:4" x14ac:dyDescent="0.35">
      <c r="A10" s="436" t="s">
        <v>690</v>
      </c>
      <c r="B10" s="436" t="s">
        <v>699</v>
      </c>
      <c r="D10" s="448"/>
    </row>
    <row r="11" spans="1:4" x14ac:dyDescent="0.35">
      <c r="A11" s="436" t="s">
        <v>690</v>
      </c>
      <c r="B11" s="436" t="s">
        <v>700</v>
      </c>
      <c r="D11" s="448"/>
    </row>
    <row r="12" spans="1:4" x14ac:dyDescent="0.35">
      <c r="A12" s="436" t="s">
        <v>690</v>
      </c>
      <c r="B12" s="436" t="s">
        <v>698</v>
      </c>
      <c r="D12" s="448"/>
    </row>
    <row r="13" spans="1:4" x14ac:dyDescent="0.35">
      <c r="A13" s="436" t="s">
        <v>690</v>
      </c>
      <c r="B13" s="436" t="s">
        <v>696</v>
      </c>
      <c r="D13" s="448"/>
    </row>
    <row r="14" spans="1:4" x14ac:dyDescent="0.35">
      <c r="A14" s="436" t="s">
        <v>690</v>
      </c>
      <c r="B14" s="436" t="s">
        <v>692</v>
      </c>
      <c r="D14" s="448"/>
    </row>
    <row r="15" spans="1:4" x14ac:dyDescent="0.35">
      <c r="A15" s="436" t="s">
        <v>690</v>
      </c>
      <c r="B15" s="436" t="s">
        <v>695</v>
      </c>
      <c r="D15" s="448"/>
    </row>
    <row r="16" spans="1:4" x14ac:dyDescent="0.35">
      <c r="A16" s="436" t="s">
        <v>687</v>
      </c>
      <c r="B16" s="436" t="s">
        <v>688</v>
      </c>
      <c r="C16" s="657"/>
      <c r="D16" s="448"/>
    </row>
    <row r="17" spans="1:4" x14ac:dyDescent="0.35">
      <c r="A17" s="436" t="s">
        <v>687</v>
      </c>
      <c r="B17" s="436" t="s">
        <v>689</v>
      </c>
      <c r="C17" s="657"/>
      <c r="D17" s="448"/>
    </row>
    <row r="18" spans="1:4" x14ac:dyDescent="0.35">
      <c r="A18" s="436" t="s">
        <v>690</v>
      </c>
      <c r="B18" s="436" t="s">
        <v>705</v>
      </c>
      <c r="C18" s="657"/>
      <c r="D18" s="448"/>
    </row>
    <row r="19" spans="1:4" x14ac:dyDescent="0.35">
      <c r="A19" s="436" t="s">
        <v>690</v>
      </c>
      <c r="B19" s="436" t="s">
        <v>710</v>
      </c>
      <c r="C19" s="657"/>
      <c r="D19" s="448"/>
    </row>
    <row r="20" spans="1:4" x14ac:dyDescent="0.35">
      <c r="A20" s="436" t="s">
        <v>690</v>
      </c>
      <c r="B20" s="436" t="s">
        <v>707</v>
      </c>
      <c r="C20" s="657"/>
      <c r="D20" s="448"/>
    </row>
    <row r="21" spans="1:4" x14ac:dyDescent="0.35">
      <c r="A21" s="436" t="s">
        <v>690</v>
      </c>
      <c r="B21" s="436" t="s">
        <v>709</v>
      </c>
      <c r="C21" s="657"/>
      <c r="D21" s="448"/>
    </row>
    <row r="22" spans="1:4" x14ac:dyDescent="0.35">
      <c r="A22" s="436" t="s">
        <v>690</v>
      </c>
      <c r="B22" s="436" t="s">
        <v>708</v>
      </c>
      <c r="C22" s="657"/>
      <c r="D22" s="448"/>
    </row>
    <row r="23" spans="1:4" x14ac:dyDescent="0.35">
      <c r="A23" s="436" t="s">
        <v>690</v>
      </c>
      <c r="B23" s="436" t="s">
        <v>706</v>
      </c>
      <c r="C23" s="657"/>
      <c r="D23" s="799"/>
    </row>
    <row r="24" spans="1:4" x14ac:dyDescent="0.35">
      <c r="A24" s="436" t="s">
        <v>690</v>
      </c>
      <c r="B24" s="436" t="s">
        <v>956</v>
      </c>
      <c r="C24" s="657"/>
      <c r="D24" s="448"/>
    </row>
    <row r="25" spans="1:4" x14ac:dyDescent="0.35">
      <c r="A25" s="436" t="s">
        <v>683</v>
      </c>
      <c r="B25" s="436" t="s">
        <v>684</v>
      </c>
      <c r="C25" s="657"/>
      <c r="D25" s="448" t="s">
        <v>4490</v>
      </c>
    </row>
    <row r="26" spans="1:4" x14ac:dyDescent="0.35">
      <c r="A26" s="436" t="s">
        <v>850</v>
      </c>
      <c r="B26" s="436" t="s">
        <v>1943</v>
      </c>
      <c r="C26" s="657"/>
      <c r="D26" s="448"/>
    </row>
    <row r="27" spans="1:4" x14ac:dyDescent="0.35">
      <c r="A27" s="436" t="s">
        <v>1386</v>
      </c>
      <c r="B27" s="436" t="s">
        <v>3795</v>
      </c>
      <c r="D27" s="799"/>
    </row>
    <row r="28" spans="1:4" x14ac:dyDescent="0.35">
      <c r="A28" s="436" t="s">
        <v>850</v>
      </c>
      <c r="B28" s="436" t="s">
        <v>1944</v>
      </c>
      <c r="D28" s="799"/>
    </row>
    <row r="29" spans="1:4" x14ac:dyDescent="0.35">
      <c r="A29" s="436" t="s">
        <v>1386</v>
      </c>
      <c r="B29" s="436" t="s">
        <v>3796</v>
      </c>
      <c r="D29" s="799"/>
    </row>
    <row r="30" spans="1:4" x14ac:dyDescent="0.35">
      <c r="A30" s="436" t="s">
        <v>850</v>
      </c>
      <c r="B30" s="436" t="s">
        <v>1945</v>
      </c>
      <c r="D30" s="448"/>
    </row>
    <row r="31" spans="1:4" x14ac:dyDescent="0.35">
      <c r="A31" s="436" t="s">
        <v>1386</v>
      </c>
      <c r="B31" s="436" t="s">
        <v>3797</v>
      </c>
      <c r="D31" s="448"/>
    </row>
    <row r="32" spans="1:4" x14ac:dyDescent="0.35">
      <c r="A32" s="436" t="s">
        <v>850</v>
      </c>
      <c r="B32" s="436" t="s">
        <v>1946</v>
      </c>
      <c r="D32" s="448"/>
    </row>
    <row r="33" spans="1:4" x14ac:dyDescent="0.35">
      <c r="A33" s="436" t="s">
        <v>1386</v>
      </c>
      <c r="B33" s="436" t="s">
        <v>3798</v>
      </c>
      <c r="D33" s="799"/>
    </row>
    <row r="34" spans="1:4" x14ac:dyDescent="0.35">
      <c r="A34" s="436" t="s">
        <v>850</v>
      </c>
      <c r="B34" s="436" t="s">
        <v>1951</v>
      </c>
      <c r="D34" s="448"/>
    </row>
    <row r="35" spans="1:4" x14ac:dyDescent="0.35">
      <c r="A35" s="436" t="s">
        <v>1386</v>
      </c>
      <c r="B35" s="436" t="s">
        <v>3799</v>
      </c>
      <c r="D35" s="448"/>
    </row>
    <row r="36" spans="1:4" x14ac:dyDescent="0.35">
      <c r="A36" s="436" t="s">
        <v>850</v>
      </c>
      <c r="B36" s="436" t="s">
        <v>1948</v>
      </c>
      <c r="D36" s="448"/>
    </row>
    <row r="37" spans="1:4" x14ac:dyDescent="0.35">
      <c r="A37" s="436" t="s">
        <v>1386</v>
      </c>
      <c r="B37" s="436" t="s">
        <v>3801</v>
      </c>
      <c r="D37" s="799"/>
    </row>
    <row r="38" spans="1:4" x14ac:dyDescent="0.35">
      <c r="A38" s="436" t="s">
        <v>850</v>
      </c>
      <c r="B38" s="436" t="s">
        <v>1942</v>
      </c>
      <c r="D38" s="448"/>
    </row>
    <row r="39" spans="1:4" x14ac:dyDescent="0.35">
      <c r="A39" s="436" t="s">
        <v>1386</v>
      </c>
      <c r="B39" s="436" t="s">
        <v>3794</v>
      </c>
      <c r="D39" s="799"/>
    </row>
    <row r="40" spans="1:4" x14ac:dyDescent="0.35">
      <c r="A40" s="436" t="s">
        <v>850</v>
      </c>
      <c r="B40" s="436" t="s">
        <v>1949</v>
      </c>
      <c r="D40" s="799"/>
    </row>
    <row r="41" spans="1:4" x14ac:dyDescent="0.35">
      <c r="A41" s="436" t="s">
        <v>1386</v>
      </c>
      <c r="B41" s="436" t="s">
        <v>3802</v>
      </c>
      <c r="D41" s="799"/>
    </row>
    <row r="42" spans="1:4" x14ac:dyDescent="0.35">
      <c r="A42" s="436" t="s">
        <v>1386</v>
      </c>
      <c r="B42" s="436" t="s">
        <v>3803</v>
      </c>
      <c r="D42" s="448"/>
    </row>
    <row r="43" spans="1:4" x14ac:dyDescent="0.35">
      <c r="A43" s="436" t="s">
        <v>850</v>
      </c>
      <c r="B43" s="436" t="s">
        <v>1952</v>
      </c>
      <c r="D43" s="448"/>
    </row>
    <row r="44" spans="1:4" x14ac:dyDescent="0.35">
      <c r="A44" s="436" t="s">
        <v>1386</v>
      </c>
      <c r="B44" s="436" t="s">
        <v>3804</v>
      </c>
      <c r="D44" s="799"/>
    </row>
    <row r="45" spans="1:4" x14ac:dyDescent="0.35">
      <c r="A45" s="436" t="s">
        <v>850</v>
      </c>
      <c r="B45" s="436" t="s">
        <v>1947</v>
      </c>
      <c r="D45" s="448"/>
    </row>
    <row r="46" spans="1:4" x14ac:dyDescent="0.35">
      <c r="A46" s="436" t="s">
        <v>1386</v>
      </c>
      <c r="B46" s="436" t="s">
        <v>3800</v>
      </c>
      <c r="D46" s="799"/>
    </row>
    <row r="47" spans="1:4" x14ac:dyDescent="0.35">
      <c r="A47" s="436" t="s">
        <v>856</v>
      </c>
      <c r="B47" s="436" t="s">
        <v>1371</v>
      </c>
      <c r="D47" s="799"/>
    </row>
    <row r="48" spans="1:4" x14ac:dyDescent="0.35">
      <c r="A48" s="436" t="s">
        <v>856</v>
      </c>
      <c r="B48" s="436" t="s">
        <v>1380</v>
      </c>
      <c r="D48" s="799"/>
    </row>
    <row r="49" spans="1:4" x14ac:dyDescent="0.35">
      <c r="A49" s="436" t="s">
        <v>856</v>
      </c>
      <c r="B49" s="436" t="s">
        <v>1377</v>
      </c>
      <c r="D49" s="799"/>
    </row>
    <row r="50" spans="1:4" x14ac:dyDescent="0.35">
      <c r="A50" s="436" t="s">
        <v>882</v>
      </c>
      <c r="B50" s="436" t="s">
        <v>883</v>
      </c>
      <c r="D50" s="799"/>
    </row>
    <row r="51" spans="1:4" x14ac:dyDescent="0.35">
      <c r="A51" s="436" t="s">
        <v>856</v>
      </c>
      <c r="B51" s="436" t="s">
        <v>1349</v>
      </c>
      <c r="D51" s="448"/>
    </row>
    <row r="52" spans="1:4" x14ac:dyDescent="0.35">
      <c r="A52" s="436" t="s">
        <v>856</v>
      </c>
      <c r="B52" s="436" t="s">
        <v>1695</v>
      </c>
      <c r="D52" s="799"/>
    </row>
    <row r="53" spans="1:4" x14ac:dyDescent="0.35">
      <c r="A53" s="436" t="s">
        <v>856</v>
      </c>
      <c r="B53" s="436" t="s">
        <v>1378</v>
      </c>
      <c r="D53" s="799"/>
    </row>
    <row r="54" spans="1:4" x14ac:dyDescent="0.35">
      <c r="A54" s="436" t="s">
        <v>856</v>
      </c>
      <c r="B54" s="436" t="s">
        <v>1376</v>
      </c>
      <c r="D54" s="448"/>
    </row>
    <row r="55" spans="1:4" x14ac:dyDescent="0.35">
      <c r="A55" s="436" t="s">
        <v>856</v>
      </c>
      <c r="B55" s="436" t="s">
        <v>1372</v>
      </c>
      <c r="D55" s="448"/>
    </row>
    <row r="56" spans="1:4" x14ac:dyDescent="0.35">
      <c r="A56" s="436" t="s">
        <v>856</v>
      </c>
      <c r="B56" s="436" t="s">
        <v>4195</v>
      </c>
      <c r="D56" s="799"/>
    </row>
    <row r="57" spans="1:4" x14ac:dyDescent="0.35">
      <c r="A57" s="436" t="s">
        <v>856</v>
      </c>
      <c r="B57" s="436" t="s">
        <v>4200</v>
      </c>
      <c r="D57" s="448"/>
    </row>
    <row r="58" spans="1:4" x14ac:dyDescent="0.35">
      <c r="A58" s="436" t="s">
        <v>856</v>
      </c>
      <c r="B58" s="436" t="s">
        <v>4205</v>
      </c>
      <c r="D58" s="448"/>
    </row>
    <row r="59" spans="1:4" x14ac:dyDescent="0.35">
      <c r="A59" s="436" t="s">
        <v>856</v>
      </c>
      <c r="B59" s="436" t="s">
        <v>1375</v>
      </c>
      <c r="D59" s="810"/>
    </row>
    <row r="60" spans="1:4" x14ac:dyDescent="0.35">
      <c r="A60" s="436" t="s">
        <v>856</v>
      </c>
      <c r="B60" s="436" t="s">
        <v>4199</v>
      </c>
      <c r="D60" s="450"/>
    </row>
    <row r="61" spans="1:4" x14ac:dyDescent="0.35">
      <c r="A61" s="436" t="s">
        <v>856</v>
      </c>
      <c r="B61" s="436" t="s">
        <v>4204</v>
      </c>
      <c r="D61" s="810"/>
    </row>
    <row r="62" spans="1:4" x14ac:dyDescent="0.35">
      <c r="A62" s="436" t="s">
        <v>856</v>
      </c>
      <c r="B62" s="436" t="s">
        <v>4209</v>
      </c>
      <c r="D62" s="810"/>
    </row>
    <row r="63" spans="1:4" x14ac:dyDescent="0.35">
      <c r="A63" s="436" t="s">
        <v>856</v>
      </c>
      <c r="B63" s="436" t="s">
        <v>1374</v>
      </c>
      <c r="D63" s="450"/>
    </row>
    <row r="64" spans="1:4" x14ac:dyDescent="0.35">
      <c r="A64" s="436" t="s">
        <v>856</v>
      </c>
      <c r="B64" s="436" t="s">
        <v>4198</v>
      </c>
      <c r="D64" s="810"/>
    </row>
    <row r="65" spans="1:4" x14ac:dyDescent="0.35">
      <c r="A65" s="436" t="s">
        <v>856</v>
      </c>
      <c r="B65" s="436" t="s">
        <v>4203</v>
      </c>
      <c r="D65" s="810"/>
    </row>
    <row r="66" spans="1:4" x14ac:dyDescent="0.35">
      <c r="A66" s="436" t="s">
        <v>856</v>
      </c>
      <c r="B66" s="436" t="s">
        <v>4208</v>
      </c>
      <c r="D66" s="810"/>
    </row>
    <row r="67" spans="1:4" x14ac:dyDescent="0.35">
      <c r="A67" s="436" t="s">
        <v>856</v>
      </c>
      <c r="B67" s="436" t="s">
        <v>1373</v>
      </c>
      <c r="D67" s="659"/>
    </row>
    <row r="68" spans="1:4" x14ac:dyDescent="0.35">
      <c r="A68" s="436" t="s">
        <v>856</v>
      </c>
      <c r="B68" s="436" t="s">
        <v>4197</v>
      </c>
      <c r="D68" s="659"/>
    </row>
    <row r="69" spans="1:4" x14ac:dyDescent="0.35">
      <c r="A69" s="436" t="s">
        <v>856</v>
      </c>
      <c r="B69" s="436" t="s">
        <v>4202</v>
      </c>
      <c r="D69" s="659"/>
    </row>
    <row r="70" spans="1:4" x14ac:dyDescent="0.35">
      <c r="A70" s="436" t="s">
        <v>856</v>
      </c>
      <c r="B70" s="436" t="s">
        <v>4207</v>
      </c>
      <c r="D70" s="659"/>
    </row>
    <row r="71" spans="1:4" x14ac:dyDescent="0.35">
      <c r="A71" s="436" t="s">
        <v>856</v>
      </c>
      <c r="B71" s="436" t="s">
        <v>1379</v>
      </c>
      <c r="D71" s="799"/>
    </row>
    <row r="72" spans="1:4" x14ac:dyDescent="0.35">
      <c r="A72" s="436" t="s">
        <v>856</v>
      </c>
      <c r="B72" s="436" t="s">
        <v>858</v>
      </c>
      <c r="D72" s="799"/>
    </row>
    <row r="73" spans="1:4" x14ac:dyDescent="0.35">
      <c r="A73" s="436" t="s">
        <v>856</v>
      </c>
      <c r="B73" s="436" t="s">
        <v>1369</v>
      </c>
      <c r="D73" s="659"/>
    </row>
    <row r="74" spans="1:4" x14ac:dyDescent="0.35">
      <c r="A74" s="436" t="s">
        <v>856</v>
      </c>
      <c r="B74" s="436" t="s">
        <v>1365</v>
      </c>
      <c r="D74" s="659"/>
    </row>
    <row r="75" spans="1:4" x14ac:dyDescent="0.35">
      <c r="A75" s="436" t="s">
        <v>856</v>
      </c>
      <c r="B75" s="436" t="s">
        <v>1659</v>
      </c>
      <c r="D75" s="449"/>
    </row>
    <row r="76" spans="1:4" x14ac:dyDescent="0.35">
      <c r="A76" s="436" t="s">
        <v>856</v>
      </c>
      <c r="B76" s="436" t="s">
        <v>1366</v>
      </c>
      <c r="D76" s="659"/>
    </row>
    <row r="77" spans="1:4" x14ac:dyDescent="0.35">
      <c r="A77" s="436" t="s">
        <v>856</v>
      </c>
      <c r="B77" s="436" t="s">
        <v>1364</v>
      </c>
      <c r="D77" s="659"/>
    </row>
    <row r="78" spans="1:4" x14ac:dyDescent="0.35">
      <c r="A78" s="436" t="s">
        <v>856</v>
      </c>
      <c r="B78" s="436" t="s">
        <v>1368</v>
      </c>
      <c r="D78" s="659"/>
    </row>
    <row r="79" spans="1:4" x14ac:dyDescent="0.35">
      <c r="A79" s="436" t="s">
        <v>856</v>
      </c>
      <c r="B79" s="436" t="s">
        <v>1367</v>
      </c>
      <c r="D79" s="659"/>
    </row>
    <row r="80" spans="1:4" x14ac:dyDescent="0.35">
      <c r="A80" s="436" t="s">
        <v>856</v>
      </c>
      <c r="B80" s="436" t="s">
        <v>859</v>
      </c>
      <c r="D80" s="659"/>
    </row>
    <row r="81" spans="1:4" x14ac:dyDescent="0.35">
      <c r="A81" s="436" t="s">
        <v>856</v>
      </c>
      <c r="B81" s="436" t="s">
        <v>860</v>
      </c>
      <c r="D81" s="459"/>
    </row>
    <row r="82" spans="1:4" x14ac:dyDescent="0.35">
      <c r="A82" s="436" t="s">
        <v>856</v>
      </c>
      <c r="B82" s="436" t="s">
        <v>1370</v>
      </c>
      <c r="D82" s="659"/>
    </row>
    <row r="83" spans="1:4" x14ac:dyDescent="0.35">
      <c r="A83" s="436" t="s">
        <v>856</v>
      </c>
      <c r="B83" s="436" t="s">
        <v>861</v>
      </c>
      <c r="D83" s="448"/>
    </row>
    <row r="84" spans="1:4" x14ac:dyDescent="0.35">
      <c r="A84" s="436" t="s">
        <v>856</v>
      </c>
      <c r="B84" s="436" t="s">
        <v>1350</v>
      </c>
      <c r="D84" s="659"/>
    </row>
    <row r="85" spans="1:4" x14ac:dyDescent="0.35">
      <c r="A85" s="436" t="s">
        <v>856</v>
      </c>
      <c r="B85" s="436" t="s">
        <v>1356</v>
      </c>
      <c r="D85" s="799"/>
    </row>
    <row r="86" spans="1:4" x14ac:dyDescent="0.35">
      <c r="A86" s="436" t="s">
        <v>856</v>
      </c>
      <c r="B86" s="436" t="s">
        <v>1621</v>
      </c>
      <c r="D86" s="799"/>
    </row>
    <row r="87" spans="1:4" x14ac:dyDescent="0.35">
      <c r="A87" s="436" t="s">
        <v>1386</v>
      </c>
      <c r="B87" s="436" t="s">
        <v>1389</v>
      </c>
      <c r="D87" s="799"/>
    </row>
    <row r="88" spans="1:4" x14ac:dyDescent="0.35">
      <c r="A88" s="436" t="s">
        <v>1386</v>
      </c>
      <c r="B88" s="436" t="s">
        <v>1387</v>
      </c>
      <c r="D88" s="448"/>
    </row>
    <row r="89" spans="1:4" x14ac:dyDescent="0.35">
      <c r="A89" s="436" t="s">
        <v>901</v>
      </c>
      <c r="B89" s="436" t="s">
        <v>915</v>
      </c>
      <c r="D89" s="799"/>
    </row>
    <row r="90" spans="1:4" x14ac:dyDescent="0.35">
      <c r="A90" s="436" t="s">
        <v>901</v>
      </c>
      <c r="B90" s="436" t="s">
        <v>912</v>
      </c>
      <c r="D90" s="799"/>
    </row>
    <row r="91" spans="1:4" x14ac:dyDescent="0.35">
      <c r="A91" s="436" t="s">
        <v>901</v>
      </c>
      <c r="B91" s="436" t="s">
        <v>911</v>
      </c>
      <c r="D91" s="448"/>
    </row>
    <row r="92" spans="1:4" x14ac:dyDescent="0.35">
      <c r="A92" s="436" t="s">
        <v>901</v>
      </c>
      <c r="B92" s="436" t="s">
        <v>902</v>
      </c>
      <c r="D92" s="448"/>
    </row>
    <row r="93" spans="1:4" x14ac:dyDescent="0.35">
      <c r="A93" s="436" t="s">
        <v>901</v>
      </c>
      <c r="B93" s="436" t="s">
        <v>903</v>
      </c>
      <c r="D93" s="799"/>
    </row>
    <row r="94" spans="1:4" x14ac:dyDescent="0.35">
      <c r="A94" s="436" t="s">
        <v>901</v>
      </c>
      <c r="B94" s="436" t="s">
        <v>916</v>
      </c>
      <c r="D94" s="448"/>
    </row>
    <row r="95" spans="1:4" x14ac:dyDescent="0.35">
      <c r="A95" s="436" t="s">
        <v>901</v>
      </c>
      <c r="B95" s="436" t="s">
        <v>914</v>
      </c>
      <c r="D95" s="799"/>
    </row>
    <row r="96" spans="1:4" x14ac:dyDescent="0.35">
      <c r="A96" s="436" t="s">
        <v>901</v>
      </c>
      <c r="B96" s="436" t="s">
        <v>1669</v>
      </c>
      <c r="D96" s="799"/>
    </row>
    <row r="97" spans="1:4" x14ac:dyDescent="0.35">
      <c r="A97" s="436" t="s">
        <v>901</v>
      </c>
      <c r="B97" s="436" t="s">
        <v>1670</v>
      </c>
      <c r="D97" s="448"/>
    </row>
    <row r="98" spans="1:4" x14ac:dyDescent="0.35">
      <c r="A98" s="436" t="s">
        <v>901</v>
      </c>
      <c r="B98" s="436" t="s">
        <v>1673</v>
      </c>
      <c r="D98" s="799"/>
    </row>
    <row r="99" spans="1:4" x14ac:dyDescent="0.35">
      <c r="A99" s="436" t="s">
        <v>901</v>
      </c>
      <c r="B99" s="436" t="s">
        <v>1672</v>
      </c>
      <c r="D99" s="448"/>
    </row>
    <row r="100" spans="1:4" x14ac:dyDescent="0.35">
      <c r="A100" s="436" t="s">
        <v>901</v>
      </c>
      <c r="B100" s="436" t="s">
        <v>1671</v>
      </c>
      <c r="D100" s="448"/>
    </row>
    <row r="101" spans="1:4" x14ac:dyDescent="0.35">
      <c r="A101" s="436" t="s">
        <v>901</v>
      </c>
      <c r="B101" s="436" t="s">
        <v>904</v>
      </c>
      <c r="D101" s="799"/>
    </row>
    <row r="102" spans="1:4" x14ac:dyDescent="0.35">
      <c r="A102" s="436" t="s">
        <v>901</v>
      </c>
      <c r="B102" s="436" t="s">
        <v>905</v>
      </c>
      <c r="D102" s="448"/>
    </row>
    <row r="103" spans="1:4" x14ac:dyDescent="0.35">
      <c r="A103" s="436" t="s">
        <v>901</v>
      </c>
      <c r="B103" s="436" t="s">
        <v>908</v>
      </c>
      <c r="D103" s="799"/>
    </row>
    <row r="104" spans="1:4" x14ac:dyDescent="0.35">
      <c r="A104" s="436" t="s">
        <v>901</v>
      </c>
      <c r="B104" s="436" t="s">
        <v>917</v>
      </c>
      <c r="D104" s="799"/>
    </row>
    <row r="105" spans="1:4" x14ac:dyDescent="0.35">
      <c r="A105" s="436" t="s">
        <v>901</v>
      </c>
      <c r="B105" s="436" t="s">
        <v>910</v>
      </c>
      <c r="D105" s="448"/>
    </row>
    <row r="106" spans="1:4" x14ac:dyDescent="0.35">
      <c r="A106" s="436" t="s">
        <v>901</v>
      </c>
      <c r="B106" s="436" t="s">
        <v>907</v>
      </c>
      <c r="D106" s="448"/>
    </row>
    <row r="107" spans="1:4" x14ac:dyDescent="0.35">
      <c r="A107" s="436" t="s">
        <v>901</v>
      </c>
      <c r="B107" s="436" t="s">
        <v>909</v>
      </c>
      <c r="D107" s="799"/>
    </row>
    <row r="108" spans="1:4" x14ac:dyDescent="0.35">
      <c r="A108" s="436" t="s">
        <v>901</v>
      </c>
      <c r="B108" s="436" t="s">
        <v>913</v>
      </c>
      <c r="D108" s="448"/>
    </row>
    <row r="109" spans="1:4" x14ac:dyDescent="0.35">
      <c r="A109" s="436" t="s">
        <v>901</v>
      </c>
      <c r="B109" s="436" t="s">
        <v>906</v>
      </c>
      <c r="D109" s="448"/>
    </row>
    <row r="110" spans="1:4" x14ac:dyDescent="0.35">
      <c r="A110" s="436" t="s">
        <v>1386</v>
      </c>
      <c r="B110" s="436" t="s">
        <v>1388</v>
      </c>
      <c r="D110" s="448"/>
    </row>
    <row r="111" spans="1:4" x14ac:dyDescent="0.35">
      <c r="A111" s="436" t="s">
        <v>872</v>
      </c>
      <c r="B111" s="436" t="s">
        <v>1682</v>
      </c>
      <c r="D111" s="448"/>
    </row>
    <row r="112" spans="1:4" x14ac:dyDescent="0.35">
      <c r="A112" s="436" t="s">
        <v>872</v>
      </c>
      <c r="B112" s="436" t="s">
        <v>1688</v>
      </c>
      <c r="D112" s="448"/>
    </row>
    <row r="113" spans="1:4" x14ac:dyDescent="0.35">
      <c r="A113" s="436" t="s">
        <v>872</v>
      </c>
      <c r="B113" s="436" t="s">
        <v>1691</v>
      </c>
      <c r="D113" s="448"/>
    </row>
    <row r="114" spans="1:4" x14ac:dyDescent="0.35">
      <c r="A114" s="436" t="s">
        <v>882</v>
      </c>
      <c r="B114" s="436" t="s">
        <v>885</v>
      </c>
      <c r="D114" s="799"/>
    </row>
    <row r="115" spans="1:4" x14ac:dyDescent="0.35">
      <c r="A115" s="436" t="s">
        <v>872</v>
      </c>
      <c r="B115" s="436" t="s">
        <v>1687</v>
      </c>
      <c r="D115" s="799"/>
    </row>
    <row r="116" spans="1:4" x14ac:dyDescent="0.35">
      <c r="A116" s="436" t="s">
        <v>872</v>
      </c>
      <c r="B116" s="436" t="s">
        <v>1333</v>
      </c>
      <c r="D116" s="799"/>
    </row>
    <row r="117" spans="1:4" x14ac:dyDescent="0.35">
      <c r="A117" s="436" t="s">
        <v>872</v>
      </c>
      <c r="B117" s="436" t="s">
        <v>1689</v>
      </c>
      <c r="D117" s="799"/>
    </row>
    <row r="118" spans="1:4" x14ac:dyDescent="0.35">
      <c r="A118" s="436" t="s">
        <v>872</v>
      </c>
      <c r="B118" s="436" t="s">
        <v>1690</v>
      </c>
      <c r="D118" s="799"/>
    </row>
    <row r="119" spans="1:4" x14ac:dyDescent="0.35">
      <c r="A119" s="436" t="s">
        <v>872</v>
      </c>
      <c r="B119" s="436" t="s">
        <v>1683</v>
      </c>
      <c r="D119" s="799"/>
    </row>
    <row r="120" spans="1:4" x14ac:dyDescent="0.35">
      <c r="A120" s="436" t="s">
        <v>872</v>
      </c>
      <c r="B120" s="436" t="s">
        <v>1686</v>
      </c>
      <c r="D120" s="450"/>
    </row>
    <row r="121" spans="1:4" x14ac:dyDescent="0.35">
      <c r="A121" s="436" t="s">
        <v>872</v>
      </c>
      <c r="B121" s="436" t="s">
        <v>1685</v>
      </c>
      <c r="D121" s="810"/>
    </row>
    <row r="122" spans="1:4" x14ac:dyDescent="0.35">
      <c r="A122" s="436" t="s">
        <v>872</v>
      </c>
      <c r="B122" s="436" t="s">
        <v>1684</v>
      </c>
      <c r="D122" s="659"/>
    </row>
    <row r="123" spans="1:4" x14ac:dyDescent="0.35">
      <c r="A123" s="436" t="s">
        <v>872</v>
      </c>
      <c r="B123" s="436" t="s">
        <v>874</v>
      </c>
      <c r="D123" s="448"/>
    </row>
    <row r="124" spans="1:4" x14ac:dyDescent="0.35">
      <c r="A124" s="436" t="s">
        <v>872</v>
      </c>
      <c r="B124" s="436" t="s">
        <v>877</v>
      </c>
      <c r="D124" s="799"/>
    </row>
    <row r="125" spans="1:4" x14ac:dyDescent="0.35">
      <c r="A125" s="436" t="s">
        <v>1386</v>
      </c>
      <c r="B125" s="436" t="s">
        <v>1390</v>
      </c>
      <c r="D125" s="448"/>
    </row>
    <row r="126" spans="1:4" x14ac:dyDescent="0.35">
      <c r="A126" s="436" t="s">
        <v>1386</v>
      </c>
      <c r="B126" s="436" t="s">
        <v>1391</v>
      </c>
      <c r="D126" s="799"/>
    </row>
    <row r="127" spans="1:4" x14ac:dyDescent="0.35">
      <c r="A127" s="436" t="s">
        <v>685</v>
      </c>
      <c r="B127" s="436" t="s">
        <v>686</v>
      </c>
      <c r="D127" s="799" t="s">
        <v>4484</v>
      </c>
    </row>
    <row r="128" spans="1:4" x14ac:dyDescent="0.35">
      <c r="A128" s="436" t="s">
        <v>856</v>
      </c>
      <c r="B128" s="436" t="s">
        <v>1351</v>
      </c>
      <c r="D128" s="448"/>
    </row>
    <row r="129" spans="1:4" x14ac:dyDescent="0.35">
      <c r="A129" s="436" t="s">
        <v>856</v>
      </c>
      <c r="B129" s="436" t="s">
        <v>1352</v>
      </c>
      <c r="D129" s="448"/>
    </row>
    <row r="130" spans="1:4" x14ac:dyDescent="0.35">
      <c r="A130" s="436" t="s">
        <v>856</v>
      </c>
      <c r="B130" s="436" t="s">
        <v>1353</v>
      </c>
      <c r="D130" s="448"/>
    </row>
    <row r="131" spans="1:4" x14ac:dyDescent="0.35">
      <c r="A131" s="436" t="s">
        <v>856</v>
      </c>
      <c r="B131" s="436" t="s">
        <v>1354</v>
      </c>
      <c r="D131" s="799"/>
    </row>
    <row r="132" spans="1:4" x14ac:dyDescent="0.35">
      <c r="A132" s="436" t="s">
        <v>856</v>
      </c>
      <c r="B132" s="436" t="s">
        <v>1355</v>
      </c>
      <c r="D132" s="448"/>
    </row>
    <row r="133" spans="1:4" x14ac:dyDescent="0.35">
      <c r="A133" s="436" t="s">
        <v>1472</v>
      </c>
      <c r="B133" s="436" t="s">
        <v>1296</v>
      </c>
      <c r="D133" s="799"/>
    </row>
    <row r="134" spans="1:4" x14ac:dyDescent="0.35">
      <c r="A134" s="436" t="s">
        <v>856</v>
      </c>
      <c r="B134" s="436" t="s">
        <v>776</v>
      </c>
      <c r="D134" s="449"/>
    </row>
    <row r="135" spans="1:4" x14ac:dyDescent="0.35">
      <c r="A135" s="436" t="s">
        <v>856</v>
      </c>
      <c r="B135" s="436" t="s">
        <v>863</v>
      </c>
      <c r="D135" s="846"/>
    </row>
    <row r="136" spans="1:4" x14ac:dyDescent="0.35">
      <c r="A136" s="436" t="s">
        <v>856</v>
      </c>
      <c r="B136" s="436" t="s">
        <v>1358</v>
      </c>
      <c r="D136" s="449"/>
    </row>
    <row r="137" spans="1:4" x14ac:dyDescent="0.35">
      <c r="A137" s="436" t="s">
        <v>856</v>
      </c>
      <c r="B137" s="436" t="s">
        <v>1359</v>
      </c>
      <c r="D137" s="449"/>
    </row>
    <row r="138" spans="1:4" x14ac:dyDescent="0.35">
      <c r="A138" s="436" t="s">
        <v>856</v>
      </c>
      <c r="B138" s="436" t="s">
        <v>1360</v>
      </c>
      <c r="D138" s="449"/>
    </row>
    <row r="139" spans="1:4" x14ac:dyDescent="0.35">
      <c r="A139" s="436" t="s">
        <v>856</v>
      </c>
      <c r="B139" s="436" t="s">
        <v>1361</v>
      </c>
      <c r="D139" s="449"/>
    </row>
    <row r="140" spans="1:4" x14ac:dyDescent="0.35">
      <c r="A140" s="436" t="s">
        <v>856</v>
      </c>
      <c r="B140" s="436" t="s">
        <v>1362</v>
      </c>
      <c r="D140" s="449"/>
    </row>
    <row r="141" spans="1:4" x14ac:dyDescent="0.35">
      <c r="A141" s="436" t="s">
        <v>856</v>
      </c>
      <c r="B141" s="436" t="s">
        <v>1363</v>
      </c>
      <c r="D141" s="659"/>
    </row>
    <row r="142" spans="1:4" x14ac:dyDescent="0.35">
      <c r="A142" s="436" t="s">
        <v>856</v>
      </c>
      <c r="B142" s="436" t="s">
        <v>1357</v>
      </c>
      <c r="D142" s="659"/>
    </row>
    <row r="143" spans="1:4" x14ac:dyDescent="0.35">
      <c r="A143" s="436" t="s">
        <v>856</v>
      </c>
      <c r="B143" s="436" t="s">
        <v>1658</v>
      </c>
      <c r="D143" s="449"/>
    </row>
    <row r="144" spans="1:4" x14ac:dyDescent="0.35">
      <c r="A144" s="436" t="s">
        <v>856</v>
      </c>
      <c r="B144" s="436" t="s">
        <v>862</v>
      </c>
      <c r="D144" s="449"/>
    </row>
    <row r="145" spans="1:4" x14ac:dyDescent="0.35">
      <c r="A145" s="436" t="s">
        <v>872</v>
      </c>
      <c r="B145" s="436" t="s">
        <v>879</v>
      </c>
      <c r="D145" s="459"/>
    </row>
    <row r="146" spans="1:4" x14ac:dyDescent="0.35">
      <c r="A146" s="436" t="s">
        <v>872</v>
      </c>
      <c r="B146" s="436" t="s">
        <v>876</v>
      </c>
      <c r="D146" s="846"/>
    </row>
    <row r="147" spans="1:4" x14ac:dyDescent="0.35">
      <c r="A147" s="436" t="s">
        <v>872</v>
      </c>
      <c r="B147" s="436" t="s">
        <v>1334</v>
      </c>
      <c r="D147" s="448"/>
    </row>
    <row r="148" spans="1:4" x14ac:dyDescent="0.35">
      <c r="A148" s="436" t="s">
        <v>872</v>
      </c>
      <c r="B148" s="436" t="s">
        <v>1336</v>
      </c>
      <c r="D148" s="449"/>
    </row>
    <row r="149" spans="1:4" x14ac:dyDescent="0.35">
      <c r="A149" s="436" t="s">
        <v>872</v>
      </c>
      <c r="B149" s="436" t="s">
        <v>1337</v>
      </c>
      <c r="D149" s="449"/>
    </row>
    <row r="150" spans="1:4" x14ac:dyDescent="0.35">
      <c r="A150" s="436" t="s">
        <v>872</v>
      </c>
      <c r="B150" s="436" t="s">
        <v>1338</v>
      </c>
      <c r="D150" s="659"/>
    </row>
    <row r="151" spans="1:4" x14ac:dyDescent="0.35">
      <c r="A151" s="436" t="s">
        <v>872</v>
      </c>
      <c r="B151" s="436" t="s">
        <v>1339</v>
      </c>
      <c r="D151" s="449"/>
    </row>
    <row r="152" spans="1:4" x14ac:dyDescent="0.35">
      <c r="A152" s="436" t="s">
        <v>872</v>
      </c>
      <c r="B152" s="436" t="s">
        <v>1340</v>
      </c>
      <c r="D152" s="659"/>
    </row>
    <row r="153" spans="1:4" x14ac:dyDescent="0.35">
      <c r="A153" s="436" t="s">
        <v>872</v>
      </c>
      <c r="B153" s="436" t="s">
        <v>1341</v>
      </c>
      <c r="D153" s="449"/>
    </row>
    <row r="154" spans="1:4" x14ac:dyDescent="0.35">
      <c r="A154" s="436" t="s">
        <v>872</v>
      </c>
      <c r="B154" s="436" t="s">
        <v>1335</v>
      </c>
      <c r="D154" s="449"/>
    </row>
    <row r="155" spans="1:4" x14ac:dyDescent="0.35">
      <c r="A155" s="436" t="s">
        <v>872</v>
      </c>
      <c r="B155" s="436" t="s">
        <v>1680</v>
      </c>
      <c r="D155" s="449"/>
    </row>
    <row r="156" spans="1:4" x14ac:dyDescent="0.35">
      <c r="A156" s="436" t="s">
        <v>872</v>
      </c>
      <c r="B156" s="436" t="s">
        <v>878</v>
      </c>
      <c r="D156" s="449"/>
    </row>
    <row r="157" spans="1:4" x14ac:dyDescent="0.35">
      <c r="A157" s="436" t="s">
        <v>872</v>
      </c>
      <c r="B157" s="436" t="s">
        <v>1343</v>
      </c>
      <c r="D157" s="449"/>
    </row>
    <row r="158" spans="1:4" x14ac:dyDescent="0.35">
      <c r="A158" s="436" t="s">
        <v>872</v>
      </c>
      <c r="B158" s="436" t="s">
        <v>1344</v>
      </c>
      <c r="D158" s="659"/>
    </row>
    <row r="159" spans="1:4" x14ac:dyDescent="0.35">
      <c r="A159" s="436" t="s">
        <v>872</v>
      </c>
      <c r="B159" s="436" t="s">
        <v>1345</v>
      </c>
      <c r="D159" s="449"/>
    </row>
    <row r="160" spans="1:4" x14ac:dyDescent="0.35">
      <c r="A160" s="436" t="s">
        <v>872</v>
      </c>
      <c r="B160" s="436" t="s">
        <v>1346</v>
      </c>
      <c r="D160" s="449"/>
    </row>
    <row r="161" spans="1:4" x14ac:dyDescent="0.35">
      <c r="A161" s="436" t="s">
        <v>872</v>
      </c>
      <c r="B161" s="436" t="s">
        <v>1347</v>
      </c>
      <c r="D161" s="449"/>
    </row>
    <row r="162" spans="1:4" x14ac:dyDescent="0.35">
      <c r="A162" s="436" t="s">
        <v>872</v>
      </c>
      <c r="B162" s="436" t="s">
        <v>1348</v>
      </c>
      <c r="D162" s="449"/>
    </row>
    <row r="163" spans="1:4" x14ac:dyDescent="0.35">
      <c r="A163" s="436" t="s">
        <v>872</v>
      </c>
      <c r="B163" s="436" t="s">
        <v>1342</v>
      </c>
      <c r="D163" s="449"/>
    </row>
    <row r="164" spans="1:4" x14ac:dyDescent="0.35">
      <c r="A164" s="436" t="s">
        <v>872</v>
      </c>
      <c r="B164" s="436" t="s">
        <v>1681</v>
      </c>
      <c r="D164" s="659"/>
    </row>
    <row r="165" spans="1:4" x14ac:dyDescent="0.35">
      <c r="A165" s="436" t="s">
        <v>872</v>
      </c>
      <c r="B165" s="436" t="s">
        <v>875</v>
      </c>
      <c r="D165" s="449"/>
    </row>
    <row r="166" spans="1:4" x14ac:dyDescent="0.35">
      <c r="A166" s="436" t="s">
        <v>888</v>
      </c>
      <c r="B166" s="436" t="s">
        <v>893</v>
      </c>
      <c r="D166" s="571"/>
    </row>
    <row r="167" spans="1:4" x14ac:dyDescent="0.35">
      <c r="A167" s="436" t="s">
        <v>888</v>
      </c>
      <c r="B167" s="436" t="s">
        <v>889</v>
      </c>
      <c r="D167" s="571"/>
    </row>
    <row r="168" spans="1:4" x14ac:dyDescent="0.35">
      <c r="A168" s="436" t="s">
        <v>888</v>
      </c>
      <c r="B168" s="436" t="s">
        <v>890</v>
      </c>
      <c r="D168" s="448"/>
    </row>
    <row r="169" spans="1:4" x14ac:dyDescent="0.35">
      <c r="A169" s="436" t="s">
        <v>888</v>
      </c>
      <c r="B169" s="436" t="s">
        <v>4485</v>
      </c>
      <c r="D169" s="448"/>
    </row>
    <row r="170" spans="1:4" x14ac:dyDescent="0.35">
      <c r="A170" s="436" t="s">
        <v>882</v>
      </c>
      <c r="B170" s="436" t="s">
        <v>887</v>
      </c>
      <c r="D170" s="448"/>
    </row>
    <row r="171" spans="1:4" x14ac:dyDescent="0.35">
      <c r="A171" s="436" t="s">
        <v>888</v>
      </c>
      <c r="B171" s="436" t="s">
        <v>894</v>
      </c>
      <c r="D171" s="799"/>
    </row>
    <row r="172" spans="1:4" x14ac:dyDescent="0.35">
      <c r="A172" s="436" t="s">
        <v>888</v>
      </c>
      <c r="B172" s="436" t="s">
        <v>895</v>
      </c>
      <c r="D172" s="846"/>
    </row>
    <row r="173" spans="1:4" x14ac:dyDescent="0.35">
      <c r="A173" s="436" t="s">
        <v>888</v>
      </c>
      <c r="B173" s="436" t="s">
        <v>891</v>
      </c>
      <c r="D173" s="846"/>
    </row>
    <row r="174" spans="1:4" x14ac:dyDescent="0.35">
      <c r="A174" s="436" t="s">
        <v>888</v>
      </c>
      <c r="B174" s="436" t="s">
        <v>892</v>
      </c>
      <c r="D174" s="448"/>
    </row>
    <row r="175" spans="1:4" x14ac:dyDescent="0.35">
      <c r="A175" s="436" t="s">
        <v>864</v>
      </c>
      <c r="B175" s="436" t="s">
        <v>869</v>
      </c>
      <c r="D175" s="448"/>
    </row>
    <row r="176" spans="1:4" x14ac:dyDescent="0.35">
      <c r="A176" s="436" t="s">
        <v>864</v>
      </c>
      <c r="B176" s="436" t="s">
        <v>865</v>
      </c>
      <c r="D176" s="448"/>
    </row>
    <row r="177" spans="1:4" x14ac:dyDescent="0.35">
      <c r="A177" s="436" t="s">
        <v>864</v>
      </c>
      <c r="B177" s="436" t="s">
        <v>866</v>
      </c>
      <c r="D177" s="459"/>
    </row>
    <row r="178" spans="1:4" x14ac:dyDescent="0.35">
      <c r="A178" s="436" t="s">
        <v>864</v>
      </c>
      <c r="B178" s="436" t="s">
        <v>4486</v>
      </c>
      <c r="D178" s="459"/>
    </row>
    <row r="179" spans="1:4" x14ac:dyDescent="0.35">
      <c r="A179" s="436" t="s">
        <v>882</v>
      </c>
      <c r="B179" s="436" t="s">
        <v>884</v>
      </c>
      <c r="D179" s="799"/>
    </row>
    <row r="180" spans="1:4" x14ac:dyDescent="0.35">
      <c r="A180" s="436" t="s">
        <v>864</v>
      </c>
      <c r="B180" s="436" t="s">
        <v>870</v>
      </c>
      <c r="D180" s="459"/>
    </row>
    <row r="181" spans="1:4" x14ac:dyDescent="0.35">
      <c r="A181" s="436" t="s">
        <v>864</v>
      </c>
      <c r="B181" s="436" t="s">
        <v>871</v>
      </c>
      <c r="D181" s="459"/>
    </row>
    <row r="182" spans="1:4" x14ac:dyDescent="0.35">
      <c r="A182" s="436" t="s">
        <v>864</v>
      </c>
      <c r="B182" s="436" t="s">
        <v>867</v>
      </c>
      <c r="D182" s="846"/>
    </row>
    <row r="183" spans="1:4" x14ac:dyDescent="0.35">
      <c r="A183" s="436" t="s">
        <v>864</v>
      </c>
      <c r="B183" s="436" t="s">
        <v>868</v>
      </c>
      <c r="D183" s="448"/>
    </row>
    <row r="184" spans="1:4" x14ac:dyDescent="0.35">
      <c r="A184" s="436" t="s">
        <v>872</v>
      </c>
      <c r="B184" s="436" t="s">
        <v>873</v>
      </c>
      <c r="D184" s="448"/>
    </row>
    <row r="185" spans="1:4" x14ac:dyDescent="0.35">
      <c r="A185" s="436" t="s">
        <v>872</v>
      </c>
      <c r="B185" s="436" t="s">
        <v>4487</v>
      </c>
      <c r="D185" s="448"/>
    </row>
    <row r="186" spans="1:4" x14ac:dyDescent="0.35">
      <c r="A186" s="436" t="s">
        <v>856</v>
      </c>
      <c r="B186" s="436" t="s">
        <v>857</v>
      </c>
      <c r="D186" s="448"/>
    </row>
    <row r="187" spans="1:4" x14ac:dyDescent="0.35">
      <c r="A187" s="436" t="s">
        <v>856</v>
      </c>
      <c r="B187" s="436" t="s">
        <v>4488</v>
      </c>
      <c r="D187" s="459"/>
    </row>
    <row r="188" spans="1:4" x14ac:dyDescent="0.35">
      <c r="A188" s="436" t="s">
        <v>789</v>
      </c>
      <c r="B188" s="436" t="s">
        <v>790</v>
      </c>
      <c r="D188" s="459"/>
    </row>
    <row r="189" spans="1:4" x14ac:dyDescent="0.35">
      <c r="A189" s="436" t="s">
        <v>882</v>
      </c>
      <c r="B189" s="436" t="s">
        <v>886</v>
      </c>
      <c r="D189" s="448"/>
    </row>
    <row r="190" spans="1:4" x14ac:dyDescent="0.35">
      <c r="A190" s="436" t="s">
        <v>880</v>
      </c>
      <c r="B190" s="436" t="s">
        <v>881</v>
      </c>
      <c r="D190" s="846"/>
    </row>
    <row r="191" spans="1:4" x14ac:dyDescent="0.35">
      <c r="D191" s="459"/>
    </row>
    <row r="192" spans="1:4" x14ac:dyDescent="0.35">
      <c r="D192" s="846"/>
    </row>
    <row r="193" spans="4:4" x14ac:dyDescent="0.35">
      <c r="D193" s="846"/>
    </row>
    <row r="194" spans="4:4" x14ac:dyDescent="0.35">
      <c r="D194" s="846"/>
    </row>
    <row r="195" spans="4:4" x14ac:dyDescent="0.35">
      <c r="D195" s="448"/>
    </row>
    <row r="196" spans="4:4" x14ac:dyDescent="0.35">
      <c r="D196" s="448"/>
    </row>
    <row r="197" spans="4:4" x14ac:dyDescent="0.35">
      <c r="D197" s="448"/>
    </row>
    <row r="198" spans="4:4" x14ac:dyDescent="0.35">
      <c r="D198" s="799"/>
    </row>
    <row r="199" spans="4:4" x14ac:dyDescent="0.35">
      <c r="D199" s="571"/>
    </row>
    <row r="200" spans="4:4" x14ac:dyDescent="0.35">
      <c r="D200" s="571"/>
    </row>
    <row r="201" spans="4:4" x14ac:dyDescent="0.35">
      <c r="D201" s="571"/>
    </row>
    <row r="202" spans="4:4" x14ac:dyDescent="0.35">
      <c r="D202" s="571"/>
    </row>
    <row r="203" spans="4:4" x14ac:dyDescent="0.35">
      <c r="D203" s="846"/>
    </row>
    <row r="204" spans="4:4" x14ac:dyDescent="0.35">
      <c r="D204" s="459"/>
    </row>
    <row r="205" spans="4:4" x14ac:dyDescent="0.35">
      <c r="D205" s="459"/>
    </row>
    <row r="206" spans="4:4" x14ac:dyDescent="0.35">
      <c r="D206" s="448"/>
    </row>
    <row r="207" spans="4:4" x14ac:dyDescent="0.35">
      <c r="D207" s="448"/>
    </row>
    <row r="208" spans="4:4" x14ac:dyDescent="0.35">
      <c r="D208" s="448"/>
    </row>
    <row r="209" spans="4:4" x14ac:dyDescent="0.35">
      <c r="D209" s="799"/>
    </row>
    <row r="210" spans="4:4" x14ac:dyDescent="0.35">
      <c r="D210" s="846"/>
    </row>
    <row r="211" spans="4:4" x14ac:dyDescent="0.35">
      <c r="D211" s="448"/>
    </row>
    <row r="212" spans="4:4" x14ac:dyDescent="0.35">
      <c r="D212" s="449"/>
    </row>
    <row r="213" spans="4:4" x14ac:dyDescent="0.35">
      <c r="D213" s="449"/>
    </row>
    <row r="214" spans="4:4" x14ac:dyDescent="0.35">
      <c r="D214" s="449"/>
    </row>
    <row r="215" spans="4:4" x14ac:dyDescent="0.35">
      <c r="D215" s="449"/>
    </row>
    <row r="216" spans="4:4" x14ac:dyDescent="0.35">
      <c r="D216" s="449"/>
    </row>
    <row r="217" spans="4:4" x14ac:dyDescent="0.35">
      <c r="D217" s="448"/>
    </row>
    <row r="218" spans="4:4" x14ac:dyDescent="0.35">
      <c r="D218" s="799"/>
    </row>
    <row r="219" spans="4:4" x14ac:dyDescent="0.35">
      <c r="D219" s="799"/>
    </row>
    <row r="220" spans="4:4" x14ac:dyDescent="0.35">
      <c r="D220" s="448"/>
    </row>
    <row r="221" spans="4:4" x14ac:dyDescent="0.35">
      <c r="D221" s="448"/>
    </row>
    <row r="222" spans="4:4" x14ac:dyDescent="0.35">
      <c r="D222" s="450"/>
    </row>
    <row r="223" spans="4:4" x14ac:dyDescent="0.35">
      <c r="D223" s="450"/>
    </row>
    <row r="224" spans="4:4" x14ac:dyDescent="0.35">
      <c r="D224" s="810"/>
    </row>
    <row r="225" spans="4:4" x14ac:dyDescent="0.35">
      <c r="D225" s="450"/>
    </row>
    <row r="226" spans="4:4" x14ac:dyDescent="0.35">
      <c r="D226" s="450"/>
    </row>
    <row r="227" spans="4:4" x14ac:dyDescent="0.35">
      <c r="D227" s="799"/>
    </row>
    <row r="228" spans="4:4" x14ac:dyDescent="0.35">
      <c r="D228" s="449"/>
    </row>
    <row r="229" spans="4:4" x14ac:dyDescent="0.35">
      <c r="D229" s="448"/>
    </row>
    <row r="230" spans="4:4" x14ac:dyDescent="0.35">
      <c r="D230" s="459"/>
    </row>
    <row r="231" spans="4:4" x14ac:dyDescent="0.35">
      <c r="D231" s="449"/>
    </row>
    <row r="232" spans="4:4" x14ac:dyDescent="0.35">
      <c r="D232" s="448"/>
    </row>
    <row r="233" spans="4:4" x14ac:dyDescent="0.35">
      <c r="D233" s="799"/>
    </row>
    <row r="234" spans="4:4" x14ac:dyDescent="0.35">
      <c r="D234" s="799"/>
    </row>
    <row r="235" spans="4:4" x14ac:dyDescent="0.35">
      <c r="D235" s="448"/>
    </row>
    <row r="236" spans="4:4" x14ac:dyDescent="0.35">
      <c r="D236" s="448"/>
    </row>
    <row r="237" spans="4:4" x14ac:dyDescent="0.35">
      <c r="D237" s="448"/>
    </row>
    <row r="238" spans="4:4" x14ac:dyDescent="0.35">
      <c r="D238" s="448"/>
    </row>
    <row r="239" spans="4:4" x14ac:dyDescent="0.35">
      <c r="D239" s="847"/>
    </row>
    <row r="240" spans="4:4" x14ac:dyDescent="0.35">
      <c r="D240" s="448"/>
    </row>
    <row r="241" spans="4:4" x14ac:dyDescent="0.35">
      <c r="D241" s="799"/>
    </row>
    <row r="242" spans="4:4" x14ac:dyDescent="0.35">
      <c r="D242" s="450"/>
    </row>
    <row r="243" spans="4:4" x14ac:dyDescent="0.35">
      <c r="D243" s="448"/>
    </row>
    <row r="244" spans="4:4" x14ac:dyDescent="0.35">
      <c r="D244" s="448"/>
    </row>
    <row r="245" spans="4:4" x14ac:dyDescent="0.35">
      <c r="D245" s="450"/>
    </row>
    <row r="246" spans="4:4" x14ac:dyDescent="0.35">
      <c r="D246" s="448"/>
    </row>
    <row r="247" spans="4:4" x14ac:dyDescent="0.35">
      <c r="D247" s="448"/>
    </row>
    <row r="248" spans="4:4" x14ac:dyDescent="0.35">
      <c r="D248" s="448"/>
    </row>
    <row r="249" spans="4:4" x14ac:dyDescent="0.35">
      <c r="D249" s="450"/>
    </row>
    <row r="250" spans="4:4" x14ac:dyDescent="0.35">
      <c r="D250" s="449"/>
    </row>
    <row r="251" spans="4:4" x14ac:dyDescent="0.35">
      <c r="D251" s="846"/>
    </row>
    <row r="252" spans="4:4" x14ac:dyDescent="0.35">
      <c r="D252" s="449"/>
    </row>
    <row r="253" spans="4:4" x14ac:dyDescent="0.35">
      <c r="D253" s="448"/>
    </row>
    <row r="254" spans="4:4" x14ac:dyDescent="0.35">
      <c r="D254" s="449"/>
    </row>
    <row r="255" spans="4:4" x14ac:dyDescent="0.35">
      <c r="D255" s="659"/>
    </row>
    <row r="256" spans="4:4" x14ac:dyDescent="0.35">
      <c r="D256" s="449"/>
    </row>
    <row r="257" spans="4:4" x14ac:dyDescent="0.35">
      <c r="D257" s="449"/>
    </row>
    <row r="258" spans="4:4" x14ac:dyDescent="0.35">
      <c r="D258" s="449"/>
    </row>
    <row r="259" spans="4:4" x14ac:dyDescent="0.35">
      <c r="D259" s="449"/>
    </row>
    <row r="260" spans="4:4" x14ac:dyDescent="0.35">
      <c r="D260" s="449"/>
    </row>
    <row r="261" spans="4:4" x14ac:dyDescent="0.35">
      <c r="D261" s="449"/>
    </row>
    <row r="262" spans="4:4" x14ac:dyDescent="0.35">
      <c r="D262" s="449"/>
    </row>
    <row r="263" spans="4:4" x14ac:dyDescent="0.35">
      <c r="D263" s="659"/>
    </row>
    <row r="264" spans="4:4" x14ac:dyDescent="0.35">
      <c r="D264" s="449"/>
    </row>
    <row r="265" spans="4:4" x14ac:dyDescent="0.35">
      <c r="D265" s="449"/>
    </row>
    <row r="266" spans="4:4" x14ac:dyDescent="0.35">
      <c r="D266" s="459"/>
    </row>
    <row r="267" spans="4:4" x14ac:dyDescent="0.35">
      <c r="D267" s="459"/>
    </row>
    <row r="268" spans="4:4" x14ac:dyDescent="0.35">
      <c r="D268" s="459"/>
    </row>
    <row r="269" spans="4:4" x14ac:dyDescent="0.35">
      <c r="D269" s="459"/>
    </row>
    <row r="270" spans="4:4" x14ac:dyDescent="0.35">
      <c r="D270" s="459"/>
    </row>
    <row r="271" spans="4:4" x14ac:dyDescent="0.35">
      <c r="D271" s="459"/>
    </row>
    <row r="272" spans="4:4" x14ac:dyDescent="0.35">
      <c r="D272" s="449"/>
    </row>
    <row r="273" spans="4:4" x14ac:dyDescent="0.35">
      <c r="D273" s="449"/>
    </row>
    <row r="274" spans="4:4" x14ac:dyDescent="0.35">
      <c r="D274" s="449"/>
    </row>
    <row r="275" spans="4:4" x14ac:dyDescent="0.35">
      <c r="D275" s="449"/>
    </row>
    <row r="276" spans="4:4" x14ac:dyDescent="0.35">
      <c r="D276" s="449"/>
    </row>
    <row r="277" spans="4:4" x14ac:dyDescent="0.35">
      <c r="D277" s="449"/>
    </row>
    <row r="278" spans="4:4" x14ac:dyDescent="0.35">
      <c r="D278" s="448"/>
    </row>
    <row r="279" spans="4:4" x14ac:dyDescent="0.35">
      <c r="D279" s="570"/>
    </row>
    <row r="280" spans="4:4" x14ac:dyDescent="0.35">
      <c r="D280" s="570"/>
    </row>
    <row r="281" spans="4:4" x14ac:dyDescent="0.35">
      <c r="D281" s="570"/>
    </row>
    <row r="282" spans="4:4" x14ac:dyDescent="0.35">
      <c r="D282" s="570"/>
    </row>
    <row r="283" spans="4:4" x14ac:dyDescent="0.35">
      <c r="D283" s="570"/>
    </row>
    <row r="284" spans="4:4" x14ac:dyDescent="0.35">
      <c r="D284" s="570"/>
    </row>
    <row r="285" spans="4:4" x14ac:dyDescent="0.35">
      <c r="D285" s="449"/>
    </row>
    <row r="286" spans="4:4" x14ac:dyDescent="0.35">
      <c r="D286" s="570"/>
    </row>
    <row r="287" spans="4:4" x14ac:dyDescent="0.35">
      <c r="D287" s="448"/>
    </row>
    <row r="288" spans="4:4" x14ac:dyDescent="0.35">
      <c r="D288" s="570"/>
    </row>
    <row r="289" spans="4:4" x14ac:dyDescent="0.35">
      <c r="D289" s="449"/>
    </row>
    <row r="290" spans="4:4" x14ac:dyDescent="0.35">
      <c r="D290" s="448"/>
    </row>
    <row r="291" spans="4:4" x14ac:dyDescent="0.35">
      <c r="D291" s="448"/>
    </row>
    <row r="292" spans="4:4" x14ac:dyDescent="0.35">
      <c r="D292" s="450"/>
    </row>
    <row r="293" spans="4:4" x14ac:dyDescent="0.35">
      <c r="D293" s="799"/>
    </row>
    <row r="294" spans="4:4" x14ac:dyDescent="0.35">
      <c r="D294" s="799"/>
    </row>
    <row r="295" spans="4:4" x14ac:dyDescent="0.35">
      <c r="D295" s="448"/>
    </row>
    <row r="296" spans="4:4" x14ac:dyDescent="0.35">
      <c r="D296" s="448"/>
    </row>
    <row r="297" spans="4:4" x14ac:dyDescent="0.35">
      <c r="D297" s="448"/>
    </row>
    <row r="298" spans="4:4" x14ac:dyDescent="0.35">
      <c r="D298" s="448"/>
    </row>
    <row r="299" spans="4:4" x14ac:dyDescent="0.35">
      <c r="D299" s="448"/>
    </row>
    <row r="300" spans="4:4" x14ac:dyDescent="0.35">
      <c r="D300" s="448"/>
    </row>
    <row r="301" spans="4:4" x14ac:dyDescent="0.35">
      <c r="D301" s="448"/>
    </row>
    <row r="302" spans="4:4" x14ac:dyDescent="0.35">
      <c r="D302" s="448"/>
    </row>
    <row r="303" spans="4:4" x14ac:dyDescent="0.35">
      <c r="D303" s="448"/>
    </row>
    <row r="304" spans="4:4" x14ac:dyDescent="0.35">
      <c r="D304" s="448"/>
    </row>
    <row r="305" spans="4:4" x14ac:dyDescent="0.35">
      <c r="D305" s="448"/>
    </row>
    <row r="306" spans="4:4" x14ac:dyDescent="0.35">
      <c r="D306" s="448"/>
    </row>
    <row r="307" spans="4:4" x14ac:dyDescent="0.35">
      <c r="D307" s="448"/>
    </row>
    <row r="308" spans="4:4" x14ac:dyDescent="0.35">
      <c r="D308" s="448"/>
    </row>
    <row r="309" spans="4:4" x14ac:dyDescent="0.35">
      <c r="D309" s="448"/>
    </row>
    <row r="310" spans="4:4" x14ac:dyDescent="0.35">
      <c r="D310" s="448"/>
    </row>
    <row r="311" spans="4:4" x14ac:dyDescent="0.35">
      <c r="D311" s="448"/>
    </row>
    <row r="312" spans="4:4" x14ac:dyDescent="0.35">
      <c r="D312" s="799"/>
    </row>
    <row r="313" spans="4:4" x14ac:dyDescent="0.35">
      <c r="D313" s="448"/>
    </row>
    <row r="314" spans="4:4" x14ac:dyDescent="0.35">
      <c r="D314" s="448"/>
    </row>
    <row r="315" spans="4:4" x14ac:dyDescent="0.35">
      <c r="D315" s="448"/>
    </row>
    <row r="316" spans="4:4" x14ac:dyDescent="0.35">
      <c r="D316" s="799"/>
    </row>
    <row r="317" spans="4:4" x14ac:dyDescent="0.35">
      <c r="D317" s="448"/>
    </row>
    <row r="318" spans="4:4" x14ac:dyDescent="0.35">
      <c r="D318" s="448"/>
    </row>
    <row r="319" spans="4:4" x14ac:dyDescent="0.35">
      <c r="D319" s="448"/>
    </row>
    <row r="320" spans="4:4" x14ac:dyDescent="0.35">
      <c r="D320" s="448"/>
    </row>
    <row r="321" spans="4:4" x14ac:dyDescent="0.35">
      <c r="D321" s="448"/>
    </row>
    <row r="322" spans="4:4" x14ac:dyDescent="0.35">
      <c r="D322" s="448"/>
    </row>
    <row r="323" spans="4:4" x14ac:dyDescent="0.35">
      <c r="D323" s="448"/>
    </row>
    <row r="324" spans="4:4" x14ac:dyDescent="0.35">
      <c r="D324" s="448"/>
    </row>
    <row r="325" spans="4:4" x14ac:dyDescent="0.35">
      <c r="D325" s="448"/>
    </row>
    <row r="326" spans="4:4" x14ac:dyDescent="0.35">
      <c r="D326" s="448"/>
    </row>
    <row r="327" spans="4:4" x14ac:dyDescent="0.35">
      <c r="D327" s="799"/>
    </row>
    <row r="328" spans="4:4" x14ac:dyDescent="0.35">
      <c r="D328" s="448"/>
    </row>
    <row r="329" spans="4:4" x14ac:dyDescent="0.35">
      <c r="D329" s="450"/>
    </row>
    <row r="330" spans="4:4" x14ac:dyDescent="0.35">
      <c r="D330" s="450"/>
    </row>
    <row r="331" spans="4:4" x14ac:dyDescent="0.35">
      <c r="D331" s="450"/>
    </row>
    <row r="332" spans="4:4" x14ac:dyDescent="0.35">
      <c r="D332" s="810"/>
    </row>
    <row r="333" spans="4:4" x14ac:dyDescent="0.35">
      <c r="D333" s="450"/>
    </row>
    <row r="334" spans="4:4" x14ac:dyDescent="0.35">
      <c r="D334" s="450"/>
    </row>
    <row r="335" spans="4:4" x14ac:dyDescent="0.35">
      <c r="D335" s="450"/>
    </row>
    <row r="336" spans="4:4" x14ac:dyDescent="0.35">
      <c r="D336" s="449"/>
    </row>
    <row r="337" spans="4:4" x14ac:dyDescent="0.35">
      <c r="D337" s="449"/>
    </row>
    <row r="338" spans="4:4" x14ac:dyDescent="0.35">
      <c r="D338" s="449"/>
    </row>
    <row r="339" spans="4:4" x14ac:dyDescent="0.35">
      <c r="D339" s="449"/>
    </row>
    <row r="340" spans="4:4" x14ac:dyDescent="0.35">
      <c r="D340" s="449"/>
    </row>
    <row r="341" spans="4:4" x14ac:dyDescent="0.35">
      <c r="D341" s="448"/>
    </row>
    <row r="342" spans="4:4" x14ac:dyDescent="0.35">
      <c r="D342" s="448"/>
    </row>
    <row r="343" spans="4:4" x14ac:dyDescent="0.35">
      <c r="D343" s="449"/>
    </row>
    <row r="344" spans="4:4" x14ac:dyDescent="0.35">
      <c r="D344" s="448"/>
    </row>
    <row r="345" spans="4:4" x14ac:dyDescent="0.35">
      <c r="D345" s="448"/>
    </row>
    <row r="346" spans="4:4" x14ac:dyDescent="0.35">
      <c r="D346" s="449"/>
    </row>
    <row r="347" spans="4:4" x14ac:dyDescent="0.35">
      <c r="D347" s="449"/>
    </row>
    <row r="348" spans="4:4" x14ac:dyDescent="0.35">
      <c r="D348" s="449"/>
    </row>
    <row r="349" spans="4:4" x14ac:dyDescent="0.35">
      <c r="D349" s="449"/>
    </row>
    <row r="350" spans="4:4" x14ac:dyDescent="0.35">
      <c r="D350" s="449"/>
    </row>
    <row r="351" spans="4:4" x14ac:dyDescent="0.35">
      <c r="D351" s="449"/>
    </row>
    <row r="352" spans="4:4" x14ac:dyDescent="0.35">
      <c r="D352" s="449"/>
    </row>
    <row r="353" spans="4:4" x14ac:dyDescent="0.35">
      <c r="D353" s="459"/>
    </row>
    <row r="354" spans="4:4" x14ac:dyDescent="0.35">
      <c r="D354" s="449"/>
    </row>
    <row r="355" spans="4:4" x14ac:dyDescent="0.35">
      <c r="D355" s="449"/>
    </row>
    <row r="356" spans="4:4" x14ac:dyDescent="0.35">
      <c r="D356" s="449"/>
    </row>
    <row r="357" spans="4:4" x14ac:dyDescent="0.35">
      <c r="D357" s="448"/>
    </row>
    <row r="358" spans="4:4" x14ac:dyDescent="0.35">
      <c r="D358" s="448"/>
    </row>
    <row r="359" spans="4:4" x14ac:dyDescent="0.35">
      <c r="D359" s="448"/>
    </row>
    <row r="360" spans="4:4" x14ac:dyDescent="0.35">
      <c r="D360" s="448"/>
    </row>
    <row r="361" spans="4:4" x14ac:dyDescent="0.35">
      <c r="D361" s="448"/>
    </row>
    <row r="362" spans="4:4" x14ac:dyDescent="0.35">
      <c r="D362" s="448"/>
    </row>
    <row r="363" spans="4:4" x14ac:dyDescent="0.35">
      <c r="D363" s="448"/>
    </row>
    <row r="364" spans="4:4" x14ac:dyDescent="0.35">
      <c r="D364" s="448"/>
    </row>
    <row r="365" spans="4:4" x14ac:dyDescent="0.35">
      <c r="D365" s="448"/>
    </row>
    <row r="366" spans="4:4" x14ac:dyDescent="0.35">
      <c r="D366" s="448"/>
    </row>
    <row r="367" spans="4:4" x14ac:dyDescent="0.35">
      <c r="D367" s="448"/>
    </row>
    <row r="368" spans="4:4" x14ac:dyDescent="0.35">
      <c r="D368" s="448"/>
    </row>
    <row r="369" spans="4:4" x14ac:dyDescent="0.35">
      <c r="D369" s="448"/>
    </row>
    <row r="370" spans="4:4" x14ac:dyDescent="0.35">
      <c r="D370" s="448"/>
    </row>
    <row r="371" spans="4:4" x14ac:dyDescent="0.35">
      <c r="D371" s="448"/>
    </row>
    <row r="372" spans="4:4" x14ac:dyDescent="0.35">
      <c r="D372" s="448"/>
    </row>
    <row r="373" spans="4:4" x14ac:dyDescent="0.35">
      <c r="D373" s="448"/>
    </row>
    <row r="374" spans="4:4" x14ac:dyDescent="0.35">
      <c r="D374" s="448"/>
    </row>
    <row r="375" spans="4:4" x14ac:dyDescent="0.35">
      <c r="D375" s="448"/>
    </row>
    <row r="376" spans="4:4" x14ac:dyDescent="0.35">
      <c r="D376" s="448"/>
    </row>
    <row r="377" spans="4:4" x14ac:dyDescent="0.35">
      <c r="D377" s="448"/>
    </row>
    <row r="378" spans="4:4" x14ac:dyDescent="0.35">
      <c r="D378" s="448"/>
    </row>
    <row r="379" spans="4:4" x14ac:dyDescent="0.35">
      <c r="D379" s="448"/>
    </row>
    <row r="380" spans="4:4" x14ac:dyDescent="0.35">
      <c r="D380" s="448"/>
    </row>
    <row r="381" spans="4:4" x14ac:dyDescent="0.35">
      <c r="D381" s="448"/>
    </row>
    <row r="382" spans="4:4" x14ac:dyDescent="0.35">
      <c r="D382" s="448"/>
    </row>
    <row r="383" spans="4:4" x14ac:dyDescent="0.35">
      <c r="D383" s="448"/>
    </row>
    <row r="384" spans="4:4" x14ac:dyDescent="0.35">
      <c r="D384" s="448"/>
    </row>
    <row r="385" spans="4:4" x14ac:dyDescent="0.35">
      <c r="D385" s="448"/>
    </row>
    <row r="386" spans="4:4" x14ac:dyDescent="0.35">
      <c r="D386" s="448"/>
    </row>
    <row r="387" spans="4:4" x14ac:dyDescent="0.35">
      <c r="D387" s="448"/>
    </row>
    <row r="388" spans="4:4" x14ac:dyDescent="0.35">
      <c r="D388" s="799"/>
    </row>
    <row r="389" spans="4:4" x14ac:dyDescent="0.35">
      <c r="D389" s="448"/>
    </row>
    <row r="390" spans="4:4" x14ac:dyDescent="0.35">
      <c r="D390" s="448"/>
    </row>
    <row r="391" spans="4:4" x14ac:dyDescent="0.35">
      <c r="D391" s="448"/>
    </row>
    <row r="392" spans="4:4" x14ac:dyDescent="0.35">
      <c r="D392" s="448"/>
    </row>
    <row r="393" spans="4:4" x14ac:dyDescent="0.35">
      <c r="D393" s="799"/>
    </row>
    <row r="394" spans="4:4" x14ac:dyDescent="0.35">
      <c r="D394" s="448"/>
    </row>
    <row r="395" spans="4:4" x14ac:dyDescent="0.35">
      <c r="D395" s="448"/>
    </row>
    <row r="396" spans="4:4" x14ac:dyDescent="0.35">
      <c r="D396" s="448"/>
    </row>
    <row r="397" spans="4:4" x14ac:dyDescent="0.35">
      <c r="D397" s="448"/>
    </row>
    <row r="398" spans="4:4" x14ac:dyDescent="0.35">
      <c r="D398" s="448"/>
    </row>
    <row r="399" spans="4:4" x14ac:dyDescent="0.35">
      <c r="D399" s="448"/>
    </row>
    <row r="400" spans="4:4" x14ac:dyDescent="0.35">
      <c r="D400" s="799"/>
    </row>
    <row r="401" spans="4:4" x14ac:dyDescent="0.35">
      <c r="D401" s="448"/>
    </row>
    <row r="402" spans="4:4" x14ac:dyDescent="0.35">
      <c r="D402" s="448"/>
    </row>
    <row r="403" spans="4:4" x14ac:dyDescent="0.35">
      <c r="D403" s="448"/>
    </row>
    <row r="404" spans="4:4" x14ac:dyDescent="0.35">
      <c r="D404" s="448"/>
    </row>
    <row r="405" spans="4:4" x14ac:dyDescent="0.35">
      <c r="D405" s="448"/>
    </row>
    <row r="406" spans="4:4" x14ac:dyDescent="0.35">
      <c r="D406" s="448"/>
    </row>
    <row r="407" spans="4:4" x14ac:dyDescent="0.35">
      <c r="D407" s="448"/>
    </row>
    <row r="408" spans="4:4" x14ac:dyDescent="0.35">
      <c r="D408" s="448"/>
    </row>
    <row r="409" spans="4:4" x14ac:dyDescent="0.35">
      <c r="D409" s="448"/>
    </row>
    <row r="410" spans="4:4" x14ac:dyDescent="0.35">
      <c r="D410" s="448"/>
    </row>
    <row r="411" spans="4:4" x14ac:dyDescent="0.35">
      <c r="D411" s="448"/>
    </row>
    <row r="412" spans="4:4" x14ac:dyDescent="0.35">
      <c r="D412" s="799"/>
    </row>
    <row r="413" spans="4:4" x14ac:dyDescent="0.35">
      <c r="D413" s="448"/>
    </row>
    <row r="414" spans="4:4" x14ac:dyDescent="0.35">
      <c r="D414" s="799"/>
    </row>
    <row r="415" spans="4:4" x14ac:dyDescent="0.35">
      <c r="D415" s="799"/>
    </row>
    <row r="416" spans="4:4" x14ac:dyDescent="0.35">
      <c r="D416" s="448"/>
    </row>
    <row r="417" spans="4:4" x14ac:dyDescent="0.35">
      <c r="D417" s="448"/>
    </row>
    <row r="418" spans="4:4" x14ac:dyDescent="0.35">
      <c r="D418" s="448"/>
    </row>
    <row r="419" spans="4:4" x14ac:dyDescent="0.35">
      <c r="D419" s="448"/>
    </row>
    <row r="420" spans="4:4" x14ac:dyDescent="0.35">
      <c r="D420" s="448"/>
    </row>
    <row r="421" spans="4:4" x14ac:dyDescent="0.35">
      <c r="D421" s="448"/>
    </row>
    <row r="422" spans="4:4" x14ac:dyDescent="0.35">
      <c r="D422" s="448"/>
    </row>
    <row r="423" spans="4:4" x14ac:dyDescent="0.35">
      <c r="D423" s="459"/>
    </row>
    <row r="424" spans="4:4" x14ac:dyDescent="0.35">
      <c r="D424" s="459"/>
    </row>
    <row r="425" spans="4:4" x14ac:dyDescent="0.35">
      <c r="D425" s="449"/>
    </row>
    <row r="426" spans="4:4" x14ac:dyDescent="0.35">
      <c r="D426" s="448"/>
    </row>
    <row r="427" spans="4:4" x14ac:dyDescent="0.35">
      <c r="D427" s="448"/>
    </row>
    <row r="428" spans="4:4" x14ac:dyDescent="0.35">
      <c r="D428" s="459"/>
    </row>
    <row r="429" spans="4:4" x14ac:dyDescent="0.35">
      <c r="D429" s="449"/>
    </row>
    <row r="430" spans="4:4" x14ac:dyDescent="0.35">
      <c r="D430" s="448"/>
    </row>
    <row r="431" spans="4:4" x14ac:dyDescent="0.35">
      <c r="D431" s="448"/>
    </row>
    <row r="432" spans="4:4" x14ac:dyDescent="0.35">
      <c r="D432" s="450"/>
    </row>
    <row r="433" spans="4:4" x14ac:dyDescent="0.35">
      <c r="D433" s="448"/>
    </row>
    <row r="434" spans="4:4" x14ac:dyDescent="0.35">
      <c r="D434" s="448"/>
    </row>
    <row r="435" spans="4:4" x14ac:dyDescent="0.35">
      <c r="D435" s="459"/>
    </row>
    <row r="436" spans="4:4" x14ac:dyDescent="0.35">
      <c r="D436" s="448"/>
    </row>
    <row r="437" spans="4:4" x14ac:dyDescent="0.35">
      <c r="D437" s="459"/>
    </row>
    <row r="438" spans="4:4" x14ac:dyDescent="0.35">
      <c r="D438" s="459"/>
    </row>
    <row r="439" spans="4:4" x14ac:dyDescent="0.35">
      <c r="D439" s="459"/>
    </row>
    <row r="440" spans="4:4" x14ac:dyDescent="0.35">
      <c r="D440" s="448"/>
    </row>
    <row r="441" spans="4:4" x14ac:dyDescent="0.35">
      <c r="D441" s="459"/>
    </row>
    <row r="442" spans="4:4" x14ac:dyDescent="0.35">
      <c r="D442" s="459"/>
    </row>
    <row r="443" spans="4:4" x14ac:dyDescent="0.35">
      <c r="D443" s="459"/>
    </row>
    <row r="444" spans="4:4" x14ac:dyDescent="0.35">
      <c r="D444" s="459"/>
    </row>
    <row r="445" spans="4:4" x14ac:dyDescent="0.35">
      <c r="D445" s="459"/>
    </row>
    <row r="446" spans="4:4" x14ac:dyDescent="0.35">
      <c r="D446" s="459"/>
    </row>
    <row r="447" spans="4:4" x14ac:dyDescent="0.35">
      <c r="D447" s="459"/>
    </row>
    <row r="448" spans="4:4" x14ac:dyDescent="0.35">
      <c r="D448" s="459"/>
    </row>
    <row r="449" spans="4:4" x14ac:dyDescent="0.35">
      <c r="D449" s="459"/>
    </row>
    <row r="450" spans="4:4" x14ac:dyDescent="0.35">
      <c r="D450" s="448"/>
    </row>
    <row r="451" spans="4:4" x14ac:dyDescent="0.35">
      <c r="D451" s="448"/>
    </row>
    <row r="452" spans="4:4" x14ac:dyDescent="0.35">
      <c r="D452" s="448"/>
    </row>
    <row r="453" spans="4:4" x14ac:dyDescent="0.35">
      <c r="D453" s="448"/>
    </row>
    <row r="454" spans="4:4" x14ac:dyDescent="0.35">
      <c r="D454" s="448"/>
    </row>
    <row r="455" spans="4:4" x14ac:dyDescent="0.35">
      <c r="D455" s="459"/>
    </row>
    <row r="456" spans="4:4" x14ac:dyDescent="0.35">
      <c r="D456" s="459"/>
    </row>
    <row r="457" spans="4:4" x14ac:dyDescent="0.35">
      <c r="D457" s="459"/>
    </row>
    <row r="458" spans="4:4" x14ac:dyDescent="0.35">
      <c r="D458" s="448"/>
    </row>
    <row r="459" spans="4:4" x14ac:dyDescent="0.35">
      <c r="D459" s="448"/>
    </row>
    <row r="460" spans="4:4" x14ac:dyDescent="0.35">
      <c r="D460" s="448"/>
    </row>
    <row r="461" spans="4:4" x14ac:dyDescent="0.35">
      <c r="D461" s="448"/>
    </row>
    <row r="462" spans="4:4" x14ac:dyDescent="0.35">
      <c r="D462" s="448"/>
    </row>
    <row r="463" spans="4:4" x14ac:dyDescent="0.35">
      <c r="D463" s="459"/>
    </row>
    <row r="464" spans="4:4" x14ac:dyDescent="0.35">
      <c r="D464" s="449"/>
    </row>
    <row r="465" spans="4:4" x14ac:dyDescent="0.35">
      <c r="D465" s="571"/>
    </row>
    <row r="466" spans="4:4" x14ac:dyDescent="0.35">
      <c r="D466" s="571"/>
    </row>
    <row r="467" spans="4:4" x14ac:dyDescent="0.35">
      <c r="D467" s="571"/>
    </row>
    <row r="468" spans="4:4" x14ac:dyDescent="0.35">
      <c r="D468" s="571"/>
    </row>
    <row r="469" spans="4:4" x14ac:dyDescent="0.35">
      <c r="D469" s="571"/>
    </row>
    <row r="470" spans="4:4" x14ac:dyDescent="0.35">
      <c r="D470" s="459"/>
    </row>
    <row r="471" spans="4:4" x14ac:dyDescent="0.35">
      <c r="D471" s="448"/>
    </row>
    <row r="472" spans="4:4" x14ac:dyDescent="0.35">
      <c r="D472" s="448"/>
    </row>
    <row r="473" spans="4:4" x14ac:dyDescent="0.35">
      <c r="D473" s="448"/>
    </row>
    <row r="474" spans="4:4" x14ac:dyDescent="0.35">
      <c r="D474" s="448"/>
    </row>
    <row r="475" spans="4:4" x14ac:dyDescent="0.35">
      <c r="D475" s="448"/>
    </row>
    <row r="476" spans="4:4" x14ac:dyDescent="0.35">
      <c r="D476" s="459"/>
    </row>
    <row r="477" spans="4:4" x14ac:dyDescent="0.35">
      <c r="D477" s="448"/>
    </row>
    <row r="478" spans="4:4" x14ac:dyDescent="0.35">
      <c r="D478" s="448"/>
    </row>
    <row r="479" spans="4:4" x14ac:dyDescent="0.35">
      <c r="D479" s="448"/>
    </row>
    <row r="480" spans="4:4" x14ac:dyDescent="0.35">
      <c r="D480" s="448"/>
    </row>
    <row r="481" spans="4:4" x14ac:dyDescent="0.35">
      <c r="D481" s="459"/>
    </row>
    <row r="482" spans="4:4" x14ac:dyDescent="0.35">
      <c r="D482" s="459"/>
    </row>
    <row r="483" spans="4:4" x14ac:dyDescent="0.35">
      <c r="D483" s="459"/>
    </row>
    <row r="484" spans="4:4" x14ac:dyDescent="0.35">
      <c r="D484" s="459"/>
    </row>
    <row r="485" spans="4:4" x14ac:dyDescent="0.35">
      <c r="D485" s="459"/>
    </row>
    <row r="486" spans="4:4" x14ac:dyDescent="0.35">
      <c r="D486" s="459"/>
    </row>
    <row r="487" spans="4:4" x14ac:dyDescent="0.35">
      <c r="D487" s="449"/>
    </row>
    <row r="488" spans="4:4" x14ac:dyDescent="0.35">
      <c r="D488" s="449"/>
    </row>
    <row r="489" spans="4:4" x14ac:dyDescent="0.35">
      <c r="D489" s="448"/>
    </row>
    <row r="490" spans="4:4" x14ac:dyDescent="0.35">
      <c r="D490" s="450"/>
    </row>
    <row r="491" spans="4:4" x14ac:dyDescent="0.35">
      <c r="D491" s="448"/>
    </row>
    <row r="492" spans="4:4" x14ac:dyDescent="0.35">
      <c r="D492" s="658"/>
    </row>
    <row r="493" spans="4:4" x14ac:dyDescent="0.35">
      <c r="D493" s="658"/>
    </row>
    <row r="494" spans="4:4" x14ac:dyDescent="0.35">
      <c r="D494" s="448"/>
    </row>
    <row r="495" spans="4:4" x14ac:dyDescent="0.35">
      <c r="D495" s="448"/>
    </row>
    <row r="496" spans="4:4" x14ac:dyDescent="0.35">
      <c r="D496" s="448"/>
    </row>
    <row r="497" spans="4:4" x14ac:dyDescent="0.35">
      <c r="D497" s="448"/>
    </row>
    <row r="498" spans="4:4" x14ac:dyDescent="0.35">
      <c r="D498" s="448"/>
    </row>
    <row r="499" spans="4:4" x14ac:dyDescent="0.35">
      <c r="D499" s="448"/>
    </row>
    <row r="500" spans="4:4" x14ac:dyDescent="0.35">
      <c r="D500" s="448"/>
    </row>
    <row r="501" spans="4:4" x14ac:dyDescent="0.35">
      <c r="D501" s="448"/>
    </row>
    <row r="502" spans="4:4" x14ac:dyDescent="0.35">
      <c r="D502" s="449"/>
    </row>
    <row r="503" spans="4:4" x14ac:dyDescent="0.35">
      <c r="D503" s="448"/>
    </row>
    <row r="504" spans="4:4" x14ac:dyDescent="0.35">
      <c r="D504" s="448"/>
    </row>
    <row r="505" spans="4:4" x14ac:dyDescent="0.35">
      <c r="D505" s="448"/>
    </row>
    <row r="506" spans="4:4" x14ac:dyDescent="0.35">
      <c r="D506" s="448"/>
    </row>
    <row r="507" spans="4:4" x14ac:dyDescent="0.35">
      <c r="D507" s="448"/>
    </row>
    <row r="508" spans="4:4" x14ac:dyDescent="0.35">
      <c r="D508" s="459"/>
    </row>
    <row r="509" spans="4:4" x14ac:dyDescent="0.35">
      <c r="D509" s="459"/>
    </row>
    <row r="510" spans="4:4" x14ac:dyDescent="0.35">
      <c r="D510" s="459"/>
    </row>
    <row r="511" spans="4:4" x14ac:dyDescent="0.35">
      <c r="D511" s="459"/>
    </row>
    <row r="512" spans="4:4" x14ac:dyDescent="0.35">
      <c r="D512" s="459"/>
    </row>
    <row r="513" spans="4:4" x14ac:dyDescent="0.35">
      <c r="D513" s="459"/>
    </row>
    <row r="514" spans="4:4" x14ac:dyDescent="0.35">
      <c r="D514" s="799"/>
    </row>
    <row r="515" spans="4:4" x14ac:dyDescent="0.35">
      <c r="D515" s="448"/>
    </row>
    <row r="516" spans="4:4" x14ac:dyDescent="0.35">
      <c r="D516" s="799"/>
    </row>
    <row r="517" spans="4:4" x14ac:dyDescent="0.35">
      <c r="D517" s="448"/>
    </row>
    <row r="518" spans="4:4" x14ac:dyDescent="0.35">
      <c r="D518" s="659"/>
    </row>
    <row r="519" spans="4:4" x14ac:dyDescent="0.35">
      <c r="D519" s="449"/>
    </row>
    <row r="520" spans="4:4" x14ac:dyDescent="0.35">
      <c r="D520" s="448"/>
    </row>
    <row r="521" spans="4:4" x14ac:dyDescent="0.35">
      <c r="D521" s="459"/>
    </row>
    <row r="522" spans="4:4" x14ac:dyDescent="0.35">
      <c r="D522" s="459"/>
    </row>
    <row r="523" spans="4:4" x14ac:dyDescent="0.35">
      <c r="D523" s="459"/>
    </row>
    <row r="524" spans="4:4" x14ac:dyDescent="0.35">
      <c r="D524" s="459"/>
    </row>
    <row r="525" spans="4:4" x14ac:dyDescent="0.35">
      <c r="D525" s="448"/>
    </row>
    <row r="526" spans="4:4" x14ac:dyDescent="0.35">
      <c r="D526" s="448"/>
    </row>
    <row r="527" spans="4:4" x14ac:dyDescent="0.35">
      <c r="D527" s="459"/>
    </row>
    <row r="528" spans="4:4" x14ac:dyDescent="0.35">
      <c r="D528" s="448"/>
    </row>
    <row r="529" spans="4:4" x14ac:dyDescent="0.35">
      <c r="D529" s="448"/>
    </row>
    <row r="530" spans="4:4" x14ac:dyDescent="0.35">
      <c r="D530" s="449"/>
    </row>
    <row r="531" spans="4:4" x14ac:dyDescent="0.35">
      <c r="D531" s="449"/>
    </row>
    <row r="532" spans="4:4" x14ac:dyDescent="0.35">
      <c r="D532" s="571"/>
    </row>
    <row r="533" spans="4:4" x14ac:dyDescent="0.35">
      <c r="D533" s="571"/>
    </row>
    <row r="534" spans="4:4" x14ac:dyDescent="0.35">
      <c r="D534" s="448"/>
    </row>
    <row r="535" spans="4:4" x14ac:dyDescent="0.35">
      <c r="D535" s="799"/>
    </row>
    <row r="536" spans="4:4" x14ac:dyDescent="0.35">
      <c r="D536" s="448"/>
    </row>
    <row r="537" spans="4:4" x14ac:dyDescent="0.35">
      <c r="D537" s="448"/>
    </row>
    <row r="538" spans="4:4" x14ac:dyDescent="0.35">
      <c r="D538" s="459"/>
    </row>
    <row r="539" spans="4:4" x14ac:dyDescent="0.35">
      <c r="D539" s="448"/>
    </row>
    <row r="540" spans="4:4" x14ac:dyDescent="0.35">
      <c r="D540" s="448"/>
    </row>
    <row r="541" spans="4:4" x14ac:dyDescent="0.35">
      <c r="D541" s="448"/>
    </row>
    <row r="542" spans="4:4" x14ac:dyDescent="0.35">
      <c r="D542" s="459"/>
    </row>
    <row r="543" spans="4:4" x14ac:dyDescent="0.35">
      <c r="D543" s="459"/>
    </row>
    <row r="544" spans="4:4" x14ac:dyDescent="0.35">
      <c r="D544" s="459"/>
    </row>
    <row r="545" spans="4:4" x14ac:dyDescent="0.35">
      <c r="D545" s="459"/>
    </row>
    <row r="546" spans="4:4" x14ac:dyDescent="0.35">
      <c r="D546" s="459"/>
    </row>
    <row r="547" spans="4:4" x14ac:dyDescent="0.35">
      <c r="D547" s="459"/>
    </row>
    <row r="548" spans="4:4" x14ac:dyDescent="0.35">
      <c r="D548" s="448"/>
    </row>
    <row r="549" spans="4:4" x14ac:dyDescent="0.35">
      <c r="D549" s="448"/>
    </row>
    <row r="550" spans="4:4" x14ac:dyDescent="0.35">
      <c r="D550" s="448"/>
    </row>
    <row r="551" spans="4:4" x14ac:dyDescent="0.35">
      <c r="D551" s="448"/>
    </row>
    <row r="552" spans="4:4" x14ac:dyDescent="0.35">
      <c r="D552" s="459"/>
    </row>
    <row r="553" spans="4:4" x14ac:dyDescent="0.35">
      <c r="D553" s="459"/>
    </row>
    <row r="554" spans="4:4" x14ac:dyDescent="0.35">
      <c r="D554" s="459"/>
    </row>
    <row r="555" spans="4:4" x14ac:dyDescent="0.35">
      <c r="D555" s="459"/>
    </row>
    <row r="556" spans="4:4" x14ac:dyDescent="0.35">
      <c r="D556" s="459"/>
    </row>
    <row r="557" spans="4:4" x14ac:dyDescent="0.35">
      <c r="D557" s="459"/>
    </row>
    <row r="558" spans="4:4" x14ac:dyDescent="0.35">
      <c r="D558" s="459"/>
    </row>
    <row r="559" spans="4:4" x14ac:dyDescent="0.35">
      <c r="D559" s="448"/>
    </row>
    <row r="560" spans="4:4" x14ac:dyDescent="0.35">
      <c r="D560" s="448"/>
    </row>
    <row r="561" spans="4:4" x14ac:dyDescent="0.35">
      <c r="D561" s="448"/>
    </row>
    <row r="562" spans="4:4" x14ac:dyDescent="0.35">
      <c r="D562" s="448"/>
    </row>
    <row r="563" spans="4:4" x14ac:dyDescent="0.35">
      <c r="D563" s="571"/>
    </row>
    <row r="564" spans="4:4" x14ac:dyDescent="0.35">
      <c r="D564" s="571"/>
    </row>
    <row r="565" spans="4:4" x14ac:dyDescent="0.35">
      <c r="D565" s="571"/>
    </row>
    <row r="566" spans="4:4" x14ac:dyDescent="0.35">
      <c r="D566" s="459"/>
    </row>
    <row r="567" spans="4:4" x14ac:dyDescent="0.35">
      <c r="D567" s="459"/>
    </row>
    <row r="568" spans="4:4" x14ac:dyDescent="0.35">
      <c r="D568" s="448"/>
    </row>
    <row r="569" spans="4:4" x14ac:dyDescent="0.35">
      <c r="D569" s="448"/>
    </row>
    <row r="570" spans="4:4" x14ac:dyDescent="0.35">
      <c r="D570" s="448"/>
    </row>
    <row r="571" spans="4:4" x14ac:dyDescent="0.35">
      <c r="D571" s="448"/>
    </row>
    <row r="572" spans="4:4" x14ac:dyDescent="0.35">
      <c r="D572" s="459"/>
    </row>
    <row r="573" spans="4:4" x14ac:dyDescent="0.35">
      <c r="D573" s="448"/>
    </row>
    <row r="574" spans="4:4" x14ac:dyDescent="0.35">
      <c r="D574" s="449"/>
    </row>
    <row r="575" spans="4:4" x14ac:dyDescent="0.35">
      <c r="D575" s="449"/>
    </row>
    <row r="576" spans="4:4" x14ac:dyDescent="0.35">
      <c r="D576" s="449"/>
    </row>
    <row r="577" spans="4:4" x14ac:dyDescent="0.35">
      <c r="D577" s="449"/>
    </row>
    <row r="578" spans="4:4" x14ac:dyDescent="0.35">
      <c r="D578" s="449"/>
    </row>
    <row r="579" spans="4:4" x14ac:dyDescent="0.35">
      <c r="D579" s="448"/>
    </row>
    <row r="580" spans="4:4" x14ac:dyDescent="0.35">
      <c r="D580" s="448"/>
    </row>
    <row r="581" spans="4:4" x14ac:dyDescent="0.35">
      <c r="D581" s="448"/>
    </row>
    <row r="582" spans="4:4" x14ac:dyDescent="0.35">
      <c r="D582" s="448"/>
    </row>
    <row r="583" spans="4:4" x14ac:dyDescent="0.35">
      <c r="D583" s="448"/>
    </row>
    <row r="584" spans="4:4" x14ac:dyDescent="0.35">
      <c r="D584" s="450"/>
    </row>
    <row r="585" spans="4:4" x14ac:dyDescent="0.35">
      <c r="D585" s="450"/>
    </row>
    <row r="586" spans="4:4" x14ac:dyDescent="0.35">
      <c r="D586" s="450"/>
    </row>
    <row r="587" spans="4:4" x14ac:dyDescent="0.35">
      <c r="D587" s="450"/>
    </row>
    <row r="588" spans="4:4" x14ac:dyDescent="0.35">
      <c r="D588" s="450"/>
    </row>
    <row r="589" spans="4:4" x14ac:dyDescent="0.35">
      <c r="D589" s="799"/>
    </row>
    <row r="590" spans="4:4" x14ac:dyDescent="0.35">
      <c r="D590" s="449"/>
    </row>
    <row r="591" spans="4:4" x14ac:dyDescent="0.35">
      <c r="D591" s="448"/>
    </row>
    <row r="592" spans="4:4" x14ac:dyDescent="0.35">
      <c r="D592" s="459"/>
    </row>
    <row r="593" spans="4:4" x14ac:dyDescent="0.35">
      <c r="D593" s="449"/>
    </row>
    <row r="594" spans="4:4" x14ac:dyDescent="0.35">
      <c r="D594" s="448"/>
    </row>
    <row r="595" spans="4:4" x14ac:dyDescent="0.35">
      <c r="D595" s="448"/>
    </row>
    <row r="596" spans="4:4" x14ac:dyDescent="0.35">
      <c r="D596" s="448"/>
    </row>
    <row r="597" spans="4:4" x14ac:dyDescent="0.35">
      <c r="D597" s="448"/>
    </row>
    <row r="598" spans="4:4" x14ac:dyDescent="0.35">
      <c r="D598" s="448"/>
    </row>
    <row r="599" spans="4:4" x14ac:dyDescent="0.35">
      <c r="D599" s="448"/>
    </row>
    <row r="600" spans="4:4" x14ac:dyDescent="0.35">
      <c r="D600" s="448"/>
    </row>
    <row r="601" spans="4:4" x14ac:dyDescent="0.35">
      <c r="D601" s="570"/>
    </row>
    <row r="602" spans="4:4" x14ac:dyDescent="0.35">
      <c r="D602" s="448"/>
    </row>
    <row r="603" spans="4:4" x14ac:dyDescent="0.35">
      <c r="D603" s="448"/>
    </row>
    <row r="604" spans="4:4" x14ac:dyDescent="0.35">
      <c r="D604" s="450"/>
    </row>
    <row r="605" spans="4:4" x14ac:dyDescent="0.35">
      <c r="D605" s="448"/>
    </row>
    <row r="606" spans="4:4" x14ac:dyDescent="0.35">
      <c r="D606" s="448"/>
    </row>
    <row r="607" spans="4:4" x14ac:dyDescent="0.35">
      <c r="D607" s="450"/>
    </row>
    <row r="608" spans="4:4" x14ac:dyDescent="0.35">
      <c r="D608" s="448"/>
    </row>
    <row r="609" spans="4:4" x14ac:dyDescent="0.35">
      <c r="D609" s="448"/>
    </row>
    <row r="610" spans="4:4" x14ac:dyDescent="0.35">
      <c r="D610" s="448"/>
    </row>
    <row r="611" spans="4:4" x14ac:dyDescent="0.35">
      <c r="D611" s="450"/>
    </row>
    <row r="612" spans="4:4" x14ac:dyDescent="0.35">
      <c r="D612" s="449"/>
    </row>
    <row r="613" spans="4:4" x14ac:dyDescent="0.35">
      <c r="D613" s="459"/>
    </row>
    <row r="614" spans="4:4" x14ac:dyDescent="0.35">
      <c r="D614" s="449"/>
    </row>
    <row r="615" spans="4:4" x14ac:dyDescent="0.35">
      <c r="D615" s="448"/>
    </row>
    <row r="616" spans="4:4" x14ac:dyDescent="0.35">
      <c r="D616" s="449"/>
    </row>
    <row r="617" spans="4:4" x14ac:dyDescent="0.35">
      <c r="D617" s="449"/>
    </row>
    <row r="618" spans="4:4" x14ac:dyDescent="0.35">
      <c r="D618" s="449"/>
    </row>
    <row r="619" spans="4:4" x14ac:dyDescent="0.35">
      <c r="D619" s="449"/>
    </row>
    <row r="620" spans="4:4" x14ac:dyDescent="0.35">
      <c r="D620" s="449"/>
    </row>
    <row r="621" spans="4:4" x14ac:dyDescent="0.35">
      <c r="D621" s="449"/>
    </row>
    <row r="622" spans="4:4" x14ac:dyDescent="0.35">
      <c r="D622" s="449"/>
    </row>
    <row r="623" spans="4:4" x14ac:dyDescent="0.35">
      <c r="D623" s="449"/>
    </row>
    <row r="624" spans="4:4" x14ac:dyDescent="0.35">
      <c r="D624" s="449"/>
    </row>
    <row r="625" spans="4:4" x14ac:dyDescent="0.35">
      <c r="D625" s="449"/>
    </row>
    <row r="626" spans="4:4" x14ac:dyDescent="0.35">
      <c r="D626" s="449"/>
    </row>
    <row r="627" spans="4:4" x14ac:dyDescent="0.35">
      <c r="D627" s="449"/>
    </row>
    <row r="628" spans="4:4" x14ac:dyDescent="0.35">
      <c r="D628" s="459"/>
    </row>
    <row r="629" spans="4:4" x14ac:dyDescent="0.35">
      <c r="D629" s="459"/>
    </row>
    <row r="630" spans="4:4" x14ac:dyDescent="0.35">
      <c r="D630" s="459"/>
    </row>
    <row r="631" spans="4:4" x14ac:dyDescent="0.35">
      <c r="D631" s="459"/>
    </row>
    <row r="632" spans="4:4" x14ac:dyDescent="0.35">
      <c r="D632" s="459"/>
    </row>
    <row r="633" spans="4:4" x14ac:dyDescent="0.35">
      <c r="D633" s="459"/>
    </row>
    <row r="634" spans="4:4" x14ac:dyDescent="0.35">
      <c r="D634" s="449"/>
    </row>
    <row r="635" spans="4:4" x14ac:dyDescent="0.35">
      <c r="D635" s="449"/>
    </row>
    <row r="636" spans="4:4" x14ac:dyDescent="0.35">
      <c r="D636" s="449"/>
    </row>
    <row r="637" spans="4:4" x14ac:dyDescent="0.35">
      <c r="D637" s="449"/>
    </row>
    <row r="638" spans="4:4" x14ac:dyDescent="0.35">
      <c r="D638" s="449"/>
    </row>
    <row r="639" spans="4:4" x14ac:dyDescent="0.35">
      <c r="D639" s="449"/>
    </row>
    <row r="640" spans="4:4" x14ac:dyDescent="0.35">
      <c r="D640" s="448"/>
    </row>
    <row r="641" spans="4:4" x14ac:dyDescent="0.35">
      <c r="D641" s="570"/>
    </row>
    <row r="642" spans="4:4" x14ac:dyDescent="0.35">
      <c r="D642" s="570"/>
    </row>
    <row r="643" spans="4:4" x14ac:dyDescent="0.35">
      <c r="D643" s="570"/>
    </row>
    <row r="644" spans="4:4" x14ac:dyDescent="0.35">
      <c r="D644" s="570"/>
    </row>
    <row r="645" spans="4:4" x14ac:dyDescent="0.35">
      <c r="D645" s="570"/>
    </row>
    <row r="646" spans="4:4" x14ac:dyDescent="0.35">
      <c r="D646" s="570"/>
    </row>
    <row r="647" spans="4:4" x14ac:dyDescent="0.35">
      <c r="D647" s="449"/>
    </row>
    <row r="648" spans="4:4" x14ac:dyDescent="0.35">
      <c r="D648" s="570"/>
    </row>
    <row r="649" spans="4:4" x14ac:dyDescent="0.35">
      <c r="D649" s="448"/>
    </row>
    <row r="650" spans="4:4" x14ac:dyDescent="0.35">
      <c r="D650" s="570"/>
    </row>
    <row r="651" spans="4:4" x14ac:dyDescent="0.35">
      <c r="D651" s="449"/>
    </row>
    <row r="652" spans="4:4" x14ac:dyDescent="0.35">
      <c r="D652" s="448"/>
    </row>
    <row r="653" spans="4:4" x14ac:dyDescent="0.35">
      <c r="D653" s="448"/>
    </row>
    <row r="654" spans="4:4" x14ac:dyDescent="0.35">
      <c r="D654" s="450"/>
    </row>
    <row r="655" spans="4:4" x14ac:dyDescent="0.35">
      <c r="D655" s="448"/>
    </row>
    <row r="656" spans="4:4" x14ac:dyDescent="0.35">
      <c r="D656" s="448"/>
    </row>
    <row r="657" spans="4:4" x14ac:dyDescent="0.35">
      <c r="D657" s="448"/>
    </row>
    <row r="658" spans="4:4" x14ac:dyDescent="0.35">
      <c r="D658" s="448"/>
    </row>
    <row r="659" spans="4:4" x14ac:dyDescent="0.35">
      <c r="D659" s="448"/>
    </row>
    <row r="660" spans="4:4" x14ac:dyDescent="0.35">
      <c r="D660" s="448"/>
    </row>
    <row r="661" spans="4:4" x14ac:dyDescent="0.35">
      <c r="D661" s="448"/>
    </row>
    <row r="662" spans="4:4" x14ac:dyDescent="0.35">
      <c r="D662" s="448"/>
    </row>
    <row r="663" spans="4:4" x14ac:dyDescent="0.35">
      <c r="D663" s="448"/>
    </row>
    <row r="664" spans="4:4" x14ac:dyDescent="0.35">
      <c r="D664" s="448"/>
    </row>
    <row r="665" spans="4:4" x14ac:dyDescent="0.35">
      <c r="D665" s="448"/>
    </row>
    <row r="666" spans="4:4" x14ac:dyDescent="0.35">
      <c r="D666" s="448"/>
    </row>
    <row r="667" spans="4:4" x14ac:dyDescent="0.35">
      <c r="D667" s="448"/>
    </row>
    <row r="668" spans="4:4" x14ac:dyDescent="0.35">
      <c r="D668" s="448"/>
    </row>
    <row r="669" spans="4:4" x14ac:dyDescent="0.35">
      <c r="D669" s="448"/>
    </row>
    <row r="670" spans="4:4" x14ac:dyDescent="0.35">
      <c r="D670" s="448"/>
    </row>
    <row r="671" spans="4:4" x14ac:dyDescent="0.35">
      <c r="D671" s="448"/>
    </row>
    <row r="672" spans="4:4" x14ac:dyDescent="0.35">
      <c r="D672" s="448"/>
    </row>
    <row r="673" spans="4:4" x14ac:dyDescent="0.35">
      <c r="D673" s="448"/>
    </row>
    <row r="674" spans="4:4" x14ac:dyDescent="0.35">
      <c r="D674" s="448"/>
    </row>
    <row r="675" spans="4:4" x14ac:dyDescent="0.35">
      <c r="D675" s="448"/>
    </row>
    <row r="676" spans="4:4" x14ac:dyDescent="0.35">
      <c r="D676" s="448"/>
    </row>
    <row r="677" spans="4:4" x14ac:dyDescent="0.35">
      <c r="D677" s="799"/>
    </row>
    <row r="678" spans="4:4" x14ac:dyDescent="0.35">
      <c r="D678" s="448"/>
    </row>
    <row r="679" spans="4:4" x14ac:dyDescent="0.35">
      <c r="D679" s="448"/>
    </row>
    <row r="680" spans="4:4" x14ac:dyDescent="0.35">
      <c r="D680" s="448"/>
    </row>
    <row r="681" spans="4:4" x14ac:dyDescent="0.35">
      <c r="D681" s="448"/>
    </row>
    <row r="682" spans="4:4" x14ac:dyDescent="0.35">
      <c r="D682" s="448"/>
    </row>
    <row r="683" spans="4:4" x14ac:dyDescent="0.35">
      <c r="D683" s="450"/>
    </row>
    <row r="684" spans="4:4" x14ac:dyDescent="0.35">
      <c r="D684" s="450"/>
    </row>
    <row r="685" spans="4:4" x14ac:dyDescent="0.35">
      <c r="D685" s="450"/>
    </row>
    <row r="686" spans="4:4" x14ac:dyDescent="0.35">
      <c r="D686" s="450"/>
    </row>
    <row r="687" spans="4:4" x14ac:dyDescent="0.35">
      <c r="D687" s="450"/>
    </row>
    <row r="688" spans="4:4" x14ac:dyDescent="0.35">
      <c r="D688" s="450"/>
    </row>
    <row r="689" spans="4:4" x14ac:dyDescent="0.35">
      <c r="D689" s="450"/>
    </row>
    <row r="690" spans="4:4" x14ac:dyDescent="0.35">
      <c r="D690" s="449"/>
    </row>
    <row r="691" spans="4:4" x14ac:dyDescent="0.35">
      <c r="D691" s="449"/>
    </row>
    <row r="692" spans="4:4" x14ac:dyDescent="0.35">
      <c r="D692" s="449"/>
    </row>
    <row r="693" spans="4:4" x14ac:dyDescent="0.35">
      <c r="D693" s="449"/>
    </row>
    <row r="694" spans="4:4" x14ac:dyDescent="0.35">
      <c r="D694" s="449"/>
    </row>
    <row r="695" spans="4:4" x14ac:dyDescent="0.35">
      <c r="D695" s="448"/>
    </row>
    <row r="696" spans="4:4" x14ac:dyDescent="0.35">
      <c r="D696" s="448"/>
    </row>
    <row r="697" spans="4:4" x14ac:dyDescent="0.35">
      <c r="D697" s="449"/>
    </row>
    <row r="698" spans="4:4" x14ac:dyDescent="0.35">
      <c r="D698" s="448"/>
    </row>
    <row r="699" spans="4:4" x14ac:dyDescent="0.35">
      <c r="D699" s="448"/>
    </row>
    <row r="700" spans="4:4" x14ac:dyDescent="0.35">
      <c r="D700" s="449"/>
    </row>
    <row r="701" spans="4:4" x14ac:dyDescent="0.35">
      <c r="D701" s="449"/>
    </row>
    <row r="702" spans="4:4" x14ac:dyDescent="0.35">
      <c r="D702" s="449"/>
    </row>
    <row r="703" spans="4:4" x14ac:dyDescent="0.35">
      <c r="D703" s="449"/>
    </row>
    <row r="704" spans="4:4" x14ac:dyDescent="0.35">
      <c r="D704" s="449"/>
    </row>
    <row r="705" spans="4:4" x14ac:dyDescent="0.35">
      <c r="D705" s="449"/>
    </row>
    <row r="706" spans="4:4" x14ac:dyDescent="0.35">
      <c r="D706" s="449"/>
    </row>
    <row r="707" spans="4:4" x14ac:dyDescent="0.35">
      <c r="D707" s="449"/>
    </row>
    <row r="708" spans="4:4" x14ac:dyDescent="0.35">
      <c r="D708" s="459"/>
    </row>
    <row r="709" spans="4:4" x14ac:dyDescent="0.35">
      <c r="D709" s="449"/>
    </row>
    <row r="710" spans="4:4" x14ac:dyDescent="0.35">
      <c r="D710" s="449"/>
    </row>
    <row r="711" spans="4:4" x14ac:dyDescent="0.35">
      <c r="D711" s="449"/>
    </row>
    <row r="712" spans="4:4" x14ac:dyDescent="0.35">
      <c r="D712" s="448"/>
    </row>
    <row r="713" spans="4:4" x14ac:dyDescent="0.35">
      <c r="D713" s="448"/>
    </row>
    <row r="714" spans="4:4" x14ac:dyDescent="0.35">
      <c r="D714" s="448"/>
    </row>
    <row r="715" spans="4:4" x14ac:dyDescent="0.35">
      <c r="D715" s="448"/>
    </row>
    <row r="716" spans="4:4" x14ac:dyDescent="0.35">
      <c r="D716" s="448"/>
    </row>
    <row r="717" spans="4:4" x14ac:dyDescent="0.35">
      <c r="D717" s="448"/>
    </row>
    <row r="718" spans="4:4" x14ac:dyDescent="0.35">
      <c r="D718" s="448"/>
    </row>
    <row r="719" spans="4:4" x14ac:dyDescent="0.35">
      <c r="D719" s="448"/>
    </row>
    <row r="720" spans="4:4" x14ac:dyDescent="0.35">
      <c r="D720" s="448"/>
    </row>
    <row r="721" spans="4:4" x14ac:dyDescent="0.35">
      <c r="D721" s="449"/>
    </row>
    <row r="722" spans="4:4" x14ac:dyDescent="0.35">
      <c r="D722" s="459"/>
    </row>
    <row r="723" spans="4:4" x14ac:dyDescent="0.35">
      <c r="D723" s="448"/>
    </row>
    <row r="724" spans="4:4" x14ac:dyDescent="0.35">
      <c r="D724" s="459"/>
    </row>
    <row r="725" spans="4:4" x14ac:dyDescent="0.35">
      <c r="D725" s="448"/>
    </row>
    <row r="726" spans="4:4" x14ac:dyDescent="0.35">
      <c r="D726" s="448"/>
    </row>
    <row r="727" spans="4:4" x14ac:dyDescent="0.35">
      <c r="D727" s="448"/>
    </row>
    <row r="728" spans="4:4" x14ac:dyDescent="0.35">
      <c r="D728" s="449"/>
    </row>
    <row r="729" spans="4:4" x14ac:dyDescent="0.35">
      <c r="D729" s="449"/>
    </row>
    <row r="730" spans="4:4" x14ac:dyDescent="0.35">
      <c r="D730" s="449"/>
    </row>
    <row r="731" spans="4:4" x14ac:dyDescent="0.35">
      <c r="D731" s="449"/>
    </row>
    <row r="732" spans="4:4" x14ac:dyDescent="0.35">
      <c r="D732" s="449"/>
    </row>
    <row r="733" spans="4:4" x14ac:dyDescent="0.35">
      <c r="D733" s="449"/>
    </row>
    <row r="734" spans="4:4" x14ac:dyDescent="0.35">
      <c r="D734" s="449"/>
    </row>
    <row r="735" spans="4:4" x14ac:dyDescent="0.35">
      <c r="D735" s="449"/>
    </row>
    <row r="736" spans="4:4" x14ac:dyDescent="0.35">
      <c r="D736" s="449"/>
    </row>
    <row r="737" spans="4:4" x14ac:dyDescent="0.35">
      <c r="D737" s="449"/>
    </row>
    <row r="738" spans="4:4" x14ac:dyDescent="0.35">
      <c r="D738" s="449"/>
    </row>
    <row r="739" spans="4:4" x14ac:dyDescent="0.35">
      <c r="D739" s="449"/>
    </row>
    <row r="740" spans="4:4" x14ac:dyDescent="0.35">
      <c r="D740" s="449"/>
    </row>
    <row r="741" spans="4:4" x14ac:dyDescent="0.35">
      <c r="D741" s="449"/>
    </row>
    <row r="742" spans="4:4" x14ac:dyDescent="0.35">
      <c r="D742" s="449"/>
    </row>
    <row r="743" spans="4:4" x14ac:dyDescent="0.35">
      <c r="D743" s="449"/>
    </row>
    <row r="744" spans="4:4" x14ac:dyDescent="0.35">
      <c r="D744" s="448"/>
    </row>
    <row r="745" spans="4:4" x14ac:dyDescent="0.35">
      <c r="D745" s="448"/>
    </row>
    <row r="746" spans="4:4" x14ac:dyDescent="0.35">
      <c r="D746" s="448"/>
    </row>
    <row r="747" spans="4:4" x14ac:dyDescent="0.35">
      <c r="D747" s="448"/>
    </row>
    <row r="748" spans="4:4" x14ac:dyDescent="0.35">
      <c r="D748" s="448"/>
    </row>
    <row r="749" spans="4:4" x14ac:dyDescent="0.35">
      <c r="D749" s="448"/>
    </row>
    <row r="750" spans="4:4" x14ac:dyDescent="0.35">
      <c r="D750" s="459"/>
    </row>
    <row r="751" spans="4:4" x14ac:dyDescent="0.35">
      <c r="D751" s="448"/>
    </row>
    <row r="752" spans="4:4" x14ac:dyDescent="0.35">
      <c r="D752" s="459"/>
    </row>
    <row r="753" spans="4:4" x14ac:dyDescent="0.35">
      <c r="D753" s="448"/>
    </row>
    <row r="754" spans="4:4" x14ac:dyDescent="0.35">
      <c r="D754" s="459"/>
    </row>
    <row r="755" spans="4:4" x14ac:dyDescent="0.35">
      <c r="D755" s="448"/>
    </row>
    <row r="756" spans="4:4" x14ac:dyDescent="0.35">
      <c r="D756" s="459"/>
    </row>
    <row r="757" spans="4:4" x14ac:dyDescent="0.35">
      <c r="D757" s="448"/>
    </row>
    <row r="758" spans="4:4" x14ac:dyDescent="0.35">
      <c r="D758" s="448"/>
    </row>
    <row r="759" spans="4:4" x14ac:dyDescent="0.35">
      <c r="D759" s="448"/>
    </row>
    <row r="760" spans="4:4" x14ac:dyDescent="0.35">
      <c r="D760" s="449"/>
    </row>
    <row r="761" spans="4:4" x14ac:dyDescent="0.35">
      <c r="D761" s="449"/>
    </row>
    <row r="762" spans="4:4" x14ac:dyDescent="0.35">
      <c r="D762" s="449"/>
    </row>
    <row r="763" spans="4:4" x14ac:dyDescent="0.35">
      <c r="D763" s="449"/>
    </row>
    <row r="764" spans="4:4" x14ac:dyDescent="0.35">
      <c r="D764" s="449"/>
    </row>
    <row r="765" spans="4:4" x14ac:dyDescent="0.35">
      <c r="D765" s="449"/>
    </row>
    <row r="766" spans="4:4" x14ac:dyDescent="0.35">
      <c r="D766" s="449"/>
    </row>
    <row r="767" spans="4:4" x14ac:dyDescent="0.35">
      <c r="D767" s="449"/>
    </row>
    <row r="768" spans="4:4" x14ac:dyDescent="0.35">
      <c r="D768" s="449"/>
    </row>
    <row r="769" spans="4:4" x14ac:dyDescent="0.35">
      <c r="D769" s="449"/>
    </row>
    <row r="770" spans="4:4" x14ac:dyDescent="0.35">
      <c r="D770" s="449"/>
    </row>
    <row r="771" spans="4:4" x14ac:dyDescent="0.35">
      <c r="D771" s="449"/>
    </row>
    <row r="772" spans="4:4" x14ac:dyDescent="0.35">
      <c r="D772" s="449"/>
    </row>
    <row r="773" spans="4:4" x14ac:dyDescent="0.35">
      <c r="D773" s="449"/>
    </row>
    <row r="774" spans="4:4" x14ac:dyDescent="0.35">
      <c r="D774" s="449"/>
    </row>
    <row r="775" spans="4:4" x14ac:dyDescent="0.35">
      <c r="D775" s="449"/>
    </row>
    <row r="776" spans="4:4" x14ac:dyDescent="0.35">
      <c r="D776" s="449"/>
    </row>
    <row r="777" spans="4:4" x14ac:dyDescent="0.35">
      <c r="D777" s="449"/>
    </row>
    <row r="778" spans="4:4" x14ac:dyDescent="0.35">
      <c r="D778" s="449"/>
    </row>
    <row r="779" spans="4:4" x14ac:dyDescent="0.35">
      <c r="D779" s="449"/>
    </row>
    <row r="780" spans="4:4" x14ac:dyDescent="0.35">
      <c r="D780" s="449"/>
    </row>
    <row r="781" spans="4:4" x14ac:dyDescent="0.35">
      <c r="D781" s="449"/>
    </row>
    <row r="782" spans="4:4" x14ac:dyDescent="0.35">
      <c r="D782" s="449"/>
    </row>
    <row r="783" spans="4:4" x14ac:dyDescent="0.35">
      <c r="D783" s="449"/>
    </row>
    <row r="784" spans="4:4" x14ac:dyDescent="0.35">
      <c r="D784" s="449"/>
    </row>
    <row r="785" spans="4:4" x14ac:dyDescent="0.35">
      <c r="D785" s="449"/>
    </row>
    <row r="786" spans="4:4" x14ac:dyDescent="0.35">
      <c r="D786" s="449"/>
    </row>
    <row r="787" spans="4:4" x14ac:dyDescent="0.35">
      <c r="D787" s="449"/>
    </row>
    <row r="788" spans="4:4" x14ac:dyDescent="0.35">
      <c r="D788" s="449"/>
    </row>
    <row r="789" spans="4:4" x14ac:dyDescent="0.35">
      <c r="D789" s="449"/>
    </row>
    <row r="790" spans="4:4" x14ac:dyDescent="0.35">
      <c r="D790" s="449"/>
    </row>
    <row r="791" spans="4:4" x14ac:dyDescent="0.35">
      <c r="D791" s="449"/>
    </row>
    <row r="792" spans="4:4" x14ac:dyDescent="0.35">
      <c r="D792" s="448"/>
    </row>
    <row r="793" spans="4:4" x14ac:dyDescent="0.35">
      <c r="D793" s="459"/>
    </row>
    <row r="794" spans="4:4" x14ac:dyDescent="0.35">
      <c r="D794" s="448"/>
    </row>
    <row r="795" spans="4:4" x14ac:dyDescent="0.35">
      <c r="D795" s="459"/>
    </row>
    <row r="796" spans="4:4" x14ac:dyDescent="0.35">
      <c r="D796" s="448"/>
    </row>
    <row r="797" spans="4:4" x14ac:dyDescent="0.35">
      <c r="D797" s="459"/>
    </row>
    <row r="798" spans="4:4" x14ac:dyDescent="0.35">
      <c r="D798" s="448"/>
    </row>
    <row r="799" spans="4:4" x14ac:dyDescent="0.35">
      <c r="D799" s="459"/>
    </row>
    <row r="800" spans="4:4" x14ac:dyDescent="0.35">
      <c r="D800" s="448"/>
    </row>
    <row r="801" spans="4:4" x14ac:dyDescent="0.35">
      <c r="D801" s="448"/>
    </row>
    <row r="802" spans="4:4" x14ac:dyDescent="0.35">
      <c r="D802" s="449"/>
    </row>
    <row r="803" spans="4:4" x14ac:dyDescent="0.35">
      <c r="D803" s="449"/>
    </row>
    <row r="804" spans="4:4" x14ac:dyDescent="0.35">
      <c r="D804" s="449"/>
    </row>
    <row r="805" spans="4:4" x14ac:dyDescent="0.35">
      <c r="D805" s="449"/>
    </row>
    <row r="806" spans="4:4" x14ac:dyDescent="0.35">
      <c r="D806" s="449"/>
    </row>
    <row r="807" spans="4:4" x14ac:dyDescent="0.35">
      <c r="D807" s="449"/>
    </row>
    <row r="808" spans="4:4" x14ac:dyDescent="0.35">
      <c r="D808" s="449"/>
    </row>
    <row r="809" spans="4:4" x14ac:dyDescent="0.35">
      <c r="D809" s="449"/>
    </row>
    <row r="810" spans="4:4" x14ac:dyDescent="0.35">
      <c r="D810" s="449"/>
    </row>
    <row r="811" spans="4:4" x14ac:dyDescent="0.35">
      <c r="D811" s="449"/>
    </row>
    <row r="812" spans="4:4" x14ac:dyDescent="0.35">
      <c r="D812" s="449"/>
    </row>
    <row r="813" spans="4:4" x14ac:dyDescent="0.35">
      <c r="D813" s="449"/>
    </row>
    <row r="814" spans="4:4" x14ac:dyDescent="0.35">
      <c r="D814" s="449"/>
    </row>
    <row r="815" spans="4:4" x14ac:dyDescent="0.35">
      <c r="D815" s="449"/>
    </row>
    <row r="816" spans="4:4" x14ac:dyDescent="0.35">
      <c r="D816" s="449"/>
    </row>
    <row r="817" spans="4:4" x14ac:dyDescent="0.35">
      <c r="D817" s="449"/>
    </row>
    <row r="818" spans="4:4" x14ac:dyDescent="0.35">
      <c r="D818" s="449"/>
    </row>
    <row r="819" spans="4:4" x14ac:dyDescent="0.35">
      <c r="D819" s="449"/>
    </row>
    <row r="820" spans="4:4" x14ac:dyDescent="0.35">
      <c r="D820" s="449"/>
    </row>
    <row r="821" spans="4:4" x14ac:dyDescent="0.35">
      <c r="D821" s="449"/>
    </row>
    <row r="822" spans="4:4" x14ac:dyDescent="0.35">
      <c r="D822" s="449"/>
    </row>
    <row r="823" spans="4:4" x14ac:dyDescent="0.35">
      <c r="D823" s="449"/>
    </row>
    <row r="824" spans="4:4" x14ac:dyDescent="0.35">
      <c r="D824" s="449"/>
    </row>
    <row r="825" spans="4:4" x14ac:dyDescent="0.35">
      <c r="D825" s="449"/>
    </row>
    <row r="826" spans="4:4" x14ac:dyDescent="0.35">
      <c r="D826" s="449"/>
    </row>
    <row r="827" spans="4:4" x14ac:dyDescent="0.35">
      <c r="D827" s="449"/>
    </row>
    <row r="828" spans="4:4" x14ac:dyDescent="0.35">
      <c r="D828" s="449"/>
    </row>
    <row r="829" spans="4:4" x14ac:dyDescent="0.35">
      <c r="D829" s="449"/>
    </row>
    <row r="830" spans="4:4" x14ac:dyDescent="0.35">
      <c r="D830" s="449"/>
    </row>
    <row r="831" spans="4:4" x14ac:dyDescent="0.35">
      <c r="D831" s="449"/>
    </row>
    <row r="832" spans="4:4" x14ac:dyDescent="0.35">
      <c r="D832" s="449"/>
    </row>
    <row r="833" spans="4:4" x14ac:dyDescent="0.35">
      <c r="D833" s="449"/>
    </row>
    <row r="834" spans="4:4" x14ac:dyDescent="0.35">
      <c r="D834" s="448"/>
    </row>
    <row r="835" spans="4:4" x14ac:dyDescent="0.35">
      <c r="D835" s="448"/>
    </row>
    <row r="836" spans="4:4" x14ac:dyDescent="0.35">
      <c r="D836" s="448"/>
    </row>
    <row r="837" spans="4:4" x14ac:dyDescent="0.35">
      <c r="D837" s="448"/>
    </row>
    <row r="838" spans="4:4" x14ac:dyDescent="0.35">
      <c r="D838" s="448"/>
    </row>
    <row r="839" spans="4:4" x14ac:dyDescent="0.35">
      <c r="D839" s="448"/>
    </row>
    <row r="840" spans="4:4" x14ac:dyDescent="0.35">
      <c r="D840" s="448"/>
    </row>
    <row r="841" spans="4:4" x14ac:dyDescent="0.35">
      <c r="D841" s="448"/>
    </row>
    <row r="842" spans="4:4" x14ac:dyDescent="0.35">
      <c r="D842" s="459"/>
    </row>
    <row r="843" spans="4:4" x14ac:dyDescent="0.35">
      <c r="D843" s="448"/>
    </row>
    <row r="844" spans="4:4" x14ac:dyDescent="0.35">
      <c r="D844" s="459"/>
    </row>
    <row r="845" spans="4:4" x14ac:dyDescent="0.35">
      <c r="D845" s="448"/>
    </row>
    <row r="846" spans="4:4" x14ac:dyDescent="0.35">
      <c r="D846" s="448"/>
    </row>
    <row r="847" spans="4:4" x14ac:dyDescent="0.35">
      <c r="D847" s="449"/>
    </row>
    <row r="848" spans="4:4" x14ac:dyDescent="0.35">
      <c r="D848" s="449"/>
    </row>
    <row r="849" spans="4:4" x14ac:dyDescent="0.35">
      <c r="D849" s="449"/>
    </row>
    <row r="850" spans="4:4" x14ac:dyDescent="0.35">
      <c r="D850" s="449"/>
    </row>
    <row r="851" spans="4:4" x14ac:dyDescent="0.35">
      <c r="D851" s="449"/>
    </row>
    <row r="852" spans="4:4" x14ac:dyDescent="0.35">
      <c r="D852" s="449"/>
    </row>
    <row r="853" spans="4:4" x14ac:dyDescent="0.35">
      <c r="D853" s="449"/>
    </row>
    <row r="854" spans="4:4" x14ac:dyDescent="0.35">
      <c r="D854" s="449"/>
    </row>
    <row r="855" spans="4:4" x14ac:dyDescent="0.35">
      <c r="D855" s="449"/>
    </row>
    <row r="856" spans="4:4" x14ac:dyDescent="0.35">
      <c r="D856" s="449"/>
    </row>
    <row r="857" spans="4:4" x14ac:dyDescent="0.35">
      <c r="D857" s="449"/>
    </row>
    <row r="858" spans="4:4" x14ac:dyDescent="0.35">
      <c r="D858" s="449"/>
    </row>
    <row r="859" spans="4:4" x14ac:dyDescent="0.35">
      <c r="D859" s="449"/>
    </row>
    <row r="860" spans="4:4" x14ac:dyDescent="0.35">
      <c r="D860" s="449"/>
    </row>
    <row r="861" spans="4:4" x14ac:dyDescent="0.35">
      <c r="D861" s="449"/>
    </row>
    <row r="862" spans="4:4" x14ac:dyDescent="0.35">
      <c r="D862" s="449"/>
    </row>
    <row r="863" spans="4:4" x14ac:dyDescent="0.35">
      <c r="D863" s="448"/>
    </row>
    <row r="864" spans="4:4" x14ac:dyDescent="0.35">
      <c r="D864" s="459"/>
    </row>
    <row r="865" spans="4:4" x14ac:dyDescent="0.35">
      <c r="D865" s="459"/>
    </row>
    <row r="866" spans="4:4" x14ac:dyDescent="0.35">
      <c r="D866" s="459"/>
    </row>
    <row r="867" spans="4:4" x14ac:dyDescent="0.35">
      <c r="D867" s="448"/>
    </row>
    <row r="868" spans="4:4" x14ac:dyDescent="0.35">
      <c r="D868" s="449"/>
    </row>
    <row r="869" spans="4:4" x14ac:dyDescent="0.35">
      <c r="D869" s="449"/>
    </row>
    <row r="870" spans="4:4" x14ac:dyDescent="0.35">
      <c r="D870" s="449"/>
    </row>
    <row r="871" spans="4:4" x14ac:dyDescent="0.35">
      <c r="D871" s="449"/>
    </row>
    <row r="872" spans="4:4" x14ac:dyDescent="0.35">
      <c r="D872" s="449"/>
    </row>
    <row r="873" spans="4:4" x14ac:dyDescent="0.35">
      <c r="D873" s="449"/>
    </row>
    <row r="874" spans="4:4" x14ac:dyDescent="0.35">
      <c r="D874" s="449"/>
    </row>
    <row r="875" spans="4:4" x14ac:dyDescent="0.35">
      <c r="D875" s="449"/>
    </row>
    <row r="876" spans="4:4" x14ac:dyDescent="0.35">
      <c r="D876" s="449"/>
    </row>
    <row r="877" spans="4:4" x14ac:dyDescent="0.35">
      <c r="D877" s="449"/>
    </row>
    <row r="878" spans="4:4" x14ac:dyDescent="0.35">
      <c r="D878" s="449"/>
    </row>
    <row r="879" spans="4:4" x14ac:dyDescent="0.35">
      <c r="D879" s="449"/>
    </row>
    <row r="880" spans="4:4" x14ac:dyDescent="0.35">
      <c r="D880" s="449"/>
    </row>
    <row r="881" spans="4:4" x14ac:dyDescent="0.35">
      <c r="D881" s="449"/>
    </row>
    <row r="882" spans="4:4" x14ac:dyDescent="0.35">
      <c r="D882" s="449"/>
    </row>
    <row r="883" spans="4:4" x14ac:dyDescent="0.35">
      <c r="D883" s="449"/>
    </row>
    <row r="884" spans="4:4" x14ac:dyDescent="0.35">
      <c r="D884" s="449"/>
    </row>
    <row r="885" spans="4:4" x14ac:dyDescent="0.35">
      <c r="D885" s="449"/>
    </row>
    <row r="886" spans="4:4" x14ac:dyDescent="0.35">
      <c r="D886" s="449"/>
    </row>
    <row r="887" spans="4:4" x14ac:dyDescent="0.35">
      <c r="D887" s="449"/>
    </row>
    <row r="888" spans="4:4" x14ac:dyDescent="0.35">
      <c r="D888" s="449"/>
    </row>
    <row r="889" spans="4:4" x14ac:dyDescent="0.35">
      <c r="D889" s="449"/>
    </row>
    <row r="890" spans="4:4" x14ac:dyDescent="0.35">
      <c r="D890" s="449"/>
    </row>
    <row r="891" spans="4:4" x14ac:dyDescent="0.35">
      <c r="D891" s="449"/>
    </row>
    <row r="892" spans="4:4" x14ac:dyDescent="0.35">
      <c r="D892" s="448"/>
    </row>
    <row r="893" spans="4:4" x14ac:dyDescent="0.35">
      <c r="D893" s="449"/>
    </row>
    <row r="894" spans="4:4" x14ac:dyDescent="0.35">
      <c r="D894" s="448"/>
    </row>
    <row r="895" spans="4:4" x14ac:dyDescent="0.35">
      <c r="D895" s="448"/>
    </row>
    <row r="896" spans="4:4" x14ac:dyDescent="0.35">
      <c r="D896" s="448"/>
    </row>
    <row r="897" spans="4:4" x14ac:dyDescent="0.35">
      <c r="D897" s="448"/>
    </row>
    <row r="898" spans="4:4" x14ac:dyDescent="0.35">
      <c r="D898" s="448"/>
    </row>
    <row r="899" spans="4:4" x14ac:dyDescent="0.35">
      <c r="D899" s="448"/>
    </row>
    <row r="900" spans="4:4" x14ac:dyDescent="0.35">
      <c r="D900" s="459"/>
    </row>
    <row r="901" spans="4:4" x14ac:dyDescent="0.35">
      <c r="D901" s="448"/>
    </row>
    <row r="902" spans="4:4" x14ac:dyDescent="0.35">
      <c r="D902" s="459"/>
    </row>
    <row r="903" spans="4:4" x14ac:dyDescent="0.35">
      <c r="D903" s="448"/>
    </row>
    <row r="904" spans="4:4" x14ac:dyDescent="0.35">
      <c r="D904" s="448"/>
    </row>
    <row r="905" spans="4:4" x14ac:dyDescent="0.35">
      <c r="D905" s="448"/>
    </row>
    <row r="906" spans="4:4" x14ac:dyDescent="0.35">
      <c r="D906" s="449"/>
    </row>
    <row r="907" spans="4:4" x14ac:dyDescent="0.35">
      <c r="D907" s="449"/>
    </row>
    <row r="908" spans="4:4" x14ac:dyDescent="0.35">
      <c r="D908" s="449"/>
    </row>
    <row r="909" spans="4:4" x14ac:dyDescent="0.35">
      <c r="D909" s="449"/>
    </row>
    <row r="910" spans="4:4" x14ac:dyDescent="0.35">
      <c r="D910" s="449"/>
    </row>
    <row r="911" spans="4:4" x14ac:dyDescent="0.35">
      <c r="D911" s="449"/>
    </row>
    <row r="912" spans="4:4" x14ac:dyDescent="0.35">
      <c r="D912" s="449"/>
    </row>
    <row r="913" spans="4:4" x14ac:dyDescent="0.35">
      <c r="D913" s="449"/>
    </row>
    <row r="914" spans="4:4" x14ac:dyDescent="0.35">
      <c r="D914" s="449"/>
    </row>
    <row r="915" spans="4:4" x14ac:dyDescent="0.35">
      <c r="D915" s="449"/>
    </row>
    <row r="916" spans="4:4" x14ac:dyDescent="0.35">
      <c r="D916" s="449"/>
    </row>
    <row r="917" spans="4:4" x14ac:dyDescent="0.35">
      <c r="D917" s="449"/>
    </row>
    <row r="918" spans="4:4" x14ac:dyDescent="0.35">
      <c r="D918" s="449"/>
    </row>
    <row r="919" spans="4:4" x14ac:dyDescent="0.35">
      <c r="D919" s="449"/>
    </row>
    <row r="920" spans="4:4" x14ac:dyDescent="0.35">
      <c r="D920" s="449"/>
    </row>
    <row r="921" spans="4:4" x14ac:dyDescent="0.35">
      <c r="D921" s="449"/>
    </row>
    <row r="922" spans="4:4" x14ac:dyDescent="0.35">
      <c r="D922" s="449"/>
    </row>
    <row r="923" spans="4:4" x14ac:dyDescent="0.35">
      <c r="D923" s="449"/>
    </row>
    <row r="924" spans="4:4" x14ac:dyDescent="0.35">
      <c r="D924" s="448"/>
    </row>
    <row r="925" spans="4:4" x14ac:dyDescent="0.35">
      <c r="D925" s="448"/>
    </row>
    <row r="926" spans="4:4" x14ac:dyDescent="0.35">
      <c r="D926" s="448"/>
    </row>
    <row r="927" spans="4:4" x14ac:dyDescent="0.35">
      <c r="D927" s="448"/>
    </row>
    <row r="928" spans="4:4" x14ac:dyDescent="0.35">
      <c r="D928" s="448"/>
    </row>
    <row r="929" spans="4:4" x14ac:dyDescent="0.35">
      <c r="D929" s="449"/>
    </row>
    <row r="930" spans="4:4" x14ac:dyDescent="0.35">
      <c r="D930" s="459"/>
    </row>
    <row r="931" spans="4:4" x14ac:dyDescent="0.35">
      <c r="D931" s="448"/>
    </row>
    <row r="932" spans="4:4" x14ac:dyDescent="0.35">
      <c r="D932" s="449"/>
    </row>
    <row r="933" spans="4:4" x14ac:dyDescent="0.35">
      <c r="D933" s="459"/>
    </row>
    <row r="934" spans="4:4" x14ac:dyDescent="0.35">
      <c r="D934" s="448"/>
    </row>
    <row r="935" spans="4:4" x14ac:dyDescent="0.35">
      <c r="D935" s="448"/>
    </row>
    <row r="936" spans="4:4" x14ac:dyDescent="0.35">
      <c r="D936" s="448"/>
    </row>
    <row r="937" spans="4:4" x14ac:dyDescent="0.35">
      <c r="D937" s="449"/>
    </row>
    <row r="938" spans="4:4" x14ac:dyDescent="0.35">
      <c r="D938" s="449"/>
    </row>
    <row r="939" spans="4:4" x14ac:dyDescent="0.35">
      <c r="D939" s="449"/>
    </row>
    <row r="940" spans="4:4" x14ac:dyDescent="0.35">
      <c r="D940" s="449"/>
    </row>
    <row r="941" spans="4:4" x14ac:dyDescent="0.35">
      <c r="D941" s="449"/>
    </row>
    <row r="942" spans="4:4" x14ac:dyDescent="0.35">
      <c r="D942" s="449"/>
    </row>
    <row r="943" spans="4:4" x14ac:dyDescent="0.35">
      <c r="D943" s="449"/>
    </row>
    <row r="944" spans="4:4" x14ac:dyDescent="0.35">
      <c r="D944" s="449"/>
    </row>
    <row r="945" spans="4:4" x14ac:dyDescent="0.35">
      <c r="D945" s="449"/>
    </row>
    <row r="946" spans="4:4" x14ac:dyDescent="0.35">
      <c r="D946" s="449"/>
    </row>
    <row r="947" spans="4:4" x14ac:dyDescent="0.35">
      <c r="D947" s="449"/>
    </row>
    <row r="948" spans="4:4" x14ac:dyDescent="0.35">
      <c r="D948" s="449"/>
    </row>
    <row r="949" spans="4:4" x14ac:dyDescent="0.35">
      <c r="D949" s="449"/>
    </row>
    <row r="950" spans="4:4" x14ac:dyDescent="0.35">
      <c r="D950" s="449"/>
    </row>
    <row r="951" spans="4:4" x14ac:dyDescent="0.35">
      <c r="D951" s="449"/>
    </row>
    <row r="952" spans="4:4" x14ac:dyDescent="0.35">
      <c r="D952" s="449"/>
    </row>
    <row r="953" spans="4:4" x14ac:dyDescent="0.35">
      <c r="D953" s="448"/>
    </row>
    <row r="954" spans="4:4" x14ac:dyDescent="0.35">
      <c r="D954" s="448"/>
    </row>
    <row r="955" spans="4:4" x14ac:dyDescent="0.35">
      <c r="D955" s="459"/>
    </row>
    <row r="956" spans="4:4" x14ac:dyDescent="0.35">
      <c r="D956" s="448"/>
    </row>
    <row r="957" spans="4:4" x14ac:dyDescent="0.35">
      <c r="D957" s="459"/>
    </row>
    <row r="958" spans="4:4" x14ac:dyDescent="0.35">
      <c r="D958" s="448"/>
    </row>
    <row r="959" spans="4:4" x14ac:dyDescent="0.35">
      <c r="D959" s="448"/>
    </row>
    <row r="960" spans="4:4" x14ac:dyDescent="0.35">
      <c r="D960" s="449"/>
    </row>
    <row r="961" spans="4:4" x14ac:dyDescent="0.35">
      <c r="D961" s="449"/>
    </row>
    <row r="962" spans="4:4" x14ac:dyDescent="0.35">
      <c r="D962" s="449"/>
    </row>
    <row r="963" spans="4:4" x14ac:dyDescent="0.35">
      <c r="D963" s="449"/>
    </row>
    <row r="964" spans="4:4" x14ac:dyDescent="0.35">
      <c r="D964" s="449"/>
    </row>
    <row r="965" spans="4:4" x14ac:dyDescent="0.35">
      <c r="D965" s="449"/>
    </row>
    <row r="966" spans="4:4" x14ac:dyDescent="0.35">
      <c r="D966" s="449"/>
    </row>
    <row r="967" spans="4:4" x14ac:dyDescent="0.35">
      <c r="D967" s="449"/>
    </row>
    <row r="968" spans="4:4" x14ac:dyDescent="0.35">
      <c r="D968" s="449"/>
    </row>
    <row r="969" spans="4:4" x14ac:dyDescent="0.35">
      <c r="D969" s="449"/>
    </row>
    <row r="970" spans="4:4" x14ac:dyDescent="0.35">
      <c r="D970" s="449"/>
    </row>
    <row r="971" spans="4:4" x14ac:dyDescent="0.35">
      <c r="D971" s="449"/>
    </row>
    <row r="972" spans="4:4" x14ac:dyDescent="0.35">
      <c r="D972" s="449"/>
    </row>
    <row r="973" spans="4:4" x14ac:dyDescent="0.35">
      <c r="D973" s="449"/>
    </row>
    <row r="974" spans="4:4" x14ac:dyDescent="0.35">
      <c r="D974" s="449"/>
    </row>
    <row r="975" spans="4:4" x14ac:dyDescent="0.35">
      <c r="D975" s="449"/>
    </row>
    <row r="976" spans="4:4" x14ac:dyDescent="0.35">
      <c r="D976" s="449"/>
    </row>
    <row r="977" spans="4:4" x14ac:dyDescent="0.35">
      <c r="D977" s="449"/>
    </row>
    <row r="978" spans="4:4" x14ac:dyDescent="0.35">
      <c r="D978" s="448"/>
    </row>
    <row r="979" spans="4:4" x14ac:dyDescent="0.35">
      <c r="D979" s="448"/>
    </row>
    <row r="980" spans="4:4" x14ac:dyDescent="0.35">
      <c r="D980" s="448"/>
    </row>
    <row r="981" spans="4:4" x14ac:dyDescent="0.35">
      <c r="D981" s="448"/>
    </row>
    <row r="982" spans="4:4" x14ac:dyDescent="0.35">
      <c r="D982" s="448"/>
    </row>
    <row r="983" spans="4:4" x14ac:dyDescent="0.35">
      <c r="D983" s="448"/>
    </row>
    <row r="984" spans="4:4" x14ac:dyDescent="0.35">
      <c r="D984" s="448"/>
    </row>
    <row r="985" spans="4:4" x14ac:dyDescent="0.35">
      <c r="D985" s="459"/>
    </row>
    <row r="986" spans="4:4" x14ac:dyDescent="0.35">
      <c r="D986" s="449"/>
    </row>
    <row r="987" spans="4:4" x14ac:dyDescent="0.35">
      <c r="D987" s="449"/>
    </row>
    <row r="988" spans="4:4" x14ac:dyDescent="0.35">
      <c r="D988" s="449"/>
    </row>
    <row r="989" spans="4:4" x14ac:dyDescent="0.35">
      <c r="D989" s="449"/>
    </row>
    <row r="990" spans="4:4" x14ac:dyDescent="0.35">
      <c r="D990" s="449"/>
    </row>
    <row r="991" spans="4:4" x14ac:dyDescent="0.35">
      <c r="D991" s="449"/>
    </row>
    <row r="992" spans="4:4" x14ac:dyDescent="0.35">
      <c r="D992" s="449"/>
    </row>
    <row r="993" spans="4:4" x14ac:dyDescent="0.35">
      <c r="D993" s="449"/>
    </row>
    <row r="994" spans="4:4" x14ac:dyDescent="0.35">
      <c r="D994" s="449"/>
    </row>
    <row r="995" spans="4:4" x14ac:dyDescent="0.35">
      <c r="D995" s="448"/>
    </row>
    <row r="996" spans="4:4" x14ac:dyDescent="0.35">
      <c r="D996" s="448"/>
    </row>
    <row r="997" spans="4:4" x14ac:dyDescent="0.35">
      <c r="D997" s="448"/>
    </row>
    <row r="998" spans="4:4" x14ac:dyDescent="0.35">
      <c r="D998" s="448"/>
    </row>
    <row r="999" spans="4:4" x14ac:dyDescent="0.35">
      <c r="D999" s="448"/>
    </row>
    <row r="1000" spans="4:4" x14ac:dyDescent="0.35">
      <c r="D1000" s="448"/>
    </row>
    <row r="1001" spans="4:4" x14ac:dyDescent="0.35">
      <c r="D1001" s="448"/>
    </row>
    <row r="1002" spans="4:4" x14ac:dyDescent="0.35">
      <c r="D1002" s="448"/>
    </row>
    <row r="1003" spans="4:4" x14ac:dyDescent="0.35">
      <c r="D1003" s="448"/>
    </row>
    <row r="1004" spans="4:4" x14ac:dyDescent="0.35">
      <c r="D1004" s="448"/>
    </row>
    <row r="1005" spans="4:4" x14ac:dyDescent="0.35">
      <c r="D1005" s="448"/>
    </row>
    <row r="1006" spans="4:4" x14ac:dyDescent="0.35">
      <c r="D1006" s="448"/>
    </row>
    <row r="1007" spans="4:4" x14ac:dyDescent="0.35">
      <c r="D1007" s="448"/>
    </row>
    <row r="1008" spans="4:4" x14ac:dyDescent="0.35">
      <c r="D1008" s="448"/>
    </row>
    <row r="1009" spans="4:4" x14ac:dyDescent="0.35">
      <c r="D1009" s="448"/>
    </row>
    <row r="1010" spans="4:4" x14ac:dyDescent="0.35">
      <c r="D1010" s="448"/>
    </row>
    <row r="1011" spans="4:4" x14ac:dyDescent="0.35">
      <c r="D1011" s="448"/>
    </row>
    <row r="1012" spans="4:4" x14ac:dyDescent="0.35">
      <c r="D1012" s="448"/>
    </row>
    <row r="1013" spans="4:4" x14ac:dyDescent="0.35">
      <c r="D1013" s="448"/>
    </row>
    <row r="1014" spans="4:4" x14ac:dyDescent="0.35">
      <c r="D1014" s="448"/>
    </row>
    <row r="1015" spans="4:4" x14ac:dyDescent="0.35">
      <c r="D1015" s="448"/>
    </row>
    <row r="1016" spans="4:4" x14ac:dyDescent="0.35">
      <c r="D1016" s="448"/>
    </row>
    <row r="1017" spans="4:4" x14ac:dyDescent="0.35">
      <c r="D1017" s="448"/>
    </row>
    <row r="1018" spans="4:4" x14ac:dyDescent="0.35">
      <c r="D1018" s="448"/>
    </row>
    <row r="1019" spans="4:4" x14ac:dyDescent="0.35">
      <c r="D1019" s="448"/>
    </row>
    <row r="1020" spans="4:4" x14ac:dyDescent="0.35">
      <c r="D1020" s="448"/>
    </row>
    <row r="1021" spans="4:4" x14ac:dyDescent="0.35">
      <c r="D1021" s="448"/>
    </row>
    <row r="1022" spans="4:4" x14ac:dyDescent="0.35">
      <c r="D1022" s="448"/>
    </row>
    <row r="1023" spans="4:4" x14ac:dyDescent="0.35">
      <c r="D1023" s="448"/>
    </row>
    <row r="1024" spans="4:4" x14ac:dyDescent="0.35">
      <c r="D1024" s="448"/>
    </row>
    <row r="1025" spans="4:4" x14ac:dyDescent="0.35">
      <c r="D1025" s="448"/>
    </row>
    <row r="1026" spans="4:4" x14ac:dyDescent="0.35">
      <c r="D1026" s="448"/>
    </row>
    <row r="1027" spans="4:4" x14ac:dyDescent="0.35">
      <c r="D1027" s="448"/>
    </row>
    <row r="1028" spans="4:4" x14ac:dyDescent="0.35">
      <c r="D1028" s="448"/>
    </row>
    <row r="1029" spans="4:4" x14ac:dyDescent="0.35">
      <c r="D1029" s="448"/>
    </row>
    <row r="1030" spans="4:4" x14ac:dyDescent="0.35">
      <c r="D1030" s="448"/>
    </row>
    <row r="1031" spans="4:4" x14ac:dyDescent="0.35">
      <c r="D1031" s="449"/>
    </row>
    <row r="1033" spans="4:4" x14ac:dyDescent="0.35">
      <c r="D1033" s="448"/>
    </row>
    <row r="1034" spans="4:4" x14ac:dyDescent="0.35">
      <c r="D1034" s="448"/>
    </row>
    <row r="1035" spans="4:4" x14ac:dyDescent="0.35">
      <c r="D1035" s="450"/>
    </row>
    <row r="1036" spans="4:4" x14ac:dyDescent="0.35">
      <c r="D1036" s="450"/>
    </row>
    <row r="1037" spans="4:4" x14ac:dyDescent="0.35">
      <c r="D1037" s="449"/>
    </row>
    <row r="1038" spans="4:4" x14ac:dyDescent="0.35">
      <c r="D1038" s="448"/>
    </row>
    <row r="1039" spans="4:4" x14ac:dyDescent="0.35">
      <c r="D1039" s="448"/>
    </row>
    <row r="1040" spans="4:4" x14ac:dyDescent="0.35">
      <c r="D1040" s="449"/>
    </row>
    <row r="1041" spans="4:4" x14ac:dyDescent="0.35">
      <c r="D1041" s="449"/>
    </row>
    <row r="1042" spans="4:4" x14ac:dyDescent="0.35">
      <c r="D1042" s="449"/>
    </row>
    <row r="1043" spans="4:4" x14ac:dyDescent="0.35">
      <c r="D1043" s="449"/>
    </row>
    <row r="1044" spans="4:4" x14ac:dyDescent="0.35">
      <c r="D1044" s="449"/>
    </row>
    <row r="1045" spans="4:4" x14ac:dyDescent="0.35">
      <c r="D1045" s="449"/>
    </row>
    <row r="1046" spans="4:4" x14ac:dyDescent="0.35">
      <c r="D1046" s="449"/>
    </row>
    <row r="1047" spans="4:4" x14ac:dyDescent="0.35">
      <c r="D1047" s="459"/>
    </row>
    <row r="1048" spans="4:4" x14ac:dyDescent="0.35">
      <c r="D1048" s="449"/>
    </row>
    <row r="1049" spans="4:4" x14ac:dyDescent="0.35">
      <c r="D1049" s="448"/>
    </row>
    <row r="1050" spans="4:4" x14ac:dyDescent="0.35">
      <c r="D1050" s="449"/>
    </row>
    <row r="1051" spans="4:4" x14ac:dyDescent="0.35">
      <c r="D1051" s="449"/>
    </row>
    <row r="1052" spans="4:4" x14ac:dyDescent="0.35">
      <c r="D1052" s="449"/>
    </row>
    <row r="1053" spans="4:4" x14ac:dyDescent="0.35">
      <c r="D1053" s="449"/>
    </row>
    <row r="1054" spans="4:4" x14ac:dyDescent="0.35">
      <c r="D1054" s="449"/>
    </row>
    <row r="1055" spans="4:4" x14ac:dyDescent="0.35">
      <c r="D1055" s="449"/>
    </row>
    <row r="1056" spans="4:4" x14ac:dyDescent="0.35">
      <c r="D1056" s="449"/>
    </row>
    <row r="1057" spans="4:4" x14ac:dyDescent="0.35">
      <c r="D1057" s="459"/>
    </row>
    <row r="1058" spans="4:4" x14ac:dyDescent="0.35">
      <c r="D1058" s="449"/>
    </row>
    <row r="1059" spans="4:4" x14ac:dyDescent="0.35">
      <c r="D1059" s="448"/>
    </row>
    <row r="1060" spans="4:4" x14ac:dyDescent="0.35">
      <c r="D1060" s="448"/>
    </row>
    <row r="1061" spans="4:4" x14ac:dyDescent="0.35">
      <c r="D1061" s="448"/>
    </row>
    <row r="1062" spans="4:4" x14ac:dyDescent="0.35">
      <c r="D1062" s="448"/>
    </row>
    <row r="1063" spans="4:4" x14ac:dyDescent="0.35">
      <c r="D1063" s="448"/>
    </row>
    <row r="1064" spans="4:4" x14ac:dyDescent="0.35">
      <c r="D1064" s="448"/>
    </row>
    <row r="1065" spans="4:4" x14ac:dyDescent="0.35">
      <c r="D1065" s="448"/>
    </row>
    <row r="1066" spans="4:4" x14ac:dyDescent="0.35">
      <c r="D1066" s="448"/>
    </row>
    <row r="1067" spans="4:4" x14ac:dyDescent="0.35">
      <c r="D1067" s="448"/>
    </row>
    <row r="1068" spans="4:4" x14ac:dyDescent="0.35">
      <c r="D1068" s="448"/>
    </row>
    <row r="1069" spans="4:4" x14ac:dyDescent="0.35">
      <c r="D1069" s="448"/>
    </row>
    <row r="1070" spans="4:4" x14ac:dyDescent="0.35">
      <c r="D1070" s="448"/>
    </row>
    <row r="1071" spans="4:4" x14ac:dyDescent="0.35">
      <c r="D1071" s="448"/>
    </row>
    <row r="1072" spans="4:4" x14ac:dyDescent="0.35">
      <c r="D1072" s="449"/>
    </row>
    <row r="1073" spans="4:4" x14ac:dyDescent="0.35">
      <c r="D1073" s="449"/>
    </row>
    <row r="1074" spans="4:4" x14ac:dyDescent="0.35">
      <c r="D1074" s="449"/>
    </row>
    <row r="1075" spans="4:4" x14ac:dyDescent="0.35">
      <c r="D1075" s="449"/>
    </row>
    <row r="1076" spans="4:4" x14ac:dyDescent="0.35">
      <c r="D1076" s="449"/>
    </row>
    <row r="1077" spans="4:4" x14ac:dyDescent="0.35">
      <c r="D1077" s="449"/>
    </row>
    <row r="1078" spans="4:4" x14ac:dyDescent="0.35">
      <c r="D1078" s="449"/>
    </row>
    <row r="1079" spans="4:4" x14ac:dyDescent="0.35">
      <c r="D1079" s="459"/>
    </row>
    <row r="1080" spans="4:4" x14ac:dyDescent="0.35">
      <c r="D1080" s="449"/>
    </row>
    <row r="1081" spans="4:4" x14ac:dyDescent="0.35">
      <c r="D1081" s="448"/>
    </row>
    <row r="1082" spans="4:4" x14ac:dyDescent="0.35">
      <c r="D1082" s="449"/>
    </row>
    <row r="1083" spans="4:4" x14ac:dyDescent="0.35">
      <c r="D1083" s="449"/>
    </row>
    <row r="1084" spans="4:4" x14ac:dyDescent="0.35">
      <c r="D1084" s="449"/>
    </row>
    <row r="1085" spans="4:4" x14ac:dyDescent="0.35">
      <c r="D1085" s="449"/>
    </row>
    <row r="1086" spans="4:4" x14ac:dyDescent="0.35">
      <c r="D1086" s="449"/>
    </row>
    <row r="1087" spans="4:4" x14ac:dyDescent="0.35">
      <c r="D1087" s="449"/>
    </row>
    <row r="1088" spans="4:4" x14ac:dyDescent="0.35">
      <c r="D1088" s="449"/>
    </row>
    <row r="1089" spans="4:4" x14ac:dyDescent="0.35">
      <c r="D1089" s="459"/>
    </row>
    <row r="1090" spans="4:4" x14ac:dyDescent="0.35">
      <c r="D1090" s="449"/>
    </row>
    <row r="1091" spans="4:4" x14ac:dyDescent="0.35">
      <c r="D1091" s="448"/>
    </row>
    <row r="1092" spans="4:4" x14ac:dyDescent="0.35">
      <c r="D1092" s="448"/>
    </row>
    <row r="1093" spans="4:4" x14ac:dyDescent="0.35">
      <c r="D1093" s="450"/>
    </row>
    <row r="1094" spans="4:4" x14ac:dyDescent="0.35">
      <c r="D1094" s="450"/>
    </row>
    <row r="1095" spans="4:4" x14ac:dyDescent="0.35">
      <c r="D1095" s="450"/>
    </row>
    <row r="1096" spans="4:4" x14ac:dyDescent="0.35">
      <c r="D1096" s="450"/>
    </row>
    <row r="1097" spans="4:4" x14ac:dyDescent="0.35">
      <c r="D1097" s="449"/>
    </row>
    <row r="1098" spans="4:4" x14ac:dyDescent="0.35">
      <c r="D1098" s="449"/>
    </row>
    <row r="1099" spans="4:4" x14ac:dyDescent="0.35">
      <c r="D1099" s="448"/>
    </row>
    <row r="1100" spans="4:4" x14ac:dyDescent="0.35">
      <c r="D1100" s="448"/>
    </row>
    <row r="1101" spans="4:4" x14ac:dyDescent="0.35">
      <c r="D1101" s="449"/>
    </row>
    <row r="1102" spans="4:4" x14ac:dyDescent="0.35">
      <c r="D1102" s="449"/>
    </row>
    <row r="1103" spans="4:4" x14ac:dyDescent="0.35">
      <c r="D1103" s="449"/>
    </row>
    <row r="1104" spans="4:4" x14ac:dyDescent="0.35">
      <c r="D1104" s="449"/>
    </row>
    <row r="1105" spans="4:4" x14ac:dyDescent="0.35">
      <c r="D1105" s="449"/>
    </row>
    <row r="1106" spans="4:4" x14ac:dyDescent="0.35">
      <c r="D1106" s="449"/>
    </row>
    <row r="1107" spans="4:4" x14ac:dyDescent="0.35">
      <c r="D1107" s="449"/>
    </row>
    <row r="1108" spans="4:4" x14ac:dyDescent="0.35">
      <c r="D1108" s="459"/>
    </row>
    <row r="1109" spans="4:4" x14ac:dyDescent="0.35">
      <c r="D1109" s="449"/>
    </row>
    <row r="1110" spans="4:4" x14ac:dyDescent="0.35">
      <c r="D1110" s="449"/>
    </row>
    <row r="1111" spans="4:4" x14ac:dyDescent="0.35">
      <c r="D1111" s="448"/>
    </row>
    <row r="1112" spans="4:4" x14ac:dyDescent="0.35">
      <c r="D1112" s="448"/>
    </row>
    <row r="1113" spans="4:4" x14ac:dyDescent="0.35">
      <c r="D1113" s="449"/>
    </row>
    <row r="1114" spans="4:4" x14ac:dyDescent="0.35">
      <c r="D1114" s="449"/>
    </row>
    <row r="1115" spans="4:4" x14ac:dyDescent="0.35">
      <c r="D1115" s="449"/>
    </row>
    <row r="1116" spans="4:4" x14ac:dyDescent="0.35">
      <c r="D1116" s="449"/>
    </row>
    <row r="1117" spans="4:4" x14ac:dyDescent="0.35">
      <c r="D1117" s="449"/>
    </row>
    <row r="1118" spans="4:4" x14ac:dyDescent="0.35">
      <c r="D1118" s="449"/>
    </row>
    <row r="1119" spans="4:4" x14ac:dyDescent="0.35">
      <c r="D1119" s="449"/>
    </row>
    <row r="1120" spans="4:4" x14ac:dyDescent="0.35">
      <c r="D1120" s="459"/>
    </row>
    <row r="1121" spans="4:4" x14ac:dyDescent="0.35">
      <c r="D1121" s="449"/>
    </row>
    <row r="1122" spans="4:4" x14ac:dyDescent="0.35">
      <c r="D1122" s="449"/>
    </row>
    <row r="1123" spans="4:4" x14ac:dyDescent="0.35">
      <c r="D1123" s="449"/>
    </row>
    <row r="1124" spans="4:4" x14ac:dyDescent="0.35">
      <c r="D1124" s="448"/>
    </row>
    <row r="1125" spans="4:4" x14ac:dyDescent="0.35">
      <c r="D1125" s="448"/>
    </row>
    <row r="1126" spans="4:4" x14ac:dyDescent="0.35">
      <c r="D1126" s="448"/>
    </row>
    <row r="1127" spans="4:4" x14ac:dyDescent="0.35">
      <c r="D1127" s="448"/>
    </row>
    <row r="1128" spans="4:4" x14ac:dyDescent="0.35">
      <c r="D1128" s="448"/>
    </row>
    <row r="1129" spans="4:4" x14ac:dyDescent="0.35">
      <c r="D1129" s="448"/>
    </row>
    <row r="1130" spans="4:4" x14ac:dyDescent="0.35">
      <c r="D1130" s="448"/>
    </row>
    <row r="1131" spans="4:4" x14ac:dyDescent="0.35">
      <c r="D1131" s="448"/>
    </row>
    <row r="1132" spans="4:4" x14ac:dyDescent="0.35">
      <c r="D1132" s="448"/>
    </row>
    <row r="1133" spans="4:4" x14ac:dyDescent="0.35">
      <c r="D1133" s="448"/>
    </row>
    <row r="1134" spans="4:4" x14ac:dyDescent="0.35">
      <c r="D1134" s="448"/>
    </row>
    <row r="1135" spans="4:4" x14ac:dyDescent="0.35">
      <c r="D1135" s="448"/>
    </row>
    <row r="1136" spans="4:4" x14ac:dyDescent="0.35">
      <c r="D1136" s="448"/>
    </row>
    <row r="1137" spans="4:4" x14ac:dyDescent="0.35">
      <c r="D1137" s="448"/>
    </row>
    <row r="1138" spans="4:4" x14ac:dyDescent="0.35">
      <c r="D1138" s="449"/>
    </row>
    <row r="1139" spans="4:4" x14ac:dyDescent="0.35">
      <c r="D1139" s="448"/>
    </row>
    <row r="1141" spans="4:4" x14ac:dyDescent="0.35">
      <c r="D1141" s="448"/>
    </row>
    <row r="1142" spans="4:4" x14ac:dyDescent="0.35">
      <c r="D1142" s="448"/>
    </row>
    <row r="1143" spans="4:4" x14ac:dyDescent="0.35">
      <c r="D1143" s="448"/>
    </row>
    <row r="1144" spans="4:4" x14ac:dyDescent="0.35">
      <c r="D1144" s="450"/>
    </row>
    <row r="1145" spans="4:4" x14ac:dyDescent="0.35">
      <c r="D1145" s="450"/>
    </row>
    <row r="1146" spans="4:4" x14ac:dyDescent="0.35">
      <c r="D1146" s="449"/>
    </row>
    <row r="1147" spans="4:4" x14ac:dyDescent="0.35">
      <c r="D1147" s="448"/>
    </row>
    <row r="1148" spans="4:4" x14ac:dyDescent="0.35">
      <c r="D1148" s="448"/>
    </row>
    <row r="1149" spans="4:4" x14ac:dyDescent="0.35">
      <c r="D1149" s="449"/>
    </row>
    <row r="1150" spans="4:4" x14ac:dyDescent="0.35">
      <c r="D1150" s="449"/>
    </row>
    <row r="1151" spans="4:4" x14ac:dyDescent="0.35">
      <c r="D1151" s="449"/>
    </row>
    <row r="1152" spans="4:4" x14ac:dyDescent="0.35">
      <c r="D1152" s="449"/>
    </row>
    <row r="1153" spans="4:4" x14ac:dyDescent="0.35">
      <c r="D1153" s="449"/>
    </row>
    <row r="1154" spans="4:4" x14ac:dyDescent="0.35">
      <c r="D1154" s="449"/>
    </row>
    <row r="1155" spans="4:4" x14ac:dyDescent="0.35">
      <c r="D1155" s="449"/>
    </row>
    <row r="1156" spans="4:4" x14ac:dyDescent="0.35">
      <c r="D1156" s="449"/>
    </row>
    <row r="1157" spans="4:4" x14ac:dyDescent="0.35">
      <c r="D1157" s="459"/>
    </row>
    <row r="1158" spans="4:4" x14ac:dyDescent="0.35">
      <c r="D1158" s="449"/>
    </row>
    <row r="1159" spans="4:4" x14ac:dyDescent="0.35">
      <c r="D1159" s="449"/>
    </row>
    <row r="1160" spans="4:4" x14ac:dyDescent="0.35">
      <c r="D1160" s="448"/>
    </row>
    <row r="1161" spans="4:4" x14ac:dyDescent="0.35">
      <c r="D1161" s="449"/>
    </row>
    <row r="1162" spans="4:4" x14ac:dyDescent="0.35">
      <c r="D1162" s="449"/>
    </row>
    <row r="1163" spans="4:4" x14ac:dyDescent="0.35">
      <c r="D1163" s="449"/>
    </row>
    <row r="1164" spans="4:4" x14ac:dyDescent="0.35">
      <c r="D1164" s="449"/>
    </row>
    <row r="1165" spans="4:4" x14ac:dyDescent="0.35">
      <c r="D1165" s="449"/>
    </row>
    <row r="1166" spans="4:4" x14ac:dyDescent="0.35">
      <c r="D1166" s="449"/>
    </row>
    <row r="1167" spans="4:4" x14ac:dyDescent="0.35">
      <c r="D1167" s="449"/>
    </row>
    <row r="1168" spans="4:4" x14ac:dyDescent="0.35">
      <c r="D1168" s="449"/>
    </row>
    <row r="1169" spans="4:4" x14ac:dyDescent="0.35">
      <c r="D1169" s="459"/>
    </row>
    <row r="1170" spans="4:4" x14ac:dyDescent="0.35">
      <c r="D1170" s="449"/>
    </row>
    <row r="1171" spans="4:4" x14ac:dyDescent="0.35">
      <c r="D1171" s="449"/>
    </row>
    <row r="1172" spans="4:4" x14ac:dyDescent="0.35">
      <c r="D1172" s="449"/>
    </row>
    <row r="1173" spans="4:4" x14ac:dyDescent="0.35">
      <c r="D1173" s="449"/>
    </row>
    <row r="1174" spans="4:4" x14ac:dyDescent="0.35">
      <c r="D1174" s="448"/>
    </row>
    <row r="1175" spans="4:4" x14ac:dyDescent="0.35">
      <c r="D1175" s="448"/>
    </row>
    <row r="1176" spans="4:4" x14ac:dyDescent="0.35">
      <c r="D1176" s="448"/>
    </row>
    <row r="1177" spans="4:4" x14ac:dyDescent="0.35">
      <c r="D1177" s="448"/>
    </row>
    <row r="1178" spans="4:4" x14ac:dyDescent="0.35">
      <c r="D1178" s="448"/>
    </row>
    <row r="1179" spans="4:4" x14ac:dyDescent="0.35">
      <c r="D1179" s="448"/>
    </row>
    <row r="1180" spans="4:4" x14ac:dyDescent="0.35">
      <c r="D1180" s="448"/>
    </row>
    <row r="1181" spans="4:4" x14ac:dyDescent="0.35">
      <c r="D1181" s="448"/>
    </row>
    <row r="1182" spans="4:4" x14ac:dyDescent="0.35">
      <c r="D1182" s="448"/>
    </row>
    <row r="1183" spans="4:4" x14ac:dyDescent="0.35">
      <c r="D1183" s="448"/>
    </row>
    <row r="1184" spans="4:4" x14ac:dyDescent="0.35">
      <c r="D1184" s="448"/>
    </row>
    <row r="1185" spans="4:4" x14ac:dyDescent="0.35">
      <c r="D1185" s="448"/>
    </row>
    <row r="1186" spans="4:4" x14ac:dyDescent="0.35">
      <c r="D1186" s="448"/>
    </row>
    <row r="1187" spans="4:4" x14ac:dyDescent="0.35">
      <c r="D1187" s="448"/>
    </row>
    <row r="1188" spans="4:4" x14ac:dyDescent="0.35">
      <c r="D1188" s="448"/>
    </row>
    <row r="1189" spans="4:4" x14ac:dyDescent="0.35">
      <c r="D1189" s="448"/>
    </row>
    <row r="1190" spans="4:4" x14ac:dyDescent="0.35">
      <c r="D1190" s="448"/>
    </row>
    <row r="1191" spans="4:4" x14ac:dyDescent="0.35">
      <c r="D1191" s="448"/>
    </row>
    <row r="1192" spans="4:4" x14ac:dyDescent="0.35">
      <c r="D1192" s="448"/>
    </row>
    <row r="1193" spans="4:4" x14ac:dyDescent="0.35">
      <c r="D1193" s="448"/>
    </row>
    <row r="1194" spans="4:4" x14ac:dyDescent="0.35">
      <c r="D1194" s="448"/>
    </row>
    <row r="1195" spans="4:4" x14ac:dyDescent="0.35">
      <c r="D1195" s="448"/>
    </row>
    <row r="1196" spans="4:4" x14ac:dyDescent="0.35">
      <c r="D1196" s="448"/>
    </row>
    <row r="1197" spans="4:4" x14ac:dyDescent="0.35">
      <c r="D1197" s="448"/>
    </row>
    <row r="1198" spans="4:4" x14ac:dyDescent="0.35">
      <c r="D1198" s="448"/>
    </row>
    <row r="1199" spans="4:4" x14ac:dyDescent="0.35">
      <c r="D1199" s="448"/>
    </row>
    <row r="1200" spans="4:4" x14ac:dyDescent="0.35">
      <c r="D1200" s="448"/>
    </row>
    <row r="1201" spans="4:4" x14ac:dyDescent="0.35">
      <c r="D1201" s="448"/>
    </row>
    <row r="1202" spans="4:4" x14ac:dyDescent="0.35">
      <c r="D1202" s="448"/>
    </row>
    <row r="1203" spans="4:4" x14ac:dyDescent="0.35">
      <c r="D1203" s="448"/>
    </row>
    <row r="1204" spans="4:4" x14ac:dyDescent="0.35">
      <c r="D1204" s="448"/>
    </row>
    <row r="1205" spans="4:4" x14ac:dyDescent="0.35">
      <c r="D1205" s="448"/>
    </row>
    <row r="1206" spans="4:4" x14ac:dyDescent="0.35">
      <c r="D1206" s="448"/>
    </row>
    <row r="1207" spans="4:4" x14ac:dyDescent="0.35">
      <c r="D1207" s="448"/>
    </row>
    <row r="1208" spans="4:4" x14ac:dyDescent="0.35">
      <c r="D1208" s="448"/>
    </row>
    <row r="1209" spans="4:4" x14ac:dyDescent="0.35">
      <c r="D1209" s="448"/>
    </row>
    <row r="1210" spans="4:4" x14ac:dyDescent="0.35">
      <c r="D1210" s="448"/>
    </row>
    <row r="1211" spans="4:4" x14ac:dyDescent="0.35">
      <c r="D1211" s="448"/>
    </row>
    <row r="1212" spans="4:4" x14ac:dyDescent="0.35">
      <c r="D1212" s="448"/>
    </row>
    <row r="1213" spans="4:4" x14ac:dyDescent="0.35">
      <c r="D1213" s="448"/>
    </row>
    <row r="1214" spans="4:4" x14ac:dyDescent="0.35">
      <c r="D1214" s="448"/>
    </row>
    <row r="1215" spans="4:4" x14ac:dyDescent="0.35">
      <c r="D1215" s="448"/>
    </row>
    <row r="1216" spans="4:4" x14ac:dyDescent="0.35">
      <c r="D1216" s="448"/>
    </row>
    <row r="1217" spans="4:4" x14ac:dyDescent="0.35">
      <c r="D1217" s="448"/>
    </row>
    <row r="1218" spans="4:4" x14ac:dyDescent="0.35">
      <c r="D1218" s="448"/>
    </row>
    <row r="1219" spans="4:4" x14ac:dyDescent="0.35">
      <c r="D1219" s="448"/>
    </row>
    <row r="1220" spans="4:4" x14ac:dyDescent="0.35">
      <c r="D1220" s="448"/>
    </row>
    <row r="1221" spans="4:4" x14ac:dyDescent="0.35">
      <c r="D1221" s="448"/>
    </row>
    <row r="1222" spans="4:4" x14ac:dyDescent="0.35">
      <c r="D1222" s="448"/>
    </row>
    <row r="1223" spans="4:4" x14ac:dyDescent="0.35">
      <c r="D1223" s="448"/>
    </row>
    <row r="1224" spans="4:4" x14ac:dyDescent="0.35">
      <c r="D1224" s="448"/>
    </row>
    <row r="1225" spans="4:4" x14ac:dyDescent="0.35">
      <c r="D1225" s="448"/>
    </row>
    <row r="1226" spans="4:4" x14ac:dyDescent="0.35">
      <c r="D1226" s="448"/>
    </row>
    <row r="1227" spans="4:4" x14ac:dyDescent="0.35">
      <c r="D1227" s="448"/>
    </row>
    <row r="1228" spans="4:4" x14ac:dyDescent="0.35">
      <c r="D1228" s="448"/>
    </row>
    <row r="1229" spans="4:4" x14ac:dyDescent="0.35">
      <c r="D1229" s="448"/>
    </row>
    <row r="1230" spans="4:4" x14ac:dyDescent="0.35">
      <c r="D1230" s="448"/>
    </row>
    <row r="1231" spans="4:4" x14ac:dyDescent="0.35">
      <c r="D1231" s="448"/>
    </row>
    <row r="1232" spans="4:4" x14ac:dyDescent="0.35">
      <c r="D1232" s="448"/>
    </row>
    <row r="1233" spans="4:4" x14ac:dyDescent="0.35">
      <c r="D1233" s="448"/>
    </row>
    <row r="1234" spans="4:4" x14ac:dyDescent="0.35">
      <c r="D1234" s="448"/>
    </row>
    <row r="1235" spans="4:4" x14ac:dyDescent="0.35">
      <c r="D1235" s="448"/>
    </row>
    <row r="1236" spans="4:4" x14ac:dyDescent="0.35">
      <c r="D1236" s="448"/>
    </row>
    <row r="1237" spans="4:4" x14ac:dyDescent="0.35">
      <c r="D1237" s="448"/>
    </row>
    <row r="1238" spans="4:4" x14ac:dyDescent="0.35">
      <c r="D1238" s="448"/>
    </row>
    <row r="1239" spans="4:4" x14ac:dyDescent="0.35">
      <c r="D1239" s="448"/>
    </row>
    <row r="1240" spans="4:4" x14ac:dyDescent="0.35">
      <c r="D1240" s="448"/>
    </row>
    <row r="1241" spans="4:4" x14ac:dyDescent="0.35">
      <c r="D1241" s="449"/>
    </row>
    <row r="1242" spans="4:4" x14ac:dyDescent="0.35">
      <c r="D1242" s="448"/>
    </row>
    <row r="1244" spans="4:4" x14ac:dyDescent="0.35">
      <c r="D1244" s="448"/>
    </row>
    <row r="1245" spans="4:4" x14ac:dyDescent="0.35">
      <c r="D1245" s="448"/>
    </row>
    <row r="1246" spans="4:4" x14ac:dyDescent="0.35">
      <c r="D1246" s="448"/>
    </row>
    <row r="1247" spans="4:4" x14ac:dyDescent="0.35">
      <c r="D1247" s="450"/>
    </row>
    <row r="1248" spans="4:4" x14ac:dyDescent="0.35">
      <c r="D1248" s="450"/>
    </row>
    <row r="1249" spans="4:4" x14ac:dyDescent="0.35">
      <c r="D1249" s="449"/>
    </row>
    <row r="1250" spans="4:4" x14ac:dyDescent="0.35">
      <c r="D1250" s="448"/>
    </row>
    <row r="1251" spans="4:4" x14ac:dyDescent="0.35">
      <c r="D1251" s="448"/>
    </row>
    <row r="1252" spans="4:4" x14ac:dyDescent="0.35">
      <c r="D1252" s="448"/>
    </row>
    <row r="1253" spans="4:4" x14ac:dyDescent="0.35">
      <c r="D1253" s="449"/>
    </row>
    <row r="1254" spans="4:4" x14ac:dyDescent="0.35">
      <c r="D1254" s="449"/>
    </row>
    <row r="1255" spans="4:4" x14ac:dyDescent="0.35">
      <c r="D1255" s="449"/>
    </row>
    <row r="1256" spans="4:4" x14ac:dyDescent="0.35">
      <c r="D1256" s="449"/>
    </row>
    <row r="1257" spans="4:4" x14ac:dyDescent="0.35">
      <c r="D1257" s="449"/>
    </row>
    <row r="1258" spans="4:4" x14ac:dyDescent="0.35">
      <c r="D1258" s="449"/>
    </row>
    <row r="1259" spans="4:4" x14ac:dyDescent="0.35">
      <c r="D1259" s="449"/>
    </row>
    <row r="1260" spans="4:4" x14ac:dyDescent="0.35">
      <c r="D1260" s="449"/>
    </row>
    <row r="1261" spans="4:4" x14ac:dyDescent="0.35">
      <c r="D1261" s="459"/>
    </row>
    <row r="1262" spans="4:4" x14ac:dyDescent="0.35">
      <c r="D1262" s="449"/>
    </row>
    <row r="1263" spans="4:4" x14ac:dyDescent="0.35">
      <c r="D1263" s="449"/>
    </row>
    <row r="1264" spans="4:4" x14ac:dyDescent="0.35">
      <c r="D1264" s="448"/>
    </row>
    <row r="1265" spans="4:4" x14ac:dyDescent="0.35">
      <c r="D1265" s="449"/>
    </row>
    <row r="1266" spans="4:4" x14ac:dyDescent="0.35">
      <c r="D1266" s="449"/>
    </row>
    <row r="1267" spans="4:4" x14ac:dyDescent="0.35">
      <c r="D1267" s="449"/>
    </row>
    <row r="1268" spans="4:4" x14ac:dyDescent="0.35">
      <c r="D1268" s="449"/>
    </row>
    <row r="1269" spans="4:4" x14ac:dyDescent="0.35">
      <c r="D1269" s="449"/>
    </row>
    <row r="1270" spans="4:4" x14ac:dyDescent="0.35">
      <c r="D1270" s="449"/>
    </row>
    <row r="1271" spans="4:4" x14ac:dyDescent="0.35">
      <c r="D1271" s="449"/>
    </row>
    <row r="1272" spans="4:4" x14ac:dyDescent="0.35">
      <c r="D1272" s="449"/>
    </row>
    <row r="1273" spans="4:4" x14ac:dyDescent="0.35">
      <c r="D1273" s="459"/>
    </row>
    <row r="1274" spans="4:4" x14ac:dyDescent="0.35">
      <c r="D1274" s="449"/>
    </row>
    <row r="1275" spans="4:4" x14ac:dyDescent="0.35">
      <c r="D1275" s="449"/>
    </row>
    <row r="1276" spans="4:4" x14ac:dyDescent="0.35">
      <c r="D1276" s="449"/>
    </row>
    <row r="1277" spans="4:4" x14ac:dyDescent="0.35">
      <c r="D1277" s="448"/>
    </row>
    <row r="1278" spans="4:4" x14ac:dyDescent="0.35">
      <c r="D1278" s="448"/>
    </row>
    <row r="1279" spans="4:4" x14ac:dyDescent="0.35">
      <c r="D1279" s="448"/>
    </row>
    <row r="1280" spans="4:4" x14ac:dyDescent="0.35">
      <c r="D1280" s="448"/>
    </row>
    <row r="1281" spans="4:4" x14ac:dyDescent="0.35">
      <c r="D1281" s="448"/>
    </row>
    <row r="1282" spans="4:4" x14ac:dyDescent="0.35">
      <c r="D1282" s="448"/>
    </row>
    <row r="1283" spans="4:4" x14ac:dyDescent="0.35">
      <c r="D1283" s="448"/>
    </row>
    <row r="1284" spans="4:4" x14ac:dyDescent="0.35">
      <c r="D1284" s="448"/>
    </row>
    <row r="1285" spans="4:4" x14ac:dyDescent="0.35">
      <c r="D1285" s="448"/>
    </row>
    <row r="1286" spans="4:4" x14ac:dyDescent="0.35">
      <c r="D1286" s="448"/>
    </row>
    <row r="1287" spans="4:4" x14ac:dyDescent="0.35">
      <c r="D1287" s="448"/>
    </row>
    <row r="1288" spans="4:4" x14ac:dyDescent="0.35">
      <c r="D1288" s="448"/>
    </row>
    <row r="1289" spans="4:4" x14ac:dyDescent="0.35">
      <c r="D1289" s="448"/>
    </row>
    <row r="1290" spans="4:4" x14ac:dyDescent="0.35">
      <c r="D1290" s="449"/>
    </row>
    <row r="1291" spans="4:4" x14ac:dyDescent="0.35">
      <c r="D1291" s="448"/>
    </row>
    <row r="1293" spans="4:4" x14ac:dyDescent="0.35">
      <c r="D1293" s="448"/>
    </row>
    <row r="1294" spans="4:4" x14ac:dyDescent="0.35">
      <c r="D1294" s="448"/>
    </row>
    <row r="1295" spans="4:4" x14ac:dyDescent="0.35">
      <c r="D1295" s="448"/>
    </row>
    <row r="1296" spans="4:4" x14ac:dyDescent="0.35">
      <c r="D1296" s="450"/>
    </row>
    <row r="1297" spans="4:4" x14ac:dyDescent="0.35">
      <c r="D1297" s="450"/>
    </row>
    <row r="1298" spans="4:4" x14ac:dyDescent="0.35">
      <c r="D1298" s="449"/>
    </row>
    <row r="1299" spans="4:4" x14ac:dyDescent="0.35">
      <c r="D1299" s="448"/>
    </row>
    <row r="1300" spans="4:4" x14ac:dyDescent="0.35">
      <c r="D1300" s="448"/>
    </row>
    <row r="1301" spans="4:4" x14ac:dyDescent="0.35">
      <c r="D1301" s="449"/>
    </row>
    <row r="1302" spans="4:4" x14ac:dyDescent="0.35">
      <c r="D1302" s="449"/>
    </row>
    <row r="1303" spans="4:4" x14ac:dyDescent="0.35">
      <c r="D1303" s="449"/>
    </row>
    <row r="1304" spans="4:4" x14ac:dyDescent="0.35">
      <c r="D1304" s="449"/>
    </row>
    <row r="1305" spans="4:4" x14ac:dyDescent="0.35">
      <c r="D1305" s="449"/>
    </row>
    <row r="1306" spans="4:4" x14ac:dyDescent="0.35">
      <c r="D1306" s="449"/>
    </row>
    <row r="1307" spans="4:4" x14ac:dyDescent="0.35">
      <c r="D1307" s="449"/>
    </row>
    <row r="1308" spans="4:4" x14ac:dyDescent="0.35">
      <c r="D1308" s="449"/>
    </row>
    <row r="1309" spans="4:4" x14ac:dyDescent="0.35">
      <c r="D1309" s="459"/>
    </row>
    <row r="1310" spans="4:4" x14ac:dyDescent="0.35">
      <c r="D1310" s="449"/>
    </row>
    <row r="1311" spans="4:4" x14ac:dyDescent="0.35">
      <c r="D1311" s="448"/>
    </row>
    <row r="1312" spans="4:4" x14ac:dyDescent="0.35">
      <c r="D1312" s="449"/>
    </row>
    <row r="1313" spans="4:4" x14ac:dyDescent="0.35">
      <c r="D1313" s="449"/>
    </row>
    <row r="1314" spans="4:4" x14ac:dyDescent="0.35">
      <c r="D1314" s="449"/>
    </row>
    <row r="1315" spans="4:4" x14ac:dyDescent="0.35">
      <c r="D1315" s="449"/>
    </row>
    <row r="1316" spans="4:4" x14ac:dyDescent="0.35">
      <c r="D1316" s="449"/>
    </row>
    <row r="1317" spans="4:4" x14ac:dyDescent="0.35">
      <c r="D1317" s="449"/>
    </row>
    <row r="1318" spans="4:4" x14ac:dyDescent="0.35">
      <c r="D1318" s="449"/>
    </row>
    <row r="1319" spans="4:4" x14ac:dyDescent="0.35">
      <c r="D1319" s="449"/>
    </row>
    <row r="1320" spans="4:4" x14ac:dyDescent="0.35">
      <c r="D1320" s="459"/>
    </row>
    <row r="1321" spans="4:4" x14ac:dyDescent="0.35">
      <c r="D1321" s="449"/>
    </row>
    <row r="1322" spans="4:4" x14ac:dyDescent="0.35">
      <c r="D1322" s="448"/>
    </row>
    <row r="1323" spans="4:4" x14ac:dyDescent="0.35">
      <c r="D1323" s="448"/>
    </row>
    <row r="1324" spans="4:4" x14ac:dyDescent="0.35">
      <c r="D1324" s="448"/>
    </row>
    <row r="1325" spans="4:4" x14ac:dyDescent="0.35">
      <c r="D1325" s="448"/>
    </row>
    <row r="1326" spans="4:4" x14ac:dyDescent="0.35">
      <c r="D1326" s="449"/>
    </row>
    <row r="1327" spans="4:4" x14ac:dyDescent="0.35">
      <c r="D1327" s="449"/>
    </row>
    <row r="1328" spans="4:4" x14ac:dyDescent="0.35">
      <c r="D1328" s="448"/>
    </row>
    <row r="1329" spans="4:4" x14ac:dyDescent="0.35">
      <c r="D1329" s="448"/>
    </row>
    <row r="1330" spans="4:4" x14ac:dyDescent="0.35">
      <c r="D1330" s="448"/>
    </row>
    <row r="1331" spans="4:4" x14ac:dyDescent="0.35">
      <c r="D1331" s="448"/>
    </row>
    <row r="1332" spans="4:4" x14ac:dyDescent="0.35">
      <c r="D1332" s="448"/>
    </row>
    <row r="1333" spans="4:4" x14ac:dyDescent="0.35">
      <c r="D1333" s="448"/>
    </row>
    <row r="1334" spans="4:4" x14ac:dyDescent="0.35">
      <c r="D1334" s="448"/>
    </row>
    <row r="1335" spans="4:4" x14ac:dyDescent="0.35">
      <c r="D1335" s="448"/>
    </row>
    <row r="1336" spans="4:4" x14ac:dyDescent="0.35">
      <c r="D1336" s="448"/>
    </row>
    <row r="1337" spans="4:4" x14ac:dyDescent="0.35">
      <c r="D1337" s="449"/>
    </row>
    <row r="1338" spans="4:4" x14ac:dyDescent="0.35">
      <c r="D1338" s="449"/>
    </row>
    <row r="1339" spans="4:4" x14ac:dyDescent="0.35">
      <c r="D1339" s="448"/>
    </row>
    <row r="1340" spans="4:4" x14ac:dyDescent="0.35">
      <c r="D1340" s="448"/>
    </row>
    <row r="1341" spans="4:4" x14ac:dyDescent="0.35">
      <c r="D1341" s="448"/>
    </row>
    <row r="1342" spans="4:4" x14ac:dyDescent="0.35">
      <c r="D1342" s="448"/>
    </row>
    <row r="1343" spans="4:4" x14ac:dyDescent="0.35">
      <c r="D1343" s="449"/>
    </row>
    <row r="1344" spans="4:4" x14ac:dyDescent="0.35">
      <c r="D1344" s="448"/>
    </row>
    <row r="1345" spans="4:4" x14ac:dyDescent="0.35">
      <c r="D1345" s="448"/>
    </row>
    <row r="1346" spans="4:4" x14ac:dyDescent="0.35">
      <c r="D1346" s="448"/>
    </row>
    <row r="1347" spans="4:4" x14ac:dyDescent="0.35">
      <c r="D1347" s="448"/>
    </row>
    <row r="1348" spans="4:4" x14ac:dyDescent="0.35">
      <c r="D1348" s="448"/>
    </row>
    <row r="1349" spans="4:4" x14ac:dyDescent="0.35">
      <c r="D1349" s="448"/>
    </row>
    <row r="1350" spans="4:4" x14ac:dyDescent="0.35">
      <c r="D1350" s="448"/>
    </row>
    <row r="1351" spans="4:4" x14ac:dyDescent="0.35">
      <c r="D1351" s="448"/>
    </row>
    <row r="1352" spans="4:4" x14ac:dyDescent="0.35">
      <c r="D1352" s="448"/>
    </row>
    <row r="1353" spans="4:4" x14ac:dyDescent="0.35">
      <c r="D1353" s="448"/>
    </row>
    <row r="1354" spans="4:4" x14ac:dyDescent="0.35">
      <c r="D1354" s="448"/>
    </row>
    <row r="1355" spans="4:4" x14ac:dyDescent="0.35">
      <c r="D1355" s="448"/>
    </row>
    <row r="1356" spans="4:4" x14ac:dyDescent="0.35">
      <c r="D1356" s="448"/>
    </row>
    <row r="1357" spans="4:4" x14ac:dyDescent="0.35">
      <c r="D1357" s="448"/>
    </row>
    <row r="1358" spans="4:4" x14ac:dyDescent="0.35">
      <c r="D1358" s="448"/>
    </row>
    <row r="1359" spans="4:4" x14ac:dyDescent="0.35">
      <c r="D1359" s="448"/>
    </row>
    <row r="1360" spans="4:4" x14ac:dyDescent="0.35">
      <c r="D1360" s="448"/>
    </row>
    <row r="1361" spans="4:4" x14ac:dyDescent="0.35">
      <c r="D1361" s="448"/>
    </row>
    <row r="1362" spans="4:4" x14ac:dyDescent="0.35">
      <c r="D1362" s="448"/>
    </row>
    <row r="1363" spans="4:4" x14ac:dyDescent="0.35">
      <c r="D1363" s="448"/>
    </row>
    <row r="1364" spans="4:4" x14ac:dyDescent="0.35">
      <c r="D1364" s="449"/>
    </row>
    <row r="1365" spans="4:4" x14ac:dyDescent="0.35">
      <c r="D1365" s="448"/>
    </row>
    <row r="1366" spans="4:4" x14ac:dyDescent="0.35">
      <c r="D1366" s="450"/>
    </row>
    <row r="1367" spans="4:4" x14ac:dyDescent="0.35">
      <c r="D1367" s="448"/>
    </row>
    <row r="1368" spans="4:4" x14ac:dyDescent="0.35">
      <c r="D1368" s="449"/>
    </row>
    <row r="1369" spans="4:4" x14ac:dyDescent="0.35">
      <c r="D1369" s="448"/>
    </row>
    <row r="1370" spans="4:4" x14ac:dyDescent="0.35">
      <c r="D1370" s="449"/>
    </row>
    <row r="1371" spans="4:4" x14ac:dyDescent="0.35">
      <c r="D1371" s="448"/>
    </row>
    <row r="1372" spans="4:4" x14ac:dyDescent="0.35">
      <c r="D1372" s="448"/>
    </row>
    <row r="1373" spans="4:4" x14ac:dyDescent="0.35">
      <c r="D1373" s="448"/>
    </row>
    <row r="1374" spans="4:4" x14ac:dyDescent="0.35">
      <c r="D1374" s="449"/>
    </row>
    <row r="1375" spans="4:4" x14ac:dyDescent="0.35">
      <c r="D1375" s="459"/>
    </row>
    <row r="1376" spans="4:4" x14ac:dyDescent="0.35">
      <c r="D1376" s="449"/>
    </row>
    <row r="1377" spans="4:4" x14ac:dyDescent="0.35">
      <c r="D1377" s="448"/>
    </row>
    <row r="1378" spans="4:4" x14ac:dyDescent="0.35">
      <c r="D1378" s="448"/>
    </row>
    <row r="1379" spans="4:4" x14ac:dyDescent="0.35">
      <c r="D1379" s="448"/>
    </row>
    <row r="1380" spans="4:4" x14ac:dyDescent="0.35">
      <c r="D1380" s="448"/>
    </row>
    <row r="1381" spans="4:4" x14ac:dyDescent="0.35">
      <c r="D1381" s="448"/>
    </row>
    <row r="1382" spans="4:4" x14ac:dyDescent="0.35">
      <c r="D1382" s="448"/>
    </row>
    <row r="1383" spans="4:4" x14ac:dyDescent="0.35">
      <c r="D1383" s="448"/>
    </row>
    <row r="1384" spans="4:4" x14ac:dyDescent="0.35">
      <c r="D1384" s="448"/>
    </row>
    <row r="1385" spans="4:4" x14ac:dyDescent="0.35">
      <c r="D1385" s="448"/>
    </row>
    <row r="1386" spans="4:4" x14ac:dyDescent="0.35">
      <c r="D1386" s="448"/>
    </row>
    <row r="1387" spans="4:4" x14ac:dyDescent="0.35">
      <c r="D1387" s="448"/>
    </row>
    <row r="1388" spans="4:4" x14ac:dyDescent="0.35">
      <c r="D1388" s="448"/>
    </row>
    <row r="1389" spans="4:4" x14ac:dyDescent="0.35">
      <c r="D1389" s="448"/>
    </row>
    <row r="1390" spans="4:4" x14ac:dyDescent="0.35">
      <c r="D1390" s="448"/>
    </row>
    <row r="1391" spans="4:4" x14ac:dyDescent="0.35">
      <c r="D1391" s="448"/>
    </row>
    <row r="1392" spans="4:4" x14ac:dyDescent="0.35">
      <c r="D1392" s="448"/>
    </row>
    <row r="1393" spans="4:4" x14ac:dyDescent="0.35">
      <c r="D1393" s="448"/>
    </row>
    <row r="1394" spans="4:4" x14ac:dyDescent="0.35">
      <c r="D1394" s="448"/>
    </row>
    <row r="1395" spans="4:4" x14ac:dyDescent="0.35">
      <c r="D1395" s="448"/>
    </row>
    <row r="1396" spans="4:4" x14ac:dyDescent="0.35">
      <c r="D1396" s="448"/>
    </row>
    <row r="1397" spans="4:4" x14ac:dyDescent="0.35">
      <c r="D1397" s="448"/>
    </row>
    <row r="1398" spans="4:4" x14ac:dyDescent="0.35">
      <c r="D1398" s="448"/>
    </row>
    <row r="1399" spans="4:4" x14ac:dyDescent="0.35">
      <c r="D1399" s="448"/>
    </row>
    <row r="1400" spans="4:4" x14ac:dyDescent="0.35">
      <c r="D1400" s="448"/>
    </row>
    <row r="1401" spans="4:4" x14ac:dyDescent="0.35">
      <c r="D1401" s="448"/>
    </row>
    <row r="1402" spans="4:4" x14ac:dyDescent="0.35">
      <c r="D1402" s="448"/>
    </row>
    <row r="1404" spans="4:4" x14ac:dyDescent="0.35">
      <c r="D1404" s="448"/>
    </row>
    <row r="1405" spans="4:4" x14ac:dyDescent="0.35">
      <c r="D1405" s="448"/>
    </row>
    <row r="1406" spans="4:4" x14ac:dyDescent="0.35">
      <c r="D1406" s="450"/>
    </row>
    <row r="1407" spans="4:4" x14ac:dyDescent="0.35">
      <c r="D1407" s="450"/>
    </row>
    <row r="1408" spans="4:4" x14ac:dyDescent="0.35">
      <c r="D1408" s="450"/>
    </row>
    <row r="1409" spans="4:4" x14ac:dyDescent="0.35">
      <c r="D1409" s="450"/>
    </row>
    <row r="1410" spans="4:4" x14ac:dyDescent="0.35">
      <c r="D1410" s="449"/>
    </row>
    <row r="1411" spans="4:4" x14ac:dyDescent="0.35">
      <c r="D1411" s="449"/>
    </row>
    <row r="1412" spans="4:4" x14ac:dyDescent="0.35">
      <c r="D1412" s="448"/>
    </row>
    <row r="1413" spans="4:4" x14ac:dyDescent="0.35">
      <c r="D1413" s="448"/>
    </row>
    <row r="1414" spans="4:4" x14ac:dyDescent="0.35">
      <c r="D1414" s="449"/>
    </row>
    <row r="1415" spans="4:4" x14ac:dyDescent="0.35">
      <c r="D1415" s="449"/>
    </row>
    <row r="1416" spans="4:4" x14ac:dyDescent="0.35">
      <c r="D1416" s="449"/>
    </row>
    <row r="1417" spans="4:4" x14ac:dyDescent="0.35">
      <c r="D1417" s="449"/>
    </row>
    <row r="1418" spans="4:4" x14ac:dyDescent="0.35">
      <c r="D1418" s="449"/>
    </row>
    <row r="1419" spans="4:4" x14ac:dyDescent="0.35">
      <c r="D1419" s="449"/>
    </row>
    <row r="1420" spans="4:4" x14ac:dyDescent="0.35">
      <c r="D1420" s="449"/>
    </row>
    <row r="1421" spans="4:4" x14ac:dyDescent="0.35">
      <c r="D1421" s="449"/>
    </row>
    <row r="1422" spans="4:4" x14ac:dyDescent="0.35">
      <c r="D1422" s="459"/>
    </row>
    <row r="1423" spans="4:4" x14ac:dyDescent="0.35">
      <c r="D1423" s="449"/>
    </row>
    <row r="1424" spans="4:4" x14ac:dyDescent="0.35">
      <c r="D1424" s="449"/>
    </row>
    <row r="1425" spans="4:4" x14ac:dyDescent="0.35">
      <c r="D1425" s="448"/>
    </row>
    <row r="1426" spans="4:4" x14ac:dyDescent="0.35">
      <c r="D1426" s="448"/>
    </row>
    <row r="1427" spans="4:4" x14ac:dyDescent="0.35">
      <c r="D1427" s="449"/>
    </row>
    <row r="1428" spans="4:4" x14ac:dyDescent="0.35">
      <c r="D1428" s="449"/>
    </row>
    <row r="1429" spans="4:4" x14ac:dyDescent="0.35">
      <c r="D1429" s="449"/>
    </row>
    <row r="1430" spans="4:4" x14ac:dyDescent="0.35">
      <c r="D1430" s="449"/>
    </row>
    <row r="1431" spans="4:4" x14ac:dyDescent="0.35">
      <c r="D1431" s="449"/>
    </row>
    <row r="1432" spans="4:4" x14ac:dyDescent="0.35">
      <c r="D1432" s="449"/>
    </row>
    <row r="1433" spans="4:4" x14ac:dyDescent="0.35">
      <c r="D1433" s="449"/>
    </row>
    <row r="1434" spans="4:4" x14ac:dyDescent="0.35">
      <c r="D1434" s="449"/>
    </row>
    <row r="1435" spans="4:4" x14ac:dyDescent="0.35">
      <c r="D1435" s="459"/>
    </row>
    <row r="1436" spans="4:4" x14ac:dyDescent="0.35">
      <c r="D1436" s="449"/>
    </row>
    <row r="1437" spans="4:4" x14ac:dyDescent="0.35">
      <c r="D1437" s="449"/>
    </row>
    <row r="1438" spans="4:4" x14ac:dyDescent="0.35">
      <c r="D1438" s="449"/>
    </row>
    <row r="1439" spans="4:4" x14ac:dyDescent="0.35">
      <c r="D1439" s="448"/>
    </row>
    <row r="1440" spans="4:4" x14ac:dyDescent="0.35">
      <c r="D1440" s="448"/>
    </row>
    <row r="1441" spans="4:4" x14ac:dyDescent="0.35">
      <c r="D1441" s="448"/>
    </row>
    <row r="1442" spans="4:4" x14ac:dyDescent="0.35">
      <c r="D1442" s="448"/>
    </row>
    <row r="1443" spans="4:4" x14ac:dyDescent="0.35">
      <c r="D1443" s="448"/>
    </row>
    <row r="1444" spans="4:4" x14ac:dyDescent="0.35">
      <c r="D1444" s="448"/>
    </row>
    <row r="1445" spans="4:4" x14ac:dyDescent="0.35">
      <c r="D1445" s="448"/>
    </row>
    <row r="1446" spans="4:4" x14ac:dyDescent="0.35">
      <c r="D1446" s="448"/>
    </row>
    <row r="1447" spans="4:4" x14ac:dyDescent="0.35">
      <c r="D1447" s="448"/>
    </row>
    <row r="1773" spans="4:4" x14ac:dyDescent="0.35">
      <c r="D1773" s="448"/>
    </row>
    <row r="1774" spans="4:4" x14ac:dyDescent="0.35">
      <c r="D1774" s="448"/>
    </row>
    <row r="1775" spans="4:4" x14ac:dyDescent="0.35">
      <c r="D1775" s="448"/>
    </row>
    <row r="1776" spans="4:4" x14ac:dyDescent="0.35">
      <c r="D1776" s="448"/>
    </row>
    <row r="1777" spans="4:4" x14ac:dyDescent="0.35">
      <c r="D1777" s="448"/>
    </row>
    <row r="1778" spans="4:4" x14ac:dyDescent="0.35">
      <c r="D1778" s="448"/>
    </row>
    <row r="1920" spans="4:4" x14ac:dyDescent="0.35">
      <c r="D1920" s="448"/>
    </row>
    <row r="1921" spans="4:4" x14ac:dyDescent="0.35">
      <c r="D1921" s="448"/>
    </row>
    <row r="1922" spans="4:4" x14ac:dyDescent="0.35">
      <c r="D1922" s="448"/>
    </row>
    <row r="1923" spans="4:4" x14ac:dyDescent="0.35">
      <c r="D1923" s="448"/>
    </row>
    <row r="1924" spans="4:4" x14ac:dyDescent="0.35">
      <c r="D1924" s="448"/>
    </row>
    <row r="1925" spans="4:4" x14ac:dyDescent="0.35">
      <c r="D1925" s="448"/>
    </row>
    <row r="1938" spans="4:4" x14ac:dyDescent="0.35">
      <c r="D1938" s="448"/>
    </row>
    <row r="1949" spans="4:4" x14ac:dyDescent="0.35">
      <c r="D1949" s="450"/>
    </row>
    <row r="1950" spans="4:4" x14ac:dyDescent="0.35">
      <c r="D1950" s="450"/>
    </row>
    <row r="1951" spans="4:4" x14ac:dyDescent="0.35">
      <c r="D1951" s="450"/>
    </row>
    <row r="1952" spans="4:4" x14ac:dyDescent="0.35">
      <c r="D1952" s="450"/>
    </row>
    <row r="1953" spans="4:4" x14ac:dyDescent="0.35">
      <c r="D1953" s="450"/>
    </row>
    <row r="1955" spans="4:4" x14ac:dyDescent="0.35">
      <c r="D1955" s="449"/>
    </row>
    <row r="1956" spans="4:4" x14ac:dyDescent="0.35">
      <c r="D1956" s="448"/>
    </row>
    <row r="1958" spans="4:4" x14ac:dyDescent="0.35">
      <c r="D1958" s="448"/>
    </row>
    <row r="1959" spans="4:4" x14ac:dyDescent="0.35">
      <c r="D1959" s="449"/>
    </row>
    <row r="1970" spans="4:4" x14ac:dyDescent="0.35">
      <c r="D1970" s="448"/>
    </row>
    <row r="1972" spans="4:4" x14ac:dyDescent="0.35">
      <c r="D1972" s="448"/>
    </row>
    <row r="1983" spans="4:4" x14ac:dyDescent="0.35">
      <c r="D1983" s="449"/>
    </row>
    <row r="1984" spans="4:4" x14ac:dyDescent="0.35">
      <c r="D1984" s="459"/>
    </row>
    <row r="1985" spans="4:4" x14ac:dyDescent="0.35">
      <c r="D1985" s="449"/>
    </row>
    <row r="2038" spans="4:4" x14ac:dyDescent="0.35">
      <c r="D2038" s="449"/>
    </row>
    <row r="2040" spans="4:4" x14ac:dyDescent="0.35">
      <c r="D2040" s="448"/>
    </row>
    <row r="2061" spans="4:4" x14ac:dyDescent="0.35">
      <c r="D2061" s="448"/>
    </row>
    <row r="2066" spans="1:4" x14ac:dyDescent="0.35">
      <c r="D2066" s="448"/>
    </row>
    <row r="2072" spans="1:4" x14ac:dyDescent="0.35">
      <c r="D2072" s="448"/>
    </row>
    <row r="2073" spans="1:4" x14ac:dyDescent="0.35">
      <c r="A2073" s="451"/>
      <c r="B2073" s="451"/>
      <c r="C2073" s="452"/>
      <c r="D2073" s="455"/>
    </row>
    <row r="2074" spans="1:4" x14ac:dyDescent="0.35">
      <c r="A2074" s="451"/>
      <c r="B2074" s="451"/>
      <c r="C2074" s="452"/>
      <c r="D2074" s="455"/>
    </row>
    <row r="2075" spans="1:4" x14ac:dyDescent="0.35">
      <c r="A2075" s="451"/>
      <c r="B2075" s="451"/>
      <c r="C2075" s="452"/>
      <c r="D2075" s="455"/>
    </row>
    <row r="2076" spans="1:4" x14ac:dyDescent="0.35">
      <c r="A2076" s="451"/>
      <c r="B2076" s="451"/>
      <c r="C2076" s="452"/>
      <c r="D2076" s="455"/>
    </row>
    <row r="2077" spans="1:4" x14ac:dyDescent="0.35">
      <c r="A2077" s="451"/>
      <c r="B2077" s="451"/>
      <c r="C2077" s="452"/>
      <c r="D2077" s="455"/>
    </row>
    <row r="2078" spans="1:4" x14ac:dyDescent="0.35">
      <c r="D2078" s="448"/>
    </row>
    <row r="2079" spans="1:4" x14ac:dyDescent="0.35">
      <c r="D2079" s="448"/>
    </row>
    <row r="2080" spans="1:4" x14ac:dyDescent="0.35">
      <c r="D2080" s="448"/>
    </row>
    <row r="2081" spans="4:4" x14ac:dyDescent="0.35">
      <c r="D2081" s="448"/>
    </row>
    <row r="2082" spans="4:4" x14ac:dyDescent="0.35">
      <c r="D2082" s="448"/>
    </row>
    <row r="2083" spans="4:4" x14ac:dyDescent="0.35">
      <c r="D2083" s="448"/>
    </row>
    <row r="2084" spans="4:4" x14ac:dyDescent="0.35">
      <c r="D2084" s="448"/>
    </row>
    <row r="2085" spans="4:4" x14ac:dyDescent="0.35">
      <c r="D2085" s="448"/>
    </row>
    <row r="2086" spans="4:4" x14ac:dyDescent="0.35">
      <c r="D2086" s="448"/>
    </row>
    <row r="2087" spans="4:4" x14ac:dyDescent="0.35">
      <c r="D2087" s="448"/>
    </row>
    <row r="2088" spans="4:4" x14ac:dyDescent="0.35">
      <c r="D2088" s="448"/>
    </row>
    <row r="2089" spans="4:4" x14ac:dyDescent="0.35">
      <c r="D2089" s="448"/>
    </row>
    <row r="2090" spans="4:4" x14ac:dyDescent="0.35">
      <c r="D2090" s="448"/>
    </row>
    <row r="2091" spans="4:4" x14ac:dyDescent="0.35">
      <c r="D2091" s="448"/>
    </row>
    <row r="2092" spans="4:4" x14ac:dyDescent="0.35">
      <c r="D2092" s="448"/>
    </row>
    <row r="2093" spans="4:4" x14ac:dyDescent="0.35">
      <c r="D2093" s="448"/>
    </row>
    <row r="2094" spans="4:4" x14ac:dyDescent="0.35">
      <c r="D2094" s="448"/>
    </row>
    <row r="2095" spans="4:4" x14ac:dyDescent="0.35">
      <c r="D2095" s="448"/>
    </row>
    <row r="2096" spans="4:4" x14ac:dyDescent="0.35">
      <c r="D2096" s="448"/>
    </row>
    <row r="2097" spans="1:4" x14ac:dyDescent="0.35">
      <c r="D2097" s="448"/>
    </row>
    <row r="2098" spans="1:4" x14ac:dyDescent="0.35">
      <c r="D2098" s="448"/>
    </row>
    <row r="2099" spans="1:4" x14ac:dyDescent="0.35">
      <c r="D2099" s="448"/>
    </row>
    <row r="2100" spans="1:4" x14ac:dyDescent="0.35">
      <c r="D2100" s="448"/>
    </row>
    <row r="2101" spans="1:4" x14ac:dyDescent="0.35">
      <c r="D2101" s="448"/>
    </row>
    <row r="2102" spans="1:4" x14ac:dyDescent="0.35">
      <c r="D2102" s="448"/>
    </row>
    <row r="2103" spans="1:4" x14ac:dyDescent="0.35">
      <c r="D2103" s="448"/>
    </row>
    <row r="2107" spans="1:4" x14ac:dyDescent="0.35">
      <c r="D2107" s="448"/>
    </row>
    <row r="2108" spans="1:4" x14ac:dyDescent="0.35">
      <c r="A2108" s="451"/>
      <c r="B2108" s="451"/>
      <c r="C2108" s="453"/>
      <c r="D2108" s="455"/>
    </row>
    <row r="2114" spans="4:4" x14ac:dyDescent="0.35">
      <c r="D2114" s="450"/>
    </row>
    <row r="2115" spans="4:4" x14ac:dyDescent="0.35">
      <c r="D2115" s="450"/>
    </row>
    <row r="2116" spans="4:4" x14ac:dyDescent="0.35">
      <c r="D2116" s="450"/>
    </row>
    <row r="2117" spans="4:4" x14ac:dyDescent="0.35">
      <c r="D2117" s="450"/>
    </row>
    <row r="2118" spans="4:4" x14ac:dyDescent="0.35">
      <c r="D2118" s="450"/>
    </row>
    <row r="2119" spans="4:4" x14ac:dyDescent="0.35">
      <c r="D2119" s="450"/>
    </row>
    <row r="2120" spans="4:4" x14ac:dyDescent="0.35">
      <c r="D2120" s="450"/>
    </row>
    <row r="2121" spans="4:4" x14ac:dyDescent="0.35">
      <c r="D2121" s="450"/>
    </row>
    <row r="2122" spans="4:4" x14ac:dyDescent="0.35">
      <c r="D2122" s="450"/>
    </row>
    <row r="2123" spans="4:4" x14ac:dyDescent="0.35">
      <c r="D2123" s="450"/>
    </row>
    <row r="2129" spans="1:4" x14ac:dyDescent="0.35">
      <c r="D2129" s="448"/>
    </row>
    <row r="2130" spans="1:4" x14ac:dyDescent="0.35">
      <c r="A2130" s="451"/>
      <c r="B2130" s="451"/>
      <c r="C2130" s="453"/>
      <c r="D2130" s="455"/>
    </row>
    <row r="2131" spans="1:4" x14ac:dyDescent="0.35">
      <c r="D2131" s="449"/>
    </row>
    <row r="2132" spans="1:4" x14ac:dyDescent="0.35">
      <c r="D2132" s="449"/>
    </row>
    <row r="2133" spans="1:4" x14ac:dyDescent="0.35">
      <c r="D2133" s="449"/>
    </row>
    <row r="2134" spans="1:4" x14ac:dyDescent="0.35">
      <c r="D2134" s="449"/>
    </row>
    <row r="2135" spans="1:4" x14ac:dyDescent="0.35">
      <c r="D2135" s="449"/>
    </row>
    <row r="2136" spans="1:4" x14ac:dyDescent="0.35">
      <c r="D2136" s="449"/>
    </row>
    <row r="2137" spans="1:4" x14ac:dyDescent="0.35">
      <c r="D2137" s="449"/>
    </row>
    <row r="2138" spans="1:4" x14ac:dyDescent="0.35">
      <c r="A2138" s="451"/>
      <c r="B2138" s="451"/>
      <c r="C2138" s="454"/>
      <c r="D2138" s="456"/>
    </row>
    <row r="2139" spans="1:4" x14ac:dyDescent="0.35">
      <c r="A2139" s="451"/>
      <c r="B2139" s="451"/>
      <c r="C2139" s="452"/>
      <c r="D2139" s="457"/>
    </row>
    <row r="2140" spans="1:4" x14ac:dyDescent="0.35">
      <c r="D2140" s="449"/>
    </row>
    <row r="2143" spans="1:4" x14ac:dyDescent="0.35">
      <c r="A2143" s="451"/>
      <c r="B2143" s="451"/>
      <c r="C2143" s="453"/>
      <c r="D2143" s="455"/>
    </row>
    <row r="2144" spans="1:4" x14ac:dyDescent="0.35">
      <c r="D2144" s="449"/>
    </row>
    <row r="2145" spans="1:4" x14ac:dyDescent="0.35">
      <c r="D2145" s="449"/>
    </row>
    <row r="2146" spans="1:4" x14ac:dyDescent="0.35">
      <c r="D2146" s="449"/>
    </row>
    <row r="2147" spans="1:4" x14ac:dyDescent="0.35">
      <c r="D2147" s="449"/>
    </row>
    <row r="2148" spans="1:4" x14ac:dyDescent="0.35">
      <c r="D2148" s="449"/>
    </row>
    <row r="2149" spans="1:4" x14ac:dyDescent="0.35">
      <c r="D2149" s="449"/>
    </row>
    <row r="2150" spans="1:4" x14ac:dyDescent="0.35">
      <c r="D2150" s="449"/>
    </row>
    <row r="2151" spans="1:4" x14ac:dyDescent="0.35">
      <c r="A2151" s="451"/>
      <c r="B2151" s="451"/>
      <c r="C2151" s="454"/>
      <c r="D2151" s="456"/>
    </row>
    <row r="2152" spans="1:4" x14ac:dyDescent="0.35">
      <c r="A2152" s="451"/>
      <c r="B2152" s="451"/>
      <c r="C2152" s="452"/>
      <c r="D2152" s="457"/>
    </row>
    <row r="2153" spans="1:4" x14ac:dyDescent="0.35">
      <c r="D2153" s="449"/>
    </row>
    <row r="2156" spans="1:4" x14ac:dyDescent="0.35">
      <c r="D2156" s="448"/>
    </row>
    <row r="2157" spans="1:4" x14ac:dyDescent="0.35">
      <c r="D2157" s="448"/>
    </row>
    <row r="2158" spans="1:4" x14ac:dyDescent="0.35">
      <c r="D2158" s="448"/>
    </row>
    <row r="2159" spans="1:4" x14ac:dyDescent="0.35">
      <c r="D2159" s="448"/>
    </row>
    <row r="2160" spans="1:4" x14ac:dyDescent="0.35">
      <c r="D2160" s="448"/>
    </row>
    <row r="2161" spans="1:4" x14ac:dyDescent="0.35">
      <c r="D2161" s="448"/>
    </row>
    <row r="2162" spans="1:4" x14ac:dyDescent="0.35">
      <c r="D2162" s="448"/>
    </row>
    <row r="2163" spans="1:4" x14ac:dyDescent="0.35">
      <c r="D2163" s="448"/>
    </row>
    <row r="2164" spans="1:4" x14ac:dyDescent="0.35">
      <c r="D2164" s="448"/>
    </row>
    <row r="2165" spans="1:4" x14ac:dyDescent="0.35">
      <c r="A2165" s="451"/>
      <c r="B2165" s="451"/>
      <c r="C2165" s="458"/>
      <c r="D2165" s="455"/>
    </row>
    <row r="2166" spans="1:4" x14ac:dyDescent="0.35">
      <c r="A2166" s="451"/>
      <c r="B2166" s="451"/>
      <c r="C2166" s="458"/>
      <c r="D2166" s="455"/>
    </row>
    <row r="2167" spans="1:4" x14ac:dyDescent="0.35">
      <c r="A2167" s="451"/>
      <c r="B2167" s="451"/>
      <c r="C2167" s="452"/>
      <c r="D2167" s="455"/>
    </row>
    <row r="2168" spans="1:4" x14ac:dyDescent="0.35">
      <c r="D2168" s="449"/>
    </row>
    <row r="2169" spans="1:4" x14ac:dyDescent="0.35">
      <c r="D2169" s="449"/>
    </row>
  </sheetData>
  <autoFilter ref="A1:D1679" xr:uid="{00000000-0009-0000-0000-000003000000}"/>
  <dataConsolid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D68"/>
  <sheetViews>
    <sheetView workbookViewId="0">
      <selection activeCell="B3" sqref="B3:C3"/>
    </sheetView>
  </sheetViews>
  <sheetFormatPr defaultColWidth="0" defaultRowHeight="14.5" zeroHeight="1" x14ac:dyDescent="0.35"/>
  <cols>
    <col min="1" max="1" width="2.7265625" style="1" customWidth="1"/>
    <col min="2" max="2" width="7.54296875" style="1" customWidth="1"/>
    <col min="3" max="3" width="80.54296875" style="1" customWidth="1"/>
    <col min="4" max="4" width="2.7265625" style="1" customWidth="1"/>
    <col min="5" max="16384" width="8.7265625" hidden="1"/>
  </cols>
  <sheetData>
    <row r="1" spans="1:4" ht="53.15" customHeight="1" x14ac:dyDescent="0.35">
      <c r="A1" s="34"/>
      <c r="B1" s="414" t="s">
        <v>0</v>
      </c>
      <c r="C1" s="34"/>
      <c r="D1" s="34"/>
    </row>
    <row r="2" spans="1:4" s="77" customFormat="1" ht="97" customHeight="1" x14ac:dyDescent="0.35">
      <c r="A2" s="411"/>
      <c r="B2" s="849" t="s">
        <v>679</v>
      </c>
      <c r="C2" s="849"/>
      <c r="D2" s="411"/>
    </row>
    <row r="3" spans="1:4" s="410" customFormat="1" ht="23.15" customHeight="1" x14ac:dyDescent="0.35">
      <c r="A3" s="412"/>
      <c r="B3" s="848" t="s">
        <v>1941</v>
      </c>
      <c r="C3" s="848"/>
      <c r="D3" s="412"/>
    </row>
    <row r="4" spans="1:4" s="77" customFormat="1" x14ac:dyDescent="0.35">
      <c r="A4" s="411"/>
      <c r="B4" s="411"/>
      <c r="C4" s="411"/>
      <c r="D4" s="411"/>
    </row>
    <row r="5" spans="1:4" s="77" customFormat="1" x14ac:dyDescent="0.35">
      <c r="A5" s="411"/>
      <c r="B5" s="411" t="s">
        <v>1</v>
      </c>
      <c r="C5" s="34" t="s">
        <v>2</v>
      </c>
      <c r="D5" s="411"/>
    </row>
    <row r="6" spans="1:4" s="77" customFormat="1" x14ac:dyDescent="0.35">
      <c r="A6" s="411"/>
      <c r="B6" s="411"/>
      <c r="C6" s="34"/>
      <c r="D6" s="411"/>
    </row>
    <row r="7" spans="1:4" s="77" customFormat="1" x14ac:dyDescent="0.35">
      <c r="A7" s="411"/>
      <c r="B7" s="411" t="s">
        <v>3</v>
      </c>
      <c r="C7" s="34" t="s">
        <v>4</v>
      </c>
      <c r="D7" s="411"/>
    </row>
    <row r="8" spans="1:4" s="77" customFormat="1" x14ac:dyDescent="0.35">
      <c r="A8" s="411"/>
      <c r="B8" s="411"/>
      <c r="C8" s="34"/>
      <c r="D8" s="411"/>
    </row>
    <row r="9" spans="1:4" s="77" customFormat="1" x14ac:dyDescent="0.35">
      <c r="A9" s="411"/>
      <c r="B9" s="411" t="s">
        <v>5</v>
      </c>
      <c r="C9" s="34" t="s">
        <v>6</v>
      </c>
      <c r="D9" s="411"/>
    </row>
    <row r="10" spans="1:4" s="77" customFormat="1" x14ac:dyDescent="0.35">
      <c r="A10" s="411"/>
      <c r="B10" s="411"/>
      <c r="C10" s="411"/>
      <c r="D10" s="411"/>
    </row>
    <row r="11" spans="1:4" s="77" customFormat="1" x14ac:dyDescent="0.35">
      <c r="A11" s="411"/>
      <c r="B11" s="411"/>
      <c r="C11" s="411"/>
      <c r="D11" s="411"/>
    </row>
    <row r="12" spans="1:4" s="77" customFormat="1" x14ac:dyDescent="0.35">
      <c r="A12" s="411"/>
      <c r="B12" s="411"/>
      <c r="C12" s="411"/>
      <c r="D12" s="411"/>
    </row>
    <row r="13" spans="1:4" s="77" customFormat="1" x14ac:dyDescent="0.35">
      <c r="A13" s="411"/>
      <c r="B13" s="411"/>
      <c r="C13" s="411"/>
      <c r="D13" s="411"/>
    </row>
    <row r="14" spans="1:4" s="77" customFormat="1" x14ac:dyDescent="0.35">
      <c r="A14" s="411"/>
      <c r="B14" s="411"/>
      <c r="C14" s="411"/>
      <c r="D14" s="411"/>
    </row>
    <row r="15" spans="1:4" s="77" customFormat="1" x14ac:dyDescent="0.35">
      <c r="A15" s="411"/>
      <c r="B15" s="411"/>
      <c r="C15" s="411"/>
      <c r="D15" s="411"/>
    </row>
    <row r="16" spans="1:4" s="77" customFormat="1" x14ac:dyDescent="0.35">
      <c r="A16" s="411"/>
      <c r="B16" s="411"/>
      <c r="C16" s="411"/>
      <c r="D16" s="411"/>
    </row>
    <row r="17" spans="1:4" s="77" customFormat="1" x14ac:dyDescent="0.35">
      <c r="A17" s="411"/>
      <c r="B17" s="411"/>
      <c r="C17" s="411"/>
      <c r="D17" s="411"/>
    </row>
    <row r="18" spans="1:4" s="77" customFormat="1" x14ac:dyDescent="0.35">
      <c r="A18" s="411"/>
      <c r="B18" s="411"/>
      <c r="C18" s="411"/>
      <c r="D18" s="411"/>
    </row>
    <row r="19" spans="1:4" s="77" customFormat="1" x14ac:dyDescent="0.35">
      <c r="A19" s="411"/>
      <c r="B19" s="411"/>
      <c r="C19" s="411"/>
      <c r="D19" s="411"/>
    </row>
    <row r="20" spans="1:4" s="77" customFormat="1" x14ac:dyDescent="0.35">
      <c r="A20" s="411"/>
      <c r="B20" s="411"/>
      <c r="C20" s="411"/>
      <c r="D20" s="411"/>
    </row>
    <row r="21" spans="1:4" s="77" customFormat="1" x14ac:dyDescent="0.35">
      <c r="A21" s="411"/>
      <c r="B21" s="411"/>
      <c r="C21" s="411"/>
      <c r="D21" s="411"/>
    </row>
    <row r="22" spans="1:4" s="77" customFormat="1" x14ac:dyDescent="0.35">
      <c r="A22" s="411"/>
      <c r="B22" s="411"/>
      <c r="C22" s="411"/>
      <c r="D22" s="411"/>
    </row>
    <row r="23" spans="1:4" s="77" customFormat="1" x14ac:dyDescent="0.35">
      <c r="A23" s="411"/>
      <c r="B23" s="411"/>
      <c r="C23" s="411"/>
      <c r="D23" s="411"/>
    </row>
    <row r="24" spans="1:4" s="77" customFormat="1" x14ac:dyDescent="0.35">
      <c r="A24" s="411"/>
      <c r="B24" s="411"/>
      <c r="C24" s="411"/>
      <c r="D24" s="411"/>
    </row>
    <row r="25" spans="1:4" s="77" customFormat="1" x14ac:dyDescent="0.35">
      <c r="A25" s="411"/>
      <c r="B25" s="411"/>
      <c r="C25" s="411"/>
      <c r="D25" s="411"/>
    </row>
    <row r="26" spans="1:4" s="77" customFormat="1" x14ac:dyDescent="0.35">
      <c r="A26" s="411"/>
      <c r="B26" s="411"/>
      <c r="C26" s="411"/>
      <c r="D26" s="411"/>
    </row>
    <row r="27" spans="1:4" s="77" customFormat="1" x14ac:dyDescent="0.35">
      <c r="A27" s="411"/>
      <c r="B27" s="411"/>
      <c r="C27" s="411"/>
      <c r="D27" s="411"/>
    </row>
    <row r="28" spans="1:4" s="77" customFormat="1" x14ac:dyDescent="0.35">
      <c r="A28" s="411"/>
      <c r="B28" s="411"/>
      <c r="C28" s="411"/>
      <c r="D28" s="411"/>
    </row>
    <row r="29" spans="1:4" s="77" customFormat="1" x14ac:dyDescent="0.35">
      <c r="A29" s="411"/>
      <c r="B29" s="411"/>
      <c r="C29" s="411"/>
      <c r="D29" s="411"/>
    </row>
    <row r="30" spans="1:4" s="77" customFormat="1" x14ac:dyDescent="0.35">
      <c r="A30" s="411"/>
      <c r="B30" s="411"/>
      <c r="C30" s="411"/>
      <c r="D30" s="411"/>
    </row>
    <row r="31" spans="1:4" s="77" customFormat="1" x14ac:dyDescent="0.35">
      <c r="A31" s="411"/>
      <c r="B31" s="411"/>
      <c r="C31" s="411"/>
      <c r="D31" s="411"/>
    </row>
    <row r="32" spans="1:4" s="77" customFormat="1" x14ac:dyDescent="0.35">
      <c r="A32" s="411"/>
      <c r="B32" s="411"/>
      <c r="C32" s="411"/>
      <c r="D32" s="411"/>
    </row>
    <row r="33" spans="1:4" s="77" customFormat="1" x14ac:dyDescent="0.35">
      <c r="A33" s="411"/>
      <c r="B33" s="411"/>
      <c r="C33" s="411"/>
      <c r="D33" s="411"/>
    </row>
    <row r="34" spans="1:4" s="77" customFormat="1" x14ac:dyDescent="0.35">
      <c r="A34" s="411"/>
      <c r="B34" s="411"/>
      <c r="C34" s="411"/>
      <c r="D34" s="411"/>
    </row>
    <row r="35" spans="1:4" s="77" customFormat="1" x14ac:dyDescent="0.35">
      <c r="A35" s="411"/>
      <c r="B35" s="411"/>
      <c r="C35" s="411"/>
      <c r="D35" s="411"/>
    </row>
    <row r="36" spans="1:4" s="77" customFormat="1" x14ac:dyDescent="0.35">
      <c r="A36" s="411"/>
      <c r="B36" s="411"/>
      <c r="C36" s="411"/>
      <c r="D36" s="411"/>
    </row>
    <row r="37" spans="1:4" x14ac:dyDescent="0.35">
      <c r="A37" s="34"/>
      <c r="B37" s="34"/>
      <c r="C37" s="34"/>
      <c r="D37" s="34"/>
    </row>
    <row r="38" spans="1:4" ht="53.15" customHeight="1" x14ac:dyDescent="0.35">
      <c r="A38" s="34"/>
      <c r="B38" s="417" t="s">
        <v>677</v>
      </c>
      <c r="C38" s="418"/>
      <c r="D38" s="34"/>
    </row>
    <row r="39" spans="1:4" s="77" customFormat="1" ht="104.15" customHeight="1" x14ac:dyDescent="0.35">
      <c r="A39" s="411"/>
      <c r="B39" s="849" t="s">
        <v>678</v>
      </c>
      <c r="C39" s="849"/>
      <c r="D39" s="411"/>
    </row>
    <row r="40" spans="1:4" s="77" customFormat="1" ht="27" x14ac:dyDescent="0.35">
      <c r="A40" s="411"/>
      <c r="B40" s="415" t="s">
        <v>1</v>
      </c>
      <c r="C40" s="413" t="s">
        <v>673</v>
      </c>
      <c r="D40" s="411"/>
    </row>
    <row r="41" spans="1:4" s="77" customFormat="1" x14ac:dyDescent="0.35">
      <c r="A41" s="411"/>
      <c r="B41" s="415"/>
      <c r="C41" s="416"/>
      <c r="D41" s="411"/>
    </row>
    <row r="42" spans="1:4" s="77" customFormat="1" x14ac:dyDescent="0.35">
      <c r="A42" s="411"/>
      <c r="B42" s="415" t="s">
        <v>3</v>
      </c>
      <c r="C42" s="413" t="s">
        <v>674</v>
      </c>
      <c r="D42" s="411"/>
    </row>
    <row r="43" spans="1:4" s="77" customFormat="1" x14ac:dyDescent="0.35">
      <c r="A43" s="411"/>
      <c r="B43" s="415"/>
      <c r="C43" s="416"/>
      <c r="D43" s="411"/>
    </row>
    <row r="44" spans="1:4" s="77" customFormat="1" ht="40.5" x14ac:dyDescent="0.35">
      <c r="A44" s="411"/>
      <c r="B44" s="415" t="s">
        <v>5</v>
      </c>
      <c r="C44" s="413" t="s">
        <v>680</v>
      </c>
      <c r="D44" s="411"/>
    </row>
    <row r="45" spans="1:4" x14ac:dyDescent="0.35"/>
    <row r="46" spans="1:4" ht="40.5" x14ac:dyDescent="0.35">
      <c r="B46" s="415" t="s">
        <v>7</v>
      </c>
      <c r="C46" s="413" t="s">
        <v>675</v>
      </c>
    </row>
    <row r="47" spans="1:4" x14ac:dyDescent="0.35"/>
    <row r="48" spans="1:4" ht="40.5" x14ac:dyDescent="0.35">
      <c r="B48" s="415" t="s">
        <v>8</v>
      </c>
      <c r="C48" s="413" t="s">
        <v>676</v>
      </c>
    </row>
    <row r="49" x14ac:dyDescent="0.35"/>
    <row r="50" x14ac:dyDescent="0.35"/>
    <row r="51" x14ac:dyDescent="0.35"/>
    <row r="52" x14ac:dyDescent="0.35"/>
    <row r="53" x14ac:dyDescent="0.35"/>
    <row r="54" x14ac:dyDescent="0.35"/>
    <row r="55" x14ac:dyDescent="0.35"/>
    <row r="56" x14ac:dyDescent="0.35"/>
    <row r="57" x14ac:dyDescent="0.35"/>
    <row r="58" x14ac:dyDescent="0.35"/>
    <row r="59" x14ac:dyDescent="0.35"/>
    <row r="60" x14ac:dyDescent="0.35"/>
    <row r="61" x14ac:dyDescent="0.35"/>
    <row r="62" x14ac:dyDescent="0.35"/>
    <row r="63" x14ac:dyDescent="0.35"/>
    <row r="64" x14ac:dyDescent="0.35"/>
    <row r="65" x14ac:dyDescent="0.35"/>
    <row r="66" x14ac:dyDescent="0.35"/>
    <row r="67" x14ac:dyDescent="0.35"/>
    <row r="68" x14ac:dyDescent="0.35"/>
  </sheetData>
  <sheetProtection algorithmName="SHA-512" hashValue="LBynmXbpiG2neaOaDUVL1FhRxBcnqRZWqhqmIO9Qt0c7Kax7XxA4ce+3jab54Zm+xeBbG28wTxaqWzYcRrK02A==" saltValue="i1wHktjCvFI4j+8LYbHm+g==" spinCount="100000" sheet="1" objects="1" scenarios="1" selectLockedCells="1" selectUnlockedCells="1"/>
  <mergeCells count="3">
    <mergeCell ref="B3:C3"/>
    <mergeCell ref="B2:C2"/>
    <mergeCell ref="B39:C39"/>
  </mergeCells>
  <pageMargins left="0.7" right="0.7" top="0.5" bottom="0.75" header="0.5" footer="0.5"/>
  <pageSetup fitToHeight="0" orientation="portrait" horizontalDpi="1200" verticalDpi="1200" r:id="rId1"/>
  <headerFooter scaleWithDoc="0"/>
  <rowBreaks count="1" manualBreakCount="1">
    <brk id="3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27B94-57B3-426B-874A-CAEBEF1B00BD}">
  <sheetPr codeName="Sheet12"/>
  <dimension ref="A1:BU1603"/>
  <sheetViews>
    <sheetView zoomScale="55" zoomScaleNormal="55" workbookViewId="0">
      <selection activeCell="B2" sqref="B2"/>
    </sheetView>
  </sheetViews>
  <sheetFormatPr defaultColWidth="0" defaultRowHeight="14.5" x14ac:dyDescent="0.35"/>
  <cols>
    <col min="1" max="2" width="27.81640625" style="806" customWidth="1"/>
    <col min="3" max="6" width="37.1796875" style="377" customWidth="1"/>
    <col min="7" max="73" width="27.81640625" style="806" customWidth="1"/>
    <col min="74" max="16384" width="27.81640625" style="806" hidden="1"/>
  </cols>
  <sheetData>
    <row r="1" spans="1:73" ht="116" x14ac:dyDescent="0.35">
      <c r="A1" s="806" t="s">
        <v>4370</v>
      </c>
      <c r="B1" s="806" t="s">
        <v>4371</v>
      </c>
      <c r="C1" s="814" t="s">
        <v>2459</v>
      </c>
      <c r="D1" s="814" t="s">
        <v>2493</v>
      </c>
      <c r="E1" s="814" t="s">
        <v>2532</v>
      </c>
      <c r="F1" s="814" t="s">
        <v>2498</v>
      </c>
      <c r="G1" s="806" t="s">
        <v>2535</v>
      </c>
      <c r="H1" s="806" t="s">
        <v>2550</v>
      </c>
      <c r="I1" s="806" t="s">
        <v>2576</v>
      </c>
      <c r="J1" s="806" t="s">
        <v>2602</v>
      </c>
      <c r="K1" s="806" t="s">
        <v>2616</v>
      </c>
      <c r="L1" s="806" t="s">
        <v>2632</v>
      </c>
      <c r="M1" s="806" t="s">
        <v>2694</v>
      </c>
      <c r="N1" s="806" t="s">
        <v>2696</v>
      </c>
      <c r="O1" s="806" t="s">
        <v>2736</v>
      </c>
      <c r="P1" s="806" t="s">
        <v>2756</v>
      </c>
      <c r="Q1" s="806" t="s">
        <v>2775</v>
      </c>
      <c r="R1" s="806" t="s">
        <v>2790</v>
      </c>
      <c r="S1" s="806" t="s">
        <v>2807</v>
      </c>
      <c r="T1" s="806" t="s">
        <v>2828</v>
      </c>
      <c r="U1" s="806" t="s">
        <v>2843</v>
      </c>
      <c r="V1" s="806" t="s">
        <v>2863</v>
      </c>
      <c r="W1" s="806" t="s">
        <v>2875</v>
      </c>
      <c r="X1" s="806" t="s">
        <v>2900</v>
      </c>
      <c r="Y1" s="806" t="s">
        <v>2919</v>
      </c>
      <c r="Z1" s="806" t="s">
        <v>2940</v>
      </c>
      <c r="AA1" s="806" t="s">
        <v>2960</v>
      </c>
      <c r="AB1" s="806" t="s">
        <v>3015</v>
      </c>
      <c r="AC1" s="806" t="s">
        <v>3054</v>
      </c>
      <c r="AD1" s="806" t="s">
        <v>3063</v>
      </c>
      <c r="AE1" s="806" t="s">
        <v>3078</v>
      </c>
      <c r="AF1" s="806" t="s">
        <v>3095</v>
      </c>
      <c r="AG1" s="806" t="s">
        <v>3123</v>
      </c>
      <c r="AH1" s="806" t="s">
        <v>3139</v>
      </c>
      <c r="AI1" s="806" t="s">
        <v>3205</v>
      </c>
      <c r="AJ1" s="806" t="s">
        <v>3223</v>
      </c>
      <c r="AK1" s="806" t="s">
        <v>3237</v>
      </c>
      <c r="AL1" s="806" t="s">
        <v>3257</v>
      </c>
      <c r="AM1" s="806" t="s">
        <v>3272</v>
      </c>
      <c r="AN1" s="806" t="s">
        <v>3297</v>
      </c>
      <c r="AO1" s="806" t="s">
        <v>3340</v>
      </c>
      <c r="AP1" s="806" t="s">
        <v>3359</v>
      </c>
      <c r="AQ1" s="806" t="s">
        <v>3374</v>
      </c>
      <c r="AR1" s="806" t="s">
        <v>3391</v>
      </c>
      <c r="AS1" s="806" t="s">
        <v>3414</v>
      </c>
      <c r="AT1" s="806" t="s">
        <v>3441</v>
      </c>
      <c r="AU1" s="806" t="s">
        <v>3458</v>
      </c>
      <c r="AV1" s="806" t="s">
        <v>3473</v>
      </c>
      <c r="AW1" s="806" t="s">
        <v>3485</v>
      </c>
      <c r="AX1" s="806" t="s">
        <v>3522</v>
      </c>
      <c r="AY1" s="806" t="s">
        <v>3552</v>
      </c>
      <c r="AZ1" s="806" t="s">
        <v>3579</v>
      </c>
      <c r="BA1" s="806" t="s">
        <v>3602</v>
      </c>
      <c r="BB1" s="806" t="s">
        <v>3646</v>
      </c>
      <c r="BC1" s="806" t="s">
        <v>3667</v>
      </c>
      <c r="BD1" s="806" t="s">
        <v>3685</v>
      </c>
      <c r="BE1" s="806" t="s">
        <v>3740</v>
      </c>
      <c r="BF1" s="806" t="s">
        <v>3758</v>
      </c>
      <c r="BG1" s="806" t="s">
        <v>3890</v>
      </c>
      <c r="BH1" s="806" t="s">
        <v>3910</v>
      </c>
      <c r="BI1" s="806" t="s">
        <v>3925</v>
      </c>
      <c r="BJ1" s="806" t="s">
        <v>3949</v>
      </c>
      <c r="BK1" s="806" t="s">
        <v>3964</v>
      </c>
      <c r="BL1" s="806" t="s">
        <v>4180</v>
      </c>
      <c r="BM1" s="806" t="s">
        <v>4213</v>
      </c>
      <c r="BN1" s="806" t="s">
        <v>4229</v>
      </c>
      <c r="BO1" s="806" t="s">
        <v>4248</v>
      </c>
      <c r="BP1" s="806" t="s">
        <v>4266</v>
      </c>
      <c r="BQ1" s="806" t="s">
        <v>4280</v>
      </c>
      <c r="BR1" s="806" t="s">
        <v>4309</v>
      </c>
      <c r="BS1" s="806" t="s">
        <v>4325</v>
      </c>
      <c r="BT1" s="806" t="s">
        <v>4326</v>
      </c>
      <c r="BU1" s="806" t="s">
        <v>4346</v>
      </c>
    </row>
    <row r="2" spans="1:73" s="377" customFormat="1" ht="58" x14ac:dyDescent="0.35">
      <c r="A2" s="808">
        <f t="shared" ref="A2:A10" si="0">COUNTA(C2:BU2)</f>
        <v>12</v>
      </c>
      <c r="B2" s="808" t="s">
        <v>1712</v>
      </c>
      <c r="C2" s="813"/>
      <c r="D2" s="813"/>
      <c r="E2" s="813"/>
      <c r="F2" s="813"/>
      <c r="G2" s="808"/>
      <c r="H2" s="808"/>
      <c r="I2" s="808"/>
      <c r="J2" s="808"/>
      <c r="K2" s="808"/>
      <c r="L2" s="808" t="s">
        <v>4376</v>
      </c>
      <c r="M2" s="808"/>
      <c r="N2" s="808"/>
      <c r="O2" s="808"/>
      <c r="P2" s="808"/>
      <c r="Q2" s="808"/>
      <c r="R2" s="808"/>
      <c r="S2" s="808"/>
      <c r="T2" s="808"/>
      <c r="U2" s="808" t="s">
        <v>4377</v>
      </c>
      <c r="V2" s="808" t="s">
        <v>4378</v>
      </c>
      <c r="W2" s="808" t="s">
        <v>4379</v>
      </c>
      <c r="X2" s="808"/>
      <c r="Y2" s="808" t="s">
        <v>4380</v>
      </c>
      <c r="Z2" s="808"/>
      <c r="AA2" s="808"/>
      <c r="AB2" s="808"/>
      <c r="AC2" s="808"/>
      <c r="AD2" s="808"/>
      <c r="AE2" s="808"/>
      <c r="AF2" s="808"/>
      <c r="AG2" s="808"/>
      <c r="AH2" s="808"/>
      <c r="AI2" s="808"/>
      <c r="AJ2" s="808"/>
      <c r="AK2" s="808"/>
      <c r="AL2" s="808"/>
      <c r="AM2" s="808" t="s">
        <v>4381</v>
      </c>
      <c r="AN2" s="808"/>
      <c r="AO2" s="808"/>
      <c r="AP2" s="808"/>
      <c r="AQ2" s="808"/>
      <c r="AR2" s="808"/>
      <c r="AS2" s="808"/>
      <c r="AT2" s="808"/>
      <c r="AU2" s="808"/>
      <c r="AV2" s="808"/>
      <c r="AW2" s="808"/>
      <c r="AX2" s="808"/>
      <c r="AY2" s="808" t="s">
        <v>4382</v>
      </c>
      <c r="AZ2" s="808" t="s">
        <v>4383</v>
      </c>
      <c r="BA2" s="808"/>
      <c r="BB2" s="808"/>
      <c r="BC2" s="808"/>
      <c r="BD2" s="808"/>
      <c r="BE2" s="808"/>
      <c r="BF2" s="808"/>
      <c r="BG2" s="808"/>
      <c r="BH2" s="808"/>
      <c r="BI2" s="808" t="s">
        <v>4384</v>
      </c>
      <c r="BJ2" s="808"/>
      <c r="BK2" s="808"/>
      <c r="BL2" s="808"/>
      <c r="BM2" s="808"/>
      <c r="BN2" s="808"/>
      <c r="BO2" s="808" t="s">
        <v>4385</v>
      </c>
      <c r="BP2" s="808" t="s">
        <v>4386</v>
      </c>
      <c r="BQ2" s="808"/>
      <c r="BR2" s="808"/>
      <c r="BS2" s="808" t="s">
        <v>4382</v>
      </c>
      <c r="BT2" s="808"/>
      <c r="BU2" s="808"/>
    </row>
    <row r="3" spans="1:73" s="377" customFormat="1" ht="409.5" x14ac:dyDescent="0.35">
      <c r="A3" s="808">
        <f t="shared" si="0"/>
        <v>48</v>
      </c>
      <c r="B3" s="808" t="s">
        <v>1708</v>
      </c>
      <c r="C3" s="808" t="s">
        <v>4387</v>
      </c>
      <c r="D3" s="808" t="s">
        <v>4388</v>
      </c>
      <c r="E3" s="808" t="s">
        <v>4389</v>
      </c>
      <c r="F3" s="808"/>
      <c r="G3" s="808" t="s">
        <v>4390</v>
      </c>
      <c r="H3" s="808" t="s">
        <v>4391</v>
      </c>
      <c r="I3" s="808" t="s">
        <v>4392</v>
      </c>
      <c r="J3" s="808" t="s">
        <v>4393</v>
      </c>
      <c r="K3" s="808" t="s">
        <v>4394</v>
      </c>
      <c r="L3" s="808" t="s">
        <v>4395</v>
      </c>
      <c r="M3" s="808" t="s">
        <v>4396</v>
      </c>
      <c r="N3" s="808" t="s">
        <v>4397</v>
      </c>
      <c r="O3" s="808" t="s">
        <v>4398</v>
      </c>
      <c r="P3" s="808"/>
      <c r="Q3" s="808" t="s">
        <v>4399</v>
      </c>
      <c r="R3" s="808"/>
      <c r="S3" s="808" t="s">
        <v>4400</v>
      </c>
      <c r="T3" s="808" t="s">
        <v>4401</v>
      </c>
      <c r="U3" s="808"/>
      <c r="V3" s="808"/>
      <c r="W3" s="808" t="s">
        <v>4402</v>
      </c>
      <c r="X3" s="808" t="s">
        <v>4403</v>
      </c>
      <c r="Y3" s="808" t="s">
        <v>4404</v>
      </c>
      <c r="Z3" s="808" t="s">
        <v>4405</v>
      </c>
      <c r="AA3" s="808" t="s">
        <v>4406</v>
      </c>
      <c r="AB3" s="808"/>
      <c r="AC3" s="808" t="s">
        <v>4407</v>
      </c>
      <c r="AD3" s="808" t="s">
        <v>4408</v>
      </c>
      <c r="AE3" s="808"/>
      <c r="AF3" s="808" t="s">
        <v>4409</v>
      </c>
      <c r="AG3" s="808" t="s">
        <v>4410</v>
      </c>
      <c r="AH3" s="808" t="s">
        <v>4411</v>
      </c>
      <c r="AI3" s="808" t="s">
        <v>4412</v>
      </c>
      <c r="AJ3" s="808"/>
      <c r="AK3" s="808"/>
      <c r="AL3" s="808"/>
      <c r="AM3" s="808" t="s">
        <v>4413</v>
      </c>
      <c r="AN3" s="808" t="s">
        <v>4414</v>
      </c>
      <c r="AO3" s="808" t="s">
        <v>4415</v>
      </c>
      <c r="AP3" s="808"/>
      <c r="AQ3" s="808" t="s">
        <v>4416</v>
      </c>
      <c r="AR3" s="808" t="s">
        <v>4417</v>
      </c>
      <c r="AS3" s="808" t="s">
        <v>4418</v>
      </c>
      <c r="AT3" s="808" t="s">
        <v>4419</v>
      </c>
      <c r="AU3" s="808" t="s">
        <v>4420</v>
      </c>
      <c r="AV3" s="808" t="s">
        <v>4421</v>
      </c>
      <c r="AW3" s="808"/>
      <c r="AX3" s="808"/>
      <c r="AY3" s="808" t="s">
        <v>4422</v>
      </c>
      <c r="AZ3" s="808"/>
      <c r="BA3" s="808"/>
      <c r="BB3" s="808" t="s">
        <v>4423</v>
      </c>
      <c r="BC3" s="808"/>
      <c r="BD3" s="808" t="s">
        <v>4424</v>
      </c>
      <c r="BE3" s="808" t="s">
        <v>4425</v>
      </c>
      <c r="BF3" s="808" t="s">
        <v>4426</v>
      </c>
      <c r="BG3" s="808"/>
      <c r="BH3" s="808"/>
      <c r="BI3" s="808" t="s">
        <v>4427</v>
      </c>
      <c r="BJ3" s="808" t="s">
        <v>4428</v>
      </c>
      <c r="BK3" s="808"/>
      <c r="BL3" s="808"/>
      <c r="BM3" s="808" t="s">
        <v>4429</v>
      </c>
      <c r="BN3" s="808" t="s">
        <v>4430</v>
      </c>
      <c r="BO3" s="808" t="s">
        <v>4431</v>
      </c>
      <c r="BP3" s="808"/>
      <c r="BQ3" s="808"/>
      <c r="BR3" s="808" t="s">
        <v>4432</v>
      </c>
      <c r="BS3" s="808" t="s">
        <v>4422</v>
      </c>
      <c r="BT3" s="808"/>
      <c r="BU3" s="808" t="s">
        <v>4433</v>
      </c>
    </row>
    <row r="4" spans="1:73" s="377" customFormat="1" ht="145" x14ac:dyDescent="0.35">
      <c r="A4" s="808">
        <f t="shared" si="0"/>
        <v>33</v>
      </c>
      <c r="B4" s="808" t="s">
        <v>1709</v>
      </c>
      <c r="C4" s="808"/>
      <c r="D4" s="808"/>
      <c r="E4" s="808"/>
      <c r="F4" s="808"/>
      <c r="G4" s="808"/>
      <c r="H4" s="808" t="s">
        <v>4434</v>
      </c>
      <c r="I4" s="808"/>
      <c r="J4" s="808"/>
      <c r="K4" s="808" t="s">
        <v>4435</v>
      </c>
      <c r="L4" s="808" t="s">
        <v>4436</v>
      </c>
      <c r="M4" s="808"/>
      <c r="N4" s="808" t="s">
        <v>4437</v>
      </c>
      <c r="O4" s="808"/>
      <c r="P4" s="808" t="s">
        <v>4438</v>
      </c>
      <c r="Q4" s="808"/>
      <c r="R4" s="808" t="s">
        <v>4439</v>
      </c>
      <c r="S4" s="808" t="s">
        <v>4440</v>
      </c>
      <c r="T4" s="808"/>
      <c r="U4" s="808" t="s">
        <v>4441</v>
      </c>
      <c r="V4" s="808"/>
      <c r="W4" s="808"/>
      <c r="X4" s="808"/>
      <c r="Y4" s="808" t="s">
        <v>4442</v>
      </c>
      <c r="Z4" s="808"/>
      <c r="AA4" s="808" t="s">
        <v>4443</v>
      </c>
      <c r="AB4" s="808"/>
      <c r="AC4" s="808"/>
      <c r="AD4" s="808"/>
      <c r="AE4" s="808" t="s">
        <v>4444</v>
      </c>
      <c r="AF4" s="808" t="s">
        <v>4445</v>
      </c>
      <c r="AG4" s="808" t="s">
        <v>4446</v>
      </c>
      <c r="AH4" s="808" t="s">
        <v>4447</v>
      </c>
      <c r="AI4" s="808"/>
      <c r="AJ4" s="808" t="s">
        <v>4448</v>
      </c>
      <c r="AK4" s="808" t="s">
        <v>4449</v>
      </c>
      <c r="AL4" s="808" t="s">
        <v>4450</v>
      </c>
      <c r="AM4" s="808" t="s">
        <v>4451</v>
      </c>
      <c r="AN4" s="808"/>
      <c r="AO4" s="808"/>
      <c r="AP4" s="808" t="s">
        <v>4452</v>
      </c>
      <c r="AQ4" s="808"/>
      <c r="AR4" s="808" t="s">
        <v>4453</v>
      </c>
      <c r="AS4" s="808" t="s">
        <v>4454</v>
      </c>
      <c r="AT4" s="808" t="s">
        <v>4455</v>
      </c>
      <c r="AU4" s="808" t="s">
        <v>4456</v>
      </c>
      <c r="AV4" s="808" t="s">
        <v>4457</v>
      </c>
      <c r="AW4" s="808"/>
      <c r="AX4" s="808"/>
      <c r="AY4" s="808" t="s">
        <v>4458</v>
      </c>
      <c r="AZ4" s="808" t="s">
        <v>4459</v>
      </c>
      <c r="BA4" s="808"/>
      <c r="BB4" s="808" t="s">
        <v>4460</v>
      </c>
      <c r="BC4" s="808" t="s">
        <v>4461</v>
      </c>
      <c r="BD4" s="808"/>
      <c r="BE4" s="808" t="s">
        <v>4462</v>
      </c>
      <c r="BF4" s="808"/>
      <c r="BG4" s="808"/>
      <c r="BH4" s="808" t="s">
        <v>4463</v>
      </c>
      <c r="BI4" s="808" t="s">
        <v>4464</v>
      </c>
      <c r="BJ4" s="808"/>
      <c r="BK4" s="808"/>
      <c r="BL4" s="808"/>
      <c r="BM4" s="808"/>
      <c r="BN4" s="808"/>
      <c r="BO4" s="808"/>
      <c r="BP4" s="808"/>
      <c r="BQ4" s="808"/>
      <c r="BR4" s="808"/>
      <c r="BS4" s="808" t="s">
        <v>4458</v>
      </c>
      <c r="BT4" s="808" t="s">
        <v>4465</v>
      </c>
      <c r="BU4" s="808"/>
    </row>
    <row r="5" spans="1:73" s="377" customFormat="1" ht="43.5" x14ac:dyDescent="0.35">
      <c r="A5" s="808">
        <f t="shared" si="0"/>
        <v>12</v>
      </c>
      <c r="B5" s="808" t="s">
        <v>1711</v>
      </c>
      <c r="C5" s="808" t="s">
        <v>4466</v>
      </c>
      <c r="D5" s="808" t="s">
        <v>4467</v>
      </c>
      <c r="E5" s="808" t="s">
        <v>4466</v>
      </c>
      <c r="F5" s="808" t="s">
        <v>4467</v>
      </c>
      <c r="G5" s="808"/>
      <c r="H5" s="808"/>
      <c r="I5" s="808" t="s">
        <v>4468</v>
      </c>
      <c r="J5" s="808"/>
      <c r="K5" s="808"/>
      <c r="L5" s="808"/>
      <c r="M5" s="808"/>
      <c r="N5" s="808" t="s">
        <v>4469</v>
      </c>
      <c r="O5" s="808"/>
      <c r="P5" s="808"/>
      <c r="Q5" s="808"/>
      <c r="R5" s="808"/>
      <c r="S5" s="808"/>
      <c r="T5" s="808"/>
      <c r="U5" s="808"/>
      <c r="V5" s="808"/>
      <c r="W5" s="808"/>
      <c r="X5" s="808"/>
      <c r="Y5" s="808"/>
      <c r="Z5" s="808"/>
      <c r="AA5" s="808"/>
      <c r="AB5" s="808" t="s">
        <v>4470</v>
      </c>
      <c r="AC5" s="808" t="s">
        <v>4471</v>
      </c>
      <c r="AD5" s="808"/>
      <c r="AE5" s="808"/>
      <c r="AF5" s="808" t="s">
        <v>4472</v>
      </c>
      <c r="AG5" s="808"/>
      <c r="AH5" s="808" t="s">
        <v>4473</v>
      </c>
      <c r="AI5" s="808"/>
      <c r="AJ5" s="808"/>
      <c r="AK5" s="808"/>
      <c r="AL5" s="808"/>
      <c r="AM5" s="808"/>
      <c r="AN5" s="808"/>
      <c r="AO5" s="808"/>
      <c r="AP5" s="808"/>
      <c r="AQ5" s="808"/>
      <c r="AR5" s="808"/>
      <c r="AS5" s="808"/>
      <c r="AT5" s="808"/>
      <c r="AU5" s="808"/>
      <c r="AV5" s="808"/>
      <c r="AW5" s="808"/>
      <c r="AX5" s="808"/>
      <c r="AY5" s="808"/>
      <c r="AZ5" s="808"/>
      <c r="BA5" s="808" t="s">
        <v>4474</v>
      </c>
      <c r="BB5" s="808"/>
      <c r="BC5" s="808"/>
      <c r="BD5" s="808"/>
      <c r="BE5" s="808"/>
      <c r="BF5" s="808"/>
      <c r="BG5" s="808"/>
      <c r="BH5" s="808"/>
      <c r="BI5" s="808"/>
      <c r="BJ5" s="808"/>
      <c r="BK5" s="808" t="s">
        <v>4475</v>
      </c>
      <c r="BL5" s="808"/>
      <c r="BM5" s="808"/>
      <c r="BN5" s="808"/>
      <c r="BO5" s="808"/>
      <c r="BP5" s="808"/>
      <c r="BQ5" s="808"/>
      <c r="BR5" s="808"/>
      <c r="BS5" s="808"/>
      <c r="BT5" s="808"/>
      <c r="BU5" s="808"/>
    </row>
    <row r="6" spans="1:73" s="377" customFormat="1" x14ac:dyDescent="0.35">
      <c r="A6" s="808">
        <f t="shared" si="0"/>
        <v>0</v>
      </c>
      <c r="B6" s="808" t="s">
        <v>1710</v>
      </c>
      <c r="C6" s="808"/>
      <c r="D6" s="808"/>
      <c r="E6" s="808"/>
      <c r="F6" s="808"/>
      <c r="G6" s="808"/>
      <c r="H6" s="808"/>
      <c r="I6" s="808"/>
      <c r="J6" s="808"/>
      <c r="K6" s="808"/>
      <c r="L6" s="808"/>
      <c r="M6" s="808"/>
      <c r="N6" s="808"/>
      <c r="O6" s="808"/>
      <c r="P6" s="808"/>
      <c r="Q6" s="808"/>
      <c r="R6" s="808"/>
      <c r="S6" s="808"/>
      <c r="T6" s="808"/>
      <c r="U6" s="808"/>
      <c r="V6" s="808"/>
      <c r="W6" s="808"/>
      <c r="X6" s="808"/>
      <c r="Y6" s="808"/>
      <c r="Z6" s="808"/>
      <c r="AA6" s="808"/>
      <c r="AB6" s="808"/>
      <c r="AC6" s="808"/>
      <c r="AD6" s="808"/>
      <c r="AE6" s="808"/>
      <c r="AF6" s="808"/>
      <c r="AG6" s="808"/>
      <c r="AH6" s="808"/>
      <c r="AI6" s="808"/>
      <c r="AJ6" s="808"/>
      <c r="AK6" s="808"/>
      <c r="AL6" s="808"/>
      <c r="AM6" s="808"/>
      <c r="AN6" s="808"/>
      <c r="AO6" s="808"/>
      <c r="AP6" s="808"/>
      <c r="AQ6" s="808"/>
      <c r="AR6" s="808"/>
      <c r="AS6" s="808"/>
      <c r="AT6" s="808"/>
      <c r="AU6" s="808"/>
      <c r="AV6" s="808"/>
      <c r="AW6" s="808"/>
      <c r="AX6" s="808"/>
      <c r="AY6" s="808"/>
      <c r="AZ6" s="808"/>
      <c r="BA6" s="808"/>
      <c r="BB6" s="808"/>
      <c r="BC6" s="808"/>
      <c r="BD6" s="808"/>
      <c r="BE6" s="808"/>
      <c r="BF6" s="808"/>
      <c r="BG6" s="808"/>
      <c r="BH6" s="808"/>
      <c r="BI6" s="808"/>
      <c r="BJ6" s="808"/>
      <c r="BK6" s="808"/>
      <c r="BL6" s="808"/>
      <c r="BM6" s="808"/>
      <c r="BN6" s="808"/>
      <c r="BO6" s="808"/>
      <c r="BP6" s="808"/>
      <c r="BQ6" s="808"/>
      <c r="BR6" s="808"/>
      <c r="BS6" s="808"/>
      <c r="BT6" s="808"/>
      <c r="BU6" s="808"/>
    </row>
    <row r="7" spans="1:73" s="377" customFormat="1" ht="58" x14ac:dyDescent="0.35">
      <c r="A7" s="808">
        <f t="shared" si="0"/>
        <v>2</v>
      </c>
      <c r="B7" s="808" t="s">
        <v>1716</v>
      </c>
      <c r="C7" s="808"/>
      <c r="D7" s="808"/>
      <c r="E7" s="808"/>
      <c r="F7" s="808"/>
      <c r="G7" s="808"/>
      <c r="H7" s="808"/>
      <c r="I7" s="808"/>
      <c r="J7" s="808"/>
      <c r="K7" s="808"/>
      <c r="L7" s="808"/>
      <c r="M7" s="808"/>
      <c r="N7" s="808"/>
      <c r="O7" s="808"/>
      <c r="P7" s="808"/>
      <c r="Q7" s="808"/>
      <c r="R7" s="808"/>
      <c r="S7" s="808"/>
      <c r="T7" s="808"/>
      <c r="U7" s="808"/>
      <c r="V7" s="808"/>
      <c r="W7" s="808"/>
      <c r="X7" s="808"/>
      <c r="Y7" s="808"/>
      <c r="Z7" s="808"/>
      <c r="AA7" s="808"/>
      <c r="AB7" s="808"/>
      <c r="AC7" s="808"/>
      <c r="AD7" s="808"/>
      <c r="AE7" s="808"/>
      <c r="AF7" s="808"/>
      <c r="AG7" s="808"/>
      <c r="AH7" s="808"/>
      <c r="AI7" s="808"/>
      <c r="AJ7" s="808"/>
      <c r="AK7" s="808"/>
      <c r="AL7" s="808"/>
      <c r="AM7" s="808"/>
      <c r="AN7" s="808"/>
      <c r="AO7" s="808"/>
      <c r="AP7" s="808"/>
      <c r="AQ7" s="808"/>
      <c r="AR7" s="808"/>
      <c r="AS7" s="808"/>
      <c r="AT7" s="808"/>
      <c r="AU7" s="808"/>
      <c r="AV7" s="808"/>
      <c r="AW7" s="808"/>
      <c r="AX7" s="808"/>
      <c r="AY7" s="808"/>
      <c r="AZ7" s="808"/>
      <c r="BA7" s="808"/>
      <c r="BB7" s="808"/>
      <c r="BC7" s="808"/>
      <c r="BD7" s="808"/>
      <c r="BE7" s="808"/>
      <c r="BF7" s="808"/>
      <c r="BG7" s="808" t="s">
        <v>4476</v>
      </c>
      <c r="BH7" s="808"/>
      <c r="BI7" s="808"/>
      <c r="BJ7" s="808"/>
      <c r="BK7" s="808"/>
      <c r="BL7" s="808" t="s">
        <v>4477</v>
      </c>
      <c r="BM7" s="808"/>
      <c r="BN7" s="808"/>
      <c r="BO7" s="808"/>
      <c r="BP7" s="808"/>
      <c r="BQ7" s="808"/>
      <c r="BR7" s="808"/>
      <c r="BS7" s="808"/>
      <c r="BT7" s="808"/>
      <c r="BU7" s="808"/>
    </row>
    <row r="8" spans="1:73" s="377" customFormat="1" ht="232" x14ac:dyDescent="0.35">
      <c r="A8" s="808">
        <f t="shared" si="0"/>
        <v>3</v>
      </c>
      <c r="B8" s="808" t="s">
        <v>1713</v>
      </c>
      <c r="C8" s="808"/>
      <c r="D8" s="808"/>
      <c r="E8" s="808"/>
      <c r="F8" s="808"/>
      <c r="G8" s="808"/>
      <c r="H8" s="808"/>
      <c r="I8" s="808"/>
      <c r="J8" s="808"/>
      <c r="K8" s="808"/>
      <c r="L8" s="808"/>
      <c r="M8" s="808"/>
      <c r="N8" s="808"/>
      <c r="O8" s="808"/>
      <c r="P8" s="808"/>
      <c r="Q8" s="808"/>
      <c r="R8" s="808"/>
      <c r="S8" s="808"/>
      <c r="T8" s="808"/>
      <c r="U8" s="808"/>
      <c r="V8" s="808"/>
      <c r="W8" s="808"/>
      <c r="X8" s="808"/>
      <c r="Y8" s="808"/>
      <c r="Z8" s="808"/>
      <c r="AA8" s="808" t="s">
        <v>4478</v>
      </c>
      <c r="AB8" s="808"/>
      <c r="AC8" s="808"/>
      <c r="AD8" s="808"/>
      <c r="AE8" s="808"/>
      <c r="AF8" s="808"/>
      <c r="AG8" s="808"/>
      <c r="AH8" s="808" t="s">
        <v>4479</v>
      </c>
      <c r="AI8" s="808"/>
      <c r="AJ8" s="808"/>
      <c r="AK8" s="808"/>
      <c r="AL8" s="808"/>
      <c r="AM8" s="808"/>
      <c r="AN8" s="808"/>
      <c r="AO8" s="808"/>
      <c r="AP8" s="808"/>
      <c r="AQ8" s="808"/>
      <c r="AR8" s="808"/>
      <c r="AS8" s="808"/>
      <c r="AT8" s="808"/>
      <c r="AU8" s="808"/>
      <c r="AV8" s="808"/>
      <c r="AW8" s="808"/>
      <c r="AX8" s="808"/>
      <c r="AY8" s="808"/>
      <c r="AZ8" s="808"/>
      <c r="BA8" s="808"/>
      <c r="BB8" s="808"/>
      <c r="BC8" s="808"/>
      <c r="BD8" s="808"/>
      <c r="BE8" s="808"/>
      <c r="BF8" s="808"/>
      <c r="BG8" s="808"/>
      <c r="BH8" s="808"/>
      <c r="BI8" s="808"/>
      <c r="BJ8" s="808"/>
      <c r="BK8" s="808"/>
      <c r="BL8" s="808"/>
      <c r="BM8" s="808"/>
      <c r="BN8" s="808"/>
      <c r="BO8" s="808"/>
      <c r="BP8" s="808"/>
      <c r="BQ8" s="808"/>
      <c r="BR8" s="808"/>
      <c r="BS8" s="808"/>
      <c r="BT8" s="808"/>
      <c r="BU8" s="808" t="s">
        <v>4480</v>
      </c>
    </row>
    <row r="9" spans="1:73" s="377" customFormat="1" ht="29" x14ac:dyDescent="0.35">
      <c r="A9" s="808">
        <f t="shared" si="0"/>
        <v>1</v>
      </c>
      <c r="B9" s="808" t="s">
        <v>1714</v>
      </c>
      <c r="C9" s="808"/>
      <c r="D9" s="808"/>
      <c r="E9" s="808"/>
      <c r="F9" s="808"/>
      <c r="G9" s="808"/>
      <c r="H9" s="808"/>
      <c r="I9" s="808"/>
      <c r="J9" s="808"/>
      <c r="K9" s="808"/>
      <c r="L9" s="808"/>
      <c r="M9" s="808"/>
      <c r="N9" s="808"/>
      <c r="O9" s="808"/>
      <c r="P9" s="808"/>
      <c r="Q9" s="808"/>
      <c r="R9" s="808"/>
      <c r="S9" s="808"/>
      <c r="T9" s="808"/>
      <c r="U9" s="808"/>
      <c r="V9" s="808"/>
      <c r="W9" s="808"/>
      <c r="X9" s="808"/>
      <c r="Y9" s="808"/>
      <c r="Z9" s="808"/>
      <c r="AA9" s="808"/>
      <c r="AB9" s="808"/>
      <c r="AC9" s="808"/>
      <c r="AD9" s="808"/>
      <c r="AE9" s="808"/>
      <c r="AF9" s="808"/>
      <c r="AG9" s="808"/>
      <c r="AH9" s="808"/>
      <c r="AI9" s="808"/>
      <c r="AJ9" s="808"/>
      <c r="AK9" s="808"/>
      <c r="AL9" s="808"/>
      <c r="AM9" s="808"/>
      <c r="AN9" s="808"/>
      <c r="AO9" s="808"/>
      <c r="AP9" s="808"/>
      <c r="AQ9" s="808"/>
      <c r="AR9" s="808"/>
      <c r="AS9" s="808"/>
      <c r="AT9" s="808"/>
      <c r="AU9" s="808"/>
      <c r="AV9" s="808"/>
      <c r="AW9" s="808"/>
      <c r="AX9" s="808"/>
      <c r="AY9" s="808"/>
      <c r="AZ9" s="808"/>
      <c r="BA9" s="808"/>
      <c r="BB9" s="808"/>
      <c r="BC9" s="808"/>
      <c r="BD9" s="808"/>
      <c r="BE9" s="808"/>
      <c r="BF9" s="808"/>
      <c r="BG9" s="808"/>
      <c r="BH9" s="808"/>
      <c r="BI9" s="808" t="s">
        <v>4481</v>
      </c>
      <c r="BJ9" s="808"/>
      <c r="BK9" s="808"/>
      <c r="BL9" s="808"/>
      <c r="BM9" s="808"/>
      <c r="BN9" s="808"/>
      <c r="BO9" s="808"/>
      <c r="BP9" s="808"/>
      <c r="BQ9" s="808"/>
      <c r="BR9" s="808"/>
      <c r="BS9" s="808"/>
      <c r="BT9" s="808"/>
      <c r="BU9" s="808"/>
    </row>
    <row r="10" spans="1:73" s="377" customFormat="1" ht="43.5" x14ac:dyDescent="0.35">
      <c r="A10" s="808">
        <f t="shared" si="0"/>
        <v>2</v>
      </c>
      <c r="B10" s="808" t="s">
        <v>1715</v>
      </c>
      <c r="C10" s="808"/>
      <c r="D10" s="808"/>
      <c r="E10" s="808"/>
      <c r="F10" s="808"/>
      <c r="G10" s="808"/>
      <c r="H10" s="808"/>
      <c r="I10" s="808"/>
      <c r="J10" s="808"/>
      <c r="K10" s="808"/>
      <c r="L10" s="808"/>
      <c r="M10" s="808"/>
      <c r="N10" s="808"/>
      <c r="O10" s="808"/>
      <c r="P10" s="808"/>
      <c r="Q10" s="808"/>
      <c r="R10" s="808"/>
      <c r="S10" s="808"/>
      <c r="T10" s="808"/>
      <c r="U10" s="808"/>
      <c r="V10" s="808"/>
      <c r="W10" s="808"/>
      <c r="X10" s="808"/>
      <c r="Y10" s="808"/>
      <c r="Z10" s="808"/>
      <c r="AA10" s="808"/>
      <c r="AB10" s="808"/>
      <c r="AC10" s="808"/>
      <c r="AD10" s="808"/>
      <c r="AE10" s="808"/>
      <c r="AF10" s="808"/>
      <c r="AG10" s="808"/>
      <c r="AH10" s="808" t="s">
        <v>4482</v>
      </c>
      <c r="AI10" s="808"/>
      <c r="AJ10" s="808"/>
      <c r="AK10" s="808"/>
      <c r="AL10" s="808"/>
      <c r="AM10" s="808"/>
      <c r="AN10" s="808"/>
      <c r="AO10" s="808"/>
      <c r="AP10" s="808"/>
      <c r="AQ10" s="808"/>
      <c r="AR10" s="808"/>
      <c r="AS10" s="808"/>
      <c r="AT10" s="808"/>
      <c r="AU10" s="808"/>
      <c r="AV10" s="808"/>
      <c r="AW10" s="808"/>
      <c r="AX10" s="808"/>
      <c r="AY10" s="808"/>
      <c r="AZ10" s="808"/>
      <c r="BA10" s="808"/>
      <c r="BB10" s="808"/>
      <c r="BC10" s="808"/>
      <c r="BD10" s="808"/>
      <c r="BE10" s="808"/>
      <c r="BF10" s="808"/>
      <c r="BG10" s="808"/>
      <c r="BH10" s="808"/>
      <c r="BI10" s="808"/>
      <c r="BJ10" s="808"/>
      <c r="BK10" s="808" t="s">
        <v>4483</v>
      </c>
      <c r="BL10" s="808"/>
      <c r="BM10" s="808"/>
      <c r="BN10" s="808"/>
      <c r="BO10" s="808"/>
      <c r="BP10" s="808"/>
      <c r="BQ10" s="808"/>
      <c r="BR10" s="808"/>
      <c r="BS10" s="808"/>
      <c r="BT10" s="808"/>
      <c r="BU10" s="808"/>
    </row>
    <row r="11" spans="1:73" ht="43.5" x14ac:dyDescent="0.35">
      <c r="A11" s="806" t="s">
        <v>690</v>
      </c>
      <c r="B11" s="806" t="s">
        <v>691</v>
      </c>
      <c r="C11" s="816" t="s">
        <v>2460</v>
      </c>
      <c r="D11" s="816" t="s">
        <v>2460</v>
      </c>
      <c r="E11" s="816" t="s">
        <v>2460</v>
      </c>
      <c r="F11" s="816" t="s">
        <v>2460</v>
      </c>
      <c r="G11" s="816" t="s">
        <v>2536</v>
      </c>
      <c r="H11" s="816" t="s">
        <v>2551</v>
      </c>
      <c r="I11" s="816" t="s">
        <v>2577</v>
      </c>
      <c r="J11" s="816" t="s">
        <v>2603</v>
      </c>
      <c r="K11" s="816" t="s">
        <v>2617</v>
      </c>
      <c r="L11" s="816" t="s">
        <v>2633</v>
      </c>
      <c r="M11" s="816" t="s">
        <v>1923</v>
      </c>
      <c r="N11" s="816" t="s">
        <v>2697</v>
      </c>
      <c r="O11" s="816" t="s">
        <v>2737</v>
      </c>
      <c r="P11" s="816" t="s">
        <v>2757</v>
      </c>
      <c r="Q11" s="816" t="s">
        <v>2776</v>
      </c>
      <c r="R11" s="816" t="s">
        <v>2791</v>
      </c>
      <c r="S11" s="816" t="s">
        <v>2808</v>
      </c>
      <c r="T11" s="816" t="s">
        <v>2829</v>
      </c>
      <c r="U11" s="816" t="s">
        <v>2844</v>
      </c>
      <c r="V11" s="816" t="s">
        <v>2864</v>
      </c>
      <c r="W11" s="816" t="s">
        <v>2876</v>
      </c>
      <c r="X11" s="816" t="s">
        <v>2901</v>
      </c>
      <c r="Y11" s="816" t="s">
        <v>2920</v>
      </c>
      <c r="Z11" s="816" t="s">
        <v>2941</v>
      </c>
      <c r="AA11" s="816" t="s">
        <v>2961</v>
      </c>
      <c r="AB11" s="816" t="s">
        <v>3016</v>
      </c>
      <c r="AC11" s="816" t="s">
        <v>3055</v>
      </c>
      <c r="AD11" s="816" t="s">
        <v>3064</v>
      </c>
      <c r="AE11" s="816" t="s">
        <v>3079</v>
      </c>
      <c r="AF11" s="816" t="s">
        <v>3096</v>
      </c>
      <c r="AG11" s="816" t="s">
        <v>3124</v>
      </c>
      <c r="AH11" s="816" t="s">
        <v>3140</v>
      </c>
      <c r="AI11" s="816" t="s">
        <v>3206</v>
      </c>
      <c r="AJ11" s="816" t="s">
        <v>3224</v>
      </c>
      <c r="AK11" s="816" t="s">
        <v>3238</v>
      </c>
      <c r="AL11" s="816" t="s">
        <v>3258</v>
      </c>
      <c r="AM11" s="816" t="s">
        <v>3273</v>
      </c>
      <c r="AN11" s="816" t="s">
        <v>3298</v>
      </c>
      <c r="AO11" s="816" t="s">
        <v>3341</v>
      </c>
      <c r="AP11" s="816" t="s">
        <v>3360</v>
      </c>
      <c r="AQ11" s="816" t="s">
        <v>3375</v>
      </c>
      <c r="AR11" s="816" t="s">
        <v>3392</v>
      </c>
      <c r="AS11" s="816" t="s">
        <v>3415</v>
      </c>
      <c r="AT11" s="816" t="s">
        <v>3442</v>
      </c>
      <c r="AU11" s="816" t="s">
        <v>3459</v>
      </c>
      <c r="AV11" s="816" t="s">
        <v>3474</v>
      </c>
      <c r="AW11" s="816" t="s">
        <v>3486</v>
      </c>
      <c r="AX11" s="816" t="s">
        <v>3486</v>
      </c>
      <c r="AY11" s="816" t="s">
        <v>3553</v>
      </c>
      <c r="AZ11" s="816" t="s">
        <v>3580</v>
      </c>
      <c r="BA11" s="816" t="s">
        <v>3603</v>
      </c>
      <c r="BB11" s="816" t="s">
        <v>3647</v>
      </c>
      <c r="BC11" s="816" t="s">
        <v>3668</v>
      </c>
      <c r="BD11" s="816" t="s">
        <v>3686</v>
      </c>
      <c r="BE11" s="816" t="s">
        <v>3741</v>
      </c>
      <c r="BF11" s="816" t="s">
        <v>3759</v>
      </c>
      <c r="BG11" s="816" t="s">
        <v>3891</v>
      </c>
      <c r="BH11" s="816" t="s">
        <v>3911</v>
      </c>
      <c r="BI11" s="816" t="s">
        <v>3926</v>
      </c>
      <c r="BJ11" s="816" t="s">
        <v>3950</v>
      </c>
      <c r="BK11" s="816" t="s">
        <v>3965</v>
      </c>
      <c r="BL11" s="816" t="s">
        <v>4181</v>
      </c>
      <c r="BM11" s="816" t="s">
        <v>4214</v>
      </c>
      <c r="BN11" s="816" t="s">
        <v>4230</v>
      </c>
      <c r="BO11" s="816" t="s">
        <v>4249</v>
      </c>
      <c r="BP11" s="816" t="s">
        <v>4267</v>
      </c>
      <c r="BQ11" s="816" t="s">
        <v>4281</v>
      </c>
      <c r="BR11" s="816" t="s">
        <v>4310</v>
      </c>
      <c r="BS11" s="816" t="s">
        <v>3553</v>
      </c>
      <c r="BT11" s="816" t="s">
        <v>4327</v>
      </c>
      <c r="BU11" s="816" t="s">
        <v>4347</v>
      </c>
    </row>
    <row r="12" spans="1:73" ht="29" x14ac:dyDescent="0.35">
      <c r="A12" s="806" t="s">
        <v>690</v>
      </c>
      <c r="B12" s="806" t="s">
        <v>693</v>
      </c>
      <c r="C12" s="816" t="s">
        <v>2461</v>
      </c>
      <c r="D12" s="816" t="s">
        <v>2461</v>
      </c>
      <c r="E12" s="816" t="s">
        <v>2461</v>
      </c>
      <c r="F12" s="816" t="s">
        <v>2461</v>
      </c>
      <c r="G12" s="816" t="s">
        <v>2537</v>
      </c>
      <c r="H12" s="816" t="s">
        <v>2553</v>
      </c>
      <c r="I12" s="816" t="s">
        <v>2578</v>
      </c>
      <c r="J12" s="816" t="s">
        <v>2604</v>
      </c>
      <c r="K12" s="816" t="s">
        <v>2618</v>
      </c>
      <c r="L12" s="816" t="s">
        <v>2634</v>
      </c>
      <c r="M12" s="816" t="s">
        <v>1924</v>
      </c>
      <c r="N12" s="816" t="s">
        <v>2698</v>
      </c>
      <c r="O12" s="816" t="s">
        <v>2738</v>
      </c>
      <c r="P12" s="816" t="s">
        <v>2758</v>
      </c>
      <c r="Q12" s="816" t="s">
        <v>2777</v>
      </c>
      <c r="R12" s="816" t="s">
        <v>2792</v>
      </c>
      <c r="S12" s="816" t="s">
        <v>2809</v>
      </c>
      <c r="T12" s="816" t="s">
        <v>2830</v>
      </c>
      <c r="U12" s="816" t="s">
        <v>2845</v>
      </c>
      <c r="V12" s="816" t="s">
        <v>2865</v>
      </c>
      <c r="W12" s="816" t="s">
        <v>2877</v>
      </c>
      <c r="X12" s="816" t="s">
        <v>2902</v>
      </c>
      <c r="Y12" s="816" t="s">
        <v>2921</v>
      </c>
      <c r="Z12" s="816" t="s">
        <v>2942</v>
      </c>
      <c r="AA12" s="816" t="s">
        <v>2962</v>
      </c>
      <c r="AB12" s="816" t="s">
        <v>3017</v>
      </c>
      <c r="AC12" s="816" t="s">
        <v>3017</v>
      </c>
      <c r="AD12" s="816" t="s">
        <v>3065</v>
      </c>
      <c r="AE12" s="816" t="s">
        <v>3080</v>
      </c>
      <c r="AF12" s="816" t="s">
        <v>3097</v>
      </c>
      <c r="AG12" s="816" t="s">
        <v>3125</v>
      </c>
      <c r="AH12" s="816" t="s">
        <v>3141</v>
      </c>
      <c r="AI12" s="816" t="s">
        <v>3207</v>
      </c>
      <c r="AJ12" s="816" t="s">
        <v>3225</v>
      </c>
      <c r="AK12" s="816" t="s">
        <v>3239</v>
      </c>
      <c r="AL12" s="816" t="s">
        <v>3259</v>
      </c>
      <c r="AM12" s="816" t="s">
        <v>3274</v>
      </c>
      <c r="AN12" s="816" t="s">
        <v>3299</v>
      </c>
      <c r="AO12" s="816" t="s">
        <v>3342</v>
      </c>
      <c r="AP12" s="816" t="s">
        <v>3361</v>
      </c>
      <c r="AQ12" s="816" t="s">
        <v>3376</v>
      </c>
      <c r="AR12" s="816" t="s">
        <v>3393</v>
      </c>
      <c r="AS12" s="816" t="s">
        <v>3416</v>
      </c>
      <c r="AT12" s="816" t="s">
        <v>3443</v>
      </c>
      <c r="AU12" s="816" t="s">
        <v>3460</v>
      </c>
      <c r="AV12" s="816" t="s">
        <v>3475</v>
      </c>
      <c r="AW12" s="816" t="s">
        <v>3487</v>
      </c>
      <c r="AX12" s="816" t="s">
        <v>3487</v>
      </c>
      <c r="AY12" s="816" t="s">
        <v>3554</v>
      </c>
      <c r="AZ12" s="816" t="s">
        <v>3581</v>
      </c>
      <c r="BA12" s="816" t="s">
        <v>3604</v>
      </c>
      <c r="BB12" s="816" t="s">
        <v>3648</v>
      </c>
      <c r="BC12" s="816" t="s">
        <v>3487</v>
      </c>
      <c r="BD12" s="816" t="s">
        <v>3687</v>
      </c>
      <c r="BE12" s="816" t="s">
        <v>3742</v>
      </c>
      <c r="BF12" s="816" t="s">
        <v>3760</v>
      </c>
      <c r="BG12" s="816" t="s">
        <v>3892</v>
      </c>
      <c r="BH12" s="816" t="s">
        <v>3912</v>
      </c>
      <c r="BI12" s="816" t="s">
        <v>3927</v>
      </c>
      <c r="BJ12" s="816" t="s">
        <v>3951</v>
      </c>
      <c r="BK12" s="816" t="s">
        <v>3966</v>
      </c>
      <c r="BL12" s="816" t="s">
        <v>4182</v>
      </c>
      <c r="BM12" s="816" t="s">
        <v>4215</v>
      </c>
      <c r="BN12" s="816" t="s">
        <v>4231</v>
      </c>
      <c r="BO12" s="816" t="s">
        <v>4250</v>
      </c>
      <c r="BP12" s="816" t="s">
        <v>4268</v>
      </c>
      <c r="BQ12" s="816" t="s">
        <v>4282</v>
      </c>
      <c r="BR12" s="816" t="s">
        <v>4311</v>
      </c>
      <c r="BS12" s="816" t="s">
        <v>3554</v>
      </c>
      <c r="BT12" s="816" t="s">
        <v>4328</v>
      </c>
      <c r="BU12" s="816" t="s">
        <v>4348</v>
      </c>
    </row>
    <row r="13" spans="1:73" x14ac:dyDescent="0.35">
      <c r="A13" s="806" t="s">
        <v>690</v>
      </c>
      <c r="B13" s="806" t="s">
        <v>701</v>
      </c>
      <c r="C13" s="816" t="s">
        <v>2466</v>
      </c>
      <c r="D13" s="816" t="s">
        <v>2466</v>
      </c>
      <c r="E13" s="816" t="s">
        <v>2466</v>
      </c>
      <c r="F13" s="816" t="s">
        <v>2466</v>
      </c>
      <c r="G13" s="816" t="s">
        <v>2542</v>
      </c>
      <c r="H13" s="816" t="s">
        <v>2559</v>
      </c>
      <c r="I13" s="816" t="s">
        <v>2579</v>
      </c>
      <c r="J13" s="816" t="s">
        <v>2605</v>
      </c>
      <c r="K13" s="816" t="s">
        <v>2619</v>
      </c>
      <c r="L13" s="816" t="s">
        <v>2640</v>
      </c>
      <c r="M13" s="816"/>
      <c r="N13" s="816" t="s">
        <v>2699</v>
      </c>
      <c r="O13" s="816" t="s">
        <v>2739</v>
      </c>
      <c r="P13" s="816" t="s">
        <v>2759</v>
      </c>
      <c r="Q13" s="816" t="s">
        <v>2778</v>
      </c>
      <c r="R13" s="816" t="s">
        <v>2793</v>
      </c>
      <c r="S13" s="816" t="s">
        <v>2810</v>
      </c>
      <c r="T13" s="816" t="s">
        <v>2831</v>
      </c>
      <c r="U13" s="816" t="s">
        <v>2846</v>
      </c>
      <c r="V13" s="816"/>
      <c r="W13" s="816" t="s">
        <v>2878</v>
      </c>
      <c r="X13" s="816" t="s">
        <v>2903</v>
      </c>
      <c r="Y13" s="816" t="s">
        <v>2922</v>
      </c>
      <c r="Z13" s="816" t="s">
        <v>2943</v>
      </c>
      <c r="AA13" s="816" t="s">
        <v>2967</v>
      </c>
      <c r="AB13" s="816" t="s">
        <v>3023</v>
      </c>
      <c r="AC13" s="816" t="s">
        <v>3056</v>
      </c>
      <c r="AD13" s="816" t="s">
        <v>3066</v>
      </c>
      <c r="AE13" s="816" t="s">
        <v>3081</v>
      </c>
      <c r="AF13" s="816" t="s">
        <v>3098</v>
      </c>
      <c r="AG13" s="816" t="s">
        <v>3126</v>
      </c>
      <c r="AH13" s="816" t="s">
        <v>3146</v>
      </c>
      <c r="AI13" s="816" t="s">
        <v>3208</v>
      </c>
      <c r="AJ13" s="816" t="s">
        <v>3226</v>
      </c>
      <c r="AK13" s="816" t="s">
        <v>3241</v>
      </c>
      <c r="AL13" s="816"/>
      <c r="AM13" s="816" t="s">
        <v>3275</v>
      </c>
      <c r="AN13" s="816" t="s">
        <v>3300</v>
      </c>
      <c r="AO13" s="816" t="s">
        <v>3343</v>
      </c>
      <c r="AP13" s="816" t="s">
        <v>3362</v>
      </c>
      <c r="AQ13" s="816" t="s">
        <v>3377</v>
      </c>
      <c r="AR13" s="816" t="s">
        <v>3394</v>
      </c>
      <c r="AS13" s="816" t="s">
        <v>3417</v>
      </c>
      <c r="AT13" s="816"/>
      <c r="AU13" s="816"/>
      <c r="AV13" s="816"/>
      <c r="AW13" s="816" t="s">
        <v>3488</v>
      </c>
      <c r="AX13" s="816" t="s">
        <v>3523</v>
      </c>
      <c r="AY13" s="816" t="s">
        <v>3555</v>
      </c>
      <c r="AZ13" s="816" t="s">
        <v>3582</v>
      </c>
      <c r="BA13" s="816" t="s">
        <v>3605</v>
      </c>
      <c r="BB13" s="816" t="s">
        <v>3653</v>
      </c>
      <c r="BC13" s="816"/>
      <c r="BD13" s="816" t="s">
        <v>3688</v>
      </c>
      <c r="BE13" s="816" t="s">
        <v>3743</v>
      </c>
      <c r="BF13" s="816" t="s">
        <v>3761</v>
      </c>
      <c r="BG13" s="816" t="s">
        <v>3893</v>
      </c>
      <c r="BH13" s="816" t="s">
        <v>3913</v>
      </c>
      <c r="BI13" s="816" t="s">
        <v>3928</v>
      </c>
      <c r="BJ13" s="816" t="s">
        <v>3952</v>
      </c>
      <c r="BK13" s="816" t="s">
        <v>3971</v>
      </c>
      <c r="BL13" s="816" t="s">
        <v>4187</v>
      </c>
      <c r="BM13" s="816" t="s">
        <v>4216</v>
      </c>
      <c r="BN13" s="816" t="s">
        <v>4232</v>
      </c>
      <c r="BO13" s="816" t="s">
        <v>3208</v>
      </c>
      <c r="BP13" s="816" t="s">
        <v>4277</v>
      </c>
      <c r="BQ13" s="816" t="s">
        <v>4283</v>
      </c>
      <c r="BR13" s="816" t="s">
        <v>4312</v>
      </c>
      <c r="BS13" s="816" t="s">
        <v>3555</v>
      </c>
      <c r="BT13" s="816" t="s">
        <v>4329</v>
      </c>
      <c r="BU13" s="816" t="s">
        <v>4349</v>
      </c>
    </row>
    <row r="14" spans="1:73" ht="29" x14ac:dyDescent="0.35">
      <c r="A14" s="806" t="s">
        <v>690</v>
      </c>
      <c r="B14" s="806" t="s">
        <v>703</v>
      </c>
      <c r="C14" s="816" t="s">
        <v>2468</v>
      </c>
      <c r="D14" s="816" t="s">
        <v>2468</v>
      </c>
      <c r="E14" s="816" t="s">
        <v>2468</v>
      </c>
      <c r="F14" s="816" t="s">
        <v>2468</v>
      </c>
      <c r="G14" s="816" t="s">
        <v>2543</v>
      </c>
      <c r="H14" s="816" t="s">
        <v>2561</v>
      </c>
      <c r="I14" s="816" t="s">
        <v>2580</v>
      </c>
      <c r="J14" s="816" t="s">
        <v>2606</v>
      </c>
      <c r="K14" s="816" t="s">
        <v>2620</v>
      </c>
      <c r="L14" s="816" t="s">
        <v>2642</v>
      </c>
      <c r="M14" s="816"/>
      <c r="N14" s="816" t="s">
        <v>2700</v>
      </c>
      <c r="O14" s="816" t="s">
        <v>2740</v>
      </c>
      <c r="P14" s="816" t="s">
        <v>2760</v>
      </c>
      <c r="Q14" s="816" t="s">
        <v>2779</v>
      </c>
      <c r="R14" s="816" t="s">
        <v>2794</v>
      </c>
      <c r="S14" s="816" t="s">
        <v>2811</v>
      </c>
      <c r="T14" s="816" t="s">
        <v>2832</v>
      </c>
      <c r="U14" s="816" t="s">
        <v>2847</v>
      </c>
      <c r="V14" s="816"/>
      <c r="W14" s="816" t="s">
        <v>2879</v>
      </c>
      <c r="X14" s="816" t="s">
        <v>2904</v>
      </c>
      <c r="Y14" s="816" t="s">
        <v>2923</v>
      </c>
      <c r="Z14" s="816" t="s">
        <v>2944</v>
      </c>
      <c r="AA14" s="816" t="s">
        <v>2969</v>
      </c>
      <c r="AB14" s="816" t="s">
        <v>3025</v>
      </c>
      <c r="AC14" s="816" t="s">
        <v>3057</v>
      </c>
      <c r="AD14" s="816" t="s">
        <v>3067</v>
      </c>
      <c r="AE14" s="816" t="s">
        <v>3082</v>
      </c>
      <c r="AF14" s="816" t="s">
        <v>3099</v>
      </c>
      <c r="AG14" s="816" t="s">
        <v>3127</v>
      </c>
      <c r="AH14" s="816" t="s">
        <v>3148</v>
      </c>
      <c r="AI14" s="816" t="s">
        <v>3209</v>
      </c>
      <c r="AJ14" s="816" t="s">
        <v>3227</v>
      </c>
      <c r="AK14" s="816" t="s">
        <v>3243</v>
      </c>
      <c r="AL14" s="816"/>
      <c r="AM14" s="816" t="s">
        <v>3276</v>
      </c>
      <c r="AN14" s="816" t="s">
        <v>3301</v>
      </c>
      <c r="AO14" s="816" t="s">
        <v>3344</v>
      </c>
      <c r="AP14" s="816" t="s">
        <v>3363</v>
      </c>
      <c r="AQ14" s="816" t="s">
        <v>3378</v>
      </c>
      <c r="AR14" s="816" t="s">
        <v>3395</v>
      </c>
      <c r="AS14" s="816" t="s">
        <v>3418</v>
      </c>
      <c r="AT14" s="816"/>
      <c r="AU14" s="816"/>
      <c r="AV14" s="816"/>
      <c r="AW14" s="816" t="s">
        <v>3489</v>
      </c>
      <c r="AX14" s="816" t="s">
        <v>3524</v>
      </c>
      <c r="AY14" s="816" t="s">
        <v>3556</v>
      </c>
      <c r="AZ14" s="816" t="s">
        <v>3583</v>
      </c>
      <c r="BA14" s="816" t="s">
        <v>3606</v>
      </c>
      <c r="BB14" s="816" t="s">
        <v>3655</v>
      </c>
      <c r="BC14" s="816"/>
      <c r="BD14" s="816" t="s">
        <v>3689</v>
      </c>
      <c r="BE14" s="816" t="s">
        <v>3744</v>
      </c>
      <c r="BF14" s="816" t="s">
        <v>3762</v>
      </c>
      <c r="BG14" s="816" t="s">
        <v>3894</v>
      </c>
      <c r="BH14" s="816" t="s">
        <v>3914</v>
      </c>
      <c r="BI14" s="816" t="s">
        <v>3929</v>
      </c>
      <c r="BJ14" s="816" t="s">
        <v>3953</v>
      </c>
      <c r="BK14" s="816" t="s">
        <v>3973</v>
      </c>
      <c r="BL14" s="816" t="s">
        <v>4189</v>
      </c>
      <c r="BM14" s="816" t="s">
        <v>4217</v>
      </c>
      <c r="BN14" s="816" t="s">
        <v>4233</v>
      </c>
      <c r="BO14" s="816" t="s">
        <v>3209</v>
      </c>
      <c r="BP14" s="816" t="s">
        <v>4279</v>
      </c>
      <c r="BQ14" s="816" t="s">
        <v>4284</v>
      </c>
      <c r="BR14" s="816" t="s">
        <v>4313</v>
      </c>
      <c r="BS14" s="816" t="s">
        <v>3556</v>
      </c>
      <c r="BT14" s="816" t="s">
        <v>4330</v>
      </c>
      <c r="BU14" s="816" t="s">
        <v>4350</v>
      </c>
    </row>
    <row r="15" spans="1:73" x14ac:dyDescent="0.35">
      <c r="A15" s="806" t="s">
        <v>690</v>
      </c>
      <c r="B15" s="806" t="s">
        <v>704</v>
      </c>
      <c r="C15" s="816" t="s">
        <v>2469</v>
      </c>
      <c r="D15" s="816" t="s">
        <v>2469</v>
      </c>
      <c r="E15" s="816" t="s">
        <v>2469</v>
      </c>
      <c r="F15" s="816" t="s">
        <v>2469</v>
      </c>
      <c r="G15" s="816">
        <v>8188848808</v>
      </c>
      <c r="H15" s="816" t="s">
        <v>2562</v>
      </c>
      <c r="I15" s="816" t="s">
        <v>2581</v>
      </c>
      <c r="J15" s="816" t="s">
        <v>2607</v>
      </c>
      <c r="K15" s="816" t="s">
        <v>2621</v>
      </c>
      <c r="L15" s="816" t="s">
        <v>2643</v>
      </c>
      <c r="M15" s="816"/>
      <c r="N15" s="816" t="s">
        <v>2701</v>
      </c>
      <c r="O15" s="816" t="s">
        <v>2741</v>
      </c>
      <c r="P15" s="816" t="s">
        <v>2761</v>
      </c>
      <c r="Q15" s="816" t="s">
        <v>2780</v>
      </c>
      <c r="R15" s="816" t="s">
        <v>2795</v>
      </c>
      <c r="S15" s="816" t="s">
        <v>2812</v>
      </c>
      <c r="T15" s="816" t="s">
        <v>2833</v>
      </c>
      <c r="U15" s="816" t="s">
        <v>2848</v>
      </c>
      <c r="V15" s="816"/>
      <c r="W15" s="816" t="s">
        <v>2880</v>
      </c>
      <c r="X15" s="816" t="s">
        <v>2905</v>
      </c>
      <c r="Y15" s="816" t="s">
        <v>2924</v>
      </c>
      <c r="Z15" s="816">
        <v>7603473157</v>
      </c>
      <c r="AA15" s="816" t="s">
        <v>2970</v>
      </c>
      <c r="AB15" s="816" t="s">
        <v>3026</v>
      </c>
      <c r="AC15" s="816" t="s">
        <v>3058</v>
      </c>
      <c r="AD15" s="816" t="s">
        <v>3068</v>
      </c>
      <c r="AE15" s="816" t="s">
        <v>3083</v>
      </c>
      <c r="AF15" s="816" t="s">
        <v>3100</v>
      </c>
      <c r="AG15" s="816" t="s">
        <v>3128</v>
      </c>
      <c r="AH15" s="816" t="s">
        <v>3149</v>
      </c>
      <c r="AI15" s="816" t="s">
        <v>3210</v>
      </c>
      <c r="AJ15" s="816" t="s">
        <v>3228</v>
      </c>
      <c r="AK15" s="816" t="s">
        <v>3244</v>
      </c>
      <c r="AL15" s="816"/>
      <c r="AM15" s="816" t="s">
        <v>3277</v>
      </c>
      <c r="AN15" s="816">
        <v>7074221948</v>
      </c>
      <c r="AO15" s="816" t="s">
        <v>3345</v>
      </c>
      <c r="AP15" s="816" t="s">
        <v>3364</v>
      </c>
      <c r="AQ15" s="816">
        <v>9099635221</v>
      </c>
      <c r="AR15" s="816" t="s">
        <v>3396</v>
      </c>
      <c r="AS15" s="816" t="s">
        <v>3419</v>
      </c>
      <c r="AT15" s="816"/>
      <c r="AU15" s="816"/>
      <c r="AV15" s="816"/>
      <c r="AW15" s="816" t="s">
        <v>3490</v>
      </c>
      <c r="AX15" s="816" t="s">
        <v>3525</v>
      </c>
      <c r="AY15" s="816" t="s">
        <v>3557</v>
      </c>
      <c r="AZ15" s="816" t="s">
        <v>3584</v>
      </c>
      <c r="BA15" s="816" t="s">
        <v>3607</v>
      </c>
      <c r="BB15" s="816" t="s">
        <v>3656</v>
      </c>
      <c r="BC15" s="816"/>
      <c r="BD15" s="816" t="s">
        <v>3690</v>
      </c>
      <c r="BE15" s="816">
        <v>5595852590</v>
      </c>
      <c r="BF15" s="816" t="s">
        <v>3763</v>
      </c>
      <c r="BG15" s="816" t="s">
        <v>3895</v>
      </c>
      <c r="BH15" s="816" t="s">
        <v>3915</v>
      </c>
      <c r="BI15" s="816" t="s">
        <v>3930</v>
      </c>
      <c r="BJ15" s="816" t="s">
        <v>3954</v>
      </c>
      <c r="BK15" s="816" t="s">
        <v>3974</v>
      </c>
      <c r="BL15" s="816" t="s">
        <v>4190</v>
      </c>
      <c r="BM15" s="816" t="s">
        <v>4218</v>
      </c>
      <c r="BN15" s="816">
        <v>8052737800</v>
      </c>
      <c r="BO15" s="816" t="s">
        <v>3210</v>
      </c>
      <c r="BP15" s="816">
        <v>6508533193</v>
      </c>
      <c r="BQ15" s="816" t="s">
        <v>4285</v>
      </c>
      <c r="BR15" s="816" t="s">
        <v>4314</v>
      </c>
      <c r="BS15" s="816" t="s">
        <v>3557</v>
      </c>
      <c r="BT15" s="816" t="s">
        <v>4331</v>
      </c>
      <c r="BU15" s="816" t="s">
        <v>4351</v>
      </c>
    </row>
    <row r="16" spans="1:73" ht="29" x14ac:dyDescent="0.35">
      <c r="A16" s="806" t="s">
        <v>690</v>
      </c>
      <c r="B16" s="806" t="s">
        <v>702</v>
      </c>
      <c r="C16" s="816" t="s">
        <v>2467</v>
      </c>
      <c r="D16" s="816" t="s">
        <v>2467</v>
      </c>
      <c r="E16" s="816" t="s">
        <v>2467</v>
      </c>
      <c r="F16" s="816" t="s">
        <v>2467</v>
      </c>
      <c r="G16" s="816" t="s">
        <v>2463</v>
      </c>
      <c r="H16" s="816" t="s">
        <v>2560</v>
      </c>
      <c r="I16" s="816" t="s">
        <v>2540</v>
      </c>
      <c r="J16" s="816" t="s">
        <v>2608</v>
      </c>
      <c r="K16" s="816" t="s">
        <v>2622</v>
      </c>
      <c r="L16" s="816" t="s">
        <v>2641</v>
      </c>
      <c r="M16" s="816"/>
      <c r="N16" s="816" t="s">
        <v>2702</v>
      </c>
      <c r="O16" s="816" t="s">
        <v>2742</v>
      </c>
      <c r="P16" s="816" t="s">
        <v>2762</v>
      </c>
      <c r="Q16" s="816" t="s">
        <v>2781</v>
      </c>
      <c r="R16" s="816" t="s">
        <v>2796</v>
      </c>
      <c r="S16" s="816" t="s">
        <v>2813</v>
      </c>
      <c r="T16" s="816" t="s">
        <v>2556</v>
      </c>
      <c r="U16" s="816" t="s">
        <v>2849</v>
      </c>
      <c r="V16" s="816"/>
      <c r="W16" s="816" t="s">
        <v>2556</v>
      </c>
      <c r="X16" s="816" t="s">
        <v>2906</v>
      </c>
      <c r="Y16" s="816" t="s">
        <v>2556</v>
      </c>
      <c r="Z16" s="816" t="s">
        <v>2945</v>
      </c>
      <c r="AA16" s="816" t="s">
        <v>2968</v>
      </c>
      <c r="AB16" s="816" t="s">
        <v>3024</v>
      </c>
      <c r="AC16" s="816" t="s">
        <v>2622</v>
      </c>
      <c r="AD16" s="816" t="s">
        <v>3069</v>
      </c>
      <c r="AE16" s="816" t="s">
        <v>3084</v>
      </c>
      <c r="AF16" s="816" t="s">
        <v>3101</v>
      </c>
      <c r="AG16" s="816" t="s">
        <v>2556</v>
      </c>
      <c r="AH16" s="816" t="s">
        <v>3147</v>
      </c>
      <c r="AI16" s="816" t="s">
        <v>3211</v>
      </c>
      <c r="AJ16" s="816" t="s">
        <v>3229</v>
      </c>
      <c r="AK16" s="816" t="s">
        <v>3242</v>
      </c>
      <c r="AL16" s="816"/>
      <c r="AM16" s="816" t="s">
        <v>3278</v>
      </c>
      <c r="AN16" s="816" t="s">
        <v>2762</v>
      </c>
      <c r="AO16" s="816" t="s">
        <v>3346</v>
      </c>
      <c r="AP16" s="816" t="s">
        <v>3365</v>
      </c>
      <c r="AQ16" s="816" t="s">
        <v>3379</v>
      </c>
      <c r="AR16" s="816" t="s">
        <v>3397</v>
      </c>
      <c r="AS16" s="816" t="s">
        <v>3420</v>
      </c>
      <c r="AT16" s="816"/>
      <c r="AU16" s="816"/>
      <c r="AV16" s="816"/>
      <c r="AW16" s="816" t="s">
        <v>3491</v>
      </c>
      <c r="AX16" s="816" t="s">
        <v>3491</v>
      </c>
      <c r="AY16" s="816" t="s">
        <v>3558</v>
      </c>
      <c r="AZ16" s="816" t="s">
        <v>3585</v>
      </c>
      <c r="BA16" s="816" t="s">
        <v>3608</v>
      </c>
      <c r="BB16" s="816" t="s">
        <v>3654</v>
      </c>
      <c r="BC16" s="816"/>
      <c r="BD16" s="816" t="s">
        <v>3691</v>
      </c>
      <c r="BE16" s="816" t="s">
        <v>3745</v>
      </c>
      <c r="BF16" s="816" t="s">
        <v>3764</v>
      </c>
      <c r="BG16" s="816" t="s">
        <v>3896</v>
      </c>
      <c r="BH16" s="816" t="s">
        <v>3916</v>
      </c>
      <c r="BI16" s="816" t="s">
        <v>2964</v>
      </c>
      <c r="BJ16" s="816" t="s">
        <v>3955</v>
      </c>
      <c r="BK16" s="816" t="s">
        <v>3972</v>
      </c>
      <c r="BL16" s="816" t="s">
        <v>4188</v>
      </c>
      <c r="BM16" s="816" t="s">
        <v>4219</v>
      </c>
      <c r="BN16" s="816" t="s">
        <v>4234</v>
      </c>
      <c r="BO16" s="816" t="s">
        <v>4251</v>
      </c>
      <c r="BP16" s="816" t="s">
        <v>4278</v>
      </c>
      <c r="BQ16" s="816" t="s">
        <v>2611</v>
      </c>
      <c r="BR16" s="816" t="s">
        <v>2611</v>
      </c>
      <c r="BS16" s="816" t="s">
        <v>3558</v>
      </c>
      <c r="BT16" s="816" t="s">
        <v>4332</v>
      </c>
      <c r="BU16" s="816" t="s">
        <v>4352</v>
      </c>
    </row>
    <row r="17" spans="1:73" x14ac:dyDescent="0.35">
      <c r="A17" s="806" t="s">
        <v>690</v>
      </c>
      <c r="B17" s="806" t="s">
        <v>694</v>
      </c>
      <c r="C17" s="816" t="s">
        <v>1751</v>
      </c>
      <c r="D17" s="816" t="s">
        <v>1751</v>
      </c>
      <c r="E17" s="816" t="s">
        <v>1751</v>
      </c>
      <c r="F17" s="816" t="s">
        <v>1751</v>
      </c>
      <c r="G17" s="816" t="s">
        <v>2538</v>
      </c>
      <c r="H17" s="816" t="s">
        <v>2554</v>
      </c>
      <c r="I17" s="816" t="s">
        <v>1727</v>
      </c>
      <c r="J17" s="816" t="s">
        <v>1750</v>
      </c>
      <c r="K17" s="816" t="s">
        <v>1770</v>
      </c>
      <c r="L17" s="816" t="s">
        <v>2635</v>
      </c>
      <c r="M17" s="816" t="s">
        <v>1758</v>
      </c>
      <c r="N17" s="816" t="s">
        <v>2703</v>
      </c>
      <c r="O17" s="816" t="s">
        <v>2743</v>
      </c>
      <c r="P17" s="816" t="s">
        <v>2763</v>
      </c>
      <c r="Q17" s="816" t="s">
        <v>2782</v>
      </c>
      <c r="R17" s="816" t="s">
        <v>1769</v>
      </c>
      <c r="S17" s="816" t="s">
        <v>2814</v>
      </c>
      <c r="T17" s="816" t="s">
        <v>1915</v>
      </c>
      <c r="U17" s="816" t="s">
        <v>1736</v>
      </c>
      <c r="V17" s="816" t="s">
        <v>1752</v>
      </c>
      <c r="W17" s="816" t="s">
        <v>2881</v>
      </c>
      <c r="X17" s="816" t="s">
        <v>1754</v>
      </c>
      <c r="Y17" s="816" t="s">
        <v>2925</v>
      </c>
      <c r="Z17" s="816" t="s">
        <v>2946</v>
      </c>
      <c r="AA17" s="816" t="s">
        <v>152</v>
      </c>
      <c r="AB17" s="816" t="s">
        <v>3018</v>
      </c>
      <c r="AC17" s="816" t="s">
        <v>3018</v>
      </c>
      <c r="AD17" s="816" t="s">
        <v>3070</v>
      </c>
      <c r="AE17" s="816" t="s">
        <v>3085</v>
      </c>
      <c r="AF17" s="816" t="s">
        <v>1754</v>
      </c>
      <c r="AG17" s="816" t="s">
        <v>3129</v>
      </c>
      <c r="AH17" s="816" t="s">
        <v>3142</v>
      </c>
      <c r="AI17" s="816" t="s">
        <v>3212</v>
      </c>
      <c r="AJ17" s="816" t="s">
        <v>1900</v>
      </c>
      <c r="AK17" s="816" t="s">
        <v>3240</v>
      </c>
      <c r="AL17" s="816" t="s">
        <v>3260</v>
      </c>
      <c r="AM17" s="816" t="s">
        <v>3279</v>
      </c>
      <c r="AN17" s="816" t="s">
        <v>1617</v>
      </c>
      <c r="AO17" s="816" t="s">
        <v>1754</v>
      </c>
      <c r="AP17" s="816" t="s">
        <v>3360</v>
      </c>
      <c r="AQ17" s="816" t="s">
        <v>3380</v>
      </c>
      <c r="AR17" s="816" t="s">
        <v>3398</v>
      </c>
      <c r="AS17" s="816" t="s">
        <v>3421</v>
      </c>
      <c r="AT17" s="816" t="s">
        <v>3444</v>
      </c>
      <c r="AU17" s="816" t="s">
        <v>3461</v>
      </c>
      <c r="AV17" s="816" t="s">
        <v>3476</v>
      </c>
      <c r="AW17" s="816" t="s">
        <v>1718</v>
      </c>
      <c r="AX17" s="816" t="s">
        <v>1718</v>
      </c>
      <c r="AY17" s="816" t="s">
        <v>3559</v>
      </c>
      <c r="AZ17" s="816" t="s">
        <v>3586</v>
      </c>
      <c r="BA17" s="816" t="s">
        <v>1773</v>
      </c>
      <c r="BB17" s="816" t="s">
        <v>1718</v>
      </c>
      <c r="BC17" s="816" t="s">
        <v>1718</v>
      </c>
      <c r="BD17" s="816" t="s">
        <v>3692</v>
      </c>
      <c r="BE17" s="816" t="s">
        <v>3746</v>
      </c>
      <c r="BF17" s="816" t="s">
        <v>1747</v>
      </c>
      <c r="BG17" s="816" t="s">
        <v>3897</v>
      </c>
      <c r="BH17" s="816" t="s">
        <v>3917</v>
      </c>
      <c r="BI17" s="816" t="s">
        <v>3931</v>
      </c>
      <c r="BJ17" s="816" t="s">
        <v>2881</v>
      </c>
      <c r="BK17" s="816" t="s">
        <v>1756</v>
      </c>
      <c r="BL17" s="816" t="s">
        <v>4183</v>
      </c>
      <c r="BM17" s="816" t="s">
        <v>4220</v>
      </c>
      <c r="BN17" s="816" t="s">
        <v>4235</v>
      </c>
      <c r="BO17" s="816" t="s">
        <v>4252</v>
      </c>
      <c r="BP17" s="816" t="s">
        <v>4269</v>
      </c>
      <c r="BQ17" s="816" t="s">
        <v>4286</v>
      </c>
      <c r="BR17" s="816" t="s">
        <v>4315</v>
      </c>
      <c r="BS17" s="816" t="s">
        <v>3559</v>
      </c>
      <c r="BT17" s="816" t="s">
        <v>1750</v>
      </c>
      <c r="BU17" s="816" t="s">
        <v>1769</v>
      </c>
    </row>
    <row r="18" spans="1:73" x14ac:dyDescent="0.35">
      <c r="A18" s="806" t="s">
        <v>690</v>
      </c>
      <c r="B18" s="806" t="s">
        <v>697</v>
      </c>
      <c r="C18" s="816" t="s">
        <v>2462</v>
      </c>
      <c r="D18" s="816" t="s">
        <v>2462</v>
      </c>
      <c r="E18" s="816" t="s">
        <v>2462</v>
      </c>
      <c r="F18" s="816" t="s">
        <v>2462</v>
      </c>
      <c r="G18" s="816" t="s">
        <v>2539</v>
      </c>
      <c r="H18" s="816" t="s">
        <v>2555</v>
      </c>
      <c r="I18" s="816" t="s">
        <v>2582</v>
      </c>
      <c r="J18" s="816" t="s">
        <v>2609</v>
      </c>
      <c r="K18" s="816" t="s">
        <v>2623</v>
      </c>
      <c r="L18" s="816" t="s">
        <v>2636</v>
      </c>
      <c r="M18" s="816" t="s">
        <v>1925</v>
      </c>
      <c r="N18" s="816" t="s">
        <v>2704</v>
      </c>
      <c r="O18" s="816" t="s">
        <v>2744</v>
      </c>
      <c r="P18" s="816" t="s">
        <v>2764</v>
      </c>
      <c r="Q18" s="816" t="s">
        <v>2783</v>
      </c>
      <c r="R18" s="816" t="s">
        <v>2797</v>
      </c>
      <c r="S18" s="816" t="s">
        <v>2815</v>
      </c>
      <c r="T18" s="816" t="s">
        <v>2834</v>
      </c>
      <c r="U18" s="816" t="s">
        <v>2850</v>
      </c>
      <c r="V18" s="816" t="s">
        <v>2866</v>
      </c>
      <c r="W18" s="816" t="s">
        <v>2882</v>
      </c>
      <c r="X18" s="816" t="s">
        <v>2907</v>
      </c>
      <c r="Y18" s="816" t="s">
        <v>2926</v>
      </c>
      <c r="Z18" s="816" t="s">
        <v>2947</v>
      </c>
      <c r="AA18" s="816" t="s">
        <v>2963</v>
      </c>
      <c r="AB18" s="816" t="s">
        <v>3019</v>
      </c>
      <c r="AC18" s="816" t="s">
        <v>3019</v>
      </c>
      <c r="AD18" s="816" t="s">
        <v>3071</v>
      </c>
      <c r="AE18" s="816" t="s">
        <v>3086</v>
      </c>
      <c r="AF18" s="816" t="s">
        <v>3102</v>
      </c>
      <c r="AG18" s="816" t="s">
        <v>3130</v>
      </c>
      <c r="AH18" s="816" t="s">
        <v>3143</v>
      </c>
      <c r="AI18" s="816" t="s">
        <v>3213</v>
      </c>
      <c r="AJ18" s="816" t="s">
        <v>3230</v>
      </c>
      <c r="AK18" s="816" t="s">
        <v>3245</v>
      </c>
      <c r="AL18" s="816" t="s">
        <v>3261</v>
      </c>
      <c r="AM18" s="816" t="s">
        <v>3280</v>
      </c>
      <c r="AN18" s="816" t="s">
        <v>3302</v>
      </c>
      <c r="AO18" s="816" t="s">
        <v>3347</v>
      </c>
      <c r="AP18" s="816" t="s">
        <v>3366</v>
      </c>
      <c r="AQ18" s="816" t="s">
        <v>3381</v>
      </c>
      <c r="AR18" s="816" t="s">
        <v>3399</v>
      </c>
      <c r="AS18" s="816" t="s">
        <v>3422</v>
      </c>
      <c r="AT18" s="816" t="s">
        <v>3445</v>
      </c>
      <c r="AU18" s="816" t="s">
        <v>3462</v>
      </c>
      <c r="AV18" s="816" t="s">
        <v>3477</v>
      </c>
      <c r="AW18" s="816" t="s">
        <v>3492</v>
      </c>
      <c r="AX18" s="816" t="s">
        <v>3526</v>
      </c>
      <c r="AY18" s="816" t="s">
        <v>3560</v>
      </c>
      <c r="AZ18" s="816" t="s">
        <v>3587</v>
      </c>
      <c r="BA18" s="816" t="s">
        <v>3609</v>
      </c>
      <c r="BB18" s="816" t="s">
        <v>3649</v>
      </c>
      <c r="BC18" s="816" t="s">
        <v>3669</v>
      </c>
      <c r="BD18" s="816" t="s">
        <v>3693</v>
      </c>
      <c r="BE18" s="816" t="s">
        <v>3747</v>
      </c>
      <c r="BF18" s="816" t="s">
        <v>3765</v>
      </c>
      <c r="BG18" s="816" t="s">
        <v>3898</v>
      </c>
      <c r="BH18" s="816" t="s">
        <v>3918</v>
      </c>
      <c r="BI18" s="816" t="s">
        <v>3932</v>
      </c>
      <c r="BJ18" s="816" t="s">
        <v>3956</v>
      </c>
      <c r="BK18" s="816" t="s">
        <v>3967</v>
      </c>
      <c r="BL18" s="816" t="s">
        <v>4184</v>
      </c>
      <c r="BM18" s="816" t="s">
        <v>4221</v>
      </c>
      <c r="BN18" s="816" t="s">
        <v>4236</v>
      </c>
      <c r="BO18" s="816" t="s">
        <v>4253</v>
      </c>
      <c r="BP18" s="816" t="s">
        <v>4270</v>
      </c>
      <c r="BQ18" s="816" t="s">
        <v>4287</v>
      </c>
      <c r="BR18" s="816" t="s">
        <v>4316</v>
      </c>
      <c r="BS18" s="816" t="s">
        <v>3560</v>
      </c>
      <c r="BT18" s="816" t="s">
        <v>4333</v>
      </c>
      <c r="BU18" s="816" t="s">
        <v>4353</v>
      </c>
    </row>
    <row r="19" spans="1:73" ht="43.5" x14ac:dyDescent="0.35">
      <c r="A19" s="806" t="s">
        <v>690</v>
      </c>
      <c r="B19" s="806" t="s">
        <v>699</v>
      </c>
      <c r="C19" s="816" t="s">
        <v>2464</v>
      </c>
      <c r="D19" s="816" t="s">
        <v>2464</v>
      </c>
      <c r="E19" s="816" t="s">
        <v>2464</v>
      </c>
      <c r="F19" s="816" t="s">
        <v>2464</v>
      </c>
      <c r="G19" s="816" t="s">
        <v>2541</v>
      </c>
      <c r="H19" s="816" t="s">
        <v>2557</v>
      </c>
      <c r="I19" s="816" t="s">
        <v>2583</v>
      </c>
      <c r="J19" s="816" t="s">
        <v>2610</v>
      </c>
      <c r="K19" s="816" t="s">
        <v>2624</v>
      </c>
      <c r="L19" s="816" t="s">
        <v>2638</v>
      </c>
      <c r="M19" s="816" t="s">
        <v>1926</v>
      </c>
      <c r="N19" s="816" t="s">
        <v>2705</v>
      </c>
      <c r="O19" s="816" t="s">
        <v>2745</v>
      </c>
      <c r="P19" s="816" t="s">
        <v>2765</v>
      </c>
      <c r="Q19" s="816" t="s">
        <v>2784</v>
      </c>
      <c r="R19" s="816" t="s">
        <v>2798</v>
      </c>
      <c r="S19" s="816" t="s">
        <v>2816</v>
      </c>
      <c r="T19" s="816" t="s">
        <v>2835</v>
      </c>
      <c r="U19" s="816" t="s">
        <v>2847</v>
      </c>
      <c r="V19" s="816" t="s">
        <v>2867</v>
      </c>
      <c r="W19" s="816" t="s">
        <v>2883</v>
      </c>
      <c r="X19" s="816" t="s">
        <v>2908</v>
      </c>
      <c r="Y19" s="816" t="s">
        <v>2927</v>
      </c>
      <c r="Z19" s="816" t="s">
        <v>2948</v>
      </c>
      <c r="AA19" s="816" t="s">
        <v>2965</v>
      </c>
      <c r="AB19" s="816" t="s">
        <v>3021</v>
      </c>
      <c r="AC19" s="816" t="s">
        <v>3021</v>
      </c>
      <c r="AD19" s="816" t="s">
        <v>3072</v>
      </c>
      <c r="AE19" s="816" t="s">
        <v>3087</v>
      </c>
      <c r="AF19" s="816" t="s">
        <v>3103</v>
      </c>
      <c r="AG19" s="816" t="s">
        <v>3131</v>
      </c>
      <c r="AH19" s="816" t="s">
        <v>3144</v>
      </c>
      <c r="AI19" s="816" t="s">
        <v>3214</v>
      </c>
      <c r="AJ19" s="816" t="s">
        <v>3231</v>
      </c>
      <c r="AK19" s="816" t="s">
        <v>3247</v>
      </c>
      <c r="AL19" s="816" t="s">
        <v>3262</v>
      </c>
      <c r="AM19" s="816" t="s">
        <v>3281</v>
      </c>
      <c r="AN19" s="816" t="s">
        <v>3303</v>
      </c>
      <c r="AO19" s="816" t="s">
        <v>3348</v>
      </c>
      <c r="AP19" s="816" t="s">
        <v>3367</v>
      </c>
      <c r="AQ19" s="816" t="s">
        <v>3382</v>
      </c>
      <c r="AR19" s="816" t="s">
        <v>3400</v>
      </c>
      <c r="AS19" s="816" t="s">
        <v>3423</v>
      </c>
      <c r="AT19" s="816" t="s">
        <v>3446</v>
      </c>
      <c r="AU19" s="816" t="s">
        <v>3463</v>
      </c>
      <c r="AV19" s="816" t="s">
        <v>3478</v>
      </c>
      <c r="AW19" s="816" t="s">
        <v>3493</v>
      </c>
      <c r="AX19" s="816" t="s">
        <v>3527</v>
      </c>
      <c r="AY19" s="816" t="s">
        <v>3561</v>
      </c>
      <c r="AZ19" s="816" t="s">
        <v>3588</v>
      </c>
      <c r="BA19" s="816" t="s">
        <v>3610</v>
      </c>
      <c r="BB19" s="816" t="s">
        <v>3651</v>
      </c>
      <c r="BC19" s="816" t="s">
        <v>3670</v>
      </c>
      <c r="BD19" s="816" t="s">
        <v>3694</v>
      </c>
      <c r="BE19" s="816" t="s">
        <v>3748</v>
      </c>
      <c r="BF19" s="816" t="s">
        <v>3766</v>
      </c>
      <c r="BG19" s="816" t="s">
        <v>3899</v>
      </c>
      <c r="BH19" s="816" t="s">
        <v>3919</v>
      </c>
      <c r="BI19" s="816" t="s">
        <v>3933</v>
      </c>
      <c r="BJ19" s="816" t="s">
        <v>3957</v>
      </c>
      <c r="BK19" s="816" t="s">
        <v>3969</v>
      </c>
      <c r="BL19" s="816" t="s">
        <v>4185</v>
      </c>
      <c r="BM19" s="816" t="s">
        <v>4222</v>
      </c>
      <c r="BN19" s="816" t="s">
        <v>4237</v>
      </c>
      <c r="BO19" s="816" t="s">
        <v>4254</v>
      </c>
      <c r="BP19" s="816" t="s">
        <v>4272</v>
      </c>
      <c r="BQ19" s="816" t="s">
        <v>4288</v>
      </c>
      <c r="BR19" s="816" t="s">
        <v>4317</v>
      </c>
      <c r="BS19" s="816" t="s">
        <v>3561</v>
      </c>
      <c r="BT19" s="816" t="s">
        <v>4334</v>
      </c>
      <c r="BU19" s="816" t="s">
        <v>4354</v>
      </c>
    </row>
    <row r="20" spans="1:73" x14ac:dyDescent="0.35">
      <c r="A20" s="806" t="s">
        <v>690</v>
      </c>
      <c r="B20" s="806" t="s">
        <v>700</v>
      </c>
      <c r="C20" s="816" t="s">
        <v>2465</v>
      </c>
      <c r="D20" s="816" t="s">
        <v>2465</v>
      </c>
      <c r="E20" s="816" t="s">
        <v>2465</v>
      </c>
      <c r="F20" s="816" t="s">
        <v>2465</v>
      </c>
      <c r="G20" s="816">
        <v>8188848808</v>
      </c>
      <c r="H20" s="816" t="s">
        <v>2558</v>
      </c>
      <c r="I20" s="816" t="s">
        <v>2584</v>
      </c>
      <c r="J20" s="816" t="s">
        <v>2607</v>
      </c>
      <c r="K20" s="816" t="s">
        <v>2621</v>
      </c>
      <c r="L20" s="816" t="s">
        <v>2639</v>
      </c>
      <c r="M20" s="816" t="s">
        <v>1927</v>
      </c>
      <c r="N20" s="816" t="s">
        <v>2706</v>
      </c>
      <c r="O20" s="816" t="s">
        <v>2741</v>
      </c>
      <c r="P20" s="816" t="s">
        <v>2761</v>
      </c>
      <c r="Q20" s="816" t="s">
        <v>2785</v>
      </c>
      <c r="R20" s="816" t="s">
        <v>2799</v>
      </c>
      <c r="S20" s="816" t="s">
        <v>2812</v>
      </c>
      <c r="T20" s="816" t="s">
        <v>2836</v>
      </c>
      <c r="U20" s="816" t="s">
        <v>2851</v>
      </c>
      <c r="V20" s="816" t="s">
        <v>2868</v>
      </c>
      <c r="W20" s="816" t="s">
        <v>2884</v>
      </c>
      <c r="X20" s="816" t="s">
        <v>2909</v>
      </c>
      <c r="Y20" s="816" t="s">
        <v>2928</v>
      </c>
      <c r="Z20" s="816">
        <v>7603473157</v>
      </c>
      <c r="AA20" s="816" t="s">
        <v>2966</v>
      </c>
      <c r="AB20" s="816" t="s">
        <v>3022</v>
      </c>
      <c r="AC20" s="816" t="s">
        <v>3022</v>
      </c>
      <c r="AD20" s="816" t="s">
        <v>3068</v>
      </c>
      <c r="AE20" s="816" t="s">
        <v>3088</v>
      </c>
      <c r="AF20" s="816" t="s">
        <v>3104</v>
      </c>
      <c r="AG20" s="816" t="s">
        <v>3128</v>
      </c>
      <c r="AH20" s="816" t="s">
        <v>3145</v>
      </c>
      <c r="AI20" s="816" t="s">
        <v>3215</v>
      </c>
      <c r="AJ20" s="816" t="s">
        <v>3232</v>
      </c>
      <c r="AK20" s="816" t="s">
        <v>3248</v>
      </c>
      <c r="AL20" s="816" t="s">
        <v>3263</v>
      </c>
      <c r="AM20" s="816" t="s">
        <v>3282</v>
      </c>
      <c r="AN20" s="816">
        <v>7074221948</v>
      </c>
      <c r="AO20" s="816" t="s">
        <v>3349</v>
      </c>
      <c r="AP20" s="816" t="s">
        <v>3368</v>
      </c>
      <c r="AQ20" s="816">
        <v>9519635221</v>
      </c>
      <c r="AR20" s="816" t="s">
        <v>3401</v>
      </c>
      <c r="AS20" s="816" t="s">
        <v>3424</v>
      </c>
      <c r="AT20" s="816" t="s">
        <v>3447</v>
      </c>
      <c r="AU20" s="816">
        <v>6268551500</v>
      </c>
      <c r="AV20" s="816" t="s">
        <v>3479</v>
      </c>
      <c r="AW20" s="816" t="s">
        <v>3494</v>
      </c>
      <c r="AX20" s="816" t="s">
        <v>3528</v>
      </c>
      <c r="AY20" s="816" t="s">
        <v>3557</v>
      </c>
      <c r="AZ20" s="816" t="s">
        <v>3584</v>
      </c>
      <c r="BA20" s="816" t="s">
        <v>3611</v>
      </c>
      <c r="BB20" s="816" t="s">
        <v>3652</v>
      </c>
      <c r="BC20" s="816" t="s">
        <v>3671</v>
      </c>
      <c r="BD20" s="816" t="s">
        <v>3695</v>
      </c>
      <c r="BE20" s="816">
        <v>5595854766</v>
      </c>
      <c r="BF20" s="816" t="s">
        <v>3767</v>
      </c>
      <c r="BG20" s="816" t="s">
        <v>3900</v>
      </c>
      <c r="BH20" s="816" t="s">
        <v>3920</v>
      </c>
      <c r="BI20" s="816" t="s">
        <v>3934</v>
      </c>
      <c r="BJ20" s="816" t="s">
        <v>3958</v>
      </c>
      <c r="BK20" s="816" t="s">
        <v>3970</v>
      </c>
      <c r="BL20" s="816" t="s">
        <v>4186</v>
      </c>
      <c r="BM20" s="816" t="s">
        <v>4223</v>
      </c>
      <c r="BN20" s="816">
        <v>8052737801</v>
      </c>
      <c r="BO20" s="816" t="s">
        <v>4255</v>
      </c>
      <c r="BP20" s="816">
        <v>6508533195</v>
      </c>
      <c r="BQ20" s="816" t="s">
        <v>4289</v>
      </c>
      <c r="BR20" s="816" t="s">
        <v>4318</v>
      </c>
      <c r="BS20" s="816" t="s">
        <v>3557</v>
      </c>
      <c r="BT20" s="816" t="s">
        <v>4335</v>
      </c>
      <c r="BU20" s="816" t="s">
        <v>4355</v>
      </c>
    </row>
    <row r="21" spans="1:73" ht="43.5" x14ac:dyDescent="0.35">
      <c r="A21" s="806" t="s">
        <v>690</v>
      </c>
      <c r="B21" s="806" t="s">
        <v>698</v>
      </c>
      <c r="C21" s="816" t="s">
        <v>2463</v>
      </c>
      <c r="D21" s="816" t="s">
        <v>2463</v>
      </c>
      <c r="E21" s="816" t="s">
        <v>2463</v>
      </c>
      <c r="F21" s="816" t="s">
        <v>2463</v>
      </c>
      <c r="G21" s="816" t="s">
        <v>2540</v>
      </c>
      <c r="H21" s="816" t="s">
        <v>2556</v>
      </c>
      <c r="I21" s="816" t="s">
        <v>2585</v>
      </c>
      <c r="J21" s="816" t="s">
        <v>2611</v>
      </c>
      <c r="K21" s="816" t="s">
        <v>2471</v>
      </c>
      <c r="L21" s="816" t="s">
        <v>2637</v>
      </c>
      <c r="M21" s="816" t="s">
        <v>1928</v>
      </c>
      <c r="N21" s="816" t="s">
        <v>2707</v>
      </c>
      <c r="O21" s="816" t="s">
        <v>2746</v>
      </c>
      <c r="P21" s="816" t="s">
        <v>2766</v>
      </c>
      <c r="Q21" s="816" t="s">
        <v>2463</v>
      </c>
      <c r="R21" s="816" t="s">
        <v>2800</v>
      </c>
      <c r="S21" s="816" t="s">
        <v>2817</v>
      </c>
      <c r="T21" s="816" t="s">
        <v>2837</v>
      </c>
      <c r="U21" s="816" t="s">
        <v>2463</v>
      </c>
      <c r="V21" s="816" t="s">
        <v>2869</v>
      </c>
      <c r="W21" s="816" t="s">
        <v>2746</v>
      </c>
      <c r="X21" s="816" t="s">
        <v>2889</v>
      </c>
      <c r="Y21" s="816" t="s">
        <v>2929</v>
      </c>
      <c r="Z21" s="816" t="s">
        <v>2611</v>
      </c>
      <c r="AA21" s="816" t="s">
        <v>2964</v>
      </c>
      <c r="AB21" s="816" t="s">
        <v>3020</v>
      </c>
      <c r="AC21" s="816" t="s">
        <v>3020</v>
      </c>
      <c r="AD21" s="816" t="s">
        <v>2964</v>
      </c>
      <c r="AE21" s="816" t="s">
        <v>3089</v>
      </c>
      <c r="AF21" s="816" t="s">
        <v>3105</v>
      </c>
      <c r="AG21" s="816" t="s">
        <v>3132</v>
      </c>
      <c r="AH21" s="816" t="s">
        <v>2585</v>
      </c>
      <c r="AI21" s="816" t="s">
        <v>3216</v>
      </c>
      <c r="AJ21" s="816" t="s">
        <v>3233</v>
      </c>
      <c r="AK21" s="816" t="s">
        <v>3246</v>
      </c>
      <c r="AL21" s="816" t="s">
        <v>2556</v>
      </c>
      <c r="AM21" s="816" t="s">
        <v>3283</v>
      </c>
      <c r="AN21" s="816" t="s">
        <v>2611</v>
      </c>
      <c r="AO21" s="816" t="s">
        <v>3350</v>
      </c>
      <c r="AP21" s="816" t="s">
        <v>3369</v>
      </c>
      <c r="AQ21" s="816" t="s">
        <v>3383</v>
      </c>
      <c r="AR21" s="816" t="s">
        <v>2556</v>
      </c>
      <c r="AS21" s="816" t="s">
        <v>3425</v>
      </c>
      <c r="AT21" s="816" t="s">
        <v>2556</v>
      </c>
      <c r="AU21" s="816" t="s">
        <v>3464</v>
      </c>
      <c r="AV21" s="816" t="s">
        <v>2556</v>
      </c>
      <c r="AW21" s="816" t="s">
        <v>3495</v>
      </c>
      <c r="AX21" s="816" t="s">
        <v>3495</v>
      </c>
      <c r="AY21" s="816" t="s">
        <v>2556</v>
      </c>
      <c r="AZ21" s="816" t="s">
        <v>2556</v>
      </c>
      <c r="BA21" s="816" t="s">
        <v>3612</v>
      </c>
      <c r="BB21" s="816" t="s">
        <v>3650</v>
      </c>
      <c r="BC21" s="816" t="s">
        <v>3672</v>
      </c>
      <c r="BD21" s="816" t="s">
        <v>2611</v>
      </c>
      <c r="BE21" s="816" t="s">
        <v>3749</v>
      </c>
      <c r="BF21" s="816" t="s">
        <v>2622</v>
      </c>
      <c r="BG21" s="816" t="s">
        <v>3901</v>
      </c>
      <c r="BH21" s="816" t="s">
        <v>3921</v>
      </c>
      <c r="BI21" s="816" t="s">
        <v>3935</v>
      </c>
      <c r="BJ21" s="816" t="s">
        <v>2611</v>
      </c>
      <c r="BK21" s="816" t="s">
        <v>3968</v>
      </c>
      <c r="BL21" s="816" t="s">
        <v>2611</v>
      </c>
      <c r="BM21" s="816" t="s">
        <v>4224</v>
      </c>
      <c r="BN21" s="816" t="s">
        <v>2611</v>
      </c>
      <c r="BO21" s="816" t="s">
        <v>4256</v>
      </c>
      <c r="BP21" s="816" t="s">
        <v>4271</v>
      </c>
      <c r="BQ21" s="816" t="s">
        <v>2471</v>
      </c>
      <c r="BR21" s="816" t="s">
        <v>4319</v>
      </c>
      <c r="BS21" s="816" t="s">
        <v>2556</v>
      </c>
      <c r="BT21" s="816" t="s">
        <v>2556</v>
      </c>
      <c r="BU21" s="816" t="s">
        <v>4356</v>
      </c>
    </row>
    <row r="22" spans="1:73" x14ac:dyDescent="0.35">
      <c r="A22" s="806" t="s">
        <v>690</v>
      </c>
      <c r="B22" s="806" t="s">
        <v>696</v>
      </c>
      <c r="C22" s="816" t="s">
        <v>899</v>
      </c>
      <c r="D22" s="816" t="s">
        <v>899</v>
      </c>
      <c r="E22" s="816" t="s">
        <v>899</v>
      </c>
      <c r="F22" s="816" t="s">
        <v>899</v>
      </c>
      <c r="G22" s="816" t="s">
        <v>899</v>
      </c>
      <c r="H22" s="816" t="s">
        <v>899</v>
      </c>
      <c r="I22" s="816" t="s">
        <v>899</v>
      </c>
      <c r="J22" s="816" t="s">
        <v>899</v>
      </c>
      <c r="K22" s="816" t="s">
        <v>899</v>
      </c>
      <c r="L22" s="816" t="s">
        <v>899</v>
      </c>
      <c r="M22" s="816" t="s">
        <v>899</v>
      </c>
      <c r="N22" s="816" t="s">
        <v>899</v>
      </c>
      <c r="O22" s="816" t="s">
        <v>899</v>
      </c>
      <c r="P22" s="816" t="s">
        <v>899</v>
      </c>
      <c r="Q22" s="816" t="s">
        <v>899</v>
      </c>
      <c r="R22" s="816" t="s">
        <v>899</v>
      </c>
      <c r="S22" s="816" t="s">
        <v>899</v>
      </c>
      <c r="T22" s="816" t="s">
        <v>899</v>
      </c>
      <c r="U22" s="816" t="s">
        <v>899</v>
      </c>
      <c r="V22" s="816" t="s">
        <v>899</v>
      </c>
      <c r="W22" s="816" t="s">
        <v>899</v>
      </c>
      <c r="X22" s="816" t="s">
        <v>899</v>
      </c>
      <c r="Y22" s="816" t="s">
        <v>899</v>
      </c>
      <c r="Z22" s="816" t="s">
        <v>899</v>
      </c>
      <c r="AA22" s="816" t="s">
        <v>899</v>
      </c>
      <c r="AB22" s="816" t="s">
        <v>899</v>
      </c>
      <c r="AC22" s="816" t="s">
        <v>899</v>
      </c>
      <c r="AD22" s="816" t="s">
        <v>899</v>
      </c>
      <c r="AE22" s="816" t="s">
        <v>899</v>
      </c>
      <c r="AF22" s="816" t="s">
        <v>899</v>
      </c>
      <c r="AG22" s="816" t="s">
        <v>899</v>
      </c>
      <c r="AH22" s="816" t="s">
        <v>899</v>
      </c>
      <c r="AI22" s="816" t="s">
        <v>899</v>
      </c>
      <c r="AJ22" s="816" t="s">
        <v>899</v>
      </c>
      <c r="AK22" s="816" t="s">
        <v>899</v>
      </c>
      <c r="AL22" s="816" t="s">
        <v>899</v>
      </c>
      <c r="AM22" s="816" t="s">
        <v>899</v>
      </c>
      <c r="AN22" s="816" t="s">
        <v>899</v>
      </c>
      <c r="AO22" s="816" t="s">
        <v>899</v>
      </c>
      <c r="AP22" s="816" t="s">
        <v>899</v>
      </c>
      <c r="AQ22" s="816" t="s">
        <v>899</v>
      </c>
      <c r="AR22" s="816" t="s">
        <v>899</v>
      </c>
      <c r="AS22" s="816" t="s">
        <v>899</v>
      </c>
      <c r="AT22" s="816" t="s">
        <v>899</v>
      </c>
      <c r="AU22" s="816" t="s">
        <v>899</v>
      </c>
      <c r="AV22" s="816" t="s">
        <v>899</v>
      </c>
      <c r="AW22" s="816" t="s">
        <v>899</v>
      </c>
      <c r="AX22" s="816" t="s">
        <v>899</v>
      </c>
      <c r="AY22" s="816" t="s">
        <v>899</v>
      </c>
      <c r="AZ22" s="816" t="s">
        <v>899</v>
      </c>
      <c r="BA22" s="816" t="s">
        <v>899</v>
      </c>
      <c r="BB22" s="816" t="s">
        <v>899</v>
      </c>
      <c r="BC22" s="816" t="s">
        <v>899</v>
      </c>
      <c r="BD22" s="816" t="s">
        <v>899</v>
      </c>
      <c r="BE22" s="816" t="s">
        <v>899</v>
      </c>
      <c r="BF22" s="816" t="s">
        <v>899</v>
      </c>
      <c r="BG22" s="816" t="s">
        <v>899</v>
      </c>
      <c r="BH22" s="816" t="s">
        <v>899</v>
      </c>
      <c r="BI22" s="816" t="s">
        <v>899</v>
      </c>
      <c r="BJ22" s="816" t="s">
        <v>899</v>
      </c>
      <c r="BK22" s="816" t="s">
        <v>899</v>
      </c>
      <c r="BL22" s="816" t="s">
        <v>899</v>
      </c>
      <c r="BM22" s="816" t="s">
        <v>899</v>
      </c>
      <c r="BN22" s="816" t="s">
        <v>899</v>
      </c>
      <c r="BO22" s="816" t="s">
        <v>899</v>
      </c>
      <c r="BP22" s="816" t="s">
        <v>899</v>
      </c>
      <c r="BQ22" s="816" t="s">
        <v>899</v>
      </c>
      <c r="BR22" s="816" t="s">
        <v>899</v>
      </c>
      <c r="BS22" s="816" t="s">
        <v>899</v>
      </c>
      <c r="BT22" s="816" t="s">
        <v>899</v>
      </c>
      <c r="BU22" s="816" t="s">
        <v>899</v>
      </c>
    </row>
    <row r="23" spans="1:73" ht="29" x14ac:dyDescent="0.35">
      <c r="A23" s="806" t="s">
        <v>690</v>
      </c>
      <c r="B23" s="806" t="s">
        <v>692</v>
      </c>
      <c r="C23" s="816" t="s">
        <v>1404</v>
      </c>
      <c r="D23" s="816" t="s">
        <v>1404</v>
      </c>
      <c r="E23" s="816" t="s">
        <v>1404</v>
      </c>
      <c r="F23" s="816" t="s">
        <v>1404</v>
      </c>
      <c r="G23" s="816" t="s">
        <v>1404</v>
      </c>
      <c r="H23" s="816" t="s">
        <v>2552</v>
      </c>
      <c r="I23" s="816" t="s">
        <v>1404</v>
      </c>
      <c r="J23" s="816" t="s">
        <v>1404</v>
      </c>
      <c r="K23" s="816" t="s">
        <v>1404</v>
      </c>
      <c r="L23" s="816" t="s">
        <v>1404</v>
      </c>
      <c r="M23" s="816" t="s">
        <v>1404</v>
      </c>
      <c r="N23" s="816" t="s">
        <v>1404</v>
      </c>
      <c r="O23" s="816" t="s">
        <v>2552</v>
      </c>
      <c r="P23" s="816" t="s">
        <v>2552</v>
      </c>
      <c r="Q23" s="816" t="s">
        <v>1404</v>
      </c>
      <c r="R23" s="816" t="s">
        <v>1957</v>
      </c>
      <c r="S23" s="816" t="s">
        <v>2552</v>
      </c>
      <c r="T23" s="816" t="s">
        <v>2552</v>
      </c>
      <c r="U23" s="816" t="s">
        <v>1404</v>
      </c>
      <c r="V23" s="816" t="s">
        <v>2552</v>
      </c>
      <c r="W23" s="816" t="s">
        <v>2552</v>
      </c>
      <c r="X23" s="816" t="s">
        <v>1957</v>
      </c>
      <c r="Y23" s="816" t="s">
        <v>2552</v>
      </c>
      <c r="Z23" s="816" t="s">
        <v>1404</v>
      </c>
      <c r="AA23" s="816" t="s">
        <v>1404</v>
      </c>
      <c r="AB23" s="816" t="s">
        <v>1404</v>
      </c>
      <c r="AC23" s="816" t="s">
        <v>1404</v>
      </c>
      <c r="AD23" s="816" t="s">
        <v>1404</v>
      </c>
      <c r="AE23" s="816" t="s">
        <v>1404</v>
      </c>
      <c r="AF23" s="816" t="s">
        <v>1404</v>
      </c>
      <c r="AG23" s="816" t="s">
        <v>2552</v>
      </c>
      <c r="AH23" s="816" t="s">
        <v>1404</v>
      </c>
      <c r="AI23" s="816" t="s">
        <v>2552</v>
      </c>
      <c r="AJ23" s="816" t="s">
        <v>1404</v>
      </c>
      <c r="AK23" s="816" t="s">
        <v>2552</v>
      </c>
      <c r="AL23" s="816" t="s">
        <v>2552</v>
      </c>
      <c r="AM23" s="816" t="s">
        <v>1957</v>
      </c>
      <c r="AN23" s="816" t="s">
        <v>1404</v>
      </c>
      <c r="AO23" s="816" t="s">
        <v>3351</v>
      </c>
      <c r="AP23" s="816" t="s">
        <v>2552</v>
      </c>
      <c r="AQ23" s="816" t="s">
        <v>1404</v>
      </c>
      <c r="AR23" s="816" t="s">
        <v>2552</v>
      </c>
      <c r="AS23" s="816" t="s">
        <v>3351</v>
      </c>
      <c r="AT23" s="816" t="s">
        <v>2552</v>
      </c>
      <c r="AU23" s="816" t="s">
        <v>2552</v>
      </c>
      <c r="AV23" s="816" t="s">
        <v>2552</v>
      </c>
      <c r="AW23" s="816" t="s">
        <v>1404</v>
      </c>
      <c r="AX23" s="816" t="s">
        <v>1404</v>
      </c>
      <c r="AY23" s="816" t="s">
        <v>2552</v>
      </c>
      <c r="AZ23" s="816" t="s">
        <v>2552</v>
      </c>
      <c r="BA23" s="816" t="s">
        <v>1404</v>
      </c>
      <c r="BB23" s="816" t="s">
        <v>2552</v>
      </c>
      <c r="BC23" s="816" t="s">
        <v>1404</v>
      </c>
      <c r="BD23" s="816" t="s">
        <v>1404</v>
      </c>
      <c r="BE23" s="816" t="s">
        <v>2552</v>
      </c>
      <c r="BF23" s="816" t="s">
        <v>1404</v>
      </c>
      <c r="BG23" s="816" t="s">
        <v>1957</v>
      </c>
      <c r="BH23" s="816" t="s">
        <v>2552</v>
      </c>
      <c r="BI23" s="816" t="s">
        <v>1404</v>
      </c>
      <c r="BJ23" s="816" t="s">
        <v>1404</v>
      </c>
      <c r="BK23" s="816" t="s">
        <v>1404</v>
      </c>
      <c r="BL23" s="816" t="s">
        <v>1404</v>
      </c>
      <c r="BM23" s="816" t="s">
        <v>2552</v>
      </c>
      <c r="BN23" s="816" t="s">
        <v>1404</v>
      </c>
      <c r="BO23" s="816" t="s">
        <v>2552</v>
      </c>
      <c r="BP23" s="816" t="s">
        <v>2552</v>
      </c>
      <c r="BQ23" s="816" t="s">
        <v>1404</v>
      </c>
      <c r="BR23" s="816" t="s">
        <v>1404</v>
      </c>
      <c r="BS23" s="816" t="s">
        <v>2552</v>
      </c>
      <c r="BT23" s="816" t="s">
        <v>2552</v>
      </c>
      <c r="BU23" s="816" t="s">
        <v>1404</v>
      </c>
    </row>
    <row r="24" spans="1:73" x14ac:dyDescent="0.35">
      <c r="A24" s="806" t="s">
        <v>690</v>
      </c>
      <c r="B24" s="806" t="s">
        <v>695</v>
      </c>
      <c r="C24" s="816">
        <v>95811</v>
      </c>
      <c r="D24" s="816">
        <v>95811</v>
      </c>
      <c r="E24" s="816">
        <v>95811</v>
      </c>
      <c r="F24" s="816">
        <v>95811</v>
      </c>
      <c r="G24" s="816">
        <v>91364</v>
      </c>
      <c r="H24" s="816">
        <v>93612</v>
      </c>
      <c r="I24" s="816">
        <v>93727</v>
      </c>
      <c r="J24" s="816">
        <v>92507</v>
      </c>
      <c r="K24" s="816">
        <v>95370</v>
      </c>
      <c r="L24" s="816">
        <v>91016</v>
      </c>
      <c r="M24" s="816" t="s">
        <v>1929</v>
      </c>
      <c r="N24" s="816">
        <v>95422</v>
      </c>
      <c r="O24" s="816">
        <v>93257</v>
      </c>
      <c r="P24" s="816">
        <v>93646</v>
      </c>
      <c r="Q24" s="816">
        <v>90706</v>
      </c>
      <c r="R24" s="816">
        <v>93277</v>
      </c>
      <c r="S24" s="816">
        <v>93618</v>
      </c>
      <c r="T24" s="816">
        <v>93274</v>
      </c>
      <c r="U24" s="816">
        <v>90010</v>
      </c>
      <c r="V24" s="816">
        <v>95023</v>
      </c>
      <c r="W24" s="816">
        <v>91101</v>
      </c>
      <c r="X24" s="816">
        <v>92123</v>
      </c>
      <c r="Y24" s="816">
        <v>93204</v>
      </c>
      <c r="Z24" s="816">
        <v>92201</v>
      </c>
      <c r="AA24" s="816">
        <v>94104</v>
      </c>
      <c r="AB24" s="816">
        <v>95928</v>
      </c>
      <c r="AC24" s="816">
        <v>95928</v>
      </c>
      <c r="AD24" s="816">
        <v>92591</v>
      </c>
      <c r="AE24" s="816">
        <v>90802</v>
      </c>
      <c r="AF24" s="816">
        <v>92111</v>
      </c>
      <c r="AG24" s="816">
        <v>93212</v>
      </c>
      <c r="AH24" s="816">
        <v>95062</v>
      </c>
      <c r="AI24" s="816">
        <v>90280</v>
      </c>
      <c r="AJ24" s="816">
        <v>92867</v>
      </c>
      <c r="AK24" s="816">
        <v>92376</v>
      </c>
      <c r="AL24" s="816">
        <v>92227</v>
      </c>
      <c r="AM24" s="816">
        <v>95134</v>
      </c>
      <c r="AN24" s="816">
        <v>94534</v>
      </c>
      <c r="AO24" s="816">
        <v>92101</v>
      </c>
      <c r="AP24" s="816">
        <v>91710</v>
      </c>
      <c r="AQ24" s="816">
        <v>92508</v>
      </c>
      <c r="AR24" s="816">
        <v>91786</v>
      </c>
      <c r="AS24" s="816">
        <v>94903</v>
      </c>
      <c r="AT24" s="816">
        <v>90650</v>
      </c>
      <c r="AU24" s="816">
        <v>91744</v>
      </c>
      <c r="AV24" s="816">
        <v>90262</v>
      </c>
      <c r="AW24" s="816">
        <v>94612</v>
      </c>
      <c r="AX24" s="816">
        <v>94612</v>
      </c>
      <c r="AY24" s="816">
        <v>93648</v>
      </c>
      <c r="AZ24" s="816">
        <v>95562</v>
      </c>
      <c r="BA24" s="816">
        <v>95901</v>
      </c>
      <c r="BB24" s="816">
        <v>94612</v>
      </c>
      <c r="BC24" s="816">
        <v>94612</v>
      </c>
      <c r="BD24" s="816">
        <v>94705</v>
      </c>
      <c r="BE24" s="816">
        <v>93230</v>
      </c>
      <c r="BF24" s="816">
        <v>92705</v>
      </c>
      <c r="BG24" s="816">
        <v>94002</v>
      </c>
      <c r="BH24" s="816">
        <v>93534</v>
      </c>
      <c r="BI24" s="816">
        <v>91730</v>
      </c>
      <c r="BJ24" s="816">
        <v>91103</v>
      </c>
      <c r="BK24" s="816">
        <v>93401</v>
      </c>
      <c r="BL24" s="816">
        <v>95616</v>
      </c>
      <c r="BM24" s="816">
        <v>95521</v>
      </c>
      <c r="BN24" s="816">
        <v>93030</v>
      </c>
      <c r="BO24" s="816">
        <v>91731</v>
      </c>
      <c r="BP24" s="816">
        <v>94303</v>
      </c>
      <c r="BQ24" s="816">
        <v>95222</v>
      </c>
      <c r="BR24" s="816">
        <v>95945</v>
      </c>
      <c r="BS24" s="816">
        <v>93648</v>
      </c>
      <c r="BT24" s="816">
        <v>92522</v>
      </c>
      <c r="BU24" s="816">
        <v>93291</v>
      </c>
    </row>
    <row r="25" spans="1:73" x14ac:dyDescent="0.35">
      <c r="A25" s="806" t="s">
        <v>687</v>
      </c>
      <c r="B25" s="806" t="s">
        <v>688</v>
      </c>
      <c r="C25" s="816" t="s">
        <v>198</v>
      </c>
      <c r="D25" s="816" t="s">
        <v>198</v>
      </c>
      <c r="E25" s="816" t="s">
        <v>198</v>
      </c>
      <c r="F25" s="816" t="s">
        <v>198</v>
      </c>
      <c r="G25" s="816" t="s">
        <v>198</v>
      </c>
      <c r="H25" s="816" t="s">
        <v>198</v>
      </c>
      <c r="I25" s="816" t="s">
        <v>198</v>
      </c>
      <c r="J25" s="816" t="s">
        <v>198</v>
      </c>
      <c r="K25" s="816" t="s">
        <v>198</v>
      </c>
      <c r="L25" s="816" t="s">
        <v>198</v>
      </c>
      <c r="M25" s="816" t="s">
        <v>198</v>
      </c>
      <c r="N25" s="816" t="s">
        <v>198</v>
      </c>
      <c r="O25" s="816" t="s">
        <v>198</v>
      </c>
      <c r="P25" s="816" t="s">
        <v>198</v>
      </c>
      <c r="Q25" s="816" t="s">
        <v>198</v>
      </c>
      <c r="R25" s="816" t="s">
        <v>198</v>
      </c>
      <c r="S25" s="816" t="s">
        <v>198</v>
      </c>
      <c r="T25" s="816" t="s">
        <v>198</v>
      </c>
      <c r="U25" s="816" t="s">
        <v>198</v>
      </c>
      <c r="V25" s="816" t="s">
        <v>198</v>
      </c>
      <c r="W25" s="816" t="s">
        <v>198</v>
      </c>
      <c r="X25" s="816" t="s">
        <v>198</v>
      </c>
      <c r="Y25" s="816" t="s">
        <v>198</v>
      </c>
      <c r="Z25" s="816" t="s">
        <v>198</v>
      </c>
      <c r="AA25" s="816" t="s">
        <v>198</v>
      </c>
      <c r="AB25" s="816" t="s">
        <v>198</v>
      </c>
      <c r="AC25" s="816" t="s">
        <v>198</v>
      </c>
      <c r="AD25" s="816" t="s">
        <v>198</v>
      </c>
      <c r="AE25" s="816" t="s">
        <v>198</v>
      </c>
      <c r="AF25" s="816" t="s">
        <v>198</v>
      </c>
      <c r="AG25" s="816" t="s">
        <v>198</v>
      </c>
      <c r="AH25" s="816" t="s">
        <v>198</v>
      </c>
      <c r="AI25" s="816" t="s">
        <v>198</v>
      </c>
      <c r="AJ25" s="816" t="s">
        <v>198</v>
      </c>
      <c r="AK25" s="816" t="s">
        <v>198</v>
      </c>
      <c r="AL25" s="816" t="s">
        <v>198</v>
      </c>
      <c r="AM25" s="816" t="s">
        <v>198</v>
      </c>
      <c r="AN25" s="816" t="s">
        <v>198</v>
      </c>
      <c r="AO25" s="816" t="s">
        <v>198</v>
      </c>
      <c r="AP25" s="816" t="s">
        <v>198</v>
      </c>
      <c r="AQ25" s="816" t="s">
        <v>198</v>
      </c>
      <c r="AR25" s="816" t="s">
        <v>198</v>
      </c>
      <c r="AS25" s="816" t="s">
        <v>198</v>
      </c>
      <c r="AT25" s="816" t="s">
        <v>198</v>
      </c>
      <c r="AU25" s="816" t="s">
        <v>198</v>
      </c>
      <c r="AV25" s="816" t="s">
        <v>198</v>
      </c>
      <c r="AW25" s="816" t="s">
        <v>198</v>
      </c>
      <c r="AX25" s="816" t="s">
        <v>198</v>
      </c>
      <c r="AY25" s="816" t="s">
        <v>198</v>
      </c>
      <c r="AZ25" s="816" t="s">
        <v>198</v>
      </c>
      <c r="BA25" s="816" t="s">
        <v>198</v>
      </c>
      <c r="BB25" s="816" t="s">
        <v>198</v>
      </c>
      <c r="BC25" s="816" t="s">
        <v>198</v>
      </c>
      <c r="BD25" s="816" t="s">
        <v>198</v>
      </c>
      <c r="BE25" s="816" t="s">
        <v>198</v>
      </c>
      <c r="BF25" s="816" t="s">
        <v>198</v>
      </c>
      <c r="BG25" s="816" t="s">
        <v>503</v>
      </c>
      <c r="BH25" s="816" t="s">
        <v>198</v>
      </c>
      <c r="BI25" s="816" t="s">
        <v>198</v>
      </c>
      <c r="BJ25" s="816" t="s">
        <v>198</v>
      </c>
      <c r="BK25" s="816" t="s">
        <v>198</v>
      </c>
      <c r="BL25" s="816" t="s">
        <v>503</v>
      </c>
      <c r="BM25" s="816" t="s">
        <v>198</v>
      </c>
      <c r="BN25" s="816" t="s">
        <v>198</v>
      </c>
      <c r="BO25" s="816" t="s">
        <v>198</v>
      </c>
      <c r="BP25" s="816" t="s">
        <v>198</v>
      </c>
      <c r="BQ25" s="816" t="s">
        <v>198</v>
      </c>
      <c r="BR25" s="816" t="s">
        <v>198</v>
      </c>
      <c r="BS25" s="816" t="s">
        <v>198</v>
      </c>
      <c r="BT25" s="816" t="s">
        <v>198</v>
      </c>
      <c r="BU25" s="816" t="s">
        <v>198</v>
      </c>
    </row>
    <row r="26" spans="1:73" x14ac:dyDescent="0.35">
      <c r="A26" s="806" t="s">
        <v>687</v>
      </c>
      <c r="B26" s="806" t="s">
        <v>689</v>
      </c>
      <c r="C26" s="816" t="s">
        <v>503</v>
      </c>
      <c r="D26" s="816" t="s">
        <v>503</v>
      </c>
      <c r="E26" s="816" t="s">
        <v>503</v>
      </c>
      <c r="F26" s="816" t="s">
        <v>503</v>
      </c>
      <c r="G26" s="816" t="s">
        <v>503</v>
      </c>
      <c r="H26" s="816" t="s">
        <v>503</v>
      </c>
      <c r="I26" s="816" t="s">
        <v>503</v>
      </c>
      <c r="J26" s="816" t="s">
        <v>503</v>
      </c>
      <c r="K26" s="816" t="s">
        <v>503</v>
      </c>
      <c r="L26" s="816" t="s">
        <v>503</v>
      </c>
      <c r="M26" s="816" t="s">
        <v>503</v>
      </c>
      <c r="N26" s="816" t="s">
        <v>503</v>
      </c>
      <c r="O26" s="816" t="s">
        <v>503</v>
      </c>
      <c r="P26" s="816" t="s">
        <v>503</v>
      </c>
      <c r="Q26" s="816" t="s">
        <v>503</v>
      </c>
      <c r="R26" s="816" t="s">
        <v>503</v>
      </c>
      <c r="S26" s="816" t="s">
        <v>503</v>
      </c>
      <c r="T26" s="816" t="s">
        <v>503</v>
      </c>
      <c r="U26" s="816" t="s">
        <v>503</v>
      </c>
      <c r="V26" s="816" t="s">
        <v>503</v>
      </c>
      <c r="W26" s="816" t="s">
        <v>503</v>
      </c>
      <c r="X26" s="816" t="s">
        <v>503</v>
      </c>
      <c r="Y26" s="816" t="s">
        <v>503</v>
      </c>
      <c r="Z26" s="816" t="s">
        <v>503</v>
      </c>
      <c r="AA26" s="816" t="s">
        <v>503</v>
      </c>
      <c r="AB26" s="816" t="s">
        <v>503</v>
      </c>
      <c r="AC26" s="816" t="s">
        <v>503</v>
      </c>
      <c r="AD26" s="816" t="s">
        <v>503</v>
      </c>
      <c r="AE26" s="816" t="s">
        <v>503</v>
      </c>
      <c r="AF26" s="816"/>
      <c r="AG26" s="816" t="s">
        <v>503</v>
      </c>
      <c r="AH26" s="816" t="s">
        <v>198</v>
      </c>
      <c r="AI26" s="816" t="s">
        <v>503</v>
      </c>
      <c r="AJ26" s="816" t="s">
        <v>503</v>
      </c>
      <c r="AK26" s="816" t="s">
        <v>503</v>
      </c>
      <c r="AL26" s="816"/>
      <c r="AM26" s="816" t="s">
        <v>503</v>
      </c>
      <c r="AN26" s="816"/>
      <c r="AO26" s="816" t="s">
        <v>503</v>
      </c>
      <c r="AP26" s="816" t="s">
        <v>503</v>
      </c>
      <c r="AQ26" s="816" t="s">
        <v>503</v>
      </c>
      <c r="AR26" s="816" t="s">
        <v>503</v>
      </c>
      <c r="AS26" s="816" t="s">
        <v>503</v>
      </c>
      <c r="AT26" s="816" t="s">
        <v>503</v>
      </c>
      <c r="AU26" s="816" t="s">
        <v>503</v>
      </c>
      <c r="AV26" s="816" t="s">
        <v>503</v>
      </c>
      <c r="AW26" s="816" t="s">
        <v>503</v>
      </c>
      <c r="AX26" s="816"/>
      <c r="AY26" s="816" t="s">
        <v>503</v>
      </c>
      <c r="AZ26" s="816" t="s">
        <v>503</v>
      </c>
      <c r="BA26" s="816" t="s">
        <v>503</v>
      </c>
      <c r="BB26" s="816" t="s">
        <v>503</v>
      </c>
      <c r="BC26" s="816" t="s">
        <v>503</v>
      </c>
      <c r="BD26" s="816" t="s">
        <v>503</v>
      </c>
      <c r="BE26" s="816" t="s">
        <v>503</v>
      </c>
      <c r="BF26" s="816" t="s">
        <v>503</v>
      </c>
      <c r="BG26" s="816" t="s">
        <v>198</v>
      </c>
      <c r="BH26" s="816"/>
      <c r="BI26" s="816" t="s">
        <v>503</v>
      </c>
      <c r="BJ26" s="816" t="s">
        <v>503</v>
      </c>
      <c r="BK26" s="816" t="s">
        <v>198</v>
      </c>
      <c r="BL26" s="816" t="s">
        <v>198</v>
      </c>
      <c r="BM26" s="816" t="s">
        <v>503</v>
      </c>
      <c r="BN26" s="816" t="s">
        <v>503</v>
      </c>
      <c r="BO26" s="816" t="s">
        <v>503</v>
      </c>
      <c r="BP26" s="816" t="s">
        <v>503</v>
      </c>
      <c r="BQ26" s="816" t="s">
        <v>503</v>
      </c>
      <c r="BR26" s="816" t="s">
        <v>503</v>
      </c>
      <c r="BS26" s="816" t="s">
        <v>503</v>
      </c>
      <c r="BT26" s="816" t="s">
        <v>503</v>
      </c>
      <c r="BU26" s="816" t="s">
        <v>198</v>
      </c>
    </row>
    <row r="27" spans="1:73" x14ac:dyDescent="0.35">
      <c r="A27" s="806" t="s">
        <v>690</v>
      </c>
      <c r="B27" s="806" t="s">
        <v>705</v>
      </c>
      <c r="C27" s="816" t="s">
        <v>2470</v>
      </c>
      <c r="D27" s="816" t="s">
        <v>2470</v>
      </c>
      <c r="E27" s="816" t="s">
        <v>2470</v>
      </c>
      <c r="F27" s="816" t="s">
        <v>2470</v>
      </c>
      <c r="G27" s="816" t="s">
        <v>2539</v>
      </c>
      <c r="H27" s="816" t="s">
        <v>2563</v>
      </c>
      <c r="I27" s="816" t="s">
        <v>2579</v>
      </c>
      <c r="J27" s="816" t="s">
        <v>2609</v>
      </c>
      <c r="K27" s="816" t="s">
        <v>2623</v>
      </c>
      <c r="L27" s="816" t="s">
        <v>2636</v>
      </c>
      <c r="M27" s="816" t="s">
        <v>1925</v>
      </c>
      <c r="N27" s="816" t="s">
        <v>2704</v>
      </c>
      <c r="O27" s="816" t="s">
        <v>2747</v>
      </c>
      <c r="P27" s="816" t="s">
        <v>2767</v>
      </c>
      <c r="Q27" s="816" t="s">
        <v>2778</v>
      </c>
      <c r="R27" s="816" t="s">
        <v>2801</v>
      </c>
      <c r="S27" s="816" t="s">
        <v>2818</v>
      </c>
      <c r="T27" s="816" t="s">
        <v>2767</v>
      </c>
      <c r="U27" s="816" t="s">
        <v>2850</v>
      </c>
      <c r="V27" s="816" t="s">
        <v>2866</v>
      </c>
      <c r="W27" s="816" t="s">
        <v>2885</v>
      </c>
      <c r="X27" s="816" t="s">
        <v>2910</v>
      </c>
      <c r="Y27" s="816" t="s">
        <v>2926</v>
      </c>
      <c r="Z27" s="816" t="s">
        <v>2949</v>
      </c>
      <c r="AA27" s="816" t="s">
        <v>2967</v>
      </c>
      <c r="AB27" s="816" t="s">
        <v>3019</v>
      </c>
      <c r="AC27" s="816" t="s">
        <v>3019</v>
      </c>
      <c r="AD27" s="816" t="s">
        <v>3071</v>
      </c>
      <c r="AE27" s="816" t="s">
        <v>3081</v>
      </c>
      <c r="AF27" s="816" t="s">
        <v>3102</v>
      </c>
      <c r="AG27" s="816" t="s">
        <v>2818</v>
      </c>
      <c r="AH27" s="816" t="s">
        <v>3143</v>
      </c>
      <c r="AI27" s="816" t="s">
        <v>3213</v>
      </c>
      <c r="AJ27" s="816" t="s">
        <v>3226</v>
      </c>
      <c r="AK27" s="816" t="s">
        <v>3241</v>
      </c>
      <c r="AL27" s="816" t="s">
        <v>3264</v>
      </c>
      <c r="AM27" s="816" t="s">
        <v>3280</v>
      </c>
      <c r="AN27" s="816" t="s">
        <v>3302</v>
      </c>
      <c r="AO27" s="816" t="s">
        <v>3352</v>
      </c>
      <c r="AP27" s="816" t="s">
        <v>3366</v>
      </c>
      <c r="AQ27" s="816" t="s">
        <v>3381</v>
      </c>
      <c r="AR27" s="816" t="s">
        <v>3402</v>
      </c>
      <c r="AS27" s="816" t="s">
        <v>3426</v>
      </c>
      <c r="AT27" s="816" t="s">
        <v>3448</v>
      </c>
      <c r="AU27" s="816" t="s">
        <v>3448</v>
      </c>
      <c r="AV27" s="816" t="s">
        <v>3448</v>
      </c>
      <c r="AW27" s="816" t="s">
        <v>3492</v>
      </c>
      <c r="AX27" s="816" t="s">
        <v>3526</v>
      </c>
      <c r="AY27" s="816" t="s">
        <v>3560</v>
      </c>
      <c r="AZ27" s="816" t="s">
        <v>3589</v>
      </c>
      <c r="BA27" s="816" t="s">
        <v>3613</v>
      </c>
      <c r="BB27" s="816" t="s">
        <v>3657</v>
      </c>
      <c r="BC27" s="816" t="s">
        <v>3673</v>
      </c>
      <c r="BD27" s="816" t="s">
        <v>3693</v>
      </c>
      <c r="BE27" s="816" t="s">
        <v>3747</v>
      </c>
      <c r="BF27" s="816" t="s">
        <v>3761</v>
      </c>
      <c r="BG27" s="816" t="s">
        <v>3902</v>
      </c>
      <c r="BH27" s="816" t="s">
        <v>3918</v>
      </c>
      <c r="BI27" s="816" t="s">
        <v>3932</v>
      </c>
      <c r="BJ27" s="816" t="s">
        <v>3952</v>
      </c>
      <c r="BK27" s="816" t="s">
        <v>3975</v>
      </c>
      <c r="BL27" s="816" t="s">
        <v>4187</v>
      </c>
      <c r="BM27" s="816" t="s">
        <v>4216</v>
      </c>
      <c r="BN27" s="816" t="s">
        <v>4238</v>
      </c>
      <c r="BO27" s="816" t="s">
        <v>4257</v>
      </c>
      <c r="BP27" s="816" t="s">
        <v>4270</v>
      </c>
      <c r="BQ27" s="816" t="s">
        <v>4287</v>
      </c>
      <c r="BR27" s="816" t="s">
        <v>4316</v>
      </c>
      <c r="BS27" s="816" t="s">
        <v>3560</v>
      </c>
      <c r="BT27" s="816" t="s">
        <v>4336</v>
      </c>
      <c r="BU27" s="816" t="s">
        <v>4353</v>
      </c>
    </row>
    <row r="28" spans="1:73" x14ac:dyDescent="0.35">
      <c r="A28" s="806" t="s">
        <v>690</v>
      </c>
      <c r="B28" s="806" t="s">
        <v>710</v>
      </c>
      <c r="C28" s="816" t="s">
        <v>2474</v>
      </c>
      <c r="D28" s="816" t="s">
        <v>2474</v>
      </c>
      <c r="E28" s="816" t="s">
        <v>2474</v>
      </c>
      <c r="F28" s="816" t="s">
        <v>2474</v>
      </c>
      <c r="G28" s="816" t="s">
        <v>2544</v>
      </c>
      <c r="H28" s="816" t="s">
        <v>2567</v>
      </c>
      <c r="I28" s="816" t="s">
        <v>2586</v>
      </c>
      <c r="J28" s="816" t="s">
        <v>2612</v>
      </c>
      <c r="K28" s="816" t="s">
        <v>2625</v>
      </c>
      <c r="L28" s="816" t="s">
        <v>2644</v>
      </c>
      <c r="M28" s="816" t="s">
        <v>2695</v>
      </c>
      <c r="N28" s="816" t="s">
        <v>2708</v>
      </c>
      <c r="O28" s="816" t="s">
        <v>2748</v>
      </c>
      <c r="P28" s="816" t="s">
        <v>2768</v>
      </c>
      <c r="Q28" s="816" t="s">
        <v>2644</v>
      </c>
      <c r="R28" s="816" t="s">
        <v>2802</v>
      </c>
      <c r="S28" s="816" t="s">
        <v>1869</v>
      </c>
      <c r="T28" s="816" t="s">
        <v>2768</v>
      </c>
      <c r="U28" s="816" t="s">
        <v>2852</v>
      </c>
      <c r="V28" s="816" t="s">
        <v>2870</v>
      </c>
      <c r="W28" s="816" t="s">
        <v>2886</v>
      </c>
      <c r="X28" s="816" t="s">
        <v>2911</v>
      </c>
      <c r="Y28" s="816" t="s">
        <v>2930</v>
      </c>
      <c r="Z28" s="816" t="s">
        <v>2950</v>
      </c>
      <c r="AA28" s="816" t="s">
        <v>2971</v>
      </c>
      <c r="AB28" s="816" t="s">
        <v>3027</v>
      </c>
      <c r="AC28" s="816" t="s">
        <v>3027</v>
      </c>
      <c r="AD28" s="816" t="s">
        <v>3073</v>
      </c>
      <c r="AE28" s="816" t="s">
        <v>3090</v>
      </c>
      <c r="AF28" s="816" t="s">
        <v>3106</v>
      </c>
      <c r="AG28" s="816" t="s">
        <v>1869</v>
      </c>
      <c r="AH28" s="816" t="s">
        <v>3150</v>
      </c>
      <c r="AI28" s="816" t="s">
        <v>899</v>
      </c>
      <c r="AJ28" s="816" t="s">
        <v>198</v>
      </c>
      <c r="AK28" s="816" t="s">
        <v>3249</v>
      </c>
      <c r="AL28" s="816" t="s">
        <v>3265</v>
      </c>
      <c r="AM28" s="816" t="s">
        <v>3284</v>
      </c>
      <c r="AN28" s="816" t="s">
        <v>3304</v>
      </c>
      <c r="AO28" s="816" t="s">
        <v>2748</v>
      </c>
      <c r="AP28" s="816" t="s">
        <v>3370</v>
      </c>
      <c r="AQ28" s="816" t="s">
        <v>3384</v>
      </c>
      <c r="AR28" s="816" t="s">
        <v>3403</v>
      </c>
      <c r="AS28" s="816" t="s">
        <v>2474</v>
      </c>
      <c r="AT28" s="816" t="s">
        <v>198</v>
      </c>
      <c r="AU28" s="816" t="s">
        <v>3465</v>
      </c>
      <c r="AV28" s="816" t="s">
        <v>3465</v>
      </c>
      <c r="AW28" s="816" t="s">
        <v>3496</v>
      </c>
      <c r="AX28" s="816" t="s">
        <v>3496</v>
      </c>
      <c r="AY28" s="816" t="s">
        <v>3562</v>
      </c>
      <c r="AZ28" s="816" t="s">
        <v>3590</v>
      </c>
      <c r="BA28" s="816" t="s">
        <v>3614</v>
      </c>
      <c r="BB28" s="816" t="s">
        <v>3661</v>
      </c>
      <c r="BC28" s="816" t="s">
        <v>3674</v>
      </c>
      <c r="BD28" s="816" t="s">
        <v>3696</v>
      </c>
      <c r="BE28" s="816" t="s">
        <v>3750</v>
      </c>
      <c r="BF28" s="816" t="s">
        <v>3768</v>
      </c>
      <c r="BG28" s="816" t="s">
        <v>3674</v>
      </c>
      <c r="BH28" s="816" t="s">
        <v>899</v>
      </c>
      <c r="BI28" s="816" t="s">
        <v>3936</v>
      </c>
      <c r="BJ28" s="816" t="s">
        <v>3959</v>
      </c>
      <c r="BK28" s="816" t="s">
        <v>3978</v>
      </c>
      <c r="BL28" s="816" t="s">
        <v>4192</v>
      </c>
      <c r="BM28" s="816" t="s">
        <v>4225</v>
      </c>
      <c r="BN28" s="816" t="s">
        <v>2802</v>
      </c>
      <c r="BO28" s="816" t="s">
        <v>4258</v>
      </c>
      <c r="BP28" s="816" t="s">
        <v>4273</v>
      </c>
      <c r="BQ28" s="816" t="s">
        <v>4290</v>
      </c>
      <c r="BR28" s="816" t="s">
        <v>4320</v>
      </c>
      <c r="BS28" s="816" t="s">
        <v>3562</v>
      </c>
      <c r="BT28" s="816" t="s">
        <v>4337</v>
      </c>
      <c r="BU28" s="816" t="s">
        <v>4357</v>
      </c>
    </row>
    <row r="29" spans="1:73" ht="29" x14ac:dyDescent="0.35">
      <c r="A29" s="806" t="s">
        <v>690</v>
      </c>
      <c r="B29" s="806" t="s">
        <v>707</v>
      </c>
      <c r="C29" s="816" t="s">
        <v>2472</v>
      </c>
      <c r="D29" s="816" t="s">
        <v>2472</v>
      </c>
      <c r="E29" s="816" t="s">
        <v>2472</v>
      </c>
      <c r="F29" s="816" t="s">
        <v>2472</v>
      </c>
      <c r="G29" s="816" t="s">
        <v>2541</v>
      </c>
      <c r="H29" s="816" t="s">
        <v>2565</v>
      </c>
      <c r="I29" s="816" t="s">
        <v>2580</v>
      </c>
      <c r="J29" s="816" t="s">
        <v>2610</v>
      </c>
      <c r="K29" s="816" t="s">
        <v>2624</v>
      </c>
      <c r="L29" s="816" t="s">
        <v>2638</v>
      </c>
      <c r="M29" s="816" t="s">
        <v>1926</v>
      </c>
      <c r="N29" s="816" t="s">
        <v>2705</v>
      </c>
      <c r="O29" s="816" t="s">
        <v>2749</v>
      </c>
      <c r="P29" s="816" t="s">
        <v>2769</v>
      </c>
      <c r="Q29" s="816" t="s">
        <v>2779</v>
      </c>
      <c r="R29" s="816" t="s">
        <v>2798</v>
      </c>
      <c r="S29" s="816" t="s">
        <v>2819</v>
      </c>
      <c r="T29" s="816" t="s">
        <v>2769</v>
      </c>
      <c r="U29" s="816" t="s">
        <v>2847</v>
      </c>
      <c r="V29" s="816" t="s">
        <v>2867</v>
      </c>
      <c r="W29" s="816" t="s">
        <v>2887</v>
      </c>
      <c r="X29" s="816" t="s">
        <v>2912</v>
      </c>
      <c r="Y29" s="816" t="s">
        <v>2927</v>
      </c>
      <c r="Z29" s="816" t="s">
        <v>2951</v>
      </c>
      <c r="AA29" s="816" t="s">
        <v>2969</v>
      </c>
      <c r="AB29" s="816" t="s">
        <v>3021</v>
      </c>
      <c r="AC29" s="816" t="s">
        <v>3021</v>
      </c>
      <c r="AD29" s="816" t="s">
        <v>3072</v>
      </c>
      <c r="AE29" s="816" t="s">
        <v>3082</v>
      </c>
      <c r="AF29" s="816" t="s">
        <v>3103</v>
      </c>
      <c r="AG29" s="816" t="s">
        <v>2819</v>
      </c>
      <c r="AH29" s="816" t="s">
        <v>3144</v>
      </c>
      <c r="AI29" s="816" t="s">
        <v>3214</v>
      </c>
      <c r="AJ29" s="816" t="s">
        <v>3227</v>
      </c>
      <c r="AK29" s="816" t="s">
        <v>3243</v>
      </c>
      <c r="AL29" s="816" t="s">
        <v>3266</v>
      </c>
      <c r="AM29" s="816" t="s">
        <v>3281</v>
      </c>
      <c r="AN29" s="816" t="s">
        <v>3303</v>
      </c>
      <c r="AO29" s="816" t="s">
        <v>3353</v>
      </c>
      <c r="AP29" s="816" t="s">
        <v>3367</v>
      </c>
      <c r="AQ29" s="816" t="s">
        <v>3382</v>
      </c>
      <c r="AR29" s="816" t="s">
        <v>3404</v>
      </c>
      <c r="AS29" s="816" t="s">
        <v>3427</v>
      </c>
      <c r="AT29" s="816" t="s">
        <v>3449</v>
      </c>
      <c r="AU29" s="816" t="s">
        <v>3449</v>
      </c>
      <c r="AV29" s="816" t="s">
        <v>3480</v>
      </c>
      <c r="AW29" s="816" t="s">
        <v>3493</v>
      </c>
      <c r="AX29" s="816" t="s">
        <v>3527</v>
      </c>
      <c r="AY29" s="816" t="s">
        <v>3561</v>
      </c>
      <c r="AZ29" s="816" t="s">
        <v>3591</v>
      </c>
      <c r="BA29" s="816" t="s">
        <v>3615</v>
      </c>
      <c r="BB29" s="816" t="s">
        <v>3659</v>
      </c>
      <c r="BC29" s="816" t="s">
        <v>3675</v>
      </c>
      <c r="BD29" s="816" t="s">
        <v>3694</v>
      </c>
      <c r="BE29" s="816" t="s">
        <v>3748</v>
      </c>
      <c r="BF29" s="816" t="s">
        <v>3762</v>
      </c>
      <c r="BG29" s="816" t="s">
        <v>3903</v>
      </c>
      <c r="BH29" s="816" t="s">
        <v>3919</v>
      </c>
      <c r="BI29" s="816" t="s">
        <v>3933</v>
      </c>
      <c r="BJ29" s="816" t="s">
        <v>3953</v>
      </c>
      <c r="BK29" s="816" t="s">
        <v>3976</v>
      </c>
      <c r="BL29" s="816" t="s">
        <v>4191</v>
      </c>
      <c r="BM29" s="816" t="s">
        <v>4217</v>
      </c>
      <c r="BN29" s="816" t="s">
        <v>4239</v>
      </c>
      <c r="BO29" s="816" t="s">
        <v>4259</v>
      </c>
      <c r="BP29" s="816" t="s">
        <v>4272</v>
      </c>
      <c r="BQ29" s="816" t="s">
        <v>4288</v>
      </c>
      <c r="BR29" s="816" t="s">
        <v>4317</v>
      </c>
      <c r="BS29" s="816" t="s">
        <v>3561</v>
      </c>
      <c r="BT29" s="816" t="s">
        <v>4338</v>
      </c>
      <c r="BU29" s="816" t="s">
        <v>4354</v>
      </c>
    </row>
    <row r="30" spans="1:73" x14ac:dyDescent="0.35">
      <c r="A30" s="806" t="s">
        <v>690</v>
      </c>
      <c r="B30" s="806" t="s">
        <v>709</v>
      </c>
      <c r="C30" s="816" t="s">
        <v>2474</v>
      </c>
      <c r="D30" s="816" t="s">
        <v>2474</v>
      </c>
      <c r="E30" s="816" t="s">
        <v>2474</v>
      </c>
      <c r="F30" s="816" t="s">
        <v>2474</v>
      </c>
      <c r="G30" s="816" t="s">
        <v>2544</v>
      </c>
      <c r="H30" s="816" t="s">
        <v>2567</v>
      </c>
      <c r="I30" s="816" t="s">
        <v>2586</v>
      </c>
      <c r="J30" s="816" t="s">
        <v>2612</v>
      </c>
      <c r="K30" s="816" t="s">
        <v>2625</v>
      </c>
      <c r="L30" s="816" t="s">
        <v>2644</v>
      </c>
      <c r="M30" s="816" t="s">
        <v>2695</v>
      </c>
      <c r="N30" s="816" t="s">
        <v>2708</v>
      </c>
      <c r="O30" s="816" t="s">
        <v>2748</v>
      </c>
      <c r="P30" s="816" t="s">
        <v>2768</v>
      </c>
      <c r="Q30" s="816" t="s">
        <v>2644</v>
      </c>
      <c r="R30" s="816" t="s">
        <v>2802</v>
      </c>
      <c r="S30" s="816" t="s">
        <v>1869</v>
      </c>
      <c r="T30" s="816" t="s">
        <v>2768</v>
      </c>
      <c r="U30" s="816" t="s">
        <v>2852</v>
      </c>
      <c r="V30" s="816" t="s">
        <v>2870</v>
      </c>
      <c r="W30" s="816" t="s">
        <v>2886</v>
      </c>
      <c r="X30" s="816" t="s">
        <v>2911</v>
      </c>
      <c r="Y30" s="816" t="s">
        <v>2930</v>
      </c>
      <c r="Z30" s="816" t="s">
        <v>2950</v>
      </c>
      <c r="AA30" s="816" t="s">
        <v>2971</v>
      </c>
      <c r="AB30" s="816" t="s">
        <v>3027</v>
      </c>
      <c r="AC30" s="816" t="s">
        <v>3027</v>
      </c>
      <c r="AD30" s="816" t="s">
        <v>3073</v>
      </c>
      <c r="AE30" s="816" t="s">
        <v>3090</v>
      </c>
      <c r="AF30" s="816" t="s">
        <v>3106</v>
      </c>
      <c r="AG30" s="816" t="s">
        <v>1869</v>
      </c>
      <c r="AH30" s="816" t="s">
        <v>3150</v>
      </c>
      <c r="AI30" s="816" t="s">
        <v>899</v>
      </c>
      <c r="AJ30" s="816" t="s">
        <v>198</v>
      </c>
      <c r="AK30" s="816" t="s">
        <v>3249</v>
      </c>
      <c r="AL30" s="816" t="s">
        <v>3265</v>
      </c>
      <c r="AM30" s="816" t="s">
        <v>3284</v>
      </c>
      <c r="AN30" s="816" t="s">
        <v>3304</v>
      </c>
      <c r="AO30" s="816" t="s">
        <v>2748</v>
      </c>
      <c r="AP30" s="816" t="s">
        <v>3370</v>
      </c>
      <c r="AQ30" s="816" t="s">
        <v>3384</v>
      </c>
      <c r="AR30" s="816" t="s">
        <v>3403</v>
      </c>
      <c r="AS30" s="816" t="s">
        <v>2474</v>
      </c>
      <c r="AT30" s="816" t="s">
        <v>198</v>
      </c>
      <c r="AU30" s="816" t="s">
        <v>3465</v>
      </c>
      <c r="AV30" s="816" t="s">
        <v>3465</v>
      </c>
      <c r="AW30" s="816" t="s">
        <v>3496</v>
      </c>
      <c r="AX30" s="816" t="s">
        <v>3496</v>
      </c>
      <c r="AY30" s="816" t="s">
        <v>3562</v>
      </c>
      <c r="AZ30" s="816" t="s">
        <v>3590</v>
      </c>
      <c r="BA30" s="816" t="s">
        <v>3614</v>
      </c>
      <c r="BB30" s="816" t="s">
        <v>3661</v>
      </c>
      <c r="BC30" s="816" t="s">
        <v>3674</v>
      </c>
      <c r="BD30" s="816" t="s">
        <v>3696</v>
      </c>
      <c r="BE30" s="816" t="s">
        <v>3750</v>
      </c>
      <c r="BF30" s="816" t="s">
        <v>3768</v>
      </c>
      <c r="BG30" s="816" t="s">
        <v>3674</v>
      </c>
      <c r="BH30" s="816" t="s">
        <v>899</v>
      </c>
      <c r="BI30" s="816" t="s">
        <v>3936</v>
      </c>
      <c r="BJ30" s="816" t="s">
        <v>3959</v>
      </c>
      <c r="BK30" s="816" t="s">
        <v>3978</v>
      </c>
      <c r="BL30" s="816" t="s">
        <v>4192</v>
      </c>
      <c r="BM30" s="816" t="s">
        <v>4225</v>
      </c>
      <c r="BN30" s="816" t="s">
        <v>2802</v>
      </c>
      <c r="BO30" s="816" t="s">
        <v>4258</v>
      </c>
      <c r="BP30" s="816" t="s">
        <v>4273</v>
      </c>
      <c r="BQ30" s="816" t="s">
        <v>4290</v>
      </c>
      <c r="BR30" s="816" t="s">
        <v>4320</v>
      </c>
      <c r="BS30" s="816" t="s">
        <v>3562</v>
      </c>
      <c r="BT30" s="816" t="s">
        <v>4337</v>
      </c>
      <c r="BU30" s="816" t="s">
        <v>4357</v>
      </c>
    </row>
    <row r="31" spans="1:73" x14ac:dyDescent="0.35">
      <c r="A31" s="806" t="s">
        <v>690</v>
      </c>
      <c r="B31" s="806" t="s">
        <v>708</v>
      </c>
      <c r="C31" s="816" t="s">
        <v>2473</v>
      </c>
      <c r="D31" s="816" t="s">
        <v>2473</v>
      </c>
      <c r="E31" s="816" t="s">
        <v>2473</v>
      </c>
      <c r="F31" s="816" t="s">
        <v>2473</v>
      </c>
      <c r="G31" s="816">
        <v>8188848808</v>
      </c>
      <c r="H31" s="816" t="s">
        <v>2566</v>
      </c>
      <c r="I31" s="816" t="s">
        <v>2581</v>
      </c>
      <c r="J31" s="816" t="s">
        <v>2607</v>
      </c>
      <c r="K31" s="816" t="s">
        <v>2621</v>
      </c>
      <c r="L31" s="816" t="s">
        <v>2639</v>
      </c>
      <c r="M31" s="816" t="s">
        <v>1927</v>
      </c>
      <c r="N31" s="816" t="s">
        <v>2709</v>
      </c>
      <c r="O31" s="816" t="s">
        <v>2741</v>
      </c>
      <c r="P31" s="816" t="s">
        <v>2770</v>
      </c>
      <c r="Q31" s="816" t="s">
        <v>2780</v>
      </c>
      <c r="R31" s="816" t="s">
        <v>2799</v>
      </c>
      <c r="S31" s="816" t="s">
        <v>2820</v>
      </c>
      <c r="T31" s="816" t="s">
        <v>2770</v>
      </c>
      <c r="U31" s="816" t="s">
        <v>2848</v>
      </c>
      <c r="V31" s="816" t="s">
        <v>2868</v>
      </c>
      <c r="W31" s="816" t="s">
        <v>2888</v>
      </c>
      <c r="X31" s="816" t="s">
        <v>2913</v>
      </c>
      <c r="Y31" s="816" t="s">
        <v>2928</v>
      </c>
      <c r="Z31" s="816">
        <v>7603473157</v>
      </c>
      <c r="AA31" s="816" t="s">
        <v>2970</v>
      </c>
      <c r="AB31" s="816" t="s">
        <v>3022</v>
      </c>
      <c r="AC31" s="816" t="s">
        <v>3022</v>
      </c>
      <c r="AD31" s="816" t="s">
        <v>3068</v>
      </c>
      <c r="AE31" s="816" t="s">
        <v>3083</v>
      </c>
      <c r="AF31" s="816" t="s">
        <v>3104</v>
      </c>
      <c r="AG31" s="816" t="s">
        <v>3133</v>
      </c>
      <c r="AH31" s="816" t="s">
        <v>3145</v>
      </c>
      <c r="AI31" s="816" t="s">
        <v>3215</v>
      </c>
      <c r="AJ31" s="816" t="s">
        <v>3228</v>
      </c>
      <c r="AK31" s="816" t="s">
        <v>3244</v>
      </c>
      <c r="AL31" s="816" t="s">
        <v>3267</v>
      </c>
      <c r="AM31" s="816" t="s">
        <v>3285</v>
      </c>
      <c r="AN31" s="816">
        <v>7074221948</v>
      </c>
      <c r="AO31" s="816" t="s">
        <v>3354</v>
      </c>
      <c r="AP31" s="816" t="s">
        <v>3368</v>
      </c>
      <c r="AQ31" s="816">
        <v>9099635221</v>
      </c>
      <c r="AR31" s="816" t="s">
        <v>3405</v>
      </c>
      <c r="AS31" s="816" t="s">
        <v>3428</v>
      </c>
      <c r="AT31" s="816" t="s">
        <v>3450</v>
      </c>
      <c r="AU31" s="816" t="s">
        <v>3450</v>
      </c>
      <c r="AV31" s="816" t="s">
        <v>3450</v>
      </c>
      <c r="AW31" s="816" t="s">
        <v>3494</v>
      </c>
      <c r="AX31" s="816" t="s">
        <v>3528</v>
      </c>
      <c r="AY31" s="816" t="s">
        <v>3557</v>
      </c>
      <c r="AZ31" s="816" t="s">
        <v>3592</v>
      </c>
      <c r="BA31" s="816" t="s">
        <v>3616</v>
      </c>
      <c r="BB31" s="816" t="s">
        <v>3660</v>
      </c>
      <c r="BC31" s="816" t="s">
        <v>3676</v>
      </c>
      <c r="BD31" s="816" t="s">
        <v>3695</v>
      </c>
      <c r="BE31" s="816">
        <v>5595854766</v>
      </c>
      <c r="BF31" s="816" t="s">
        <v>3763</v>
      </c>
      <c r="BG31" s="816" t="s">
        <v>3904</v>
      </c>
      <c r="BH31" s="816" t="s">
        <v>3920</v>
      </c>
      <c r="BI31" s="816" t="s">
        <v>3934</v>
      </c>
      <c r="BJ31" s="816" t="s">
        <v>3954</v>
      </c>
      <c r="BK31" s="816" t="s">
        <v>3977</v>
      </c>
      <c r="BL31" s="816" t="s">
        <v>4190</v>
      </c>
      <c r="BM31" s="816" t="s">
        <v>4218</v>
      </c>
      <c r="BN31" s="816">
        <v>8052737800</v>
      </c>
      <c r="BO31" s="816" t="s">
        <v>4260</v>
      </c>
      <c r="BP31" s="816">
        <v>6508533195</v>
      </c>
      <c r="BQ31" s="816" t="s">
        <v>4289</v>
      </c>
      <c r="BR31" s="816" t="s">
        <v>4318</v>
      </c>
      <c r="BS31" s="816" t="s">
        <v>3557</v>
      </c>
      <c r="BT31" s="816" t="s">
        <v>4339</v>
      </c>
      <c r="BU31" s="816" t="s">
        <v>4355</v>
      </c>
    </row>
    <row r="32" spans="1:73" ht="29" x14ac:dyDescent="0.35">
      <c r="A32" s="806" t="s">
        <v>690</v>
      </c>
      <c r="B32" s="806" t="s">
        <v>706</v>
      </c>
      <c r="C32" s="816" t="s">
        <v>2471</v>
      </c>
      <c r="D32" s="816" t="s">
        <v>2471</v>
      </c>
      <c r="E32" s="816" t="s">
        <v>2471</v>
      </c>
      <c r="F32" s="816" t="s">
        <v>2471</v>
      </c>
      <c r="G32" s="816" t="s">
        <v>2540</v>
      </c>
      <c r="H32" s="816" t="s">
        <v>2564</v>
      </c>
      <c r="I32" s="816" t="s">
        <v>2540</v>
      </c>
      <c r="J32" s="816" t="s">
        <v>2611</v>
      </c>
      <c r="K32" s="816" t="s">
        <v>2471</v>
      </c>
      <c r="L32" s="816" t="s">
        <v>2637</v>
      </c>
      <c r="M32" s="816" t="s">
        <v>1928</v>
      </c>
      <c r="N32" s="816" t="s">
        <v>2707</v>
      </c>
      <c r="O32" s="816" t="s">
        <v>2750</v>
      </c>
      <c r="P32" s="816" t="s">
        <v>2771</v>
      </c>
      <c r="Q32" s="816" t="s">
        <v>2781</v>
      </c>
      <c r="R32" s="816" t="s">
        <v>2800</v>
      </c>
      <c r="S32" s="816" t="s">
        <v>2821</v>
      </c>
      <c r="T32" s="816" t="s">
        <v>2771</v>
      </c>
      <c r="U32" s="816" t="s">
        <v>2463</v>
      </c>
      <c r="V32" s="816" t="s">
        <v>2869</v>
      </c>
      <c r="W32" s="816" t="s">
        <v>2889</v>
      </c>
      <c r="X32" s="816" t="s">
        <v>2914</v>
      </c>
      <c r="Y32" s="816" t="s">
        <v>2929</v>
      </c>
      <c r="Z32" s="816" t="s">
        <v>2952</v>
      </c>
      <c r="AA32" s="816" t="s">
        <v>2968</v>
      </c>
      <c r="AB32" s="816" t="s">
        <v>3020</v>
      </c>
      <c r="AC32" s="816" t="s">
        <v>3020</v>
      </c>
      <c r="AD32" s="816" t="s">
        <v>2964</v>
      </c>
      <c r="AE32" s="816" t="s">
        <v>3084</v>
      </c>
      <c r="AF32" s="816" t="s">
        <v>3105</v>
      </c>
      <c r="AG32" s="816" t="s">
        <v>2821</v>
      </c>
      <c r="AH32" s="816" t="s">
        <v>2585</v>
      </c>
      <c r="AI32" s="816" t="s">
        <v>3216</v>
      </c>
      <c r="AJ32" s="816" t="s">
        <v>3229</v>
      </c>
      <c r="AK32" s="816" t="s">
        <v>3242</v>
      </c>
      <c r="AL32" s="816" t="s">
        <v>3268</v>
      </c>
      <c r="AM32" s="816" t="s">
        <v>3283</v>
      </c>
      <c r="AN32" s="816" t="s">
        <v>2611</v>
      </c>
      <c r="AO32" s="816" t="s">
        <v>3355</v>
      </c>
      <c r="AP32" s="816" t="s">
        <v>3369</v>
      </c>
      <c r="AQ32" s="816" t="s">
        <v>3383</v>
      </c>
      <c r="AR32" s="816" t="s">
        <v>3216</v>
      </c>
      <c r="AS32" s="816" t="s">
        <v>3429</v>
      </c>
      <c r="AT32" s="816" t="s">
        <v>3451</v>
      </c>
      <c r="AU32" s="816" t="s">
        <v>3451</v>
      </c>
      <c r="AV32" s="816" t="s">
        <v>3451</v>
      </c>
      <c r="AW32" s="816" t="s">
        <v>3495</v>
      </c>
      <c r="AX32" s="816" t="s">
        <v>3495</v>
      </c>
      <c r="AY32" s="816" t="s">
        <v>3561</v>
      </c>
      <c r="AZ32" s="816" t="s">
        <v>3593</v>
      </c>
      <c r="BA32" s="816" t="s">
        <v>3617</v>
      </c>
      <c r="BB32" s="816" t="s">
        <v>3658</v>
      </c>
      <c r="BC32" s="816" t="s">
        <v>3677</v>
      </c>
      <c r="BD32" s="816" t="s">
        <v>2611</v>
      </c>
      <c r="BE32" s="816" t="s">
        <v>3749</v>
      </c>
      <c r="BF32" s="816" t="s">
        <v>3764</v>
      </c>
      <c r="BG32" s="816" t="s">
        <v>3905</v>
      </c>
      <c r="BH32" s="816" t="s">
        <v>3921</v>
      </c>
      <c r="BI32" s="816" t="s">
        <v>3935</v>
      </c>
      <c r="BJ32" s="816" t="s">
        <v>3955</v>
      </c>
      <c r="BK32" s="816" t="s">
        <v>3491</v>
      </c>
      <c r="BL32" s="816" t="s">
        <v>4188</v>
      </c>
      <c r="BM32" s="816" t="s">
        <v>4219</v>
      </c>
      <c r="BN32" s="816" t="s">
        <v>4240</v>
      </c>
      <c r="BO32" s="816" t="s">
        <v>2556</v>
      </c>
      <c r="BP32" s="816" t="s">
        <v>4271</v>
      </c>
      <c r="BQ32" s="816" t="s">
        <v>2471</v>
      </c>
      <c r="BR32" s="816" t="s">
        <v>4321</v>
      </c>
      <c r="BS32" s="816" t="s">
        <v>3561</v>
      </c>
      <c r="BT32" s="816" t="s">
        <v>4340</v>
      </c>
      <c r="BU32" s="816" t="s">
        <v>4358</v>
      </c>
    </row>
    <row r="33" spans="1:73" x14ac:dyDescent="0.35">
      <c r="A33" s="806" t="s">
        <v>690</v>
      </c>
      <c r="B33" s="806" t="s">
        <v>956</v>
      </c>
      <c r="C33" s="806"/>
      <c r="D33" s="806"/>
      <c r="E33" s="806"/>
      <c r="F33" s="806"/>
      <c r="I33" s="816"/>
      <c r="J33" s="816"/>
      <c r="K33" s="816"/>
      <c r="M33" s="816" t="s">
        <v>503</v>
      </c>
      <c r="N33" s="816" t="s">
        <v>503</v>
      </c>
      <c r="O33" s="816" t="s">
        <v>503</v>
      </c>
      <c r="P33" s="816"/>
      <c r="Q33" s="816"/>
      <c r="R33" s="816" t="s">
        <v>503</v>
      </c>
      <c r="S33" s="816" t="s">
        <v>503</v>
      </c>
      <c r="T33" s="816"/>
      <c r="U33" s="816"/>
      <c r="V33" s="816"/>
      <c r="W33" s="816" t="s">
        <v>503</v>
      </c>
      <c r="X33" s="816" t="s">
        <v>503</v>
      </c>
      <c r="Y33" s="816" t="s">
        <v>503</v>
      </c>
      <c r="Z33" s="816"/>
      <c r="AA33" s="816" t="s">
        <v>503</v>
      </c>
      <c r="AC33" s="816"/>
      <c r="AD33" s="816"/>
      <c r="AE33" s="816" t="s">
        <v>503</v>
      </c>
      <c r="AF33" s="816"/>
      <c r="AG33" s="816" t="s">
        <v>503</v>
      </c>
      <c r="AH33" s="816" t="s">
        <v>503</v>
      </c>
      <c r="AI33" s="816" t="s">
        <v>503</v>
      </c>
      <c r="AJ33" s="816" t="s">
        <v>503</v>
      </c>
      <c r="AL33" s="816" t="s">
        <v>503</v>
      </c>
      <c r="AM33" s="816"/>
      <c r="AN33" s="816" t="s">
        <v>503</v>
      </c>
      <c r="AO33" s="816" t="s">
        <v>503</v>
      </c>
      <c r="AP33" s="816" t="s">
        <v>503</v>
      </c>
      <c r="AQ33" s="816"/>
      <c r="AR33" s="816" t="s">
        <v>503</v>
      </c>
      <c r="AS33" s="816" t="s">
        <v>503</v>
      </c>
      <c r="AT33" s="816"/>
      <c r="AU33" s="816" t="s">
        <v>503</v>
      </c>
      <c r="AV33" s="816"/>
      <c r="AW33" s="816"/>
      <c r="AX33" s="816"/>
      <c r="AY33" s="816"/>
      <c r="AZ33" s="816" t="s">
        <v>503</v>
      </c>
      <c r="BA33" s="816"/>
      <c r="BB33" s="816" t="s">
        <v>503</v>
      </c>
      <c r="BC33" s="816"/>
      <c r="BD33" s="816"/>
      <c r="BE33" s="816" t="s">
        <v>503</v>
      </c>
      <c r="BF33" s="816" t="s">
        <v>503</v>
      </c>
      <c r="BG33" s="816" t="s">
        <v>503</v>
      </c>
      <c r="BH33" s="816"/>
      <c r="BI33" s="816" t="s">
        <v>503</v>
      </c>
      <c r="BJ33" s="816" t="s">
        <v>503</v>
      </c>
      <c r="BK33" s="816" t="s">
        <v>503</v>
      </c>
      <c r="BL33" s="816" t="s">
        <v>503</v>
      </c>
      <c r="BM33" s="816"/>
      <c r="BN33" s="816" t="s">
        <v>503</v>
      </c>
      <c r="BO33" s="816"/>
      <c r="BP33" s="816" t="s">
        <v>503</v>
      </c>
      <c r="BQ33" s="816"/>
      <c r="BR33" s="816" t="s">
        <v>503</v>
      </c>
      <c r="BS33" s="816"/>
      <c r="BT33" s="816" t="s">
        <v>503</v>
      </c>
      <c r="BU33" s="816" t="s">
        <v>198</v>
      </c>
    </row>
    <row r="34" spans="1:73" ht="29" x14ac:dyDescent="0.35">
      <c r="A34" s="806" t="s">
        <v>780</v>
      </c>
      <c r="B34" s="806" t="s">
        <v>993</v>
      </c>
      <c r="C34" s="806"/>
      <c r="D34" s="806"/>
      <c r="E34" s="806"/>
      <c r="F34" s="806"/>
      <c r="I34" s="816"/>
      <c r="J34" s="816"/>
      <c r="K34" s="816"/>
      <c r="L34" s="816" t="s">
        <v>198</v>
      </c>
      <c r="M34" s="816"/>
      <c r="N34" s="816"/>
      <c r="O34" s="816"/>
      <c r="P34" s="816"/>
      <c r="Q34" s="816"/>
      <c r="R34" s="816"/>
      <c r="S34" s="816"/>
      <c r="T34" s="816"/>
      <c r="U34" s="816" t="s">
        <v>198</v>
      </c>
      <c r="V34" s="816" t="s">
        <v>198</v>
      </c>
      <c r="W34" s="816" t="s">
        <v>198</v>
      </c>
      <c r="X34" s="816"/>
      <c r="Y34" s="816" t="s">
        <v>198</v>
      </c>
      <c r="Z34" s="816"/>
      <c r="AC34" s="816"/>
      <c r="AD34" s="816"/>
      <c r="AE34" s="816"/>
      <c r="AF34" s="816"/>
      <c r="AG34" s="816"/>
      <c r="AI34" s="816"/>
      <c r="AJ34" s="816"/>
      <c r="AL34" s="816"/>
      <c r="AM34" s="816"/>
      <c r="AN34" s="816"/>
      <c r="AO34" s="816"/>
      <c r="AP34" s="816"/>
      <c r="AQ34" s="816"/>
      <c r="AR34" s="816"/>
      <c r="AS34" s="816"/>
      <c r="AT34" s="816"/>
      <c r="AU34" s="816"/>
      <c r="AV34" s="816"/>
      <c r="AW34" s="816"/>
      <c r="AX34" s="816"/>
      <c r="AY34" s="816" t="s">
        <v>198</v>
      </c>
      <c r="AZ34" s="816"/>
      <c r="BA34" s="816"/>
      <c r="BC34" s="816"/>
      <c r="BD34" s="816"/>
      <c r="BE34" s="816"/>
      <c r="BF34" s="816"/>
      <c r="BG34" s="816"/>
      <c r="BH34" s="816"/>
      <c r="BI34" s="816"/>
      <c r="BJ34" s="816"/>
      <c r="BM34" s="816"/>
      <c r="BN34" s="816"/>
      <c r="BO34" s="816"/>
      <c r="BP34" s="816" t="s">
        <v>198</v>
      </c>
      <c r="BQ34" s="816"/>
      <c r="BR34" s="816"/>
      <c r="BS34" s="816" t="s">
        <v>198</v>
      </c>
      <c r="BT34" s="816"/>
      <c r="BU34" s="816"/>
    </row>
    <row r="35" spans="1:73" x14ac:dyDescent="0.35">
      <c r="A35" s="806" t="s">
        <v>780</v>
      </c>
      <c r="B35" s="806" t="s">
        <v>1620</v>
      </c>
      <c r="C35" s="806"/>
      <c r="D35" s="806"/>
      <c r="E35" s="806"/>
      <c r="F35" s="806"/>
      <c r="I35" s="816"/>
      <c r="K35" s="816"/>
      <c r="L35" s="816"/>
      <c r="M35" s="816"/>
      <c r="N35" s="816"/>
      <c r="O35" s="816"/>
      <c r="P35" s="816"/>
      <c r="Q35" s="816"/>
      <c r="S35" s="816"/>
      <c r="T35" s="816"/>
      <c r="U35" s="816"/>
      <c r="V35" s="816"/>
      <c r="W35" s="816"/>
      <c r="X35" s="816"/>
      <c r="Y35" s="816"/>
      <c r="Z35" s="816"/>
      <c r="AC35" s="816"/>
      <c r="AD35" s="816"/>
      <c r="AE35" s="816"/>
      <c r="AF35" s="816"/>
      <c r="AG35" s="816"/>
      <c r="AI35" s="816"/>
      <c r="AJ35" s="816"/>
      <c r="AL35" s="816"/>
      <c r="AM35" s="816"/>
      <c r="AP35" s="816"/>
      <c r="AQ35" s="816"/>
      <c r="AR35" s="816"/>
      <c r="AS35" s="816"/>
      <c r="AT35" s="816"/>
      <c r="AU35" s="816"/>
      <c r="AV35" s="816"/>
      <c r="AX35" s="816"/>
      <c r="AY35" s="816" t="s">
        <v>198</v>
      </c>
      <c r="AZ35" s="816" t="s">
        <v>198</v>
      </c>
      <c r="BA35" s="816"/>
      <c r="BC35" s="816"/>
      <c r="BD35" s="816"/>
      <c r="BE35" s="816"/>
      <c r="BF35" s="816"/>
      <c r="BG35" s="816"/>
      <c r="BH35" s="816"/>
      <c r="BI35" s="816"/>
      <c r="BJ35" s="816"/>
      <c r="BM35" s="816"/>
      <c r="BN35" s="816"/>
      <c r="BO35" s="816" t="s">
        <v>198</v>
      </c>
      <c r="BP35" s="816" t="s">
        <v>198</v>
      </c>
      <c r="BQ35" s="816"/>
      <c r="BR35" s="816"/>
      <c r="BS35" s="816" t="s">
        <v>198</v>
      </c>
      <c r="BT35" s="816"/>
      <c r="BU35" s="816"/>
    </row>
    <row r="36" spans="1:73" ht="29" x14ac:dyDescent="0.35">
      <c r="A36" s="806" t="s">
        <v>780</v>
      </c>
      <c r="B36" s="806" t="s">
        <v>1020</v>
      </c>
      <c r="C36" s="806"/>
      <c r="D36" s="806"/>
      <c r="E36" s="806"/>
      <c r="F36" s="806"/>
      <c r="I36" s="816"/>
      <c r="J36" s="816"/>
      <c r="K36" s="816"/>
      <c r="L36" s="816" t="s">
        <v>198</v>
      </c>
      <c r="M36" s="816"/>
      <c r="N36" s="816"/>
      <c r="O36" s="816" t="s">
        <v>198</v>
      </c>
      <c r="P36" s="816"/>
      <c r="Q36" s="816"/>
      <c r="S36" s="816"/>
      <c r="T36" s="816"/>
      <c r="U36" s="816" t="s">
        <v>198</v>
      </c>
      <c r="V36" s="816" t="s">
        <v>198</v>
      </c>
      <c r="W36" s="816" t="s">
        <v>198</v>
      </c>
      <c r="X36" s="816"/>
      <c r="Y36" s="816" t="s">
        <v>198</v>
      </c>
      <c r="Z36" s="816"/>
      <c r="AC36" s="816"/>
      <c r="AD36" s="816"/>
      <c r="AE36" s="816"/>
      <c r="AF36" s="816"/>
      <c r="AG36" s="816"/>
      <c r="AI36" s="816"/>
      <c r="AJ36" s="816"/>
      <c r="AL36" s="816"/>
      <c r="AM36" s="816" t="s">
        <v>198</v>
      </c>
      <c r="AN36" s="816"/>
      <c r="AP36" s="816"/>
      <c r="AQ36" s="816"/>
      <c r="AR36" s="816"/>
      <c r="AS36" s="816"/>
      <c r="AT36" s="816"/>
      <c r="AU36" s="816"/>
      <c r="AV36" s="816"/>
      <c r="AW36" s="816"/>
      <c r="AX36" s="816"/>
      <c r="AY36" s="816" t="s">
        <v>198</v>
      </c>
      <c r="AZ36" s="816" t="s">
        <v>198</v>
      </c>
      <c r="BA36" s="816"/>
      <c r="BC36" s="816"/>
      <c r="BD36" s="816"/>
      <c r="BE36" s="816"/>
      <c r="BF36" s="816" t="s">
        <v>198</v>
      </c>
      <c r="BG36" s="816"/>
      <c r="BH36" s="816"/>
      <c r="BI36" s="816" t="s">
        <v>198</v>
      </c>
      <c r="BJ36" s="816"/>
      <c r="BM36" s="816"/>
      <c r="BN36" s="816"/>
      <c r="BO36" s="816" t="s">
        <v>198</v>
      </c>
      <c r="BP36" s="816" t="s">
        <v>198</v>
      </c>
      <c r="BQ36" s="816"/>
      <c r="BR36" s="816"/>
      <c r="BS36" s="816" t="s">
        <v>198</v>
      </c>
      <c r="BT36" s="816"/>
      <c r="BU36" s="816"/>
    </row>
    <row r="37" spans="1:73" x14ac:dyDescent="0.35">
      <c r="A37" s="806" t="s">
        <v>780</v>
      </c>
      <c r="B37" s="806" t="s">
        <v>1044</v>
      </c>
      <c r="C37" s="806"/>
      <c r="D37" s="806"/>
      <c r="E37" s="806"/>
      <c r="F37" s="806"/>
      <c r="I37" s="816"/>
      <c r="J37" s="816"/>
      <c r="K37" s="816"/>
      <c r="L37" s="816" t="s">
        <v>198</v>
      </c>
      <c r="M37" s="816"/>
      <c r="N37" s="816"/>
      <c r="O37" s="816"/>
      <c r="P37" s="816"/>
      <c r="Q37" s="816"/>
      <c r="S37" s="816"/>
      <c r="T37" s="816"/>
      <c r="U37" s="816" t="s">
        <v>198</v>
      </c>
      <c r="V37" s="816" t="s">
        <v>198</v>
      </c>
      <c r="W37" s="816" t="s">
        <v>198</v>
      </c>
      <c r="X37" s="816"/>
      <c r="Y37" s="816" t="s">
        <v>198</v>
      </c>
      <c r="Z37" s="816"/>
      <c r="AC37" s="816"/>
      <c r="AD37" s="816"/>
      <c r="AE37" s="816"/>
      <c r="AF37" s="816"/>
      <c r="AG37" s="816"/>
      <c r="AI37" s="816"/>
      <c r="AJ37" s="816"/>
      <c r="AL37" s="816"/>
      <c r="AM37" s="816" t="s">
        <v>198</v>
      </c>
      <c r="AN37" s="816"/>
      <c r="AP37" s="816"/>
      <c r="AQ37" s="816"/>
      <c r="AR37" s="816"/>
      <c r="AS37" s="816"/>
      <c r="AT37" s="816"/>
      <c r="AU37" s="816"/>
      <c r="AV37" s="816"/>
      <c r="AW37" s="816"/>
      <c r="AX37" s="816"/>
      <c r="AY37" s="816" t="s">
        <v>198</v>
      </c>
      <c r="AZ37" s="816" t="s">
        <v>198</v>
      </c>
      <c r="BA37" s="816"/>
      <c r="BC37" s="816"/>
      <c r="BD37" s="816"/>
      <c r="BE37" s="816"/>
      <c r="BF37" s="816" t="s">
        <v>198</v>
      </c>
      <c r="BG37" s="816"/>
      <c r="BH37" s="816"/>
      <c r="BI37" s="816" t="s">
        <v>198</v>
      </c>
      <c r="BJ37" s="816"/>
      <c r="BM37" s="816"/>
      <c r="BN37" s="816" t="s">
        <v>198</v>
      </c>
      <c r="BO37" s="816" t="s">
        <v>198</v>
      </c>
      <c r="BP37" s="816" t="s">
        <v>198</v>
      </c>
      <c r="BQ37" s="816"/>
      <c r="BR37" s="816"/>
      <c r="BS37" s="816" t="s">
        <v>198</v>
      </c>
      <c r="BT37" s="816"/>
      <c r="BU37" s="816"/>
    </row>
    <row r="38" spans="1:73" ht="409.5" x14ac:dyDescent="0.35">
      <c r="A38" s="806" t="s">
        <v>780</v>
      </c>
      <c r="B38" s="806" t="s">
        <v>1046</v>
      </c>
      <c r="C38" s="806"/>
      <c r="D38" s="806"/>
      <c r="E38" s="806"/>
      <c r="F38" s="806"/>
      <c r="I38" s="816"/>
      <c r="J38" s="816"/>
      <c r="K38" s="816"/>
      <c r="L38" s="816" t="s">
        <v>2662</v>
      </c>
      <c r="M38" s="816"/>
      <c r="N38" s="816"/>
      <c r="O38" s="816"/>
      <c r="P38" s="816"/>
      <c r="Q38" s="816"/>
      <c r="S38" s="816"/>
      <c r="T38" s="816"/>
      <c r="U38" s="816" t="s">
        <v>2853</v>
      </c>
      <c r="V38" s="816" t="s">
        <v>2871</v>
      </c>
      <c r="W38" s="816" t="s">
        <v>2890</v>
      </c>
      <c r="X38" s="816"/>
      <c r="Y38" s="816" t="s">
        <v>2939</v>
      </c>
      <c r="Z38" s="816"/>
      <c r="AC38" s="816"/>
      <c r="AD38" s="816"/>
      <c r="AE38" s="816"/>
      <c r="AF38" s="816"/>
      <c r="AG38" s="816"/>
      <c r="AI38" s="816"/>
      <c r="AJ38" s="816"/>
      <c r="AL38" s="816"/>
      <c r="AM38" s="816" t="s">
        <v>3295</v>
      </c>
      <c r="AN38" s="816"/>
      <c r="AP38" s="816"/>
      <c r="AQ38" s="816"/>
      <c r="AR38" s="816"/>
      <c r="AS38" s="816"/>
      <c r="AT38" s="816"/>
      <c r="AU38" s="816"/>
      <c r="AV38" s="816"/>
      <c r="AW38" s="816"/>
      <c r="AX38" s="816"/>
      <c r="AY38" s="816" t="s">
        <v>3563</v>
      </c>
      <c r="AZ38" s="816" t="s">
        <v>3594</v>
      </c>
      <c r="BA38" s="816"/>
      <c r="BC38" s="816"/>
      <c r="BD38" s="816"/>
      <c r="BE38" s="816"/>
      <c r="BF38" s="816"/>
      <c r="BG38" s="816"/>
      <c r="BH38" s="816"/>
      <c r="BI38" s="816" t="s">
        <v>70</v>
      </c>
      <c r="BJ38" s="816"/>
      <c r="BM38" s="816"/>
      <c r="BN38" s="816"/>
      <c r="BO38" s="816" t="s">
        <v>4261</v>
      </c>
      <c r="BP38" s="816" t="s">
        <v>4276</v>
      </c>
      <c r="BQ38" s="816"/>
      <c r="BR38" s="816"/>
      <c r="BS38" s="816" t="s">
        <v>3563</v>
      </c>
      <c r="BT38" s="816"/>
      <c r="BU38" s="816"/>
    </row>
    <row r="39" spans="1:73" ht="29" x14ac:dyDescent="0.35">
      <c r="A39" s="806" t="s">
        <v>780</v>
      </c>
      <c r="B39" s="806" t="s">
        <v>1042</v>
      </c>
      <c r="C39" s="806"/>
      <c r="D39" s="806"/>
      <c r="E39" s="806"/>
      <c r="F39" s="806"/>
      <c r="I39" s="816"/>
      <c r="J39" s="816"/>
      <c r="K39" s="816"/>
      <c r="L39" s="816" t="s">
        <v>198</v>
      </c>
      <c r="M39" s="816"/>
      <c r="N39" s="816"/>
      <c r="O39" s="816"/>
      <c r="P39" s="816"/>
      <c r="Q39" s="816"/>
      <c r="S39" s="816"/>
      <c r="T39" s="816"/>
      <c r="U39" s="816" t="s">
        <v>198</v>
      </c>
      <c r="V39" s="816" t="s">
        <v>198</v>
      </c>
      <c r="W39" s="816" t="s">
        <v>198</v>
      </c>
      <c r="X39" s="816"/>
      <c r="Y39" s="816" t="s">
        <v>198</v>
      </c>
      <c r="Z39" s="816"/>
      <c r="AC39" s="816"/>
      <c r="AD39" s="816"/>
      <c r="AE39" s="816"/>
      <c r="AF39" s="816"/>
      <c r="AG39" s="816"/>
      <c r="AI39" s="816"/>
      <c r="AJ39" s="816"/>
      <c r="AL39" s="816"/>
      <c r="AM39" s="816" t="s">
        <v>198</v>
      </c>
      <c r="AN39" s="816"/>
      <c r="AP39" s="816"/>
      <c r="AQ39" s="816"/>
      <c r="AR39" s="816"/>
      <c r="AS39" s="816"/>
      <c r="AT39" s="816"/>
      <c r="AU39" s="816"/>
      <c r="AV39" s="816"/>
      <c r="AW39" s="816"/>
      <c r="AX39" s="816"/>
      <c r="AY39" s="816" t="s">
        <v>198</v>
      </c>
      <c r="AZ39" s="816" t="s">
        <v>198</v>
      </c>
      <c r="BA39" s="816"/>
      <c r="BC39" s="816"/>
      <c r="BD39" s="816"/>
      <c r="BE39" s="816"/>
      <c r="BF39" s="816" t="s">
        <v>198</v>
      </c>
      <c r="BG39" s="816"/>
      <c r="BH39" s="816"/>
      <c r="BI39" s="816" t="s">
        <v>198</v>
      </c>
      <c r="BJ39" s="816"/>
      <c r="BM39" s="816"/>
      <c r="BN39" s="816" t="s">
        <v>198</v>
      </c>
      <c r="BO39" s="816" t="s">
        <v>198</v>
      </c>
      <c r="BP39" s="816" t="s">
        <v>198</v>
      </c>
      <c r="BQ39" s="816"/>
      <c r="BR39" s="816"/>
      <c r="BS39" s="816" t="s">
        <v>198</v>
      </c>
      <c r="BT39" s="816"/>
      <c r="BU39" s="816"/>
    </row>
    <row r="40" spans="1:73" x14ac:dyDescent="0.35">
      <c r="A40" s="806" t="s">
        <v>732</v>
      </c>
      <c r="B40" s="806" t="s">
        <v>784</v>
      </c>
      <c r="C40" s="816"/>
      <c r="D40" s="816"/>
      <c r="E40" s="816"/>
      <c r="F40" s="816"/>
      <c r="G40" s="816" t="s">
        <v>1958</v>
      </c>
      <c r="H40" s="816" t="s">
        <v>1958</v>
      </c>
      <c r="I40" s="816"/>
      <c r="J40" s="816"/>
      <c r="K40" s="816"/>
      <c r="L40" s="816" t="s">
        <v>2476</v>
      </c>
      <c r="M40" s="816"/>
      <c r="N40" s="816"/>
      <c r="O40" s="816" t="s">
        <v>1958</v>
      </c>
      <c r="P40" s="816"/>
      <c r="Q40" s="816"/>
      <c r="R40" s="816"/>
      <c r="S40" s="816"/>
      <c r="T40" s="816"/>
      <c r="U40" s="816" t="s">
        <v>2476</v>
      </c>
      <c r="V40" s="816" t="s">
        <v>2476</v>
      </c>
      <c r="W40" s="816" t="s">
        <v>2476</v>
      </c>
      <c r="X40" s="816"/>
      <c r="Y40" s="816" t="s">
        <v>2476</v>
      </c>
      <c r="Z40" s="816"/>
      <c r="AA40" s="816" t="s">
        <v>1958</v>
      </c>
      <c r="AB40" s="816" t="s">
        <v>1958</v>
      </c>
      <c r="AC40" s="816"/>
      <c r="AD40" s="816"/>
      <c r="AE40" s="816"/>
      <c r="AF40" s="816"/>
      <c r="AG40" s="816"/>
      <c r="AH40" s="816"/>
      <c r="AI40" s="816"/>
      <c r="AJ40" s="816"/>
      <c r="AK40" s="816" t="s">
        <v>1958</v>
      </c>
      <c r="AL40" s="816"/>
      <c r="AM40" s="816" t="s">
        <v>2476</v>
      </c>
      <c r="AN40" s="816"/>
      <c r="AO40" s="816"/>
      <c r="AP40" s="816"/>
      <c r="AQ40" s="816"/>
      <c r="AR40" s="816"/>
      <c r="AS40" s="816"/>
      <c r="AT40" s="816"/>
      <c r="AU40" s="816"/>
      <c r="AV40" s="816"/>
      <c r="AW40" s="816"/>
      <c r="AX40" s="816"/>
      <c r="AY40" s="816" t="s">
        <v>2476</v>
      </c>
      <c r="AZ40" s="816" t="s">
        <v>2476</v>
      </c>
      <c r="BA40" s="816"/>
      <c r="BB40" s="816"/>
      <c r="BC40" s="816"/>
      <c r="BD40" s="816"/>
      <c r="BE40" s="816"/>
      <c r="BF40" s="816" t="s">
        <v>1958</v>
      </c>
      <c r="BG40" s="816"/>
      <c r="BH40" s="816"/>
      <c r="BI40" s="816" t="s">
        <v>1958</v>
      </c>
      <c r="BJ40" s="816"/>
      <c r="BK40" s="816" t="s">
        <v>1958</v>
      </c>
      <c r="BM40" s="816"/>
      <c r="BN40" s="816"/>
      <c r="BO40" s="816" t="s">
        <v>2476</v>
      </c>
      <c r="BP40" s="816" t="s">
        <v>2476</v>
      </c>
      <c r="BQ40" s="816"/>
      <c r="BR40" s="816"/>
      <c r="BS40" s="816" t="s">
        <v>2476</v>
      </c>
      <c r="BT40" s="816"/>
      <c r="BU40" s="816"/>
    </row>
    <row r="41" spans="1:73" ht="29" x14ac:dyDescent="0.35">
      <c r="A41" s="806" t="s">
        <v>780</v>
      </c>
      <c r="B41" s="806" t="s">
        <v>1041</v>
      </c>
      <c r="C41" s="806"/>
      <c r="D41" s="806"/>
      <c r="E41" s="806"/>
      <c r="F41" s="806"/>
      <c r="I41" s="816"/>
      <c r="J41" s="816"/>
      <c r="K41" s="816"/>
      <c r="L41" s="816" t="s">
        <v>198</v>
      </c>
      <c r="M41" s="816"/>
      <c r="N41" s="816"/>
      <c r="O41" s="816"/>
      <c r="P41" s="816"/>
      <c r="Q41" s="816"/>
      <c r="S41" s="816"/>
      <c r="T41" s="816"/>
      <c r="U41" s="816" t="s">
        <v>198</v>
      </c>
      <c r="V41" s="816" t="s">
        <v>198</v>
      </c>
      <c r="W41" s="816" t="s">
        <v>198</v>
      </c>
      <c r="X41" s="816"/>
      <c r="Y41" s="816" t="s">
        <v>198</v>
      </c>
      <c r="Z41" s="816"/>
      <c r="AC41" s="816"/>
      <c r="AD41" s="816"/>
      <c r="AE41" s="816"/>
      <c r="AF41" s="816"/>
      <c r="AG41" s="816"/>
      <c r="AI41" s="816"/>
      <c r="AJ41" s="816"/>
      <c r="AL41" s="816"/>
      <c r="AM41" s="816" t="s">
        <v>198</v>
      </c>
      <c r="AN41" s="816"/>
      <c r="AP41" s="816"/>
      <c r="AQ41" s="816"/>
      <c r="AR41" s="816"/>
      <c r="AS41" s="816"/>
      <c r="AT41" s="816"/>
      <c r="AU41" s="816"/>
      <c r="AV41" s="816"/>
      <c r="AW41" s="816"/>
      <c r="AX41" s="816"/>
      <c r="AY41" s="816" t="s">
        <v>198</v>
      </c>
      <c r="AZ41" s="816" t="s">
        <v>198</v>
      </c>
      <c r="BA41" s="816"/>
      <c r="BC41" s="816"/>
      <c r="BD41" s="816"/>
      <c r="BE41" s="816"/>
      <c r="BF41" s="816" t="s">
        <v>198</v>
      </c>
      <c r="BG41" s="816"/>
      <c r="BH41" s="816"/>
      <c r="BI41" s="816" t="s">
        <v>198</v>
      </c>
      <c r="BJ41" s="816"/>
      <c r="BM41" s="816"/>
      <c r="BN41" s="816" t="s">
        <v>198</v>
      </c>
      <c r="BO41" s="816" t="s">
        <v>198</v>
      </c>
      <c r="BP41" s="816" t="s">
        <v>198</v>
      </c>
      <c r="BQ41" s="816"/>
      <c r="BR41" s="816"/>
      <c r="BS41" s="816" t="s">
        <v>198</v>
      </c>
      <c r="BT41" s="816"/>
      <c r="BU41" s="816"/>
    </row>
    <row r="42" spans="1:73" ht="29" x14ac:dyDescent="0.35">
      <c r="A42" s="806" t="s">
        <v>780</v>
      </c>
      <c r="B42" s="806" t="s">
        <v>1006</v>
      </c>
      <c r="C42" s="806"/>
      <c r="D42" s="806"/>
      <c r="E42" s="806"/>
      <c r="F42" s="806"/>
      <c r="I42" s="816"/>
      <c r="J42" s="816"/>
      <c r="K42" s="816"/>
      <c r="L42" s="816" t="b">
        <v>1</v>
      </c>
      <c r="M42" s="816"/>
      <c r="N42" s="816"/>
      <c r="O42" s="816" t="b">
        <v>0</v>
      </c>
      <c r="P42" s="816"/>
      <c r="Q42" s="816"/>
      <c r="R42" s="816"/>
      <c r="S42" s="816"/>
      <c r="T42" s="816"/>
      <c r="U42" s="816" t="b">
        <v>1</v>
      </c>
      <c r="V42" s="816" t="b">
        <v>1</v>
      </c>
      <c r="W42" s="816" t="b">
        <v>1</v>
      </c>
      <c r="X42" s="816"/>
      <c r="Y42" s="816" t="b">
        <v>1</v>
      </c>
      <c r="Z42" s="816"/>
      <c r="AC42" s="816"/>
      <c r="AD42" s="816"/>
      <c r="AE42" s="816"/>
      <c r="AF42" s="816"/>
      <c r="AG42" s="816"/>
      <c r="AI42" s="816"/>
      <c r="AJ42" s="816"/>
      <c r="AL42" s="816"/>
      <c r="AM42" s="816" t="b">
        <v>1</v>
      </c>
      <c r="AN42" s="816"/>
      <c r="AO42" s="816"/>
      <c r="AP42" s="816"/>
      <c r="AQ42" s="816"/>
      <c r="AR42" s="816"/>
      <c r="AS42" s="816"/>
      <c r="AT42" s="816"/>
      <c r="AU42" s="816"/>
      <c r="AV42" s="816"/>
      <c r="AW42" s="816"/>
      <c r="AX42" s="816"/>
      <c r="AY42" s="816" t="b">
        <v>1</v>
      </c>
      <c r="AZ42" s="816" t="b">
        <v>1</v>
      </c>
      <c r="BA42" s="816"/>
      <c r="BC42" s="816"/>
      <c r="BD42" s="816"/>
      <c r="BE42" s="816"/>
      <c r="BF42" s="816" t="b">
        <v>1</v>
      </c>
      <c r="BG42" s="816"/>
      <c r="BH42" s="816"/>
      <c r="BI42" s="816" t="b">
        <v>1</v>
      </c>
      <c r="BJ42" s="816"/>
      <c r="BM42" s="816"/>
      <c r="BN42" s="816" t="b">
        <v>0</v>
      </c>
      <c r="BO42" s="816" t="b">
        <v>1</v>
      </c>
      <c r="BP42" s="816" t="b">
        <v>1</v>
      </c>
      <c r="BQ42" s="816"/>
      <c r="BR42" s="816"/>
      <c r="BS42" s="816" t="b">
        <v>1</v>
      </c>
      <c r="BT42" s="816"/>
      <c r="BU42" s="816"/>
    </row>
    <row r="43" spans="1:73" x14ac:dyDescent="0.35">
      <c r="A43" s="806" t="s">
        <v>780</v>
      </c>
      <c r="B43" s="806" t="s">
        <v>1043</v>
      </c>
      <c r="C43" s="806"/>
      <c r="D43" s="806"/>
      <c r="E43" s="806"/>
      <c r="F43" s="806"/>
      <c r="I43" s="816"/>
      <c r="J43" s="816"/>
      <c r="K43" s="816"/>
      <c r="L43" s="816" t="s">
        <v>198</v>
      </c>
      <c r="M43" s="816"/>
      <c r="N43" s="816"/>
      <c r="O43" s="816"/>
      <c r="P43" s="816"/>
      <c r="Q43" s="816"/>
      <c r="S43" s="816"/>
      <c r="T43" s="816"/>
      <c r="U43" s="816" t="s">
        <v>198</v>
      </c>
      <c r="V43" s="816" t="s">
        <v>198</v>
      </c>
      <c r="W43" s="816" t="s">
        <v>198</v>
      </c>
      <c r="X43" s="816"/>
      <c r="Y43" s="816" t="s">
        <v>198</v>
      </c>
      <c r="Z43" s="816"/>
      <c r="AC43" s="816"/>
      <c r="AD43" s="816"/>
      <c r="AE43" s="816"/>
      <c r="AF43" s="816"/>
      <c r="AG43" s="816"/>
      <c r="AI43" s="816"/>
      <c r="AJ43" s="816"/>
      <c r="AL43" s="816"/>
      <c r="AM43" s="816" t="s">
        <v>198</v>
      </c>
      <c r="AN43" s="816"/>
      <c r="AP43" s="816"/>
      <c r="AQ43" s="816"/>
      <c r="AR43" s="816"/>
      <c r="AS43" s="816"/>
      <c r="AT43" s="816"/>
      <c r="AU43" s="816"/>
      <c r="AV43" s="816"/>
      <c r="AW43" s="816"/>
      <c r="AX43" s="816"/>
      <c r="AY43" s="816" t="s">
        <v>198</v>
      </c>
      <c r="AZ43" s="816" t="s">
        <v>198</v>
      </c>
      <c r="BA43" s="816"/>
      <c r="BC43" s="816"/>
      <c r="BD43" s="816"/>
      <c r="BE43" s="816"/>
      <c r="BF43" s="816" t="s">
        <v>198</v>
      </c>
      <c r="BG43" s="816"/>
      <c r="BH43" s="816"/>
      <c r="BI43" s="816" t="s">
        <v>198</v>
      </c>
      <c r="BJ43" s="816"/>
      <c r="BM43" s="816"/>
      <c r="BN43" s="816" t="s">
        <v>198</v>
      </c>
      <c r="BO43" s="816" t="s">
        <v>198</v>
      </c>
      <c r="BP43" s="816" t="s">
        <v>198</v>
      </c>
      <c r="BQ43" s="816"/>
      <c r="BR43" s="816"/>
      <c r="BS43" s="816" t="s">
        <v>198</v>
      </c>
      <c r="BT43" s="816"/>
      <c r="BU43" s="816"/>
    </row>
    <row r="44" spans="1:73" ht="145" x14ac:dyDescent="0.35">
      <c r="A44" s="806" t="s">
        <v>780</v>
      </c>
      <c r="B44" s="806" t="s">
        <v>1021</v>
      </c>
      <c r="C44" s="806"/>
      <c r="D44" s="806"/>
      <c r="E44" s="806"/>
      <c r="F44" s="806"/>
      <c r="I44" s="816"/>
      <c r="J44" s="816"/>
      <c r="K44" s="816"/>
      <c r="L44" s="816" t="s">
        <v>2656</v>
      </c>
      <c r="M44" s="816"/>
      <c r="N44" s="816"/>
      <c r="O44" s="816"/>
      <c r="P44" s="816"/>
      <c r="Q44" s="816"/>
      <c r="S44" s="816"/>
      <c r="T44" s="816"/>
      <c r="U44" s="816" t="s">
        <v>1618</v>
      </c>
      <c r="V44" s="816" t="s">
        <v>2872</v>
      </c>
      <c r="W44" s="816" t="s">
        <v>2891</v>
      </c>
      <c r="X44" s="816"/>
      <c r="Y44" s="816" t="s">
        <v>2936</v>
      </c>
      <c r="Z44" s="816"/>
      <c r="AC44" s="816"/>
      <c r="AD44" s="816"/>
      <c r="AE44" s="816"/>
      <c r="AF44" s="816"/>
      <c r="AG44" s="816"/>
      <c r="AI44" s="816"/>
      <c r="AJ44" s="816"/>
      <c r="AL44" s="816"/>
      <c r="AM44" s="816" t="s">
        <v>3293</v>
      </c>
      <c r="AN44" s="816"/>
      <c r="AP44" s="816"/>
      <c r="AQ44" s="816"/>
      <c r="AR44" s="816"/>
      <c r="AS44" s="816"/>
      <c r="AT44" s="816"/>
      <c r="AU44" s="816"/>
      <c r="AV44" s="816"/>
      <c r="AW44" s="816"/>
      <c r="AX44" s="816"/>
      <c r="AY44" s="816" t="s">
        <v>3564</v>
      </c>
      <c r="AZ44" s="816" t="s">
        <v>3595</v>
      </c>
      <c r="BA44" s="816"/>
      <c r="BC44" s="816"/>
      <c r="BD44" s="816"/>
      <c r="BE44" s="816"/>
      <c r="BF44" s="816" t="s">
        <v>3769</v>
      </c>
      <c r="BG44" s="816"/>
      <c r="BH44" s="816"/>
      <c r="BI44" s="816"/>
      <c r="BJ44" s="816"/>
      <c r="BM44" s="816"/>
      <c r="BN44" s="816" t="s">
        <v>4241</v>
      </c>
      <c r="BO44" s="816" t="s">
        <v>3250</v>
      </c>
      <c r="BP44" s="816" t="s">
        <v>4274</v>
      </c>
      <c r="BQ44" s="816"/>
      <c r="BR44" s="816"/>
      <c r="BS44" s="816" t="s">
        <v>3564</v>
      </c>
      <c r="BT44" s="816"/>
      <c r="BU44" s="816"/>
    </row>
    <row r="45" spans="1:73" ht="130.5" x14ac:dyDescent="0.35">
      <c r="A45" s="806" t="s">
        <v>780</v>
      </c>
      <c r="B45" s="806" t="s">
        <v>1022</v>
      </c>
      <c r="C45" s="806"/>
      <c r="D45" s="806"/>
      <c r="E45" s="806"/>
      <c r="F45" s="806"/>
      <c r="I45" s="816"/>
      <c r="J45" s="816"/>
      <c r="K45" s="816"/>
      <c r="L45" s="816" t="s">
        <v>2663</v>
      </c>
      <c r="M45" s="816"/>
      <c r="N45" s="816"/>
      <c r="O45" s="816"/>
      <c r="P45" s="816"/>
      <c r="Q45" s="816"/>
      <c r="S45" s="816"/>
      <c r="T45" s="816"/>
      <c r="U45" s="816" t="s">
        <v>2854</v>
      </c>
      <c r="V45" s="816" t="s">
        <v>2873</v>
      </c>
      <c r="W45" s="816" t="s">
        <v>2892</v>
      </c>
      <c r="X45" s="816"/>
      <c r="Y45" s="816" t="s">
        <v>2937</v>
      </c>
      <c r="Z45" s="816"/>
      <c r="AC45" s="816"/>
      <c r="AD45" s="816"/>
      <c r="AE45" s="816"/>
      <c r="AF45" s="816"/>
      <c r="AG45" s="816"/>
      <c r="AI45" s="816"/>
      <c r="AJ45" s="816"/>
      <c r="AL45" s="816"/>
      <c r="AM45" s="816" t="s">
        <v>3296</v>
      </c>
      <c r="AN45" s="816"/>
      <c r="AP45" s="816"/>
      <c r="AQ45" s="816"/>
      <c r="AR45" s="816"/>
      <c r="AS45" s="816"/>
      <c r="AT45" s="816"/>
      <c r="AU45" s="816"/>
      <c r="AV45" s="816"/>
      <c r="AW45" s="816"/>
      <c r="AX45" s="816"/>
      <c r="AY45" s="816" t="s">
        <v>3565</v>
      </c>
      <c r="AZ45" s="816" t="s">
        <v>3596</v>
      </c>
      <c r="BA45" s="816"/>
      <c r="BC45" s="816"/>
      <c r="BD45" s="816"/>
      <c r="BE45" s="816"/>
      <c r="BF45" s="816"/>
      <c r="BG45" s="816"/>
      <c r="BH45" s="816"/>
      <c r="BI45" s="816"/>
      <c r="BJ45" s="816"/>
      <c r="BM45" s="816"/>
      <c r="BN45" s="816"/>
      <c r="BO45" s="816" t="s">
        <v>3251</v>
      </c>
      <c r="BQ45" s="816"/>
      <c r="BR45" s="816"/>
      <c r="BS45" s="816" t="s">
        <v>3565</v>
      </c>
      <c r="BT45" s="816"/>
      <c r="BU45" s="816"/>
    </row>
    <row r="46" spans="1:73" ht="188.5" x14ac:dyDescent="0.35">
      <c r="A46" s="806" t="s">
        <v>780</v>
      </c>
      <c r="B46" s="806" t="s">
        <v>1023</v>
      </c>
      <c r="C46" s="806"/>
      <c r="D46" s="806"/>
      <c r="E46" s="806"/>
      <c r="F46" s="806"/>
      <c r="I46" s="816"/>
      <c r="J46" s="816"/>
      <c r="K46" s="816"/>
      <c r="M46" s="816"/>
      <c r="N46" s="816"/>
      <c r="O46" s="816"/>
      <c r="P46" s="816"/>
      <c r="Q46" s="816"/>
      <c r="S46" s="816"/>
      <c r="T46" s="816"/>
      <c r="U46" s="816" t="s">
        <v>2855</v>
      </c>
      <c r="V46" s="816"/>
      <c r="W46" s="816" t="s">
        <v>2893</v>
      </c>
      <c r="X46" s="816"/>
      <c r="Z46" s="816"/>
      <c r="AC46" s="816"/>
      <c r="AD46" s="816"/>
      <c r="AE46" s="816"/>
      <c r="AF46" s="816"/>
      <c r="AG46" s="816"/>
      <c r="AI46" s="816"/>
      <c r="AJ46" s="816"/>
      <c r="AL46" s="816"/>
      <c r="AN46" s="816"/>
      <c r="AP46" s="816"/>
      <c r="AQ46" s="816"/>
      <c r="AR46" s="816"/>
      <c r="AS46" s="816"/>
      <c r="AT46" s="816"/>
      <c r="AU46" s="816"/>
      <c r="AV46" s="816"/>
      <c r="AW46" s="816"/>
      <c r="AX46" s="816"/>
      <c r="AY46" s="816"/>
      <c r="AZ46" s="816"/>
      <c r="BA46" s="816"/>
      <c r="BC46" s="816"/>
      <c r="BD46" s="816"/>
      <c r="BE46" s="816"/>
      <c r="BF46" s="816"/>
      <c r="BG46" s="816"/>
      <c r="BH46" s="816"/>
      <c r="BI46" s="816"/>
      <c r="BJ46" s="816"/>
      <c r="BM46" s="816"/>
      <c r="BN46" s="816"/>
      <c r="BO46" s="816" t="s">
        <v>3252</v>
      </c>
      <c r="BQ46" s="816"/>
      <c r="BR46" s="816"/>
      <c r="BS46" s="816"/>
      <c r="BT46" s="816"/>
      <c r="BU46" s="816"/>
    </row>
    <row r="47" spans="1:73" ht="29" x14ac:dyDescent="0.35">
      <c r="A47" s="806" t="s">
        <v>780</v>
      </c>
      <c r="B47" s="806" t="s">
        <v>1024</v>
      </c>
      <c r="C47" s="806"/>
      <c r="D47" s="806"/>
      <c r="E47" s="806"/>
      <c r="F47" s="806"/>
      <c r="I47" s="816"/>
      <c r="J47" s="816"/>
      <c r="K47" s="816"/>
      <c r="M47" s="816"/>
      <c r="N47" s="816"/>
      <c r="O47" s="816"/>
      <c r="P47" s="816"/>
      <c r="Q47" s="816"/>
      <c r="S47" s="816"/>
      <c r="T47" s="816"/>
      <c r="U47" s="816" t="s">
        <v>2856</v>
      </c>
      <c r="V47" s="816"/>
      <c r="W47" s="816"/>
      <c r="X47" s="816"/>
      <c r="Z47" s="816"/>
      <c r="AC47" s="816"/>
      <c r="AD47" s="816"/>
      <c r="AE47" s="816"/>
      <c r="AF47" s="816"/>
      <c r="AG47" s="816"/>
      <c r="AI47" s="816"/>
      <c r="AJ47" s="816"/>
      <c r="AL47" s="816"/>
      <c r="AN47" s="816"/>
      <c r="AP47" s="816"/>
      <c r="AQ47" s="816"/>
      <c r="AR47" s="816"/>
      <c r="AS47" s="816"/>
      <c r="AT47" s="816"/>
      <c r="AU47" s="816"/>
      <c r="AV47" s="816"/>
      <c r="AW47" s="816"/>
      <c r="AX47" s="816"/>
      <c r="AY47" s="816"/>
      <c r="AZ47" s="816"/>
      <c r="BA47" s="816"/>
      <c r="BC47" s="816"/>
      <c r="BD47" s="816"/>
      <c r="BE47" s="816"/>
      <c r="BF47" s="816"/>
      <c r="BG47" s="816"/>
      <c r="BH47" s="816"/>
      <c r="BI47" s="816"/>
      <c r="BJ47" s="816"/>
      <c r="BM47" s="816"/>
      <c r="BN47" s="816"/>
      <c r="BO47" s="816" t="s">
        <v>3253</v>
      </c>
      <c r="BQ47" s="816"/>
      <c r="BR47" s="816"/>
      <c r="BS47" s="816"/>
      <c r="BT47" s="816"/>
      <c r="BU47" s="816"/>
    </row>
    <row r="48" spans="1:73" ht="43.5" x14ac:dyDescent="0.35">
      <c r="A48" s="806" t="s">
        <v>780</v>
      </c>
      <c r="B48" s="806" t="s">
        <v>1025</v>
      </c>
      <c r="C48" s="806"/>
      <c r="D48" s="806"/>
      <c r="E48" s="806"/>
      <c r="F48" s="806"/>
      <c r="I48" s="816"/>
      <c r="J48" s="816"/>
      <c r="K48" s="816"/>
      <c r="M48" s="816"/>
      <c r="N48" s="816"/>
      <c r="O48" s="816"/>
      <c r="P48" s="816"/>
      <c r="Q48" s="816"/>
      <c r="S48" s="816"/>
      <c r="T48" s="816"/>
      <c r="U48" s="816" t="s">
        <v>2857</v>
      </c>
      <c r="V48" s="816"/>
      <c r="W48" s="816"/>
      <c r="X48" s="816"/>
      <c r="Z48" s="816"/>
      <c r="AC48" s="816"/>
      <c r="AD48" s="816"/>
      <c r="AE48" s="816"/>
      <c r="AF48" s="816"/>
      <c r="AG48" s="816"/>
      <c r="AI48" s="816"/>
      <c r="AJ48" s="816"/>
      <c r="AL48" s="816"/>
      <c r="AN48" s="816"/>
      <c r="AP48" s="816"/>
      <c r="AQ48" s="816"/>
      <c r="AR48" s="816"/>
      <c r="AS48" s="816"/>
      <c r="AT48" s="816"/>
      <c r="AU48" s="816"/>
      <c r="AV48" s="816"/>
      <c r="AW48" s="816"/>
      <c r="AX48" s="816"/>
      <c r="AY48" s="816"/>
      <c r="AZ48" s="816"/>
      <c r="BA48" s="816"/>
      <c r="BC48" s="816"/>
      <c r="BD48" s="816"/>
      <c r="BE48" s="816"/>
      <c r="BF48" s="816"/>
      <c r="BG48" s="816"/>
      <c r="BH48" s="816"/>
      <c r="BI48" s="816"/>
      <c r="BJ48" s="816"/>
      <c r="BM48" s="816"/>
      <c r="BN48" s="816"/>
      <c r="BO48" s="816" t="s">
        <v>4262</v>
      </c>
      <c r="BQ48" s="816"/>
      <c r="BR48" s="816"/>
      <c r="BS48" s="816"/>
      <c r="BT48" s="816"/>
      <c r="BU48" s="816"/>
    </row>
    <row r="49" spans="1:73" x14ac:dyDescent="0.35">
      <c r="A49" s="806" t="s">
        <v>780</v>
      </c>
      <c r="B49" s="806" t="s">
        <v>1036</v>
      </c>
      <c r="C49" s="806"/>
      <c r="D49" s="806"/>
      <c r="E49" s="806"/>
      <c r="F49" s="806"/>
      <c r="I49" s="811"/>
      <c r="J49" s="811"/>
      <c r="K49" s="811"/>
      <c r="L49" s="811">
        <v>44977</v>
      </c>
      <c r="M49" s="811"/>
      <c r="N49" s="811"/>
      <c r="O49" s="811"/>
      <c r="P49" s="811"/>
      <c r="Q49" s="811"/>
      <c r="S49" s="811"/>
      <c r="T49" s="811"/>
      <c r="U49" s="811">
        <v>44982</v>
      </c>
      <c r="V49" s="811">
        <v>44561</v>
      </c>
      <c r="W49" s="811">
        <v>44980</v>
      </c>
      <c r="X49" s="811"/>
      <c r="Y49" s="811">
        <v>44981</v>
      </c>
      <c r="Z49" s="811"/>
      <c r="AC49" s="811"/>
      <c r="AD49" s="811"/>
      <c r="AE49" s="811"/>
      <c r="AF49" s="811"/>
      <c r="AG49" s="811"/>
      <c r="AI49" s="811"/>
      <c r="AJ49" s="811"/>
      <c r="AL49" s="811"/>
      <c r="AM49" s="811">
        <v>44956</v>
      </c>
      <c r="AN49" s="811"/>
      <c r="AP49" s="811"/>
      <c r="AQ49" s="811"/>
      <c r="AR49" s="811"/>
      <c r="AS49" s="811"/>
      <c r="AT49" s="811"/>
      <c r="AU49" s="811"/>
      <c r="AV49" s="811"/>
      <c r="AW49" s="811"/>
      <c r="AX49" s="811"/>
      <c r="AY49" s="811">
        <v>44984</v>
      </c>
      <c r="AZ49" s="811">
        <v>44980</v>
      </c>
      <c r="BA49" s="811"/>
      <c r="BC49" s="811"/>
      <c r="BD49" s="811"/>
      <c r="BE49" s="811"/>
      <c r="BF49" s="811">
        <v>44927</v>
      </c>
      <c r="BG49" s="811"/>
      <c r="BH49" s="811"/>
      <c r="BI49" s="811">
        <v>44980</v>
      </c>
      <c r="BJ49" s="811"/>
      <c r="BM49" s="811"/>
      <c r="BN49" s="811"/>
      <c r="BO49" s="811">
        <v>44742</v>
      </c>
      <c r="BP49" s="811">
        <v>44985</v>
      </c>
      <c r="BQ49" s="811"/>
      <c r="BR49" s="811"/>
      <c r="BS49" s="811">
        <v>44984</v>
      </c>
      <c r="BT49" s="811"/>
      <c r="BU49" s="811"/>
    </row>
    <row r="50" spans="1:73" x14ac:dyDescent="0.35">
      <c r="A50" s="806" t="s">
        <v>780</v>
      </c>
      <c r="B50" s="806" t="s">
        <v>1037</v>
      </c>
      <c r="C50" s="806"/>
      <c r="D50" s="806"/>
      <c r="E50" s="806"/>
      <c r="F50" s="806"/>
      <c r="I50" s="811"/>
      <c r="J50" s="811"/>
      <c r="K50" s="811"/>
      <c r="L50" s="811">
        <v>44977</v>
      </c>
      <c r="M50" s="811"/>
      <c r="N50" s="811"/>
      <c r="O50" s="811"/>
      <c r="P50" s="811"/>
      <c r="Q50" s="811"/>
      <c r="S50" s="811"/>
      <c r="T50" s="811"/>
      <c r="U50" s="811">
        <v>44982</v>
      </c>
      <c r="V50" s="811">
        <v>44981</v>
      </c>
      <c r="W50" s="811">
        <v>44980</v>
      </c>
      <c r="X50" s="811"/>
      <c r="Y50" s="811">
        <v>44981</v>
      </c>
      <c r="Z50" s="811"/>
      <c r="AC50" s="811"/>
      <c r="AD50" s="811"/>
      <c r="AE50" s="811"/>
      <c r="AF50" s="811"/>
      <c r="AG50" s="811"/>
      <c r="AI50" s="811"/>
      <c r="AJ50" s="811"/>
      <c r="AL50" s="811"/>
      <c r="AM50" s="811">
        <v>44927</v>
      </c>
      <c r="AN50" s="811"/>
      <c r="AP50" s="811"/>
      <c r="AQ50" s="811"/>
      <c r="AR50" s="811"/>
      <c r="AS50" s="811"/>
      <c r="AT50" s="811"/>
      <c r="AU50" s="811"/>
      <c r="AV50" s="811"/>
      <c r="AW50" s="811"/>
      <c r="AX50" s="811"/>
      <c r="AY50" s="811">
        <v>44984</v>
      </c>
      <c r="AZ50" s="811">
        <v>44980</v>
      </c>
      <c r="BA50" s="811"/>
      <c r="BC50" s="811"/>
      <c r="BD50" s="811"/>
      <c r="BE50" s="811"/>
      <c r="BF50" s="811"/>
      <c r="BG50" s="811"/>
      <c r="BH50" s="811"/>
      <c r="BI50" s="811"/>
      <c r="BJ50" s="811"/>
      <c r="BM50" s="811"/>
      <c r="BN50" s="811"/>
      <c r="BO50" s="811">
        <v>44742</v>
      </c>
      <c r="BQ50" s="811"/>
      <c r="BR50" s="811"/>
      <c r="BS50" s="811">
        <v>44984</v>
      </c>
      <c r="BT50" s="811"/>
      <c r="BU50" s="811"/>
    </row>
    <row r="51" spans="1:73" x14ac:dyDescent="0.35">
      <c r="A51" s="806" t="s">
        <v>780</v>
      </c>
      <c r="B51" s="806" t="s">
        <v>1038</v>
      </c>
      <c r="C51" s="806"/>
      <c r="D51" s="806"/>
      <c r="E51" s="806"/>
      <c r="F51" s="806"/>
      <c r="I51" s="811"/>
      <c r="J51" s="811"/>
      <c r="K51" s="811"/>
      <c r="M51" s="811"/>
      <c r="N51" s="811"/>
      <c r="O51" s="811"/>
      <c r="P51" s="811"/>
      <c r="Q51" s="811"/>
      <c r="S51" s="811"/>
      <c r="T51" s="811"/>
      <c r="U51" s="811">
        <v>44982</v>
      </c>
      <c r="V51" s="811"/>
      <c r="W51" s="811">
        <v>44980</v>
      </c>
      <c r="X51" s="811"/>
      <c r="Z51" s="811"/>
      <c r="AC51" s="811"/>
      <c r="AD51" s="811"/>
      <c r="AE51" s="811"/>
      <c r="AF51" s="811"/>
      <c r="AG51" s="811"/>
      <c r="AI51" s="811"/>
      <c r="AJ51" s="811"/>
      <c r="AL51" s="811"/>
      <c r="AN51" s="811"/>
      <c r="AP51" s="811"/>
      <c r="AQ51" s="811"/>
      <c r="AR51" s="811"/>
      <c r="AS51" s="811"/>
      <c r="AT51" s="811"/>
      <c r="AU51" s="811"/>
      <c r="AV51" s="811"/>
      <c r="AW51" s="811"/>
      <c r="AX51" s="811"/>
      <c r="AY51" s="811"/>
      <c r="AZ51" s="811"/>
      <c r="BA51" s="811"/>
      <c r="BC51" s="811"/>
      <c r="BD51" s="811"/>
      <c r="BE51" s="811"/>
      <c r="BF51" s="811"/>
      <c r="BG51" s="811"/>
      <c r="BH51" s="811"/>
      <c r="BI51" s="811"/>
      <c r="BJ51" s="811"/>
      <c r="BM51" s="811"/>
      <c r="BN51" s="811"/>
      <c r="BO51" s="811">
        <v>44742</v>
      </c>
      <c r="BQ51" s="811"/>
      <c r="BR51" s="811"/>
      <c r="BS51" s="811"/>
      <c r="BT51" s="811"/>
      <c r="BU51" s="811"/>
    </row>
    <row r="52" spans="1:73" x14ac:dyDescent="0.35">
      <c r="A52" s="806" t="s">
        <v>780</v>
      </c>
      <c r="B52" s="806" t="s">
        <v>1039</v>
      </c>
      <c r="C52" s="806"/>
      <c r="D52" s="806"/>
      <c r="E52" s="806"/>
      <c r="F52" s="806"/>
      <c r="I52" s="811"/>
      <c r="J52" s="811"/>
      <c r="K52" s="811"/>
      <c r="M52" s="811"/>
      <c r="N52" s="811"/>
      <c r="O52" s="811"/>
      <c r="P52" s="811"/>
      <c r="Q52" s="811"/>
      <c r="S52" s="811"/>
      <c r="T52" s="811"/>
      <c r="U52" s="811">
        <v>44982</v>
      </c>
      <c r="V52" s="811"/>
      <c r="W52" s="811"/>
      <c r="X52" s="811"/>
      <c r="Z52" s="811"/>
      <c r="AC52" s="811"/>
      <c r="AD52" s="811"/>
      <c r="AE52" s="811"/>
      <c r="AF52" s="811"/>
      <c r="AG52" s="811"/>
      <c r="AI52" s="811"/>
      <c r="AJ52" s="811"/>
      <c r="AL52" s="811"/>
      <c r="AN52" s="811"/>
      <c r="AP52" s="811"/>
      <c r="AQ52" s="811"/>
      <c r="AR52" s="811"/>
      <c r="AS52" s="811"/>
      <c r="AT52" s="811"/>
      <c r="AU52" s="811"/>
      <c r="AV52" s="811"/>
      <c r="AW52" s="811"/>
      <c r="AX52" s="811"/>
      <c r="AY52" s="811"/>
      <c r="AZ52" s="811"/>
      <c r="BA52" s="811"/>
      <c r="BC52" s="811"/>
      <c r="BD52" s="811"/>
      <c r="BE52" s="811"/>
      <c r="BF52" s="811"/>
      <c r="BG52" s="811"/>
      <c r="BH52" s="811"/>
      <c r="BI52" s="811"/>
      <c r="BJ52" s="811"/>
      <c r="BM52" s="811"/>
      <c r="BN52" s="811"/>
      <c r="BO52" s="811">
        <v>44742</v>
      </c>
      <c r="BQ52" s="811"/>
      <c r="BR52" s="811"/>
      <c r="BS52" s="811"/>
      <c r="BT52" s="811"/>
      <c r="BU52" s="811"/>
    </row>
    <row r="53" spans="1:73" x14ac:dyDescent="0.35">
      <c r="A53" s="806" t="s">
        <v>780</v>
      </c>
      <c r="B53" s="806" t="s">
        <v>1040</v>
      </c>
      <c r="C53" s="806"/>
      <c r="D53" s="806"/>
      <c r="E53" s="806"/>
      <c r="F53" s="806"/>
      <c r="I53" s="811"/>
      <c r="J53" s="811"/>
      <c r="K53" s="811"/>
      <c r="M53" s="811"/>
      <c r="N53" s="811"/>
      <c r="O53" s="811"/>
      <c r="P53" s="811"/>
      <c r="Q53" s="811"/>
      <c r="S53" s="811"/>
      <c r="T53" s="811"/>
      <c r="U53" s="811">
        <v>44982</v>
      </c>
      <c r="V53" s="811"/>
      <c r="W53" s="811"/>
      <c r="X53" s="811"/>
      <c r="Z53" s="811"/>
      <c r="AC53" s="811"/>
      <c r="AD53" s="811"/>
      <c r="AE53" s="811"/>
      <c r="AF53" s="811"/>
      <c r="AG53" s="811"/>
      <c r="AI53" s="811"/>
      <c r="AJ53" s="811"/>
      <c r="AL53" s="811"/>
      <c r="AN53" s="811"/>
      <c r="AP53" s="811"/>
      <c r="AQ53" s="811"/>
      <c r="AR53" s="811"/>
      <c r="AS53" s="811"/>
      <c r="AT53" s="811"/>
      <c r="AU53" s="811"/>
      <c r="AV53" s="811"/>
      <c r="AW53" s="811"/>
      <c r="AX53" s="811"/>
      <c r="AY53" s="811"/>
      <c r="AZ53" s="811"/>
      <c r="BA53" s="811"/>
      <c r="BC53" s="811"/>
      <c r="BD53" s="811"/>
      <c r="BE53" s="811"/>
      <c r="BF53" s="811"/>
      <c r="BG53" s="811"/>
      <c r="BH53" s="811"/>
      <c r="BI53" s="811"/>
      <c r="BJ53" s="811"/>
      <c r="BM53" s="811"/>
      <c r="BN53" s="811"/>
      <c r="BO53" s="811">
        <v>44742</v>
      </c>
      <c r="BQ53" s="811"/>
      <c r="BR53" s="811"/>
      <c r="BS53" s="811"/>
      <c r="BT53" s="811"/>
      <c r="BU53" s="811"/>
    </row>
    <row r="54" spans="1:73" ht="29" x14ac:dyDescent="0.35">
      <c r="A54" s="806" t="s">
        <v>780</v>
      </c>
      <c r="B54" s="806" t="s">
        <v>1031</v>
      </c>
      <c r="C54" s="806"/>
      <c r="D54" s="806"/>
      <c r="E54" s="806"/>
      <c r="F54" s="806"/>
      <c r="I54" s="811"/>
      <c r="J54" s="811"/>
      <c r="K54" s="811"/>
      <c r="L54" s="811">
        <v>43471</v>
      </c>
      <c r="M54" s="811"/>
      <c r="N54" s="811"/>
      <c r="O54" s="811"/>
      <c r="P54" s="811"/>
      <c r="Q54" s="811"/>
      <c r="S54" s="811"/>
      <c r="T54" s="811"/>
      <c r="U54" s="811">
        <v>44202</v>
      </c>
      <c r="V54" s="811">
        <v>43471</v>
      </c>
      <c r="W54" s="811">
        <v>43471</v>
      </c>
      <c r="X54" s="811"/>
      <c r="Y54" s="811">
        <v>43471</v>
      </c>
      <c r="Z54" s="811"/>
      <c r="AC54" s="811"/>
      <c r="AD54" s="811"/>
      <c r="AE54" s="811"/>
      <c r="AF54" s="811"/>
      <c r="AG54" s="811"/>
      <c r="AI54" s="811"/>
      <c r="AJ54" s="811"/>
      <c r="AL54" s="811"/>
      <c r="AM54" s="811">
        <v>43617</v>
      </c>
      <c r="AN54" s="811"/>
      <c r="AP54" s="811"/>
      <c r="AQ54" s="811"/>
      <c r="AR54" s="811"/>
      <c r="AS54" s="811"/>
      <c r="AT54" s="811"/>
      <c r="AU54" s="811"/>
      <c r="AV54" s="811"/>
      <c r="AW54" s="811"/>
      <c r="AX54" s="811"/>
      <c r="AY54" s="811">
        <v>43512</v>
      </c>
      <c r="AZ54" s="811">
        <v>43471</v>
      </c>
      <c r="BA54" s="811"/>
      <c r="BC54" s="811"/>
      <c r="BD54" s="811"/>
      <c r="BE54" s="811"/>
      <c r="BF54" s="811">
        <v>44197</v>
      </c>
      <c r="BG54" s="811"/>
      <c r="BH54" s="811"/>
      <c r="BI54" s="811">
        <v>43471</v>
      </c>
      <c r="BJ54" s="811"/>
      <c r="BM54" s="811"/>
      <c r="BN54" s="811"/>
      <c r="BO54" s="811">
        <v>43647</v>
      </c>
      <c r="BP54" s="811">
        <v>44355</v>
      </c>
      <c r="BQ54" s="811"/>
      <c r="BR54" s="811"/>
      <c r="BS54" s="811">
        <v>43512</v>
      </c>
      <c r="BT54" s="811"/>
      <c r="BU54" s="811"/>
    </row>
    <row r="55" spans="1:73" ht="29" x14ac:dyDescent="0.35">
      <c r="A55" s="806" t="s">
        <v>780</v>
      </c>
      <c r="B55" s="806" t="s">
        <v>1032</v>
      </c>
      <c r="C55" s="806"/>
      <c r="D55" s="806"/>
      <c r="E55" s="806"/>
      <c r="F55" s="806"/>
      <c r="I55" s="811"/>
      <c r="J55" s="811"/>
      <c r="K55" s="811"/>
      <c r="L55" s="811">
        <v>43471</v>
      </c>
      <c r="M55" s="811"/>
      <c r="N55" s="811"/>
      <c r="O55" s="811"/>
      <c r="P55" s="811"/>
      <c r="Q55" s="811"/>
      <c r="S55" s="811"/>
      <c r="T55" s="811"/>
      <c r="U55" s="811">
        <v>43471</v>
      </c>
      <c r="V55" s="811">
        <v>43471</v>
      </c>
      <c r="W55" s="811">
        <v>43471</v>
      </c>
      <c r="X55" s="811"/>
      <c r="Y55" s="811">
        <v>43471</v>
      </c>
      <c r="Z55" s="811"/>
      <c r="AC55" s="811"/>
      <c r="AD55" s="811"/>
      <c r="AE55" s="811"/>
      <c r="AF55" s="811"/>
      <c r="AG55" s="811"/>
      <c r="AI55" s="811"/>
      <c r="AJ55" s="811"/>
      <c r="AL55" s="811"/>
      <c r="AM55" s="811">
        <v>43770</v>
      </c>
      <c r="AN55" s="811"/>
      <c r="AP55" s="811"/>
      <c r="AQ55" s="811"/>
      <c r="AR55" s="811"/>
      <c r="AS55" s="811"/>
      <c r="AT55" s="811"/>
      <c r="AU55" s="811"/>
      <c r="AV55" s="811"/>
      <c r="AW55" s="811"/>
      <c r="AX55" s="811"/>
      <c r="AY55" s="811">
        <v>43512</v>
      </c>
      <c r="AZ55" s="811">
        <v>43799</v>
      </c>
      <c r="BA55" s="811"/>
      <c r="BC55" s="811"/>
      <c r="BD55" s="811"/>
      <c r="BE55" s="811"/>
      <c r="BF55" s="811"/>
      <c r="BG55" s="811"/>
      <c r="BH55" s="811"/>
      <c r="BI55" s="811"/>
      <c r="BJ55" s="811"/>
      <c r="BM55" s="811"/>
      <c r="BN55" s="811"/>
      <c r="BO55" s="811">
        <v>43647</v>
      </c>
      <c r="BQ55" s="811"/>
      <c r="BR55" s="811"/>
      <c r="BS55" s="811">
        <v>43512</v>
      </c>
      <c r="BT55" s="811"/>
      <c r="BU55" s="811"/>
    </row>
    <row r="56" spans="1:73" ht="29" x14ac:dyDescent="0.35">
      <c r="A56" s="806" t="s">
        <v>780</v>
      </c>
      <c r="B56" s="806" t="s">
        <v>1033</v>
      </c>
      <c r="C56" s="806"/>
      <c r="D56" s="806"/>
      <c r="E56" s="806"/>
      <c r="F56" s="806"/>
      <c r="I56" s="811"/>
      <c r="J56" s="811"/>
      <c r="K56" s="811"/>
      <c r="M56" s="811"/>
      <c r="N56" s="811"/>
      <c r="O56" s="811"/>
      <c r="P56" s="811"/>
      <c r="Q56" s="811"/>
      <c r="S56" s="811"/>
      <c r="T56" s="811"/>
      <c r="U56" s="811">
        <v>43471</v>
      </c>
      <c r="V56" s="811"/>
      <c r="W56" s="811">
        <v>44105</v>
      </c>
      <c r="X56" s="811"/>
      <c r="Z56" s="811"/>
      <c r="AC56" s="811"/>
      <c r="AD56" s="811"/>
      <c r="AE56" s="811"/>
      <c r="AF56" s="811"/>
      <c r="AG56" s="811"/>
      <c r="AI56" s="811"/>
      <c r="AJ56" s="811"/>
      <c r="AL56" s="811"/>
      <c r="AN56" s="811"/>
      <c r="AP56" s="811"/>
      <c r="AQ56" s="811"/>
      <c r="AR56" s="811"/>
      <c r="AS56" s="811"/>
      <c r="AT56" s="811"/>
      <c r="AU56" s="811"/>
      <c r="AV56" s="811"/>
      <c r="AW56" s="811"/>
      <c r="AX56" s="811"/>
      <c r="AY56" s="811"/>
      <c r="AZ56" s="811"/>
      <c r="BA56" s="811"/>
      <c r="BC56" s="811"/>
      <c r="BD56" s="811"/>
      <c r="BE56" s="811"/>
      <c r="BF56" s="811"/>
      <c r="BG56" s="811"/>
      <c r="BH56" s="811"/>
      <c r="BI56" s="811"/>
      <c r="BJ56" s="811"/>
      <c r="BM56" s="811"/>
      <c r="BN56" s="811"/>
      <c r="BO56" s="811">
        <v>43647</v>
      </c>
      <c r="BQ56" s="811"/>
      <c r="BR56" s="811"/>
      <c r="BS56" s="811"/>
      <c r="BT56" s="811"/>
      <c r="BU56" s="811"/>
    </row>
    <row r="57" spans="1:73" ht="29" x14ac:dyDescent="0.35">
      <c r="A57" s="806" t="s">
        <v>780</v>
      </c>
      <c r="B57" s="806" t="s">
        <v>1035</v>
      </c>
      <c r="C57" s="806"/>
      <c r="D57" s="806"/>
      <c r="E57" s="806"/>
      <c r="F57" s="806"/>
      <c r="I57" s="811"/>
      <c r="J57" s="811"/>
      <c r="K57" s="811"/>
      <c r="M57" s="811"/>
      <c r="N57" s="811"/>
      <c r="O57" s="811"/>
      <c r="P57" s="811"/>
      <c r="Q57" s="811"/>
      <c r="S57" s="811"/>
      <c r="T57" s="811"/>
      <c r="U57" s="811">
        <v>43471</v>
      </c>
      <c r="V57" s="811"/>
      <c r="W57" s="811"/>
      <c r="X57" s="811"/>
      <c r="Z57" s="811"/>
      <c r="AC57" s="811"/>
      <c r="AD57" s="811"/>
      <c r="AE57" s="811"/>
      <c r="AF57" s="811"/>
      <c r="AG57" s="811"/>
      <c r="AI57" s="811"/>
      <c r="AJ57" s="811"/>
      <c r="AL57" s="811"/>
      <c r="AN57" s="811"/>
      <c r="AP57" s="811"/>
      <c r="AQ57" s="811"/>
      <c r="AR57" s="811"/>
      <c r="AS57" s="811"/>
      <c r="AT57" s="811"/>
      <c r="AU57" s="811"/>
      <c r="AV57" s="811"/>
      <c r="AW57" s="811"/>
      <c r="AX57" s="811"/>
      <c r="AY57" s="811"/>
      <c r="AZ57" s="811"/>
      <c r="BA57" s="811"/>
      <c r="BC57" s="811"/>
      <c r="BD57" s="811"/>
      <c r="BE57" s="811"/>
      <c r="BF57" s="811"/>
      <c r="BG57" s="811"/>
      <c r="BH57" s="811"/>
      <c r="BI57" s="811"/>
      <c r="BJ57" s="811"/>
      <c r="BM57" s="811"/>
      <c r="BN57" s="811"/>
      <c r="BO57" s="811">
        <v>43647</v>
      </c>
      <c r="BQ57" s="811"/>
      <c r="BR57" s="811"/>
      <c r="BS57" s="811"/>
      <c r="BT57" s="811"/>
      <c r="BU57" s="811"/>
    </row>
    <row r="58" spans="1:73" ht="29" x14ac:dyDescent="0.35">
      <c r="A58" s="806" t="s">
        <v>780</v>
      </c>
      <c r="B58" s="806" t="s">
        <v>1034</v>
      </c>
      <c r="C58" s="806"/>
      <c r="D58" s="806"/>
      <c r="E58" s="806"/>
      <c r="F58" s="806"/>
      <c r="I58" s="811"/>
      <c r="J58" s="811"/>
      <c r="K58" s="811"/>
      <c r="M58" s="811"/>
      <c r="N58" s="811"/>
      <c r="O58" s="811"/>
      <c r="P58" s="811"/>
      <c r="Q58" s="811"/>
      <c r="S58" s="811"/>
      <c r="T58" s="811"/>
      <c r="U58" s="811">
        <v>44958</v>
      </c>
      <c r="V58" s="811"/>
      <c r="W58" s="811"/>
      <c r="X58" s="811"/>
      <c r="Z58" s="811"/>
      <c r="AC58" s="811"/>
      <c r="AD58" s="811"/>
      <c r="AE58" s="811"/>
      <c r="AF58" s="811"/>
      <c r="AG58" s="811"/>
      <c r="AI58" s="811"/>
      <c r="AJ58" s="811"/>
      <c r="AL58" s="811"/>
      <c r="AN58" s="811"/>
      <c r="AP58" s="811"/>
      <c r="AQ58" s="811"/>
      <c r="AR58" s="811"/>
      <c r="AS58" s="811"/>
      <c r="AT58" s="811"/>
      <c r="AU58" s="811"/>
      <c r="AV58" s="811"/>
      <c r="AW58" s="811"/>
      <c r="AX58" s="811"/>
      <c r="AY58" s="811"/>
      <c r="AZ58" s="811"/>
      <c r="BA58" s="811"/>
      <c r="BC58" s="811"/>
      <c r="BD58" s="811"/>
      <c r="BE58" s="811"/>
      <c r="BF58" s="811"/>
      <c r="BG58" s="811"/>
      <c r="BH58" s="811"/>
      <c r="BI58" s="811"/>
      <c r="BJ58" s="811"/>
      <c r="BM58" s="811"/>
      <c r="BN58" s="811"/>
      <c r="BO58" s="811">
        <v>44013</v>
      </c>
      <c r="BQ58" s="811"/>
      <c r="BR58" s="811"/>
      <c r="BS58" s="811"/>
      <c r="BT58" s="811"/>
      <c r="BU58" s="811"/>
    </row>
    <row r="59" spans="1:73" ht="29" x14ac:dyDescent="0.35">
      <c r="A59" s="806" t="s">
        <v>780</v>
      </c>
      <c r="B59" s="806" t="s">
        <v>1026</v>
      </c>
      <c r="C59" s="806"/>
      <c r="D59" s="806"/>
      <c r="E59" s="806"/>
      <c r="F59" s="806"/>
      <c r="I59" s="817"/>
      <c r="J59" s="817"/>
      <c r="K59" s="817"/>
      <c r="L59" s="817">
        <v>60</v>
      </c>
      <c r="M59" s="817"/>
      <c r="N59" s="817"/>
      <c r="O59" s="817"/>
      <c r="P59" s="817"/>
      <c r="Q59" s="817"/>
      <c r="S59" s="817"/>
      <c r="T59" s="817"/>
      <c r="U59" s="817">
        <v>10</v>
      </c>
      <c r="V59" s="817">
        <v>17</v>
      </c>
      <c r="W59" s="817">
        <v>33</v>
      </c>
      <c r="X59" s="817"/>
      <c r="Y59" s="817">
        <v>237</v>
      </c>
      <c r="Z59" s="817"/>
      <c r="AC59" s="817"/>
      <c r="AD59" s="817"/>
      <c r="AE59" s="817"/>
      <c r="AF59" s="817"/>
      <c r="AG59" s="817"/>
      <c r="AI59" s="817"/>
      <c r="AJ59" s="817"/>
      <c r="AL59" s="817"/>
      <c r="AM59" s="817">
        <v>52</v>
      </c>
      <c r="AN59" s="817"/>
      <c r="AP59" s="817"/>
      <c r="AQ59" s="817"/>
      <c r="AR59" s="817"/>
      <c r="AS59" s="817"/>
      <c r="AT59" s="817"/>
      <c r="AU59" s="817"/>
      <c r="AV59" s="817"/>
      <c r="AW59" s="817"/>
      <c r="AX59" s="817"/>
      <c r="AY59" s="817">
        <v>2</v>
      </c>
      <c r="AZ59" s="817">
        <v>4</v>
      </c>
      <c r="BA59" s="817"/>
      <c r="BC59" s="817"/>
      <c r="BD59" s="817"/>
      <c r="BE59" s="817"/>
      <c r="BF59" s="817">
        <v>5</v>
      </c>
      <c r="BG59" s="817"/>
      <c r="BH59" s="817"/>
      <c r="BI59" s="817">
        <v>40</v>
      </c>
      <c r="BJ59" s="817"/>
      <c r="BM59" s="817"/>
      <c r="BN59" s="817"/>
      <c r="BO59" s="817">
        <v>38</v>
      </c>
      <c r="BP59" s="817">
        <v>0</v>
      </c>
      <c r="BQ59" s="817"/>
      <c r="BR59" s="817"/>
      <c r="BS59" s="817">
        <v>2</v>
      </c>
      <c r="BT59" s="817"/>
      <c r="BU59" s="817"/>
    </row>
    <row r="60" spans="1:73" ht="29" x14ac:dyDescent="0.35">
      <c r="A60" s="806" t="s">
        <v>780</v>
      </c>
      <c r="B60" s="806" t="s">
        <v>1027</v>
      </c>
      <c r="C60" s="806"/>
      <c r="D60" s="806"/>
      <c r="E60" s="806"/>
      <c r="F60" s="806"/>
      <c r="I60" s="817"/>
      <c r="J60" s="817"/>
      <c r="K60" s="817"/>
      <c r="L60" s="817">
        <v>17</v>
      </c>
      <c r="M60" s="817"/>
      <c r="N60" s="817"/>
      <c r="O60" s="817"/>
      <c r="P60" s="817"/>
      <c r="Q60" s="817"/>
      <c r="S60" s="817"/>
      <c r="T60" s="817"/>
      <c r="U60" s="817">
        <v>220</v>
      </c>
      <c r="V60" s="817">
        <v>30</v>
      </c>
      <c r="W60" s="817">
        <v>1</v>
      </c>
      <c r="X60" s="817"/>
      <c r="Y60" s="817">
        <v>116</v>
      </c>
      <c r="Z60" s="817"/>
      <c r="AC60" s="817"/>
      <c r="AD60" s="817"/>
      <c r="AE60" s="817"/>
      <c r="AF60" s="817"/>
      <c r="AG60" s="817"/>
      <c r="AI60" s="817"/>
      <c r="AJ60" s="817"/>
      <c r="AL60" s="817"/>
      <c r="AM60" s="817">
        <v>8</v>
      </c>
      <c r="AN60" s="817"/>
      <c r="AP60" s="817"/>
      <c r="AQ60" s="817"/>
      <c r="AR60" s="817"/>
      <c r="AS60" s="817"/>
      <c r="AT60" s="817"/>
      <c r="AU60" s="817"/>
      <c r="AV60" s="817"/>
      <c r="AW60" s="817"/>
      <c r="AX60" s="817"/>
      <c r="AY60" s="817">
        <v>4</v>
      </c>
      <c r="AZ60" s="817">
        <v>2</v>
      </c>
      <c r="BA60" s="817"/>
      <c r="BC60" s="817"/>
      <c r="BD60" s="817"/>
      <c r="BE60" s="817"/>
      <c r="BF60" s="817"/>
      <c r="BG60" s="817"/>
      <c r="BH60" s="817"/>
      <c r="BI60" s="817"/>
      <c r="BJ60" s="817"/>
      <c r="BM60" s="817"/>
      <c r="BN60" s="817"/>
      <c r="BO60" s="817">
        <v>13</v>
      </c>
      <c r="BQ60" s="817"/>
      <c r="BR60" s="817"/>
      <c r="BS60" s="817">
        <v>4</v>
      </c>
      <c r="BT60" s="817"/>
      <c r="BU60" s="817"/>
    </row>
    <row r="61" spans="1:73" ht="29" x14ac:dyDescent="0.35">
      <c r="A61" s="806" t="s">
        <v>780</v>
      </c>
      <c r="B61" s="806" t="s">
        <v>1028</v>
      </c>
      <c r="C61" s="806"/>
      <c r="D61" s="806"/>
      <c r="E61" s="806"/>
      <c r="F61" s="806"/>
      <c r="I61" s="817"/>
      <c r="J61" s="817"/>
      <c r="K61" s="817"/>
      <c r="M61" s="817"/>
      <c r="N61" s="817"/>
      <c r="O61" s="817"/>
      <c r="P61" s="817"/>
      <c r="Q61" s="817"/>
      <c r="S61" s="817"/>
      <c r="T61" s="817"/>
      <c r="U61" s="817">
        <v>3</v>
      </c>
      <c r="V61" s="817"/>
      <c r="W61" s="817">
        <v>4</v>
      </c>
      <c r="X61" s="817"/>
      <c r="Z61" s="817"/>
      <c r="AC61" s="817"/>
      <c r="AD61" s="817"/>
      <c r="AE61" s="817"/>
      <c r="AF61" s="817"/>
      <c r="AG61" s="817"/>
      <c r="AI61" s="817"/>
      <c r="AJ61" s="817"/>
      <c r="AL61" s="817"/>
      <c r="AN61" s="817"/>
      <c r="AP61" s="817"/>
      <c r="AQ61" s="817"/>
      <c r="AR61" s="817"/>
      <c r="AS61" s="817"/>
      <c r="AT61" s="817"/>
      <c r="AU61" s="817"/>
      <c r="AV61" s="817"/>
      <c r="AW61" s="817"/>
      <c r="AX61" s="817"/>
      <c r="AY61" s="817"/>
      <c r="AZ61" s="817"/>
      <c r="BA61" s="817"/>
      <c r="BC61" s="817"/>
      <c r="BD61" s="817"/>
      <c r="BE61" s="817"/>
      <c r="BF61" s="817"/>
      <c r="BG61" s="817"/>
      <c r="BH61" s="817"/>
      <c r="BI61" s="817"/>
      <c r="BJ61" s="817"/>
      <c r="BM61" s="817"/>
      <c r="BN61" s="817"/>
      <c r="BO61" s="817">
        <v>9</v>
      </c>
      <c r="BQ61" s="817"/>
      <c r="BR61" s="817"/>
      <c r="BS61" s="817"/>
      <c r="BT61" s="817"/>
      <c r="BU61" s="817"/>
    </row>
    <row r="62" spans="1:73" ht="29" x14ac:dyDescent="0.35">
      <c r="A62" s="806" t="s">
        <v>780</v>
      </c>
      <c r="B62" s="806" t="s">
        <v>1029</v>
      </c>
      <c r="C62" s="806"/>
      <c r="D62" s="806"/>
      <c r="E62" s="806"/>
      <c r="F62" s="806"/>
      <c r="I62" s="817"/>
      <c r="J62" s="817"/>
      <c r="K62" s="817"/>
      <c r="M62" s="817"/>
      <c r="N62" s="817"/>
      <c r="O62" s="817"/>
      <c r="P62" s="817"/>
      <c r="Q62" s="817"/>
      <c r="S62" s="817"/>
      <c r="T62" s="817"/>
      <c r="U62" s="817">
        <v>1</v>
      </c>
      <c r="V62" s="817"/>
      <c r="W62" s="817"/>
      <c r="X62" s="817"/>
      <c r="Z62" s="817"/>
      <c r="AC62" s="817"/>
      <c r="AD62" s="817"/>
      <c r="AE62" s="817"/>
      <c r="AF62" s="817"/>
      <c r="AG62" s="817"/>
      <c r="AI62" s="817"/>
      <c r="AJ62" s="817"/>
      <c r="AL62" s="817"/>
      <c r="AN62" s="817"/>
      <c r="AP62" s="817"/>
      <c r="AQ62" s="817"/>
      <c r="AR62" s="817"/>
      <c r="AS62" s="817"/>
      <c r="AT62" s="817"/>
      <c r="AU62" s="817"/>
      <c r="AV62" s="817"/>
      <c r="AW62" s="817"/>
      <c r="AX62" s="817"/>
      <c r="AY62" s="817"/>
      <c r="AZ62" s="817"/>
      <c r="BA62" s="817"/>
      <c r="BC62" s="817"/>
      <c r="BD62" s="817"/>
      <c r="BE62" s="817"/>
      <c r="BF62" s="817"/>
      <c r="BG62" s="817"/>
      <c r="BH62" s="817"/>
      <c r="BI62" s="817"/>
      <c r="BJ62" s="817"/>
      <c r="BM62" s="817"/>
      <c r="BN62" s="817"/>
      <c r="BO62" s="817">
        <v>9</v>
      </c>
      <c r="BQ62" s="817"/>
      <c r="BR62" s="817"/>
      <c r="BS62" s="817"/>
      <c r="BT62" s="817"/>
      <c r="BU62" s="817"/>
    </row>
    <row r="63" spans="1:73" ht="29" x14ac:dyDescent="0.35">
      <c r="A63" s="806" t="s">
        <v>780</v>
      </c>
      <c r="B63" s="806" t="s">
        <v>1030</v>
      </c>
      <c r="C63" s="806"/>
      <c r="D63" s="806"/>
      <c r="E63" s="806"/>
      <c r="F63" s="806"/>
      <c r="I63" s="817"/>
      <c r="J63" s="817"/>
      <c r="K63" s="817"/>
      <c r="M63" s="817"/>
      <c r="N63" s="817"/>
      <c r="O63" s="817"/>
      <c r="P63" s="817"/>
      <c r="Q63" s="817"/>
      <c r="S63" s="817"/>
      <c r="T63" s="817"/>
      <c r="U63" s="817">
        <v>0</v>
      </c>
      <c r="V63" s="817"/>
      <c r="W63" s="817"/>
      <c r="X63" s="817"/>
      <c r="Z63" s="817"/>
      <c r="AC63" s="817"/>
      <c r="AD63" s="817"/>
      <c r="AE63" s="817"/>
      <c r="AF63" s="817"/>
      <c r="AG63" s="817"/>
      <c r="AI63" s="817"/>
      <c r="AJ63" s="817"/>
      <c r="AL63" s="817"/>
      <c r="AN63" s="817"/>
      <c r="AP63" s="817"/>
      <c r="AQ63" s="817"/>
      <c r="AR63" s="817"/>
      <c r="AS63" s="817"/>
      <c r="AT63" s="817"/>
      <c r="AU63" s="817"/>
      <c r="AV63" s="817"/>
      <c r="AW63" s="817"/>
      <c r="AX63" s="817"/>
      <c r="AY63" s="817"/>
      <c r="AZ63" s="817"/>
      <c r="BA63" s="817"/>
      <c r="BC63" s="817"/>
      <c r="BD63" s="817"/>
      <c r="BE63" s="817"/>
      <c r="BF63" s="817"/>
      <c r="BG63" s="817"/>
      <c r="BH63" s="817"/>
      <c r="BI63" s="817"/>
      <c r="BJ63" s="817"/>
      <c r="BM63" s="817"/>
      <c r="BN63" s="817"/>
      <c r="BO63" s="817">
        <v>2</v>
      </c>
      <c r="BQ63" s="817"/>
      <c r="BR63" s="817"/>
      <c r="BS63" s="817"/>
      <c r="BT63" s="817"/>
      <c r="BU63" s="817"/>
    </row>
    <row r="64" spans="1:73" ht="409.5" x14ac:dyDescent="0.35">
      <c r="A64" s="806" t="s">
        <v>780</v>
      </c>
      <c r="B64" s="806" t="s">
        <v>1045</v>
      </c>
      <c r="C64" s="806"/>
      <c r="D64" s="806"/>
      <c r="E64" s="806"/>
      <c r="F64" s="806"/>
      <c r="I64" s="816"/>
      <c r="J64" s="816"/>
      <c r="K64" s="816"/>
      <c r="L64" s="816" t="s">
        <v>2661</v>
      </c>
      <c r="M64" s="816"/>
      <c r="N64" s="816"/>
      <c r="O64" s="816"/>
      <c r="P64" s="816"/>
      <c r="Q64" s="816"/>
      <c r="S64" s="816"/>
      <c r="T64" s="816"/>
      <c r="U64" s="816" t="s">
        <v>2858</v>
      </c>
      <c r="V64" s="816" t="s">
        <v>2874</v>
      </c>
      <c r="W64" s="816" t="s">
        <v>2894</v>
      </c>
      <c r="X64" s="816"/>
      <c r="Y64" s="816" t="s">
        <v>2938</v>
      </c>
      <c r="Z64" s="816"/>
      <c r="AC64" s="816"/>
      <c r="AD64" s="816"/>
      <c r="AE64" s="816"/>
      <c r="AF64" s="816"/>
      <c r="AG64" s="816"/>
      <c r="AI64" s="816"/>
      <c r="AJ64" s="816"/>
      <c r="AL64" s="816"/>
      <c r="AM64" s="816" t="s">
        <v>3294</v>
      </c>
      <c r="AN64" s="816"/>
      <c r="AP64" s="816"/>
      <c r="AQ64" s="816"/>
      <c r="AR64" s="816"/>
      <c r="AS64" s="816"/>
      <c r="AT64" s="816"/>
      <c r="AU64" s="816"/>
      <c r="AV64" s="816"/>
      <c r="AW64" s="816"/>
      <c r="AX64" s="816"/>
      <c r="AY64" s="816" t="s">
        <v>3566</v>
      </c>
      <c r="AZ64" s="816" t="s">
        <v>3597</v>
      </c>
      <c r="BA64" s="816"/>
      <c r="BC64" s="816"/>
      <c r="BD64" s="816"/>
      <c r="BE64" s="816"/>
      <c r="BF64" s="816"/>
      <c r="BG64" s="816"/>
      <c r="BH64" s="816"/>
      <c r="BI64" s="816" t="s">
        <v>70</v>
      </c>
      <c r="BJ64" s="816"/>
      <c r="BM64" s="816"/>
      <c r="BN64" s="816"/>
      <c r="BO64" s="816" t="s">
        <v>4263</v>
      </c>
      <c r="BP64" s="816" t="s">
        <v>4275</v>
      </c>
      <c r="BQ64" s="816"/>
      <c r="BR64" s="816"/>
      <c r="BS64" s="816" t="s">
        <v>3566</v>
      </c>
      <c r="BT64" s="816"/>
      <c r="BU64" s="816"/>
    </row>
    <row r="65" spans="1:73" ht="29" x14ac:dyDescent="0.35">
      <c r="A65" s="806" t="s">
        <v>780</v>
      </c>
      <c r="B65" s="806" t="s">
        <v>783</v>
      </c>
      <c r="C65" s="818"/>
      <c r="D65" s="818"/>
      <c r="E65" s="818"/>
      <c r="F65" s="818"/>
      <c r="G65" s="818"/>
      <c r="H65" s="818"/>
      <c r="I65" s="816"/>
      <c r="J65" s="816"/>
      <c r="K65" s="816"/>
      <c r="L65" s="816" t="s">
        <v>1959</v>
      </c>
      <c r="M65" s="816"/>
      <c r="N65" s="816"/>
      <c r="O65" s="816" t="s">
        <v>1959</v>
      </c>
      <c r="P65" s="816"/>
      <c r="Q65" s="816"/>
      <c r="R65" s="816"/>
      <c r="S65" s="816"/>
      <c r="T65" s="816"/>
      <c r="U65" s="816" t="s">
        <v>1959</v>
      </c>
      <c r="V65" s="816" t="s">
        <v>1959</v>
      </c>
      <c r="W65" s="816" t="s">
        <v>1959</v>
      </c>
      <c r="X65" s="816"/>
      <c r="Y65" s="816" t="s">
        <v>2475</v>
      </c>
      <c r="Z65" s="816"/>
      <c r="AA65" s="818"/>
      <c r="AB65" s="818"/>
      <c r="AC65" s="816"/>
      <c r="AD65" s="816"/>
      <c r="AE65" s="816"/>
      <c r="AF65" s="816"/>
      <c r="AG65" s="816"/>
      <c r="AH65" s="817"/>
      <c r="AI65" s="816"/>
      <c r="AJ65" s="816"/>
      <c r="AK65" s="818"/>
      <c r="AL65" s="816"/>
      <c r="AM65" s="816" t="s">
        <v>1959</v>
      </c>
      <c r="AN65" s="816"/>
      <c r="AO65" s="816"/>
      <c r="AP65" s="816"/>
      <c r="AQ65" s="816"/>
      <c r="AR65" s="816"/>
      <c r="AS65" s="816"/>
      <c r="AT65" s="816"/>
      <c r="AU65" s="816"/>
      <c r="AV65" s="816"/>
      <c r="AW65" s="816"/>
      <c r="AX65" s="816"/>
      <c r="AY65" s="816" t="s">
        <v>2475</v>
      </c>
      <c r="AZ65" s="816" t="s">
        <v>2475</v>
      </c>
      <c r="BA65" s="816"/>
      <c r="BB65" s="818"/>
      <c r="BC65" s="816"/>
      <c r="BD65" s="816"/>
      <c r="BE65" s="816"/>
      <c r="BF65" s="816" t="s">
        <v>1959</v>
      </c>
      <c r="BG65" s="816"/>
      <c r="BH65" s="816"/>
      <c r="BI65" s="816" t="s">
        <v>1959</v>
      </c>
      <c r="BJ65" s="816"/>
      <c r="BK65" s="816"/>
      <c r="BM65" s="816"/>
      <c r="BN65" s="816" t="s">
        <v>1959</v>
      </c>
      <c r="BO65" s="816" t="s">
        <v>1959</v>
      </c>
      <c r="BP65" s="816" t="s">
        <v>1959</v>
      </c>
      <c r="BQ65" s="816"/>
      <c r="BR65" s="816"/>
      <c r="BS65" s="816" t="s">
        <v>2475</v>
      </c>
      <c r="BT65" s="816"/>
      <c r="BU65" s="816"/>
    </row>
    <row r="66" spans="1:73" x14ac:dyDescent="0.35">
      <c r="A66" s="806" t="s">
        <v>780</v>
      </c>
      <c r="B66" s="806" t="s">
        <v>1004</v>
      </c>
      <c r="C66" s="806"/>
      <c r="D66" s="806"/>
      <c r="E66" s="806"/>
      <c r="F66" s="806"/>
      <c r="I66" s="817"/>
      <c r="J66" s="817"/>
      <c r="K66" s="817"/>
      <c r="L66" s="817"/>
      <c r="M66" s="817"/>
      <c r="N66" s="817"/>
      <c r="O66" s="817"/>
      <c r="P66" s="817"/>
      <c r="Q66" s="817"/>
      <c r="R66" s="817"/>
      <c r="S66" s="817"/>
      <c r="T66" s="817"/>
      <c r="U66" s="817"/>
      <c r="V66" s="817"/>
      <c r="W66" s="817"/>
      <c r="X66" s="817"/>
      <c r="Y66" s="817">
        <v>40</v>
      </c>
      <c r="Z66" s="817"/>
      <c r="AC66" s="817"/>
      <c r="AD66" s="817"/>
      <c r="AE66" s="817"/>
      <c r="AF66" s="817"/>
      <c r="AG66" s="817"/>
      <c r="AI66" s="817"/>
      <c r="AJ66" s="817"/>
      <c r="AL66" s="817"/>
      <c r="AM66" s="817"/>
      <c r="AN66" s="817"/>
      <c r="AO66" s="817"/>
      <c r="AP66" s="817"/>
      <c r="AQ66" s="817"/>
      <c r="AR66" s="817"/>
      <c r="AS66" s="817"/>
      <c r="AT66" s="817"/>
      <c r="AU66" s="817"/>
      <c r="AV66" s="817"/>
      <c r="AW66" s="817"/>
      <c r="AX66" s="817"/>
      <c r="AY66" s="817">
        <v>30</v>
      </c>
      <c r="AZ66" s="817">
        <v>30</v>
      </c>
      <c r="BA66" s="817"/>
      <c r="BC66" s="817"/>
      <c r="BD66" s="817"/>
      <c r="BE66" s="817"/>
      <c r="BF66" s="817"/>
      <c r="BG66" s="817"/>
      <c r="BH66" s="817"/>
      <c r="BI66" s="817"/>
      <c r="BJ66" s="817"/>
      <c r="BM66" s="817"/>
      <c r="BN66" s="817"/>
      <c r="BO66" s="817"/>
      <c r="BP66" s="817"/>
      <c r="BQ66" s="817"/>
      <c r="BR66" s="817"/>
      <c r="BS66" s="817">
        <v>30</v>
      </c>
      <c r="BT66" s="817"/>
      <c r="BU66" s="817"/>
    </row>
    <row r="67" spans="1:73" ht="29" x14ac:dyDescent="0.35">
      <c r="A67" s="806" t="s">
        <v>780</v>
      </c>
      <c r="B67" s="806" t="s">
        <v>1000</v>
      </c>
      <c r="C67" s="806"/>
      <c r="D67" s="806"/>
      <c r="E67" s="806"/>
      <c r="F67" s="806"/>
      <c r="I67" s="817"/>
      <c r="J67" s="817"/>
      <c r="K67" s="817"/>
      <c r="L67" s="817"/>
      <c r="M67" s="817"/>
      <c r="N67" s="817"/>
      <c r="O67" s="817"/>
      <c r="P67" s="817"/>
      <c r="Q67" s="817"/>
      <c r="R67" s="817"/>
      <c r="S67" s="817"/>
      <c r="T67" s="817"/>
      <c r="U67" s="817"/>
      <c r="V67" s="817"/>
      <c r="W67" s="817"/>
      <c r="X67" s="817"/>
      <c r="Y67" s="817">
        <v>8</v>
      </c>
      <c r="Z67" s="817"/>
      <c r="AC67" s="817"/>
      <c r="AD67" s="817"/>
      <c r="AE67" s="817"/>
      <c r="AF67" s="817"/>
      <c r="AG67" s="817"/>
      <c r="AI67" s="817"/>
      <c r="AJ67" s="817"/>
      <c r="AL67" s="817"/>
      <c r="AM67" s="817"/>
      <c r="AN67" s="817"/>
      <c r="AO67" s="817"/>
      <c r="AP67" s="817"/>
      <c r="AQ67" s="817"/>
      <c r="AR67" s="817"/>
      <c r="AS67" s="817"/>
      <c r="AT67" s="817"/>
      <c r="AU67" s="817"/>
      <c r="AV67" s="817"/>
      <c r="AW67" s="817"/>
      <c r="AX67" s="817"/>
      <c r="AY67" s="817">
        <v>12</v>
      </c>
      <c r="AZ67" s="817">
        <v>11</v>
      </c>
      <c r="BA67" s="817"/>
      <c r="BC67" s="817"/>
      <c r="BD67" s="817"/>
      <c r="BE67" s="817"/>
      <c r="BF67" s="817"/>
      <c r="BG67" s="817"/>
      <c r="BH67" s="817"/>
      <c r="BI67" s="817"/>
      <c r="BJ67" s="817"/>
      <c r="BM67" s="817"/>
      <c r="BN67" s="817"/>
      <c r="BO67" s="817"/>
      <c r="BP67" s="817"/>
      <c r="BQ67" s="817"/>
      <c r="BR67" s="817"/>
      <c r="BS67" s="817">
        <v>12</v>
      </c>
      <c r="BT67" s="817"/>
      <c r="BU67" s="817"/>
    </row>
    <row r="68" spans="1:73" x14ac:dyDescent="0.35">
      <c r="A68" s="806" t="s">
        <v>780</v>
      </c>
      <c r="B68" s="806" t="s">
        <v>1001</v>
      </c>
      <c r="C68" s="806"/>
      <c r="D68" s="806"/>
      <c r="E68" s="806"/>
      <c r="F68" s="806"/>
      <c r="I68" s="817"/>
      <c r="J68" s="817"/>
      <c r="K68" s="817"/>
      <c r="L68" s="817"/>
      <c r="M68" s="817"/>
      <c r="N68" s="817"/>
      <c r="O68" s="817"/>
      <c r="P68" s="817"/>
      <c r="Q68" s="817"/>
      <c r="R68" s="817"/>
      <c r="S68" s="817"/>
      <c r="T68" s="817"/>
      <c r="U68" s="817"/>
      <c r="V68" s="817"/>
      <c r="W68" s="817"/>
      <c r="X68" s="817"/>
      <c r="Y68" s="817">
        <v>10</v>
      </c>
      <c r="Z68" s="817"/>
      <c r="AC68" s="817"/>
      <c r="AD68" s="817"/>
      <c r="AE68" s="817"/>
      <c r="AF68" s="817"/>
      <c r="AG68" s="817"/>
      <c r="AI68" s="817"/>
      <c r="AJ68" s="817"/>
      <c r="AL68" s="817"/>
      <c r="AM68" s="817"/>
      <c r="AN68" s="817"/>
      <c r="AO68" s="817"/>
      <c r="AP68" s="817"/>
      <c r="AQ68" s="817"/>
      <c r="AR68" s="817"/>
      <c r="AS68" s="817"/>
      <c r="AT68" s="817"/>
      <c r="AU68" s="817"/>
      <c r="AV68" s="817"/>
      <c r="AW68" s="817"/>
      <c r="AX68" s="817"/>
      <c r="AY68" s="817">
        <v>14</v>
      </c>
      <c r="AZ68" s="817">
        <v>16</v>
      </c>
      <c r="BA68" s="817"/>
      <c r="BC68" s="817"/>
      <c r="BD68" s="817"/>
      <c r="BE68" s="817"/>
      <c r="BF68" s="817"/>
      <c r="BG68" s="817"/>
      <c r="BH68" s="817"/>
      <c r="BI68" s="817"/>
      <c r="BJ68" s="817"/>
      <c r="BM68" s="817"/>
      <c r="BN68" s="817"/>
      <c r="BO68" s="817"/>
      <c r="BP68" s="817"/>
      <c r="BQ68" s="817"/>
      <c r="BR68" s="817"/>
      <c r="BS68" s="817">
        <v>14</v>
      </c>
      <c r="BT68" s="817"/>
      <c r="BU68" s="817"/>
    </row>
    <row r="69" spans="1:73" ht="29" x14ac:dyDescent="0.35">
      <c r="A69" s="806" t="s">
        <v>780</v>
      </c>
      <c r="B69" s="806" t="s">
        <v>2660</v>
      </c>
      <c r="C69" s="806"/>
      <c r="D69" s="806"/>
      <c r="E69" s="806"/>
      <c r="F69" s="806"/>
      <c r="L69" s="817"/>
      <c r="U69" s="817"/>
      <c r="V69" s="817"/>
      <c r="W69" s="817"/>
      <c r="Y69" s="817">
        <v>3</v>
      </c>
      <c r="AM69" s="817"/>
      <c r="AY69" s="817">
        <v>5</v>
      </c>
      <c r="AZ69" s="817">
        <v>5</v>
      </c>
      <c r="BI69" s="817"/>
      <c r="BO69" s="817"/>
      <c r="BS69" s="817">
        <v>5</v>
      </c>
    </row>
    <row r="70" spans="1:73" ht="29" x14ac:dyDescent="0.35">
      <c r="A70" s="806" t="s">
        <v>780</v>
      </c>
      <c r="B70" s="806" t="s">
        <v>1003</v>
      </c>
      <c r="C70" s="806"/>
      <c r="D70" s="806"/>
      <c r="E70" s="806"/>
      <c r="F70" s="806"/>
      <c r="I70" s="817"/>
      <c r="J70" s="817"/>
      <c r="K70" s="817"/>
      <c r="L70" s="817"/>
      <c r="M70" s="817"/>
      <c r="N70" s="817"/>
      <c r="O70" s="817"/>
      <c r="P70" s="817"/>
      <c r="Q70" s="817"/>
      <c r="R70" s="817"/>
      <c r="S70" s="817"/>
      <c r="T70" s="817"/>
      <c r="U70" s="817"/>
      <c r="V70" s="817"/>
      <c r="W70" s="817"/>
      <c r="X70" s="817"/>
      <c r="Y70" s="817">
        <v>0</v>
      </c>
      <c r="Z70" s="817"/>
      <c r="AC70" s="817"/>
      <c r="AD70" s="817"/>
      <c r="AE70" s="817"/>
      <c r="AF70" s="817"/>
      <c r="AG70" s="817"/>
      <c r="AI70" s="817"/>
      <c r="AJ70" s="817"/>
      <c r="AL70" s="817"/>
      <c r="AM70" s="817"/>
      <c r="AN70" s="817"/>
      <c r="AO70" s="817"/>
      <c r="AP70" s="817"/>
      <c r="AQ70" s="817"/>
      <c r="AR70" s="817"/>
      <c r="AS70" s="817"/>
      <c r="AT70" s="817"/>
      <c r="AU70" s="817"/>
      <c r="AV70" s="817"/>
      <c r="AW70" s="817"/>
      <c r="AX70" s="817"/>
      <c r="AY70" s="817">
        <v>0</v>
      </c>
      <c r="AZ70" s="817">
        <v>0</v>
      </c>
      <c r="BA70" s="817"/>
      <c r="BC70" s="817"/>
      <c r="BD70" s="817"/>
      <c r="BE70" s="817"/>
      <c r="BF70" s="817"/>
      <c r="BG70" s="817"/>
      <c r="BH70" s="817"/>
      <c r="BI70" s="817"/>
      <c r="BJ70" s="817"/>
      <c r="BM70" s="817"/>
      <c r="BN70" s="817"/>
      <c r="BO70" s="817"/>
      <c r="BP70" s="817"/>
      <c r="BQ70" s="817"/>
      <c r="BR70" s="817"/>
      <c r="BS70" s="817">
        <v>0</v>
      </c>
      <c r="BT70" s="817"/>
      <c r="BU70" s="817"/>
    </row>
    <row r="71" spans="1:73" ht="29" x14ac:dyDescent="0.35">
      <c r="A71" s="806" t="s">
        <v>780</v>
      </c>
      <c r="B71" s="806" t="s">
        <v>1002</v>
      </c>
      <c r="C71" s="806"/>
      <c r="D71" s="806"/>
      <c r="E71" s="806"/>
      <c r="F71" s="806"/>
      <c r="I71" s="817"/>
      <c r="J71" s="817"/>
      <c r="K71" s="817"/>
      <c r="L71" s="817"/>
      <c r="M71" s="817"/>
      <c r="N71" s="817"/>
      <c r="O71" s="817"/>
      <c r="P71" s="817"/>
      <c r="Q71" s="817"/>
      <c r="R71" s="817"/>
      <c r="S71" s="817"/>
      <c r="T71" s="817"/>
      <c r="U71" s="817"/>
      <c r="V71" s="817"/>
      <c r="W71" s="817"/>
      <c r="X71" s="817"/>
      <c r="Y71" s="817">
        <v>10</v>
      </c>
      <c r="Z71" s="817"/>
      <c r="AC71" s="817"/>
      <c r="AD71" s="817"/>
      <c r="AE71" s="817"/>
      <c r="AF71" s="817"/>
      <c r="AG71" s="817"/>
      <c r="AI71" s="817"/>
      <c r="AJ71" s="817"/>
      <c r="AL71" s="817"/>
      <c r="AM71" s="817"/>
      <c r="AN71" s="817"/>
      <c r="AO71" s="817"/>
      <c r="AP71" s="817"/>
      <c r="AQ71" s="817"/>
      <c r="AR71" s="817"/>
      <c r="AS71" s="817"/>
      <c r="AT71" s="817"/>
      <c r="AU71" s="817"/>
      <c r="AV71" s="817"/>
      <c r="AW71" s="817"/>
      <c r="AX71" s="817"/>
      <c r="AY71" s="817">
        <v>10</v>
      </c>
      <c r="AZ71" s="817">
        <v>0</v>
      </c>
      <c r="BA71" s="817"/>
      <c r="BC71" s="817"/>
      <c r="BD71" s="817"/>
      <c r="BE71" s="817"/>
      <c r="BF71" s="817"/>
      <c r="BG71" s="817"/>
      <c r="BH71" s="817"/>
      <c r="BI71" s="817"/>
      <c r="BJ71" s="817"/>
      <c r="BM71" s="817"/>
      <c r="BN71" s="817"/>
      <c r="BO71" s="817"/>
      <c r="BP71" s="817"/>
      <c r="BQ71" s="817"/>
      <c r="BR71" s="817"/>
      <c r="BS71" s="817">
        <v>10</v>
      </c>
      <c r="BT71" s="817"/>
      <c r="BU71" s="817"/>
    </row>
    <row r="72" spans="1:73" x14ac:dyDescent="0.35">
      <c r="A72" s="806" t="s">
        <v>780</v>
      </c>
      <c r="B72" s="806" t="s">
        <v>787</v>
      </c>
      <c r="C72" s="817"/>
      <c r="D72" s="817"/>
      <c r="E72" s="817"/>
      <c r="F72" s="817"/>
      <c r="G72" s="816"/>
      <c r="H72" s="816"/>
      <c r="I72" s="817"/>
      <c r="J72" s="817"/>
      <c r="K72" s="817"/>
      <c r="L72" s="817"/>
      <c r="M72" s="817"/>
      <c r="N72" s="817"/>
      <c r="O72" s="817"/>
      <c r="P72" s="817"/>
      <c r="Q72" s="817"/>
      <c r="R72" s="817"/>
      <c r="S72" s="817"/>
      <c r="T72" s="817"/>
      <c r="U72" s="817"/>
      <c r="V72" s="817"/>
      <c r="W72" s="817"/>
      <c r="X72" s="817"/>
      <c r="Y72" s="817">
        <v>71</v>
      </c>
      <c r="Z72" s="817"/>
      <c r="AA72" s="816"/>
      <c r="AB72" s="816"/>
      <c r="AC72" s="817"/>
      <c r="AD72" s="817"/>
      <c r="AE72" s="817"/>
      <c r="AF72" s="817"/>
      <c r="AG72" s="817"/>
      <c r="AH72" s="817"/>
      <c r="AI72" s="817"/>
      <c r="AJ72" s="817"/>
      <c r="AK72" s="816"/>
      <c r="AL72" s="817"/>
      <c r="AM72" s="817"/>
      <c r="AN72" s="817"/>
      <c r="AO72" s="817"/>
      <c r="AP72" s="817"/>
      <c r="AQ72" s="817"/>
      <c r="AR72" s="817"/>
      <c r="AS72" s="817"/>
      <c r="AT72" s="817"/>
      <c r="AU72" s="817"/>
      <c r="AV72" s="817"/>
      <c r="AW72" s="817"/>
      <c r="AX72" s="817"/>
      <c r="AY72" s="817">
        <v>71</v>
      </c>
      <c r="AZ72" s="817">
        <v>62</v>
      </c>
      <c r="BA72" s="817"/>
      <c r="BB72" s="817"/>
      <c r="BC72" s="817"/>
      <c r="BD72" s="817"/>
      <c r="BE72" s="817"/>
      <c r="BF72" s="817"/>
      <c r="BG72" s="817"/>
      <c r="BH72" s="817"/>
      <c r="BI72" s="817"/>
      <c r="BJ72" s="817"/>
      <c r="BK72" s="816"/>
      <c r="BM72" s="817"/>
      <c r="BN72" s="817"/>
      <c r="BO72" s="817"/>
      <c r="BP72" s="817"/>
      <c r="BQ72" s="817"/>
      <c r="BR72" s="817"/>
      <c r="BS72" s="817">
        <v>71</v>
      </c>
      <c r="BT72" s="817"/>
      <c r="BU72" s="817"/>
    </row>
    <row r="73" spans="1:73" x14ac:dyDescent="0.35">
      <c r="A73" s="806" t="s">
        <v>780</v>
      </c>
      <c r="B73" s="806" t="s">
        <v>788</v>
      </c>
      <c r="C73" s="817"/>
      <c r="D73" s="817"/>
      <c r="E73" s="817"/>
      <c r="F73" s="817"/>
      <c r="G73" s="816"/>
      <c r="H73" s="816"/>
      <c r="I73" s="818"/>
      <c r="J73" s="818"/>
      <c r="K73" s="818"/>
      <c r="L73" s="818"/>
      <c r="M73" s="818"/>
      <c r="N73" s="818"/>
      <c r="O73" s="818"/>
      <c r="P73" s="818"/>
      <c r="Q73" s="818"/>
      <c r="R73" s="818"/>
      <c r="S73" s="818"/>
      <c r="T73" s="818"/>
      <c r="U73" s="818"/>
      <c r="V73" s="818"/>
      <c r="W73" s="818"/>
      <c r="X73" s="818"/>
      <c r="Y73" s="818">
        <v>1600000</v>
      </c>
      <c r="Z73" s="818"/>
      <c r="AA73" s="816"/>
      <c r="AB73" s="816"/>
      <c r="AC73" s="818"/>
      <c r="AD73" s="818"/>
      <c r="AE73" s="818"/>
      <c r="AF73" s="818"/>
      <c r="AG73" s="818"/>
      <c r="AH73" s="817"/>
      <c r="AI73" s="818"/>
      <c r="AJ73" s="818"/>
      <c r="AK73" s="816"/>
      <c r="AL73" s="818"/>
      <c r="AM73" s="818"/>
      <c r="AN73" s="818"/>
      <c r="AO73" s="818"/>
      <c r="AP73" s="818"/>
      <c r="AQ73" s="818"/>
      <c r="AR73" s="818"/>
      <c r="AS73" s="818"/>
      <c r="AT73" s="818"/>
      <c r="AU73" s="818"/>
      <c r="AV73" s="818"/>
      <c r="AW73" s="818"/>
      <c r="AX73" s="818"/>
      <c r="AY73" s="818">
        <v>1000000</v>
      </c>
      <c r="AZ73" s="818">
        <v>600000</v>
      </c>
      <c r="BA73" s="818"/>
      <c r="BB73" s="817"/>
      <c r="BC73" s="818"/>
      <c r="BD73" s="818"/>
      <c r="BE73" s="818"/>
      <c r="BF73" s="818"/>
      <c r="BG73" s="818"/>
      <c r="BH73" s="818"/>
      <c r="BI73" s="818"/>
      <c r="BJ73" s="818"/>
      <c r="BK73" s="816"/>
      <c r="BM73" s="818"/>
      <c r="BN73" s="818"/>
      <c r="BO73" s="818"/>
      <c r="BP73" s="818"/>
      <c r="BQ73" s="818"/>
      <c r="BR73" s="818"/>
      <c r="BS73" s="818">
        <v>1000000</v>
      </c>
      <c r="BT73" s="818"/>
      <c r="BU73" s="818"/>
    </row>
    <row r="74" spans="1:73" ht="29" x14ac:dyDescent="0.35">
      <c r="A74" s="806" t="s">
        <v>780</v>
      </c>
      <c r="B74" s="806" t="s">
        <v>1005</v>
      </c>
      <c r="C74" s="806"/>
      <c r="D74" s="806"/>
      <c r="E74" s="806"/>
      <c r="F74" s="806"/>
      <c r="I74" s="817"/>
      <c r="J74" s="817"/>
      <c r="K74" s="817"/>
      <c r="L74" s="817"/>
      <c r="M74" s="817"/>
      <c r="N74" s="817"/>
      <c r="O74" s="817"/>
      <c r="P74" s="817"/>
      <c r="Q74" s="817"/>
      <c r="R74" s="817"/>
      <c r="S74" s="817"/>
      <c r="T74" s="817"/>
      <c r="U74" s="817"/>
      <c r="V74" s="817"/>
      <c r="W74" s="817"/>
      <c r="X74" s="817"/>
      <c r="Y74" s="817">
        <v>0</v>
      </c>
      <c r="Z74" s="817"/>
      <c r="AC74" s="817"/>
      <c r="AD74" s="817"/>
      <c r="AE74" s="817"/>
      <c r="AF74" s="817"/>
      <c r="AG74" s="817"/>
      <c r="AI74" s="817"/>
      <c r="AJ74" s="817"/>
      <c r="AL74" s="817"/>
      <c r="AM74" s="817"/>
      <c r="AN74" s="817"/>
      <c r="AO74" s="817"/>
      <c r="AP74" s="817"/>
      <c r="AQ74" s="817"/>
      <c r="AR74" s="817"/>
      <c r="AS74" s="817"/>
      <c r="AT74" s="817"/>
      <c r="AU74" s="817"/>
      <c r="AV74" s="817"/>
      <c r="AW74" s="817"/>
      <c r="AX74" s="817"/>
      <c r="AY74" s="817">
        <v>0</v>
      </c>
      <c r="AZ74" s="817">
        <v>0</v>
      </c>
      <c r="BA74" s="817"/>
      <c r="BC74" s="817"/>
      <c r="BD74" s="817"/>
      <c r="BE74" s="817"/>
      <c r="BF74" s="817"/>
      <c r="BG74" s="817"/>
      <c r="BH74" s="817"/>
      <c r="BI74" s="817"/>
      <c r="BJ74" s="817"/>
      <c r="BM74" s="817"/>
      <c r="BN74" s="817"/>
      <c r="BO74" s="817"/>
      <c r="BP74" s="817"/>
      <c r="BQ74" s="817"/>
      <c r="BR74" s="817"/>
      <c r="BS74" s="817">
        <v>0</v>
      </c>
      <c r="BT74" s="817"/>
      <c r="BU74" s="817"/>
    </row>
    <row r="75" spans="1:73" ht="29" x14ac:dyDescent="0.35">
      <c r="A75" s="806" t="s">
        <v>780</v>
      </c>
      <c r="B75" s="806" t="s">
        <v>781</v>
      </c>
      <c r="C75" s="817"/>
      <c r="D75" s="817"/>
      <c r="E75" s="817"/>
      <c r="F75" s="817"/>
      <c r="G75" s="816"/>
      <c r="H75" s="816"/>
      <c r="I75" s="816"/>
      <c r="J75" s="816"/>
      <c r="K75" s="816"/>
      <c r="L75" s="816" t="s">
        <v>2475</v>
      </c>
      <c r="M75" s="816"/>
      <c r="N75" s="816"/>
      <c r="O75" s="816" t="s">
        <v>1959</v>
      </c>
      <c r="P75" s="816"/>
      <c r="Q75" s="816"/>
      <c r="R75" s="816"/>
      <c r="S75" s="816"/>
      <c r="T75" s="816"/>
      <c r="U75" s="816" t="s">
        <v>2475</v>
      </c>
      <c r="V75" s="816" t="s">
        <v>2475</v>
      </c>
      <c r="W75" s="816" t="s">
        <v>2475</v>
      </c>
      <c r="X75" s="816"/>
      <c r="Y75" s="816" t="s">
        <v>1959</v>
      </c>
      <c r="Z75" s="816"/>
      <c r="AA75" s="816"/>
      <c r="AB75" s="816"/>
      <c r="AC75" s="816"/>
      <c r="AD75" s="816"/>
      <c r="AE75" s="816"/>
      <c r="AF75" s="816"/>
      <c r="AG75" s="816"/>
      <c r="AH75" s="817"/>
      <c r="AI75" s="816"/>
      <c r="AJ75" s="816"/>
      <c r="AK75" s="816"/>
      <c r="AL75" s="816"/>
      <c r="AM75" s="816" t="s">
        <v>2475</v>
      </c>
      <c r="AN75" s="816"/>
      <c r="AO75" s="816"/>
      <c r="AP75" s="816"/>
      <c r="AQ75" s="816"/>
      <c r="AR75" s="816"/>
      <c r="AS75" s="816"/>
      <c r="AT75" s="816"/>
      <c r="AU75" s="816"/>
      <c r="AV75" s="816"/>
      <c r="AW75" s="816"/>
      <c r="AX75" s="816"/>
      <c r="AY75" s="816" t="s">
        <v>1959</v>
      </c>
      <c r="AZ75" s="816" t="s">
        <v>1959</v>
      </c>
      <c r="BA75" s="816"/>
      <c r="BB75" s="817"/>
      <c r="BC75" s="816"/>
      <c r="BD75" s="816"/>
      <c r="BE75" s="816"/>
      <c r="BF75" s="816" t="s">
        <v>1959</v>
      </c>
      <c r="BG75" s="816"/>
      <c r="BH75" s="816"/>
      <c r="BI75" s="816" t="s">
        <v>2475</v>
      </c>
      <c r="BJ75" s="816"/>
      <c r="BK75" s="816"/>
      <c r="BM75" s="816"/>
      <c r="BN75" s="816" t="s">
        <v>1959</v>
      </c>
      <c r="BO75" s="816" t="s">
        <v>2475</v>
      </c>
      <c r="BP75" s="816" t="s">
        <v>2475</v>
      </c>
      <c r="BQ75" s="816"/>
      <c r="BR75" s="816"/>
      <c r="BS75" s="816" t="s">
        <v>1959</v>
      </c>
      <c r="BT75" s="816"/>
      <c r="BU75" s="816"/>
    </row>
    <row r="76" spans="1:73" ht="29" x14ac:dyDescent="0.35">
      <c r="A76" s="806" t="s">
        <v>780</v>
      </c>
      <c r="B76" s="806" t="s">
        <v>998</v>
      </c>
      <c r="C76" s="806"/>
      <c r="D76" s="806"/>
      <c r="E76" s="806"/>
      <c r="F76" s="806"/>
      <c r="I76" s="817"/>
      <c r="J76" s="817"/>
      <c r="K76" s="817"/>
      <c r="L76" s="817">
        <v>40</v>
      </c>
      <c r="M76" s="817"/>
      <c r="N76" s="817"/>
      <c r="O76" s="817"/>
      <c r="P76" s="817"/>
      <c r="Q76" s="817"/>
      <c r="R76" s="817"/>
      <c r="S76" s="817"/>
      <c r="T76" s="817"/>
      <c r="U76" s="817">
        <v>40</v>
      </c>
      <c r="V76" s="817">
        <v>40</v>
      </c>
      <c r="W76" s="817">
        <v>40</v>
      </c>
      <c r="X76" s="817"/>
      <c r="Y76" s="817"/>
      <c r="Z76" s="817"/>
      <c r="AC76" s="817"/>
      <c r="AD76" s="817"/>
      <c r="AE76" s="817"/>
      <c r="AF76" s="817"/>
      <c r="AG76" s="817"/>
      <c r="AI76" s="817"/>
      <c r="AJ76" s="817"/>
      <c r="AL76" s="817"/>
      <c r="AM76" s="817">
        <v>40</v>
      </c>
      <c r="AN76" s="817"/>
      <c r="AO76" s="817"/>
      <c r="AP76" s="817"/>
      <c r="AQ76" s="817"/>
      <c r="AR76" s="817"/>
      <c r="AS76" s="817"/>
      <c r="AT76" s="817"/>
      <c r="AU76" s="817"/>
      <c r="AV76" s="817"/>
      <c r="AW76" s="817"/>
      <c r="AX76" s="817"/>
      <c r="AY76" s="817"/>
      <c r="AZ76" s="817"/>
      <c r="BA76" s="817"/>
      <c r="BC76" s="817"/>
      <c r="BD76" s="817"/>
      <c r="BE76" s="817"/>
      <c r="BF76" s="817"/>
      <c r="BG76" s="817"/>
      <c r="BH76" s="817"/>
      <c r="BI76" s="817">
        <v>40</v>
      </c>
      <c r="BJ76" s="817"/>
      <c r="BM76" s="817"/>
      <c r="BN76" s="817"/>
      <c r="BO76" s="817">
        <v>40</v>
      </c>
      <c r="BP76" s="817">
        <v>0</v>
      </c>
      <c r="BQ76" s="817"/>
      <c r="BR76" s="817"/>
      <c r="BS76" s="817"/>
      <c r="BT76" s="817"/>
      <c r="BU76" s="817"/>
    </row>
    <row r="77" spans="1:73" ht="29" x14ac:dyDescent="0.35">
      <c r="A77" s="806" t="s">
        <v>780</v>
      </c>
      <c r="B77" s="806" t="s">
        <v>994</v>
      </c>
      <c r="C77" s="806"/>
      <c r="D77" s="806"/>
      <c r="E77" s="806"/>
      <c r="F77" s="806"/>
      <c r="I77" s="817"/>
      <c r="J77" s="817"/>
      <c r="K77" s="817"/>
      <c r="L77" s="817">
        <v>15</v>
      </c>
      <c r="M77" s="817"/>
      <c r="N77" s="817"/>
      <c r="O77" s="817"/>
      <c r="P77" s="817"/>
      <c r="Q77" s="817"/>
      <c r="R77" s="817"/>
      <c r="S77" s="817"/>
      <c r="T77" s="817"/>
      <c r="U77" s="817">
        <v>15</v>
      </c>
      <c r="V77" s="817">
        <v>12</v>
      </c>
      <c r="W77" s="817">
        <v>15</v>
      </c>
      <c r="X77" s="817"/>
      <c r="Y77" s="817"/>
      <c r="Z77" s="817"/>
      <c r="AC77" s="817"/>
      <c r="AD77" s="817"/>
      <c r="AE77" s="817"/>
      <c r="AF77" s="817"/>
      <c r="AG77" s="817"/>
      <c r="AI77" s="817"/>
      <c r="AJ77" s="817"/>
      <c r="AL77" s="817"/>
      <c r="AM77" s="817">
        <v>12</v>
      </c>
      <c r="AN77" s="817"/>
      <c r="AO77" s="817"/>
      <c r="AP77" s="817"/>
      <c r="AQ77" s="817"/>
      <c r="AR77" s="817"/>
      <c r="AS77" s="817"/>
      <c r="AT77" s="817"/>
      <c r="AU77" s="817"/>
      <c r="AV77" s="817"/>
      <c r="AW77" s="817"/>
      <c r="AX77" s="817"/>
      <c r="AY77" s="817"/>
      <c r="AZ77" s="817"/>
      <c r="BA77" s="817"/>
      <c r="BC77" s="817"/>
      <c r="BD77" s="817"/>
      <c r="BE77" s="817"/>
      <c r="BF77" s="817"/>
      <c r="BG77" s="817"/>
      <c r="BH77" s="817"/>
      <c r="BI77" s="817">
        <v>9</v>
      </c>
      <c r="BJ77" s="817"/>
      <c r="BM77" s="817"/>
      <c r="BN77" s="817"/>
      <c r="BO77" s="817">
        <v>15</v>
      </c>
      <c r="BP77" s="817">
        <v>12</v>
      </c>
      <c r="BQ77" s="817"/>
      <c r="BR77" s="817"/>
      <c r="BS77" s="817"/>
      <c r="BT77" s="817"/>
      <c r="BU77" s="817"/>
    </row>
    <row r="78" spans="1:73" ht="29" x14ac:dyDescent="0.35">
      <c r="A78" s="806" t="s">
        <v>780</v>
      </c>
      <c r="B78" s="806" t="s">
        <v>995</v>
      </c>
      <c r="C78" s="806"/>
      <c r="D78" s="806"/>
      <c r="E78" s="806"/>
      <c r="F78" s="806"/>
      <c r="I78" s="817"/>
      <c r="J78" s="817"/>
      <c r="K78" s="817"/>
      <c r="L78" s="817">
        <v>20</v>
      </c>
      <c r="M78" s="817"/>
      <c r="N78" s="817"/>
      <c r="O78" s="817"/>
      <c r="P78" s="817"/>
      <c r="Q78" s="817"/>
      <c r="R78" s="817"/>
      <c r="S78" s="817"/>
      <c r="T78" s="817"/>
      <c r="U78" s="817">
        <v>20</v>
      </c>
      <c r="V78" s="817">
        <v>12</v>
      </c>
      <c r="W78" s="817">
        <v>20</v>
      </c>
      <c r="X78" s="817"/>
      <c r="Y78" s="817"/>
      <c r="Z78" s="817"/>
      <c r="AC78" s="817"/>
      <c r="AD78" s="817"/>
      <c r="AE78" s="817"/>
      <c r="AF78" s="817"/>
      <c r="AG78" s="817"/>
      <c r="AI78" s="817"/>
      <c r="AJ78" s="817"/>
      <c r="AL78" s="817"/>
      <c r="AM78" s="817">
        <v>16</v>
      </c>
      <c r="AN78" s="817"/>
      <c r="AO78" s="817"/>
      <c r="AP78" s="817"/>
      <c r="AQ78" s="817"/>
      <c r="AR78" s="817"/>
      <c r="AS78" s="817"/>
      <c r="AT78" s="817"/>
      <c r="AU78" s="817"/>
      <c r="AV78" s="817"/>
      <c r="AW78" s="817"/>
      <c r="AX78" s="817"/>
      <c r="AY78" s="817"/>
      <c r="AZ78" s="817"/>
      <c r="BA78" s="817"/>
      <c r="BC78" s="817"/>
      <c r="BD78" s="817"/>
      <c r="BE78" s="817"/>
      <c r="BF78" s="817"/>
      <c r="BG78" s="817"/>
      <c r="BH78" s="817"/>
      <c r="BI78" s="817">
        <v>16</v>
      </c>
      <c r="BJ78" s="817"/>
      <c r="BM78" s="817"/>
      <c r="BN78" s="817"/>
      <c r="BO78" s="817">
        <v>20</v>
      </c>
      <c r="BP78" s="817">
        <v>16</v>
      </c>
      <c r="BQ78" s="817"/>
      <c r="BR78" s="817"/>
      <c r="BS78" s="817"/>
      <c r="BT78" s="817"/>
      <c r="BU78" s="817"/>
    </row>
    <row r="79" spans="1:73" ht="29" x14ac:dyDescent="0.35">
      <c r="A79" s="806" t="s">
        <v>780</v>
      </c>
      <c r="B79" s="806" t="s">
        <v>2659</v>
      </c>
      <c r="C79" s="806"/>
      <c r="D79" s="806"/>
      <c r="E79" s="806"/>
      <c r="F79" s="806"/>
      <c r="L79" s="817">
        <v>3</v>
      </c>
      <c r="U79" s="817">
        <v>3</v>
      </c>
      <c r="V79" s="817">
        <v>3</v>
      </c>
      <c r="W79" s="817">
        <v>3</v>
      </c>
      <c r="Y79" s="817"/>
      <c r="AM79" s="817">
        <v>3</v>
      </c>
      <c r="AY79" s="817"/>
      <c r="AZ79" s="817"/>
      <c r="BI79" s="817">
        <v>3</v>
      </c>
      <c r="BO79" s="817">
        <v>5</v>
      </c>
      <c r="BS79" s="817"/>
    </row>
    <row r="80" spans="1:73" ht="29" x14ac:dyDescent="0.35">
      <c r="A80" s="806" t="s">
        <v>780</v>
      </c>
      <c r="B80" s="806" t="s">
        <v>997</v>
      </c>
      <c r="C80" s="806"/>
      <c r="D80" s="806"/>
      <c r="E80" s="806"/>
      <c r="F80" s="806"/>
      <c r="I80" s="817"/>
      <c r="J80" s="817"/>
      <c r="K80" s="817"/>
      <c r="L80" s="817">
        <v>0</v>
      </c>
      <c r="M80" s="817"/>
      <c r="N80" s="817"/>
      <c r="O80" s="817"/>
      <c r="P80" s="817"/>
      <c r="Q80" s="817"/>
      <c r="R80" s="817"/>
      <c r="S80" s="817"/>
      <c r="T80" s="817"/>
      <c r="U80" s="817">
        <v>0</v>
      </c>
      <c r="V80" s="817">
        <v>0</v>
      </c>
      <c r="W80" s="817">
        <v>0</v>
      </c>
      <c r="X80" s="817"/>
      <c r="Y80" s="817"/>
      <c r="Z80" s="817"/>
      <c r="AC80" s="817"/>
      <c r="AD80" s="817"/>
      <c r="AE80" s="817"/>
      <c r="AF80" s="817"/>
      <c r="AG80" s="817"/>
      <c r="AI80" s="817"/>
      <c r="AJ80" s="817"/>
      <c r="AL80" s="817"/>
      <c r="AM80" s="817">
        <v>0</v>
      </c>
      <c r="AN80" s="817"/>
      <c r="AO80" s="817"/>
      <c r="AP80" s="817"/>
      <c r="AQ80" s="817"/>
      <c r="AR80" s="817"/>
      <c r="AS80" s="817"/>
      <c r="AT80" s="817"/>
      <c r="AU80" s="817"/>
      <c r="AV80" s="817"/>
      <c r="AW80" s="817"/>
      <c r="AX80" s="817"/>
      <c r="AY80" s="817"/>
      <c r="AZ80" s="817"/>
      <c r="BA80" s="817"/>
      <c r="BC80" s="817"/>
      <c r="BD80" s="817"/>
      <c r="BE80" s="817"/>
      <c r="BF80" s="817"/>
      <c r="BG80" s="817"/>
      <c r="BH80" s="817"/>
      <c r="BI80" s="817">
        <v>0</v>
      </c>
      <c r="BJ80" s="817"/>
      <c r="BM80" s="817"/>
      <c r="BN80" s="817"/>
      <c r="BO80" s="817">
        <v>0</v>
      </c>
      <c r="BP80" s="817">
        <v>0</v>
      </c>
      <c r="BQ80" s="817"/>
      <c r="BR80" s="817"/>
      <c r="BS80" s="817"/>
      <c r="BT80" s="817"/>
      <c r="BU80" s="817"/>
    </row>
    <row r="81" spans="1:73" ht="29" x14ac:dyDescent="0.35">
      <c r="A81" s="806" t="s">
        <v>780</v>
      </c>
      <c r="B81" s="806" t="s">
        <v>996</v>
      </c>
      <c r="C81" s="806"/>
      <c r="D81" s="806"/>
      <c r="E81" s="806"/>
      <c r="F81" s="806"/>
      <c r="I81" s="817"/>
      <c r="J81" s="817"/>
      <c r="K81" s="817"/>
      <c r="L81" s="817">
        <v>10</v>
      </c>
      <c r="M81" s="817"/>
      <c r="N81" s="817"/>
      <c r="O81" s="817"/>
      <c r="P81" s="817"/>
      <c r="Q81" s="817"/>
      <c r="R81" s="817"/>
      <c r="S81" s="817"/>
      <c r="T81" s="817"/>
      <c r="U81" s="817">
        <v>10</v>
      </c>
      <c r="V81" s="817">
        <v>10</v>
      </c>
      <c r="W81" s="817">
        <v>10</v>
      </c>
      <c r="X81" s="817"/>
      <c r="Y81" s="817"/>
      <c r="Z81" s="817"/>
      <c r="AC81" s="817"/>
      <c r="AD81" s="817"/>
      <c r="AE81" s="817"/>
      <c r="AF81" s="817"/>
      <c r="AG81" s="817"/>
      <c r="AI81" s="817"/>
      <c r="AJ81" s="817"/>
      <c r="AL81" s="817"/>
      <c r="AM81" s="817">
        <v>0</v>
      </c>
      <c r="AN81" s="817"/>
      <c r="AO81" s="817"/>
      <c r="AP81" s="817"/>
      <c r="AQ81" s="817"/>
      <c r="AR81" s="817"/>
      <c r="AS81" s="817"/>
      <c r="AT81" s="817"/>
      <c r="AU81" s="817"/>
      <c r="AV81" s="817"/>
      <c r="AW81" s="817"/>
      <c r="AX81" s="817"/>
      <c r="AY81" s="817"/>
      <c r="AZ81" s="817"/>
      <c r="BA81" s="817"/>
      <c r="BC81" s="817"/>
      <c r="BD81" s="817"/>
      <c r="BE81" s="817"/>
      <c r="BF81" s="817"/>
      <c r="BG81" s="817"/>
      <c r="BH81" s="817"/>
      <c r="BI81" s="817">
        <v>10</v>
      </c>
      <c r="BJ81" s="817"/>
      <c r="BM81" s="817"/>
      <c r="BN81" s="817"/>
      <c r="BO81" s="817">
        <v>0</v>
      </c>
      <c r="BP81" s="817">
        <v>10</v>
      </c>
      <c r="BQ81" s="817"/>
      <c r="BR81" s="817"/>
      <c r="BS81" s="817"/>
      <c r="BT81" s="817"/>
      <c r="BU81" s="817"/>
    </row>
    <row r="82" spans="1:73" ht="29" x14ac:dyDescent="0.35">
      <c r="A82" s="806" t="s">
        <v>780</v>
      </c>
      <c r="B82" s="806" t="s">
        <v>785</v>
      </c>
      <c r="C82" s="816"/>
      <c r="D82" s="816"/>
      <c r="E82" s="816"/>
      <c r="F82" s="816"/>
      <c r="G82" s="818"/>
      <c r="H82" s="818"/>
      <c r="I82" s="817"/>
      <c r="J82" s="817"/>
      <c r="K82" s="817"/>
      <c r="L82" s="817">
        <v>88</v>
      </c>
      <c r="M82" s="817"/>
      <c r="N82" s="817"/>
      <c r="O82" s="817"/>
      <c r="P82" s="817"/>
      <c r="Q82" s="817"/>
      <c r="R82" s="817"/>
      <c r="S82" s="817"/>
      <c r="T82" s="817"/>
      <c r="U82" s="817">
        <v>88</v>
      </c>
      <c r="V82" s="817">
        <v>77</v>
      </c>
      <c r="W82" s="817">
        <v>88</v>
      </c>
      <c r="X82" s="817"/>
      <c r="Y82" s="817"/>
      <c r="Z82" s="817"/>
      <c r="AA82" s="818"/>
      <c r="AB82" s="818"/>
      <c r="AC82" s="817"/>
      <c r="AD82" s="817"/>
      <c r="AE82" s="817"/>
      <c r="AF82" s="817"/>
      <c r="AG82" s="817"/>
      <c r="AH82" s="817"/>
      <c r="AI82" s="817"/>
      <c r="AJ82" s="817"/>
      <c r="AK82" s="818"/>
      <c r="AL82" s="817"/>
      <c r="AM82" s="817">
        <v>71</v>
      </c>
      <c r="AN82" s="817"/>
      <c r="AO82" s="817"/>
      <c r="AP82" s="817"/>
      <c r="AQ82" s="817"/>
      <c r="AR82" s="817"/>
      <c r="AS82" s="817"/>
      <c r="AT82" s="817"/>
      <c r="AU82" s="817"/>
      <c r="AV82" s="817"/>
      <c r="AW82" s="817"/>
      <c r="AX82" s="817"/>
      <c r="AY82" s="817"/>
      <c r="AZ82" s="817"/>
      <c r="BA82" s="817"/>
      <c r="BB82" s="816"/>
      <c r="BC82" s="817"/>
      <c r="BD82" s="817"/>
      <c r="BE82" s="817"/>
      <c r="BF82" s="817"/>
      <c r="BG82" s="817"/>
      <c r="BH82" s="817"/>
      <c r="BI82" s="817">
        <v>78</v>
      </c>
      <c r="BJ82" s="817"/>
      <c r="BK82" s="816"/>
      <c r="BM82" s="817"/>
      <c r="BN82" s="817"/>
      <c r="BO82" s="817">
        <v>80</v>
      </c>
      <c r="BP82" s="817">
        <v>43</v>
      </c>
      <c r="BQ82" s="817"/>
      <c r="BR82" s="817"/>
      <c r="BS82" s="817"/>
      <c r="BT82" s="817"/>
      <c r="BU82" s="817"/>
    </row>
    <row r="83" spans="1:73" ht="29" x14ac:dyDescent="0.35">
      <c r="A83" s="806" t="s">
        <v>780</v>
      </c>
      <c r="B83" s="806" t="s">
        <v>786</v>
      </c>
      <c r="C83" s="817"/>
      <c r="D83" s="817"/>
      <c r="E83" s="817"/>
      <c r="F83" s="817"/>
      <c r="G83" s="816"/>
      <c r="H83" s="816"/>
      <c r="I83" s="818"/>
      <c r="J83" s="818"/>
      <c r="K83" s="818"/>
      <c r="L83" s="818">
        <v>1000000</v>
      </c>
      <c r="M83" s="818"/>
      <c r="N83" s="818"/>
      <c r="O83" s="818"/>
      <c r="P83" s="818"/>
      <c r="Q83" s="818"/>
      <c r="R83" s="818"/>
      <c r="S83" s="818"/>
      <c r="T83" s="818"/>
      <c r="U83" s="818">
        <v>2920000</v>
      </c>
      <c r="V83" s="818">
        <v>5000000</v>
      </c>
      <c r="W83" s="818">
        <v>2500000</v>
      </c>
      <c r="X83" s="818"/>
      <c r="Y83" s="818"/>
      <c r="Z83" s="818"/>
      <c r="AA83" s="816"/>
      <c r="AB83" s="816"/>
      <c r="AC83" s="818"/>
      <c r="AD83" s="818"/>
      <c r="AE83" s="818"/>
      <c r="AF83" s="818"/>
      <c r="AG83" s="818"/>
      <c r="AH83" s="817"/>
      <c r="AI83" s="818"/>
      <c r="AJ83" s="818"/>
      <c r="AK83" s="816"/>
      <c r="AL83" s="818"/>
      <c r="AM83" s="818">
        <v>1000000</v>
      </c>
      <c r="AN83" s="818"/>
      <c r="AO83" s="818"/>
      <c r="AP83" s="818"/>
      <c r="AQ83" s="818"/>
      <c r="AR83" s="818"/>
      <c r="AS83" s="818"/>
      <c r="AT83" s="818"/>
      <c r="AU83" s="818"/>
      <c r="AV83" s="818"/>
      <c r="AW83" s="818"/>
      <c r="AX83" s="818"/>
      <c r="AY83" s="818"/>
      <c r="AZ83" s="818"/>
      <c r="BA83" s="818"/>
      <c r="BB83" s="817"/>
      <c r="BC83" s="818"/>
      <c r="BD83" s="818"/>
      <c r="BE83" s="818"/>
      <c r="BF83" s="818"/>
      <c r="BG83" s="818"/>
      <c r="BH83" s="818"/>
      <c r="BI83" s="818">
        <v>770000</v>
      </c>
      <c r="BJ83" s="818"/>
      <c r="BK83" s="816"/>
      <c r="BM83" s="818"/>
      <c r="BN83" s="818"/>
      <c r="BO83" s="818">
        <v>2400000</v>
      </c>
      <c r="BP83" s="818">
        <v>3600000</v>
      </c>
      <c r="BQ83" s="818"/>
      <c r="BR83" s="818"/>
      <c r="BS83" s="818"/>
      <c r="BT83" s="818"/>
      <c r="BU83" s="818"/>
    </row>
    <row r="84" spans="1:73" ht="29" x14ac:dyDescent="0.35">
      <c r="A84" s="806" t="s">
        <v>780</v>
      </c>
      <c r="B84" s="806" t="s">
        <v>999</v>
      </c>
      <c r="C84" s="806"/>
      <c r="D84" s="806"/>
      <c r="E84" s="806"/>
      <c r="F84" s="806"/>
      <c r="I84" s="817"/>
      <c r="J84" s="817"/>
      <c r="K84" s="817"/>
      <c r="L84" s="817">
        <v>0</v>
      </c>
      <c r="M84" s="817"/>
      <c r="N84" s="817"/>
      <c r="O84" s="817"/>
      <c r="P84" s="817"/>
      <c r="Q84" s="817"/>
      <c r="R84" s="817"/>
      <c r="S84" s="817"/>
      <c r="T84" s="817"/>
      <c r="U84" s="817">
        <v>0</v>
      </c>
      <c r="V84" s="817">
        <v>0</v>
      </c>
      <c r="W84" s="817">
        <v>0</v>
      </c>
      <c r="X84" s="817"/>
      <c r="Y84" s="817"/>
      <c r="Z84" s="817"/>
      <c r="AC84" s="817"/>
      <c r="AD84" s="817"/>
      <c r="AE84" s="817"/>
      <c r="AF84" s="817"/>
      <c r="AG84" s="817"/>
      <c r="AI84" s="817"/>
      <c r="AJ84" s="817"/>
      <c r="AL84" s="817"/>
      <c r="AM84" s="817">
        <v>0</v>
      </c>
      <c r="AN84" s="817"/>
      <c r="AO84" s="817"/>
      <c r="AP84" s="817"/>
      <c r="AQ84" s="817"/>
      <c r="AR84" s="817"/>
      <c r="AS84" s="817"/>
      <c r="AT84" s="817"/>
      <c r="AU84" s="817"/>
      <c r="AV84" s="817"/>
      <c r="AW84" s="817"/>
      <c r="AX84" s="817"/>
      <c r="AY84" s="817"/>
      <c r="AZ84" s="817"/>
      <c r="BA84" s="817"/>
      <c r="BC84" s="817"/>
      <c r="BD84" s="817"/>
      <c r="BE84" s="817"/>
      <c r="BF84" s="817"/>
      <c r="BG84" s="817"/>
      <c r="BH84" s="817"/>
      <c r="BI84" s="817">
        <v>0</v>
      </c>
      <c r="BJ84" s="817"/>
      <c r="BM84" s="817"/>
      <c r="BN84" s="817"/>
      <c r="BO84" s="817">
        <v>0</v>
      </c>
      <c r="BP84" s="817">
        <v>0</v>
      </c>
      <c r="BQ84" s="817"/>
      <c r="BR84" s="817"/>
      <c r="BS84" s="817"/>
      <c r="BT84" s="817"/>
      <c r="BU84" s="817"/>
    </row>
    <row r="85" spans="1:73" x14ac:dyDescent="0.35">
      <c r="A85" s="806" t="s">
        <v>850</v>
      </c>
      <c r="B85" s="806" t="s">
        <v>851</v>
      </c>
      <c r="C85" s="816"/>
      <c r="D85" s="816"/>
      <c r="E85" s="816"/>
      <c r="F85" s="816"/>
      <c r="G85" s="816" t="s">
        <v>503</v>
      </c>
      <c r="H85" s="816" t="s">
        <v>503</v>
      </c>
      <c r="I85" s="816" t="s">
        <v>198</v>
      </c>
      <c r="J85" s="816" t="s">
        <v>503</v>
      </c>
      <c r="K85" s="816" t="s">
        <v>503</v>
      </c>
      <c r="L85" s="816" t="s">
        <v>503</v>
      </c>
      <c r="M85" s="816"/>
      <c r="N85" s="816" t="s">
        <v>503</v>
      </c>
      <c r="O85" s="816" t="s">
        <v>503</v>
      </c>
      <c r="P85" s="816" t="s">
        <v>198</v>
      </c>
      <c r="Q85" s="816" t="s">
        <v>503</v>
      </c>
      <c r="R85" s="816" t="s">
        <v>503</v>
      </c>
      <c r="S85" s="816" t="s">
        <v>198</v>
      </c>
      <c r="T85" s="816" t="s">
        <v>198</v>
      </c>
      <c r="U85" s="816" t="s">
        <v>503</v>
      </c>
      <c r="V85" s="816" t="s">
        <v>503</v>
      </c>
      <c r="W85" s="816" t="s">
        <v>503</v>
      </c>
      <c r="X85" s="816" t="s">
        <v>503</v>
      </c>
      <c r="Y85" s="816" t="s">
        <v>503</v>
      </c>
      <c r="Z85" s="816" t="s">
        <v>503</v>
      </c>
      <c r="AA85" s="816" t="s">
        <v>198</v>
      </c>
      <c r="AC85" s="816"/>
      <c r="AD85" s="816" t="s">
        <v>503</v>
      </c>
      <c r="AE85" s="816" t="s">
        <v>503</v>
      </c>
      <c r="AF85" s="816"/>
      <c r="AG85" s="816" t="s">
        <v>503</v>
      </c>
      <c r="AH85" s="816" t="s">
        <v>503</v>
      </c>
      <c r="AI85" s="816" t="s">
        <v>503</v>
      </c>
      <c r="AJ85" s="816" t="s">
        <v>503</v>
      </c>
      <c r="AK85" s="816" t="s">
        <v>503</v>
      </c>
      <c r="AL85" s="816" t="s">
        <v>503</v>
      </c>
      <c r="AM85" s="816"/>
      <c r="AN85" s="816" t="s">
        <v>503</v>
      </c>
      <c r="AO85" s="816" t="s">
        <v>503</v>
      </c>
      <c r="AP85" s="816" t="s">
        <v>503</v>
      </c>
      <c r="AQ85" s="816" t="s">
        <v>503</v>
      </c>
      <c r="AR85" s="816" t="s">
        <v>503</v>
      </c>
      <c r="AS85" s="816"/>
      <c r="AT85" s="816" t="s">
        <v>198</v>
      </c>
      <c r="AU85" s="816" t="s">
        <v>198</v>
      </c>
      <c r="AV85" s="816" t="s">
        <v>198</v>
      </c>
      <c r="AW85" s="816" t="s">
        <v>503</v>
      </c>
      <c r="AX85" s="816" t="s">
        <v>503</v>
      </c>
      <c r="AY85" s="816" t="s">
        <v>198</v>
      </c>
      <c r="AZ85" s="816" t="s">
        <v>503</v>
      </c>
      <c r="BA85" s="816" t="s">
        <v>503</v>
      </c>
      <c r="BB85" s="816" t="s">
        <v>503</v>
      </c>
      <c r="BC85" s="816"/>
      <c r="BD85" s="816" t="s">
        <v>198</v>
      </c>
      <c r="BE85" s="816" t="s">
        <v>198</v>
      </c>
      <c r="BF85" s="816" t="s">
        <v>503</v>
      </c>
      <c r="BG85" s="816"/>
      <c r="BH85" s="816" t="s">
        <v>503</v>
      </c>
      <c r="BI85" s="816" t="s">
        <v>503</v>
      </c>
      <c r="BJ85" s="816" t="s">
        <v>198</v>
      </c>
      <c r="BK85" s="816" t="s">
        <v>198</v>
      </c>
      <c r="BM85" s="816" t="s">
        <v>503</v>
      </c>
      <c r="BN85" s="816"/>
      <c r="BO85" s="816" t="s">
        <v>503</v>
      </c>
      <c r="BP85" s="816" t="s">
        <v>503</v>
      </c>
      <c r="BQ85" s="816" t="s">
        <v>503</v>
      </c>
      <c r="BR85" s="816" t="s">
        <v>198</v>
      </c>
      <c r="BS85" s="816" t="s">
        <v>198</v>
      </c>
      <c r="BT85" s="816" t="s">
        <v>503</v>
      </c>
      <c r="BU85" s="816" t="s">
        <v>198</v>
      </c>
    </row>
    <row r="86" spans="1:73" x14ac:dyDescent="0.35">
      <c r="A86" s="806" t="s">
        <v>850</v>
      </c>
      <c r="B86" s="806" t="s">
        <v>852</v>
      </c>
      <c r="C86" s="816" t="s">
        <v>198</v>
      </c>
      <c r="D86" s="816" t="s">
        <v>198</v>
      </c>
      <c r="E86" s="816" t="s">
        <v>198</v>
      </c>
      <c r="F86" s="816" t="s">
        <v>198</v>
      </c>
      <c r="G86" s="816" t="s">
        <v>198</v>
      </c>
      <c r="H86" s="816" t="s">
        <v>198</v>
      </c>
      <c r="I86" s="816" t="s">
        <v>198</v>
      </c>
      <c r="J86" s="816" t="s">
        <v>198</v>
      </c>
      <c r="K86" s="816" t="s">
        <v>198</v>
      </c>
      <c r="L86" s="816" t="s">
        <v>198</v>
      </c>
      <c r="M86" s="816"/>
      <c r="N86" s="816" t="s">
        <v>198</v>
      </c>
      <c r="O86" s="816" t="s">
        <v>198</v>
      </c>
      <c r="P86" s="816" t="s">
        <v>198</v>
      </c>
      <c r="Q86" s="816" t="s">
        <v>198</v>
      </c>
      <c r="R86" s="816" t="s">
        <v>198</v>
      </c>
      <c r="S86" s="816" t="s">
        <v>198</v>
      </c>
      <c r="T86" s="816" t="s">
        <v>198</v>
      </c>
      <c r="U86" s="816" t="s">
        <v>198</v>
      </c>
      <c r="V86" s="816" t="s">
        <v>198</v>
      </c>
      <c r="W86" s="816" t="s">
        <v>198</v>
      </c>
      <c r="X86" s="816" t="s">
        <v>198</v>
      </c>
      <c r="Y86" s="816" t="s">
        <v>198</v>
      </c>
      <c r="Z86" s="816" t="s">
        <v>198</v>
      </c>
      <c r="AA86" s="816" t="s">
        <v>198</v>
      </c>
      <c r="AC86" s="816"/>
      <c r="AD86" s="816" t="s">
        <v>198</v>
      </c>
      <c r="AE86" s="816" t="s">
        <v>198</v>
      </c>
      <c r="AF86" s="816" t="s">
        <v>198</v>
      </c>
      <c r="AG86" s="816" t="s">
        <v>198</v>
      </c>
      <c r="AH86" s="816" t="s">
        <v>198</v>
      </c>
      <c r="AI86" s="816" t="s">
        <v>198</v>
      </c>
      <c r="AJ86" s="816" t="s">
        <v>198</v>
      </c>
      <c r="AK86" s="816" t="s">
        <v>198</v>
      </c>
      <c r="AL86" s="816" t="s">
        <v>198</v>
      </c>
      <c r="AM86" s="816" t="s">
        <v>198</v>
      </c>
      <c r="AN86" s="816" t="s">
        <v>198</v>
      </c>
      <c r="AO86" s="816" t="s">
        <v>198</v>
      </c>
      <c r="AP86" s="816" t="s">
        <v>198</v>
      </c>
      <c r="AQ86" s="816" t="s">
        <v>198</v>
      </c>
      <c r="AR86" s="816" t="s">
        <v>198</v>
      </c>
      <c r="AS86" s="816"/>
      <c r="AT86" s="816" t="s">
        <v>198</v>
      </c>
      <c r="AU86" s="816" t="s">
        <v>198</v>
      </c>
      <c r="AV86" s="816" t="s">
        <v>198</v>
      </c>
      <c r="AW86" s="816" t="s">
        <v>198</v>
      </c>
      <c r="AX86" s="816" t="s">
        <v>198</v>
      </c>
      <c r="AY86" s="816" t="s">
        <v>198</v>
      </c>
      <c r="AZ86" s="816" t="s">
        <v>198</v>
      </c>
      <c r="BA86" s="816" t="s">
        <v>198</v>
      </c>
      <c r="BB86" s="816" t="s">
        <v>198</v>
      </c>
      <c r="BC86" s="816"/>
      <c r="BD86" s="816" t="s">
        <v>198</v>
      </c>
      <c r="BE86" s="816" t="s">
        <v>198</v>
      </c>
      <c r="BF86" s="816" t="s">
        <v>198</v>
      </c>
      <c r="BG86" s="816"/>
      <c r="BH86" s="816" t="s">
        <v>198</v>
      </c>
      <c r="BI86" s="816" t="s">
        <v>198</v>
      </c>
      <c r="BJ86" s="816" t="s">
        <v>198</v>
      </c>
      <c r="BK86" s="816" t="s">
        <v>198</v>
      </c>
      <c r="BM86" s="816" t="s">
        <v>198</v>
      </c>
      <c r="BN86" s="816" t="s">
        <v>198</v>
      </c>
      <c r="BO86" s="816" t="s">
        <v>198</v>
      </c>
      <c r="BP86" s="816" t="s">
        <v>198</v>
      </c>
      <c r="BQ86" s="816" t="s">
        <v>198</v>
      </c>
      <c r="BR86" s="816" t="s">
        <v>198</v>
      </c>
      <c r="BS86" s="816" t="s">
        <v>198</v>
      </c>
      <c r="BT86" s="816" t="s">
        <v>198</v>
      </c>
      <c r="BU86" s="816" t="s">
        <v>198</v>
      </c>
    </row>
    <row r="87" spans="1:73" x14ac:dyDescent="0.35">
      <c r="A87" s="806" t="s">
        <v>711</v>
      </c>
      <c r="B87" s="806" t="s">
        <v>725</v>
      </c>
      <c r="C87" s="816" t="s">
        <v>198</v>
      </c>
      <c r="D87" s="816" t="s">
        <v>198</v>
      </c>
      <c r="E87" s="816" t="s">
        <v>198</v>
      </c>
      <c r="F87" s="816" t="s">
        <v>198</v>
      </c>
      <c r="G87" s="816" t="s">
        <v>198</v>
      </c>
      <c r="H87" s="816" t="s">
        <v>198</v>
      </c>
      <c r="I87" s="816" t="s">
        <v>198</v>
      </c>
      <c r="J87" s="816" t="s">
        <v>198</v>
      </c>
      <c r="K87" s="816" t="s">
        <v>198</v>
      </c>
      <c r="L87" s="816" t="s">
        <v>198</v>
      </c>
      <c r="M87" s="816" t="s">
        <v>198</v>
      </c>
      <c r="N87" s="816" t="s">
        <v>198</v>
      </c>
      <c r="O87" s="816" t="s">
        <v>198</v>
      </c>
      <c r="P87" s="816" t="s">
        <v>198</v>
      </c>
      <c r="Q87" s="816" t="s">
        <v>198</v>
      </c>
      <c r="R87" s="816" t="s">
        <v>198</v>
      </c>
      <c r="S87" s="816" t="s">
        <v>198</v>
      </c>
      <c r="T87" s="816" t="s">
        <v>198</v>
      </c>
      <c r="U87" s="816" t="s">
        <v>198</v>
      </c>
      <c r="V87" s="816" t="s">
        <v>198</v>
      </c>
      <c r="W87" s="816" t="s">
        <v>198</v>
      </c>
      <c r="X87" s="816" t="s">
        <v>198</v>
      </c>
      <c r="Y87" s="816" t="s">
        <v>198</v>
      </c>
      <c r="Z87" s="816" t="s">
        <v>198</v>
      </c>
      <c r="AA87" s="816" t="s">
        <v>198</v>
      </c>
      <c r="AB87" s="816" t="s">
        <v>198</v>
      </c>
      <c r="AC87" s="816" t="s">
        <v>198</v>
      </c>
      <c r="AD87" s="816" t="s">
        <v>198</v>
      </c>
      <c r="AE87" s="816" t="s">
        <v>198</v>
      </c>
      <c r="AF87" s="816" t="s">
        <v>198</v>
      </c>
      <c r="AG87" s="816" t="s">
        <v>198</v>
      </c>
      <c r="AH87" s="816" t="s">
        <v>198</v>
      </c>
      <c r="AI87" s="816" t="s">
        <v>198</v>
      </c>
      <c r="AJ87" s="816" t="s">
        <v>198</v>
      </c>
      <c r="AK87" s="816" t="s">
        <v>198</v>
      </c>
      <c r="AL87" s="816" t="s">
        <v>198</v>
      </c>
      <c r="AM87" s="816" t="s">
        <v>198</v>
      </c>
      <c r="AN87" s="816" t="s">
        <v>198</v>
      </c>
      <c r="AO87" s="816" t="s">
        <v>198</v>
      </c>
      <c r="AP87" s="816" t="s">
        <v>198</v>
      </c>
      <c r="AQ87" s="816" t="s">
        <v>198</v>
      </c>
      <c r="AR87" s="816" t="s">
        <v>198</v>
      </c>
      <c r="AS87" s="816" t="s">
        <v>198</v>
      </c>
      <c r="AT87" s="816" t="s">
        <v>198</v>
      </c>
      <c r="AU87" s="816" t="s">
        <v>198</v>
      </c>
      <c r="AV87" s="816" t="s">
        <v>198</v>
      </c>
      <c r="AW87" s="816" t="s">
        <v>198</v>
      </c>
      <c r="AX87" s="816" t="s">
        <v>198</v>
      </c>
      <c r="AY87" s="816" t="s">
        <v>198</v>
      </c>
      <c r="AZ87" s="816" t="s">
        <v>198</v>
      </c>
      <c r="BA87" s="816" t="s">
        <v>198</v>
      </c>
      <c r="BB87" s="816" t="s">
        <v>198</v>
      </c>
      <c r="BC87" s="816" t="s">
        <v>198</v>
      </c>
      <c r="BD87" s="816" t="s">
        <v>198</v>
      </c>
      <c r="BE87" s="816" t="s">
        <v>198</v>
      </c>
      <c r="BF87" s="816" t="s">
        <v>198</v>
      </c>
      <c r="BG87" s="816"/>
      <c r="BH87" s="816" t="s">
        <v>198</v>
      </c>
      <c r="BI87" s="816" t="s">
        <v>198</v>
      </c>
      <c r="BJ87" s="816" t="s">
        <v>198</v>
      </c>
      <c r="BK87" s="816" t="s">
        <v>198</v>
      </c>
      <c r="BM87" s="816" t="s">
        <v>198</v>
      </c>
      <c r="BN87" s="816" t="s">
        <v>198</v>
      </c>
      <c r="BO87" s="816" t="s">
        <v>198</v>
      </c>
      <c r="BP87" s="816" t="s">
        <v>198</v>
      </c>
      <c r="BQ87" s="816" t="s">
        <v>198</v>
      </c>
      <c r="BR87" s="816" t="s">
        <v>198</v>
      </c>
      <c r="BS87" s="816" t="s">
        <v>198</v>
      </c>
      <c r="BT87" s="816" t="s">
        <v>198</v>
      </c>
      <c r="BU87" s="816" t="s">
        <v>198</v>
      </c>
    </row>
    <row r="88" spans="1:73" ht="29" x14ac:dyDescent="0.35">
      <c r="A88" s="806" t="s">
        <v>711</v>
      </c>
      <c r="B88" s="806" t="s">
        <v>722</v>
      </c>
      <c r="C88" s="816" t="s">
        <v>198</v>
      </c>
      <c r="D88" s="816" t="s">
        <v>198</v>
      </c>
      <c r="E88" s="816" t="s">
        <v>198</v>
      </c>
      <c r="F88" s="816" t="s">
        <v>198</v>
      </c>
      <c r="G88" s="816" t="s">
        <v>198</v>
      </c>
      <c r="H88" s="816" t="s">
        <v>198</v>
      </c>
      <c r="I88" s="816" t="s">
        <v>198</v>
      </c>
      <c r="J88" s="816" t="s">
        <v>198</v>
      </c>
      <c r="K88" s="816" t="s">
        <v>198</v>
      </c>
      <c r="L88" s="816" t="s">
        <v>198</v>
      </c>
      <c r="M88" s="816" t="s">
        <v>198</v>
      </c>
      <c r="N88" s="816" t="s">
        <v>198</v>
      </c>
      <c r="O88" s="816" t="s">
        <v>198</v>
      </c>
      <c r="P88" s="816" t="s">
        <v>198</v>
      </c>
      <c r="Q88" s="816" t="s">
        <v>198</v>
      </c>
      <c r="R88" s="816" t="s">
        <v>198</v>
      </c>
      <c r="S88" s="816" t="s">
        <v>198</v>
      </c>
      <c r="T88" s="816" t="s">
        <v>198</v>
      </c>
      <c r="U88" s="816" t="s">
        <v>198</v>
      </c>
      <c r="V88" s="816" t="s">
        <v>198</v>
      </c>
      <c r="W88" s="816" t="s">
        <v>198</v>
      </c>
      <c r="X88" s="816" t="s">
        <v>198</v>
      </c>
      <c r="Y88" s="816" t="s">
        <v>198</v>
      </c>
      <c r="Z88" s="816" t="s">
        <v>198</v>
      </c>
      <c r="AA88" s="816" t="s">
        <v>198</v>
      </c>
      <c r="AB88" s="816" t="s">
        <v>198</v>
      </c>
      <c r="AC88" s="816" t="s">
        <v>198</v>
      </c>
      <c r="AD88" s="816" t="s">
        <v>198</v>
      </c>
      <c r="AE88" s="816" t="s">
        <v>198</v>
      </c>
      <c r="AF88" s="816" t="s">
        <v>198</v>
      </c>
      <c r="AG88" s="816" t="s">
        <v>198</v>
      </c>
      <c r="AH88" s="816" t="s">
        <v>198</v>
      </c>
      <c r="AI88" s="816" t="s">
        <v>198</v>
      </c>
      <c r="AJ88" s="816" t="s">
        <v>198</v>
      </c>
      <c r="AK88" s="816" t="s">
        <v>198</v>
      </c>
      <c r="AL88" s="816" t="s">
        <v>198</v>
      </c>
      <c r="AM88" s="816" t="s">
        <v>198</v>
      </c>
      <c r="AN88" s="816" t="s">
        <v>198</v>
      </c>
      <c r="AO88" s="816" t="s">
        <v>198</v>
      </c>
      <c r="AP88" s="816" t="s">
        <v>198</v>
      </c>
      <c r="AQ88" s="816" t="s">
        <v>198</v>
      </c>
      <c r="AR88" s="816" t="s">
        <v>198</v>
      </c>
      <c r="AS88" s="816" t="s">
        <v>198</v>
      </c>
      <c r="AT88" s="816" t="s">
        <v>198</v>
      </c>
      <c r="AU88" s="816" t="s">
        <v>198</v>
      </c>
      <c r="AV88" s="816" t="s">
        <v>198</v>
      </c>
      <c r="AW88" s="816" t="s">
        <v>198</v>
      </c>
      <c r="AX88" s="816" t="s">
        <v>198</v>
      </c>
      <c r="AY88" s="816" t="s">
        <v>198</v>
      </c>
      <c r="AZ88" s="816" t="s">
        <v>198</v>
      </c>
      <c r="BA88" s="816" t="s">
        <v>198</v>
      </c>
      <c r="BB88" s="816" t="s">
        <v>198</v>
      </c>
      <c r="BC88" s="816" t="s">
        <v>198</v>
      </c>
      <c r="BD88" s="816" t="s">
        <v>198</v>
      </c>
      <c r="BE88" s="816" t="s">
        <v>198</v>
      </c>
      <c r="BF88" s="816" t="s">
        <v>198</v>
      </c>
      <c r="BG88" s="816"/>
      <c r="BH88" s="816" t="s">
        <v>198</v>
      </c>
      <c r="BI88" s="816" t="s">
        <v>198</v>
      </c>
      <c r="BJ88" s="816" t="s">
        <v>198</v>
      </c>
      <c r="BK88" s="816" t="s">
        <v>198</v>
      </c>
      <c r="BM88" s="816" t="s">
        <v>198</v>
      </c>
      <c r="BN88" s="816" t="s">
        <v>198</v>
      </c>
      <c r="BO88" s="816" t="s">
        <v>198</v>
      </c>
      <c r="BP88" s="816" t="s">
        <v>198</v>
      </c>
      <c r="BQ88" s="816" t="s">
        <v>198</v>
      </c>
      <c r="BR88" s="816" t="s">
        <v>198</v>
      </c>
      <c r="BS88" s="816" t="s">
        <v>198</v>
      </c>
      <c r="BT88" s="816" t="s">
        <v>198</v>
      </c>
      <c r="BU88" s="816" t="s">
        <v>198</v>
      </c>
    </row>
    <row r="89" spans="1:73" x14ac:dyDescent="0.35">
      <c r="A89" s="806" t="s">
        <v>711</v>
      </c>
      <c r="B89" s="806" t="s">
        <v>721</v>
      </c>
      <c r="C89" s="816" t="s">
        <v>198</v>
      </c>
      <c r="D89" s="816" t="s">
        <v>198</v>
      </c>
      <c r="E89" s="816" t="s">
        <v>198</v>
      </c>
      <c r="F89" s="816" t="s">
        <v>198</v>
      </c>
      <c r="G89" s="816" t="s">
        <v>198</v>
      </c>
      <c r="H89" s="816" t="s">
        <v>198</v>
      </c>
      <c r="I89" s="816" t="s">
        <v>198</v>
      </c>
      <c r="J89" s="816" t="s">
        <v>198</v>
      </c>
      <c r="K89" s="816" t="s">
        <v>198</v>
      </c>
      <c r="L89" s="816" t="s">
        <v>198</v>
      </c>
      <c r="M89" s="816" t="s">
        <v>198</v>
      </c>
      <c r="N89" s="816" t="s">
        <v>198</v>
      </c>
      <c r="O89" s="816" t="s">
        <v>198</v>
      </c>
      <c r="P89" s="816" t="s">
        <v>198</v>
      </c>
      <c r="Q89" s="816" t="s">
        <v>198</v>
      </c>
      <c r="R89" s="816" t="s">
        <v>198</v>
      </c>
      <c r="S89" s="816" t="s">
        <v>198</v>
      </c>
      <c r="T89" s="816" t="s">
        <v>198</v>
      </c>
      <c r="U89" s="816" t="s">
        <v>198</v>
      </c>
      <c r="V89" s="816" t="s">
        <v>198</v>
      </c>
      <c r="W89" s="816" t="s">
        <v>198</v>
      </c>
      <c r="X89" s="816" t="s">
        <v>198</v>
      </c>
      <c r="Y89" s="816" t="s">
        <v>198</v>
      </c>
      <c r="Z89" s="816" t="s">
        <v>198</v>
      </c>
      <c r="AA89" s="816" t="s">
        <v>198</v>
      </c>
      <c r="AB89" s="816" t="s">
        <v>198</v>
      </c>
      <c r="AC89" s="816" t="s">
        <v>198</v>
      </c>
      <c r="AD89" s="816" t="s">
        <v>198</v>
      </c>
      <c r="AE89" s="816" t="s">
        <v>198</v>
      </c>
      <c r="AF89" s="816" t="s">
        <v>198</v>
      </c>
      <c r="AG89" s="816" t="s">
        <v>198</v>
      </c>
      <c r="AH89" s="816" t="s">
        <v>198</v>
      </c>
      <c r="AI89" s="816" t="s">
        <v>198</v>
      </c>
      <c r="AJ89" s="816" t="s">
        <v>198</v>
      </c>
      <c r="AK89" s="816" t="s">
        <v>198</v>
      </c>
      <c r="AL89" s="816" t="s">
        <v>198</v>
      </c>
      <c r="AM89" s="816" t="s">
        <v>198</v>
      </c>
      <c r="AN89" s="816" t="s">
        <v>198</v>
      </c>
      <c r="AO89" s="816" t="s">
        <v>198</v>
      </c>
      <c r="AP89" s="816" t="s">
        <v>198</v>
      </c>
      <c r="AQ89" s="816" t="s">
        <v>198</v>
      </c>
      <c r="AR89" s="816" t="s">
        <v>198</v>
      </c>
      <c r="AS89" s="816" t="s">
        <v>198</v>
      </c>
      <c r="AT89" s="816" t="s">
        <v>198</v>
      </c>
      <c r="AU89" s="816" t="s">
        <v>198</v>
      </c>
      <c r="AV89" s="816" t="s">
        <v>198</v>
      </c>
      <c r="AW89" s="816" t="s">
        <v>198</v>
      </c>
      <c r="AX89" s="816" t="s">
        <v>198</v>
      </c>
      <c r="AY89" s="816" t="s">
        <v>198</v>
      </c>
      <c r="AZ89" s="816" t="s">
        <v>198</v>
      </c>
      <c r="BA89" s="816" t="s">
        <v>198</v>
      </c>
      <c r="BB89" s="816" t="s">
        <v>198</v>
      </c>
      <c r="BC89" s="816" t="s">
        <v>198</v>
      </c>
      <c r="BD89" s="816" t="s">
        <v>198</v>
      </c>
      <c r="BE89" s="816" t="s">
        <v>198</v>
      </c>
      <c r="BF89" s="816" t="s">
        <v>198</v>
      </c>
      <c r="BG89" s="816"/>
      <c r="BH89" s="816" t="s">
        <v>198</v>
      </c>
      <c r="BI89" s="816" t="s">
        <v>198</v>
      </c>
      <c r="BJ89" s="816" t="s">
        <v>198</v>
      </c>
      <c r="BK89" s="816" t="s">
        <v>198</v>
      </c>
      <c r="BM89" s="816" t="s">
        <v>198</v>
      </c>
      <c r="BN89" s="816" t="s">
        <v>198</v>
      </c>
      <c r="BO89" s="816" t="s">
        <v>198</v>
      </c>
      <c r="BP89" s="816" t="s">
        <v>198</v>
      </c>
      <c r="BQ89" s="816" t="s">
        <v>198</v>
      </c>
      <c r="BR89" s="816" t="s">
        <v>198</v>
      </c>
      <c r="BS89" s="816" t="s">
        <v>198</v>
      </c>
      <c r="BT89" s="816" t="s">
        <v>198</v>
      </c>
      <c r="BU89" s="816" t="s">
        <v>198</v>
      </c>
    </row>
    <row r="90" spans="1:73" x14ac:dyDescent="0.35">
      <c r="A90" s="806" t="s">
        <v>711</v>
      </c>
      <c r="B90" s="806" t="s">
        <v>712</v>
      </c>
      <c r="C90" s="816" t="b">
        <v>1</v>
      </c>
      <c r="D90" s="816" t="b">
        <v>1</v>
      </c>
      <c r="E90" s="816" t="b">
        <v>1</v>
      </c>
      <c r="F90" s="816" t="b">
        <v>1</v>
      </c>
      <c r="G90" s="816" t="b">
        <v>1</v>
      </c>
      <c r="H90" s="816" t="b">
        <v>1</v>
      </c>
      <c r="I90" s="816" t="b">
        <v>1</v>
      </c>
      <c r="J90" s="816" t="b">
        <v>1</v>
      </c>
      <c r="K90" s="816" t="b">
        <v>1</v>
      </c>
      <c r="L90" s="816" t="b">
        <v>1</v>
      </c>
      <c r="M90" s="816" t="b">
        <v>1</v>
      </c>
      <c r="N90" s="816" t="b">
        <v>1</v>
      </c>
      <c r="O90" s="816" t="b">
        <v>1</v>
      </c>
      <c r="P90" s="816" t="b">
        <v>1</v>
      </c>
      <c r="Q90" s="816" t="b">
        <v>1</v>
      </c>
      <c r="R90" s="816" t="b">
        <v>1</v>
      </c>
      <c r="S90" s="816" t="b">
        <v>1</v>
      </c>
      <c r="T90" s="816" t="b">
        <v>1</v>
      </c>
      <c r="U90" s="816" t="b">
        <v>1</v>
      </c>
      <c r="V90" s="816" t="b">
        <v>1</v>
      </c>
      <c r="W90" s="816" t="b">
        <v>1</v>
      </c>
      <c r="X90" s="816" t="b">
        <v>1</v>
      </c>
      <c r="Y90" s="816" t="b">
        <v>1</v>
      </c>
      <c r="Z90" s="816" t="b">
        <v>1</v>
      </c>
      <c r="AA90" s="816" t="b">
        <v>1</v>
      </c>
      <c r="AB90" s="816" t="b">
        <v>1</v>
      </c>
      <c r="AC90" s="816" t="b">
        <v>1</v>
      </c>
      <c r="AD90" s="816" t="b">
        <v>1</v>
      </c>
      <c r="AE90" s="816" t="b">
        <v>1</v>
      </c>
      <c r="AF90" s="816" t="b">
        <v>1</v>
      </c>
      <c r="AG90" s="816" t="b">
        <v>1</v>
      </c>
      <c r="AH90" s="816" t="b">
        <v>1</v>
      </c>
      <c r="AI90" s="816" t="b">
        <v>1</v>
      </c>
      <c r="AJ90" s="816" t="b">
        <v>1</v>
      </c>
      <c r="AK90" s="816" t="b">
        <v>1</v>
      </c>
      <c r="AL90" s="816" t="b">
        <v>1</v>
      </c>
      <c r="AM90" s="816" t="b">
        <v>1</v>
      </c>
      <c r="AN90" s="816" t="b">
        <v>1</v>
      </c>
      <c r="AO90" s="816" t="b">
        <v>1</v>
      </c>
      <c r="AP90" s="816" t="b">
        <v>1</v>
      </c>
      <c r="AQ90" s="816" t="b">
        <v>1</v>
      </c>
      <c r="AR90" s="816" t="b">
        <v>1</v>
      </c>
      <c r="AS90" s="816" t="b">
        <v>1</v>
      </c>
      <c r="AT90" s="816" t="b">
        <v>1</v>
      </c>
      <c r="AU90" s="816" t="b">
        <v>1</v>
      </c>
      <c r="AV90" s="816" t="b">
        <v>1</v>
      </c>
      <c r="AW90" s="816" t="b">
        <v>1</v>
      </c>
      <c r="AX90" s="816" t="b">
        <v>1</v>
      </c>
      <c r="AY90" s="816" t="b">
        <v>1</v>
      </c>
      <c r="AZ90" s="816" t="b">
        <v>1</v>
      </c>
      <c r="BA90" s="816" t="b">
        <v>1</v>
      </c>
      <c r="BB90" s="816" t="b">
        <v>1</v>
      </c>
      <c r="BC90" s="816" t="b">
        <v>1</v>
      </c>
      <c r="BD90" s="816" t="b">
        <v>1</v>
      </c>
      <c r="BE90" s="816" t="b">
        <v>1</v>
      </c>
      <c r="BF90" s="816" t="b">
        <v>1</v>
      </c>
      <c r="BG90" s="816"/>
      <c r="BH90" s="816" t="b">
        <v>1</v>
      </c>
      <c r="BI90" s="816" t="b">
        <v>1</v>
      </c>
      <c r="BJ90" s="816" t="b">
        <v>1</v>
      </c>
      <c r="BK90" s="816" t="b">
        <v>1</v>
      </c>
      <c r="BM90" s="816" t="b">
        <v>1</v>
      </c>
      <c r="BN90" s="816" t="b">
        <v>1</v>
      </c>
      <c r="BO90" s="816" t="b">
        <v>1</v>
      </c>
      <c r="BP90" s="816" t="b">
        <v>1</v>
      </c>
      <c r="BQ90" s="816" t="b">
        <v>1</v>
      </c>
      <c r="BR90" s="816" t="b">
        <v>1</v>
      </c>
      <c r="BS90" s="816" t="b">
        <v>1</v>
      </c>
      <c r="BT90" s="816" t="b">
        <v>1</v>
      </c>
      <c r="BU90" s="816" t="b">
        <v>1</v>
      </c>
    </row>
    <row r="91" spans="1:73" ht="29" x14ac:dyDescent="0.35">
      <c r="A91" s="806" t="s">
        <v>711</v>
      </c>
      <c r="B91" s="806" t="s">
        <v>713</v>
      </c>
      <c r="C91" s="816" t="s">
        <v>198</v>
      </c>
      <c r="D91" s="816" t="s">
        <v>198</v>
      </c>
      <c r="E91" s="816" t="s">
        <v>198</v>
      </c>
      <c r="F91" s="816" t="s">
        <v>198</v>
      </c>
      <c r="G91" s="816" t="s">
        <v>198</v>
      </c>
      <c r="H91" s="816" t="s">
        <v>198</v>
      </c>
      <c r="I91" s="816" t="s">
        <v>198</v>
      </c>
      <c r="J91" s="816" t="s">
        <v>198</v>
      </c>
      <c r="K91" s="816" t="s">
        <v>198</v>
      </c>
      <c r="L91" s="816" t="s">
        <v>198</v>
      </c>
      <c r="M91" s="816" t="s">
        <v>198</v>
      </c>
      <c r="N91" s="816" t="s">
        <v>198</v>
      </c>
      <c r="O91" s="816" t="s">
        <v>198</v>
      </c>
      <c r="P91" s="816" t="s">
        <v>198</v>
      </c>
      <c r="Q91" s="816" t="s">
        <v>198</v>
      </c>
      <c r="R91" s="816" t="s">
        <v>198</v>
      </c>
      <c r="S91" s="816" t="s">
        <v>198</v>
      </c>
      <c r="T91" s="816" t="s">
        <v>198</v>
      </c>
      <c r="U91" s="816" t="s">
        <v>198</v>
      </c>
      <c r="V91" s="816" t="s">
        <v>198</v>
      </c>
      <c r="W91" s="816" t="s">
        <v>198</v>
      </c>
      <c r="X91" s="816" t="s">
        <v>198</v>
      </c>
      <c r="Y91" s="816" t="s">
        <v>198</v>
      </c>
      <c r="Z91" s="816" t="s">
        <v>198</v>
      </c>
      <c r="AA91" s="816" t="s">
        <v>198</v>
      </c>
      <c r="AB91" s="816" t="s">
        <v>198</v>
      </c>
      <c r="AC91" s="816" t="s">
        <v>198</v>
      </c>
      <c r="AD91" s="816" t="s">
        <v>198</v>
      </c>
      <c r="AE91" s="816" t="s">
        <v>198</v>
      </c>
      <c r="AF91" s="816" t="s">
        <v>198</v>
      </c>
      <c r="AG91" s="816" t="s">
        <v>198</v>
      </c>
      <c r="AH91" s="816" t="s">
        <v>198</v>
      </c>
      <c r="AI91" s="816" t="s">
        <v>198</v>
      </c>
      <c r="AJ91" s="816" t="s">
        <v>198</v>
      </c>
      <c r="AK91" s="816" t="s">
        <v>198</v>
      </c>
      <c r="AL91" s="816" t="s">
        <v>198</v>
      </c>
      <c r="AM91" s="816" t="s">
        <v>198</v>
      </c>
      <c r="AN91" s="816" t="s">
        <v>198</v>
      </c>
      <c r="AO91" s="816" t="s">
        <v>198</v>
      </c>
      <c r="AP91" s="816" t="s">
        <v>198</v>
      </c>
      <c r="AQ91" s="816" t="s">
        <v>198</v>
      </c>
      <c r="AR91" s="816" t="s">
        <v>198</v>
      </c>
      <c r="AS91" s="816" t="s">
        <v>198</v>
      </c>
      <c r="AT91" s="816" t="s">
        <v>198</v>
      </c>
      <c r="AU91" s="816" t="s">
        <v>198</v>
      </c>
      <c r="AV91" s="816" t="s">
        <v>198</v>
      </c>
      <c r="AW91" s="816" t="s">
        <v>198</v>
      </c>
      <c r="AX91" s="816" t="s">
        <v>198</v>
      </c>
      <c r="AY91" s="816" t="s">
        <v>198</v>
      </c>
      <c r="AZ91" s="816" t="s">
        <v>198</v>
      </c>
      <c r="BA91" s="816" t="s">
        <v>198</v>
      </c>
      <c r="BB91" s="816" t="s">
        <v>198</v>
      </c>
      <c r="BC91" s="816" t="s">
        <v>198</v>
      </c>
      <c r="BD91" s="816" t="s">
        <v>198</v>
      </c>
      <c r="BE91" s="816" t="s">
        <v>198</v>
      </c>
      <c r="BF91" s="816" t="s">
        <v>198</v>
      </c>
      <c r="BG91" s="816"/>
      <c r="BH91" s="816" t="s">
        <v>198</v>
      </c>
      <c r="BI91" s="816" t="s">
        <v>198</v>
      </c>
      <c r="BJ91" s="816" t="s">
        <v>198</v>
      </c>
      <c r="BK91" s="816" t="s">
        <v>198</v>
      </c>
      <c r="BM91" s="816" t="s">
        <v>198</v>
      </c>
      <c r="BN91" s="816" t="s">
        <v>198</v>
      </c>
      <c r="BO91" s="816" t="s">
        <v>198</v>
      </c>
      <c r="BP91" s="816" t="s">
        <v>198</v>
      </c>
      <c r="BQ91" s="816" t="s">
        <v>198</v>
      </c>
      <c r="BR91" s="816" t="s">
        <v>198</v>
      </c>
      <c r="BS91" s="816" t="s">
        <v>198</v>
      </c>
      <c r="BT91" s="816" t="s">
        <v>198</v>
      </c>
      <c r="BU91" s="816" t="s">
        <v>198</v>
      </c>
    </row>
    <row r="92" spans="1:73" x14ac:dyDescent="0.35">
      <c r="A92" s="806" t="s">
        <v>711</v>
      </c>
      <c r="B92" s="806" t="s">
        <v>726</v>
      </c>
      <c r="C92" s="816" t="s">
        <v>198</v>
      </c>
      <c r="D92" s="816" t="s">
        <v>198</v>
      </c>
      <c r="E92" s="816" t="s">
        <v>198</v>
      </c>
      <c r="F92" s="816" t="s">
        <v>198</v>
      </c>
      <c r="G92" s="816" t="s">
        <v>198</v>
      </c>
      <c r="H92" s="816" t="s">
        <v>198</v>
      </c>
      <c r="I92" s="816" t="s">
        <v>198</v>
      </c>
      <c r="J92" s="816" t="s">
        <v>198</v>
      </c>
      <c r="K92" s="816" t="s">
        <v>198</v>
      </c>
      <c r="L92" s="816" t="s">
        <v>198</v>
      </c>
      <c r="M92" s="816" t="s">
        <v>198</v>
      </c>
      <c r="N92" s="816" t="s">
        <v>198</v>
      </c>
      <c r="O92" s="816" t="s">
        <v>198</v>
      </c>
      <c r="P92" s="816" t="s">
        <v>198</v>
      </c>
      <c r="Q92" s="816" t="s">
        <v>198</v>
      </c>
      <c r="R92" s="816" t="s">
        <v>198</v>
      </c>
      <c r="S92" s="816" t="s">
        <v>198</v>
      </c>
      <c r="T92" s="816" t="s">
        <v>198</v>
      </c>
      <c r="U92" s="816" t="s">
        <v>198</v>
      </c>
      <c r="V92" s="816" t="s">
        <v>198</v>
      </c>
      <c r="W92" s="816" t="s">
        <v>198</v>
      </c>
      <c r="X92" s="816" t="s">
        <v>198</v>
      </c>
      <c r="Y92" s="816" t="s">
        <v>198</v>
      </c>
      <c r="Z92" s="816" t="s">
        <v>198</v>
      </c>
      <c r="AA92" s="816" t="s">
        <v>198</v>
      </c>
      <c r="AB92" s="816" t="s">
        <v>198</v>
      </c>
      <c r="AC92" s="816" t="s">
        <v>198</v>
      </c>
      <c r="AD92" s="816" t="s">
        <v>198</v>
      </c>
      <c r="AE92" s="816" t="s">
        <v>198</v>
      </c>
      <c r="AF92" s="816" t="s">
        <v>198</v>
      </c>
      <c r="AG92" s="816" t="s">
        <v>198</v>
      </c>
      <c r="AH92" s="816" t="s">
        <v>198</v>
      </c>
      <c r="AI92" s="816" t="s">
        <v>198</v>
      </c>
      <c r="AJ92" s="816" t="s">
        <v>198</v>
      </c>
      <c r="AK92" s="816" t="s">
        <v>198</v>
      </c>
      <c r="AL92" s="816" t="s">
        <v>198</v>
      </c>
      <c r="AM92" s="816" t="s">
        <v>198</v>
      </c>
      <c r="AN92" s="816" t="s">
        <v>198</v>
      </c>
      <c r="AO92" s="816" t="s">
        <v>198</v>
      </c>
      <c r="AP92" s="816" t="s">
        <v>198</v>
      </c>
      <c r="AQ92" s="816" t="s">
        <v>198</v>
      </c>
      <c r="AR92" s="816" t="s">
        <v>198</v>
      </c>
      <c r="AS92" s="816" t="s">
        <v>198</v>
      </c>
      <c r="AT92" s="816" t="s">
        <v>198</v>
      </c>
      <c r="AU92" s="816" t="s">
        <v>198</v>
      </c>
      <c r="AV92" s="816" t="s">
        <v>198</v>
      </c>
      <c r="AW92" s="816" t="s">
        <v>198</v>
      </c>
      <c r="AX92" s="816" t="s">
        <v>198</v>
      </c>
      <c r="AY92" s="816" t="s">
        <v>198</v>
      </c>
      <c r="AZ92" s="816" t="s">
        <v>198</v>
      </c>
      <c r="BA92" s="816" t="s">
        <v>198</v>
      </c>
      <c r="BB92" s="816" t="s">
        <v>198</v>
      </c>
      <c r="BC92" s="816" t="s">
        <v>198</v>
      </c>
      <c r="BD92" s="816" t="s">
        <v>198</v>
      </c>
      <c r="BE92" s="816" t="s">
        <v>198</v>
      </c>
      <c r="BF92" s="816" t="s">
        <v>198</v>
      </c>
      <c r="BG92" s="816"/>
      <c r="BH92" s="816" t="s">
        <v>198</v>
      </c>
      <c r="BI92" s="816" t="s">
        <v>198</v>
      </c>
      <c r="BJ92" s="816" t="s">
        <v>198</v>
      </c>
      <c r="BK92" s="816" t="s">
        <v>198</v>
      </c>
      <c r="BM92" s="816" t="s">
        <v>198</v>
      </c>
      <c r="BN92" s="816" t="s">
        <v>198</v>
      </c>
      <c r="BO92" s="816" t="s">
        <v>198</v>
      </c>
      <c r="BP92" s="816" t="s">
        <v>198</v>
      </c>
      <c r="BQ92" s="816" t="s">
        <v>198</v>
      </c>
      <c r="BR92" s="816" t="s">
        <v>198</v>
      </c>
      <c r="BS92" s="816" t="s">
        <v>198</v>
      </c>
      <c r="BT92" s="816" t="s">
        <v>198</v>
      </c>
      <c r="BU92" s="816" t="s">
        <v>198</v>
      </c>
    </row>
    <row r="93" spans="1:73" x14ac:dyDescent="0.35">
      <c r="A93" s="806" t="s">
        <v>711</v>
      </c>
      <c r="B93" s="806" t="s">
        <v>724</v>
      </c>
      <c r="C93" s="816" t="s">
        <v>198</v>
      </c>
      <c r="D93" s="816" t="s">
        <v>198</v>
      </c>
      <c r="E93" s="816" t="s">
        <v>198</v>
      </c>
      <c r="F93" s="816" t="s">
        <v>198</v>
      </c>
      <c r="G93" s="816" t="s">
        <v>198</v>
      </c>
      <c r="H93" s="816" t="s">
        <v>198</v>
      </c>
      <c r="I93" s="816" t="s">
        <v>198</v>
      </c>
      <c r="J93" s="816" t="s">
        <v>198</v>
      </c>
      <c r="K93" s="816" t="s">
        <v>198</v>
      </c>
      <c r="L93" s="816" t="s">
        <v>198</v>
      </c>
      <c r="M93" s="816" t="s">
        <v>198</v>
      </c>
      <c r="N93" s="816" t="s">
        <v>198</v>
      </c>
      <c r="O93" s="816" t="s">
        <v>198</v>
      </c>
      <c r="P93" s="816" t="s">
        <v>198</v>
      </c>
      <c r="Q93" s="816" t="s">
        <v>198</v>
      </c>
      <c r="R93" s="816" t="s">
        <v>198</v>
      </c>
      <c r="S93" s="816" t="s">
        <v>198</v>
      </c>
      <c r="T93" s="816" t="s">
        <v>198</v>
      </c>
      <c r="U93" s="816" t="s">
        <v>198</v>
      </c>
      <c r="V93" s="816" t="s">
        <v>198</v>
      </c>
      <c r="W93" s="816" t="s">
        <v>198</v>
      </c>
      <c r="X93" s="816" t="s">
        <v>198</v>
      </c>
      <c r="Y93" s="816" t="s">
        <v>198</v>
      </c>
      <c r="Z93" s="816" t="s">
        <v>198</v>
      </c>
      <c r="AA93" s="816" t="s">
        <v>198</v>
      </c>
      <c r="AB93" s="816" t="s">
        <v>198</v>
      </c>
      <c r="AC93" s="816" t="s">
        <v>198</v>
      </c>
      <c r="AD93" s="816" t="s">
        <v>198</v>
      </c>
      <c r="AE93" s="816" t="s">
        <v>198</v>
      </c>
      <c r="AF93" s="816" t="s">
        <v>198</v>
      </c>
      <c r="AG93" s="816" t="s">
        <v>198</v>
      </c>
      <c r="AH93" s="816" t="s">
        <v>198</v>
      </c>
      <c r="AI93" s="816" t="s">
        <v>198</v>
      </c>
      <c r="AJ93" s="816" t="s">
        <v>198</v>
      </c>
      <c r="AK93" s="816" t="s">
        <v>198</v>
      </c>
      <c r="AL93" s="816" t="s">
        <v>198</v>
      </c>
      <c r="AM93" s="816" t="s">
        <v>198</v>
      </c>
      <c r="AN93" s="816" t="s">
        <v>198</v>
      </c>
      <c r="AO93" s="816" t="s">
        <v>198</v>
      </c>
      <c r="AP93" s="816" t="s">
        <v>198</v>
      </c>
      <c r="AQ93" s="816" t="s">
        <v>198</v>
      </c>
      <c r="AR93" s="816" t="s">
        <v>198</v>
      </c>
      <c r="AS93" s="816" t="s">
        <v>198</v>
      </c>
      <c r="AT93" s="816" t="s">
        <v>198</v>
      </c>
      <c r="AU93" s="816" t="s">
        <v>198</v>
      </c>
      <c r="AV93" s="816" t="s">
        <v>198</v>
      </c>
      <c r="AW93" s="816" t="s">
        <v>198</v>
      </c>
      <c r="AX93" s="816" t="s">
        <v>198</v>
      </c>
      <c r="AY93" s="816" t="s">
        <v>198</v>
      </c>
      <c r="AZ93" s="816" t="s">
        <v>198</v>
      </c>
      <c r="BA93" s="816" t="s">
        <v>198</v>
      </c>
      <c r="BB93" s="816" t="s">
        <v>198</v>
      </c>
      <c r="BC93" s="816" t="s">
        <v>198</v>
      </c>
      <c r="BD93" s="816" t="s">
        <v>198</v>
      </c>
      <c r="BE93" s="816" t="s">
        <v>198</v>
      </c>
      <c r="BF93" s="816" t="s">
        <v>198</v>
      </c>
      <c r="BG93" s="816"/>
      <c r="BH93" s="816" t="s">
        <v>198</v>
      </c>
      <c r="BI93" s="816" t="s">
        <v>198</v>
      </c>
      <c r="BJ93" s="816" t="s">
        <v>198</v>
      </c>
      <c r="BK93" s="816" t="s">
        <v>198</v>
      </c>
      <c r="BM93" s="816" t="s">
        <v>198</v>
      </c>
      <c r="BN93" s="816" t="s">
        <v>198</v>
      </c>
      <c r="BO93" s="816" t="s">
        <v>198</v>
      </c>
      <c r="BP93" s="816" t="s">
        <v>198</v>
      </c>
      <c r="BQ93" s="816" t="s">
        <v>198</v>
      </c>
      <c r="BR93" s="816" t="s">
        <v>198</v>
      </c>
      <c r="BS93" s="816" t="s">
        <v>198</v>
      </c>
      <c r="BT93" s="816" t="s">
        <v>198</v>
      </c>
      <c r="BU93" s="816" t="s">
        <v>198</v>
      </c>
    </row>
    <row r="94" spans="1:73" x14ac:dyDescent="0.35">
      <c r="A94" s="806" t="s">
        <v>711</v>
      </c>
      <c r="B94" s="806" t="s">
        <v>1060</v>
      </c>
      <c r="C94" s="806"/>
      <c r="D94" s="806"/>
      <c r="E94" s="806"/>
      <c r="F94" s="806"/>
      <c r="H94" s="816" t="s">
        <v>198</v>
      </c>
      <c r="I94" s="816"/>
      <c r="J94" s="816"/>
      <c r="K94" s="816"/>
      <c r="M94" s="816"/>
      <c r="N94" s="816"/>
      <c r="O94" s="816" t="s">
        <v>198</v>
      </c>
      <c r="P94" s="816" t="s">
        <v>198</v>
      </c>
      <c r="Q94" s="816"/>
      <c r="R94" s="816" t="s">
        <v>198</v>
      </c>
      <c r="S94" s="816" t="s">
        <v>198</v>
      </c>
      <c r="T94" s="816" t="s">
        <v>198</v>
      </c>
      <c r="U94" s="816"/>
      <c r="V94" s="816" t="s">
        <v>198</v>
      </c>
      <c r="W94" s="816" t="s">
        <v>198</v>
      </c>
      <c r="X94" s="816" t="s">
        <v>198</v>
      </c>
      <c r="Y94" s="816" t="s">
        <v>198</v>
      </c>
      <c r="Z94" s="816"/>
      <c r="AC94" s="816"/>
      <c r="AD94" s="816"/>
      <c r="AE94" s="816"/>
      <c r="AF94" s="816"/>
      <c r="AG94" s="816" t="s">
        <v>198</v>
      </c>
      <c r="AI94" s="816" t="s">
        <v>198</v>
      </c>
      <c r="AJ94" s="816"/>
      <c r="AK94" s="816" t="s">
        <v>198</v>
      </c>
      <c r="AL94" s="816" t="s">
        <v>198</v>
      </c>
      <c r="AM94" s="816" t="s">
        <v>198</v>
      </c>
      <c r="AN94" s="816"/>
      <c r="AO94" s="816" t="s">
        <v>198</v>
      </c>
      <c r="AP94" s="816" t="s">
        <v>198</v>
      </c>
      <c r="AQ94" s="816"/>
      <c r="AR94" s="816" t="s">
        <v>198</v>
      </c>
      <c r="AS94" s="816" t="s">
        <v>198</v>
      </c>
      <c r="AT94" s="816" t="s">
        <v>198</v>
      </c>
      <c r="AU94" s="816" t="s">
        <v>198</v>
      </c>
      <c r="AV94" s="816" t="s">
        <v>198</v>
      </c>
      <c r="AW94" s="816"/>
      <c r="AX94" s="816"/>
      <c r="AY94" s="816" t="s">
        <v>198</v>
      </c>
      <c r="AZ94" s="816" t="s">
        <v>198</v>
      </c>
      <c r="BA94" s="816"/>
      <c r="BB94" s="816" t="s">
        <v>198</v>
      </c>
      <c r="BC94" s="816"/>
      <c r="BD94" s="816"/>
      <c r="BE94" s="816" t="s">
        <v>198</v>
      </c>
      <c r="BF94" s="816"/>
      <c r="BG94" s="816"/>
      <c r="BH94" s="816" t="s">
        <v>198</v>
      </c>
      <c r="BI94" s="816"/>
      <c r="BJ94" s="816"/>
      <c r="BM94" s="816" t="s">
        <v>198</v>
      </c>
      <c r="BN94" s="816"/>
      <c r="BO94" s="816" t="s">
        <v>198</v>
      </c>
      <c r="BP94" s="816" t="s">
        <v>198</v>
      </c>
      <c r="BQ94" s="816"/>
      <c r="BR94" s="816"/>
      <c r="BS94" s="816" t="s">
        <v>198</v>
      </c>
      <c r="BT94" s="816" t="s">
        <v>198</v>
      </c>
      <c r="BU94" s="816"/>
    </row>
    <row r="95" spans="1:73" ht="29" x14ac:dyDescent="0.35">
      <c r="A95" s="806" t="s">
        <v>711</v>
      </c>
      <c r="B95" s="806" t="s">
        <v>792</v>
      </c>
      <c r="C95" s="817"/>
      <c r="D95" s="817"/>
      <c r="E95" s="817"/>
      <c r="F95" s="817"/>
      <c r="H95" s="816"/>
      <c r="I95" s="816"/>
      <c r="J95" s="816"/>
      <c r="K95" s="816"/>
      <c r="L95" s="817"/>
      <c r="M95" s="816"/>
      <c r="N95" s="816"/>
      <c r="O95" s="816" t="s">
        <v>503</v>
      </c>
      <c r="P95" s="816" t="s">
        <v>503</v>
      </c>
      <c r="Q95" s="816"/>
      <c r="R95" s="816" t="s">
        <v>503</v>
      </c>
      <c r="S95" s="816" t="s">
        <v>503</v>
      </c>
      <c r="T95" s="816" t="s">
        <v>503</v>
      </c>
      <c r="U95" s="816"/>
      <c r="V95" s="816" t="s">
        <v>503</v>
      </c>
      <c r="W95" s="816" t="s">
        <v>503</v>
      </c>
      <c r="X95" s="816" t="s">
        <v>503</v>
      </c>
      <c r="Y95" s="816" t="s">
        <v>503</v>
      </c>
      <c r="Z95" s="816"/>
      <c r="AA95" s="816"/>
      <c r="AB95" s="817"/>
      <c r="AC95" s="816"/>
      <c r="AD95" s="816"/>
      <c r="AE95" s="816"/>
      <c r="AF95" s="816"/>
      <c r="AG95" s="816" t="s">
        <v>503</v>
      </c>
      <c r="AH95" s="817"/>
      <c r="AI95" s="816" t="s">
        <v>503</v>
      </c>
      <c r="AJ95" s="816"/>
      <c r="AK95" s="816" t="s">
        <v>503</v>
      </c>
      <c r="AL95" s="816" t="s">
        <v>503</v>
      </c>
      <c r="AM95" s="816"/>
      <c r="AN95" s="816"/>
      <c r="AO95" s="816"/>
      <c r="AP95" s="816" t="s">
        <v>503</v>
      </c>
      <c r="AQ95" s="816"/>
      <c r="AR95" s="816" t="s">
        <v>503</v>
      </c>
      <c r="AS95" s="816"/>
      <c r="AT95" s="816"/>
      <c r="AU95" s="816"/>
      <c r="AV95" s="816"/>
      <c r="AW95" s="816"/>
      <c r="AX95" s="816"/>
      <c r="AY95" s="816" t="s">
        <v>503</v>
      </c>
      <c r="AZ95" s="816"/>
      <c r="BA95" s="816"/>
      <c r="BB95" s="816" t="s">
        <v>198</v>
      </c>
      <c r="BC95" s="816"/>
      <c r="BD95" s="816"/>
      <c r="BE95" s="816" t="s">
        <v>503</v>
      </c>
      <c r="BF95" s="816"/>
      <c r="BG95" s="816"/>
      <c r="BH95" s="816" t="s">
        <v>503</v>
      </c>
      <c r="BI95" s="816"/>
      <c r="BJ95" s="816"/>
      <c r="BK95" s="816"/>
      <c r="BM95" s="816"/>
      <c r="BN95" s="816"/>
      <c r="BO95" s="816" t="s">
        <v>503</v>
      </c>
      <c r="BP95" s="816"/>
      <c r="BQ95" s="816"/>
      <c r="BR95" s="816"/>
      <c r="BS95" s="816" t="s">
        <v>503</v>
      </c>
      <c r="BT95" s="816" t="s">
        <v>503</v>
      </c>
      <c r="BU95" s="816"/>
    </row>
    <row r="96" spans="1:73" x14ac:dyDescent="0.35">
      <c r="A96" s="806" t="s">
        <v>711</v>
      </c>
      <c r="B96" s="806" t="s">
        <v>1059</v>
      </c>
      <c r="C96" s="806"/>
      <c r="D96" s="806"/>
      <c r="E96" s="806"/>
      <c r="F96" s="806"/>
      <c r="H96" s="816" t="s">
        <v>198</v>
      </c>
      <c r="I96" s="816"/>
      <c r="J96" s="816"/>
      <c r="K96" s="816"/>
      <c r="M96" s="816"/>
      <c r="N96" s="816"/>
      <c r="O96" s="816" t="s">
        <v>198</v>
      </c>
      <c r="P96" s="816" t="s">
        <v>198</v>
      </c>
      <c r="Q96" s="816"/>
      <c r="R96" s="816" t="s">
        <v>198</v>
      </c>
      <c r="S96" s="816" t="s">
        <v>198</v>
      </c>
      <c r="T96" s="816" t="s">
        <v>198</v>
      </c>
      <c r="U96" s="816"/>
      <c r="V96" s="816" t="s">
        <v>198</v>
      </c>
      <c r="W96" s="816" t="s">
        <v>198</v>
      </c>
      <c r="X96" s="816" t="s">
        <v>198</v>
      </c>
      <c r="Y96" s="816" t="s">
        <v>198</v>
      </c>
      <c r="Z96" s="816"/>
      <c r="AC96" s="816"/>
      <c r="AD96" s="816"/>
      <c r="AE96" s="816"/>
      <c r="AF96" s="816"/>
      <c r="AG96" s="816" t="s">
        <v>198</v>
      </c>
      <c r="AI96" s="816" t="s">
        <v>198</v>
      </c>
      <c r="AJ96" s="816"/>
      <c r="AK96" s="816" t="s">
        <v>198</v>
      </c>
      <c r="AL96" s="816" t="s">
        <v>198</v>
      </c>
      <c r="AM96" s="816" t="s">
        <v>198</v>
      </c>
      <c r="AN96" s="816"/>
      <c r="AO96" s="816" t="s">
        <v>198</v>
      </c>
      <c r="AP96" s="816" t="s">
        <v>198</v>
      </c>
      <c r="AQ96" s="816"/>
      <c r="AR96" s="816" t="s">
        <v>198</v>
      </c>
      <c r="AS96" s="816" t="s">
        <v>198</v>
      </c>
      <c r="AT96" s="816" t="s">
        <v>198</v>
      </c>
      <c r="AU96" s="816" t="s">
        <v>198</v>
      </c>
      <c r="AV96" s="816" t="s">
        <v>198</v>
      </c>
      <c r="AW96" s="816"/>
      <c r="AX96" s="816"/>
      <c r="AY96" s="816" t="s">
        <v>198</v>
      </c>
      <c r="AZ96" s="816" t="s">
        <v>198</v>
      </c>
      <c r="BA96" s="816"/>
      <c r="BB96" s="816" t="s">
        <v>198</v>
      </c>
      <c r="BC96" s="816"/>
      <c r="BD96" s="816"/>
      <c r="BE96" s="816" t="s">
        <v>198</v>
      </c>
      <c r="BF96" s="816"/>
      <c r="BG96" s="816"/>
      <c r="BH96" s="816" t="s">
        <v>198</v>
      </c>
      <c r="BI96" s="816"/>
      <c r="BJ96" s="816"/>
      <c r="BM96" s="816" t="s">
        <v>198</v>
      </c>
      <c r="BN96" s="816"/>
      <c r="BO96" s="816" t="s">
        <v>198</v>
      </c>
      <c r="BP96" s="816" t="s">
        <v>198</v>
      </c>
      <c r="BQ96" s="816"/>
      <c r="BR96" s="816"/>
      <c r="BS96" s="816" t="s">
        <v>198</v>
      </c>
      <c r="BT96" s="816" t="s">
        <v>198</v>
      </c>
      <c r="BU96" s="816"/>
    </row>
    <row r="97" spans="1:73" x14ac:dyDescent="0.35">
      <c r="A97" s="806" t="s">
        <v>711</v>
      </c>
      <c r="B97" s="806" t="s">
        <v>1061</v>
      </c>
      <c r="C97" s="806"/>
      <c r="D97" s="806"/>
      <c r="E97" s="806"/>
      <c r="F97" s="806"/>
      <c r="H97" s="816"/>
      <c r="I97" s="816"/>
      <c r="J97" s="816"/>
      <c r="K97" s="816"/>
      <c r="M97" s="816"/>
      <c r="N97" s="816"/>
      <c r="O97" s="816" t="s">
        <v>503</v>
      </c>
      <c r="P97" s="816" t="s">
        <v>503</v>
      </c>
      <c r="Q97" s="816"/>
      <c r="R97" s="816" t="s">
        <v>503</v>
      </c>
      <c r="S97" s="816" t="s">
        <v>503</v>
      </c>
      <c r="T97" s="816" t="s">
        <v>503</v>
      </c>
      <c r="U97" s="816"/>
      <c r="V97" s="816" t="s">
        <v>503</v>
      </c>
      <c r="W97" s="816" t="s">
        <v>503</v>
      </c>
      <c r="X97" s="816" t="s">
        <v>198</v>
      </c>
      <c r="Y97" s="816" t="s">
        <v>503</v>
      </c>
      <c r="Z97" s="816"/>
      <c r="AC97" s="816"/>
      <c r="AD97" s="816"/>
      <c r="AE97" s="816"/>
      <c r="AF97" s="816"/>
      <c r="AG97" s="816" t="s">
        <v>503</v>
      </c>
      <c r="AI97" s="816" t="s">
        <v>503</v>
      </c>
      <c r="AJ97" s="816"/>
      <c r="AK97" s="816" t="s">
        <v>503</v>
      </c>
      <c r="AL97" s="816" t="s">
        <v>503</v>
      </c>
      <c r="AM97" s="816"/>
      <c r="AN97" s="816"/>
      <c r="AO97" s="816" t="s">
        <v>503</v>
      </c>
      <c r="AP97" s="816" t="s">
        <v>503</v>
      </c>
      <c r="AQ97" s="816"/>
      <c r="AR97" s="816" t="s">
        <v>198</v>
      </c>
      <c r="AS97" s="816" t="s">
        <v>198</v>
      </c>
      <c r="AT97" s="816"/>
      <c r="AU97" s="816"/>
      <c r="AV97" s="816"/>
      <c r="AW97" s="816"/>
      <c r="AX97" s="816"/>
      <c r="AY97" s="816" t="s">
        <v>503</v>
      </c>
      <c r="AZ97" s="816"/>
      <c r="BA97" s="816"/>
      <c r="BB97" s="816" t="s">
        <v>503</v>
      </c>
      <c r="BC97" s="816"/>
      <c r="BD97" s="816"/>
      <c r="BE97" s="816" t="s">
        <v>503</v>
      </c>
      <c r="BF97" s="816"/>
      <c r="BG97" s="816"/>
      <c r="BH97" s="816" t="s">
        <v>503</v>
      </c>
      <c r="BI97" s="816"/>
      <c r="BJ97" s="816"/>
      <c r="BM97" s="816"/>
      <c r="BN97" s="816"/>
      <c r="BO97" s="816" t="s">
        <v>503</v>
      </c>
      <c r="BP97" s="816" t="s">
        <v>503</v>
      </c>
      <c r="BQ97" s="816"/>
      <c r="BR97" s="816"/>
      <c r="BS97" s="816" t="s">
        <v>503</v>
      </c>
      <c r="BT97" s="816" t="s">
        <v>503</v>
      </c>
      <c r="BU97" s="816"/>
    </row>
    <row r="98" spans="1:73" ht="29" x14ac:dyDescent="0.35">
      <c r="A98" s="806" t="s">
        <v>711</v>
      </c>
      <c r="B98" s="806" t="s">
        <v>793</v>
      </c>
      <c r="C98" s="816" t="s">
        <v>198</v>
      </c>
      <c r="D98" s="816" t="s">
        <v>198</v>
      </c>
      <c r="E98" s="816" t="s">
        <v>198</v>
      </c>
      <c r="F98" s="816" t="s">
        <v>198</v>
      </c>
      <c r="G98" s="816" t="s">
        <v>198</v>
      </c>
      <c r="I98" s="816" t="s">
        <v>198</v>
      </c>
      <c r="J98" s="816" t="s">
        <v>198</v>
      </c>
      <c r="K98" s="816" t="s">
        <v>198</v>
      </c>
      <c r="L98" s="816" t="s">
        <v>198</v>
      </c>
      <c r="M98" s="816" t="s">
        <v>198</v>
      </c>
      <c r="N98" s="816" t="s">
        <v>198</v>
      </c>
      <c r="O98" s="816"/>
      <c r="P98" s="816"/>
      <c r="Q98" s="816" t="s">
        <v>198</v>
      </c>
      <c r="S98" s="816"/>
      <c r="T98" s="816"/>
      <c r="U98" s="816" t="s">
        <v>198</v>
      </c>
      <c r="V98" s="816"/>
      <c r="W98" s="816"/>
      <c r="X98" s="816"/>
      <c r="Z98" s="816" t="s">
        <v>198</v>
      </c>
      <c r="AA98" s="816" t="s">
        <v>198</v>
      </c>
      <c r="AB98" s="816" t="s">
        <v>198</v>
      </c>
      <c r="AC98" s="816" t="s">
        <v>198</v>
      </c>
      <c r="AD98" s="816" t="s">
        <v>198</v>
      </c>
      <c r="AE98" s="816" t="s">
        <v>198</v>
      </c>
      <c r="AF98" s="816" t="s">
        <v>198</v>
      </c>
      <c r="AG98" s="816"/>
      <c r="AH98" s="816" t="s">
        <v>198</v>
      </c>
      <c r="AI98" s="816"/>
      <c r="AJ98" s="816" t="s">
        <v>198</v>
      </c>
      <c r="AL98" s="816"/>
      <c r="AN98" s="816" t="s">
        <v>198</v>
      </c>
      <c r="AP98" s="816"/>
      <c r="AQ98" s="816" t="s">
        <v>198</v>
      </c>
      <c r="AR98" s="816"/>
      <c r="AS98" s="816"/>
      <c r="AT98" s="816"/>
      <c r="AU98" s="816"/>
      <c r="AV98" s="816"/>
      <c r="AW98" s="816" t="s">
        <v>198</v>
      </c>
      <c r="AX98" s="816" t="s">
        <v>198</v>
      </c>
      <c r="AY98" s="816"/>
      <c r="AZ98" s="816"/>
      <c r="BA98" s="816" t="s">
        <v>198</v>
      </c>
      <c r="BC98" s="816" t="s">
        <v>198</v>
      </c>
      <c r="BD98" s="816" t="s">
        <v>198</v>
      </c>
      <c r="BE98" s="816"/>
      <c r="BF98" s="816" t="s">
        <v>198</v>
      </c>
      <c r="BG98" s="816"/>
      <c r="BH98" s="816"/>
      <c r="BI98" s="816" t="s">
        <v>198</v>
      </c>
      <c r="BJ98" s="816" t="s">
        <v>198</v>
      </c>
      <c r="BK98" s="816" t="s">
        <v>198</v>
      </c>
      <c r="BM98" s="816"/>
      <c r="BN98" s="816" t="s">
        <v>198</v>
      </c>
      <c r="BO98" s="816"/>
      <c r="BP98" s="816" t="s">
        <v>198</v>
      </c>
      <c r="BQ98" s="816" t="s">
        <v>198</v>
      </c>
      <c r="BR98" s="816" t="s">
        <v>198</v>
      </c>
      <c r="BS98" s="816"/>
      <c r="BT98" s="816"/>
      <c r="BU98" s="816" t="s">
        <v>198</v>
      </c>
    </row>
    <row r="99" spans="1:73" ht="29" x14ac:dyDescent="0.35">
      <c r="A99" s="806" t="s">
        <v>711</v>
      </c>
      <c r="B99" s="806" t="s">
        <v>794</v>
      </c>
      <c r="C99" s="816" t="s">
        <v>198</v>
      </c>
      <c r="D99" s="816" t="s">
        <v>198</v>
      </c>
      <c r="E99" s="816" t="s">
        <v>198</v>
      </c>
      <c r="F99" s="816" t="s">
        <v>198</v>
      </c>
      <c r="G99" s="816" t="s">
        <v>198</v>
      </c>
      <c r="I99" s="816" t="s">
        <v>198</v>
      </c>
      <c r="J99" s="816" t="s">
        <v>198</v>
      </c>
      <c r="K99" s="816" t="s">
        <v>198</v>
      </c>
      <c r="L99" s="816" t="s">
        <v>198</v>
      </c>
      <c r="M99" s="816" t="s">
        <v>198</v>
      </c>
      <c r="N99" s="816" t="s">
        <v>198</v>
      </c>
      <c r="O99" s="816"/>
      <c r="P99" s="816"/>
      <c r="Q99" s="816" t="s">
        <v>198</v>
      </c>
      <c r="S99" s="816"/>
      <c r="T99" s="816"/>
      <c r="U99" s="816" t="s">
        <v>198</v>
      </c>
      <c r="V99" s="816"/>
      <c r="W99" s="816"/>
      <c r="X99" s="816"/>
      <c r="Z99" s="816" t="s">
        <v>198</v>
      </c>
      <c r="AA99" s="816" t="s">
        <v>198</v>
      </c>
      <c r="AB99" s="816" t="s">
        <v>198</v>
      </c>
      <c r="AC99" s="816" t="s">
        <v>198</v>
      </c>
      <c r="AD99" s="816" t="s">
        <v>198</v>
      </c>
      <c r="AE99" s="816" t="s">
        <v>198</v>
      </c>
      <c r="AF99" s="816" t="s">
        <v>198</v>
      </c>
      <c r="AG99" s="816"/>
      <c r="AH99" s="816" t="s">
        <v>198</v>
      </c>
      <c r="AI99" s="816"/>
      <c r="AJ99" s="816" t="s">
        <v>198</v>
      </c>
      <c r="AL99" s="816"/>
      <c r="AN99" s="816" t="s">
        <v>198</v>
      </c>
      <c r="AP99" s="816"/>
      <c r="AQ99" s="816" t="s">
        <v>198</v>
      </c>
      <c r="AR99" s="816"/>
      <c r="AS99" s="816"/>
      <c r="AT99" s="816"/>
      <c r="AU99" s="816"/>
      <c r="AV99" s="816"/>
      <c r="AW99" s="816" t="s">
        <v>198</v>
      </c>
      <c r="AX99" s="816" t="s">
        <v>198</v>
      </c>
      <c r="AY99" s="816"/>
      <c r="AZ99" s="816"/>
      <c r="BA99" s="816" t="s">
        <v>198</v>
      </c>
      <c r="BC99" s="816" t="s">
        <v>198</v>
      </c>
      <c r="BD99" s="816" t="s">
        <v>198</v>
      </c>
      <c r="BE99" s="816"/>
      <c r="BF99" s="816" t="s">
        <v>198</v>
      </c>
      <c r="BG99" s="816"/>
      <c r="BH99" s="816"/>
      <c r="BI99" s="816" t="s">
        <v>198</v>
      </c>
      <c r="BJ99" s="816" t="s">
        <v>198</v>
      </c>
      <c r="BK99" s="816" t="s">
        <v>198</v>
      </c>
      <c r="BM99" s="816"/>
      <c r="BN99" s="816" t="s">
        <v>198</v>
      </c>
      <c r="BO99" s="816"/>
      <c r="BP99" s="816" t="s">
        <v>198</v>
      </c>
      <c r="BQ99" s="816" t="s">
        <v>198</v>
      </c>
      <c r="BR99" s="816" t="s">
        <v>198</v>
      </c>
      <c r="BS99" s="816"/>
      <c r="BT99" s="816"/>
      <c r="BU99" s="816" t="s">
        <v>198</v>
      </c>
    </row>
    <row r="100" spans="1:73" ht="29" x14ac:dyDescent="0.35">
      <c r="A100" s="806" t="s">
        <v>711</v>
      </c>
      <c r="B100" s="806" t="s">
        <v>795</v>
      </c>
      <c r="C100" s="816" t="s">
        <v>198</v>
      </c>
      <c r="D100" s="816" t="s">
        <v>198</v>
      </c>
      <c r="E100" s="816" t="s">
        <v>198</v>
      </c>
      <c r="F100" s="816" t="s">
        <v>198</v>
      </c>
      <c r="G100" s="816" t="s">
        <v>198</v>
      </c>
      <c r="I100" s="816" t="s">
        <v>198</v>
      </c>
      <c r="J100" s="816" t="s">
        <v>198</v>
      </c>
      <c r="K100" s="816" t="s">
        <v>198</v>
      </c>
      <c r="L100" s="816" t="s">
        <v>198</v>
      </c>
      <c r="M100" s="816" t="s">
        <v>198</v>
      </c>
      <c r="N100" s="816" t="s">
        <v>198</v>
      </c>
      <c r="O100" s="816"/>
      <c r="P100" s="816"/>
      <c r="Q100" s="816" t="s">
        <v>198</v>
      </c>
      <c r="S100" s="816"/>
      <c r="T100" s="816"/>
      <c r="U100" s="816" t="s">
        <v>198</v>
      </c>
      <c r="V100" s="816"/>
      <c r="W100" s="816"/>
      <c r="X100" s="816"/>
      <c r="Z100" s="816" t="s">
        <v>198</v>
      </c>
      <c r="AA100" s="816" t="s">
        <v>198</v>
      </c>
      <c r="AB100" s="816" t="s">
        <v>198</v>
      </c>
      <c r="AC100" s="816" t="s">
        <v>198</v>
      </c>
      <c r="AD100" s="816" t="s">
        <v>198</v>
      </c>
      <c r="AE100" s="816" t="s">
        <v>198</v>
      </c>
      <c r="AF100" s="816" t="s">
        <v>198</v>
      </c>
      <c r="AG100" s="816"/>
      <c r="AH100" s="816" t="s">
        <v>198</v>
      </c>
      <c r="AI100" s="816"/>
      <c r="AJ100" s="816" t="s">
        <v>198</v>
      </c>
      <c r="AL100" s="816"/>
      <c r="AN100" s="816" t="s">
        <v>198</v>
      </c>
      <c r="AP100" s="816"/>
      <c r="AQ100" s="816" t="s">
        <v>198</v>
      </c>
      <c r="AR100" s="816"/>
      <c r="AS100" s="816"/>
      <c r="AT100" s="816"/>
      <c r="AU100" s="816"/>
      <c r="AV100" s="816"/>
      <c r="AW100" s="816" t="s">
        <v>198</v>
      </c>
      <c r="AX100" s="816" t="s">
        <v>198</v>
      </c>
      <c r="AY100" s="816"/>
      <c r="AZ100" s="816"/>
      <c r="BA100" s="816" t="s">
        <v>198</v>
      </c>
      <c r="BC100" s="816" t="s">
        <v>198</v>
      </c>
      <c r="BD100" s="816" t="s">
        <v>198</v>
      </c>
      <c r="BE100" s="816"/>
      <c r="BF100" s="816" t="s">
        <v>198</v>
      </c>
      <c r="BG100" s="816"/>
      <c r="BH100" s="816"/>
      <c r="BI100" s="816" t="s">
        <v>198</v>
      </c>
      <c r="BJ100" s="816" t="s">
        <v>198</v>
      </c>
      <c r="BK100" s="816" t="s">
        <v>198</v>
      </c>
      <c r="BM100" s="816"/>
      <c r="BN100" s="816" t="s">
        <v>198</v>
      </c>
      <c r="BO100" s="816"/>
      <c r="BP100" s="816" t="s">
        <v>198</v>
      </c>
      <c r="BQ100" s="816" t="s">
        <v>198</v>
      </c>
      <c r="BR100" s="816" t="s">
        <v>198</v>
      </c>
      <c r="BS100" s="816"/>
      <c r="BT100" s="816"/>
      <c r="BU100" s="816" t="s">
        <v>198</v>
      </c>
    </row>
    <row r="101" spans="1:73" ht="29" x14ac:dyDescent="0.35">
      <c r="A101" s="806" t="s">
        <v>711</v>
      </c>
      <c r="B101" s="806" t="s">
        <v>714</v>
      </c>
      <c r="C101" s="816" t="s">
        <v>198</v>
      </c>
      <c r="D101" s="816" t="s">
        <v>198</v>
      </c>
      <c r="E101" s="816" t="s">
        <v>198</v>
      </c>
      <c r="F101" s="816" t="s">
        <v>198</v>
      </c>
      <c r="G101" s="816" t="s">
        <v>198</v>
      </c>
      <c r="H101" s="816" t="s">
        <v>198</v>
      </c>
      <c r="I101" s="816" t="s">
        <v>198</v>
      </c>
      <c r="J101" s="816" t="s">
        <v>198</v>
      </c>
      <c r="K101" s="816" t="s">
        <v>198</v>
      </c>
      <c r="L101" s="816" t="s">
        <v>198</v>
      </c>
      <c r="M101" s="816" t="s">
        <v>198</v>
      </c>
      <c r="N101" s="816" t="s">
        <v>198</v>
      </c>
      <c r="O101" s="816" t="s">
        <v>198</v>
      </c>
      <c r="P101" s="816" t="s">
        <v>198</v>
      </c>
      <c r="Q101" s="816" t="s">
        <v>198</v>
      </c>
      <c r="R101" s="816" t="s">
        <v>198</v>
      </c>
      <c r="S101" s="816" t="s">
        <v>198</v>
      </c>
      <c r="T101" s="816" t="s">
        <v>198</v>
      </c>
      <c r="U101" s="816" t="s">
        <v>198</v>
      </c>
      <c r="V101" s="816" t="s">
        <v>198</v>
      </c>
      <c r="W101" s="816" t="s">
        <v>198</v>
      </c>
      <c r="X101" s="816" t="s">
        <v>198</v>
      </c>
      <c r="Y101" s="816" t="s">
        <v>198</v>
      </c>
      <c r="Z101" s="816" t="s">
        <v>198</v>
      </c>
      <c r="AA101" s="816" t="s">
        <v>198</v>
      </c>
      <c r="AB101" s="816" t="s">
        <v>198</v>
      </c>
      <c r="AC101" s="816" t="s">
        <v>198</v>
      </c>
      <c r="AD101" s="816" t="s">
        <v>198</v>
      </c>
      <c r="AE101" s="816" t="s">
        <v>198</v>
      </c>
      <c r="AF101" s="816" t="s">
        <v>198</v>
      </c>
      <c r="AG101" s="816" t="s">
        <v>198</v>
      </c>
      <c r="AH101" s="816" t="s">
        <v>198</v>
      </c>
      <c r="AI101" s="816" t="s">
        <v>198</v>
      </c>
      <c r="AJ101" s="816" t="s">
        <v>198</v>
      </c>
      <c r="AK101" s="816" t="s">
        <v>198</v>
      </c>
      <c r="AL101" s="816" t="s">
        <v>198</v>
      </c>
      <c r="AM101" s="816" t="s">
        <v>198</v>
      </c>
      <c r="AN101" s="816" t="s">
        <v>198</v>
      </c>
      <c r="AO101" s="816" t="s">
        <v>198</v>
      </c>
      <c r="AP101" s="816" t="s">
        <v>198</v>
      </c>
      <c r="AQ101" s="816" t="s">
        <v>198</v>
      </c>
      <c r="AR101" s="816" t="s">
        <v>198</v>
      </c>
      <c r="AS101" s="816" t="s">
        <v>198</v>
      </c>
      <c r="AT101" s="816" t="s">
        <v>198</v>
      </c>
      <c r="AU101" s="816" t="s">
        <v>198</v>
      </c>
      <c r="AV101" s="816" t="s">
        <v>198</v>
      </c>
      <c r="AW101" s="816" t="s">
        <v>198</v>
      </c>
      <c r="AX101" s="816" t="s">
        <v>198</v>
      </c>
      <c r="AY101" s="816" t="s">
        <v>198</v>
      </c>
      <c r="AZ101" s="816" t="s">
        <v>198</v>
      </c>
      <c r="BA101" s="816" t="s">
        <v>198</v>
      </c>
      <c r="BB101" s="816" t="s">
        <v>198</v>
      </c>
      <c r="BC101" s="816" t="s">
        <v>198</v>
      </c>
      <c r="BD101" s="816" t="s">
        <v>198</v>
      </c>
      <c r="BE101" s="816" t="s">
        <v>198</v>
      </c>
      <c r="BF101" s="816" t="s">
        <v>198</v>
      </c>
      <c r="BG101" s="816"/>
      <c r="BH101" s="816" t="s">
        <v>198</v>
      </c>
      <c r="BI101" s="816" t="s">
        <v>198</v>
      </c>
      <c r="BJ101" s="816" t="s">
        <v>198</v>
      </c>
      <c r="BK101" s="816" t="s">
        <v>198</v>
      </c>
      <c r="BM101" s="816" t="s">
        <v>198</v>
      </c>
      <c r="BN101" s="816" t="s">
        <v>198</v>
      </c>
      <c r="BO101" s="816" t="s">
        <v>198</v>
      </c>
      <c r="BP101" s="816" t="s">
        <v>198</v>
      </c>
      <c r="BQ101" s="816" t="s">
        <v>198</v>
      </c>
      <c r="BR101" s="816" t="s">
        <v>198</v>
      </c>
      <c r="BS101" s="816" t="s">
        <v>198</v>
      </c>
      <c r="BT101" s="816" t="s">
        <v>198</v>
      </c>
      <c r="BU101" s="816" t="s">
        <v>198</v>
      </c>
    </row>
    <row r="102" spans="1:73" x14ac:dyDescent="0.35">
      <c r="A102" s="806" t="s">
        <v>711</v>
      </c>
      <c r="B102" s="806" t="s">
        <v>715</v>
      </c>
      <c r="C102" s="816" t="s">
        <v>198</v>
      </c>
      <c r="D102" s="816" t="s">
        <v>198</v>
      </c>
      <c r="E102" s="816" t="s">
        <v>198</v>
      </c>
      <c r="F102" s="816" t="s">
        <v>198</v>
      </c>
      <c r="G102" s="816" t="s">
        <v>198</v>
      </c>
      <c r="H102" s="816" t="s">
        <v>198</v>
      </c>
      <c r="I102" s="816" t="s">
        <v>198</v>
      </c>
      <c r="J102" s="816" t="s">
        <v>198</v>
      </c>
      <c r="K102" s="816" t="s">
        <v>198</v>
      </c>
      <c r="L102" s="816" t="s">
        <v>198</v>
      </c>
      <c r="M102" s="816" t="s">
        <v>198</v>
      </c>
      <c r="N102" s="816" t="s">
        <v>198</v>
      </c>
      <c r="O102" s="816" t="s">
        <v>198</v>
      </c>
      <c r="P102" s="816" t="s">
        <v>198</v>
      </c>
      <c r="Q102" s="816" t="s">
        <v>198</v>
      </c>
      <c r="R102" s="816" t="s">
        <v>198</v>
      </c>
      <c r="S102" s="816" t="s">
        <v>198</v>
      </c>
      <c r="T102" s="816" t="s">
        <v>198</v>
      </c>
      <c r="U102" s="816" t="s">
        <v>198</v>
      </c>
      <c r="V102" s="816" t="s">
        <v>198</v>
      </c>
      <c r="W102" s="816" t="s">
        <v>198</v>
      </c>
      <c r="X102" s="816" t="s">
        <v>198</v>
      </c>
      <c r="Y102" s="816" t="s">
        <v>198</v>
      </c>
      <c r="Z102" s="816" t="s">
        <v>198</v>
      </c>
      <c r="AA102" s="816" t="s">
        <v>198</v>
      </c>
      <c r="AB102" s="816" t="s">
        <v>198</v>
      </c>
      <c r="AC102" s="816" t="s">
        <v>198</v>
      </c>
      <c r="AD102" s="816" t="s">
        <v>198</v>
      </c>
      <c r="AE102" s="816" t="s">
        <v>198</v>
      </c>
      <c r="AF102" s="816" t="s">
        <v>198</v>
      </c>
      <c r="AG102" s="816" t="s">
        <v>198</v>
      </c>
      <c r="AH102" s="816" t="s">
        <v>198</v>
      </c>
      <c r="AI102" s="816" t="s">
        <v>198</v>
      </c>
      <c r="AJ102" s="816" t="s">
        <v>198</v>
      </c>
      <c r="AK102" s="816" t="s">
        <v>198</v>
      </c>
      <c r="AL102" s="816" t="s">
        <v>198</v>
      </c>
      <c r="AM102" s="816" t="s">
        <v>198</v>
      </c>
      <c r="AN102" s="816" t="s">
        <v>198</v>
      </c>
      <c r="AO102" s="816" t="s">
        <v>198</v>
      </c>
      <c r="AP102" s="816" t="s">
        <v>198</v>
      </c>
      <c r="AQ102" s="816" t="s">
        <v>198</v>
      </c>
      <c r="AR102" s="816" t="s">
        <v>198</v>
      </c>
      <c r="AS102" s="816" t="s">
        <v>198</v>
      </c>
      <c r="AT102" s="816" t="s">
        <v>198</v>
      </c>
      <c r="AU102" s="816" t="s">
        <v>198</v>
      </c>
      <c r="AV102" s="816" t="s">
        <v>198</v>
      </c>
      <c r="AW102" s="816" t="s">
        <v>198</v>
      </c>
      <c r="AX102" s="816" t="s">
        <v>198</v>
      </c>
      <c r="AY102" s="816" t="s">
        <v>198</v>
      </c>
      <c r="AZ102" s="816" t="s">
        <v>198</v>
      </c>
      <c r="BA102" s="816" t="s">
        <v>198</v>
      </c>
      <c r="BB102" s="816" t="s">
        <v>198</v>
      </c>
      <c r="BC102" s="816" t="s">
        <v>198</v>
      </c>
      <c r="BD102" s="816" t="s">
        <v>198</v>
      </c>
      <c r="BE102" s="816" t="s">
        <v>198</v>
      </c>
      <c r="BF102" s="816" t="s">
        <v>198</v>
      </c>
      <c r="BG102" s="816"/>
      <c r="BH102" s="816" t="s">
        <v>198</v>
      </c>
      <c r="BI102" s="816" t="s">
        <v>198</v>
      </c>
      <c r="BJ102" s="816" t="s">
        <v>198</v>
      </c>
      <c r="BK102" s="816" t="s">
        <v>198</v>
      </c>
      <c r="BM102" s="816" t="s">
        <v>198</v>
      </c>
      <c r="BN102" s="816" t="s">
        <v>198</v>
      </c>
      <c r="BO102" s="816" t="s">
        <v>198</v>
      </c>
      <c r="BP102" s="816" t="s">
        <v>198</v>
      </c>
      <c r="BQ102" s="816" t="s">
        <v>198</v>
      </c>
      <c r="BR102" s="816" t="s">
        <v>198</v>
      </c>
      <c r="BS102" s="816" t="s">
        <v>198</v>
      </c>
      <c r="BT102" s="816" t="s">
        <v>198</v>
      </c>
      <c r="BU102" s="816" t="s">
        <v>198</v>
      </c>
    </row>
    <row r="103" spans="1:73" x14ac:dyDescent="0.35">
      <c r="A103" s="806" t="s">
        <v>711</v>
      </c>
      <c r="B103" s="806" t="s">
        <v>718</v>
      </c>
      <c r="C103" s="816" t="s">
        <v>198</v>
      </c>
      <c r="D103" s="816" t="s">
        <v>198</v>
      </c>
      <c r="E103" s="816" t="s">
        <v>198</v>
      </c>
      <c r="F103" s="816" t="s">
        <v>198</v>
      </c>
      <c r="G103" s="816" t="s">
        <v>198</v>
      </c>
      <c r="H103" s="816" t="s">
        <v>198</v>
      </c>
      <c r="I103" s="816" t="s">
        <v>198</v>
      </c>
      <c r="J103" s="816" t="s">
        <v>198</v>
      </c>
      <c r="K103" s="816" t="s">
        <v>198</v>
      </c>
      <c r="L103" s="816" t="s">
        <v>198</v>
      </c>
      <c r="M103" s="816" t="s">
        <v>198</v>
      </c>
      <c r="N103" s="816" t="s">
        <v>198</v>
      </c>
      <c r="O103" s="816" t="s">
        <v>198</v>
      </c>
      <c r="P103" s="816" t="s">
        <v>198</v>
      </c>
      <c r="Q103" s="816" t="s">
        <v>198</v>
      </c>
      <c r="R103" s="816" t="s">
        <v>198</v>
      </c>
      <c r="S103" s="816" t="s">
        <v>198</v>
      </c>
      <c r="T103" s="816" t="s">
        <v>198</v>
      </c>
      <c r="U103" s="816" t="s">
        <v>198</v>
      </c>
      <c r="V103" s="816" t="s">
        <v>198</v>
      </c>
      <c r="W103" s="816" t="s">
        <v>198</v>
      </c>
      <c r="X103" s="816" t="s">
        <v>198</v>
      </c>
      <c r="Y103" s="816" t="s">
        <v>198</v>
      </c>
      <c r="Z103" s="816" t="s">
        <v>198</v>
      </c>
      <c r="AA103" s="816" t="s">
        <v>198</v>
      </c>
      <c r="AB103" s="816" t="s">
        <v>198</v>
      </c>
      <c r="AC103" s="816" t="s">
        <v>198</v>
      </c>
      <c r="AD103" s="816" t="s">
        <v>198</v>
      </c>
      <c r="AE103" s="816" t="s">
        <v>198</v>
      </c>
      <c r="AF103" s="816" t="s">
        <v>198</v>
      </c>
      <c r="AG103" s="816" t="s">
        <v>198</v>
      </c>
      <c r="AH103" s="816" t="s">
        <v>198</v>
      </c>
      <c r="AI103" s="816" t="s">
        <v>198</v>
      </c>
      <c r="AJ103" s="816" t="s">
        <v>198</v>
      </c>
      <c r="AK103" s="816" t="s">
        <v>198</v>
      </c>
      <c r="AL103" s="816" t="s">
        <v>198</v>
      </c>
      <c r="AM103" s="816" t="s">
        <v>198</v>
      </c>
      <c r="AN103" s="816" t="s">
        <v>198</v>
      </c>
      <c r="AO103" s="816" t="s">
        <v>198</v>
      </c>
      <c r="AP103" s="816" t="s">
        <v>198</v>
      </c>
      <c r="AQ103" s="816" t="s">
        <v>198</v>
      </c>
      <c r="AR103" s="816" t="s">
        <v>198</v>
      </c>
      <c r="AS103" s="816" t="s">
        <v>198</v>
      </c>
      <c r="AT103" s="816" t="s">
        <v>198</v>
      </c>
      <c r="AU103" s="816" t="s">
        <v>198</v>
      </c>
      <c r="AV103" s="816" t="s">
        <v>198</v>
      </c>
      <c r="AW103" s="816" t="s">
        <v>198</v>
      </c>
      <c r="AX103" s="816" t="s">
        <v>198</v>
      </c>
      <c r="AY103" s="816" t="s">
        <v>198</v>
      </c>
      <c r="AZ103" s="816" t="s">
        <v>198</v>
      </c>
      <c r="BA103" s="816" t="s">
        <v>198</v>
      </c>
      <c r="BB103" s="816" t="s">
        <v>198</v>
      </c>
      <c r="BC103" s="816" t="s">
        <v>198</v>
      </c>
      <c r="BD103" s="816" t="s">
        <v>198</v>
      </c>
      <c r="BE103" s="816" t="s">
        <v>198</v>
      </c>
      <c r="BF103" s="816" t="s">
        <v>198</v>
      </c>
      <c r="BG103" s="816"/>
      <c r="BH103" s="816" t="s">
        <v>198</v>
      </c>
      <c r="BI103" s="816" t="s">
        <v>198</v>
      </c>
      <c r="BJ103" s="816" t="s">
        <v>198</v>
      </c>
      <c r="BK103" s="816" t="s">
        <v>198</v>
      </c>
      <c r="BM103" s="816" t="s">
        <v>198</v>
      </c>
      <c r="BN103" s="816" t="s">
        <v>198</v>
      </c>
      <c r="BO103" s="816" t="s">
        <v>198</v>
      </c>
      <c r="BP103" s="816" t="s">
        <v>198</v>
      </c>
      <c r="BQ103" s="816" t="s">
        <v>198</v>
      </c>
      <c r="BR103" s="816" t="s">
        <v>198</v>
      </c>
      <c r="BS103" s="816" t="s">
        <v>198</v>
      </c>
      <c r="BT103" s="816" t="s">
        <v>198</v>
      </c>
      <c r="BU103" s="816" t="s">
        <v>198</v>
      </c>
    </row>
    <row r="104" spans="1:73" x14ac:dyDescent="0.35">
      <c r="A104" s="806" t="s">
        <v>711</v>
      </c>
      <c r="B104" s="806" t="s">
        <v>727</v>
      </c>
      <c r="C104" s="816" t="s">
        <v>198</v>
      </c>
      <c r="D104" s="816" t="s">
        <v>198</v>
      </c>
      <c r="E104" s="816" t="s">
        <v>198</v>
      </c>
      <c r="F104" s="816" t="s">
        <v>198</v>
      </c>
      <c r="G104" s="816" t="s">
        <v>198</v>
      </c>
      <c r="H104" s="816" t="s">
        <v>198</v>
      </c>
      <c r="I104" s="816" t="s">
        <v>198</v>
      </c>
      <c r="J104" s="816" t="s">
        <v>198</v>
      </c>
      <c r="K104" s="816" t="s">
        <v>198</v>
      </c>
      <c r="L104" s="816" t="s">
        <v>198</v>
      </c>
      <c r="M104" s="816" t="s">
        <v>198</v>
      </c>
      <c r="N104" s="816" t="s">
        <v>198</v>
      </c>
      <c r="O104" s="816" t="s">
        <v>198</v>
      </c>
      <c r="P104" s="816" t="s">
        <v>198</v>
      </c>
      <c r="Q104" s="816" t="s">
        <v>198</v>
      </c>
      <c r="R104" s="816" t="s">
        <v>198</v>
      </c>
      <c r="S104" s="816" t="s">
        <v>198</v>
      </c>
      <c r="T104" s="816" t="s">
        <v>198</v>
      </c>
      <c r="U104" s="816" t="s">
        <v>198</v>
      </c>
      <c r="V104" s="816" t="s">
        <v>198</v>
      </c>
      <c r="W104" s="816" t="s">
        <v>198</v>
      </c>
      <c r="X104" s="816" t="s">
        <v>198</v>
      </c>
      <c r="Y104" s="816" t="s">
        <v>198</v>
      </c>
      <c r="Z104" s="816" t="s">
        <v>198</v>
      </c>
      <c r="AA104" s="816" t="s">
        <v>198</v>
      </c>
      <c r="AB104" s="816" t="s">
        <v>198</v>
      </c>
      <c r="AC104" s="816" t="s">
        <v>198</v>
      </c>
      <c r="AD104" s="816" t="s">
        <v>198</v>
      </c>
      <c r="AE104" s="816" t="s">
        <v>198</v>
      </c>
      <c r="AF104" s="816" t="s">
        <v>198</v>
      </c>
      <c r="AG104" s="816" t="s">
        <v>198</v>
      </c>
      <c r="AH104" s="816" t="s">
        <v>198</v>
      </c>
      <c r="AI104" s="816" t="s">
        <v>198</v>
      </c>
      <c r="AJ104" s="816" t="s">
        <v>198</v>
      </c>
      <c r="AK104" s="816" t="s">
        <v>198</v>
      </c>
      <c r="AL104" s="816" t="s">
        <v>198</v>
      </c>
      <c r="AM104" s="816" t="s">
        <v>198</v>
      </c>
      <c r="AN104" s="816" t="s">
        <v>198</v>
      </c>
      <c r="AO104" s="816" t="s">
        <v>198</v>
      </c>
      <c r="AP104" s="816" t="s">
        <v>198</v>
      </c>
      <c r="AQ104" s="816" t="s">
        <v>198</v>
      </c>
      <c r="AR104" s="816" t="s">
        <v>198</v>
      </c>
      <c r="AS104" s="816" t="s">
        <v>198</v>
      </c>
      <c r="AT104" s="816" t="s">
        <v>198</v>
      </c>
      <c r="AU104" s="816" t="s">
        <v>198</v>
      </c>
      <c r="AV104" s="816" t="s">
        <v>198</v>
      </c>
      <c r="AW104" s="816" t="s">
        <v>198</v>
      </c>
      <c r="AX104" s="816" t="s">
        <v>198</v>
      </c>
      <c r="AY104" s="816" t="s">
        <v>198</v>
      </c>
      <c r="AZ104" s="816" t="s">
        <v>198</v>
      </c>
      <c r="BA104" s="816" t="s">
        <v>198</v>
      </c>
      <c r="BB104" s="816" t="s">
        <v>198</v>
      </c>
      <c r="BC104" s="816" t="s">
        <v>198</v>
      </c>
      <c r="BD104" s="816" t="s">
        <v>198</v>
      </c>
      <c r="BE104" s="816" t="s">
        <v>198</v>
      </c>
      <c r="BF104" s="816" t="s">
        <v>198</v>
      </c>
      <c r="BG104" s="816"/>
      <c r="BH104" s="816" t="s">
        <v>198</v>
      </c>
      <c r="BI104" s="816" t="s">
        <v>198</v>
      </c>
      <c r="BJ104" s="816" t="s">
        <v>198</v>
      </c>
      <c r="BK104" s="816" t="s">
        <v>198</v>
      </c>
      <c r="BM104" s="816" t="s">
        <v>198</v>
      </c>
      <c r="BN104" s="816" t="s">
        <v>198</v>
      </c>
      <c r="BO104" s="816" t="s">
        <v>198</v>
      </c>
      <c r="BP104" s="816" t="s">
        <v>198</v>
      </c>
      <c r="BQ104" s="816" t="s">
        <v>198</v>
      </c>
      <c r="BR104" s="816" t="s">
        <v>198</v>
      </c>
      <c r="BS104" s="816" t="s">
        <v>198</v>
      </c>
      <c r="BT104" s="816" t="s">
        <v>198</v>
      </c>
      <c r="BU104" s="816" t="s">
        <v>198</v>
      </c>
    </row>
    <row r="105" spans="1:73" ht="29" x14ac:dyDescent="0.35">
      <c r="A105" s="806" t="s">
        <v>711</v>
      </c>
      <c r="B105" s="806" t="s">
        <v>720</v>
      </c>
      <c r="C105" s="816" t="s">
        <v>198</v>
      </c>
      <c r="D105" s="816" t="s">
        <v>198</v>
      </c>
      <c r="E105" s="816" t="s">
        <v>198</v>
      </c>
      <c r="F105" s="816" t="s">
        <v>198</v>
      </c>
      <c r="G105" s="816" t="s">
        <v>198</v>
      </c>
      <c r="H105" s="816" t="s">
        <v>198</v>
      </c>
      <c r="I105" s="816" t="s">
        <v>198</v>
      </c>
      <c r="J105" s="816" t="s">
        <v>198</v>
      </c>
      <c r="K105" s="816" t="s">
        <v>198</v>
      </c>
      <c r="L105" s="816" t="s">
        <v>198</v>
      </c>
      <c r="M105" s="816" t="s">
        <v>198</v>
      </c>
      <c r="N105" s="816" t="s">
        <v>198</v>
      </c>
      <c r="O105" s="816" t="s">
        <v>198</v>
      </c>
      <c r="P105" s="816" t="s">
        <v>198</v>
      </c>
      <c r="Q105" s="816" t="s">
        <v>198</v>
      </c>
      <c r="R105" s="816" t="s">
        <v>198</v>
      </c>
      <c r="S105" s="816" t="s">
        <v>198</v>
      </c>
      <c r="T105" s="816" t="s">
        <v>198</v>
      </c>
      <c r="U105" s="816" t="s">
        <v>198</v>
      </c>
      <c r="V105" s="816" t="s">
        <v>198</v>
      </c>
      <c r="W105" s="816" t="s">
        <v>198</v>
      </c>
      <c r="X105" s="816" t="s">
        <v>198</v>
      </c>
      <c r="Y105" s="816" t="s">
        <v>198</v>
      </c>
      <c r="Z105" s="816" t="s">
        <v>198</v>
      </c>
      <c r="AA105" s="816" t="s">
        <v>198</v>
      </c>
      <c r="AB105" s="816" t="s">
        <v>198</v>
      </c>
      <c r="AC105" s="816" t="s">
        <v>198</v>
      </c>
      <c r="AD105" s="816" t="s">
        <v>198</v>
      </c>
      <c r="AE105" s="816" t="s">
        <v>198</v>
      </c>
      <c r="AF105" s="816" t="s">
        <v>198</v>
      </c>
      <c r="AG105" s="816" t="s">
        <v>198</v>
      </c>
      <c r="AH105" s="816" t="s">
        <v>198</v>
      </c>
      <c r="AI105" s="816" t="s">
        <v>198</v>
      </c>
      <c r="AJ105" s="816" t="s">
        <v>198</v>
      </c>
      <c r="AK105" s="816" t="s">
        <v>198</v>
      </c>
      <c r="AL105" s="816" t="s">
        <v>198</v>
      </c>
      <c r="AM105" s="816" t="s">
        <v>198</v>
      </c>
      <c r="AN105" s="816" t="s">
        <v>198</v>
      </c>
      <c r="AO105" s="816" t="s">
        <v>198</v>
      </c>
      <c r="AP105" s="816" t="s">
        <v>198</v>
      </c>
      <c r="AQ105" s="816" t="s">
        <v>198</v>
      </c>
      <c r="AR105" s="816" t="s">
        <v>198</v>
      </c>
      <c r="AS105" s="816" t="s">
        <v>198</v>
      </c>
      <c r="AT105" s="816" t="s">
        <v>198</v>
      </c>
      <c r="AU105" s="816" t="s">
        <v>198</v>
      </c>
      <c r="AV105" s="816" t="s">
        <v>198</v>
      </c>
      <c r="AW105" s="816" t="s">
        <v>198</v>
      </c>
      <c r="AX105" s="816" t="s">
        <v>198</v>
      </c>
      <c r="AY105" s="816" t="s">
        <v>198</v>
      </c>
      <c r="AZ105" s="816" t="s">
        <v>198</v>
      </c>
      <c r="BA105" s="816" t="s">
        <v>198</v>
      </c>
      <c r="BB105" s="816" t="s">
        <v>198</v>
      </c>
      <c r="BC105" s="816" t="s">
        <v>198</v>
      </c>
      <c r="BD105" s="816" t="s">
        <v>198</v>
      </c>
      <c r="BE105" s="816" t="s">
        <v>198</v>
      </c>
      <c r="BF105" s="816" t="s">
        <v>198</v>
      </c>
      <c r="BG105" s="816"/>
      <c r="BH105" s="816" t="s">
        <v>198</v>
      </c>
      <c r="BI105" s="816" t="s">
        <v>198</v>
      </c>
      <c r="BJ105" s="816" t="s">
        <v>198</v>
      </c>
      <c r="BK105" s="816" t="s">
        <v>198</v>
      </c>
      <c r="BM105" s="816" t="s">
        <v>198</v>
      </c>
      <c r="BN105" s="816" t="s">
        <v>198</v>
      </c>
      <c r="BO105" s="816" t="s">
        <v>198</v>
      </c>
      <c r="BP105" s="816" t="s">
        <v>198</v>
      </c>
      <c r="BQ105" s="816" t="s">
        <v>198</v>
      </c>
      <c r="BR105" s="816" t="s">
        <v>198</v>
      </c>
      <c r="BS105" s="816" t="s">
        <v>198</v>
      </c>
      <c r="BT105" s="816" t="s">
        <v>198</v>
      </c>
      <c r="BU105" s="816" t="s">
        <v>198</v>
      </c>
    </row>
    <row r="106" spans="1:73" x14ac:dyDescent="0.35">
      <c r="A106" s="806" t="s">
        <v>711</v>
      </c>
      <c r="B106" s="806" t="s">
        <v>717</v>
      </c>
      <c r="C106" s="816" t="s">
        <v>198</v>
      </c>
      <c r="D106" s="816" t="s">
        <v>198</v>
      </c>
      <c r="E106" s="816" t="s">
        <v>198</v>
      </c>
      <c r="F106" s="816" t="s">
        <v>198</v>
      </c>
      <c r="G106" s="816" t="s">
        <v>198</v>
      </c>
      <c r="H106" s="816" t="s">
        <v>198</v>
      </c>
      <c r="I106" s="816" t="s">
        <v>198</v>
      </c>
      <c r="J106" s="816" t="s">
        <v>198</v>
      </c>
      <c r="K106" s="816" t="s">
        <v>198</v>
      </c>
      <c r="L106" s="816" t="s">
        <v>198</v>
      </c>
      <c r="M106" s="816" t="s">
        <v>198</v>
      </c>
      <c r="N106" s="816" t="s">
        <v>198</v>
      </c>
      <c r="O106" s="816" t="s">
        <v>198</v>
      </c>
      <c r="P106" s="816" t="s">
        <v>198</v>
      </c>
      <c r="Q106" s="816" t="s">
        <v>198</v>
      </c>
      <c r="R106" s="816" t="s">
        <v>198</v>
      </c>
      <c r="S106" s="816" t="s">
        <v>198</v>
      </c>
      <c r="T106" s="816" t="s">
        <v>198</v>
      </c>
      <c r="U106" s="816" t="s">
        <v>198</v>
      </c>
      <c r="V106" s="816" t="s">
        <v>198</v>
      </c>
      <c r="W106" s="816" t="s">
        <v>198</v>
      </c>
      <c r="X106" s="816" t="s">
        <v>198</v>
      </c>
      <c r="Y106" s="816" t="s">
        <v>198</v>
      </c>
      <c r="Z106" s="816" t="s">
        <v>198</v>
      </c>
      <c r="AA106" s="816" t="s">
        <v>198</v>
      </c>
      <c r="AB106" s="816" t="s">
        <v>198</v>
      </c>
      <c r="AC106" s="816" t="s">
        <v>198</v>
      </c>
      <c r="AD106" s="816" t="s">
        <v>198</v>
      </c>
      <c r="AE106" s="816" t="s">
        <v>198</v>
      </c>
      <c r="AF106" s="816" t="s">
        <v>198</v>
      </c>
      <c r="AG106" s="816" t="s">
        <v>198</v>
      </c>
      <c r="AH106" s="816" t="s">
        <v>198</v>
      </c>
      <c r="AI106" s="816" t="s">
        <v>198</v>
      </c>
      <c r="AJ106" s="816" t="s">
        <v>198</v>
      </c>
      <c r="AK106" s="816" t="s">
        <v>198</v>
      </c>
      <c r="AL106" s="816" t="s">
        <v>198</v>
      </c>
      <c r="AM106" s="816" t="s">
        <v>198</v>
      </c>
      <c r="AN106" s="816" t="s">
        <v>198</v>
      </c>
      <c r="AO106" s="816" t="s">
        <v>198</v>
      </c>
      <c r="AP106" s="816" t="s">
        <v>198</v>
      </c>
      <c r="AQ106" s="816" t="s">
        <v>198</v>
      </c>
      <c r="AR106" s="816" t="s">
        <v>198</v>
      </c>
      <c r="AS106" s="816" t="s">
        <v>198</v>
      </c>
      <c r="AT106" s="816" t="s">
        <v>198</v>
      </c>
      <c r="AU106" s="816" t="s">
        <v>198</v>
      </c>
      <c r="AV106" s="816" t="s">
        <v>198</v>
      </c>
      <c r="AW106" s="816" t="s">
        <v>198</v>
      </c>
      <c r="AX106" s="816" t="s">
        <v>198</v>
      </c>
      <c r="AY106" s="816" t="s">
        <v>198</v>
      </c>
      <c r="AZ106" s="816" t="s">
        <v>198</v>
      </c>
      <c r="BA106" s="816" t="s">
        <v>198</v>
      </c>
      <c r="BB106" s="816" t="s">
        <v>198</v>
      </c>
      <c r="BC106" s="816" t="s">
        <v>198</v>
      </c>
      <c r="BD106" s="816" t="s">
        <v>198</v>
      </c>
      <c r="BE106" s="816" t="s">
        <v>198</v>
      </c>
      <c r="BF106" s="816" t="s">
        <v>198</v>
      </c>
      <c r="BG106" s="816"/>
      <c r="BH106" s="816" t="s">
        <v>198</v>
      </c>
      <c r="BI106" s="816" t="s">
        <v>198</v>
      </c>
      <c r="BJ106" s="816" t="s">
        <v>198</v>
      </c>
      <c r="BK106" s="816" t="s">
        <v>198</v>
      </c>
      <c r="BM106" s="816" t="s">
        <v>198</v>
      </c>
      <c r="BN106" s="816" t="s">
        <v>198</v>
      </c>
      <c r="BO106" s="816" t="s">
        <v>198</v>
      </c>
      <c r="BP106" s="816" t="s">
        <v>198</v>
      </c>
      <c r="BQ106" s="816" t="s">
        <v>198</v>
      </c>
      <c r="BR106" s="816" t="s">
        <v>198</v>
      </c>
      <c r="BS106" s="816" t="s">
        <v>198</v>
      </c>
      <c r="BT106" s="816" t="s">
        <v>198</v>
      </c>
      <c r="BU106" s="816" t="s">
        <v>198</v>
      </c>
    </row>
    <row r="107" spans="1:73" x14ac:dyDescent="0.35">
      <c r="A107" s="806" t="s">
        <v>711</v>
      </c>
      <c r="B107" s="806" t="s">
        <v>719</v>
      </c>
      <c r="C107" s="816" t="s">
        <v>198</v>
      </c>
      <c r="D107" s="816" t="s">
        <v>198</v>
      </c>
      <c r="E107" s="816" t="s">
        <v>198</v>
      </c>
      <c r="F107" s="816" t="s">
        <v>198</v>
      </c>
      <c r="G107" s="816" t="s">
        <v>198</v>
      </c>
      <c r="H107" s="816" t="s">
        <v>198</v>
      </c>
      <c r="I107" s="816" t="s">
        <v>198</v>
      </c>
      <c r="J107" s="816" t="s">
        <v>198</v>
      </c>
      <c r="K107" s="816" t="s">
        <v>198</v>
      </c>
      <c r="L107" s="816" t="s">
        <v>198</v>
      </c>
      <c r="M107" s="816" t="s">
        <v>198</v>
      </c>
      <c r="N107" s="816" t="s">
        <v>198</v>
      </c>
      <c r="O107" s="816" t="s">
        <v>198</v>
      </c>
      <c r="P107" s="816" t="s">
        <v>198</v>
      </c>
      <c r="Q107" s="816" t="s">
        <v>198</v>
      </c>
      <c r="R107" s="816" t="s">
        <v>198</v>
      </c>
      <c r="S107" s="816" t="s">
        <v>198</v>
      </c>
      <c r="T107" s="816" t="s">
        <v>198</v>
      </c>
      <c r="U107" s="816" t="s">
        <v>198</v>
      </c>
      <c r="V107" s="816" t="s">
        <v>198</v>
      </c>
      <c r="W107" s="816" t="s">
        <v>198</v>
      </c>
      <c r="X107" s="816" t="s">
        <v>198</v>
      </c>
      <c r="Y107" s="816" t="s">
        <v>198</v>
      </c>
      <c r="Z107" s="816" t="s">
        <v>198</v>
      </c>
      <c r="AA107" s="816" t="s">
        <v>198</v>
      </c>
      <c r="AB107" s="816" t="s">
        <v>198</v>
      </c>
      <c r="AC107" s="816" t="s">
        <v>198</v>
      </c>
      <c r="AD107" s="816" t="s">
        <v>198</v>
      </c>
      <c r="AE107" s="816" t="s">
        <v>198</v>
      </c>
      <c r="AF107" s="816" t="s">
        <v>198</v>
      </c>
      <c r="AG107" s="816" t="s">
        <v>198</v>
      </c>
      <c r="AH107" s="816" t="s">
        <v>198</v>
      </c>
      <c r="AI107" s="816" t="s">
        <v>198</v>
      </c>
      <c r="AJ107" s="816" t="s">
        <v>198</v>
      </c>
      <c r="AK107" s="816" t="s">
        <v>198</v>
      </c>
      <c r="AL107" s="816" t="s">
        <v>198</v>
      </c>
      <c r="AM107" s="816" t="s">
        <v>198</v>
      </c>
      <c r="AN107" s="816" t="s">
        <v>198</v>
      </c>
      <c r="AO107" s="816" t="s">
        <v>198</v>
      </c>
      <c r="AP107" s="816" t="s">
        <v>198</v>
      </c>
      <c r="AQ107" s="816" t="s">
        <v>198</v>
      </c>
      <c r="AR107" s="816" t="s">
        <v>198</v>
      </c>
      <c r="AS107" s="816" t="s">
        <v>198</v>
      </c>
      <c r="AT107" s="816" t="s">
        <v>198</v>
      </c>
      <c r="AU107" s="816" t="s">
        <v>198</v>
      </c>
      <c r="AV107" s="816" t="s">
        <v>198</v>
      </c>
      <c r="AW107" s="816" t="s">
        <v>198</v>
      </c>
      <c r="AX107" s="816" t="s">
        <v>198</v>
      </c>
      <c r="AY107" s="816" t="s">
        <v>198</v>
      </c>
      <c r="AZ107" s="816" t="s">
        <v>198</v>
      </c>
      <c r="BA107" s="816" t="s">
        <v>198</v>
      </c>
      <c r="BB107" s="816" t="s">
        <v>198</v>
      </c>
      <c r="BC107" s="816" t="s">
        <v>198</v>
      </c>
      <c r="BD107" s="816" t="s">
        <v>198</v>
      </c>
      <c r="BE107" s="816" t="s">
        <v>198</v>
      </c>
      <c r="BF107" s="816" t="s">
        <v>198</v>
      </c>
      <c r="BG107" s="816"/>
      <c r="BH107" s="816" t="s">
        <v>198</v>
      </c>
      <c r="BI107" s="816" t="s">
        <v>198</v>
      </c>
      <c r="BJ107" s="816" t="s">
        <v>198</v>
      </c>
      <c r="BK107" s="816" t="s">
        <v>198</v>
      </c>
      <c r="BM107" s="816" t="s">
        <v>198</v>
      </c>
      <c r="BN107" s="816" t="s">
        <v>198</v>
      </c>
      <c r="BO107" s="816" t="s">
        <v>198</v>
      </c>
      <c r="BP107" s="816" t="s">
        <v>198</v>
      </c>
      <c r="BQ107" s="816" t="s">
        <v>198</v>
      </c>
      <c r="BR107" s="816" t="s">
        <v>198</v>
      </c>
      <c r="BS107" s="816" t="s">
        <v>198</v>
      </c>
      <c r="BT107" s="816" t="s">
        <v>198</v>
      </c>
      <c r="BU107" s="816" t="s">
        <v>198</v>
      </c>
    </row>
    <row r="108" spans="1:73" ht="29" x14ac:dyDescent="0.35">
      <c r="A108" s="806" t="s">
        <v>711</v>
      </c>
      <c r="B108" s="806" t="s">
        <v>723</v>
      </c>
      <c r="C108" s="816" t="s">
        <v>198</v>
      </c>
      <c r="D108" s="816" t="s">
        <v>198</v>
      </c>
      <c r="E108" s="816" t="s">
        <v>198</v>
      </c>
      <c r="F108" s="816" t="s">
        <v>198</v>
      </c>
      <c r="G108" s="816" t="s">
        <v>198</v>
      </c>
      <c r="H108" s="816" t="s">
        <v>198</v>
      </c>
      <c r="I108" s="816" t="s">
        <v>198</v>
      </c>
      <c r="J108" s="816" t="s">
        <v>198</v>
      </c>
      <c r="K108" s="816" t="s">
        <v>198</v>
      </c>
      <c r="L108" s="816" t="s">
        <v>198</v>
      </c>
      <c r="M108" s="816" t="s">
        <v>198</v>
      </c>
      <c r="N108" s="816" t="s">
        <v>198</v>
      </c>
      <c r="O108" s="816" t="s">
        <v>198</v>
      </c>
      <c r="P108" s="816" t="s">
        <v>198</v>
      </c>
      <c r="Q108" s="816" t="s">
        <v>198</v>
      </c>
      <c r="R108" s="816" t="s">
        <v>198</v>
      </c>
      <c r="S108" s="816" t="s">
        <v>198</v>
      </c>
      <c r="T108" s="816" t="s">
        <v>198</v>
      </c>
      <c r="U108" s="816" t="s">
        <v>198</v>
      </c>
      <c r="V108" s="816" t="s">
        <v>198</v>
      </c>
      <c r="W108" s="816" t="s">
        <v>198</v>
      </c>
      <c r="X108" s="816" t="s">
        <v>198</v>
      </c>
      <c r="Y108" s="816" t="s">
        <v>198</v>
      </c>
      <c r="Z108" s="816" t="s">
        <v>198</v>
      </c>
      <c r="AA108" s="816" t="s">
        <v>198</v>
      </c>
      <c r="AB108" s="816" t="s">
        <v>198</v>
      </c>
      <c r="AC108" s="816" t="s">
        <v>198</v>
      </c>
      <c r="AD108" s="816" t="s">
        <v>198</v>
      </c>
      <c r="AE108" s="816" t="s">
        <v>198</v>
      </c>
      <c r="AF108" s="816" t="s">
        <v>198</v>
      </c>
      <c r="AG108" s="816" t="s">
        <v>198</v>
      </c>
      <c r="AH108" s="816" t="s">
        <v>198</v>
      </c>
      <c r="AI108" s="816" t="s">
        <v>198</v>
      </c>
      <c r="AJ108" s="816" t="s">
        <v>198</v>
      </c>
      <c r="AK108" s="816" t="s">
        <v>198</v>
      </c>
      <c r="AL108" s="816" t="s">
        <v>198</v>
      </c>
      <c r="AM108" s="816" t="s">
        <v>198</v>
      </c>
      <c r="AN108" s="816" t="s">
        <v>198</v>
      </c>
      <c r="AO108" s="816" t="s">
        <v>198</v>
      </c>
      <c r="AP108" s="816" t="s">
        <v>198</v>
      </c>
      <c r="AQ108" s="816" t="s">
        <v>198</v>
      </c>
      <c r="AR108" s="816" t="s">
        <v>198</v>
      </c>
      <c r="AS108" s="816" t="s">
        <v>198</v>
      </c>
      <c r="AT108" s="816" t="s">
        <v>198</v>
      </c>
      <c r="AU108" s="816" t="s">
        <v>198</v>
      </c>
      <c r="AV108" s="816" t="s">
        <v>198</v>
      </c>
      <c r="AW108" s="816" t="s">
        <v>198</v>
      </c>
      <c r="AX108" s="816" t="s">
        <v>198</v>
      </c>
      <c r="AY108" s="816" t="s">
        <v>198</v>
      </c>
      <c r="AZ108" s="816" t="s">
        <v>198</v>
      </c>
      <c r="BA108" s="816" t="s">
        <v>198</v>
      </c>
      <c r="BB108" s="816" t="s">
        <v>198</v>
      </c>
      <c r="BC108" s="816" t="s">
        <v>198</v>
      </c>
      <c r="BD108" s="816" t="s">
        <v>198</v>
      </c>
      <c r="BE108" s="816" t="s">
        <v>198</v>
      </c>
      <c r="BF108" s="816" t="s">
        <v>198</v>
      </c>
      <c r="BG108" s="816"/>
      <c r="BH108" s="816" t="s">
        <v>198</v>
      </c>
      <c r="BI108" s="816" t="s">
        <v>198</v>
      </c>
      <c r="BJ108" s="816" t="s">
        <v>198</v>
      </c>
      <c r="BK108" s="816" t="s">
        <v>198</v>
      </c>
      <c r="BM108" s="816" t="s">
        <v>198</v>
      </c>
      <c r="BN108" s="816" t="s">
        <v>198</v>
      </c>
      <c r="BO108" s="816" t="s">
        <v>198</v>
      </c>
      <c r="BP108" s="816" t="s">
        <v>198</v>
      </c>
      <c r="BQ108" s="816" t="s">
        <v>198</v>
      </c>
      <c r="BR108" s="816" t="s">
        <v>198</v>
      </c>
      <c r="BS108" s="816" t="s">
        <v>198</v>
      </c>
      <c r="BT108" s="816" t="s">
        <v>198</v>
      </c>
      <c r="BU108" s="816" t="s">
        <v>198</v>
      </c>
    </row>
    <row r="109" spans="1:73" x14ac:dyDescent="0.35">
      <c r="A109" s="806" t="s">
        <v>711</v>
      </c>
      <c r="B109" s="806" t="s">
        <v>716</v>
      </c>
      <c r="C109" s="816" t="s">
        <v>198</v>
      </c>
      <c r="D109" s="816" t="s">
        <v>198</v>
      </c>
      <c r="E109" s="816" t="s">
        <v>198</v>
      </c>
      <c r="F109" s="816" t="s">
        <v>198</v>
      </c>
      <c r="G109" s="816" t="s">
        <v>198</v>
      </c>
      <c r="H109" s="816" t="s">
        <v>198</v>
      </c>
      <c r="I109" s="816" t="s">
        <v>198</v>
      </c>
      <c r="J109" s="816" t="s">
        <v>198</v>
      </c>
      <c r="K109" s="816" t="s">
        <v>198</v>
      </c>
      <c r="L109" s="816" t="s">
        <v>198</v>
      </c>
      <c r="M109" s="816" t="s">
        <v>198</v>
      </c>
      <c r="N109" s="816" t="s">
        <v>198</v>
      </c>
      <c r="O109" s="816" t="s">
        <v>198</v>
      </c>
      <c r="P109" s="816" t="s">
        <v>198</v>
      </c>
      <c r="Q109" s="816" t="s">
        <v>198</v>
      </c>
      <c r="R109" s="816" t="s">
        <v>198</v>
      </c>
      <c r="S109" s="816" t="s">
        <v>198</v>
      </c>
      <c r="T109" s="816" t="s">
        <v>198</v>
      </c>
      <c r="U109" s="816" t="s">
        <v>198</v>
      </c>
      <c r="V109" s="816" t="s">
        <v>198</v>
      </c>
      <c r="W109" s="816" t="s">
        <v>198</v>
      </c>
      <c r="X109" s="816" t="s">
        <v>198</v>
      </c>
      <c r="Y109" s="816" t="s">
        <v>198</v>
      </c>
      <c r="Z109" s="816" t="s">
        <v>198</v>
      </c>
      <c r="AA109" s="816" t="s">
        <v>198</v>
      </c>
      <c r="AB109" s="816" t="s">
        <v>198</v>
      </c>
      <c r="AC109" s="816" t="s">
        <v>198</v>
      </c>
      <c r="AD109" s="816" t="s">
        <v>198</v>
      </c>
      <c r="AE109" s="816" t="s">
        <v>198</v>
      </c>
      <c r="AF109" s="816" t="s">
        <v>198</v>
      </c>
      <c r="AG109" s="816" t="s">
        <v>198</v>
      </c>
      <c r="AH109" s="816" t="s">
        <v>198</v>
      </c>
      <c r="AI109" s="816" t="s">
        <v>198</v>
      </c>
      <c r="AJ109" s="816" t="s">
        <v>198</v>
      </c>
      <c r="AK109" s="816" t="s">
        <v>198</v>
      </c>
      <c r="AL109" s="816" t="s">
        <v>198</v>
      </c>
      <c r="AM109" s="816" t="s">
        <v>198</v>
      </c>
      <c r="AN109" s="816" t="s">
        <v>198</v>
      </c>
      <c r="AO109" s="816" t="s">
        <v>198</v>
      </c>
      <c r="AP109" s="816" t="s">
        <v>198</v>
      </c>
      <c r="AQ109" s="816" t="s">
        <v>198</v>
      </c>
      <c r="AR109" s="816" t="s">
        <v>198</v>
      </c>
      <c r="AS109" s="816" t="s">
        <v>198</v>
      </c>
      <c r="AT109" s="816" t="s">
        <v>198</v>
      </c>
      <c r="AU109" s="816" t="s">
        <v>198</v>
      </c>
      <c r="AV109" s="816" t="s">
        <v>198</v>
      </c>
      <c r="AW109" s="816" t="s">
        <v>198</v>
      </c>
      <c r="AX109" s="816" t="s">
        <v>198</v>
      </c>
      <c r="AY109" s="816" t="s">
        <v>198</v>
      </c>
      <c r="AZ109" s="816" t="s">
        <v>198</v>
      </c>
      <c r="BA109" s="816" t="s">
        <v>198</v>
      </c>
      <c r="BB109" s="816" t="s">
        <v>198</v>
      </c>
      <c r="BC109" s="816" t="s">
        <v>198</v>
      </c>
      <c r="BD109" s="816" t="s">
        <v>198</v>
      </c>
      <c r="BE109" s="816" t="s">
        <v>198</v>
      </c>
      <c r="BF109" s="816" t="s">
        <v>198</v>
      </c>
      <c r="BG109" s="816"/>
      <c r="BH109" s="816" t="s">
        <v>198</v>
      </c>
      <c r="BI109" s="816" t="s">
        <v>198</v>
      </c>
      <c r="BJ109" s="816" t="s">
        <v>198</v>
      </c>
      <c r="BK109" s="816" t="s">
        <v>198</v>
      </c>
      <c r="BM109" s="816" t="s">
        <v>198</v>
      </c>
      <c r="BN109" s="816" t="s">
        <v>198</v>
      </c>
      <c r="BO109" s="816" t="s">
        <v>198</v>
      </c>
      <c r="BP109" s="816" t="s">
        <v>198</v>
      </c>
      <c r="BQ109" s="816" t="s">
        <v>198</v>
      </c>
      <c r="BR109" s="816" t="s">
        <v>198</v>
      </c>
      <c r="BS109" s="816" t="s">
        <v>198</v>
      </c>
      <c r="BT109" s="816" t="s">
        <v>198</v>
      </c>
      <c r="BU109" s="816" t="s">
        <v>198</v>
      </c>
    </row>
    <row r="110" spans="1:73" x14ac:dyDescent="0.35">
      <c r="A110" s="806" t="s">
        <v>1384</v>
      </c>
      <c r="B110" s="806" t="s">
        <v>1385</v>
      </c>
      <c r="C110" s="816" t="s">
        <v>198</v>
      </c>
      <c r="D110" s="816" t="s">
        <v>198</v>
      </c>
      <c r="E110" s="816" t="s">
        <v>198</v>
      </c>
      <c r="F110" s="816" t="s">
        <v>198</v>
      </c>
      <c r="G110" s="816" t="s">
        <v>198</v>
      </c>
      <c r="H110" s="816" t="s">
        <v>198</v>
      </c>
      <c r="I110" s="816" t="s">
        <v>198</v>
      </c>
      <c r="J110" s="816" t="s">
        <v>198</v>
      </c>
      <c r="K110" s="816" t="s">
        <v>198</v>
      </c>
      <c r="L110" s="816" t="s">
        <v>198</v>
      </c>
      <c r="M110" s="816" t="s">
        <v>198</v>
      </c>
      <c r="N110" s="816" t="s">
        <v>198</v>
      </c>
      <c r="O110" s="816" t="s">
        <v>198</v>
      </c>
      <c r="P110" s="816" t="s">
        <v>198</v>
      </c>
      <c r="Q110" s="816" t="s">
        <v>198</v>
      </c>
      <c r="R110" s="816" t="s">
        <v>198</v>
      </c>
      <c r="S110" s="816" t="s">
        <v>198</v>
      </c>
      <c r="T110" s="816" t="s">
        <v>198</v>
      </c>
      <c r="U110" s="816" t="s">
        <v>198</v>
      </c>
      <c r="V110" s="816" t="s">
        <v>198</v>
      </c>
      <c r="W110" s="816" t="s">
        <v>198</v>
      </c>
      <c r="X110" s="816"/>
      <c r="Y110" s="816" t="s">
        <v>198</v>
      </c>
      <c r="Z110" s="816"/>
      <c r="AA110" s="816" t="s">
        <v>198</v>
      </c>
      <c r="AC110" s="816"/>
      <c r="AD110" s="816"/>
      <c r="AE110" s="816" t="s">
        <v>198</v>
      </c>
      <c r="AF110" s="816" t="s">
        <v>198</v>
      </c>
      <c r="AG110" s="816" t="s">
        <v>198</v>
      </c>
      <c r="AH110" s="816" t="s">
        <v>198</v>
      </c>
      <c r="AI110" s="816" t="s">
        <v>198</v>
      </c>
      <c r="AJ110" s="816" t="s">
        <v>198</v>
      </c>
      <c r="AK110" s="816" t="s">
        <v>198</v>
      </c>
      <c r="AL110" s="816" t="s">
        <v>198</v>
      </c>
      <c r="AM110" s="816" t="s">
        <v>198</v>
      </c>
      <c r="AN110" s="816"/>
      <c r="AO110" s="816" t="s">
        <v>198</v>
      </c>
      <c r="AP110" s="816" t="s">
        <v>198</v>
      </c>
      <c r="AQ110" s="816" t="s">
        <v>198</v>
      </c>
      <c r="AR110" s="816" t="s">
        <v>198</v>
      </c>
      <c r="AS110" s="816"/>
      <c r="AT110" s="816" t="s">
        <v>198</v>
      </c>
      <c r="AU110" s="816"/>
      <c r="AV110" s="816" t="s">
        <v>198</v>
      </c>
      <c r="AW110" s="816" t="s">
        <v>198</v>
      </c>
      <c r="AX110" s="816" t="s">
        <v>198</v>
      </c>
      <c r="AY110" s="816" t="s">
        <v>198</v>
      </c>
      <c r="AZ110" s="816" t="s">
        <v>198</v>
      </c>
      <c r="BA110" s="816"/>
      <c r="BB110" s="816" t="s">
        <v>198</v>
      </c>
      <c r="BC110" s="816"/>
      <c r="BD110" s="816"/>
      <c r="BE110" s="816" t="s">
        <v>198</v>
      </c>
      <c r="BF110" s="816" t="s">
        <v>198</v>
      </c>
      <c r="BG110" s="816"/>
      <c r="BH110" s="816" t="s">
        <v>198</v>
      </c>
      <c r="BI110" s="816" t="s">
        <v>198</v>
      </c>
      <c r="BJ110" s="816" t="s">
        <v>198</v>
      </c>
      <c r="BK110" s="816" t="s">
        <v>198</v>
      </c>
      <c r="BM110" s="816" t="s">
        <v>198</v>
      </c>
      <c r="BN110" s="816" t="s">
        <v>198</v>
      </c>
      <c r="BO110" s="816" t="s">
        <v>198</v>
      </c>
      <c r="BP110" s="816" t="s">
        <v>198</v>
      </c>
      <c r="BQ110" s="816"/>
      <c r="BR110" s="816" t="s">
        <v>198</v>
      </c>
      <c r="BS110" s="816" t="s">
        <v>198</v>
      </c>
      <c r="BT110" s="816" t="s">
        <v>198</v>
      </c>
      <c r="BU110" s="816" t="s">
        <v>198</v>
      </c>
    </row>
    <row r="111" spans="1:73" x14ac:dyDescent="0.35">
      <c r="A111" s="806" t="s">
        <v>850</v>
      </c>
      <c r="B111" s="806" t="s">
        <v>853</v>
      </c>
      <c r="C111" s="816" t="s">
        <v>198</v>
      </c>
      <c r="D111" s="816" t="s">
        <v>198</v>
      </c>
      <c r="E111" s="816" t="s">
        <v>198</v>
      </c>
      <c r="F111" s="816" t="s">
        <v>198</v>
      </c>
      <c r="G111" s="816" t="s">
        <v>198</v>
      </c>
      <c r="H111" s="816" t="s">
        <v>198</v>
      </c>
      <c r="I111" s="816" t="s">
        <v>198</v>
      </c>
      <c r="J111" s="816" t="s">
        <v>198</v>
      </c>
      <c r="K111" s="816" t="s">
        <v>198</v>
      </c>
      <c r="L111" s="816" t="s">
        <v>198</v>
      </c>
      <c r="M111" s="816"/>
      <c r="N111" s="816" t="s">
        <v>198</v>
      </c>
      <c r="O111" s="816" t="s">
        <v>198</v>
      </c>
      <c r="P111" s="816" t="s">
        <v>198</v>
      </c>
      <c r="Q111" s="816" t="s">
        <v>198</v>
      </c>
      <c r="R111" s="816" t="s">
        <v>198</v>
      </c>
      <c r="S111" s="816" t="s">
        <v>198</v>
      </c>
      <c r="T111" s="816" t="s">
        <v>198</v>
      </c>
      <c r="U111" s="816" t="s">
        <v>198</v>
      </c>
      <c r="V111" s="816" t="s">
        <v>198</v>
      </c>
      <c r="W111" s="816" t="s">
        <v>198</v>
      </c>
      <c r="X111" s="816" t="s">
        <v>198</v>
      </c>
      <c r="Y111" s="816" t="s">
        <v>198</v>
      </c>
      <c r="Z111" s="816" t="s">
        <v>198</v>
      </c>
      <c r="AA111" s="816" t="s">
        <v>198</v>
      </c>
      <c r="AC111" s="816"/>
      <c r="AD111" s="816" t="s">
        <v>198</v>
      </c>
      <c r="AE111" s="816" t="s">
        <v>198</v>
      </c>
      <c r="AF111" s="816" t="s">
        <v>198</v>
      </c>
      <c r="AG111" s="816" t="s">
        <v>198</v>
      </c>
      <c r="AH111" s="816" t="s">
        <v>198</v>
      </c>
      <c r="AI111" s="816" t="s">
        <v>198</v>
      </c>
      <c r="AJ111" s="816" t="s">
        <v>198</v>
      </c>
      <c r="AK111" s="816" t="s">
        <v>198</v>
      </c>
      <c r="AL111" s="816" t="s">
        <v>198</v>
      </c>
      <c r="AM111" s="816" t="s">
        <v>198</v>
      </c>
      <c r="AN111" s="816" t="s">
        <v>198</v>
      </c>
      <c r="AO111" s="816" t="s">
        <v>198</v>
      </c>
      <c r="AP111" s="816" t="s">
        <v>198</v>
      </c>
      <c r="AQ111" s="816" t="s">
        <v>198</v>
      </c>
      <c r="AR111" s="816" t="s">
        <v>198</v>
      </c>
      <c r="AS111" s="816"/>
      <c r="AT111" s="816" t="s">
        <v>198</v>
      </c>
      <c r="AU111" s="816" t="s">
        <v>198</v>
      </c>
      <c r="AV111" s="816" t="s">
        <v>198</v>
      </c>
      <c r="AW111" s="816" t="s">
        <v>198</v>
      </c>
      <c r="AX111" s="816" t="s">
        <v>198</v>
      </c>
      <c r="AY111" s="816" t="s">
        <v>198</v>
      </c>
      <c r="AZ111" s="816" t="s">
        <v>198</v>
      </c>
      <c r="BA111" s="816" t="s">
        <v>198</v>
      </c>
      <c r="BB111" s="816" t="s">
        <v>198</v>
      </c>
      <c r="BC111" s="816"/>
      <c r="BD111" s="816" t="s">
        <v>198</v>
      </c>
      <c r="BE111" s="816" t="s">
        <v>198</v>
      </c>
      <c r="BF111" s="816" t="s">
        <v>198</v>
      </c>
      <c r="BG111" s="816"/>
      <c r="BH111" s="816" t="s">
        <v>198</v>
      </c>
      <c r="BI111" s="816" t="s">
        <v>198</v>
      </c>
      <c r="BJ111" s="816" t="s">
        <v>198</v>
      </c>
      <c r="BK111" s="816" t="s">
        <v>198</v>
      </c>
      <c r="BM111" s="816" t="s">
        <v>198</v>
      </c>
      <c r="BN111" s="816" t="s">
        <v>198</v>
      </c>
      <c r="BO111" s="816" t="s">
        <v>198</v>
      </c>
      <c r="BP111" s="816" t="s">
        <v>198</v>
      </c>
      <c r="BQ111" s="816" t="s">
        <v>198</v>
      </c>
      <c r="BR111" s="816" t="s">
        <v>198</v>
      </c>
      <c r="BS111" s="816" t="s">
        <v>198</v>
      </c>
      <c r="BT111" s="816" t="s">
        <v>198</v>
      </c>
      <c r="BU111" s="816" t="s">
        <v>198</v>
      </c>
    </row>
    <row r="112" spans="1:73" x14ac:dyDescent="0.35">
      <c r="A112" s="806" t="s">
        <v>850</v>
      </c>
      <c r="B112" s="806" t="s">
        <v>1158</v>
      </c>
      <c r="C112" s="806"/>
      <c r="D112" s="806"/>
      <c r="E112" s="806"/>
      <c r="F112" s="806"/>
      <c r="H112" s="816" t="s">
        <v>503</v>
      </c>
      <c r="I112" s="816"/>
      <c r="J112" s="816"/>
      <c r="K112" s="816"/>
      <c r="M112" s="816"/>
      <c r="N112" s="816"/>
      <c r="O112" s="816" t="s">
        <v>503</v>
      </c>
      <c r="P112" s="816" t="s">
        <v>198</v>
      </c>
      <c r="Q112" s="816"/>
      <c r="R112" s="816" t="s">
        <v>198</v>
      </c>
      <c r="S112" s="816" t="s">
        <v>198</v>
      </c>
      <c r="T112" s="816" t="s">
        <v>198</v>
      </c>
      <c r="U112" s="816"/>
      <c r="V112" s="816" t="s">
        <v>503</v>
      </c>
      <c r="W112" s="816" t="s">
        <v>503</v>
      </c>
      <c r="X112" s="816" t="s">
        <v>198</v>
      </c>
      <c r="Y112" s="816" t="s">
        <v>198</v>
      </c>
      <c r="Z112" s="816"/>
      <c r="AC112" s="816"/>
      <c r="AD112" s="816"/>
      <c r="AE112" s="816"/>
      <c r="AF112" s="816"/>
      <c r="AG112" s="816" t="s">
        <v>198</v>
      </c>
      <c r="AI112" s="816" t="s">
        <v>198</v>
      </c>
      <c r="AJ112" s="816"/>
      <c r="AK112" s="816" t="s">
        <v>198</v>
      </c>
      <c r="AL112" s="816" t="s">
        <v>503</v>
      </c>
      <c r="AM112" s="816"/>
      <c r="AN112" s="816"/>
      <c r="AO112" s="816" t="s">
        <v>503</v>
      </c>
      <c r="AP112" s="816" t="s">
        <v>503</v>
      </c>
      <c r="AQ112" s="816"/>
      <c r="AR112" s="816" t="s">
        <v>503</v>
      </c>
      <c r="AS112" s="816"/>
      <c r="AT112" s="816" t="s">
        <v>503</v>
      </c>
      <c r="AU112" s="816" t="s">
        <v>503</v>
      </c>
      <c r="AV112" s="816" t="s">
        <v>198</v>
      </c>
      <c r="AW112" s="816"/>
      <c r="AX112" s="816"/>
      <c r="AY112" s="816" t="s">
        <v>503</v>
      </c>
      <c r="AZ112" s="816" t="s">
        <v>503</v>
      </c>
      <c r="BA112" s="816"/>
      <c r="BB112" s="816" t="s">
        <v>198</v>
      </c>
      <c r="BC112" s="816"/>
      <c r="BD112" s="816"/>
      <c r="BE112" s="816" t="s">
        <v>503</v>
      </c>
      <c r="BF112" s="816"/>
      <c r="BG112" s="816"/>
      <c r="BH112" s="816" t="s">
        <v>198</v>
      </c>
      <c r="BI112" s="816"/>
      <c r="BJ112" s="816"/>
      <c r="BM112" s="816" t="s">
        <v>503</v>
      </c>
      <c r="BN112" s="816"/>
      <c r="BO112" s="816" t="s">
        <v>198</v>
      </c>
      <c r="BP112" s="816" t="s">
        <v>198</v>
      </c>
      <c r="BQ112" s="816"/>
      <c r="BR112" s="816"/>
      <c r="BS112" s="816" t="s">
        <v>503</v>
      </c>
      <c r="BT112" s="816" t="s">
        <v>198</v>
      </c>
      <c r="BU112" s="816"/>
    </row>
    <row r="113" spans="1:73" x14ac:dyDescent="0.35">
      <c r="A113" s="806" t="s">
        <v>850</v>
      </c>
      <c r="B113" s="806" t="s">
        <v>1159</v>
      </c>
      <c r="C113" s="806"/>
      <c r="D113" s="806"/>
      <c r="E113" s="806"/>
      <c r="F113" s="806"/>
      <c r="H113" s="816" t="s">
        <v>198</v>
      </c>
      <c r="I113" s="816"/>
      <c r="J113" s="816"/>
      <c r="K113" s="816"/>
      <c r="M113" s="816"/>
      <c r="N113" s="816"/>
      <c r="O113" s="816" t="s">
        <v>503</v>
      </c>
      <c r="P113" s="816" t="s">
        <v>503</v>
      </c>
      <c r="Q113" s="816"/>
      <c r="R113" s="816" t="s">
        <v>198</v>
      </c>
      <c r="S113" s="816" t="s">
        <v>198</v>
      </c>
      <c r="T113" s="816" t="s">
        <v>503</v>
      </c>
      <c r="U113" s="816"/>
      <c r="V113" s="816" t="s">
        <v>503</v>
      </c>
      <c r="W113" s="816" t="s">
        <v>503</v>
      </c>
      <c r="X113" s="816" t="s">
        <v>503</v>
      </c>
      <c r="Y113" s="816" t="s">
        <v>198</v>
      </c>
      <c r="Z113" s="816"/>
      <c r="AC113" s="816"/>
      <c r="AD113" s="816"/>
      <c r="AE113" s="816"/>
      <c r="AF113" s="816"/>
      <c r="AG113" s="816" t="s">
        <v>198</v>
      </c>
      <c r="AI113" s="816" t="s">
        <v>503</v>
      </c>
      <c r="AJ113" s="816"/>
      <c r="AK113" s="816" t="s">
        <v>503</v>
      </c>
      <c r="AL113" s="816" t="s">
        <v>503</v>
      </c>
      <c r="AM113" s="816"/>
      <c r="AN113" s="816"/>
      <c r="AO113" s="816" t="s">
        <v>503</v>
      </c>
      <c r="AP113" s="816" t="s">
        <v>503</v>
      </c>
      <c r="AQ113" s="816"/>
      <c r="AR113" s="816" t="s">
        <v>198</v>
      </c>
      <c r="AS113" s="816"/>
      <c r="AT113" s="816" t="s">
        <v>503</v>
      </c>
      <c r="AU113" s="816" t="s">
        <v>503</v>
      </c>
      <c r="AV113" s="816" t="s">
        <v>503</v>
      </c>
      <c r="AW113" s="816"/>
      <c r="AX113" s="816"/>
      <c r="AY113" s="816" t="s">
        <v>503</v>
      </c>
      <c r="AZ113" s="816" t="s">
        <v>503</v>
      </c>
      <c r="BA113" s="816"/>
      <c r="BB113" s="816" t="s">
        <v>198</v>
      </c>
      <c r="BC113" s="816"/>
      <c r="BD113" s="816"/>
      <c r="BE113" s="816" t="s">
        <v>503</v>
      </c>
      <c r="BF113" s="816"/>
      <c r="BG113" s="816"/>
      <c r="BH113" s="816" t="s">
        <v>503</v>
      </c>
      <c r="BI113" s="816"/>
      <c r="BJ113" s="816"/>
      <c r="BM113" s="816" t="s">
        <v>503</v>
      </c>
      <c r="BN113" s="816"/>
      <c r="BO113" s="816" t="s">
        <v>503</v>
      </c>
      <c r="BP113" s="816" t="s">
        <v>503</v>
      </c>
      <c r="BQ113" s="816"/>
      <c r="BR113" s="816"/>
      <c r="BS113" s="816" t="s">
        <v>503</v>
      </c>
      <c r="BT113" s="816" t="s">
        <v>503</v>
      </c>
      <c r="BU113" s="816"/>
    </row>
    <row r="114" spans="1:73" x14ac:dyDescent="0.35">
      <c r="A114" s="806" t="s">
        <v>850</v>
      </c>
      <c r="B114" s="806" t="s">
        <v>1465</v>
      </c>
      <c r="C114" s="806"/>
      <c r="D114" s="806"/>
      <c r="E114" s="806"/>
      <c r="F114" s="806"/>
      <c r="H114" s="816" t="s">
        <v>503</v>
      </c>
      <c r="I114" s="816"/>
      <c r="J114" s="816"/>
      <c r="K114" s="816"/>
      <c r="M114" s="816"/>
      <c r="N114" s="816"/>
      <c r="O114" s="816" t="s">
        <v>503</v>
      </c>
      <c r="P114" s="816" t="s">
        <v>198</v>
      </c>
      <c r="Q114" s="816"/>
      <c r="R114" s="816" t="s">
        <v>503</v>
      </c>
      <c r="S114" s="816" t="s">
        <v>503</v>
      </c>
      <c r="T114" s="816" t="s">
        <v>503</v>
      </c>
      <c r="U114" s="816"/>
      <c r="V114" s="816" t="s">
        <v>503</v>
      </c>
      <c r="W114" s="816" t="s">
        <v>503</v>
      </c>
      <c r="X114" s="816" t="s">
        <v>198</v>
      </c>
      <c r="Y114" s="816" t="s">
        <v>503</v>
      </c>
      <c r="Z114" s="816"/>
      <c r="AC114" s="816"/>
      <c r="AD114" s="816"/>
      <c r="AE114" s="816"/>
      <c r="AF114" s="816"/>
      <c r="AG114" s="816" t="s">
        <v>503</v>
      </c>
      <c r="AI114" s="816" t="s">
        <v>503</v>
      </c>
      <c r="AJ114" s="816"/>
      <c r="AK114" s="816" t="s">
        <v>503</v>
      </c>
      <c r="AL114" s="816" t="s">
        <v>503</v>
      </c>
      <c r="AM114" s="816"/>
      <c r="AN114" s="816"/>
      <c r="AO114" s="816" t="s">
        <v>503</v>
      </c>
      <c r="AP114" s="816" t="s">
        <v>503</v>
      </c>
      <c r="AQ114" s="816"/>
      <c r="AR114" s="816" t="s">
        <v>503</v>
      </c>
      <c r="AS114" s="816"/>
      <c r="AT114" s="816" t="s">
        <v>503</v>
      </c>
      <c r="AU114" s="816" t="s">
        <v>503</v>
      </c>
      <c r="AV114" s="816" t="s">
        <v>503</v>
      </c>
      <c r="AW114" s="816"/>
      <c r="AX114" s="816"/>
      <c r="AY114" s="816" t="s">
        <v>503</v>
      </c>
      <c r="AZ114" s="816" t="s">
        <v>198</v>
      </c>
      <c r="BA114" s="816"/>
      <c r="BB114" s="816" t="s">
        <v>198</v>
      </c>
      <c r="BC114" s="816"/>
      <c r="BD114" s="816"/>
      <c r="BE114" s="816" t="s">
        <v>503</v>
      </c>
      <c r="BF114" s="816"/>
      <c r="BG114" s="816"/>
      <c r="BH114" s="816" t="s">
        <v>503</v>
      </c>
      <c r="BI114" s="816"/>
      <c r="BJ114" s="816"/>
      <c r="BM114" s="816" t="s">
        <v>503</v>
      </c>
      <c r="BN114" s="816"/>
      <c r="BO114" s="816" t="s">
        <v>503</v>
      </c>
      <c r="BP114" s="816" t="s">
        <v>503</v>
      </c>
      <c r="BQ114" s="816"/>
      <c r="BR114" s="816"/>
      <c r="BS114" s="816" t="s">
        <v>503</v>
      </c>
      <c r="BT114" s="816" t="s">
        <v>503</v>
      </c>
      <c r="BU114" s="816"/>
    </row>
    <row r="115" spans="1:73" x14ac:dyDescent="0.35">
      <c r="A115" s="806" t="s">
        <v>743</v>
      </c>
      <c r="B115" s="806" t="s">
        <v>796</v>
      </c>
      <c r="C115" s="19" t="s">
        <v>198</v>
      </c>
      <c r="D115" s="19" t="s">
        <v>198</v>
      </c>
      <c r="E115" s="19" t="s">
        <v>198</v>
      </c>
      <c r="G115" s="816" t="s">
        <v>198</v>
      </c>
      <c r="H115" s="816" t="s">
        <v>198</v>
      </c>
      <c r="I115" s="816" t="s">
        <v>198</v>
      </c>
      <c r="J115" s="816" t="s">
        <v>198</v>
      </c>
      <c r="K115" s="816" t="s">
        <v>198</v>
      </c>
      <c r="L115" s="816" t="s">
        <v>198</v>
      </c>
      <c r="M115" s="816" t="s">
        <v>198</v>
      </c>
      <c r="N115" s="816" t="s">
        <v>198</v>
      </c>
      <c r="O115" s="816" t="s">
        <v>198</v>
      </c>
      <c r="P115" s="816"/>
      <c r="Q115" s="816" t="s">
        <v>198</v>
      </c>
      <c r="S115" s="816" t="s">
        <v>198</v>
      </c>
      <c r="T115" s="816" t="s">
        <v>198</v>
      </c>
      <c r="U115" s="816"/>
      <c r="V115" s="816"/>
      <c r="W115" s="816" t="s">
        <v>198</v>
      </c>
      <c r="X115" s="816" t="s">
        <v>198</v>
      </c>
      <c r="Y115" s="816" t="s">
        <v>198</v>
      </c>
      <c r="Z115" s="816" t="s">
        <v>198</v>
      </c>
      <c r="AA115" s="816" t="s">
        <v>198</v>
      </c>
      <c r="AC115" s="816" t="s">
        <v>198</v>
      </c>
      <c r="AD115" s="816" t="s">
        <v>198</v>
      </c>
      <c r="AE115" s="816"/>
      <c r="AF115" s="816" t="s">
        <v>198</v>
      </c>
      <c r="AG115" s="816" t="s">
        <v>198</v>
      </c>
      <c r="AH115" s="816" t="s">
        <v>198</v>
      </c>
      <c r="AI115" s="816" t="s">
        <v>198</v>
      </c>
      <c r="AJ115" s="816"/>
      <c r="AK115" s="816"/>
      <c r="AL115" s="816"/>
      <c r="AM115" s="816" t="s">
        <v>198</v>
      </c>
      <c r="AN115" s="816" t="s">
        <v>198</v>
      </c>
      <c r="AO115" s="816" t="s">
        <v>198</v>
      </c>
      <c r="AP115" s="816"/>
      <c r="AQ115" s="816" t="s">
        <v>198</v>
      </c>
      <c r="AR115" s="816" t="s">
        <v>198</v>
      </c>
      <c r="AS115" s="816" t="s">
        <v>198</v>
      </c>
      <c r="AT115" s="816" t="s">
        <v>198</v>
      </c>
      <c r="AU115" s="816" t="s">
        <v>198</v>
      </c>
      <c r="AV115" s="816" t="s">
        <v>198</v>
      </c>
      <c r="AW115" s="816"/>
      <c r="AX115" s="816"/>
      <c r="AY115" s="816" t="s">
        <v>198</v>
      </c>
      <c r="AZ115" s="816"/>
      <c r="BA115" s="816"/>
      <c r="BB115" s="816" t="s">
        <v>198</v>
      </c>
      <c r="BC115" s="816"/>
      <c r="BD115" s="816" t="s">
        <v>198</v>
      </c>
      <c r="BE115" s="816" t="s">
        <v>198</v>
      </c>
      <c r="BF115" s="816" t="s">
        <v>198</v>
      </c>
      <c r="BG115" s="816"/>
      <c r="BH115" s="816"/>
      <c r="BI115" s="816" t="s">
        <v>198</v>
      </c>
      <c r="BJ115" s="816" t="s">
        <v>198</v>
      </c>
      <c r="BM115" s="816" t="s">
        <v>198</v>
      </c>
      <c r="BN115" s="816" t="s">
        <v>198</v>
      </c>
      <c r="BO115" s="816" t="s">
        <v>198</v>
      </c>
      <c r="BQ115" s="816"/>
      <c r="BR115" s="816" t="s">
        <v>198</v>
      </c>
      <c r="BS115" s="816" t="s">
        <v>198</v>
      </c>
      <c r="BT115" s="816"/>
      <c r="BU115" s="816" t="s">
        <v>198</v>
      </c>
    </row>
    <row r="116" spans="1:73" ht="409.5" x14ac:dyDescent="0.35">
      <c r="A116" s="806" t="s">
        <v>743</v>
      </c>
      <c r="B116" s="806" t="s">
        <v>797</v>
      </c>
      <c r="C116" s="19" t="s">
        <v>2492</v>
      </c>
      <c r="D116" s="19" t="s">
        <v>2497</v>
      </c>
      <c r="E116" s="19" t="s">
        <v>2534</v>
      </c>
      <c r="G116" s="816" t="s">
        <v>2549</v>
      </c>
      <c r="H116" s="816" t="s">
        <v>2571</v>
      </c>
      <c r="I116" s="816" t="s">
        <v>2587</v>
      </c>
      <c r="J116" s="816" t="s">
        <v>2613</v>
      </c>
      <c r="K116" s="816" t="s">
        <v>2626</v>
      </c>
      <c r="L116" s="816" t="s">
        <v>2655</v>
      </c>
      <c r="M116" s="816" t="s">
        <v>1930</v>
      </c>
      <c r="N116" s="816" t="s">
        <v>2710</v>
      </c>
      <c r="O116" s="816" t="s">
        <v>2751</v>
      </c>
      <c r="P116" s="816"/>
      <c r="Q116" s="816" t="s">
        <v>2786</v>
      </c>
      <c r="S116" s="816" t="s">
        <v>2822</v>
      </c>
      <c r="T116" s="816" t="s">
        <v>2838</v>
      </c>
      <c r="U116" s="816"/>
      <c r="V116" s="816"/>
      <c r="W116" s="816" t="s">
        <v>2895</v>
      </c>
      <c r="X116" s="816" t="s">
        <v>2915</v>
      </c>
      <c r="Y116" s="816" t="s">
        <v>2932</v>
      </c>
      <c r="Z116" s="816" t="s">
        <v>2953</v>
      </c>
      <c r="AA116" s="816" t="s">
        <v>3005</v>
      </c>
      <c r="AC116" s="816" t="s">
        <v>3059</v>
      </c>
      <c r="AD116" s="816" t="s">
        <v>3074</v>
      </c>
      <c r="AE116" s="816"/>
      <c r="AF116" s="816" t="s">
        <v>3107</v>
      </c>
      <c r="AG116" s="816" t="s">
        <v>3134</v>
      </c>
      <c r="AH116" s="816" t="s">
        <v>3171</v>
      </c>
      <c r="AI116" s="816" t="s">
        <v>3217</v>
      </c>
      <c r="AJ116" s="816"/>
      <c r="AL116" s="816"/>
      <c r="AM116" s="816" t="s">
        <v>3287</v>
      </c>
      <c r="AN116" s="816" t="s">
        <v>1956</v>
      </c>
      <c r="AO116" s="816" t="s">
        <v>3358</v>
      </c>
      <c r="AP116" s="816"/>
      <c r="AQ116" s="816" t="s">
        <v>3385</v>
      </c>
      <c r="AR116" s="816" t="s">
        <v>3406</v>
      </c>
      <c r="AS116" s="816" t="s">
        <v>3430</v>
      </c>
      <c r="AT116" s="816" t="s">
        <v>3452</v>
      </c>
      <c r="AU116" s="816" t="s">
        <v>3466</v>
      </c>
      <c r="AV116" s="816" t="s">
        <v>3481</v>
      </c>
      <c r="AW116" s="816"/>
      <c r="AX116" s="816"/>
      <c r="AY116" s="816" t="s">
        <v>3567</v>
      </c>
      <c r="AZ116" s="816"/>
      <c r="BA116" s="816"/>
      <c r="BB116" s="816" t="s">
        <v>3663</v>
      </c>
      <c r="BC116" s="816"/>
      <c r="BD116" s="816" t="s">
        <v>3697</v>
      </c>
      <c r="BE116" s="816" t="s">
        <v>3751</v>
      </c>
      <c r="BF116" s="816" t="s">
        <v>3770</v>
      </c>
      <c r="BG116" s="816"/>
      <c r="BH116" s="816"/>
      <c r="BI116" s="816" t="s">
        <v>3937</v>
      </c>
      <c r="BJ116" s="816" t="s">
        <v>3960</v>
      </c>
      <c r="BM116" s="816" t="s">
        <v>4226</v>
      </c>
      <c r="BN116" s="816" t="s">
        <v>4242</v>
      </c>
      <c r="BO116" s="816" t="s">
        <v>4264</v>
      </c>
      <c r="BQ116" s="816"/>
      <c r="BR116" s="816" t="s">
        <v>4322</v>
      </c>
      <c r="BS116" s="816" t="s">
        <v>3567</v>
      </c>
      <c r="BT116" s="816"/>
      <c r="BU116" s="816" t="s">
        <v>4359</v>
      </c>
    </row>
    <row r="117" spans="1:73" x14ac:dyDescent="0.35">
      <c r="A117" s="806" t="s">
        <v>732</v>
      </c>
      <c r="B117" s="806" t="s">
        <v>747</v>
      </c>
      <c r="C117" s="19" t="s">
        <v>2476</v>
      </c>
      <c r="D117" s="19" t="s">
        <v>2476</v>
      </c>
      <c r="E117" s="19" t="s">
        <v>2476</v>
      </c>
      <c r="F117" s="19" t="s">
        <v>1958</v>
      </c>
      <c r="G117" s="816" t="s">
        <v>2476</v>
      </c>
      <c r="H117" s="816" t="s">
        <v>2476</v>
      </c>
      <c r="I117" s="816" t="s">
        <v>2476</v>
      </c>
      <c r="J117" s="816" t="s">
        <v>2476</v>
      </c>
      <c r="K117" s="816" t="s">
        <v>2476</v>
      </c>
      <c r="L117" s="816" t="s">
        <v>2476</v>
      </c>
      <c r="M117" s="816" t="s">
        <v>2476</v>
      </c>
      <c r="N117" s="816" t="s">
        <v>2476</v>
      </c>
      <c r="O117" s="816" t="s">
        <v>2476</v>
      </c>
      <c r="P117" s="816"/>
      <c r="Q117" s="816" t="s">
        <v>2476</v>
      </c>
      <c r="R117" s="816"/>
      <c r="S117" s="816" t="s">
        <v>2476</v>
      </c>
      <c r="T117" s="816" t="s">
        <v>2476</v>
      </c>
      <c r="U117" s="816"/>
      <c r="V117" s="816"/>
      <c r="W117" s="816" t="s">
        <v>2476</v>
      </c>
      <c r="X117" s="816" t="s">
        <v>900</v>
      </c>
      <c r="Y117" s="816" t="s">
        <v>2476</v>
      </c>
      <c r="Z117" s="816" t="s">
        <v>900</v>
      </c>
      <c r="AA117" s="816" t="s">
        <v>2476</v>
      </c>
      <c r="AB117" s="816" t="s">
        <v>1958</v>
      </c>
      <c r="AC117" s="816" t="s">
        <v>900</v>
      </c>
      <c r="AD117" s="816" t="s">
        <v>900</v>
      </c>
      <c r="AE117" s="816"/>
      <c r="AF117" s="816" t="s">
        <v>2476</v>
      </c>
      <c r="AG117" s="816" t="s">
        <v>2476</v>
      </c>
      <c r="AH117" s="816" t="s">
        <v>2476</v>
      </c>
      <c r="AI117" s="816" t="s">
        <v>2476</v>
      </c>
      <c r="AJ117" s="816"/>
      <c r="AK117" s="816" t="s">
        <v>1958</v>
      </c>
      <c r="AL117" s="816"/>
      <c r="AM117" s="816" t="s">
        <v>2476</v>
      </c>
      <c r="AN117" s="816"/>
      <c r="AO117" s="816" t="s">
        <v>2476</v>
      </c>
      <c r="AP117" s="816"/>
      <c r="AQ117" s="816" t="s">
        <v>2476</v>
      </c>
      <c r="AR117" s="816" t="s">
        <v>2476</v>
      </c>
      <c r="AS117" s="816" t="s">
        <v>2476</v>
      </c>
      <c r="AT117" s="816" t="s">
        <v>2476</v>
      </c>
      <c r="AU117" s="816" t="s">
        <v>2476</v>
      </c>
      <c r="AV117" s="816" t="s">
        <v>2476</v>
      </c>
      <c r="AW117" s="816"/>
      <c r="AX117" s="816"/>
      <c r="AY117" s="816" t="s">
        <v>2476</v>
      </c>
      <c r="AZ117" s="816" t="s">
        <v>1958</v>
      </c>
      <c r="BA117" s="816"/>
      <c r="BB117" s="816" t="s">
        <v>2476</v>
      </c>
      <c r="BC117" s="816"/>
      <c r="BD117" s="816" t="s">
        <v>2476</v>
      </c>
      <c r="BE117" s="816" t="s">
        <v>2476</v>
      </c>
      <c r="BF117" s="816" t="s">
        <v>2476</v>
      </c>
      <c r="BG117" s="816"/>
      <c r="BH117" s="816"/>
      <c r="BI117" s="816" t="s">
        <v>2476</v>
      </c>
      <c r="BJ117" s="816" t="s">
        <v>2476</v>
      </c>
      <c r="BK117" s="816" t="s">
        <v>1958</v>
      </c>
      <c r="BM117" s="816" t="s">
        <v>2476</v>
      </c>
      <c r="BN117" s="816" t="s">
        <v>2476</v>
      </c>
      <c r="BO117" s="816" t="s">
        <v>2476</v>
      </c>
      <c r="BP117" s="816"/>
      <c r="BQ117" s="816"/>
      <c r="BR117" s="816" t="s">
        <v>2476</v>
      </c>
      <c r="BS117" s="816" t="s">
        <v>2476</v>
      </c>
      <c r="BT117" s="816"/>
      <c r="BU117" s="816" t="s">
        <v>2476</v>
      </c>
    </row>
    <row r="118" spans="1:73" ht="29" x14ac:dyDescent="0.35">
      <c r="A118" s="806" t="s">
        <v>743</v>
      </c>
      <c r="B118" s="806" t="s">
        <v>798</v>
      </c>
      <c r="C118" s="19" t="s">
        <v>198</v>
      </c>
      <c r="D118" s="19" t="s">
        <v>198</v>
      </c>
      <c r="E118" s="19" t="s">
        <v>198</v>
      </c>
      <c r="G118" s="816" t="s">
        <v>198</v>
      </c>
      <c r="H118" s="816" t="s">
        <v>198</v>
      </c>
      <c r="I118" s="816" t="s">
        <v>198</v>
      </c>
      <c r="J118" s="816" t="s">
        <v>198</v>
      </c>
      <c r="K118" s="816" t="s">
        <v>198</v>
      </c>
      <c r="L118" s="816" t="s">
        <v>198</v>
      </c>
      <c r="M118" s="816" t="s">
        <v>198</v>
      </c>
      <c r="N118" s="816" t="s">
        <v>198</v>
      </c>
      <c r="O118" s="816" t="s">
        <v>198</v>
      </c>
      <c r="P118" s="816"/>
      <c r="Q118" s="816" t="s">
        <v>198</v>
      </c>
      <c r="S118" s="816" t="s">
        <v>198</v>
      </c>
      <c r="T118" s="816" t="s">
        <v>198</v>
      </c>
      <c r="U118" s="816"/>
      <c r="V118" s="816"/>
      <c r="W118" s="816" t="s">
        <v>198</v>
      </c>
      <c r="X118" s="816" t="s">
        <v>198</v>
      </c>
      <c r="Y118" s="816" t="s">
        <v>198</v>
      </c>
      <c r="Z118" s="816" t="s">
        <v>198</v>
      </c>
      <c r="AA118" s="816" t="s">
        <v>198</v>
      </c>
      <c r="AC118" s="816" t="s">
        <v>198</v>
      </c>
      <c r="AD118" s="816" t="s">
        <v>198</v>
      </c>
      <c r="AE118" s="816"/>
      <c r="AF118" s="816" t="s">
        <v>198</v>
      </c>
      <c r="AG118" s="816" t="s">
        <v>198</v>
      </c>
      <c r="AH118" s="816" t="s">
        <v>198</v>
      </c>
      <c r="AI118" s="816" t="s">
        <v>198</v>
      </c>
      <c r="AJ118" s="816"/>
      <c r="AK118" s="816"/>
      <c r="AL118" s="816"/>
      <c r="AM118" s="816" t="s">
        <v>198</v>
      </c>
      <c r="AN118" s="816" t="s">
        <v>198</v>
      </c>
      <c r="AO118" s="816" t="s">
        <v>198</v>
      </c>
      <c r="AP118" s="816"/>
      <c r="AQ118" s="816" t="s">
        <v>198</v>
      </c>
      <c r="AR118" s="816" t="s">
        <v>198</v>
      </c>
      <c r="AS118" s="816" t="s">
        <v>198</v>
      </c>
      <c r="AT118" s="816" t="s">
        <v>198</v>
      </c>
      <c r="AU118" s="816" t="s">
        <v>198</v>
      </c>
      <c r="AV118" s="816" t="s">
        <v>198</v>
      </c>
      <c r="AW118" s="816"/>
      <c r="AX118" s="816"/>
      <c r="AY118" s="816" t="s">
        <v>198</v>
      </c>
      <c r="AZ118" s="816"/>
      <c r="BA118" s="816"/>
      <c r="BB118" s="816" t="s">
        <v>198</v>
      </c>
      <c r="BC118" s="816"/>
      <c r="BD118" s="816" t="s">
        <v>198</v>
      </c>
      <c r="BE118" s="816" t="s">
        <v>198</v>
      </c>
      <c r="BF118" s="816" t="s">
        <v>198</v>
      </c>
      <c r="BG118" s="816"/>
      <c r="BH118" s="816"/>
      <c r="BI118" s="816" t="s">
        <v>198</v>
      </c>
      <c r="BJ118" s="816" t="s">
        <v>198</v>
      </c>
      <c r="BM118" s="816" t="s">
        <v>198</v>
      </c>
      <c r="BN118" s="816" t="s">
        <v>198</v>
      </c>
      <c r="BO118" s="816" t="s">
        <v>198</v>
      </c>
      <c r="BQ118" s="816"/>
      <c r="BR118" s="816" t="s">
        <v>198</v>
      </c>
      <c r="BS118" s="816" t="s">
        <v>198</v>
      </c>
      <c r="BT118" s="816"/>
      <c r="BU118" s="816" t="s">
        <v>198</v>
      </c>
    </row>
    <row r="119" spans="1:73" ht="29" x14ac:dyDescent="0.35">
      <c r="A119" s="806" t="s">
        <v>743</v>
      </c>
      <c r="B119" s="806" t="s">
        <v>799</v>
      </c>
      <c r="C119" s="19" t="b">
        <v>1</v>
      </c>
      <c r="D119" s="19" t="b">
        <v>1</v>
      </c>
      <c r="E119" s="19" t="b">
        <v>1</v>
      </c>
      <c r="G119" s="816" t="b">
        <v>1</v>
      </c>
      <c r="H119" s="816" t="b">
        <v>1</v>
      </c>
      <c r="I119" s="816" t="b">
        <v>1</v>
      </c>
      <c r="J119" s="816" t="b">
        <v>1</v>
      </c>
      <c r="K119" s="816" t="b">
        <v>1</v>
      </c>
      <c r="L119" s="816" t="b">
        <v>1</v>
      </c>
      <c r="M119" s="816" t="b">
        <v>1</v>
      </c>
      <c r="N119" s="816" t="b">
        <v>1</v>
      </c>
      <c r="O119" s="816" t="b">
        <v>1</v>
      </c>
      <c r="P119" s="816"/>
      <c r="Q119" s="816" t="b">
        <v>1</v>
      </c>
      <c r="R119" s="816"/>
      <c r="S119" s="816" t="b">
        <v>1</v>
      </c>
      <c r="T119" s="816" t="b">
        <v>1</v>
      </c>
      <c r="U119" s="816"/>
      <c r="V119" s="816"/>
      <c r="W119" s="816" t="b">
        <v>1</v>
      </c>
      <c r="X119" s="816" t="b">
        <v>1</v>
      </c>
      <c r="Y119" s="816" t="b">
        <v>1</v>
      </c>
      <c r="Z119" s="816" t="b">
        <v>1</v>
      </c>
      <c r="AA119" s="816" t="b">
        <v>1</v>
      </c>
      <c r="AC119" s="816" t="b">
        <v>1</v>
      </c>
      <c r="AD119" s="816" t="b">
        <v>1</v>
      </c>
      <c r="AE119" s="816"/>
      <c r="AF119" s="816" t="b">
        <v>1</v>
      </c>
      <c r="AG119" s="816" t="b">
        <v>1</v>
      </c>
      <c r="AH119" s="816" t="b">
        <v>1</v>
      </c>
      <c r="AI119" s="816" t="b">
        <v>1</v>
      </c>
      <c r="AJ119" s="816"/>
      <c r="AK119" s="816" t="b">
        <v>0</v>
      </c>
      <c r="AL119" s="816"/>
      <c r="AM119" s="816" t="b">
        <v>1</v>
      </c>
      <c r="AN119" s="816" t="b">
        <v>1</v>
      </c>
      <c r="AO119" s="816" t="b">
        <v>1</v>
      </c>
      <c r="AP119" s="816"/>
      <c r="AQ119" s="816" t="b">
        <v>1</v>
      </c>
      <c r="AR119" s="816" t="b">
        <v>1</v>
      </c>
      <c r="AS119" s="816" t="b">
        <v>1</v>
      </c>
      <c r="AT119" s="816" t="b">
        <v>1</v>
      </c>
      <c r="AU119" s="816" t="b">
        <v>1</v>
      </c>
      <c r="AV119" s="816" t="b">
        <v>1</v>
      </c>
      <c r="AW119" s="816"/>
      <c r="AX119" s="816"/>
      <c r="AY119" s="816" t="b">
        <v>1</v>
      </c>
      <c r="AZ119" s="816"/>
      <c r="BA119" s="816"/>
      <c r="BB119" s="816" t="b">
        <v>1</v>
      </c>
      <c r="BC119" s="816"/>
      <c r="BD119" s="816" t="b">
        <v>1</v>
      </c>
      <c r="BE119" s="816" t="b">
        <v>1</v>
      </c>
      <c r="BF119" s="816" t="b">
        <v>1</v>
      </c>
      <c r="BG119" s="816"/>
      <c r="BH119" s="816"/>
      <c r="BI119" s="816" t="b">
        <v>1</v>
      </c>
      <c r="BJ119" s="816" t="b">
        <v>1</v>
      </c>
      <c r="BM119" s="816" t="b">
        <v>1</v>
      </c>
      <c r="BN119" s="816" t="b">
        <v>1</v>
      </c>
      <c r="BO119" s="816" t="b">
        <v>1</v>
      </c>
      <c r="BQ119" s="816"/>
      <c r="BR119" s="816" t="b">
        <v>1</v>
      </c>
      <c r="BS119" s="816" t="b">
        <v>1</v>
      </c>
      <c r="BT119" s="816"/>
      <c r="BU119" s="816" t="b">
        <v>1</v>
      </c>
    </row>
    <row r="120" spans="1:73" ht="29" x14ac:dyDescent="0.35">
      <c r="A120" s="806" t="s">
        <v>743</v>
      </c>
      <c r="B120" s="806" t="s">
        <v>800</v>
      </c>
      <c r="C120" s="19" t="s">
        <v>198</v>
      </c>
      <c r="D120" s="19" t="s">
        <v>198</v>
      </c>
      <c r="E120" s="19" t="s">
        <v>198</v>
      </c>
      <c r="G120" s="816" t="s">
        <v>198</v>
      </c>
      <c r="H120" s="816" t="s">
        <v>198</v>
      </c>
      <c r="I120" s="816" t="s">
        <v>198</v>
      </c>
      <c r="J120" s="816" t="s">
        <v>198</v>
      </c>
      <c r="K120" s="816" t="s">
        <v>198</v>
      </c>
      <c r="L120" s="816" t="s">
        <v>198</v>
      </c>
      <c r="M120" s="816" t="s">
        <v>198</v>
      </c>
      <c r="N120" s="816" t="s">
        <v>198</v>
      </c>
      <c r="O120" s="816" t="s">
        <v>198</v>
      </c>
      <c r="P120" s="816"/>
      <c r="Q120" s="816" t="s">
        <v>198</v>
      </c>
      <c r="S120" s="816" t="s">
        <v>198</v>
      </c>
      <c r="T120" s="816" t="s">
        <v>198</v>
      </c>
      <c r="U120" s="816"/>
      <c r="V120" s="816"/>
      <c r="W120" s="816" t="s">
        <v>198</v>
      </c>
      <c r="X120" s="816" t="s">
        <v>198</v>
      </c>
      <c r="Y120" s="816" t="s">
        <v>198</v>
      </c>
      <c r="Z120" s="816" t="s">
        <v>198</v>
      </c>
      <c r="AA120" s="816" t="s">
        <v>198</v>
      </c>
      <c r="AC120" s="816" t="s">
        <v>198</v>
      </c>
      <c r="AD120" s="816" t="s">
        <v>198</v>
      </c>
      <c r="AE120" s="816"/>
      <c r="AF120" s="816" t="s">
        <v>198</v>
      </c>
      <c r="AG120" s="816" t="s">
        <v>198</v>
      </c>
      <c r="AH120" s="816" t="s">
        <v>198</v>
      </c>
      <c r="AI120" s="816" t="s">
        <v>198</v>
      </c>
      <c r="AJ120" s="816"/>
      <c r="AK120" s="816"/>
      <c r="AL120" s="816"/>
      <c r="AM120" s="816" t="s">
        <v>198</v>
      </c>
      <c r="AN120" s="816" t="s">
        <v>198</v>
      </c>
      <c r="AO120" s="816" t="s">
        <v>198</v>
      </c>
      <c r="AP120" s="816"/>
      <c r="AQ120" s="816" t="s">
        <v>198</v>
      </c>
      <c r="AR120" s="816" t="s">
        <v>198</v>
      </c>
      <c r="AS120" s="816" t="s">
        <v>198</v>
      </c>
      <c r="AT120" s="816" t="s">
        <v>198</v>
      </c>
      <c r="AU120" s="816" t="s">
        <v>198</v>
      </c>
      <c r="AV120" s="816" t="s">
        <v>198</v>
      </c>
      <c r="AW120" s="816"/>
      <c r="AX120" s="816"/>
      <c r="AY120" s="816" t="s">
        <v>198</v>
      </c>
      <c r="AZ120" s="816"/>
      <c r="BA120" s="816"/>
      <c r="BB120" s="816" t="s">
        <v>198</v>
      </c>
      <c r="BC120" s="816"/>
      <c r="BD120" s="816" t="s">
        <v>198</v>
      </c>
      <c r="BE120" s="816" t="s">
        <v>198</v>
      </c>
      <c r="BF120" s="816" t="s">
        <v>198</v>
      </c>
      <c r="BG120" s="816"/>
      <c r="BH120" s="816"/>
      <c r="BI120" s="816" t="s">
        <v>198</v>
      </c>
      <c r="BJ120" s="816" t="s">
        <v>198</v>
      </c>
      <c r="BM120" s="816" t="s">
        <v>198</v>
      </c>
      <c r="BN120" s="816" t="s">
        <v>198</v>
      </c>
      <c r="BO120" s="816" t="s">
        <v>198</v>
      </c>
      <c r="BQ120" s="816"/>
      <c r="BR120" s="816" t="s">
        <v>198</v>
      </c>
      <c r="BS120" s="816" t="s">
        <v>198</v>
      </c>
      <c r="BT120" s="816"/>
      <c r="BU120" s="816" t="s">
        <v>198</v>
      </c>
    </row>
    <row r="121" spans="1:73" ht="29" x14ac:dyDescent="0.35">
      <c r="A121" s="806" t="s">
        <v>743</v>
      </c>
      <c r="B121" s="806" t="s">
        <v>745</v>
      </c>
      <c r="C121" s="19" t="s">
        <v>1959</v>
      </c>
      <c r="D121" s="19" t="s">
        <v>1959</v>
      </c>
      <c r="E121" s="19" t="s">
        <v>1959</v>
      </c>
      <c r="F121" s="19"/>
      <c r="G121" s="816" t="s">
        <v>1959</v>
      </c>
      <c r="H121" s="816" t="s">
        <v>2475</v>
      </c>
      <c r="I121" s="816" t="s">
        <v>1959</v>
      </c>
      <c r="J121" s="816" t="s">
        <v>1959</v>
      </c>
      <c r="K121" s="816" t="s">
        <v>1959</v>
      </c>
      <c r="L121" s="816" t="s">
        <v>1959</v>
      </c>
      <c r="M121" s="816" t="s">
        <v>1959</v>
      </c>
      <c r="N121" s="816" t="s">
        <v>1959</v>
      </c>
      <c r="O121" s="816" t="s">
        <v>1959</v>
      </c>
      <c r="P121" s="816"/>
      <c r="Q121" s="816" t="s">
        <v>1959</v>
      </c>
      <c r="R121" s="816"/>
      <c r="S121" s="816" t="s">
        <v>1959</v>
      </c>
      <c r="T121" s="816" t="s">
        <v>1959</v>
      </c>
      <c r="U121" s="816"/>
      <c r="V121" s="816"/>
      <c r="W121" s="816" t="s">
        <v>1959</v>
      </c>
      <c r="X121" s="816" t="s">
        <v>1959</v>
      </c>
      <c r="Y121" s="816" t="s">
        <v>1959</v>
      </c>
      <c r="Z121" s="816" t="s">
        <v>1959</v>
      </c>
      <c r="AA121" s="816" t="s">
        <v>1959</v>
      </c>
      <c r="AB121" s="817"/>
      <c r="AC121" s="816" t="s">
        <v>1959</v>
      </c>
      <c r="AD121" s="816" t="s">
        <v>1959</v>
      </c>
      <c r="AE121" s="816"/>
      <c r="AF121" s="816" t="s">
        <v>1959</v>
      </c>
      <c r="AG121" s="816" t="s">
        <v>1959</v>
      </c>
      <c r="AH121" s="816" t="s">
        <v>1959</v>
      </c>
      <c r="AI121" s="816" t="s">
        <v>1959</v>
      </c>
      <c r="AJ121" s="816"/>
      <c r="AK121" s="816" t="s">
        <v>1959</v>
      </c>
      <c r="AL121" s="816"/>
      <c r="AM121" s="816" t="s">
        <v>1959</v>
      </c>
      <c r="AN121" s="816" t="s">
        <v>1959</v>
      </c>
      <c r="AO121" s="816" t="s">
        <v>1959</v>
      </c>
      <c r="AP121" s="816"/>
      <c r="AQ121" s="816" t="s">
        <v>2475</v>
      </c>
      <c r="AR121" s="816" t="s">
        <v>1959</v>
      </c>
      <c r="AS121" s="816" t="s">
        <v>2475</v>
      </c>
      <c r="AT121" s="816" t="s">
        <v>2475</v>
      </c>
      <c r="AU121" s="816" t="s">
        <v>2475</v>
      </c>
      <c r="AV121" s="816" t="s">
        <v>2475</v>
      </c>
      <c r="AW121" s="816"/>
      <c r="AX121" s="816"/>
      <c r="AY121" s="816" t="s">
        <v>1959</v>
      </c>
      <c r="AZ121" s="816"/>
      <c r="BA121" s="816"/>
      <c r="BB121" s="816" t="s">
        <v>1959</v>
      </c>
      <c r="BC121" s="816"/>
      <c r="BD121" s="816" t="s">
        <v>1959</v>
      </c>
      <c r="BE121" s="816" t="s">
        <v>1959</v>
      </c>
      <c r="BF121" s="816" t="s">
        <v>1959</v>
      </c>
      <c r="BG121" s="816"/>
      <c r="BH121" s="816"/>
      <c r="BI121" s="816" t="s">
        <v>1959</v>
      </c>
      <c r="BJ121" s="816" t="s">
        <v>1959</v>
      </c>
      <c r="BK121" s="816"/>
      <c r="BM121" s="816" t="s">
        <v>1959</v>
      </c>
      <c r="BN121" s="816" t="s">
        <v>1959</v>
      </c>
      <c r="BO121" s="816" t="s">
        <v>1959</v>
      </c>
      <c r="BP121" s="816"/>
      <c r="BQ121" s="816"/>
      <c r="BR121" s="816" t="s">
        <v>1959</v>
      </c>
      <c r="BS121" s="816" t="s">
        <v>1959</v>
      </c>
      <c r="BT121" s="816"/>
      <c r="BU121" s="816" t="s">
        <v>1959</v>
      </c>
    </row>
    <row r="122" spans="1:73" ht="29" x14ac:dyDescent="0.35">
      <c r="A122" s="806" t="s">
        <v>743</v>
      </c>
      <c r="B122" s="806" t="s">
        <v>801</v>
      </c>
      <c r="C122" s="827"/>
      <c r="D122" s="827"/>
      <c r="E122" s="827"/>
      <c r="G122" s="817"/>
      <c r="H122" s="817">
        <v>30</v>
      </c>
      <c r="I122" s="817"/>
      <c r="J122" s="817"/>
      <c r="K122" s="817"/>
      <c r="L122" s="817"/>
      <c r="M122" s="817"/>
      <c r="N122" s="817"/>
      <c r="O122" s="817"/>
      <c r="P122" s="817"/>
      <c r="Q122" s="817"/>
      <c r="R122" s="817"/>
      <c r="S122" s="817"/>
      <c r="T122" s="817"/>
      <c r="U122" s="817"/>
      <c r="V122" s="817"/>
      <c r="W122" s="817"/>
      <c r="X122" s="817"/>
      <c r="Y122" s="817"/>
      <c r="Z122" s="817"/>
      <c r="AA122" s="817"/>
      <c r="AC122" s="817"/>
      <c r="AD122" s="817"/>
      <c r="AE122" s="817"/>
      <c r="AF122" s="817"/>
      <c r="AG122" s="817"/>
      <c r="AH122" s="817"/>
      <c r="AI122" s="817"/>
      <c r="AJ122" s="817"/>
      <c r="AK122" s="817"/>
      <c r="AL122" s="817"/>
      <c r="AM122" s="817"/>
      <c r="AN122" s="817"/>
      <c r="AO122" s="817"/>
      <c r="AP122" s="817"/>
      <c r="AQ122" s="817">
        <v>40</v>
      </c>
      <c r="AR122" s="817"/>
      <c r="AS122" s="817">
        <v>40</v>
      </c>
      <c r="AT122" s="817">
        <v>40</v>
      </c>
      <c r="AU122" s="817">
        <v>40</v>
      </c>
      <c r="AV122" s="817">
        <v>40</v>
      </c>
      <c r="AW122" s="817"/>
      <c r="AX122" s="817"/>
      <c r="AY122" s="817"/>
      <c r="AZ122" s="817"/>
      <c r="BA122" s="817"/>
      <c r="BB122" s="817"/>
      <c r="BC122" s="817"/>
      <c r="BD122" s="817"/>
      <c r="BE122" s="817"/>
      <c r="BF122" s="817"/>
      <c r="BG122" s="817"/>
      <c r="BH122" s="817"/>
      <c r="BI122" s="817"/>
      <c r="BJ122" s="817"/>
      <c r="BM122" s="817"/>
      <c r="BN122" s="817"/>
      <c r="BO122" s="817"/>
      <c r="BQ122" s="817"/>
      <c r="BR122" s="817"/>
      <c r="BS122" s="817"/>
      <c r="BT122" s="817"/>
      <c r="BU122" s="817"/>
    </row>
    <row r="123" spans="1:73" ht="29" x14ac:dyDescent="0.35">
      <c r="A123" s="806" t="s">
        <v>743</v>
      </c>
      <c r="B123" s="806" t="s">
        <v>802</v>
      </c>
      <c r="C123" s="827"/>
      <c r="D123" s="827"/>
      <c r="E123" s="827"/>
      <c r="G123" s="817"/>
      <c r="H123" s="817">
        <v>12</v>
      </c>
      <c r="I123" s="817"/>
      <c r="J123" s="817"/>
      <c r="K123" s="817"/>
      <c r="L123" s="817"/>
      <c r="M123" s="817"/>
      <c r="N123" s="817"/>
      <c r="O123" s="817"/>
      <c r="P123" s="817"/>
      <c r="Q123" s="817"/>
      <c r="R123" s="817"/>
      <c r="S123" s="817"/>
      <c r="T123" s="817"/>
      <c r="U123" s="817"/>
      <c r="V123" s="817"/>
      <c r="W123" s="817"/>
      <c r="X123" s="817"/>
      <c r="Y123" s="817"/>
      <c r="Z123" s="817"/>
      <c r="AA123" s="817"/>
      <c r="AC123" s="817"/>
      <c r="AD123" s="817"/>
      <c r="AE123" s="817"/>
      <c r="AF123" s="817"/>
      <c r="AG123" s="817"/>
      <c r="AH123" s="817"/>
      <c r="AI123" s="817"/>
      <c r="AJ123" s="817"/>
      <c r="AK123" s="817"/>
      <c r="AL123" s="817"/>
      <c r="AM123" s="817"/>
      <c r="AN123" s="817"/>
      <c r="AO123" s="817"/>
      <c r="AP123" s="817"/>
      <c r="AQ123" s="817">
        <v>9</v>
      </c>
      <c r="AR123" s="817"/>
      <c r="AS123" s="817">
        <v>14</v>
      </c>
      <c r="AT123" s="817">
        <v>15</v>
      </c>
      <c r="AU123" s="817">
        <v>15</v>
      </c>
      <c r="AV123" s="817">
        <v>15</v>
      </c>
      <c r="AW123" s="817"/>
      <c r="AX123" s="817"/>
      <c r="AY123" s="817"/>
      <c r="AZ123" s="817"/>
      <c r="BA123" s="817"/>
      <c r="BB123" s="817"/>
      <c r="BC123" s="817"/>
      <c r="BD123" s="817"/>
      <c r="BE123" s="817"/>
      <c r="BF123" s="817"/>
      <c r="BG123" s="817"/>
      <c r="BH123" s="817"/>
      <c r="BI123" s="817"/>
      <c r="BJ123" s="817"/>
      <c r="BM123" s="817"/>
      <c r="BN123" s="817"/>
      <c r="BO123" s="817"/>
      <c r="BQ123" s="817"/>
      <c r="BR123" s="817"/>
      <c r="BS123" s="817"/>
      <c r="BT123" s="817"/>
      <c r="BU123" s="817"/>
    </row>
    <row r="124" spans="1:73" ht="29" x14ac:dyDescent="0.35">
      <c r="A124" s="806" t="s">
        <v>743</v>
      </c>
      <c r="B124" s="806" t="s">
        <v>803</v>
      </c>
      <c r="C124" s="827"/>
      <c r="D124" s="827"/>
      <c r="E124" s="827"/>
      <c r="G124" s="817"/>
      <c r="H124" s="817">
        <v>10</v>
      </c>
      <c r="I124" s="817"/>
      <c r="J124" s="817"/>
      <c r="K124" s="817"/>
      <c r="L124" s="817"/>
      <c r="M124" s="817"/>
      <c r="N124" s="817"/>
      <c r="O124" s="817"/>
      <c r="P124" s="817"/>
      <c r="Q124" s="817"/>
      <c r="R124" s="817"/>
      <c r="S124" s="817"/>
      <c r="T124" s="817"/>
      <c r="U124" s="817"/>
      <c r="V124" s="817"/>
      <c r="W124" s="817"/>
      <c r="X124" s="817"/>
      <c r="Y124" s="817"/>
      <c r="Z124" s="817"/>
      <c r="AA124" s="817"/>
      <c r="AC124" s="817"/>
      <c r="AD124" s="817"/>
      <c r="AE124" s="817"/>
      <c r="AF124" s="817"/>
      <c r="AG124" s="817"/>
      <c r="AH124" s="817"/>
      <c r="AI124" s="817"/>
      <c r="AJ124" s="817"/>
      <c r="AK124" s="817"/>
      <c r="AL124" s="817"/>
      <c r="AM124" s="817"/>
      <c r="AN124" s="817"/>
      <c r="AO124" s="817"/>
      <c r="AP124" s="817"/>
      <c r="AQ124" s="817">
        <v>20</v>
      </c>
      <c r="AR124" s="817"/>
      <c r="AS124" s="817">
        <v>8</v>
      </c>
      <c r="AT124" s="817">
        <v>20</v>
      </c>
      <c r="AU124" s="817">
        <v>14</v>
      </c>
      <c r="AV124" s="817">
        <v>20</v>
      </c>
      <c r="AW124" s="817"/>
      <c r="AX124" s="817"/>
      <c r="AY124" s="817"/>
      <c r="AZ124" s="817"/>
      <c r="BA124" s="817"/>
      <c r="BB124" s="817"/>
      <c r="BC124" s="817"/>
      <c r="BD124" s="817"/>
      <c r="BE124" s="817"/>
      <c r="BF124" s="817"/>
      <c r="BG124" s="817"/>
      <c r="BH124" s="817"/>
      <c r="BI124" s="817"/>
      <c r="BJ124" s="817"/>
      <c r="BM124" s="817"/>
      <c r="BN124" s="817"/>
      <c r="BO124" s="817"/>
      <c r="BQ124" s="817"/>
      <c r="BR124" s="817"/>
      <c r="BS124" s="817"/>
      <c r="BT124" s="817"/>
      <c r="BU124" s="817"/>
    </row>
    <row r="125" spans="1:73" ht="29" x14ac:dyDescent="0.35">
      <c r="A125" s="806" t="s">
        <v>743</v>
      </c>
      <c r="B125" s="806" t="s">
        <v>804</v>
      </c>
      <c r="C125" s="827"/>
      <c r="D125" s="827"/>
      <c r="E125" s="827"/>
      <c r="G125" s="817"/>
      <c r="H125" s="817">
        <v>0</v>
      </c>
      <c r="I125" s="817"/>
      <c r="J125" s="817"/>
      <c r="K125" s="817"/>
      <c r="L125" s="817"/>
      <c r="M125" s="817"/>
      <c r="N125" s="817"/>
      <c r="O125" s="817"/>
      <c r="P125" s="817"/>
      <c r="Q125" s="817"/>
      <c r="R125" s="817"/>
      <c r="S125" s="817"/>
      <c r="T125" s="817"/>
      <c r="U125" s="817"/>
      <c r="V125" s="817"/>
      <c r="W125" s="817"/>
      <c r="X125" s="817"/>
      <c r="Y125" s="817"/>
      <c r="Z125" s="817"/>
      <c r="AA125" s="817"/>
      <c r="AC125" s="817"/>
      <c r="AD125" s="817"/>
      <c r="AE125" s="817"/>
      <c r="AF125" s="817"/>
      <c r="AG125" s="817"/>
      <c r="AH125" s="817"/>
      <c r="AI125" s="817"/>
      <c r="AJ125" s="817"/>
      <c r="AK125" s="817"/>
      <c r="AL125" s="817"/>
      <c r="AM125" s="817"/>
      <c r="AN125" s="817"/>
      <c r="AO125" s="817"/>
      <c r="AP125" s="817"/>
      <c r="AQ125" s="817">
        <v>5</v>
      </c>
      <c r="AR125" s="817"/>
      <c r="AS125" s="817">
        <v>0</v>
      </c>
      <c r="AT125" s="817">
        <v>5</v>
      </c>
      <c r="AU125" s="817">
        <v>0</v>
      </c>
      <c r="AV125" s="817">
        <v>5</v>
      </c>
      <c r="AW125" s="817"/>
      <c r="AX125" s="817"/>
      <c r="AY125" s="817"/>
      <c r="AZ125" s="817"/>
      <c r="BA125" s="817"/>
      <c r="BB125" s="817"/>
      <c r="BC125" s="817"/>
      <c r="BD125" s="817"/>
      <c r="BE125" s="817"/>
      <c r="BF125" s="817"/>
      <c r="BG125" s="817"/>
      <c r="BH125" s="817"/>
      <c r="BI125" s="817"/>
      <c r="BJ125" s="817"/>
      <c r="BM125" s="817"/>
      <c r="BN125" s="817"/>
      <c r="BO125" s="817"/>
      <c r="BQ125" s="817"/>
      <c r="BR125" s="817"/>
      <c r="BS125" s="817"/>
      <c r="BT125" s="817"/>
      <c r="BU125" s="817"/>
    </row>
    <row r="126" spans="1:73" ht="29" x14ac:dyDescent="0.35">
      <c r="A126" s="806" t="s">
        <v>743</v>
      </c>
      <c r="B126" s="806" t="s">
        <v>805</v>
      </c>
      <c r="C126" s="827"/>
      <c r="D126" s="827"/>
      <c r="E126" s="827"/>
      <c r="G126" s="817"/>
      <c r="H126" s="817">
        <v>0</v>
      </c>
      <c r="I126" s="817"/>
      <c r="J126" s="817"/>
      <c r="K126" s="817"/>
      <c r="L126" s="817"/>
      <c r="M126" s="817"/>
      <c r="N126" s="817"/>
      <c r="O126" s="817"/>
      <c r="P126" s="817"/>
      <c r="Q126" s="817"/>
      <c r="R126" s="817"/>
      <c r="S126" s="817"/>
      <c r="T126" s="817"/>
      <c r="U126" s="817"/>
      <c r="V126" s="817"/>
      <c r="W126" s="817"/>
      <c r="X126" s="817"/>
      <c r="Y126" s="817"/>
      <c r="Z126" s="817"/>
      <c r="AA126" s="817"/>
      <c r="AC126" s="817"/>
      <c r="AD126" s="817"/>
      <c r="AE126" s="817"/>
      <c r="AF126" s="817"/>
      <c r="AG126" s="817"/>
      <c r="AH126" s="817"/>
      <c r="AI126" s="817"/>
      <c r="AJ126" s="817"/>
      <c r="AK126" s="817"/>
      <c r="AL126" s="817"/>
      <c r="AM126" s="817"/>
      <c r="AN126" s="817"/>
      <c r="AO126" s="817"/>
      <c r="AP126" s="817"/>
      <c r="AQ126" s="817">
        <v>0</v>
      </c>
      <c r="AR126" s="817"/>
      <c r="AS126" s="817">
        <v>0</v>
      </c>
      <c r="AT126" s="817">
        <v>0</v>
      </c>
      <c r="AU126" s="817">
        <v>0</v>
      </c>
      <c r="AV126" s="817">
        <v>0</v>
      </c>
      <c r="AW126" s="817"/>
      <c r="AX126" s="817"/>
      <c r="AY126" s="817"/>
      <c r="AZ126" s="817"/>
      <c r="BA126" s="817"/>
      <c r="BB126" s="817"/>
      <c r="BC126" s="817"/>
      <c r="BD126" s="817"/>
      <c r="BE126" s="817"/>
      <c r="BF126" s="817"/>
      <c r="BG126" s="817"/>
      <c r="BH126" s="817"/>
      <c r="BI126" s="817"/>
      <c r="BJ126" s="817"/>
      <c r="BM126" s="817"/>
      <c r="BN126" s="817"/>
      <c r="BO126" s="817"/>
      <c r="BQ126" s="817"/>
      <c r="BR126" s="817"/>
      <c r="BS126" s="817"/>
      <c r="BT126" s="817"/>
      <c r="BU126" s="817"/>
    </row>
    <row r="127" spans="1:73" ht="29" x14ac:dyDescent="0.35">
      <c r="A127" s="806" t="s">
        <v>743</v>
      </c>
      <c r="B127" s="806" t="s">
        <v>806</v>
      </c>
      <c r="C127" s="827"/>
      <c r="D127" s="827"/>
      <c r="E127" s="827"/>
      <c r="G127" s="817"/>
      <c r="H127" s="817">
        <v>10</v>
      </c>
      <c r="I127" s="817"/>
      <c r="J127" s="817"/>
      <c r="K127" s="817"/>
      <c r="L127" s="817"/>
      <c r="M127" s="817"/>
      <c r="N127" s="817"/>
      <c r="O127" s="817"/>
      <c r="P127" s="817"/>
      <c r="Q127" s="817"/>
      <c r="R127" s="817"/>
      <c r="S127" s="817"/>
      <c r="T127" s="817"/>
      <c r="U127" s="817"/>
      <c r="V127" s="817"/>
      <c r="W127" s="817"/>
      <c r="X127" s="817"/>
      <c r="Y127" s="817"/>
      <c r="Z127" s="817"/>
      <c r="AA127" s="817"/>
      <c r="AC127" s="817"/>
      <c r="AD127" s="817"/>
      <c r="AE127" s="817"/>
      <c r="AF127" s="817"/>
      <c r="AG127" s="817"/>
      <c r="AH127" s="817"/>
      <c r="AI127" s="817"/>
      <c r="AJ127" s="817"/>
      <c r="AK127" s="817"/>
      <c r="AL127" s="817"/>
      <c r="AM127" s="817"/>
      <c r="AN127" s="817"/>
      <c r="AO127" s="817"/>
      <c r="AP127" s="817"/>
      <c r="AQ127" s="817">
        <v>10</v>
      </c>
      <c r="AR127" s="817"/>
      <c r="AS127" s="817">
        <v>10</v>
      </c>
      <c r="AT127" s="817">
        <v>10</v>
      </c>
      <c r="AU127" s="817">
        <v>10</v>
      </c>
      <c r="AV127" s="817">
        <v>10</v>
      </c>
      <c r="AW127" s="817"/>
      <c r="AX127" s="817"/>
      <c r="AY127" s="817"/>
      <c r="AZ127" s="817"/>
      <c r="BA127" s="817"/>
      <c r="BB127" s="817"/>
      <c r="BC127" s="817"/>
      <c r="BD127" s="817"/>
      <c r="BE127" s="817"/>
      <c r="BF127" s="817"/>
      <c r="BG127" s="817"/>
      <c r="BH127" s="817"/>
      <c r="BI127" s="817"/>
      <c r="BJ127" s="817"/>
      <c r="BM127" s="817"/>
      <c r="BN127" s="817"/>
      <c r="BO127" s="817"/>
      <c r="BQ127" s="817"/>
      <c r="BR127" s="817"/>
      <c r="BS127" s="817"/>
      <c r="BT127" s="817"/>
      <c r="BU127" s="817"/>
    </row>
    <row r="128" spans="1:73" ht="29" x14ac:dyDescent="0.35">
      <c r="A128" s="806" t="s">
        <v>743</v>
      </c>
      <c r="B128" s="806" t="s">
        <v>750</v>
      </c>
      <c r="C128" s="827"/>
      <c r="D128" s="827"/>
      <c r="E128" s="827"/>
      <c r="F128" s="19"/>
      <c r="G128" s="817"/>
      <c r="H128" s="817">
        <v>62</v>
      </c>
      <c r="I128" s="817"/>
      <c r="J128" s="817"/>
      <c r="K128" s="817"/>
      <c r="L128" s="817"/>
      <c r="M128" s="817"/>
      <c r="N128" s="817"/>
      <c r="O128" s="817"/>
      <c r="P128" s="817"/>
      <c r="Q128" s="817"/>
      <c r="R128" s="817"/>
      <c r="S128" s="817"/>
      <c r="T128" s="817"/>
      <c r="U128" s="817"/>
      <c r="V128" s="817"/>
      <c r="W128" s="817"/>
      <c r="X128" s="817"/>
      <c r="Y128" s="817"/>
      <c r="Z128" s="817"/>
      <c r="AA128" s="817"/>
      <c r="AB128" s="818"/>
      <c r="AC128" s="817"/>
      <c r="AD128" s="817"/>
      <c r="AE128" s="817"/>
      <c r="AF128" s="817"/>
      <c r="AG128" s="817"/>
      <c r="AH128" s="817"/>
      <c r="AI128" s="817"/>
      <c r="AJ128" s="817"/>
      <c r="AK128" s="817"/>
      <c r="AL128" s="817"/>
      <c r="AM128" s="817"/>
      <c r="AN128" s="817"/>
      <c r="AO128" s="817"/>
      <c r="AP128" s="817"/>
      <c r="AQ128" s="817">
        <v>84</v>
      </c>
      <c r="AR128" s="817"/>
      <c r="AS128" s="817">
        <v>72</v>
      </c>
      <c r="AT128" s="817">
        <v>90</v>
      </c>
      <c r="AU128" s="817">
        <v>79</v>
      </c>
      <c r="AV128" s="817">
        <v>90</v>
      </c>
      <c r="AW128" s="817"/>
      <c r="AX128" s="817"/>
      <c r="AY128" s="817"/>
      <c r="AZ128" s="817"/>
      <c r="BA128" s="817"/>
      <c r="BB128" s="817"/>
      <c r="BC128" s="817"/>
      <c r="BD128" s="817"/>
      <c r="BE128" s="817"/>
      <c r="BF128" s="817"/>
      <c r="BG128" s="817"/>
      <c r="BH128" s="817"/>
      <c r="BI128" s="817"/>
      <c r="BJ128" s="817"/>
      <c r="BK128" s="817"/>
      <c r="BM128" s="817"/>
      <c r="BN128" s="817"/>
      <c r="BO128" s="817"/>
      <c r="BP128" s="816"/>
      <c r="BQ128" s="817"/>
      <c r="BR128" s="817"/>
      <c r="BS128" s="817"/>
      <c r="BT128" s="817"/>
      <c r="BU128" s="817"/>
    </row>
    <row r="129" spans="1:73" ht="29" x14ac:dyDescent="0.35">
      <c r="A129" s="806" t="s">
        <v>743</v>
      </c>
      <c r="B129" s="806" t="s">
        <v>751</v>
      </c>
      <c r="C129" s="828"/>
      <c r="D129" s="828"/>
      <c r="E129" s="828"/>
      <c r="F129" s="19"/>
      <c r="G129" s="818"/>
      <c r="H129" s="818">
        <v>415600</v>
      </c>
      <c r="I129" s="818"/>
      <c r="J129" s="818"/>
      <c r="K129" s="818"/>
      <c r="L129" s="818"/>
      <c r="M129" s="818"/>
      <c r="N129" s="818"/>
      <c r="O129" s="818"/>
      <c r="P129" s="818"/>
      <c r="Q129" s="818"/>
      <c r="R129" s="818"/>
      <c r="S129" s="818"/>
      <c r="T129" s="818"/>
      <c r="U129" s="818"/>
      <c r="V129" s="818"/>
      <c r="W129" s="818"/>
      <c r="X129" s="818"/>
      <c r="Y129" s="818"/>
      <c r="Z129" s="818"/>
      <c r="AA129" s="818"/>
      <c r="AB129" s="816"/>
      <c r="AC129" s="818"/>
      <c r="AD129" s="818"/>
      <c r="AE129" s="818"/>
      <c r="AF129" s="818"/>
      <c r="AG129" s="818"/>
      <c r="AH129" s="818"/>
      <c r="AI129" s="818"/>
      <c r="AJ129" s="818"/>
      <c r="AK129" s="818"/>
      <c r="AL129" s="818"/>
      <c r="AM129" s="818"/>
      <c r="AN129" s="818"/>
      <c r="AO129" s="818"/>
      <c r="AP129" s="818"/>
      <c r="AQ129" s="818">
        <v>2500000</v>
      </c>
      <c r="AR129" s="818"/>
      <c r="AS129" s="818">
        <v>1056000</v>
      </c>
      <c r="AT129" s="818">
        <v>437750</v>
      </c>
      <c r="AU129" s="818">
        <v>529500</v>
      </c>
      <c r="AV129" s="818">
        <v>597500</v>
      </c>
      <c r="AW129" s="818"/>
      <c r="AX129" s="818"/>
      <c r="AY129" s="818"/>
      <c r="AZ129" s="818"/>
      <c r="BA129" s="818"/>
      <c r="BB129" s="818"/>
      <c r="BC129" s="818"/>
      <c r="BD129" s="818"/>
      <c r="BE129" s="818"/>
      <c r="BF129" s="818"/>
      <c r="BG129" s="818"/>
      <c r="BH129" s="818"/>
      <c r="BI129" s="818"/>
      <c r="BJ129" s="818"/>
      <c r="BK129" s="817"/>
      <c r="BM129" s="818"/>
      <c r="BN129" s="818"/>
      <c r="BO129" s="818"/>
      <c r="BP129" s="816"/>
      <c r="BQ129" s="818"/>
      <c r="BR129" s="818"/>
      <c r="BS129" s="818"/>
      <c r="BT129" s="818"/>
      <c r="BU129" s="818"/>
    </row>
    <row r="130" spans="1:73" ht="29" x14ac:dyDescent="0.35">
      <c r="A130" s="806" t="s">
        <v>743</v>
      </c>
      <c r="B130" s="806" t="s">
        <v>807</v>
      </c>
      <c r="C130" s="827"/>
      <c r="D130" s="827"/>
      <c r="E130" s="827"/>
      <c r="G130" s="817"/>
      <c r="H130" s="817">
        <v>0</v>
      </c>
      <c r="I130" s="817"/>
      <c r="J130" s="817"/>
      <c r="K130" s="817"/>
      <c r="L130" s="817"/>
      <c r="M130" s="817"/>
      <c r="N130" s="817"/>
      <c r="O130" s="817"/>
      <c r="P130" s="817"/>
      <c r="Q130" s="817"/>
      <c r="R130" s="817"/>
      <c r="S130" s="817"/>
      <c r="T130" s="817"/>
      <c r="U130" s="817"/>
      <c r="V130" s="817"/>
      <c r="W130" s="817"/>
      <c r="X130" s="817"/>
      <c r="Y130" s="817"/>
      <c r="Z130" s="817"/>
      <c r="AA130" s="817"/>
      <c r="AC130" s="817"/>
      <c r="AD130" s="817"/>
      <c r="AE130" s="817"/>
      <c r="AF130" s="817"/>
      <c r="AG130" s="817"/>
      <c r="AH130" s="817"/>
      <c r="AI130" s="817"/>
      <c r="AJ130" s="817"/>
      <c r="AK130" s="817"/>
      <c r="AL130" s="817"/>
      <c r="AM130" s="817"/>
      <c r="AN130" s="817"/>
      <c r="AO130" s="817"/>
      <c r="AP130" s="817"/>
      <c r="AQ130" s="817">
        <v>0</v>
      </c>
      <c r="AR130" s="817"/>
      <c r="AS130" s="817">
        <v>0</v>
      </c>
      <c r="AT130" s="817">
        <v>0</v>
      </c>
      <c r="AU130" s="817">
        <v>0</v>
      </c>
      <c r="AV130" s="817">
        <v>0</v>
      </c>
      <c r="AW130" s="817"/>
      <c r="AX130" s="817"/>
      <c r="AY130" s="817"/>
      <c r="AZ130" s="817"/>
      <c r="BA130" s="817"/>
      <c r="BB130" s="817"/>
      <c r="BC130" s="817"/>
      <c r="BD130" s="817"/>
      <c r="BE130" s="817"/>
      <c r="BF130" s="817"/>
      <c r="BG130" s="817"/>
      <c r="BH130" s="817"/>
      <c r="BI130" s="817"/>
      <c r="BJ130" s="817"/>
      <c r="BM130" s="817"/>
      <c r="BN130" s="817"/>
      <c r="BO130" s="817"/>
      <c r="BQ130" s="817"/>
      <c r="BR130" s="817"/>
      <c r="BS130" s="817"/>
      <c r="BT130" s="817"/>
      <c r="BU130" s="817"/>
    </row>
    <row r="131" spans="1:73" ht="29" x14ac:dyDescent="0.35">
      <c r="A131" s="806" t="s">
        <v>743</v>
      </c>
      <c r="B131" s="806" t="s">
        <v>754</v>
      </c>
      <c r="C131" s="19" t="s">
        <v>1959</v>
      </c>
      <c r="D131" s="19" t="s">
        <v>1959</v>
      </c>
      <c r="E131" s="19" t="s">
        <v>1959</v>
      </c>
      <c r="F131" s="827"/>
      <c r="G131" s="816" t="s">
        <v>1959</v>
      </c>
      <c r="H131" s="816" t="s">
        <v>1959</v>
      </c>
      <c r="I131" s="816" t="s">
        <v>1959</v>
      </c>
      <c r="J131" s="816" t="s">
        <v>1959</v>
      </c>
      <c r="K131" s="816" t="s">
        <v>1959</v>
      </c>
      <c r="L131" s="816" t="s">
        <v>1959</v>
      </c>
      <c r="M131" s="816" t="s">
        <v>1959</v>
      </c>
      <c r="N131" s="816" t="s">
        <v>1959</v>
      </c>
      <c r="O131" s="816" t="s">
        <v>1959</v>
      </c>
      <c r="P131" s="816"/>
      <c r="Q131" s="816" t="s">
        <v>1959</v>
      </c>
      <c r="R131" s="816"/>
      <c r="S131" s="816" t="s">
        <v>1959</v>
      </c>
      <c r="T131" s="816" t="s">
        <v>1959</v>
      </c>
      <c r="U131" s="816"/>
      <c r="V131" s="816"/>
      <c r="W131" s="816" t="s">
        <v>1959</v>
      </c>
      <c r="X131" s="816" t="s">
        <v>1959</v>
      </c>
      <c r="Y131" s="816" t="s">
        <v>1959</v>
      </c>
      <c r="Z131" s="816" t="s">
        <v>1959</v>
      </c>
      <c r="AA131" s="816" t="s">
        <v>1959</v>
      </c>
      <c r="AB131" s="816"/>
      <c r="AC131" s="816" t="s">
        <v>1959</v>
      </c>
      <c r="AD131" s="816" t="s">
        <v>1959</v>
      </c>
      <c r="AE131" s="816"/>
      <c r="AF131" s="816" t="s">
        <v>1959</v>
      </c>
      <c r="AG131" s="816" t="s">
        <v>1959</v>
      </c>
      <c r="AH131" s="816" t="s">
        <v>1959</v>
      </c>
      <c r="AI131" s="816" t="s">
        <v>1959</v>
      </c>
      <c r="AJ131" s="816"/>
      <c r="AK131" s="816" t="s">
        <v>1959</v>
      </c>
      <c r="AL131" s="816"/>
      <c r="AM131" s="816" t="s">
        <v>1959</v>
      </c>
      <c r="AN131" s="816" t="s">
        <v>1959</v>
      </c>
      <c r="AO131" s="816" t="s">
        <v>1959</v>
      </c>
      <c r="AP131" s="816"/>
      <c r="AQ131" s="816" t="s">
        <v>1959</v>
      </c>
      <c r="AR131" s="816" t="s">
        <v>1959</v>
      </c>
      <c r="AS131" s="816" t="s">
        <v>1959</v>
      </c>
      <c r="AT131" s="816" t="s">
        <v>1959</v>
      </c>
      <c r="AU131" s="816" t="s">
        <v>1959</v>
      </c>
      <c r="AV131" s="816" t="s">
        <v>1959</v>
      </c>
      <c r="AW131" s="816"/>
      <c r="AX131" s="816"/>
      <c r="AY131" s="816" t="s">
        <v>1959</v>
      </c>
      <c r="AZ131" s="816"/>
      <c r="BA131" s="816"/>
      <c r="BB131" s="816" t="s">
        <v>1959</v>
      </c>
      <c r="BC131" s="816"/>
      <c r="BD131" s="816" t="s">
        <v>1959</v>
      </c>
      <c r="BE131" s="816" t="s">
        <v>1959</v>
      </c>
      <c r="BF131" s="816" t="s">
        <v>1959</v>
      </c>
      <c r="BG131" s="816"/>
      <c r="BH131" s="816"/>
      <c r="BI131" s="816" t="s">
        <v>1959</v>
      </c>
      <c r="BJ131" s="816" t="s">
        <v>1959</v>
      </c>
      <c r="BK131" s="817"/>
      <c r="BM131" s="816" t="s">
        <v>2475</v>
      </c>
      <c r="BN131" s="816" t="s">
        <v>1959</v>
      </c>
      <c r="BO131" s="816" t="s">
        <v>1959</v>
      </c>
      <c r="BP131" s="816"/>
      <c r="BQ131" s="816"/>
      <c r="BR131" s="816" t="s">
        <v>1959</v>
      </c>
      <c r="BS131" s="816" t="s">
        <v>1959</v>
      </c>
      <c r="BT131" s="816"/>
      <c r="BU131" s="816" t="s">
        <v>1959</v>
      </c>
    </row>
    <row r="132" spans="1:73" ht="29" x14ac:dyDescent="0.35">
      <c r="A132" s="806" t="s">
        <v>743</v>
      </c>
      <c r="B132" s="806" t="s">
        <v>808</v>
      </c>
      <c r="C132" s="827"/>
      <c r="D132" s="827"/>
      <c r="E132" s="827"/>
      <c r="G132" s="817"/>
      <c r="H132" s="817"/>
      <c r="I132" s="817"/>
      <c r="J132" s="817"/>
      <c r="K132" s="817"/>
      <c r="L132" s="817"/>
      <c r="M132" s="817"/>
      <c r="N132" s="817"/>
      <c r="O132" s="817"/>
      <c r="P132" s="817"/>
      <c r="Q132" s="817"/>
      <c r="R132" s="817"/>
      <c r="S132" s="817"/>
      <c r="T132" s="817"/>
      <c r="U132" s="817"/>
      <c r="V132" s="817"/>
      <c r="W132" s="817"/>
      <c r="X132" s="817"/>
      <c r="Y132" s="817"/>
      <c r="Z132" s="817"/>
      <c r="AA132" s="817"/>
      <c r="AC132" s="817"/>
      <c r="AD132" s="817"/>
      <c r="AE132" s="817"/>
      <c r="AF132" s="817"/>
      <c r="AG132" s="817"/>
      <c r="AH132" s="817"/>
      <c r="AI132" s="817"/>
      <c r="AJ132" s="817"/>
      <c r="AK132" s="817"/>
      <c r="AL132" s="817"/>
      <c r="AM132" s="817"/>
      <c r="AN132" s="817"/>
      <c r="AO132" s="817"/>
      <c r="AP132" s="817"/>
      <c r="AQ132" s="817"/>
      <c r="AR132" s="817"/>
      <c r="AS132" s="817"/>
      <c r="AT132" s="817"/>
      <c r="AU132" s="817"/>
      <c r="AV132" s="817"/>
      <c r="AW132" s="817"/>
      <c r="AX132" s="817"/>
      <c r="AY132" s="817"/>
      <c r="AZ132" s="817"/>
      <c r="BA132" s="817"/>
      <c r="BB132" s="817"/>
      <c r="BC132" s="817"/>
      <c r="BD132" s="817"/>
      <c r="BE132" s="817"/>
      <c r="BF132" s="817"/>
      <c r="BG132" s="817"/>
      <c r="BH132" s="817"/>
      <c r="BI132" s="817"/>
      <c r="BJ132" s="817"/>
      <c r="BM132" s="817">
        <v>30</v>
      </c>
      <c r="BN132" s="817"/>
      <c r="BO132" s="817"/>
      <c r="BQ132" s="817"/>
      <c r="BR132" s="817"/>
      <c r="BS132" s="817"/>
      <c r="BT132" s="817"/>
      <c r="BU132" s="817"/>
    </row>
    <row r="133" spans="1:73" ht="29" x14ac:dyDescent="0.35">
      <c r="A133" s="806" t="s">
        <v>743</v>
      </c>
      <c r="B133" s="806" t="s">
        <v>809</v>
      </c>
      <c r="C133" s="827"/>
      <c r="D133" s="827"/>
      <c r="E133" s="827"/>
      <c r="G133" s="817"/>
      <c r="H133" s="817"/>
      <c r="I133" s="817"/>
      <c r="J133" s="817"/>
      <c r="K133" s="817"/>
      <c r="L133" s="817"/>
      <c r="M133" s="817"/>
      <c r="N133" s="817"/>
      <c r="O133" s="817"/>
      <c r="P133" s="817"/>
      <c r="Q133" s="817"/>
      <c r="R133" s="817"/>
      <c r="S133" s="817"/>
      <c r="T133" s="817"/>
      <c r="U133" s="817"/>
      <c r="V133" s="817"/>
      <c r="W133" s="817"/>
      <c r="X133" s="817"/>
      <c r="Y133" s="817"/>
      <c r="Z133" s="817"/>
      <c r="AA133" s="817"/>
      <c r="AC133" s="817"/>
      <c r="AD133" s="817"/>
      <c r="AE133" s="817"/>
      <c r="AF133" s="817"/>
      <c r="AG133" s="817"/>
      <c r="AH133" s="817"/>
      <c r="AI133" s="817"/>
      <c r="AJ133" s="817"/>
      <c r="AK133" s="817"/>
      <c r="AL133" s="817"/>
      <c r="AM133" s="817"/>
      <c r="AN133" s="817"/>
      <c r="AO133" s="817"/>
      <c r="AP133" s="817"/>
      <c r="AQ133" s="817"/>
      <c r="AR133" s="817"/>
      <c r="AS133" s="817"/>
      <c r="AT133" s="817"/>
      <c r="AU133" s="817"/>
      <c r="AV133" s="817"/>
      <c r="AW133" s="817"/>
      <c r="AX133" s="817"/>
      <c r="AY133" s="817"/>
      <c r="AZ133" s="817"/>
      <c r="BA133" s="817"/>
      <c r="BB133" s="817"/>
      <c r="BC133" s="817"/>
      <c r="BD133" s="817"/>
      <c r="BE133" s="817"/>
      <c r="BF133" s="817"/>
      <c r="BG133" s="817"/>
      <c r="BH133" s="817"/>
      <c r="BI133" s="817"/>
      <c r="BJ133" s="817"/>
      <c r="BM133" s="817">
        <v>11</v>
      </c>
      <c r="BN133" s="817"/>
      <c r="BO133" s="817"/>
      <c r="BQ133" s="817"/>
      <c r="BR133" s="817"/>
      <c r="BS133" s="817"/>
      <c r="BT133" s="817"/>
      <c r="BU133" s="817"/>
    </row>
    <row r="134" spans="1:73" ht="29" x14ac:dyDescent="0.35">
      <c r="A134" s="806" t="s">
        <v>743</v>
      </c>
      <c r="B134" s="806" t="s">
        <v>810</v>
      </c>
      <c r="C134" s="827"/>
      <c r="D134" s="827"/>
      <c r="E134" s="827"/>
      <c r="G134" s="817"/>
      <c r="H134" s="817"/>
      <c r="I134" s="817"/>
      <c r="J134" s="817"/>
      <c r="K134" s="817"/>
      <c r="L134" s="817"/>
      <c r="M134" s="817"/>
      <c r="N134" s="817"/>
      <c r="O134" s="817"/>
      <c r="P134" s="817"/>
      <c r="Q134" s="817"/>
      <c r="R134" s="817"/>
      <c r="S134" s="817"/>
      <c r="T134" s="817"/>
      <c r="U134" s="817"/>
      <c r="V134" s="817"/>
      <c r="W134" s="817"/>
      <c r="X134" s="817"/>
      <c r="Y134" s="817"/>
      <c r="Z134" s="817"/>
      <c r="AA134" s="817"/>
      <c r="AC134" s="817"/>
      <c r="AD134" s="817"/>
      <c r="AE134" s="817"/>
      <c r="AF134" s="817"/>
      <c r="AG134" s="817"/>
      <c r="AH134" s="817"/>
      <c r="AI134" s="817"/>
      <c r="AJ134" s="817"/>
      <c r="AK134" s="817"/>
      <c r="AL134" s="817"/>
      <c r="AM134" s="817"/>
      <c r="AN134" s="817"/>
      <c r="AO134" s="817"/>
      <c r="AP134" s="817"/>
      <c r="AQ134" s="817"/>
      <c r="AR134" s="817"/>
      <c r="AS134" s="817"/>
      <c r="AT134" s="817"/>
      <c r="AU134" s="817"/>
      <c r="AV134" s="817"/>
      <c r="AW134" s="817"/>
      <c r="AX134" s="817"/>
      <c r="AY134" s="817"/>
      <c r="AZ134" s="817"/>
      <c r="BA134" s="817"/>
      <c r="BB134" s="817"/>
      <c r="BC134" s="817"/>
      <c r="BD134" s="817"/>
      <c r="BE134" s="817"/>
      <c r="BF134" s="817"/>
      <c r="BG134" s="817"/>
      <c r="BH134" s="817"/>
      <c r="BI134" s="817"/>
      <c r="BJ134" s="817"/>
      <c r="BM134" s="817">
        <v>10</v>
      </c>
      <c r="BN134" s="817"/>
      <c r="BO134" s="817"/>
      <c r="BQ134" s="817"/>
      <c r="BR134" s="817"/>
      <c r="BS134" s="817"/>
      <c r="BT134" s="817"/>
      <c r="BU134" s="817"/>
    </row>
    <row r="135" spans="1:73" ht="29" x14ac:dyDescent="0.35">
      <c r="A135" s="806" t="s">
        <v>743</v>
      </c>
      <c r="B135" s="806" t="s">
        <v>811</v>
      </c>
      <c r="C135" s="827"/>
      <c r="D135" s="827"/>
      <c r="E135" s="827"/>
      <c r="G135" s="817"/>
      <c r="H135" s="817"/>
      <c r="I135" s="817"/>
      <c r="J135" s="817"/>
      <c r="K135" s="817"/>
      <c r="L135" s="817"/>
      <c r="M135" s="817"/>
      <c r="N135" s="817"/>
      <c r="O135" s="817"/>
      <c r="P135" s="817"/>
      <c r="Q135" s="817"/>
      <c r="R135" s="817"/>
      <c r="S135" s="817"/>
      <c r="T135" s="817"/>
      <c r="U135" s="817"/>
      <c r="V135" s="817"/>
      <c r="W135" s="817"/>
      <c r="X135" s="817"/>
      <c r="Y135" s="817"/>
      <c r="Z135" s="817"/>
      <c r="AA135" s="817"/>
      <c r="AC135" s="817"/>
      <c r="AD135" s="817"/>
      <c r="AE135" s="817"/>
      <c r="AF135" s="817"/>
      <c r="AG135" s="817"/>
      <c r="AH135" s="817"/>
      <c r="AI135" s="817"/>
      <c r="AJ135" s="817"/>
      <c r="AK135" s="817"/>
      <c r="AL135" s="817"/>
      <c r="AM135" s="817"/>
      <c r="AN135" s="817"/>
      <c r="AO135" s="817"/>
      <c r="AP135" s="817"/>
      <c r="AQ135" s="817"/>
      <c r="AR135" s="817"/>
      <c r="AS135" s="817"/>
      <c r="AT135" s="817"/>
      <c r="AU135" s="817"/>
      <c r="AV135" s="817"/>
      <c r="AW135" s="817"/>
      <c r="AX135" s="817"/>
      <c r="AY135" s="817"/>
      <c r="AZ135" s="817"/>
      <c r="BA135" s="817"/>
      <c r="BB135" s="817"/>
      <c r="BC135" s="817"/>
      <c r="BD135" s="817"/>
      <c r="BE135" s="817"/>
      <c r="BF135" s="817"/>
      <c r="BG135" s="817"/>
      <c r="BH135" s="817"/>
      <c r="BI135" s="817"/>
      <c r="BJ135" s="817"/>
      <c r="BM135" s="817">
        <v>0</v>
      </c>
      <c r="BN135" s="817"/>
      <c r="BO135" s="817"/>
      <c r="BQ135" s="817"/>
      <c r="BR135" s="817"/>
      <c r="BS135" s="817"/>
      <c r="BT135" s="817"/>
      <c r="BU135" s="817"/>
    </row>
    <row r="136" spans="1:73" ht="29" x14ac:dyDescent="0.35">
      <c r="A136" s="806" t="s">
        <v>743</v>
      </c>
      <c r="B136" s="806" t="s">
        <v>812</v>
      </c>
      <c r="C136" s="827"/>
      <c r="D136" s="827"/>
      <c r="E136" s="827"/>
      <c r="G136" s="817"/>
      <c r="H136" s="817"/>
      <c r="I136" s="817"/>
      <c r="J136" s="817"/>
      <c r="K136" s="817"/>
      <c r="L136" s="817"/>
      <c r="M136" s="817"/>
      <c r="N136" s="817"/>
      <c r="O136" s="817"/>
      <c r="P136" s="817"/>
      <c r="Q136" s="817"/>
      <c r="R136" s="817"/>
      <c r="S136" s="817"/>
      <c r="T136" s="817"/>
      <c r="U136" s="817"/>
      <c r="V136" s="817"/>
      <c r="W136" s="817"/>
      <c r="X136" s="817"/>
      <c r="Y136" s="817"/>
      <c r="Z136" s="817"/>
      <c r="AA136" s="817"/>
      <c r="AC136" s="817"/>
      <c r="AD136" s="817"/>
      <c r="AE136" s="817"/>
      <c r="AF136" s="817"/>
      <c r="AG136" s="817"/>
      <c r="AH136" s="817"/>
      <c r="AI136" s="817"/>
      <c r="AJ136" s="817"/>
      <c r="AK136" s="817"/>
      <c r="AL136" s="817"/>
      <c r="AM136" s="817"/>
      <c r="AN136" s="817"/>
      <c r="AO136" s="817"/>
      <c r="AP136" s="817"/>
      <c r="AQ136" s="817"/>
      <c r="AR136" s="817"/>
      <c r="AS136" s="817"/>
      <c r="AT136" s="817"/>
      <c r="AU136" s="817"/>
      <c r="AV136" s="817"/>
      <c r="AW136" s="817"/>
      <c r="AX136" s="817"/>
      <c r="AY136" s="817"/>
      <c r="AZ136" s="817"/>
      <c r="BA136" s="817"/>
      <c r="BB136" s="817"/>
      <c r="BC136" s="817"/>
      <c r="BD136" s="817"/>
      <c r="BE136" s="817"/>
      <c r="BF136" s="817"/>
      <c r="BG136" s="817"/>
      <c r="BH136" s="817"/>
      <c r="BI136" s="817"/>
      <c r="BJ136" s="817"/>
      <c r="BM136" s="817">
        <v>0</v>
      </c>
      <c r="BN136" s="817"/>
      <c r="BO136" s="817"/>
      <c r="BQ136" s="817"/>
      <c r="BR136" s="817"/>
      <c r="BS136" s="817"/>
      <c r="BT136" s="817"/>
      <c r="BU136" s="817"/>
    </row>
    <row r="137" spans="1:73" ht="29" x14ac:dyDescent="0.35">
      <c r="A137" s="806" t="s">
        <v>743</v>
      </c>
      <c r="B137" s="806" t="s">
        <v>813</v>
      </c>
      <c r="C137" s="827"/>
      <c r="D137" s="827"/>
      <c r="E137" s="827"/>
      <c r="G137" s="817"/>
      <c r="H137" s="817"/>
      <c r="I137" s="817"/>
      <c r="J137" s="817"/>
      <c r="K137" s="817"/>
      <c r="L137" s="817"/>
      <c r="M137" s="817"/>
      <c r="N137" s="817"/>
      <c r="O137" s="817"/>
      <c r="P137" s="817"/>
      <c r="Q137" s="817"/>
      <c r="R137" s="817"/>
      <c r="S137" s="817"/>
      <c r="T137" s="817"/>
      <c r="U137" s="817"/>
      <c r="V137" s="817"/>
      <c r="W137" s="817"/>
      <c r="X137" s="817"/>
      <c r="Y137" s="817"/>
      <c r="Z137" s="817"/>
      <c r="AA137" s="817"/>
      <c r="AC137" s="817"/>
      <c r="AD137" s="817"/>
      <c r="AE137" s="817"/>
      <c r="AF137" s="817"/>
      <c r="AG137" s="817"/>
      <c r="AH137" s="817"/>
      <c r="AI137" s="817"/>
      <c r="AJ137" s="817"/>
      <c r="AK137" s="817"/>
      <c r="AL137" s="817"/>
      <c r="AM137" s="817"/>
      <c r="AN137" s="817"/>
      <c r="AO137" s="817"/>
      <c r="AP137" s="817"/>
      <c r="AQ137" s="817"/>
      <c r="AR137" s="817"/>
      <c r="AS137" s="817"/>
      <c r="AT137" s="817"/>
      <c r="AU137" s="817"/>
      <c r="AV137" s="817"/>
      <c r="AW137" s="817"/>
      <c r="AX137" s="817"/>
      <c r="AY137" s="817"/>
      <c r="AZ137" s="817"/>
      <c r="BA137" s="817"/>
      <c r="BB137" s="817"/>
      <c r="BC137" s="817"/>
      <c r="BD137" s="817"/>
      <c r="BE137" s="817"/>
      <c r="BF137" s="817"/>
      <c r="BG137" s="817"/>
      <c r="BH137" s="817"/>
      <c r="BI137" s="817"/>
      <c r="BJ137" s="817"/>
      <c r="BM137" s="817">
        <v>10</v>
      </c>
      <c r="BN137" s="817"/>
      <c r="BO137" s="817"/>
      <c r="BQ137" s="817"/>
      <c r="BR137" s="817"/>
      <c r="BS137" s="817"/>
      <c r="BT137" s="817"/>
      <c r="BU137" s="817"/>
    </row>
    <row r="138" spans="1:73" x14ac:dyDescent="0.35">
      <c r="A138" s="806" t="s">
        <v>743</v>
      </c>
      <c r="B138" s="806" t="s">
        <v>755</v>
      </c>
      <c r="C138" s="827"/>
      <c r="D138" s="827"/>
      <c r="E138" s="827"/>
      <c r="F138" s="827"/>
      <c r="G138" s="817"/>
      <c r="H138" s="817"/>
      <c r="I138" s="817"/>
      <c r="J138" s="817"/>
      <c r="K138" s="817"/>
      <c r="L138" s="817"/>
      <c r="M138" s="817"/>
      <c r="N138" s="817"/>
      <c r="O138" s="817"/>
      <c r="P138" s="817"/>
      <c r="Q138" s="817"/>
      <c r="R138" s="817"/>
      <c r="S138" s="817"/>
      <c r="T138" s="817"/>
      <c r="U138" s="817"/>
      <c r="V138" s="817"/>
      <c r="W138" s="817"/>
      <c r="X138" s="817"/>
      <c r="Y138" s="817"/>
      <c r="Z138" s="817"/>
      <c r="AA138" s="817"/>
      <c r="AB138" s="816"/>
      <c r="AC138" s="817"/>
      <c r="AD138" s="817"/>
      <c r="AE138" s="817"/>
      <c r="AF138" s="817"/>
      <c r="AG138" s="817"/>
      <c r="AH138" s="817"/>
      <c r="AI138" s="817"/>
      <c r="AJ138" s="817"/>
      <c r="AK138" s="817"/>
      <c r="AL138" s="817"/>
      <c r="AM138" s="817"/>
      <c r="AN138" s="817"/>
      <c r="AO138" s="817"/>
      <c r="AP138" s="817"/>
      <c r="AQ138" s="817"/>
      <c r="AR138" s="817"/>
      <c r="AS138" s="817"/>
      <c r="AT138" s="817"/>
      <c r="AU138" s="817"/>
      <c r="AV138" s="817"/>
      <c r="AW138" s="817"/>
      <c r="AX138" s="817"/>
      <c r="AY138" s="817"/>
      <c r="AZ138" s="817"/>
      <c r="BA138" s="817"/>
      <c r="BB138" s="817"/>
      <c r="BC138" s="817"/>
      <c r="BD138" s="817"/>
      <c r="BE138" s="817"/>
      <c r="BF138" s="817"/>
      <c r="BG138" s="817"/>
      <c r="BH138" s="817"/>
      <c r="BI138" s="817"/>
      <c r="BJ138" s="817"/>
      <c r="BK138" s="817"/>
      <c r="BM138" s="817">
        <v>61</v>
      </c>
      <c r="BN138" s="817"/>
      <c r="BO138" s="817"/>
      <c r="BP138" s="816"/>
      <c r="BQ138" s="817"/>
      <c r="BR138" s="817"/>
      <c r="BS138" s="817"/>
      <c r="BT138" s="817"/>
      <c r="BU138" s="817"/>
    </row>
    <row r="139" spans="1:73" ht="29" x14ac:dyDescent="0.35">
      <c r="A139" s="806" t="s">
        <v>743</v>
      </c>
      <c r="B139" s="806" t="s">
        <v>756</v>
      </c>
      <c r="C139" s="828"/>
      <c r="D139" s="828"/>
      <c r="E139" s="828"/>
      <c r="F139" s="827"/>
      <c r="G139" s="818"/>
      <c r="H139" s="818"/>
      <c r="I139" s="818"/>
      <c r="J139" s="818"/>
      <c r="K139" s="818"/>
      <c r="L139" s="818"/>
      <c r="M139" s="818"/>
      <c r="N139" s="818"/>
      <c r="O139" s="818"/>
      <c r="P139" s="818"/>
      <c r="Q139" s="818"/>
      <c r="R139" s="818"/>
      <c r="S139" s="818"/>
      <c r="T139" s="818"/>
      <c r="U139" s="818"/>
      <c r="V139" s="818"/>
      <c r="W139" s="818"/>
      <c r="X139" s="818"/>
      <c r="Y139" s="818"/>
      <c r="Z139" s="818"/>
      <c r="AA139" s="818"/>
      <c r="AB139" s="816"/>
      <c r="AC139" s="818"/>
      <c r="AD139" s="818"/>
      <c r="AE139" s="818"/>
      <c r="AF139" s="818"/>
      <c r="AG139" s="818"/>
      <c r="AH139" s="818"/>
      <c r="AI139" s="818"/>
      <c r="AJ139" s="818"/>
      <c r="AK139" s="818"/>
      <c r="AL139" s="818"/>
      <c r="AM139" s="818"/>
      <c r="AN139" s="818"/>
      <c r="AO139" s="818"/>
      <c r="AP139" s="818"/>
      <c r="AQ139" s="818"/>
      <c r="AR139" s="818"/>
      <c r="AS139" s="818"/>
      <c r="AT139" s="818"/>
      <c r="AU139" s="818"/>
      <c r="AV139" s="818"/>
      <c r="AW139" s="818"/>
      <c r="AX139" s="818"/>
      <c r="AY139" s="818"/>
      <c r="AZ139" s="818"/>
      <c r="BA139" s="818"/>
      <c r="BB139" s="818"/>
      <c r="BC139" s="818"/>
      <c r="BD139" s="818"/>
      <c r="BE139" s="818"/>
      <c r="BF139" s="818"/>
      <c r="BG139" s="818"/>
      <c r="BH139" s="818"/>
      <c r="BI139" s="818"/>
      <c r="BJ139" s="818"/>
      <c r="BK139" s="817"/>
      <c r="BM139" s="818">
        <v>139593</v>
      </c>
      <c r="BN139" s="818"/>
      <c r="BO139" s="818"/>
      <c r="BP139" s="816"/>
      <c r="BQ139" s="818"/>
      <c r="BR139" s="818"/>
      <c r="BS139" s="818"/>
      <c r="BT139" s="818"/>
      <c r="BU139" s="818"/>
    </row>
    <row r="140" spans="1:73" ht="29" x14ac:dyDescent="0.35">
      <c r="A140" s="806" t="s">
        <v>743</v>
      </c>
      <c r="B140" s="806" t="s">
        <v>814</v>
      </c>
      <c r="C140" s="827"/>
      <c r="D140" s="827"/>
      <c r="E140" s="827"/>
      <c r="G140" s="817"/>
      <c r="H140" s="817"/>
      <c r="I140" s="817"/>
      <c r="J140" s="817"/>
      <c r="K140" s="817"/>
      <c r="L140" s="817"/>
      <c r="M140" s="817"/>
      <c r="N140" s="817"/>
      <c r="O140" s="817"/>
      <c r="P140" s="817"/>
      <c r="Q140" s="817"/>
      <c r="R140" s="817"/>
      <c r="S140" s="817"/>
      <c r="T140" s="817"/>
      <c r="U140" s="817"/>
      <c r="V140" s="817"/>
      <c r="W140" s="817"/>
      <c r="X140" s="817"/>
      <c r="Y140" s="817"/>
      <c r="Z140" s="817"/>
      <c r="AA140" s="817"/>
      <c r="AC140" s="817"/>
      <c r="AD140" s="817"/>
      <c r="AE140" s="817"/>
      <c r="AF140" s="817"/>
      <c r="AG140" s="817"/>
      <c r="AH140" s="817"/>
      <c r="AI140" s="817"/>
      <c r="AJ140" s="817"/>
      <c r="AK140" s="817"/>
      <c r="AL140" s="817"/>
      <c r="AM140" s="817"/>
      <c r="AN140" s="817"/>
      <c r="AO140" s="817"/>
      <c r="AP140" s="817"/>
      <c r="AQ140" s="817"/>
      <c r="AR140" s="817"/>
      <c r="AS140" s="817"/>
      <c r="AT140" s="817"/>
      <c r="AU140" s="817"/>
      <c r="AV140" s="817"/>
      <c r="AW140" s="817"/>
      <c r="AX140" s="817"/>
      <c r="AY140" s="817"/>
      <c r="AZ140" s="817"/>
      <c r="BA140" s="817"/>
      <c r="BB140" s="817"/>
      <c r="BC140" s="817"/>
      <c r="BD140" s="817"/>
      <c r="BE140" s="817"/>
      <c r="BF140" s="817"/>
      <c r="BG140" s="817"/>
      <c r="BH140" s="817"/>
      <c r="BI140" s="817"/>
      <c r="BJ140" s="817"/>
      <c r="BM140" s="817">
        <v>0</v>
      </c>
      <c r="BN140" s="817"/>
      <c r="BO140" s="817"/>
      <c r="BQ140" s="817"/>
      <c r="BR140" s="817"/>
      <c r="BS140" s="817"/>
      <c r="BT140" s="817"/>
      <c r="BU140" s="817"/>
    </row>
    <row r="141" spans="1:73" ht="29" x14ac:dyDescent="0.35">
      <c r="A141" s="806" t="s">
        <v>743</v>
      </c>
      <c r="B141" s="806" t="s">
        <v>815</v>
      </c>
      <c r="C141" s="19" t="s">
        <v>198</v>
      </c>
      <c r="D141" s="19" t="s">
        <v>198</v>
      </c>
      <c r="E141" s="19" t="s">
        <v>198</v>
      </c>
      <c r="G141" s="816" t="s">
        <v>198</v>
      </c>
      <c r="H141" s="816" t="s">
        <v>198</v>
      </c>
      <c r="I141" s="816" t="s">
        <v>198</v>
      </c>
      <c r="J141" s="816" t="s">
        <v>198</v>
      </c>
      <c r="K141" s="816" t="s">
        <v>198</v>
      </c>
      <c r="L141" s="816" t="s">
        <v>198</v>
      </c>
      <c r="M141" s="816" t="s">
        <v>198</v>
      </c>
      <c r="N141" s="816" t="s">
        <v>198</v>
      </c>
      <c r="O141" s="816" t="s">
        <v>198</v>
      </c>
      <c r="P141" s="816"/>
      <c r="Q141" s="816" t="s">
        <v>198</v>
      </c>
      <c r="S141" s="816" t="s">
        <v>198</v>
      </c>
      <c r="T141" s="816" t="s">
        <v>198</v>
      </c>
      <c r="U141" s="816"/>
      <c r="V141" s="816"/>
      <c r="W141" s="816" t="s">
        <v>198</v>
      </c>
      <c r="X141" s="816" t="s">
        <v>198</v>
      </c>
      <c r="Y141" s="816" t="s">
        <v>198</v>
      </c>
      <c r="Z141" s="816" t="s">
        <v>198</v>
      </c>
      <c r="AA141" s="816" t="s">
        <v>198</v>
      </c>
      <c r="AC141" s="816" t="s">
        <v>198</v>
      </c>
      <c r="AD141" s="816" t="s">
        <v>198</v>
      </c>
      <c r="AE141" s="816"/>
      <c r="AF141" s="816" t="s">
        <v>198</v>
      </c>
      <c r="AG141" s="816" t="s">
        <v>198</v>
      </c>
      <c r="AH141" s="816" t="s">
        <v>198</v>
      </c>
      <c r="AI141" s="816" t="s">
        <v>198</v>
      </c>
      <c r="AJ141" s="816"/>
      <c r="AK141" s="816"/>
      <c r="AL141" s="816"/>
      <c r="AM141" s="816" t="s">
        <v>198</v>
      </c>
      <c r="AN141" s="816" t="s">
        <v>198</v>
      </c>
      <c r="AO141" s="816" t="s">
        <v>198</v>
      </c>
      <c r="AP141" s="816"/>
      <c r="AQ141" s="816" t="s">
        <v>198</v>
      </c>
      <c r="AR141" s="816" t="s">
        <v>198</v>
      </c>
      <c r="AS141" s="816" t="s">
        <v>198</v>
      </c>
      <c r="AT141" s="816" t="s">
        <v>198</v>
      </c>
      <c r="AU141" s="816" t="s">
        <v>198</v>
      </c>
      <c r="AV141" s="816" t="s">
        <v>198</v>
      </c>
      <c r="AW141" s="816"/>
      <c r="AX141" s="816"/>
      <c r="AY141" s="816" t="s">
        <v>198</v>
      </c>
      <c r="AZ141" s="816"/>
      <c r="BA141" s="816"/>
      <c r="BB141" s="816" t="s">
        <v>198</v>
      </c>
      <c r="BC141" s="816"/>
      <c r="BD141" s="816" t="s">
        <v>198</v>
      </c>
      <c r="BE141" s="816" t="s">
        <v>198</v>
      </c>
      <c r="BF141" s="816" t="s">
        <v>198</v>
      </c>
      <c r="BG141" s="816"/>
      <c r="BH141" s="816"/>
      <c r="BI141" s="816" t="s">
        <v>198</v>
      </c>
      <c r="BJ141" s="816" t="s">
        <v>198</v>
      </c>
      <c r="BM141" s="816" t="s">
        <v>198</v>
      </c>
      <c r="BN141" s="816" t="s">
        <v>198</v>
      </c>
      <c r="BO141" s="816" t="s">
        <v>198</v>
      </c>
      <c r="BQ141" s="816"/>
      <c r="BR141" s="816" t="s">
        <v>198</v>
      </c>
      <c r="BS141" s="816" t="s">
        <v>198</v>
      </c>
      <c r="BT141" s="816"/>
      <c r="BU141" s="816" t="s">
        <v>198</v>
      </c>
    </row>
    <row r="142" spans="1:73" ht="29" x14ac:dyDescent="0.35">
      <c r="A142" s="806" t="s">
        <v>743</v>
      </c>
      <c r="B142" s="806" t="s">
        <v>816</v>
      </c>
      <c r="C142" s="19" t="s">
        <v>198</v>
      </c>
      <c r="D142" s="19" t="s">
        <v>198</v>
      </c>
      <c r="E142" s="19" t="s">
        <v>198</v>
      </c>
      <c r="G142" s="816" t="s">
        <v>198</v>
      </c>
      <c r="H142" s="816" t="s">
        <v>198</v>
      </c>
      <c r="I142" s="816" t="s">
        <v>198</v>
      </c>
      <c r="J142" s="816" t="s">
        <v>198</v>
      </c>
      <c r="K142" s="816" t="s">
        <v>198</v>
      </c>
      <c r="L142" s="816" t="s">
        <v>198</v>
      </c>
      <c r="M142" s="816" t="s">
        <v>198</v>
      </c>
      <c r="N142" s="816" t="s">
        <v>198</v>
      </c>
      <c r="O142" s="816" t="s">
        <v>198</v>
      </c>
      <c r="P142" s="816"/>
      <c r="Q142" s="816" t="s">
        <v>198</v>
      </c>
      <c r="S142" s="816" t="s">
        <v>198</v>
      </c>
      <c r="T142" s="816" t="s">
        <v>198</v>
      </c>
      <c r="U142" s="816"/>
      <c r="V142" s="816"/>
      <c r="W142" s="816" t="s">
        <v>198</v>
      </c>
      <c r="X142" s="816" t="s">
        <v>198</v>
      </c>
      <c r="Y142" s="816" t="s">
        <v>198</v>
      </c>
      <c r="Z142" s="816" t="s">
        <v>198</v>
      </c>
      <c r="AA142" s="816" t="s">
        <v>198</v>
      </c>
      <c r="AC142" s="816" t="s">
        <v>198</v>
      </c>
      <c r="AD142" s="816" t="s">
        <v>198</v>
      </c>
      <c r="AE142" s="816"/>
      <c r="AF142" s="816" t="s">
        <v>198</v>
      </c>
      <c r="AG142" s="816" t="s">
        <v>198</v>
      </c>
      <c r="AH142" s="816" t="s">
        <v>198</v>
      </c>
      <c r="AI142" s="816" t="s">
        <v>198</v>
      </c>
      <c r="AJ142" s="816"/>
      <c r="AK142" s="816"/>
      <c r="AL142" s="816"/>
      <c r="AM142" s="816" t="s">
        <v>198</v>
      </c>
      <c r="AN142" s="816" t="s">
        <v>198</v>
      </c>
      <c r="AO142" s="816" t="s">
        <v>198</v>
      </c>
      <c r="AP142" s="816"/>
      <c r="AQ142" s="816" t="s">
        <v>198</v>
      </c>
      <c r="AR142" s="816" t="s">
        <v>198</v>
      </c>
      <c r="AS142" s="816" t="s">
        <v>198</v>
      </c>
      <c r="AT142" s="816" t="s">
        <v>198</v>
      </c>
      <c r="AU142" s="816" t="s">
        <v>198</v>
      </c>
      <c r="AV142" s="816" t="s">
        <v>198</v>
      </c>
      <c r="AW142" s="816"/>
      <c r="AX142" s="816"/>
      <c r="AY142" s="816" t="s">
        <v>198</v>
      </c>
      <c r="AZ142" s="816"/>
      <c r="BA142" s="816"/>
      <c r="BB142" s="816" t="s">
        <v>198</v>
      </c>
      <c r="BC142" s="816"/>
      <c r="BD142" s="816" t="s">
        <v>198</v>
      </c>
      <c r="BE142" s="816" t="s">
        <v>198</v>
      </c>
      <c r="BF142" s="816" t="s">
        <v>198</v>
      </c>
      <c r="BG142" s="816"/>
      <c r="BH142" s="816"/>
      <c r="BI142" s="816" t="s">
        <v>198</v>
      </c>
      <c r="BJ142" s="816" t="s">
        <v>198</v>
      </c>
      <c r="BM142" s="816" t="s">
        <v>198</v>
      </c>
      <c r="BN142" s="816" t="s">
        <v>198</v>
      </c>
      <c r="BO142" s="816" t="s">
        <v>198</v>
      </c>
      <c r="BQ142" s="816"/>
      <c r="BR142" s="816" t="s">
        <v>198</v>
      </c>
      <c r="BS142" s="816" t="s">
        <v>198</v>
      </c>
      <c r="BT142" s="816"/>
      <c r="BU142" s="816" t="s">
        <v>198</v>
      </c>
    </row>
    <row r="143" spans="1:73" ht="290" x14ac:dyDescent="0.35">
      <c r="A143" s="806" t="s">
        <v>743</v>
      </c>
      <c r="B143" s="806" t="s">
        <v>817</v>
      </c>
      <c r="C143" s="19" t="s">
        <v>2477</v>
      </c>
      <c r="D143" s="19" t="s">
        <v>2477</v>
      </c>
      <c r="E143" s="19" t="s">
        <v>2477</v>
      </c>
      <c r="G143" s="816" t="s">
        <v>2546</v>
      </c>
      <c r="H143" s="816" t="s">
        <v>2568</v>
      </c>
      <c r="I143" s="816" t="s">
        <v>2588</v>
      </c>
      <c r="J143" s="816" t="s">
        <v>2614</v>
      </c>
      <c r="K143" s="816" t="s">
        <v>2627</v>
      </c>
      <c r="L143" s="816" t="s">
        <v>2653</v>
      </c>
      <c r="M143" s="816" t="s">
        <v>1931</v>
      </c>
      <c r="N143" s="816" t="s">
        <v>2711</v>
      </c>
      <c r="O143" s="816" t="s">
        <v>2752</v>
      </c>
      <c r="P143" s="816"/>
      <c r="Q143" s="816" t="s">
        <v>2787</v>
      </c>
      <c r="S143" s="816" t="s">
        <v>2823</v>
      </c>
      <c r="T143" s="816" t="s">
        <v>2839</v>
      </c>
      <c r="U143" s="816"/>
      <c r="V143" s="816"/>
      <c r="W143" s="816" t="s">
        <v>2896</v>
      </c>
      <c r="X143" s="816" t="s">
        <v>2916</v>
      </c>
      <c r="Y143" s="816" t="s">
        <v>2931</v>
      </c>
      <c r="Z143" s="816" t="s">
        <v>2954</v>
      </c>
      <c r="AA143" s="816" t="s">
        <v>2981</v>
      </c>
      <c r="AC143" s="816" t="s">
        <v>3028</v>
      </c>
      <c r="AD143" s="816" t="s">
        <v>3075</v>
      </c>
      <c r="AE143" s="816"/>
      <c r="AF143" s="816" t="s">
        <v>3108</v>
      </c>
      <c r="AG143" s="816" t="s">
        <v>3135</v>
      </c>
      <c r="AH143" s="816" t="s">
        <v>3167</v>
      </c>
      <c r="AI143" s="816" t="s">
        <v>3218</v>
      </c>
      <c r="AJ143" s="816"/>
      <c r="AK143" s="816"/>
      <c r="AL143" s="816"/>
      <c r="AM143" s="816" t="s">
        <v>3286</v>
      </c>
      <c r="AN143" s="816" t="s">
        <v>3305</v>
      </c>
      <c r="AO143" s="816" t="s">
        <v>3356</v>
      </c>
      <c r="AP143" s="816"/>
      <c r="AQ143" s="816" t="s">
        <v>3386</v>
      </c>
      <c r="AR143" s="816" t="s">
        <v>3407</v>
      </c>
      <c r="AS143" s="816" t="s">
        <v>3431</v>
      </c>
      <c r="AT143" s="816" t="s">
        <v>3453</v>
      </c>
      <c r="AU143" s="816" t="s">
        <v>3467</v>
      </c>
      <c r="AV143" s="816" t="s">
        <v>3453</v>
      </c>
      <c r="AW143" s="816"/>
      <c r="AX143" s="816"/>
      <c r="AY143" s="816" t="s">
        <v>2504</v>
      </c>
      <c r="AZ143" s="816"/>
      <c r="BA143" s="816"/>
      <c r="BC143" s="816"/>
      <c r="BD143" s="816" t="s">
        <v>3698</v>
      </c>
      <c r="BE143" s="816" t="s">
        <v>3752</v>
      </c>
      <c r="BF143" s="816" t="s">
        <v>3771</v>
      </c>
      <c r="BG143" s="816"/>
      <c r="BH143" s="816"/>
      <c r="BI143" s="816" t="s">
        <v>3938</v>
      </c>
      <c r="BJ143" s="816" t="s">
        <v>3961</v>
      </c>
      <c r="BM143" s="816" t="s">
        <v>4227</v>
      </c>
      <c r="BN143" s="816" t="s">
        <v>4243</v>
      </c>
      <c r="BO143" s="816" t="s">
        <v>3218</v>
      </c>
      <c r="BQ143" s="816"/>
      <c r="BR143" s="816" t="s">
        <v>4323</v>
      </c>
      <c r="BS143" s="816" t="s">
        <v>2504</v>
      </c>
      <c r="BT143" s="816"/>
      <c r="BU143" s="816" t="s">
        <v>4360</v>
      </c>
    </row>
    <row r="144" spans="1:73" ht="333.5" x14ac:dyDescent="0.35">
      <c r="A144" s="806" t="s">
        <v>743</v>
      </c>
      <c r="B144" s="806" t="s">
        <v>818</v>
      </c>
      <c r="C144" s="19" t="s">
        <v>2478</v>
      </c>
      <c r="D144" s="19" t="s">
        <v>2478</v>
      </c>
      <c r="E144" s="19" t="s">
        <v>2478</v>
      </c>
      <c r="G144" s="816" t="s">
        <v>2547</v>
      </c>
      <c r="H144" s="816" t="s">
        <v>2569</v>
      </c>
      <c r="I144" s="816" t="s">
        <v>2589</v>
      </c>
      <c r="J144" s="816"/>
      <c r="K144" s="816"/>
      <c r="M144" s="816" t="s">
        <v>1932</v>
      </c>
      <c r="N144" s="816" t="s">
        <v>2712</v>
      </c>
      <c r="O144" s="816" t="s">
        <v>2753</v>
      </c>
      <c r="P144" s="816"/>
      <c r="Q144" s="816" t="s">
        <v>2788</v>
      </c>
      <c r="S144" s="816"/>
      <c r="T144" s="816"/>
      <c r="U144" s="816"/>
      <c r="V144" s="816"/>
      <c r="W144" s="816" t="s">
        <v>2897</v>
      </c>
      <c r="X144" s="816" t="s">
        <v>2917</v>
      </c>
      <c r="Y144" s="816" t="s">
        <v>2804</v>
      </c>
      <c r="Z144" s="816" t="s">
        <v>2955</v>
      </c>
      <c r="AA144" s="816" t="s">
        <v>2982</v>
      </c>
      <c r="AC144" s="816" t="s">
        <v>3029</v>
      </c>
      <c r="AD144" s="816" t="s">
        <v>3076</v>
      </c>
      <c r="AE144" s="816"/>
      <c r="AF144" s="816" t="s">
        <v>3109</v>
      </c>
      <c r="AG144" s="816"/>
      <c r="AH144" s="816" t="s">
        <v>3168</v>
      </c>
      <c r="AI144" s="816" t="s">
        <v>3219</v>
      </c>
      <c r="AJ144" s="816"/>
      <c r="AL144" s="816"/>
      <c r="AN144" s="816" t="s">
        <v>3306</v>
      </c>
      <c r="AP144" s="816"/>
      <c r="AQ144" s="816" t="s">
        <v>3387</v>
      </c>
      <c r="AR144" s="816" t="s">
        <v>3408</v>
      </c>
      <c r="AS144" s="816" t="s">
        <v>3432</v>
      </c>
      <c r="AT144" s="816"/>
      <c r="AU144" s="816" t="s">
        <v>1931</v>
      </c>
      <c r="AV144" s="816"/>
      <c r="AW144" s="816"/>
      <c r="AX144" s="816"/>
      <c r="AY144" s="816" t="s">
        <v>3565</v>
      </c>
      <c r="AZ144" s="816"/>
      <c r="BA144" s="816"/>
      <c r="BC144" s="816"/>
      <c r="BD144" s="816" t="s">
        <v>3699</v>
      </c>
      <c r="BE144" s="816" t="s">
        <v>3753</v>
      </c>
      <c r="BF144" s="816" t="s">
        <v>3772</v>
      </c>
      <c r="BG144" s="816"/>
      <c r="BH144" s="816"/>
      <c r="BI144" s="816" t="s">
        <v>3939</v>
      </c>
      <c r="BJ144" s="816" t="s">
        <v>3962</v>
      </c>
      <c r="BM144" s="816"/>
      <c r="BN144" s="816" t="s">
        <v>4244</v>
      </c>
      <c r="BO144" s="816" t="s">
        <v>3219</v>
      </c>
      <c r="BQ144" s="816"/>
      <c r="BR144" s="816"/>
      <c r="BS144" s="816" t="s">
        <v>3565</v>
      </c>
      <c r="BT144" s="816"/>
      <c r="BU144" s="816" t="s">
        <v>4361</v>
      </c>
    </row>
    <row r="145" spans="1:73" ht="174" x14ac:dyDescent="0.35">
      <c r="A145" s="806" t="s">
        <v>743</v>
      </c>
      <c r="B145" s="806" t="s">
        <v>1047</v>
      </c>
      <c r="C145" s="19" t="s">
        <v>2480</v>
      </c>
      <c r="D145" s="19" t="s">
        <v>2480</v>
      </c>
      <c r="E145" s="19" t="s">
        <v>2480</v>
      </c>
      <c r="I145" s="816" t="s">
        <v>2590</v>
      </c>
      <c r="J145" s="816"/>
      <c r="K145" s="816"/>
      <c r="M145" s="816" t="s">
        <v>1933</v>
      </c>
      <c r="N145" s="816" t="s">
        <v>2713</v>
      </c>
      <c r="O145" s="816" t="s">
        <v>2754</v>
      </c>
      <c r="P145" s="816"/>
      <c r="Q145" s="816" t="s">
        <v>2787</v>
      </c>
      <c r="S145" s="816"/>
      <c r="T145" s="816"/>
      <c r="U145" s="816"/>
      <c r="V145" s="816"/>
      <c r="W145" s="816" t="s">
        <v>2898</v>
      </c>
      <c r="X145" s="816"/>
      <c r="Z145" s="816" t="s">
        <v>2956</v>
      </c>
      <c r="AA145" s="816" t="s">
        <v>2986</v>
      </c>
      <c r="AC145" s="816" t="s">
        <v>3046</v>
      </c>
      <c r="AD145" s="816"/>
      <c r="AE145" s="816"/>
      <c r="AF145" s="816" t="s">
        <v>3110</v>
      </c>
      <c r="AG145" s="816"/>
      <c r="AH145" s="816" t="s">
        <v>3169</v>
      </c>
      <c r="AI145" s="816" t="s">
        <v>3220</v>
      </c>
      <c r="AJ145" s="816"/>
      <c r="AL145" s="816"/>
      <c r="AN145" s="816" t="s">
        <v>3307</v>
      </c>
      <c r="AP145" s="816"/>
      <c r="AQ145" s="816" t="s">
        <v>3388</v>
      </c>
      <c r="AR145" s="816"/>
      <c r="AS145" s="816" t="s">
        <v>3433</v>
      </c>
      <c r="AT145" s="816"/>
      <c r="AU145" s="816"/>
      <c r="AV145" s="816"/>
      <c r="AW145" s="816"/>
      <c r="AX145" s="816"/>
      <c r="AY145" s="816"/>
      <c r="AZ145" s="816"/>
      <c r="BA145" s="816"/>
      <c r="BC145" s="816"/>
      <c r="BD145" s="816"/>
      <c r="BE145" s="816" t="s">
        <v>3752</v>
      </c>
      <c r="BF145" s="816"/>
      <c r="BG145" s="816"/>
      <c r="BH145" s="816"/>
      <c r="BI145" s="816" t="s">
        <v>3940</v>
      </c>
      <c r="BJ145" s="816"/>
      <c r="BM145" s="816"/>
      <c r="BN145" s="816" t="s">
        <v>2649</v>
      </c>
      <c r="BO145" s="816" t="s">
        <v>3220</v>
      </c>
      <c r="BQ145" s="816"/>
      <c r="BR145" s="816"/>
      <c r="BS145" s="816"/>
      <c r="BT145" s="816"/>
      <c r="BU145" s="816" t="s">
        <v>4362</v>
      </c>
    </row>
    <row r="146" spans="1:73" ht="145" x14ac:dyDescent="0.35">
      <c r="A146" s="806" t="s">
        <v>743</v>
      </c>
      <c r="B146" s="806" t="s">
        <v>1048</v>
      </c>
      <c r="C146" s="19" t="s">
        <v>2485</v>
      </c>
      <c r="D146" s="19" t="s">
        <v>2485</v>
      </c>
      <c r="E146" s="19" t="s">
        <v>2485</v>
      </c>
      <c r="I146" s="816" t="s">
        <v>2591</v>
      </c>
      <c r="J146" s="816"/>
      <c r="K146" s="816"/>
      <c r="M146" s="816"/>
      <c r="N146" s="816" t="s">
        <v>2714</v>
      </c>
      <c r="O146" s="816"/>
      <c r="P146" s="816"/>
      <c r="Q146" s="816" t="s">
        <v>2787</v>
      </c>
      <c r="S146" s="816"/>
      <c r="T146" s="816"/>
      <c r="U146" s="816"/>
      <c r="V146" s="816"/>
      <c r="W146" s="816"/>
      <c r="X146" s="816"/>
      <c r="Z146" s="816" t="s">
        <v>2957</v>
      </c>
      <c r="AA146" s="816" t="s">
        <v>2991</v>
      </c>
      <c r="AC146" s="816"/>
      <c r="AD146" s="816"/>
      <c r="AE146" s="816"/>
      <c r="AF146" s="816" t="s">
        <v>3111</v>
      </c>
      <c r="AG146" s="816"/>
      <c r="AH146" s="816" t="s">
        <v>3190</v>
      </c>
      <c r="AI146" s="816" t="s">
        <v>3221</v>
      </c>
      <c r="AJ146" s="816"/>
      <c r="AL146" s="816"/>
      <c r="AN146" s="816"/>
      <c r="AP146" s="816"/>
      <c r="AQ146" s="816" t="s">
        <v>3389</v>
      </c>
      <c r="AR146" s="816"/>
      <c r="AS146" s="816" t="s">
        <v>3434</v>
      </c>
      <c r="AT146" s="816"/>
      <c r="AU146" s="816"/>
      <c r="AV146" s="816"/>
      <c r="AW146" s="816"/>
      <c r="AX146" s="816"/>
      <c r="AY146" s="816"/>
      <c r="AZ146" s="816"/>
      <c r="BA146" s="816"/>
      <c r="BC146" s="816"/>
      <c r="BD146" s="816"/>
      <c r="BE146" s="816" t="s">
        <v>3752</v>
      </c>
      <c r="BF146" s="816"/>
      <c r="BG146" s="816"/>
      <c r="BH146" s="816"/>
      <c r="BI146" s="816" t="s">
        <v>3941</v>
      </c>
      <c r="BJ146" s="816"/>
      <c r="BM146" s="816"/>
      <c r="BN146" s="816" t="s">
        <v>4245</v>
      </c>
      <c r="BO146" s="816" t="s">
        <v>3221</v>
      </c>
      <c r="BQ146" s="816"/>
      <c r="BR146" s="816"/>
      <c r="BS146" s="816"/>
      <c r="BT146" s="816"/>
      <c r="BU146" s="816" t="s">
        <v>4363</v>
      </c>
    </row>
    <row r="147" spans="1:73" ht="87" x14ac:dyDescent="0.35">
      <c r="A147" s="806" t="s">
        <v>743</v>
      </c>
      <c r="B147" s="806" t="s">
        <v>1049</v>
      </c>
      <c r="I147" s="816" t="s">
        <v>2592</v>
      </c>
      <c r="J147" s="816"/>
      <c r="K147" s="816"/>
      <c r="M147" s="816"/>
      <c r="N147" s="816" t="s">
        <v>2715</v>
      </c>
      <c r="O147" s="816"/>
      <c r="P147" s="816"/>
      <c r="Q147" s="816"/>
      <c r="S147" s="816"/>
      <c r="T147" s="816"/>
      <c r="U147" s="816"/>
      <c r="V147" s="816"/>
      <c r="W147" s="816"/>
      <c r="X147" s="816"/>
      <c r="Z147" s="816" t="s">
        <v>2958</v>
      </c>
      <c r="AA147" s="816" t="s">
        <v>2992</v>
      </c>
      <c r="AC147" s="816"/>
      <c r="AD147" s="816"/>
      <c r="AE147" s="816"/>
      <c r="AF147" s="816"/>
      <c r="AG147" s="816"/>
      <c r="AI147" s="816"/>
      <c r="AJ147" s="816"/>
      <c r="AL147" s="816"/>
      <c r="AN147" s="816"/>
      <c r="AP147" s="816"/>
      <c r="AQ147" s="816"/>
      <c r="AR147" s="816"/>
      <c r="AS147" s="816"/>
      <c r="AT147" s="816"/>
      <c r="AU147" s="816"/>
      <c r="AV147" s="816"/>
      <c r="AW147" s="816"/>
      <c r="AX147" s="816"/>
      <c r="AY147" s="816"/>
      <c r="AZ147" s="816"/>
      <c r="BA147" s="816"/>
      <c r="BC147" s="816"/>
      <c r="BD147" s="816"/>
      <c r="BE147" s="816"/>
      <c r="BF147" s="816"/>
      <c r="BG147" s="816"/>
      <c r="BH147" s="816"/>
      <c r="BI147" s="816" t="s">
        <v>3942</v>
      </c>
      <c r="BJ147" s="816"/>
      <c r="BM147" s="816"/>
      <c r="BN147" s="816" t="s">
        <v>4246</v>
      </c>
      <c r="BO147" s="816"/>
      <c r="BQ147" s="816"/>
      <c r="BR147" s="816"/>
      <c r="BS147" s="816"/>
      <c r="BT147" s="816"/>
      <c r="BU147" s="816" t="s">
        <v>4364</v>
      </c>
    </row>
    <row r="148" spans="1:73" x14ac:dyDescent="0.35">
      <c r="A148" s="811" t="s">
        <v>743</v>
      </c>
      <c r="B148" s="811" t="s">
        <v>819</v>
      </c>
      <c r="C148" s="815">
        <v>43736</v>
      </c>
      <c r="D148" s="815">
        <v>43736</v>
      </c>
      <c r="E148" s="815">
        <v>43736</v>
      </c>
      <c r="F148" s="815"/>
      <c r="G148" s="811">
        <v>43617</v>
      </c>
      <c r="H148" s="811">
        <v>44651</v>
      </c>
      <c r="I148" s="811">
        <v>44612</v>
      </c>
      <c r="J148" s="811">
        <v>44347</v>
      </c>
      <c r="K148" s="811">
        <v>44984</v>
      </c>
      <c r="L148" s="811">
        <v>44974</v>
      </c>
      <c r="M148" s="811">
        <v>44966</v>
      </c>
      <c r="N148" s="811">
        <v>44977</v>
      </c>
      <c r="O148" s="811">
        <v>44966</v>
      </c>
      <c r="P148" s="811"/>
      <c r="Q148" s="811">
        <v>44926</v>
      </c>
      <c r="R148" s="811"/>
      <c r="S148" s="811">
        <v>44959</v>
      </c>
      <c r="T148" s="811">
        <v>44959</v>
      </c>
      <c r="U148" s="811"/>
      <c r="V148" s="811"/>
      <c r="W148" s="811">
        <v>44227</v>
      </c>
      <c r="X148" s="811">
        <v>44965</v>
      </c>
      <c r="Y148" s="811">
        <v>44978</v>
      </c>
      <c r="Z148" s="811">
        <v>44682</v>
      </c>
      <c r="AA148" s="811">
        <v>44882</v>
      </c>
      <c r="AB148" s="811"/>
      <c r="AC148" s="811">
        <v>44916</v>
      </c>
      <c r="AD148" s="811">
        <v>44984</v>
      </c>
      <c r="AE148" s="811"/>
      <c r="AF148" s="811">
        <v>44729</v>
      </c>
      <c r="AG148" s="811">
        <v>44973</v>
      </c>
      <c r="AH148" s="811">
        <v>43992</v>
      </c>
      <c r="AI148" s="811">
        <v>43677</v>
      </c>
      <c r="AJ148" s="811"/>
      <c r="AK148" s="811"/>
      <c r="AL148" s="811"/>
      <c r="AM148" s="811">
        <v>44972</v>
      </c>
      <c r="AN148" s="811">
        <v>44958</v>
      </c>
      <c r="AO148" s="811">
        <v>44964</v>
      </c>
      <c r="AP148" s="811"/>
      <c r="AQ148" s="811">
        <v>43508</v>
      </c>
      <c r="AR148" s="811">
        <v>44008</v>
      </c>
      <c r="AS148" s="811">
        <v>44932</v>
      </c>
      <c r="AT148" s="811">
        <v>44978</v>
      </c>
      <c r="AU148" s="811">
        <v>44980</v>
      </c>
      <c r="AV148" s="811">
        <v>44973</v>
      </c>
      <c r="AW148" s="811"/>
      <c r="AX148" s="811"/>
      <c r="AY148" s="811">
        <v>44228</v>
      </c>
      <c r="AZ148" s="811"/>
      <c r="BA148" s="811"/>
      <c r="BB148" s="811">
        <v>44931</v>
      </c>
      <c r="BC148" s="811"/>
      <c r="BD148" s="811">
        <v>44981</v>
      </c>
      <c r="BE148" s="811">
        <v>44012</v>
      </c>
      <c r="BF148" s="811">
        <v>44727</v>
      </c>
      <c r="BG148" s="811"/>
      <c r="BH148" s="811"/>
      <c r="BI148" s="811">
        <v>44931</v>
      </c>
      <c r="BJ148" s="811">
        <v>44985</v>
      </c>
      <c r="BK148" s="811"/>
      <c r="BL148" s="811"/>
      <c r="BM148" s="811">
        <v>44932</v>
      </c>
      <c r="BN148" s="811">
        <v>44957</v>
      </c>
      <c r="BO148" s="811">
        <v>43677</v>
      </c>
      <c r="BP148" s="811"/>
      <c r="BQ148" s="811"/>
      <c r="BR148" s="811">
        <v>44985</v>
      </c>
      <c r="BS148" s="811">
        <v>44228</v>
      </c>
      <c r="BT148" s="811"/>
      <c r="BU148" s="811">
        <v>44981</v>
      </c>
    </row>
    <row r="149" spans="1:73" x14ac:dyDescent="0.35">
      <c r="A149" s="811" t="s">
        <v>743</v>
      </c>
      <c r="B149" s="811" t="s">
        <v>820</v>
      </c>
      <c r="C149" s="815">
        <v>44316</v>
      </c>
      <c r="D149" s="815">
        <v>44316</v>
      </c>
      <c r="E149" s="815">
        <v>44316</v>
      </c>
      <c r="F149" s="815"/>
      <c r="G149" s="811">
        <v>44949</v>
      </c>
      <c r="H149" s="811">
        <v>44957</v>
      </c>
      <c r="I149" s="811">
        <v>44231</v>
      </c>
      <c r="J149" s="811"/>
      <c r="K149" s="811"/>
      <c r="L149" s="811"/>
      <c r="M149" s="811">
        <v>44966</v>
      </c>
      <c r="N149" s="811">
        <v>44977</v>
      </c>
      <c r="O149" s="811">
        <v>44966</v>
      </c>
      <c r="P149" s="811"/>
      <c r="Q149" s="811">
        <v>44377</v>
      </c>
      <c r="R149" s="811"/>
      <c r="S149" s="811"/>
      <c r="T149" s="811"/>
      <c r="U149" s="811"/>
      <c r="V149" s="811"/>
      <c r="W149" s="811">
        <v>44980</v>
      </c>
      <c r="X149" s="811">
        <v>44965</v>
      </c>
      <c r="Y149" s="811">
        <v>44978</v>
      </c>
      <c r="Z149" s="811">
        <v>44593</v>
      </c>
      <c r="AA149" s="811">
        <v>44596</v>
      </c>
      <c r="AB149" s="811"/>
      <c r="AC149" s="811">
        <v>44592</v>
      </c>
      <c r="AD149" s="811">
        <v>44135</v>
      </c>
      <c r="AE149" s="811"/>
      <c r="AF149" s="811">
        <v>44690</v>
      </c>
      <c r="AG149" s="811"/>
      <c r="AH149" s="811">
        <v>44837</v>
      </c>
      <c r="AI149" s="811">
        <v>43998</v>
      </c>
      <c r="AJ149" s="811"/>
      <c r="AK149" s="811"/>
      <c r="AL149" s="811"/>
      <c r="AM149" s="811"/>
      <c r="AN149" s="811"/>
      <c r="AO149" s="811"/>
      <c r="AP149" s="811"/>
      <c r="AQ149" s="811">
        <v>44926</v>
      </c>
      <c r="AR149" s="811">
        <v>44946</v>
      </c>
      <c r="AS149" s="811">
        <v>44932</v>
      </c>
      <c r="AT149" s="811"/>
      <c r="AU149" s="811">
        <v>44980</v>
      </c>
      <c r="AV149" s="811"/>
      <c r="AW149" s="816"/>
      <c r="AX149" s="811"/>
      <c r="AY149" s="811">
        <v>44981</v>
      </c>
      <c r="AZ149" s="811"/>
      <c r="BA149" s="811"/>
      <c r="BB149" s="811"/>
      <c r="BC149" s="811"/>
      <c r="BD149" s="811">
        <v>44981</v>
      </c>
      <c r="BE149" s="811">
        <v>44377</v>
      </c>
      <c r="BF149" s="811">
        <v>44413</v>
      </c>
      <c r="BG149" s="811"/>
      <c r="BH149" s="811"/>
      <c r="BI149" s="811">
        <v>44931</v>
      </c>
      <c r="BJ149" s="811">
        <v>44985</v>
      </c>
      <c r="BK149" s="811"/>
      <c r="BL149" s="811"/>
      <c r="BM149" s="811"/>
      <c r="BN149" s="811">
        <v>44957</v>
      </c>
      <c r="BO149" s="811">
        <v>43998</v>
      </c>
      <c r="BP149" s="811"/>
      <c r="BQ149" s="811"/>
      <c r="BR149" s="811"/>
      <c r="BS149" s="811">
        <v>44981</v>
      </c>
      <c r="BT149" s="811"/>
      <c r="BU149" s="811">
        <v>44980</v>
      </c>
    </row>
    <row r="150" spans="1:73" x14ac:dyDescent="0.35">
      <c r="A150" s="811" t="s">
        <v>743</v>
      </c>
      <c r="B150" s="811" t="s">
        <v>1056</v>
      </c>
      <c r="C150" s="815">
        <v>44031</v>
      </c>
      <c r="D150" s="815">
        <v>44031</v>
      </c>
      <c r="E150" s="815">
        <v>44031</v>
      </c>
      <c r="F150" s="815"/>
      <c r="G150" s="811"/>
      <c r="H150" s="811"/>
      <c r="I150" s="811">
        <v>44316</v>
      </c>
      <c r="J150" s="816"/>
      <c r="K150" s="811"/>
      <c r="L150" s="811"/>
      <c r="M150" s="811">
        <v>44966</v>
      </c>
      <c r="N150" s="811">
        <v>44977</v>
      </c>
      <c r="O150" s="811">
        <v>44966</v>
      </c>
      <c r="P150" s="816"/>
      <c r="Q150" s="811">
        <v>44012</v>
      </c>
      <c r="R150" s="811"/>
      <c r="S150" s="816"/>
      <c r="T150" s="816"/>
      <c r="U150" s="816"/>
      <c r="V150" s="811"/>
      <c r="W150" s="811">
        <v>44941</v>
      </c>
      <c r="X150" s="816"/>
      <c r="Y150" s="811"/>
      <c r="Z150" s="811">
        <v>44732</v>
      </c>
      <c r="AA150" s="811">
        <v>43998</v>
      </c>
      <c r="AB150" s="811"/>
      <c r="AC150" s="811">
        <v>44136</v>
      </c>
      <c r="AD150" s="811"/>
      <c r="AE150" s="816"/>
      <c r="AF150" s="811">
        <v>43819</v>
      </c>
      <c r="AG150" s="816"/>
      <c r="AH150" s="811">
        <v>44929</v>
      </c>
      <c r="AI150" s="811">
        <v>44980</v>
      </c>
      <c r="AJ150" s="816"/>
      <c r="AK150" s="811"/>
      <c r="AL150" s="811"/>
      <c r="AM150" s="811"/>
      <c r="AN150" s="811"/>
      <c r="AO150" s="811"/>
      <c r="AP150" s="816"/>
      <c r="AQ150" s="811">
        <v>44926</v>
      </c>
      <c r="AR150" s="816"/>
      <c r="AS150" s="811">
        <v>44932</v>
      </c>
      <c r="AT150" s="811"/>
      <c r="AU150" s="811"/>
      <c r="AV150" s="811"/>
      <c r="AW150" s="816"/>
      <c r="AX150" s="816"/>
      <c r="AY150" s="816"/>
      <c r="AZ150" s="816"/>
      <c r="BA150" s="816"/>
      <c r="BB150" s="811"/>
      <c r="BC150" s="816"/>
      <c r="BD150" s="816"/>
      <c r="BE150" s="811">
        <v>44742</v>
      </c>
      <c r="BF150" s="816"/>
      <c r="BG150" s="816"/>
      <c r="BH150" s="811"/>
      <c r="BI150" s="811">
        <v>44931</v>
      </c>
      <c r="BJ150" s="816"/>
      <c r="BK150" s="811"/>
      <c r="BL150" s="811"/>
      <c r="BM150" s="816"/>
      <c r="BN150" s="811">
        <v>44957</v>
      </c>
      <c r="BO150" s="811">
        <v>44980</v>
      </c>
      <c r="BP150" s="811"/>
      <c r="BQ150" s="816"/>
      <c r="BR150" s="816"/>
      <c r="BS150" s="816"/>
      <c r="BT150" s="811"/>
      <c r="BU150" s="811">
        <v>44981</v>
      </c>
    </row>
    <row r="151" spans="1:73" x14ac:dyDescent="0.35">
      <c r="A151" s="811" t="s">
        <v>743</v>
      </c>
      <c r="B151" s="811" t="s">
        <v>1057</v>
      </c>
      <c r="C151" s="815">
        <v>44880</v>
      </c>
      <c r="D151" s="815">
        <v>44880</v>
      </c>
      <c r="E151" s="815">
        <v>44880</v>
      </c>
      <c r="F151" s="815"/>
      <c r="G151" s="811"/>
      <c r="H151" s="811"/>
      <c r="I151" s="811">
        <v>44530</v>
      </c>
      <c r="J151" s="816"/>
      <c r="K151" s="816"/>
      <c r="L151" s="811"/>
      <c r="M151" s="816"/>
      <c r="N151" s="811">
        <v>44977</v>
      </c>
      <c r="O151" s="816"/>
      <c r="P151" s="816"/>
      <c r="Q151" s="811">
        <v>43646</v>
      </c>
      <c r="R151" s="811"/>
      <c r="S151" s="816"/>
      <c r="T151" s="816"/>
      <c r="U151" s="816"/>
      <c r="V151" s="816"/>
      <c r="W151" s="816"/>
      <c r="X151" s="816"/>
      <c r="Y151" s="811"/>
      <c r="Z151" s="811">
        <v>44501</v>
      </c>
      <c r="AA151" s="811">
        <v>44410</v>
      </c>
      <c r="AB151" s="811"/>
      <c r="AC151" s="816"/>
      <c r="AD151" s="816"/>
      <c r="AE151" s="816"/>
      <c r="AF151" s="811">
        <v>44165</v>
      </c>
      <c r="AG151" s="816"/>
      <c r="AH151" s="811">
        <v>44915</v>
      </c>
      <c r="AI151" s="811">
        <v>44768</v>
      </c>
      <c r="AJ151" s="816"/>
      <c r="AK151" s="811"/>
      <c r="AL151" s="816"/>
      <c r="AM151" s="811"/>
      <c r="AN151" s="816"/>
      <c r="AO151" s="811"/>
      <c r="AP151" s="816"/>
      <c r="AQ151" s="811">
        <v>43714</v>
      </c>
      <c r="AR151" s="816"/>
      <c r="AS151" s="811">
        <v>44932</v>
      </c>
      <c r="AT151" s="811"/>
      <c r="AU151" s="811"/>
      <c r="AV151" s="811"/>
      <c r="AW151" s="816"/>
      <c r="AX151" s="816"/>
      <c r="AY151" s="816"/>
      <c r="AZ151" s="816"/>
      <c r="BA151" s="816"/>
      <c r="BB151" s="811"/>
      <c r="BC151" s="816"/>
      <c r="BD151" s="816"/>
      <c r="BE151" s="811">
        <v>44984</v>
      </c>
      <c r="BF151" s="816"/>
      <c r="BG151" s="816"/>
      <c r="BH151" s="816"/>
      <c r="BI151" s="811">
        <v>44931</v>
      </c>
      <c r="BJ151" s="816"/>
      <c r="BK151" s="811"/>
      <c r="BL151" s="811"/>
      <c r="BM151" s="816"/>
      <c r="BN151" s="811">
        <v>44957</v>
      </c>
      <c r="BO151" s="811">
        <v>44767</v>
      </c>
      <c r="BP151" s="811"/>
      <c r="BQ151" s="816"/>
      <c r="BR151" s="816"/>
      <c r="BS151" s="816"/>
      <c r="BT151" s="816"/>
      <c r="BU151" s="811">
        <v>44981</v>
      </c>
    </row>
    <row r="152" spans="1:73" x14ac:dyDescent="0.35">
      <c r="A152" s="811" t="s">
        <v>743</v>
      </c>
      <c r="B152" s="811" t="s">
        <v>1058</v>
      </c>
      <c r="C152" s="815"/>
      <c r="D152" s="815"/>
      <c r="E152" s="815"/>
      <c r="F152" s="815"/>
      <c r="G152" s="811"/>
      <c r="H152" s="811"/>
      <c r="I152" s="811"/>
      <c r="J152" s="816"/>
      <c r="K152" s="816"/>
      <c r="L152" s="811"/>
      <c r="M152" s="816"/>
      <c r="N152" s="811">
        <v>44977</v>
      </c>
      <c r="O152" s="816"/>
      <c r="P152" s="816"/>
      <c r="Q152" s="811"/>
      <c r="R152" s="811"/>
      <c r="S152" s="816"/>
      <c r="T152" s="816"/>
      <c r="U152" s="816"/>
      <c r="V152" s="816"/>
      <c r="W152" s="816"/>
      <c r="X152" s="816"/>
      <c r="Y152" s="811"/>
      <c r="Z152" s="811">
        <v>44337</v>
      </c>
      <c r="AA152" s="811">
        <v>43994</v>
      </c>
      <c r="AB152" s="811"/>
      <c r="AC152" s="816"/>
      <c r="AD152" s="816"/>
      <c r="AE152" s="816"/>
      <c r="AF152" s="816"/>
      <c r="AG152" s="816"/>
      <c r="AH152" s="811"/>
      <c r="AI152" s="816"/>
      <c r="AJ152" s="816"/>
      <c r="AK152" s="811"/>
      <c r="AL152" s="816"/>
      <c r="AM152" s="811"/>
      <c r="AN152" s="816"/>
      <c r="AO152" s="811"/>
      <c r="AP152" s="816"/>
      <c r="AQ152" s="816"/>
      <c r="AR152" s="816"/>
      <c r="AS152" s="816"/>
      <c r="AT152" s="816"/>
      <c r="AU152" s="816"/>
      <c r="AV152" s="816"/>
      <c r="AW152" s="816"/>
      <c r="AX152" s="816"/>
      <c r="AY152" s="816"/>
      <c r="AZ152" s="816"/>
      <c r="BA152" s="816"/>
      <c r="BB152" s="811"/>
      <c r="BC152" s="816"/>
      <c r="BD152" s="816"/>
      <c r="BE152" s="816"/>
      <c r="BF152" s="816"/>
      <c r="BG152" s="816"/>
      <c r="BH152" s="816"/>
      <c r="BI152" s="811">
        <v>44931</v>
      </c>
      <c r="BJ152" s="816"/>
      <c r="BK152" s="811"/>
      <c r="BL152" s="811"/>
      <c r="BM152" s="816"/>
      <c r="BN152" s="811">
        <v>44957</v>
      </c>
      <c r="BO152" s="816"/>
      <c r="BP152" s="811"/>
      <c r="BQ152" s="816"/>
      <c r="BR152" s="816"/>
      <c r="BS152" s="816"/>
      <c r="BT152" s="816"/>
      <c r="BU152" s="811">
        <v>44981</v>
      </c>
    </row>
    <row r="153" spans="1:73" x14ac:dyDescent="0.35">
      <c r="A153" s="811" t="s">
        <v>743</v>
      </c>
      <c r="B153" s="811" t="s">
        <v>821</v>
      </c>
      <c r="C153" s="815">
        <v>43471</v>
      </c>
      <c r="D153" s="815">
        <v>43471</v>
      </c>
      <c r="E153" s="815">
        <v>43471</v>
      </c>
      <c r="F153" s="815"/>
      <c r="G153" s="811">
        <v>43471</v>
      </c>
      <c r="H153" s="811">
        <v>43471</v>
      </c>
      <c r="I153" s="811">
        <v>43516</v>
      </c>
      <c r="J153" s="811">
        <v>43566</v>
      </c>
      <c r="K153" s="811">
        <v>43471</v>
      </c>
      <c r="L153" s="811">
        <v>43471</v>
      </c>
      <c r="M153" s="811">
        <v>44640</v>
      </c>
      <c r="N153" s="811">
        <v>43471</v>
      </c>
      <c r="O153" s="811">
        <v>43511</v>
      </c>
      <c r="P153" s="811"/>
      <c r="Q153" s="811">
        <v>44378</v>
      </c>
      <c r="R153" s="811"/>
      <c r="S153" s="811">
        <v>43471</v>
      </c>
      <c r="T153" s="811">
        <v>43471</v>
      </c>
      <c r="U153" s="811"/>
      <c r="V153" s="811"/>
      <c r="W153" s="811">
        <v>44073</v>
      </c>
      <c r="X153" s="811">
        <v>43504</v>
      </c>
      <c r="Y153" s="811">
        <v>43471</v>
      </c>
      <c r="Z153" s="811">
        <v>44013</v>
      </c>
      <c r="AA153" s="811">
        <v>43843</v>
      </c>
      <c r="AB153" s="811"/>
      <c r="AC153" s="811">
        <v>44197</v>
      </c>
      <c r="AD153" s="811">
        <v>44136</v>
      </c>
      <c r="AE153" s="811"/>
      <c r="AF153" s="811">
        <v>44013</v>
      </c>
      <c r="AG153" s="811">
        <v>43471</v>
      </c>
      <c r="AH153" s="811">
        <v>43471</v>
      </c>
      <c r="AI153" s="811">
        <v>43471</v>
      </c>
      <c r="AJ153" s="811"/>
      <c r="AK153" s="811"/>
      <c r="AL153" s="811"/>
      <c r="AM153" s="811">
        <v>43471</v>
      </c>
      <c r="AN153" s="811">
        <v>43471</v>
      </c>
      <c r="AO153" s="811">
        <v>43503</v>
      </c>
      <c r="AP153" s="811"/>
      <c r="AQ153" s="811">
        <v>43471</v>
      </c>
      <c r="AR153" s="811">
        <v>43471</v>
      </c>
      <c r="AS153" s="811">
        <v>43471</v>
      </c>
      <c r="AT153" s="811">
        <v>43800</v>
      </c>
      <c r="AU153" s="811">
        <v>43471</v>
      </c>
      <c r="AV153" s="811">
        <v>43800</v>
      </c>
      <c r="AW153" s="811"/>
      <c r="AX153" s="811"/>
      <c r="AY153" s="811">
        <v>43471</v>
      </c>
      <c r="AZ153" s="811"/>
      <c r="BA153" s="811"/>
      <c r="BB153" s="811">
        <v>43471</v>
      </c>
      <c r="BC153" s="811"/>
      <c r="BD153" s="811">
        <v>43471</v>
      </c>
      <c r="BE153" s="811">
        <v>43471</v>
      </c>
      <c r="BF153" s="811">
        <v>44244</v>
      </c>
      <c r="BG153" s="811"/>
      <c r="BH153" s="811"/>
      <c r="BI153" s="811">
        <v>43471</v>
      </c>
      <c r="BJ153" s="811">
        <v>43471</v>
      </c>
      <c r="BK153" s="811"/>
      <c r="BL153" s="811"/>
      <c r="BM153" s="811">
        <v>43471</v>
      </c>
      <c r="BN153" s="811">
        <v>43499</v>
      </c>
      <c r="BO153" s="811">
        <v>43471</v>
      </c>
      <c r="BP153" s="811"/>
      <c r="BQ153" s="811"/>
      <c r="BR153" s="811">
        <v>43471</v>
      </c>
      <c r="BS153" s="811">
        <v>43471</v>
      </c>
      <c r="BT153" s="811"/>
      <c r="BU153" s="811">
        <v>43993</v>
      </c>
    </row>
    <row r="154" spans="1:73" x14ac:dyDescent="0.35">
      <c r="A154" s="811" t="s">
        <v>743</v>
      </c>
      <c r="B154" s="811" t="s">
        <v>822</v>
      </c>
      <c r="C154" s="815">
        <v>43471</v>
      </c>
      <c r="D154" s="815">
        <v>43471</v>
      </c>
      <c r="E154" s="815">
        <v>43471</v>
      </c>
      <c r="F154" s="815"/>
      <c r="G154" s="811">
        <v>43471</v>
      </c>
      <c r="H154" s="811">
        <v>44805</v>
      </c>
      <c r="I154" s="811">
        <v>43692</v>
      </c>
      <c r="J154" s="811"/>
      <c r="K154" s="811"/>
      <c r="L154" s="811"/>
      <c r="M154" s="811">
        <v>43471</v>
      </c>
      <c r="N154" s="811">
        <v>43831</v>
      </c>
      <c r="O154" s="811">
        <v>43511</v>
      </c>
      <c r="P154" s="811"/>
      <c r="Q154" s="811">
        <v>44013</v>
      </c>
      <c r="R154" s="811"/>
      <c r="S154" s="811"/>
      <c r="T154" s="811"/>
      <c r="U154" s="811"/>
      <c r="V154" s="811"/>
      <c r="W154" s="811">
        <v>43471</v>
      </c>
      <c r="X154" s="811">
        <v>43504</v>
      </c>
      <c r="Y154" s="811">
        <v>43471</v>
      </c>
      <c r="Z154" s="811">
        <v>43951</v>
      </c>
      <c r="AA154" s="811">
        <v>43936</v>
      </c>
      <c r="AB154" s="811"/>
      <c r="AC154" s="811">
        <v>43770</v>
      </c>
      <c r="AD154" s="811">
        <v>43471</v>
      </c>
      <c r="AE154" s="811"/>
      <c r="AF154" s="811">
        <v>43891</v>
      </c>
      <c r="AG154" s="811"/>
      <c r="AH154" s="811">
        <v>44063</v>
      </c>
      <c r="AI154" s="811">
        <v>43586</v>
      </c>
      <c r="AJ154" s="811"/>
      <c r="AK154" s="811"/>
      <c r="AL154" s="811"/>
      <c r="AM154" s="811"/>
      <c r="AN154" s="811">
        <v>43595</v>
      </c>
      <c r="AO154" s="811"/>
      <c r="AP154" s="811"/>
      <c r="AQ154" s="811">
        <v>43471</v>
      </c>
      <c r="AR154" s="811">
        <v>43471</v>
      </c>
      <c r="AS154" s="811">
        <v>43471</v>
      </c>
      <c r="AT154" s="811"/>
      <c r="AU154" s="811">
        <v>43800</v>
      </c>
      <c r="AV154" s="811"/>
      <c r="AW154" s="817"/>
      <c r="AX154" s="811"/>
      <c r="AY154" s="811">
        <v>43471</v>
      </c>
      <c r="AZ154" s="811"/>
      <c r="BA154" s="811"/>
      <c r="BB154" s="811"/>
      <c r="BC154" s="811"/>
      <c r="BD154" s="811">
        <v>43471</v>
      </c>
      <c r="BE154" s="811">
        <v>44013</v>
      </c>
      <c r="BF154" s="811">
        <v>43475</v>
      </c>
      <c r="BG154" s="811"/>
      <c r="BH154" s="811"/>
      <c r="BI154" s="811">
        <v>43471</v>
      </c>
      <c r="BJ154" s="811">
        <v>43471</v>
      </c>
      <c r="BK154" s="811"/>
      <c r="BL154" s="811"/>
      <c r="BM154" s="811"/>
      <c r="BN154" s="811">
        <v>43499</v>
      </c>
      <c r="BO154" s="811">
        <v>43586</v>
      </c>
      <c r="BP154" s="811"/>
      <c r="BQ154" s="811"/>
      <c r="BR154" s="811"/>
      <c r="BS154" s="811">
        <v>43471</v>
      </c>
      <c r="BT154" s="811"/>
      <c r="BU154" s="811">
        <v>44215</v>
      </c>
    </row>
    <row r="155" spans="1:73" x14ac:dyDescent="0.35">
      <c r="A155" s="811" t="s">
        <v>743</v>
      </c>
      <c r="B155" s="811" t="s">
        <v>1053</v>
      </c>
      <c r="C155" s="815">
        <v>43471</v>
      </c>
      <c r="D155" s="815">
        <v>43471</v>
      </c>
      <c r="E155" s="815">
        <v>43471</v>
      </c>
      <c r="F155" s="815"/>
      <c r="G155" s="811"/>
      <c r="H155" s="811"/>
      <c r="I155" s="811">
        <v>43497</v>
      </c>
      <c r="J155" s="817"/>
      <c r="K155" s="811"/>
      <c r="L155" s="811"/>
      <c r="M155" s="811">
        <v>43471</v>
      </c>
      <c r="N155" s="811">
        <v>44197</v>
      </c>
      <c r="O155" s="811">
        <v>43511</v>
      </c>
      <c r="P155" s="817"/>
      <c r="Q155" s="811">
        <v>43647</v>
      </c>
      <c r="R155" s="811"/>
      <c r="S155" s="817"/>
      <c r="T155" s="817"/>
      <c r="U155" s="817"/>
      <c r="V155" s="811"/>
      <c r="W155" s="811">
        <v>43471</v>
      </c>
      <c r="X155" s="817"/>
      <c r="Y155" s="811"/>
      <c r="Z155" s="811">
        <v>43921</v>
      </c>
      <c r="AA155" s="811">
        <v>43787</v>
      </c>
      <c r="AB155" s="811"/>
      <c r="AC155" s="811">
        <v>43497</v>
      </c>
      <c r="AD155" s="811"/>
      <c r="AE155" s="817"/>
      <c r="AF155" s="811">
        <v>43586</v>
      </c>
      <c r="AG155" s="817"/>
      <c r="AH155" s="811">
        <v>44680</v>
      </c>
      <c r="AI155" s="811">
        <v>43895</v>
      </c>
      <c r="AJ155" s="817"/>
      <c r="AK155" s="811"/>
      <c r="AL155" s="811"/>
      <c r="AM155" s="811"/>
      <c r="AN155" s="811">
        <v>43626</v>
      </c>
      <c r="AO155" s="811"/>
      <c r="AP155" s="817"/>
      <c r="AQ155" s="811">
        <v>43471</v>
      </c>
      <c r="AR155" s="811"/>
      <c r="AS155" s="811">
        <v>43471</v>
      </c>
      <c r="AT155" s="811"/>
      <c r="AU155" s="811"/>
      <c r="AV155" s="811"/>
      <c r="AW155" s="817"/>
      <c r="AX155" s="817"/>
      <c r="AY155" s="817"/>
      <c r="AZ155" s="817"/>
      <c r="BA155" s="817"/>
      <c r="BB155" s="811"/>
      <c r="BC155" s="817"/>
      <c r="BD155" s="817"/>
      <c r="BE155" s="811">
        <v>44378</v>
      </c>
      <c r="BF155" s="817"/>
      <c r="BG155" s="817"/>
      <c r="BH155" s="811"/>
      <c r="BI155" s="811">
        <v>43471</v>
      </c>
      <c r="BJ155" s="817"/>
      <c r="BK155" s="811"/>
      <c r="BL155" s="811"/>
      <c r="BM155" s="817"/>
      <c r="BN155" s="811">
        <v>43499</v>
      </c>
      <c r="BO155" s="811">
        <v>43895</v>
      </c>
      <c r="BP155" s="811"/>
      <c r="BQ155" s="817"/>
      <c r="BR155" s="817"/>
      <c r="BS155" s="817"/>
      <c r="BT155" s="811"/>
      <c r="BU155" s="811">
        <v>44516</v>
      </c>
    </row>
    <row r="156" spans="1:73" x14ac:dyDescent="0.35">
      <c r="A156" s="811" t="s">
        <v>743</v>
      </c>
      <c r="B156" s="811" t="s">
        <v>1054</v>
      </c>
      <c r="C156" s="815">
        <v>44044</v>
      </c>
      <c r="D156" s="815">
        <v>44044</v>
      </c>
      <c r="E156" s="815">
        <v>44044</v>
      </c>
      <c r="F156" s="815"/>
      <c r="G156" s="811"/>
      <c r="H156" s="811"/>
      <c r="I156" s="811">
        <v>43800</v>
      </c>
      <c r="J156" s="817"/>
      <c r="K156" s="817"/>
      <c r="L156" s="811"/>
      <c r="M156" s="817"/>
      <c r="N156" s="811">
        <v>44562</v>
      </c>
      <c r="O156" s="817"/>
      <c r="P156" s="817"/>
      <c r="Q156" s="811">
        <v>43471</v>
      </c>
      <c r="R156" s="811"/>
      <c r="S156" s="817"/>
      <c r="T156" s="817"/>
      <c r="U156" s="817"/>
      <c r="V156" s="817"/>
      <c r="W156" s="817"/>
      <c r="X156" s="817"/>
      <c r="Y156" s="811"/>
      <c r="Z156" s="811">
        <v>43861</v>
      </c>
      <c r="AA156" s="811">
        <v>44166</v>
      </c>
      <c r="AB156" s="811"/>
      <c r="AC156" s="817"/>
      <c r="AD156" s="817"/>
      <c r="AE156" s="817"/>
      <c r="AF156" s="811">
        <v>43586</v>
      </c>
      <c r="AG156" s="817"/>
      <c r="AH156" s="811">
        <v>44201</v>
      </c>
      <c r="AI156" s="811">
        <v>44348</v>
      </c>
      <c r="AJ156" s="817"/>
      <c r="AK156" s="811"/>
      <c r="AL156" s="817"/>
      <c r="AM156" s="811"/>
      <c r="AN156" s="817"/>
      <c r="AO156" s="811"/>
      <c r="AP156" s="817"/>
      <c r="AQ156" s="811">
        <v>43502</v>
      </c>
      <c r="AR156" s="817"/>
      <c r="AS156" s="811">
        <v>43471</v>
      </c>
      <c r="AT156" s="811"/>
      <c r="AU156" s="811"/>
      <c r="AV156" s="811"/>
      <c r="AW156" s="817"/>
      <c r="AX156" s="817"/>
      <c r="AY156" s="817"/>
      <c r="AZ156" s="817"/>
      <c r="BA156" s="817"/>
      <c r="BB156" s="811"/>
      <c r="BC156" s="817"/>
      <c r="BD156" s="817"/>
      <c r="BE156" s="811">
        <v>44743</v>
      </c>
      <c r="BF156" s="817"/>
      <c r="BG156" s="817"/>
      <c r="BH156" s="817"/>
      <c r="BI156" s="811">
        <v>43471</v>
      </c>
      <c r="BJ156" s="817"/>
      <c r="BK156" s="811"/>
      <c r="BL156" s="811"/>
      <c r="BM156" s="817"/>
      <c r="BN156" s="811">
        <v>44105</v>
      </c>
      <c r="BO156" s="811">
        <v>44348</v>
      </c>
      <c r="BP156" s="811"/>
      <c r="BQ156" s="817"/>
      <c r="BR156" s="817"/>
      <c r="BS156" s="817"/>
      <c r="BT156" s="817"/>
      <c r="BU156" s="811">
        <v>44516</v>
      </c>
    </row>
    <row r="157" spans="1:73" x14ac:dyDescent="0.35">
      <c r="A157" s="811" t="s">
        <v>743</v>
      </c>
      <c r="B157" s="811" t="s">
        <v>1055</v>
      </c>
      <c r="C157" s="815"/>
      <c r="D157" s="815"/>
      <c r="E157" s="815"/>
      <c r="F157" s="815"/>
      <c r="G157" s="811"/>
      <c r="H157" s="811"/>
      <c r="I157" s="811">
        <v>44695</v>
      </c>
      <c r="J157" s="817"/>
      <c r="K157" s="817"/>
      <c r="L157" s="811"/>
      <c r="M157" s="817"/>
      <c r="N157" s="811">
        <v>44927</v>
      </c>
      <c r="O157" s="817"/>
      <c r="P157" s="817"/>
      <c r="Q157" s="811"/>
      <c r="R157" s="811"/>
      <c r="S157" s="817"/>
      <c r="T157" s="817"/>
      <c r="U157" s="817"/>
      <c r="V157" s="817"/>
      <c r="W157" s="817"/>
      <c r="X157" s="817"/>
      <c r="Y157" s="811"/>
      <c r="Z157" s="811">
        <v>43769</v>
      </c>
      <c r="AA157" s="811">
        <v>43675</v>
      </c>
      <c r="AB157" s="811"/>
      <c r="AC157" s="817"/>
      <c r="AD157" s="817"/>
      <c r="AE157" s="817"/>
      <c r="AF157" s="811"/>
      <c r="AG157" s="817"/>
      <c r="AH157" s="811"/>
      <c r="AI157" s="817"/>
      <c r="AJ157" s="817"/>
      <c r="AK157" s="811"/>
      <c r="AL157" s="817"/>
      <c r="AM157" s="811"/>
      <c r="AN157" s="817"/>
      <c r="AO157" s="811"/>
      <c r="AP157" s="817"/>
      <c r="AQ157" s="817"/>
      <c r="AR157" s="817"/>
      <c r="AS157" s="817"/>
      <c r="AT157" s="817"/>
      <c r="AU157" s="817"/>
      <c r="AV157" s="817"/>
      <c r="AW157" s="817"/>
      <c r="AX157" s="817"/>
      <c r="AY157" s="817"/>
      <c r="AZ157" s="817"/>
      <c r="BA157" s="817"/>
      <c r="BB157" s="811"/>
      <c r="BC157" s="817"/>
      <c r="BD157" s="817"/>
      <c r="BE157" s="817"/>
      <c r="BF157" s="817"/>
      <c r="BG157" s="817"/>
      <c r="BH157" s="817"/>
      <c r="BI157" s="811">
        <v>43471</v>
      </c>
      <c r="BJ157" s="817"/>
      <c r="BK157" s="811"/>
      <c r="BL157" s="811"/>
      <c r="BM157" s="817"/>
      <c r="BN157" s="811">
        <v>44804</v>
      </c>
      <c r="BO157" s="817"/>
      <c r="BP157" s="811"/>
      <c r="BQ157" s="817"/>
      <c r="BR157" s="817"/>
      <c r="BS157" s="817"/>
      <c r="BT157" s="817"/>
      <c r="BU157" s="811">
        <v>44482</v>
      </c>
    </row>
    <row r="158" spans="1:73" ht="29" x14ac:dyDescent="0.35">
      <c r="A158" s="806" t="s">
        <v>743</v>
      </c>
      <c r="B158" s="806" t="s">
        <v>823</v>
      </c>
      <c r="C158" s="827">
        <v>5</v>
      </c>
      <c r="D158" s="827">
        <v>5</v>
      </c>
      <c r="E158" s="827">
        <v>5</v>
      </c>
      <c r="G158" s="817">
        <v>9</v>
      </c>
      <c r="H158" s="817">
        <v>4</v>
      </c>
      <c r="I158" s="817">
        <v>4</v>
      </c>
      <c r="J158" s="817">
        <v>4</v>
      </c>
      <c r="K158" s="817">
        <v>8</v>
      </c>
      <c r="L158" s="817">
        <v>25</v>
      </c>
      <c r="M158" s="817">
        <v>16</v>
      </c>
      <c r="N158" s="817">
        <v>31</v>
      </c>
      <c r="O158" s="817">
        <v>5</v>
      </c>
      <c r="P158" s="817"/>
      <c r="Q158" s="817">
        <v>16</v>
      </c>
      <c r="S158" s="817">
        <v>116</v>
      </c>
      <c r="T158" s="817">
        <v>116</v>
      </c>
      <c r="U158" s="817"/>
      <c r="V158" s="817"/>
      <c r="W158" s="817">
        <v>14</v>
      </c>
      <c r="X158" s="817">
        <v>51</v>
      </c>
      <c r="Y158" s="817">
        <v>237</v>
      </c>
      <c r="Z158" s="817">
        <v>13</v>
      </c>
      <c r="AA158" s="817">
        <v>20</v>
      </c>
      <c r="AC158" s="817">
        <v>10</v>
      </c>
      <c r="AD158" s="817">
        <v>8</v>
      </c>
      <c r="AE158" s="817"/>
      <c r="AF158" s="817">
        <v>6</v>
      </c>
      <c r="AG158" s="817">
        <v>116</v>
      </c>
      <c r="AH158" s="817">
        <v>3</v>
      </c>
      <c r="AI158" s="817">
        <v>3</v>
      </c>
      <c r="AJ158" s="817"/>
      <c r="AK158" s="817"/>
      <c r="AL158" s="817"/>
      <c r="AM158" s="817">
        <v>53</v>
      </c>
      <c r="AN158" s="817">
        <v>1</v>
      </c>
      <c r="AO158" s="817">
        <v>310</v>
      </c>
      <c r="AP158" s="817"/>
      <c r="AQ158" s="817">
        <v>2</v>
      </c>
      <c r="AR158" s="817">
        <v>1</v>
      </c>
      <c r="AS158" s="817">
        <v>8</v>
      </c>
      <c r="AT158" s="817">
        <v>11</v>
      </c>
      <c r="AU158" s="817">
        <v>11</v>
      </c>
      <c r="AV158" s="817">
        <v>11</v>
      </c>
      <c r="AW158" s="817"/>
      <c r="AX158" s="817"/>
      <c r="AY158" s="817">
        <v>8</v>
      </c>
      <c r="AZ158" s="817"/>
      <c r="BA158" s="817"/>
      <c r="BB158" s="817">
        <v>21</v>
      </c>
      <c r="BC158" s="817"/>
      <c r="BD158" s="817">
        <v>16</v>
      </c>
      <c r="BE158" s="817">
        <v>10</v>
      </c>
      <c r="BF158" s="817">
        <v>6</v>
      </c>
      <c r="BG158" s="817"/>
      <c r="BH158" s="817"/>
      <c r="BI158" s="817">
        <v>49</v>
      </c>
      <c r="BJ158" s="817">
        <v>57</v>
      </c>
      <c r="BM158" s="817">
        <v>6</v>
      </c>
      <c r="BN158" s="817">
        <v>19</v>
      </c>
      <c r="BO158" s="817">
        <v>3</v>
      </c>
      <c r="BQ158" s="817"/>
      <c r="BR158" s="817">
        <v>42</v>
      </c>
      <c r="BS158" s="817">
        <v>8</v>
      </c>
      <c r="BT158" s="817"/>
      <c r="BU158" s="817">
        <v>22</v>
      </c>
    </row>
    <row r="159" spans="1:73" ht="29" x14ac:dyDescent="0.35">
      <c r="A159" s="806" t="s">
        <v>743</v>
      </c>
      <c r="B159" s="806" t="s">
        <v>824</v>
      </c>
      <c r="C159" s="827">
        <v>5</v>
      </c>
      <c r="D159" s="827">
        <v>5</v>
      </c>
      <c r="E159" s="827">
        <v>5</v>
      </c>
      <c r="G159" s="817">
        <v>16</v>
      </c>
      <c r="H159" s="817">
        <v>3</v>
      </c>
      <c r="I159" s="817">
        <v>4</v>
      </c>
      <c r="J159" s="817"/>
      <c r="K159" s="817"/>
      <c r="M159" s="817">
        <v>20</v>
      </c>
      <c r="N159" s="817">
        <v>36</v>
      </c>
      <c r="O159" s="817">
        <v>2</v>
      </c>
      <c r="P159" s="817"/>
      <c r="Q159" s="817">
        <v>6</v>
      </c>
      <c r="S159" s="817"/>
      <c r="T159" s="817"/>
      <c r="U159" s="817"/>
      <c r="V159" s="817"/>
      <c r="W159" s="817">
        <v>198</v>
      </c>
      <c r="X159" s="817">
        <v>28</v>
      </c>
      <c r="Y159" s="817">
        <v>116</v>
      </c>
      <c r="Z159" s="817">
        <v>13</v>
      </c>
      <c r="AA159" s="817">
        <v>6</v>
      </c>
      <c r="AC159" s="817">
        <v>54</v>
      </c>
      <c r="AD159" s="817">
        <v>2</v>
      </c>
      <c r="AE159" s="817"/>
      <c r="AF159" s="817">
        <v>2</v>
      </c>
      <c r="AG159" s="817"/>
      <c r="AH159" s="817">
        <v>6</v>
      </c>
      <c r="AI159" s="817">
        <v>1</v>
      </c>
      <c r="AJ159" s="817"/>
      <c r="AL159" s="817"/>
      <c r="AN159" s="817">
        <v>1</v>
      </c>
      <c r="AP159" s="817"/>
      <c r="AQ159" s="817">
        <v>8</v>
      </c>
      <c r="AR159" s="817">
        <v>5</v>
      </c>
      <c r="AS159" s="817">
        <v>1</v>
      </c>
      <c r="AT159" s="817"/>
      <c r="AU159" s="817">
        <v>11</v>
      </c>
      <c r="AV159" s="817"/>
      <c r="AW159" s="817"/>
      <c r="AX159" s="817"/>
      <c r="AY159" s="817">
        <v>4</v>
      </c>
      <c r="AZ159" s="817"/>
      <c r="BA159" s="817"/>
      <c r="BC159" s="817"/>
      <c r="BD159" s="817">
        <v>24</v>
      </c>
      <c r="BE159" s="817">
        <v>2</v>
      </c>
      <c r="BF159" s="817">
        <v>12</v>
      </c>
      <c r="BG159" s="817"/>
      <c r="BH159" s="817"/>
      <c r="BI159" s="817">
        <v>20</v>
      </c>
      <c r="BJ159" s="817">
        <v>40</v>
      </c>
      <c r="BM159" s="817"/>
      <c r="BN159" s="817">
        <v>52</v>
      </c>
      <c r="BO159" s="817">
        <v>1</v>
      </c>
      <c r="BQ159" s="817"/>
      <c r="BR159" s="817"/>
      <c r="BS159" s="817">
        <v>4</v>
      </c>
      <c r="BT159" s="817"/>
      <c r="BU159" s="817">
        <v>21</v>
      </c>
    </row>
    <row r="160" spans="1:73" ht="29" x14ac:dyDescent="0.35">
      <c r="A160" s="806" t="s">
        <v>743</v>
      </c>
      <c r="B160" s="806" t="s">
        <v>1050</v>
      </c>
      <c r="C160" s="827">
        <v>2</v>
      </c>
      <c r="D160" s="827">
        <v>2</v>
      </c>
      <c r="E160" s="827">
        <v>2</v>
      </c>
      <c r="I160" s="817">
        <v>3</v>
      </c>
      <c r="J160" s="817"/>
      <c r="K160" s="817"/>
      <c r="M160" s="817">
        <v>28</v>
      </c>
      <c r="N160" s="817">
        <v>37</v>
      </c>
      <c r="O160" s="817">
        <v>2</v>
      </c>
      <c r="P160" s="817"/>
      <c r="Q160" s="817">
        <v>13</v>
      </c>
      <c r="S160" s="817"/>
      <c r="T160" s="817"/>
      <c r="U160" s="817"/>
      <c r="V160" s="817"/>
      <c r="W160" s="817">
        <v>4</v>
      </c>
      <c r="X160" s="817"/>
      <c r="Z160" s="817">
        <v>10</v>
      </c>
      <c r="AA160" s="817">
        <v>1</v>
      </c>
      <c r="AC160" s="817">
        <v>33</v>
      </c>
      <c r="AD160" s="817"/>
      <c r="AE160" s="817"/>
      <c r="AF160" s="817">
        <v>1</v>
      </c>
      <c r="AG160" s="817"/>
      <c r="AH160" s="817">
        <v>1</v>
      </c>
      <c r="AI160" s="817">
        <v>7</v>
      </c>
      <c r="AJ160" s="817"/>
      <c r="AL160" s="817"/>
      <c r="AN160" s="817">
        <v>1</v>
      </c>
      <c r="AP160" s="817"/>
      <c r="AQ160" s="817">
        <v>9</v>
      </c>
      <c r="AR160" s="817"/>
      <c r="AS160" s="817">
        <v>23</v>
      </c>
      <c r="AT160" s="817"/>
      <c r="AU160" s="817"/>
      <c r="AV160" s="817"/>
      <c r="AW160" s="817"/>
      <c r="AX160" s="817"/>
      <c r="AY160" s="817"/>
      <c r="AZ160" s="817"/>
      <c r="BA160" s="817"/>
      <c r="BC160" s="817"/>
      <c r="BD160" s="817"/>
      <c r="BE160" s="817">
        <v>5</v>
      </c>
      <c r="BF160" s="817"/>
      <c r="BG160" s="817"/>
      <c r="BH160" s="817"/>
      <c r="BI160" s="817">
        <v>4</v>
      </c>
      <c r="BJ160" s="817"/>
      <c r="BM160" s="817"/>
      <c r="BN160" s="817">
        <v>40</v>
      </c>
      <c r="BO160" s="817">
        <v>7</v>
      </c>
      <c r="BQ160" s="817"/>
      <c r="BR160" s="817"/>
      <c r="BS160" s="817"/>
      <c r="BT160" s="817"/>
      <c r="BU160" s="817">
        <v>6</v>
      </c>
    </row>
    <row r="161" spans="1:73" ht="29" x14ac:dyDescent="0.35">
      <c r="A161" s="806" t="s">
        <v>743</v>
      </c>
      <c r="B161" s="806" t="s">
        <v>1051</v>
      </c>
      <c r="C161" s="827">
        <v>13</v>
      </c>
      <c r="D161" s="827">
        <v>13</v>
      </c>
      <c r="E161" s="827">
        <v>13</v>
      </c>
      <c r="I161" s="817">
        <v>5</v>
      </c>
      <c r="J161" s="817"/>
      <c r="K161" s="817"/>
      <c r="M161" s="817"/>
      <c r="N161" s="817">
        <v>38</v>
      </c>
      <c r="O161" s="817"/>
      <c r="P161" s="817"/>
      <c r="Q161" s="817">
        <v>3</v>
      </c>
      <c r="S161" s="817"/>
      <c r="T161" s="817"/>
      <c r="U161" s="817"/>
      <c r="V161" s="817"/>
      <c r="W161" s="817"/>
      <c r="X161" s="817"/>
      <c r="Z161" s="817">
        <v>13</v>
      </c>
      <c r="AA161" s="817">
        <v>1</v>
      </c>
      <c r="AC161" s="817"/>
      <c r="AD161" s="817"/>
      <c r="AE161" s="817"/>
      <c r="AF161" s="817">
        <v>3</v>
      </c>
      <c r="AG161" s="817"/>
      <c r="AH161" s="817">
        <v>1</v>
      </c>
      <c r="AI161" s="817">
        <v>1</v>
      </c>
      <c r="AJ161" s="817"/>
      <c r="AL161" s="817"/>
      <c r="AN161" s="817"/>
      <c r="AP161" s="817"/>
      <c r="AQ161" s="817">
        <v>13</v>
      </c>
      <c r="AR161" s="817"/>
      <c r="AS161" s="817">
        <v>3</v>
      </c>
      <c r="AT161" s="817"/>
      <c r="AU161" s="817"/>
      <c r="AV161" s="817"/>
      <c r="AW161" s="817"/>
      <c r="AX161" s="817"/>
      <c r="AY161" s="817"/>
      <c r="AZ161" s="817"/>
      <c r="BA161" s="817"/>
      <c r="BC161" s="817"/>
      <c r="BD161" s="817"/>
      <c r="BE161" s="817">
        <v>1</v>
      </c>
      <c r="BF161" s="817"/>
      <c r="BG161" s="817"/>
      <c r="BH161" s="817"/>
      <c r="BI161" s="817">
        <v>29</v>
      </c>
      <c r="BJ161" s="817"/>
      <c r="BM161" s="817"/>
      <c r="BN161" s="817">
        <v>17</v>
      </c>
      <c r="BO161" s="817">
        <v>1</v>
      </c>
      <c r="BQ161" s="817"/>
      <c r="BR161" s="817"/>
      <c r="BS161" s="817"/>
      <c r="BT161" s="817"/>
      <c r="BU161" s="817">
        <v>14</v>
      </c>
    </row>
    <row r="162" spans="1:73" ht="29" x14ac:dyDescent="0.35">
      <c r="A162" s="806" t="s">
        <v>743</v>
      </c>
      <c r="B162" s="806" t="s">
        <v>1052</v>
      </c>
      <c r="I162" s="817">
        <v>8</v>
      </c>
      <c r="J162" s="817"/>
      <c r="K162" s="817"/>
      <c r="M162" s="817"/>
      <c r="N162" s="817">
        <v>40</v>
      </c>
      <c r="O162" s="817"/>
      <c r="P162" s="817"/>
      <c r="Q162" s="817"/>
      <c r="S162" s="817"/>
      <c r="T162" s="817"/>
      <c r="U162" s="817"/>
      <c r="V162" s="817"/>
      <c r="W162" s="817"/>
      <c r="X162" s="817"/>
      <c r="Z162" s="817">
        <v>13</v>
      </c>
      <c r="AA162" s="817">
        <v>1</v>
      </c>
      <c r="AC162" s="817"/>
      <c r="AD162" s="817"/>
      <c r="AE162" s="817"/>
      <c r="AF162" s="817"/>
      <c r="AG162" s="817"/>
      <c r="AI162" s="817"/>
      <c r="AJ162" s="817"/>
      <c r="AL162" s="817"/>
      <c r="AN162" s="817"/>
      <c r="AP162" s="817"/>
      <c r="AQ162" s="817"/>
      <c r="AR162" s="817"/>
      <c r="AS162" s="817"/>
      <c r="AT162" s="817"/>
      <c r="AU162" s="817"/>
      <c r="AV162" s="817"/>
      <c r="AW162" s="817"/>
      <c r="AX162" s="817"/>
      <c r="AY162" s="817"/>
      <c r="AZ162" s="817"/>
      <c r="BA162" s="817"/>
      <c r="BC162" s="817"/>
      <c r="BD162" s="817"/>
      <c r="BE162" s="817"/>
      <c r="BF162" s="817"/>
      <c r="BG162" s="817"/>
      <c r="BH162" s="817"/>
      <c r="BI162" s="817">
        <v>29</v>
      </c>
      <c r="BJ162" s="817"/>
      <c r="BM162" s="817"/>
      <c r="BN162" s="817">
        <v>1</v>
      </c>
      <c r="BO162" s="817"/>
      <c r="BQ162" s="817"/>
      <c r="BR162" s="817"/>
      <c r="BS162" s="817"/>
      <c r="BT162" s="817"/>
      <c r="BU162" s="817">
        <v>16</v>
      </c>
    </row>
    <row r="163" spans="1:73" ht="409.5" x14ac:dyDescent="0.35">
      <c r="A163" s="806" t="s">
        <v>743</v>
      </c>
      <c r="B163" s="806" t="s">
        <v>825</v>
      </c>
      <c r="C163" s="19" t="s">
        <v>2491</v>
      </c>
      <c r="D163" s="19" t="s">
        <v>2496</v>
      </c>
      <c r="E163" s="19" t="s">
        <v>2533</v>
      </c>
      <c r="G163" s="816" t="s">
        <v>2548</v>
      </c>
      <c r="H163" s="816" t="s">
        <v>2570</v>
      </c>
      <c r="I163" s="816" t="s">
        <v>2593</v>
      </c>
      <c r="J163" s="816" t="s">
        <v>2615</v>
      </c>
      <c r="K163" s="816" t="s">
        <v>2628</v>
      </c>
      <c r="L163" s="816" t="s">
        <v>2654</v>
      </c>
      <c r="M163" s="816" t="s">
        <v>1934</v>
      </c>
      <c r="N163" s="816" t="s">
        <v>2716</v>
      </c>
      <c r="O163" s="816" t="s">
        <v>2755</v>
      </c>
      <c r="P163" s="816"/>
      <c r="Q163" s="816" t="s">
        <v>2789</v>
      </c>
      <c r="S163" s="816" t="s">
        <v>2824</v>
      </c>
      <c r="T163" s="816" t="s">
        <v>2840</v>
      </c>
      <c r="U163" s="816"/>
      <c r="V163" s="816"/>
      <c r="W163" s="816" t="s">
        <v>2899</v>
      </c>
      <c r="X163" s="816" t="s">
        <v>2918</v>
      </c>
      <c r="Y163" s="816" t="s">
        <v>2933</v>
      </c>
      <c r="Z163" s="816" t="s">
        <v>2959</v>
      </c>
      <c r="AA163" s="816" t="s">
        <v>3004</v>
      </c>
      <c r="AC163" s="816" t="s">
        <v>3060</v>
      </c>
      <c r="AD163" s="816" t="s">
        <v>3077</v>
      </c>
      <c r="AE163" s="816"/>
      <c r="AF163" s="816" t="s">
        <v>3112</v>
      </c>
      <c r="AG163" s="816" t="s">
        <v>3136</v>
      </c>
      <c r="AH163" s="816" t="s">
        <v>3170</v>
      </c>
      <c r="AI163" s="816" t="s">
        <v>3222</v>
      </c>
      <c r="AJ163" s="816"/>
      <c r="AL163" s="816"/>
      <c r="AM163" s="816" t="s">
        <v>3288</v>
      </c>
      <c r="AN163" s="816" t="s">
        <v>1956</v>
      </c>
      <c r="AO163" s="816" t="s">
        <v>3357</v>
      </c>
      <c r="AP163" s="816"/>
      <c r="AQ163" s="816" t="s">
        <v>3390</v>
      </c>
      <c r="AR163" s="816" t="s">
        <v>3409</v>
      </c>
      <c r="AS163" s="816" t="s">
        <v>3435</v>
      </c>
      <c r="AT163" s="816" t="s">
        <v>3454</v>
      </c>
      <c r="AU163" s="816" t="s">
        <v>3468</v>
      </c>
      <c r="AV163" s="816" t="s">
        <v>3482</v>
      </c>
      <c r="AW163" s="816"/>
      <c r="AX163" s="816"/>
      <c r="AY163" s="816" t="s">
        <v>3568</v>
      </c>
      <c r="AZ163" s="816"/>
      <c r="BA163" s="816"/>
      <c r="BB163" s="816" t="s">
        <v>3662</v>
      </c>
      <c r="BC163" s="816"/>
      <c r="BD163" s="816" t="s">
        <v>3700</v>
      </c>
      <c r="BE163" s="816" t="s">
        <v>3754</v>
      </c>
      <c r="BF163" s="816" t="s">
        <v>3773</v>
      </c>
      <c r="BG163" s="816"/>
      <c r="BH163" s="816"/>
      <c r="BI163" s="816" t="s">
        <v>3943</v>
      </c>
      <c r="BJ163" s="816" t="s">
        <v>3963</v>
      </c>
      <c r="BM163" s="816" t="s">
        <v>4228</v>
      </c>
      <c r="BN163" s="816" t="s">
        <v>4247</v>
      </c>
      <c r="BO163" s="816" t="s">
        <v>4265</v>
      </c>
      <c r="BQ163" s="816"/>
      <c r="BR163" s="816" t="s">
        <v>4324</v>
      </c>
      <c r="BS163" s="816" t="s">
        <v>3568</v>
      </c>
      <c r="BT163" s="816"/>
      <c r="BU163" s="816" t="s">
        <v>4365</v>
      </c>
    </row>
    <row r="164" spans="1:73" ht="29" x14ac:dyDescent="0.35">
      <c r="A164" s="806" t="s">
        <v>743</v>
      </c>
      <c r="B164" s="806" t="s">
        <v>826</v>
      </c>
      <c r="C164" s="19" t="s">
        <v>198</v>
      </c>
      <c r="D164" s="19" t="s">
        <v>198</v>
      </c>
      <c r="E164" s="19" t="s">
        <v>198</v>
      </c>
      <c r="G164" s="816" t="s">
        <v>198</v>
      </c>
      <c r="H164" s="816" t="s">
        <v>198</v>
      </c>
      <c r="I164" s="816" t="s">
        <v>198</v>
      </c>
      <c r="J164" s="816" t="s">
        <v>198</v>
      </c>
      <c r="K164" s="816" t="s">
        <v>198</v>
      </c>
      <c r="L164" s="816" t="s">
        <v>198</v>
      </c>
      <c r="M164" s="816" t="s">
        <v>198</v>
      </c>
      <c r="N164" s="816" t="s">
        <v>198</v>
      </c>
      <c r="O164" s="816" t="s">
        <v>198</v>
      </c>
      <c r="P164" s="816"/>
      <c r="Q164" s="816" t="s">
        <v>198</v>
      </c>
      <c r="S164" s="816" t="s">
        <v>198</v>
      </c>
      <c r="T164" s="816" t="s">
        <v>198</v>
      </c>
      <c r="U164" s="816"/>
      <c r="V164" s="816"/>
      <c r="W164" s="816" t="s">
        <v>198</v>
      </c>
      <c r="X164" s="816" t="s">
        <v>198</v>
      </c>
      <c r="Y164" s="816" t="s">
        <v>198</v>
      </c>
      <c r="Z164" s="816" t="s">
        <v>198</v>
      </c>
      <c r="AA164" s="816" t="s">
        <v>198</v>
      </c>
      <c r="AC164" s="816" t="s">
        <v>198</v>
      </c>
      <c r="AD164" s="816" t="s">
        <v>198</v>
      </c>
      <c r="AE164" s="816"/>
      <c r="AF164" s="816" t="s">
        <v>198</v>
      </c>
      <c r="AG164" s="816" t="s">
        <v>198</v>
      </c>
      <c r="AH164" s="816" t="s">
        <v>198</v>
      </c>
      <c r="AI164" s="816" t="s">
        <v>198</v>
      </c>
      <c r="AJ164" s="816"/>
      <c r="AK164" s="816"/>
      <c r="AL164" s="816"/>
      <c r="AM164" s="816" t="s">
        <v>198</v>
      </c>
      <c r="AN164" s="816" t="s">
        <v>198</v>
      </c>
      <c r="AO164" s="816" t="s">
        <v>198</v>
      </c>
      <c r="AP164" s="816"/>
      <c r="AQ164" s="816" t="s">
        <v>198</v>
      </c>
      <c r="AR164" s="816" t="s">
        <v>198</v>
      </c>
      <c r="AS164" s="816" t="s">
        <v>198</v>
      </c>
      <c r="AT164" s="816" t="s">
        <v>198</v>
      </c>
      <c r="AU164" s="816" t="s">
        <v>198</v>
      </c>
      <c r="AV164" s="816" t="s">
        <v>198</v>
      </c>
      <c r="AW164" s="816"/>
      <c r="AX164" s="816"/>
      <c r="AY164" s="816" t="s">
        <v>198</v>
      </c>
      <c r="AZ164" s="816"/>
      <c r="BA164" s="816"/>
      <c r="BB164" s="816" t="s">
        <v>198</v>
      </c>
      <c r="BC164" s="816"/>
      <c r="BD164" s="816" t="s">
        <v>198</v>
      </c>
      <c r="BE164" s="816" t="s">
        <v>198</v>
      </c>
      <c r="BF164" s="816" t="s">
        <v>198</v>
      </c>
      <c r="BG164" s="816"/>
      <c r="BH164" s="816"/>
      <c r="BI164" s="816" t="s">
        <v>198</v>
      </c>
      <c r="BJ164" s="816" t="s">
        <v>198</v>
      </c>
      <c r="BM164" s="816" t="s">
        <v>198</v>
      </c>
      <c r="BN164" s="816" t="s">
        <v>198</v>
      </c>
      <c r="BO164" s="816" t="s">
        <v>198</v>
      </c>
      <c r="BQ164" s="816"/>
      <c r="BR164" s="816" t="s">
        <v>198</v>
      </c>
      <c r="BS164" s="816" t="s">
        <v>198</v>
      </c>
      <c r="BT164" s="816"/>
      <c r="BU164" s="816" t="s">
        <v>198</v>
      </c>
    </row>
    <row r="165" spans="1:73" x14ac:dyDescent="0.35">
      <c r="A165" s="806" t="s">
        <v>743</v>
      </c>
      <c r="B165" s="806" t="s">
        <v>746</v>
      </c>
      <c r="C165" s="19" t="s">
        <v>1959</v>
      </c>
      <c r="D165" s="19" t="s">
        <v>1959</v>
      </c>
      <c r="E165" s="19" t="s">
        <v>1959</v>
      </c>
      <c r="F165" s="19"/>
      <c r="G165" s="816" t="s">
        <v>1959</v>
      </c>
      <c r="H165" s="816" t="s">
        <v>1959</v>
      </c>
      <c r="I165" s="816" t="s">
        <v>2475</v>
      </c>
      <c r="J165" s="816" t="s">
        <v>1959</v>
      </c>
      <c r="K165" s="816" t="s">
        <v>2475</v>
      </c>
      <c r="L165" s="816" t="s">
        <v>1959</v>
      </c>
      <c r="M165" s="816" t="s">
        <v>1959</v>
      </c>
      <c r="N165" s="816" t="s">
        <v>2475</v>
      </c>
      <c r="O165" s="816" t="s">
        <v>1959</v>
      </c>
      <c r="P165" s="816"/>
      <c r="Q165" s="816" t="s">
        <v>1959</v>
      </c>
      <c r="R165" s="816"/>
      <c r="S165" s="816" t="s">
        <v>2475</v>
      </c>
      <c r="T165" s="816" t="s">
        <v>1959</v>
      </c>
      <c r="U165" s="816"/>
      <c r="V165" s="816"/>
      <c r="W165" s="816" t="s">
        <v>1959</v>
      </c>
      <c r="X165" s="816" t="s">
        <v>1959</v>
      </c>
      <c r="Y165" s="816" t="s">
        <v>1959</v>
      </c>
      <c r="Z165" s="816" t="s">
        <v>2475</v>
      </c>
      <c r="AA165" s="816" t="s">
        <v>1959</v>
      </c>
      <c r="AB165" s="818"/>
      <c r="AC165" s="816" t="s">
        <v>2475</v>
      </c>
      <c r="AD165" s="816" t="s">
        <v>1959</v>
      </c>
      <c r="AE165" s="816"/>
      <c r="AF165" s="816" t="s">
        <v>1959</v>
      </c>
      <c r="AG165" s="816" t="s">
        <v>2475</v>
      </c>
      <c r="AH165" s="816" t="s">
        <v>1959</v>
      </c>
      <c r="AI165" s="816" t="s">
        <v>1959</v>
      </c>
      <c r="AJ165" s="816"/>
      <c r="AK165" s="816" t="s">
        <v>1959</v>
      </c>
      <c r="AL165" s="816"/>
      <c r="AM165" s="816" t="s">
        <v>1959</v>
      </c>
      <c r="AN165" s="816" t="s">
        <v>1959</v>
      </c>
      <c r="AO165" s="816" t="s">
        <v>1959</v>
      </c>
      <c r="AP165" s="816"/>
      <c r="AQ165" s="816" t="s">
        <v>1959</v>
      </c>
      <c r="AR165" s="816" t="s">
        <v>1959</v>
      </c>
      <c r="AS165" s="816" t="s">
        <v>1959</v>
      </c>
      <c r="AT165" s="816" t="s">
        <v>1959</v>
      </c>
      <c r="AU165" s="816" t="s">
        <v>1959</v>
      </c>
      <c r="AV165" s="816" t="s">
        <v>1959</v>
      </c>
      <c r="AW165" s="816"/>
      <c r="AX165" s="816"/>
      <c r="AY165" s="816" t="s">
        <v>2475</v>
      </c>
      <c r="AZ165" s="816"/>
      <c r="BA165" s="816"/>
      <c r="BB165" s="816" t="s">
        <v>1959</v>
      </c>
      <c r="BC165" s="816"/>
      <c r="BD165" s="816" t="s">
        <v>1959</v>
      </c>
      <c r="BE165" s="816" t="s">
        <v>1959</v>
      </c>
      <c r="BF165" s="816" t="s">
        <v>1959</v>
      </c>
      <c r="BG165" s="816"/>
      <c r="BH165" s="816"/>
      <c r="BI165" s="816" t="s">
        <v>1959</v>
      </c>
      <c r="BJ165" s="816" t="s">
        <v>1959</v>
      </c>
      <c r="BK165" s="816"/>
      <c r="BM165" s="816" t="s">
        <v>2475</v>
      </c>
      <c r="BN165" s="816" t="s">
        <v>1959</v>
      </c>
      <c r="BO165" s="816" t="s">
        <v>1959</v>
      </c>
      <c r="BP165" s="816"/>
      <c r="BQ165" s="816"/>
      <c r="BR165" s="816" t="s">
        <v>1959</v>
      </c>
      <c r="BS165" s="816" t="s">
        <v>2475</v>
      </c>
      <c r="BT165" s="816"/>
      <c r="BU165" s="816" t="s">
        <v>2475</v>
      </c>
    </row>
    <row r="166" spans="1:73" x14ac:dyDescent="0.35">
      <c r="A166" s="806" t="s">
        <v>743</v>
      </c>
      <c r="B166" s="806" t="s">
        <v>827</v>
      </c>
      <c r="C166" s="827"/>
      <c r="D166" s="827"/>
      <c r="E166" s="827"/>
      <c r="G166" s="817"/>
      <c r="H166" s="817"/>
      <c r="I166" s="817">
        <v>40</v>
      </c>
      <c r="J166" s="817"/>
      <c r="K166" s="817">
        <v>30</v>
      </c>
      <c r="L166" s="817"/>
      <c r="M166" s="817"/>
      <c r="N166" s="817">
        <v>40</v>
      </c>
      <c r="O166" s="817"/>
      <c r="P166" s="817"/>
      <c r="Q166" s="817"/>
      <c r="R166" s="817"/>
      <c r="S166" s="817">
        <v>40</v>
      </c>
      <c r="T166" s="817"/>
      <c r="U166" s="817"/>
      <c r="V166" s="817"/>
      <c r="W166" s="817"/>
      <c r="X166" s="817"/>
      <c r="Y166" s="817"/>
      <c r="Z166" s="817">
        <v>40</v>
      </c>
      <c r="AA166" s="817"/>
      <c r="AC166" s="817">
        <v>40</v>
      </c>
      <c r="AD166" s="817"/>
      <c r="AE166" s="817"/>
      <c r="AF166" s="817"/>
      <c r="AG166" s="817">
        <v>40</v>
      </c>
      <c r="AH166" s="817"/>
      <c r="AI166" s="817"/>
      <c r="AJ166" s="817"/>
      <c r="AK166" s="817"/>
      <c r="AL166" s="817"/>
      <c r="AM166" s="817"/>
      <c r="AN166" s="817"/>
      <c r="AO166" s="817"/>
      <c r="AP166" s="817"/>
      <c r="AQ166" s="817"/>
      <c r="AR166" s="817"/>
      <c r="AS166" s="817"/>
      <c r="AT166" s="817"/>
      <c r="AU166" s="817"/>
      <c r="AV166" s="817"/>
      <c r="AW166" s="817"/>
      <c r="AX166" s="817"/>
      <c r="AY166" s="817">
        <v>40</v>
      </c>
      <c r="AZ166" s="817"/>
      <c r="BA166" s="817"/>
      <c r="BB166" s="817"/>
      <c r="BC166" s="817"/>
      <c r="BD166" s="817"/>
      <c r="BE166" s="817"/>
      <c r="BF166" s="817"/>
      <c r="BG166" s="817"/>
      <c r="BH166" s="817"/>
      <c r="BI166" s="817"/>
      <c r="BJ166" s="817"/>
      <c r="BM166" s="817">
        <v>30</v>
      </c>
      <c r="BN166" s="817"/>
      <c r="BO166" s="817"/>
      <c r="BQ166" s="817"/>
      <c r="BR166" s="817"/>
      <c r="BS166" s="817">
        <v>40</v>
      </c>
      <c r="BT166" s="817"/>
      <c r="BU166" s="817">
        <v>40</v>
      </c>
    </row>
    <row r="167" spans="1:73" ht="29" x14ac:dyDescent="0.35">
      <c r="A167" s="806" t="s">
        <v>743</v>
      </c>
      <c r="B167" s="806" t="s">
        <v>828</v>
      </c>
      <c r="C167" s="827"/>
      <c r="D167" s="827"/>
      <c r="E167" s="827"/>
      <c r="G167" s="817"/>
      <c r="H167" s="817"/>
      <c r="I167" s="817">
        <v>12</v>
      </c>
      <c r="J167" s="817"/>
      <c r="K167" s="817">
        <v>5</v>
      </c>
      <c r="L167" s="817"/>
      <c r="M167" s="817"/>
      <c r="N167" s="817">
        <v>7</v>
      </c>
      <c r="O167" s="817"/>
      <c r="P167" s="817"/>
      <c r="Q167" s="817"/>
      <c r="R167" s="817"/>
      <c r="S167" s="817">
        <v>11</v>
      </c>
      <c r="T167" s="817"/>
      <c r="U167" s="817"/>
      <c r="V167" s="817"/>
      <c r="W167" s="817"/>
      <c r="X167" s="817"/>
      <c r="Y167" s="817"/>
      <c r="Z167" s="817">
        <v>9</v>
      </c>
      <c r="AA167" s="817"/>
      <c r="AC167" s="817">
        <v>10</v>
      </c>
      <c r="AD167" s="817"/>
      <c r="AE167" s="817"/>
      <c r="AF167" s="817"/>
      <c r="AG167" s="817">
        <v>8</v>
      </c>
      <c r="AH167" s="817"/>
      <c r="AI167" s="817"/>
      <c r="AJ167" s="817"/>
      <c r="AK167" s="817"/>
      <c r="AL167" s="817"/>
      <c r="AM167" s="817"/>
      <c r="AN167" s="817"/>
      <c r="AO167" s="817"/>
      <c r="AP167" s="817"/>
      <c r="AQ167" s="817"/>
      <c r="AR167" s="817"/>
      <c r="AS167" s="817"/>
      <c r="AT167" s="817"/>
      <c r="AU167" s="817"/>
      <c r="AV167" s="817"/>
      <c r="AW167" s="817"/>
      <c r="AX167" s="817"/>
      <c r="AY167" s="817">
        <v>12</v>
      </c>
      <c r="AZ167" s="817"/>
      <c r="BA167" s="817"/>
      <c r="BB167" s="817"/>
      <c r="BC167" s="817"/>
      <c r="BD167" s="817"/>
      <c r="BE167" s="817"/>
      <c r="BF167" s="817"/>
      <c r="BG167" s="817"/>
      <c r="BH167" s="817"/>
      <c r="BI167" s="817"/>
      <c r="BJ167" s="817"/>
      <c r="BM167" s="817">
        <v>11</v>
      </c>
      <c r="BN167" s="817"/>
      <c r="BO167" s="817"/>
      <c r="BQ167" s="817"/>
      <c r="BR167" s="817"/>
      <c r="BS167" s="817">
        <v>12</v>
      </c>
      <c r="BT167" s="817"/>
      <c r="BU167" s="833">
        <v>10.8</v>
      </c>
    </row>
    <row r="168" spans="1:73" x14ac:dyDescent="0.35">
      <c r="A168" s="806" t="s">
        <v>743</v>
      </c>
      <c r="B168" s="806" t="s">
        <v>829</v>
      </c>
      <c r="C168" s="827"/>
      <c r="D168" s="827"/>
      <c r="E168" s="827"/>
      <c r="G168" s="817"/>
      <c r="H168" s="817"/>
      <c r="I168" s="817">
        <v>20</v>
      </c>
      <c r="J168" s="817"/>
      <c r="K168" s="817">
        <v>20</v>
      </c>
      <c r="L168" s="817"/>
      <c r="M168" s="817"/>
      <c r="N168" s="817">
        <v>20</v>
      </c>
      <c r="O168" s="817"/>
      <c r="P168" s="817"/>
      <c r="Q168" s="817"/>
      <c r="R168" s="817"/>
      <c r="S168" s="817">
        <v>20</v>
      </c>
      <c r="T168" s="817"/>
      <c r="U168" s="817"/>
      <c r="V168" s="817"/>
      <c r="W168" s="817"/>
      <c r="X168" s="817"/>
      <c r="Y168" s="817"/>
      <c r="Z168" s="817">
        <v>20</v>
      </c>
      <c r="AA168" s="817"/>
      <c r="AC168" s="817">
        <v>20</v>
      </c>
      <c r="AD168" s="817"/>
      <c r="AE168" s="817"/>
      <c r="AF168" s="817"/>
      <c r="AG168" s="817">
        <v>20</v>
      </c>
      <c r="AH168" s="817"/>
      <c r="AI168" s="817"/>
      <c r="AJ168" s="817"/>
      <c r="AK168" s="817"/>
      <c r="AL168" s="817"/>
      <c r="AM168" s="817"/>
      <c r="AN168" s="817"/>
      <c r="AO168" s="817"/>
      <c r="AP168" s="817"/>
      <c r="AQ168" s="817"/>
      <c r="AR168" s="817"/>
      <c r="AS168" s="817"/>
      <c r="AT168" s="817"/>
      <c r="AU168" s="817"/>
      <c r="AV168" s="817"/>
      <c r="AW168" s="817"/>
      <c r="AX168" s="817"/>
      <c r="AY168" s="817">
        <v>20</v>
      </c>
      <c r="AZ168" s="817"/>
      <c r="BA168" s="817"/>
      <c r="BB168" s="817"/>
      <c r="BC168" s="817"/>
      <c r="BD168" s="817"/>
      <c r="BE168" s="817"/>
      <c r="BF168" s="817"/>
      <c r="BG168" s="817"/>
      <c r="BH168" s="817"/>
      <c r="BI168" s="817"/>
      <c r="BJ168" s="817"/>
      <c r="BM168" s="817">
        <v>10</v>
      </c>
      <c r="BN168" s="817"/>
      <c r="BO168" s="817"/>
      <c r="BQ168" s="817"/>
      <c r="BR168" s="817"/>
      <c r="BS168" s="817">
        <v>20</v>
      </c>
      <c r="BT168" s="817"/>
      <c r="BU168" s="821">
        <v>17.14</v>
      </c>
    </row>
    <row r="169" spans="1:73" ht="29" x14ac:dyDescent="0.35">
      <c r="A169" s="806" t="s">
        <v>743</v>
      </c>
      <c r="B169" s="806" t="s">
        <v>830</v>
      </c>
      <c r="C169" s="827"/>
      <c r="D169" s="827"/>
      <c r="E169" s="827"/>
      <c r="G169" s="817"/>
      <c r="H169" s="817"/>
      <c r="I169" s="817">
        <v>3</v>
      </c>
      <c r="J169" s="817"/>
      <c r="K169" s="817">
        <v>3</v>
      </c>
      <c r="L169" s="817"/>
      <c r="M169" s="817"/>
      <c r="N169" s="817">
        <v>3</v>
      </c>
      <c r="O169" s="817"/>
      <c r="P169" s="817"/>
      <c r="Q169" s="817"/>
      <c r="R169" s="817"/>
      <c r="S169" s="817">
        <v>3</v>
      </c>
      <c r="T169" s="817"/>
      <c r="U169" s="817"/>
      <c r="V169" s="817"/>
      <c r="W169" s="817"/>
      <c r="X169" s="817"/>
      <c r="Y169" s="817"/>
      <c r="Z169" s="817">
        <v>3</v>
      </c>
      <c r="AA169" s="817"/>
      <c r="AC169" s="817">
        <v>3</v>
      </c>
      <c r="AD169" s="817"/>
      <c r="AE169" s="817"/>
      <c r="AF169" s="817"/>
      <c r="AG169" s="817">
        <v>3</v>
      </c>
      <c r="AH169" s="817"/>
      <c r="AI169" s="817"/>
      <c r="AJ169" s="817"/>
      <c r="AK169" s="817"/>
      <c r="AL169" s="817"/>
      <c r="AM169" s="817"/>
      <c r="AN169" s="817"/>
      <c r="AO169" s="817"/>
      <c r="AP169" s="817"/>
      <c r="AQ169" s="817"/>
      <c r="AR169" s="817"/>
      <c r="AS169" s="817"/>
      <c r="AT169" s="817"/>
      <c r="AU169" s="817"/>
      <c r="AV169" s="817"/>
      <c r="AW169" s="817"/>
      <c r="AX169" s="817"/>
      <c r="AY169" s="817">
        <v>5</v>
      </c>
      <c r="AZ169" s="817"/>
      <c r="BA169" s="817"/>
      <c r="BB169" s="817"/>
      <c r="BC169" s="817"/>
      <c r="BD169" s="817"/>
      <c r="BE169" s="817"/>
      <c r="BF169" s="817"/>
      <c r="BG169" s="817"/>
      <c r="BH169" s="817"/>
      <c r="BI169" s="817"/>
      <c r="BJ169" s="817"/>
      <c r="BM169" s="817">
        <v>0</v>
      </c>
      <c r="BN169" s="817"/>
      <c r="BO169" s="817"/>
      <c r="BQ169" s="817"/>
      <c r="BR169" s="817"/>
      <c r="BS169" s="817">
        <v>5</v>
      </c>
      <c r="BT169" s="817"/>
      <c r="BU169" s="821">
        <v>2.41</v>
      </c>
    </row>
    <row r="170" spans="1:73" x14ac:dyDescent="0.35">
      <c r="A170" s="806" t="s">
        <v>743</v>
      </c>
      <c r="B170" s="806" t="s">
        <v>831</v>
      </c>
      <c r="C170" s="827"/>
      <c r="D170" s="827"/>
      <c r="E170" s="827"/>
      <c r="G170" s="817"/>
      <c r="H170" s="817"/>
      <c r="I170" s="817">
        <v>0</v>
      </c>
      <c r="J170" s="817"/>
      <c r="K170" s="817">
        <v>0</v>
      </c>
      <c r="L170" s="817"/>
      <c r="M170" s="817"/>
      <c r="N170" s="817">
        <v>0</v>
      </c>
      <c r="O170" s="817"/>
      <c r="P170" s="817"/>
      <c r="Q170" s="817"/>
      <c r="R170" s="817"/>
      <c r="S170" s="817">
        <v>0</v>
      </c>
      <c r="T170" s="817"/>
      <c r="U170" s="817"/>
      <c r="V170" s="817"/>
      <c r="W170" s="817"/>
      <c r="X170" s="817"/>
      <c r="Y170" s="817"/>
      <c r="Z170" s="817">
        <v>0</v>
      </c>
      <c r="AA170" s="817"/>
      <c r="AC170" s="817">
        <v>0</v>
      </c>
      <c r="AD170" s="817"/>
      <c r="AE170" s="817"/>
      <c r="AF170" s="817"/>
      <c r="AG170" s="817">
        <v>0</v>
      </c>
      <c r="AH170" s="817"/>
      <c r="AI170" s="817"/>
      <c r="AJ170" s="817"/>
      <c r="AK170" s="817"/>
      <c r="AL170" s="817"/>
      <c r="AM170" s="817"/>
      <c r="AN170" s="817"/>
      <c r="AO170" s="817"/>
      <c r="AP170" s="817"/>
      <c r="AQ170" s="817"/>
      <c r="AR170" s="817"/>
      <c r="AS170" s="817"/>
      <c r="AT170" s="817"/>
      <c r="AU170" s="817"/>
      <c r="AV170" s="817"/>
      <c r="AW170" s="817"/>
      <c r="AX170" s="817"/>
      <c r="AY170" s="817">
        <v>0</v>
      </c>
      <c r="AZ170" s="817"/>
      <c r="BA170" s="817"/>
      <c r="BB170" s="817"/>
      <c r="BC170" s="817"/>
      <c r="BD170" s="817"/>
      <c r="BE170" s="817"/>
      <c r="BF170" s="817"/>
      <c r="BG170" s="817"/>
      <c r="BH170" s="817"/>
      <c r="BI170" s="817"/>
      <c r="BJ170" s="817"/>
      <c r="BM170" s="817">
        <v>0</v>
      </c>
      <c r="BN170" s="817"/>
      <c r="BO170" s="817"/>
      <c r="BQ170" s="817"/>
      <c r="BR170" s="817"/>
      <c r="BS170" s="817">
        <v>0</v>
      </c>
      <c r="BT170" s="817"/>
      <c r="BU170" s="817">
        <v>0</v>
      </c>
    </row>
    <row r="171" spans="1:73" ht="29" x14ac:dyDescent="0.35">
      <c r="A171" s="806" t="s">
        <v>743</v>
      </c>
      <c r="B171" s="806" t="s">
        <v>832</v>
      </c>
      <c r="C171" s="827"/>
      <c r="D171" s="827"/>
      <c r="E171" s="827"/>
      <c r="G171" s="817"/>
      <c r="H171" s="817"/>
      <c r="I171" s="817">
        <v>0</v>
      </c>
      <c r="J171" s="817"/>
      <c r="K171" s="817">
        <v>10</v>
      </c>
      <c r="L171" s="817"/>
      <c r="M171" s="817"/>
      <c r="N171" s="817">
        <v>10</v>
      </c>
      <c r="O171" s="817"/>
      <c r="P171" s="817"/>
      <c r="Q171" s="817"/>
      <c r="R171" s="817"/>
      <c r="S171" s="817">
        <v>10</v>
      </c>
      <c r="T171" s="817"/>
      <c r="U171" s="817"/>
      <c r="V171" s="817"/>
      <c r="W171" s="817"/>
      <c r="X171" s="817"/>
      <c r="Y171" s="817"/>
      <c r="Z171" s="817">
        <v>10</v>
      </c>
      <c r="AA171" s="817"/>
      <c r="AC171" s="817">
        <v>10</v>
      </c>
      <c r="AD171" s="817"/>
      <c r="AE171" s="817"/>
      <c r="AF171" s="817"/>
      <c r="AG171" s="817">
        <v>10</v>
      </c>
      <c r="AH171" s="817"/>
      <c r="AI171" s="817"/>
      <c r="AJ171" s="817"/>
      <c r="AK171" s="817"/>
      <c r="AL171" s="817"/>
      <c r="AM171" s="817"/>
      <c r="AN171" s="817"/>
      <c r="AO171" s="817"/>
      <c r="AP171" s="817"/>
      <c r="AQ171" s="817"/>
      <c r="AR171" s="817"/>
      <c r="AS171" s="817"/>
      <c r="AT171" s="817"/>
      <c r="AU171" s="817"/>
      <c r="AV171" s="817"/>
      <c r="AW171" s="817"/>
      <c r="AX171" s="817"/>
      <c r="AY171" s="817">
        <v>10</v>
      </c>
      <c r="AZ171" s="817"/>
      <c r="BA171" s="817"/>
      <c r="BB171" s="817"/>
      <c r="BC171" s="817"/>
      <c r="BD171" s="817"/>
      <c r="BE171" s="817"/>
      <c r="BF171" s="817"/>
      <c r="BG171" s="817"/>
      <c r="BH171" s="817"/>
      <c r="BI171" s="817"/>
      <c r="BJ171" s="817"/>
      <c r="BM171" s="817">
        <v>10</v>
      </c>
      <c r="BN171" s="817"/>
      <c r="BO171" s="817"/>
      <c r="BQ171" s="817"/>
      <c r="BR171" s="817"/>
      <c r="BS171" s="817">
        <v>10</v>
      </c>
      <c r="BT171" s="817"/>
      <c r="BU171" s="817">
        <v>0</v>
      </c>
    </row>
    <row r="172" spans="1:73" x14ac:dyDescent="0.35">
      <c r="A172" s="806" t="s">
        <v>743</v>
      </c>
      <c r="B172" s="806" t="s">
        <v>752</v>
      </c>
      <c r="C172" s="827"/>
      <c r="D172" s="827"/>
      <c r="E172" s="827"/>
      <c r="F172" s="19"/>
      <c r="G172" s="817"/>
      <c r="H172" s="817"/>
      <c r="I172" s="817">
        <v>80</v>
      </c>
      <c r="J172" s="817"/>
      <c r="K172" s="817">
        <v>73</v>
      </c>
      <c r="L172" s="817"/>
      <c r="M172" s="817"/>
      <c r="N172" s="817">
        <v>85</v>
      </c>
      <c r="O172" s="817"/>
      <c r="P172" s="817"/>
      <c r="Q172" s="817"/>
      <c r="R172" s="817"/>
      <c r="S172" s="817">
        <v>84</v>
      </c>
      <c r="T172" s="817"/>
      <c r="U172" s="817"/>
      <c r="V172" s="817"/>
      <c r="W172" s="817"/>
      <c r="X172" s="817"/>
      <c r="Y172" s="817"/>
      <c r="Z172" s="817">
        <v>87</v>
      </c>
      <c r="AA172" s="817"/>
      <c r="AB172" s="817"/>
      <c r="AC172" s="817">
        <v>88</v>
      </c>
      <c r="AD172" s="817"/>
      <c r="AE172" s="817"/>
      <c r="AF172" s="817"/>
      <c r="AG172" s="817">
        <v>81</v>
      </c>
      <c r="AH172" s="817"/>
      <c r="AI172" s="817"/>
      <c r="AJ172" s="817"/>
      <c r="AK172" s="817"/>
      <c r="AL172" s="817"/>
      <c r="AM172" s="817"/>
      <c r="AN172" s="817"/>
      <c r="AO172" s="817"/>
      <c r="AP172" s="817"/>
      <c r="AQ172" s="817"/>
      <c r="AR172" s="817"/>
      <c r="AS172" s="817"/>
      <c r="AT172" s="817"/>
      <c r="AU172" s="817"/>
      <c r="AV172" s="817"/>
      <c r="AW172" s="817"/>
      <c r="AX172" s="817"/>
      <c r="AY172" s="817">
        <v>87</v>
      </c>
      <c r="AZ172" s="817"/>
      <c r="BA172" s="817"/>
      <c r="BB172" s="817"/>
      <c r="BC172" s="817"/>
      <c r="BD172" s="817"/>
      <c r="BE172" s="817"/>
      <c r="BF172" s="817"/>
      <c r="BG172" s="817"/>
      <c r="BH172" s="817"/>
      <c r="BI172" s="817"/>
      <c r="BJ172" s="817"/>
      <c r="BK172" s="817"/>
      <c r="BM172" s="817">
        <v>61</v>
      </c>
      <c r="BN172" s="817"/>
      <c r="BO172" s="817"/>
      <c r="BP172" s="816"/>
      <c r="BQ172" s="817"/>
      <c r="BR172" s="817"/>
      <c r="BS172" s="817">
        <v>87</v>
      </c>
      <c r="BT172" s="817"/>
      <c r="BU172" s="821">
        <v>75.349999999999994</v>
      </c>
    </row>
    <row r="173" spans="1:73" x14ac:dyDescent="0.35">
      <c r="A173" s="806" t="s">
        <v>743</v>
      </c>
      <c r="B173" s="806" t="s">
        <v>753</v>
      </c>
      <c r="C173" s="828"/>
      <c r="D173" s="828"/>
      <c r="E173" s="828"/>
      <c r="F173" s="827"/>
      <c r="G173" s="818"/>
      <c r="H173" s="818"/>
      <c r="I173" s="818">
        <v>1046250</v>
      </c>
      <c r="J173" s="818"/>
      <c r="K173" s="818">
        <v>459600</v>
      </c>
      <c r="L173" s="818"/>
      <c r="M173" s="818"/>
      <c r="N173" s="818">
        <v>882000</v>
      </c>
      <c r="O173" s="818"/>
      <c r="P173" s="818"/>
      <c r="Q173" s="818"/>
      <c r="R173" s="818"/>
      <c r="S173" s="818">
        <v>750000</v>
      </c>
      <c r="T173" s="818"/>
      <c r="U173" s="818"/>
      <c r="V173" s="818"/>
      <c r="W173" s="818"/>
      <c r="X173" s="818"/>
      <c r="Y173" s="818"/>
      <c r="Z173" s="818">
        <v>138800</v>
      </c>
      <c r="AA173" s="818"/>
      <c r="AB173" s="818"/>
      <c r="AC173" s="818">
        <v>1033000</v>
      </c>
      <c r="AD173" s="818"/>
      <c r="AE173" s="818"/>
      <c r="AF173" s="818"/>
      <c r="AG173" s="818">
        <v>500000</v>
      </c>
      <c r="AH173" s="818"/>
      <c r="AI173" s="818"/>
      <c r="AJ173" s="818"/>
      <c r="AK173" s="818"/>
      <c r="AL173" s="818"/>
      <c r="AM173" s="818"/>
      <c r="AN173" s="818"/>
      <c r="AO173" s="818"/>
      <c r="AP173" s="818"/>
      <c r="AQ173" s="818"/>
      <c r="AR173" s="818"/>
      <c r="AS173" s="818"/>
      <c r="AT173" s="818"/>
      <c r="AU173" s="818"/>
      <c r="AV173" s="818"/>
      <c r="AW173" s="818"/>
      <c r="AX173" s="818"/>
      <c r="AY173" s="818">
        <v>2000000</v>
      </c>
      <c r="AZ173" s="818"/>
      <c r="BA173" s="818"/>
      <c r="BB173" s="818"/>
      <c r="BC173" s="818"/>
      <c r="BD173" s="818"/>
      <c r="BE173" s="818"/>
      <c r="BF173" s="818"/>
      <c r="BG173" s="818"/>
      <c r="BH173" s="818"/>
      <c r="BI173" s="818"/>
      <c r="BJ173" s="818"/>
      <c r="BK173" s="817"/>
      <c r="BM173" s="818">
        <v>350693</v>
      </c>
      <c r="BN173" s="818"/>
      <c r="BO173" s="818"/>
      <c r="BP173" s="816"/>
      <c r="BQ173" s="818"/>
      <c r="BR173" s="818"/>
      <c r="BS173" s="818">
        <v>2000000</v>
      </c>
      <c r="BT173" s="818"/>
      <c r="BU173" s="818">
        <v>1065079</v>
      </c>
    </row>
    <row r="174" spans="1:73" ht="29" x14ac:dyDescent="0.35">
      <c r="A174" s="806" t="s">
        <v>743</v>
      </c>
      <c r="B174" s="806" t="s">
        <v>833</v>
      </c>
      <c r="C174" s="827"/>
      <c r="D174" s="827"/>
      <c r="E174" s="827"/>
      <c r="G174" s="817"/>
      <c r="H174" s="817"/>
      <c r="I174" s="817">
        <v>5</v>
      </c>
      <c r="J174" s="817"/>
      <c r="K174" s="817">
        <v>5</v>
      </c>
      <c r="L174" s="817"/>
      <c r="M174" s="817"/>
      <c r="N174" s="817">
        <v>5</v>
      </c>
      <c r="O174" s="817"/>
      <c r="P174" s="817"/>
      <c r="Q174" s="817"/>
      <c r="R174" s="817"/>
      <c r="S174" s="817">
        <v>0</v>
      </c>
      <c r="T174" s="817"/>
      <c r="U174" s="817"/>
      <c r="V174" s="817"/>
      <c r="W174" s="817"/>
      <c r="X174" s="817"/>
      <c r="Y174" s="817"/>
      <c r="Z174" s="817">
        <v>5</v>
      </c>
      <c r="AA174" s="817"/>
      <c r="AC174" s="817">
        <v>5</v>
      </c>
      <c r="AD174" s="817"/>
      <c r="AE174" s="817"/>
      <c r="AF174" s="817"/>
      <c r="AG174" s="817">
        <v>0</v>
      </c>
      <c r="AH174" s="817"/>
      <c r="AI174" s="817"/>
      <c r="AJ174" s="817"/>
      <c r="AK174" s="817"/>
      <c r="AL174" s="817"/>
      <c r="AM174" s="817"/>
      <c r="AN174" s="817"/>
      <c r="AO174" s="817"/>
      <c r="AP174" s="817"/>
      <c r="AQ174" s="817"/>
      <c r="AR174" s="817"/>
      <c r="AS174" s="817"/>
      <c r="AT174" s="817"/>
      <c r="AU174" s="817"/>
      <c r="AV174" s="817"/>
      <c r="AW174" s="817"/>
      <c r="AX174" s="817"/>
      <c r="AY174" s="817">
        <v>0</v>
      </c>
      <c r="AZ174" s="817"/>
      <c r="BA174" s="817"/>
      <c r="BB174" s="817"/>
      <c r="BC174" s="817"/>
      <c r="BD174" s="817"/>
      <c r="BE174" s="817"/>
      <c r="BF174" s="817"/>
      <c r="BG174" s="817"/>
      <c r="BH174" s="817"/>
      <c r="BI174" s="817"/>
      <c r="BJ174" s="817"/>
      <c r="BM174" s="817">
        <v>0</v>
      </c>
      <c r="BN174" s="817"/>
      <c r="BO174" s="817"/>
      <c r="BQ174" s="817"/>
      <c r="BR174" s="817"/>
      <c r="BS174" s="817">
        <v>0</v>
      </c>
      <c r="BT174" s="817"/>
      <c r="BU174" s="817">
        <v>5</v>
      </c>
    </row>
    <row r="175" spans="1:73" x14ac:dyDescent="0.35">
      <c r="A175" s="806" t="s">
        <v>743</v>
      </c>
      <c r="B175" s="806" t="s">
        <v>834</v>
      </c>
      <c r="C175" s="827">
        <v>500</v>
      </c>
      <c r="D175" s="827">
        <v>500</v>
      </c>
      <c r="E175" s="827">
        <v>500</v>
      </c>
      <c r="G175" s="817">
        <v>3000</v>
      </c>
      <c r="I175" s="817">
        <v>7500</v>
      </c>
      <c r="J175" s="817">
        <v>250</v>
      </c>
      <c r="K175" s="817">
        <v>3744</v>
      </c>
      <c r="L175" s="817">
        <v>7500</v>
      </c>
      <c r="M175" s="817">
        <v>0</v>
      </c>
      <c r="N175" s="817">
        <v>500</v>
      </c>
      <c r="O175" s="817"/>
      <c r="P175" s="817"/>
      <c r="Q175" s="817">
        <v>6875</v>
      </c>
      <c r="S175" s="817">
        <v>0</v>
      </c>
      <c r="T175" s="817">
        <v>0</v>
      </c>
      <c r="U175" s="817"/>
      <c r="V175" s="817"/>
      <c r="W175" s="817">
        <v>0</v>
      </c>
      <c r="X175" s="817">
        <v>0</v>
      </c>
      <c r="Y175" s="817"/>
      <c r="Z175" s="817">
        <v>7300</v>
      </c>
      <c r="AA175" s="817">
        <v>312</v>
      </c>
      <c r="AC175" s="817">
        <v>1200</v>
      </c>
      <c r="AD175" s="817"/>
      <c r="AE175" s="817"/>
      <c r="AF175" s="817">
        <v>4500</v>
      </c>
      <c r="AG175" s="817">
        <v>0</v>
      </c>
      <c r="AH175" s="817">
        <v>500</v>
      </c>
      <c r="AI175" s="817">
        <v>1750</v>
      </c>
      <c r="AJ175" s="817"/>
      <c r="AL175" s="817"/>
      <c r="AM175" s="817">
        <v>0</v>
      </c>
      <c r="AN175" s="817">
        <v>0</v>
      </c>
      <c r="AP175" s="817"/>
      <c r="AQ175" s="817"/>
      <c r="AR175" s="817">
        <v>0</v>
      </c>
      <c r="AS175" s="817"/>
      <c r="AT175" s="817"/>
      <c r="AU175" s="817"/>
      <c r="AV175" s="817"/>
      <c r="AW175" s="817"/>
      <c r="AX175" s="817"/>
      <c r="AY175" s="817"/>
      <c r="AZ175" s="817"/>
      <c r="BA175" s="817"/>
      <c r="BC175" s="817"/>
      <c r="BD175" s="817">
        <v>0</v>
      </c>
      <c r="BE175" s="817">
        <v>0</v>
      </c>
      <c r="BF175" s="817">
        <v>9500</v>
      </c>
      <c r="BG175" s="817"/>
      <c r="BH175" s="817"/>
      <c r="BI175" s="817">
        <v>0</v>
      </c>
      <c r="BJ175" s="817">
        <v>0</v>
      </c>
      <c r="BM175" s="817"/>
      <c r="BN175" s="817">
        <v>0</v>
      </c>
      <c r="BO175" s="817"/>
      <c r="BQ175" s="817"/>
      <c r="BR175" s="817">
        <v>3500</v>
      </c>
      <c r="BS175" s="817"/>
      <c r="BT175" s="817"/>
      <c r="BU175" s="817">
        <v>1600</v>
      </c>
    </row>
    <row r="176" spans="1:73" ht="29" x14ac:dyDescent="0.35">
      <c r="A176" s="806" t="s">
        <v>743</v>
      </c>
      <c r="B176" s="806" t="s">
        <v>744</v>
      </c>
      <c r="C176" s="19" t="s">
        <v>2475</v>
      </c>
      <c r="D176" s="19" t="s">
        <v>2475</v>
      </c>
      <c r="E176" s="19" t="s">
        <v>2475</v>
      </c>
      <c r="F176" s="19"/>
      <c r="G176" s="816" t="s">
        <v>2475</v>
      </c>
      <c r="H176" s="816" t="s">
        <v>2475</v>
      </c>
      <c r="I176" s="816" t="s">
        <v>1959</v>
      </c>
      <c r="J176" s="816" t="s">
        <v>2475</v>
      </c>
      <c r="K176" s="816" t="s">
        <v>1959</v>
      </c>
      <c r="L176" s="816" t="s">
        <v>2475</v>
      </c>
      <c r="M176" s="816" t="s">
        <v>2475</v>
      </c>
      <c r="N176" s="816" t="s">
        <v>1959</v>
      </c>
      <c r="O176" s="816" t="s">
        <v>2475</v>
      </c>
      <c r="P176" s="816"/>
      <c r="Q176" s="816" t="s">
        <v>2475</v>
      </c>
      <c r="R176" s="816"/>
      <c r="S176" s="816" t="s">
        <v>1959</v>
      </c>
      <c r="T176" s="816" t="s">
        <v>2475</v>
      </c>
      <c r="U176" s="816"/>
      <c r="V176" s="816"/>
      <c r="W176" s="816" t="s">
        <v>2475</v>
      </c>
      <c r="X176" s="816" t="s">
        <v>2475</v>
      </c>
      <c r="Y176" s="816" t="s">
        <v>2475</v>
      </c>
      <c r="Z176" s="816" t="s">
        <v>2475</v>
      </c>
      <c r="AA176" s="816" t="s">
        <v>2475</v>
      </c>
      <c r="AB176" s="816"/>
      <c r="AC176" s="816" t="s">
        <v>1959</v>
      </c>
      <c r="AD176" s="816" t="s">
        <v>2475</v>
      </c>
      <c r="AE176" s="816"/>
      <c r="AF176" s="816" t="s">
        <v>2475</v>
      </c>
      <c r="AG176" s="816" t="s">
        <v>1959</v>
      </c>
      <c r="AH176" s="816" t="s">
        <v>2475</v>
      </c>
      <c r="AI176" s="816" t="s">
        <v>2475</v>
      </c>
      <c r="AJ176" s="816"/>
      <c r="AK176" s="816" t="s">
        <v>1959</v>
      </c>
      <c r="AL176" s="816"/>
      <c r="AM176" s="816" t="s">
        <v>2475</v>
      </c>
      <c r="AN176" s="816" t="s">
        <v>1959</v>
      </c>
      <c r="AO176" s="816" t="s">
        <v>2475</v>
      </c>
      <c r="AP176" s="816"/>
      <c r="AQ176" s="816" t="s">
        <v>1959</v>
      </c>
      <c r="AR176" s="816" t="s">
        <v>2475</v>
      </c>
      <c r="AS176" s="816" t="s">
        <v>2475</v>
      </c>
      <c r="AT176" s="816" t="s">
        <v>2475</v>
      </c>
      <c r="AU176" s="816" t="s">
        <v>2475</v>
      </c>
      <c r="AV176" s="816" t="s">
        <v>2475</v>
      </c>
      <c r="AW176" s="816"/>
      <c r="AX176" s="816"/>
      <c r="AY176" s="816" t="s">
        <v>1959</v>
      </c>
      <c r="AZ176" s="816"/>
      <c r="BA176" s="816"/>
      <c r="BB176" s="816" t="s">
        <v>2475</v>
      </c>
      <c r="BC176" s="816"/>
      <c r="BD176" s="816" t="s">
        <v>2475</v>
      </c>
      <c r="BE176" s="816" t="s">
        <v>2475</v>
      </c>
      <c r="BF176" s="816" t="s">
        <v>2475</v>
      </c>
      <c r="BG176" s="816"/>
      <c r="BH176" s="816"/>
      <c r="BI176" s="816" t="s">
        <v>2475</v>
      </c>
      <c r="BJ176" s="816" t="s">
        <v>2475</v>
      </c>
      <c r="BK176" s="816"/>
      <c r="BM176" s="816" t="s">
        <v>1959</v>
      </c>
      <c r="BN176" s="816" t="s">
        <v>2475</v>
      </c>
      <c r="BO176" s="816" t="s">
        <v>2475</v>
      </c>
      <c r="BP176" s="816"/>
      <c r="BQ176" s="816"/>
      <c r="BR176" s="816" t="s">
        <v>2475</v>
      </c>
      <c r="BS176" s="816" t="s">
        <v>1959</v>
      </c>
      <c r="BT176" s="816"/>
      <c r="BU176" s="816" t="s">
        <v>2475</v>
      </c>
    </row>
    <row r="177" spans="1:73" ht="29" x14ac:dyDescent="0.35">
      <c r="A177" s="806" t="s">
        <v>743</v>
      </c>
      <c r="B177" s="806" t="s">
        <v>835</v>
      </c>
      <c r="C177" s="827">
        <v>40</v>
      </c>
      <c r="D177" s="827">
        <v>40</v>
      </c>
      <c r="E177" s="827">
        <v>40</v>
      </c>
      <c r="G177" s="817">
        <v>40</v>
      </c>
      <c r="H177" s="817">
        <v>30</v>
      </c>
      <c r="I177" s="817"/>
      <c r="J177" s="817">
        <v>20</v>
      </c>
      <c r="K177" s="817"/>
      <c r="L177" s="817">
        <v>40</v>
      </c>
      <c r="M177" s="817">
        <v>40</v>
      </c>
      <c r="N177" s="817"/>
      <c r="O177" s="817">
        <v>30</v>
      </c>
      <c r="P177" s="817"/>
      <c r="Q177" s="817">
        <v>40</v>
      </c>
      <c r="R177" s="817"/>
      <c r="S177" s="817"/>
      <c r="T177" s="817">
        <v>40</v>
      </c>
      <c r="U177" s="817"/>
      <c r="V177" s="817"/>
      <c r="W177" s="817">
        <v>40</v>
      </c>
      <c r="X177" s="817">
        <v>40</v>
      </c>
      <c r="Y177" s="817">
        <v>40</v>
      </c>
      <c r="Z177" s="817">
        <v>40</v>
      </c>
      <c r="AA177" s="817">
        <v>40</v>
      </c>
      <c r="AC177" s="817"/>
      <c r="AD177" s="817">
        <v>30</v>
      </c>
      <c r="AE177" s="817"/>
      <c r="AF177" s="817">
        <v>40</v>
      </c>
      <c r="AG177" s="817"/>
      <c r="AH177" s="817">
        <v>40</v>
      </c>
      <c r="AI177" s="817">
        <v>40</v>
      </c>
      <c r="AJ177" s="817"/>
      <c r="AK177" s="817"/>
      <c r="AL177" s="817"/>
      <c r="AM177" s="817">
        <v>40</v>
      </c>
      <c r="AN177" s="817"/>
      <c r="AO177" s="817">
        <v>40</v>
      </c>
      <c r="AP177" s="817"/>
      <c r="AQ177" s="817"/>
      <c r="AR177" s="817">
        <v>30</v>
      </c>
      <c r="AS177" s="817">
        <v>40</v>
      </c>
      <c r="AT177" s="817">
        <v>40</v>
      </c>
      <c r="AU177" s="817">
        <v>40</v>
      </c>
      <c r="AV177" s="817">
        <v>40</v>
      </c>
      <c r="AW177" s="817"/>
      <c r="AX177" s="817"/>
      <c r="AY177" s="817"/>
      <c r="AZ177" s="817"/>
      <c r="BA177" s="817"/>
      <c r="BB177" s="817">
        <v>40</v>
      </c>
      <c r="BC177" s="817"/>
      <c r="BD177" s="817">
        <v>40</v>
      </c>
      <c r="BE177" s="817">
        <v>40</v>
      </c>
      <c r="BF177" s="817">
        <v>40</v>
      </c>
      <c r="BG177" s="817"/>
      <c r="BH177" s="817"/>
      <c r="BI177" s="817">
        <v>40</v>
      </c>
      <c r="BJ177" s="817">
        <v>40</v>
      </c>
      <c r="BM177" s="817"/>
      <c r="BN177" s="817">
        <v>40</v>
      </c>
      <c r="BO177" s="817">
        <v>40</v>
      </c>
      <c r="BQ177" s="817"/>
      <c r="BR177" s="817">
        <v>40</v>
      </c>
      <c r="BS177" s="817"/>
      <c r="BT177" s="817"/>
      <c r="BU177" s="817">
        <v>40</v>
      </c>
    </row>
    <row r="178" spans="1:73" ht="29" x14ac:dyDescent="0.35">
      <c r="A178" s="806" t="s">
        <v>743</v>
      </c>
      <c r="B178" s="806" t="s">
        <v>836</v>
      </c>
      <c r="C178" s="827">
        <v>9</v>
      </c>
      <c r="D178" s="827">
        <v>9</v>
      </c>
      <c r="E178" s="827">
        <v>9</v>
      </c>
      <c r="G178" s="817">
        <v>15</v>
      </c>
      <c r="H178" s="817">
        <v>12</v>
      </c>
      <c r="I178" s="817"/>
      <c r="J178" s="817">
        <v>9</v>
      </c>
      <c r="K178" s="817"/>
      <c r="L178" s="817">
        <v>15</v>
      </c>
      <c r="M178" s="817">
        <v>11</v>
      </c>
      <c r="N178" s="817"/>
      <c r="O178" s="817">
        <v>11</v>
      </c>
      <c r="P178" s="817"/>
      <c r="Q178" s="817">
        <v>15</v>
      </c>
      <c r="R178" s="817"/>
      <c r="S178" s="817"/>
      <c r="T178" s="817">
        <v>11</v>
      </c>
      <c r="U178" s="817"/>
      <c r="V178" s="817"/>
      <c r="W178" s="817">
        <v>15</v>
      </c>
      <c r="X178" s="817">
        <v>11</v>
      </c>
      <c r="Y178" s="817">
        <v>8</v>
      </c>
      <c r="Z178" s="817">
        <v>9</v>
      </c>
      <c r="AA178" s="833">
        <v>12.8</v>
      </c>
      <c r="AC178" s="817"/>
      <c r="AD178" s="817">
        <v>9</v>
      </c>
      <c r="AE178" s="817"/>
      <c r="AF178" s="817">
        <v>11</v>
      </c>
      <c r="AG178" s="817"/>
      <c r="AH178" s="817">
        <v>15</v>
      </c>
      <c r="AI178" s="817">
        <v>15</v>
      </c>
      <c r="AJ178" s="817"/>
      <c r="AK178" s="817"/>
      <c r="AL178" s="817"/>
      <c r="AM178" s="817">
        <v>12</v>
      </c>
      <c r="AN178" s="817"/>
      <c r="AO178" s="817">
        <v>11</v>
      </c>
      <c r="AP178" s="817"/>
      <c r="AQ178" s="817"/>
      <c r="AR178" s="817">
        <v>9</v>
      </c>
      <c r="AS178" s="817">
        <v>14</v>
      </c>
      <c r="AT178" s="817">
        <v>15</v>
      </c>
      <c r="AU178" s="817">
        <v>15</v>
      </c>
      <c r="AV178" s="817">
        <v>15</v>
      </c>
      <c r="AW178" s="817"/>
      <c r="AX178" s="817"/>
      <c r="AY178" s="817"/>
      <c r="AZ178" s="817"/>
      <c r="BA178" s="817"/>
      <c r="BB178" s="817">
        <v>12</v>
      </c>
      <c r="BC178" s="817"/>
      <c r="BD178" s="817">
        <v>12</v>
      </c>
      <c r="BE178" s="817">
        <v>8</v>
      </c>
      <c r="BF178" s="817">
        <v>14</v>
      </c>
      <c r="BG178" s="817"/>
      <c r="BH178" s="817"/>
      <c r="BI178" s="817">
        <v>9</v>
      </c>
      <c r="BJ178" s="817">
        <v>8</v>
      </c>
      <c r="BM178" s="817"/>
      <c r="BN178" s="817">
        <v>12</v>
      </c>
      <c r="BO178" s="817">
        <v>15</v>
      </c>
      <c r="BQ178" s="817"/>
      <c r="BR178" s="817">
        <v>9</v>
      </c>
      <c r="BS178" s="817"/>
      <c r="BT178" s="817"/>
      <c r="BU178" s="821">
        <v>10.96</v>
      </c>
    </row>
    <row r="179" spans="1:73" ht="29" x14ac:dyDescent="0.35">
      <c r="A179" s="806" t="s">
        <v>743</v>
      </c>
      <c r="B179" s="806" t="s">
        <v>837</v>
      </c>
      <c r="C179" s="827">
        <v>20</v>
      </c>
      <c r="D179" s="827">
        <v>20</v>
      </c>
      <c r="E179" s="827">
        <v>20</v>
      </c>
      <c r="G179" s="817">
        <v>20</v>
      </c>
      <c r="H179" s="817">
        <v>10</v>
      </c>
      <c r="I179" s="817"/>
      <c r="J179" s="817">
        <v>20</v>
      </c>
      <c r="K179" s="817"/>
      <c r="L179" s="817">
        <v>20</v>
      </c>
      <c r="M179" s="817">
        <v>16</v>
      </c>
      <c r="N179" s="817"/>
      <c r="O179" s="817">
        <v>18</v>
      </c>
      <c r="P179" s="817"/>
      <c r="Q179" s="817">
        <v>20</v>
      </c>
      <c r="R179" s="817"/>
      <c r="S179" s="817"/>
      <c r="T179" s="817">
        <v>20</v>
      </c>
      <c r="U179" s="817"/>
      <c r="V179" s="817"/>
      <c r="W179" s="817">
        <v>20</v>
      </c>
      <c r="X179" s="817">
        <v>16</v>
      </c>
      <c r="Y179" s="817">
        <v>20</v>
      </c>
      <c r="Z179" s="817">
        <v>20</v>
      </c>
      <c r="AA179" s="817">
        <v>20</v>
      </c>
      <c r="AC179" s="817"/>
      <c r="AD179" s="817">
        <v>20</v>
      </c>
      <c r="AE179" s="817"/>
      <c r="AF179" s="817">
        <v>20</v>
      </c>
      <c r="AG179" s="817"/>
      <c r="AH179" s="817">
        <v>20</v>
      </c>
      <c r="AI179" s="817">
        <v>20</v>
      </c>
      <c r="AJ179" s="817"/>
      <c r="AK179" s="817"/>
      <c r="AL179" s="817"/>
      <c r="AM179" s="817">
        <v>20</v>
      </c>
      <c r="AN179" s="817"/>
      <c r="AO179" s="817">
        <v>16</v>
      </c>
      <c r="AP179" s="817"/>
      <c r="AQ179" s="817"/>
      <c r="AR179" s="817">
        <v>20</v>
      </c>
      <c r="AS179" s="817">
        <v>8</v>
      </c>
      <c r="AT179" s="817">
        <v>20</v>
      </c>
      <c r="AU179" s="817">
        <v>14</v>
      </c>
      <c r="AV179" s="817">
        <v>20</v>
      </c>
      <c r="AW179" s="817"/>
      <c r="AX179" s="817"/>
      <c r="AY179" s="817"/>
      <c r="AZ179" s="817"/>
      <c r="BA179" s="817"/>
      <c r="BB179" s="817">
        <v>14</v>
      </c>
      <c r="BC179" s="817"/>
      <c r="BD179" s="817">
        <v>20</v>
      </c>
      <c r="BE179" s="817">
        <v>18</v>
      </c>
      <c r="BF179" s="817">
        <v>20</v>
      </c>
      <c r="BG179" s="817"/>
      <c r="BH179" s="817"/>
      <c r="BI179" s="817">
        <v>20</v>
      </c>
      <c r="BJ179" s="817">
        <v>20</v>
      </c>
      <c r="BM179" s="817"/>
      <c r="BN179" s="817">
        <v>16</v>
      </c>
      <c r="BO179" s="817">
        <v>14</v>
      </c>
      <c r="BQ179" s="817"/>
      <c r="BR179" s="817">
        <v>20</v>
      </c>
      <c r="BS179" s="817"/>
      <c r="BT179" s="817"/>
      <c r="BU179" s="817">
        <v>20</v>
      </c>
    </row>
    <row r="180" spans="1:73" ht="29" x14ac:dyDescent="0.35">
      <c r="A180" s="806" t="s">
        <v>743</v>
      </c>
      <c r="B180" s="806" t="s">
        <v>838</v>
      </c>
      <c r="C180" s="827">
        <v>5</v>
      </c>
      <c r="D180" s="827">
        <v>5</v>
      </c>
      <c r="E180" s="827">
        <v>5</v>
      </c>
      <c r="G180" s="817">
        <v>5</v>
      </c>
      <c r="H180" s="817">
        <v>0</v>
      </c>
      <c r="I180" s="817"/>
      <c r="J180" s="817">
        <v>5</v>
      </c>
      <c r="K180" s="817"/>
      <c r="L180" s="817">
        <v>3</v>
      </c>
      <c r="M180" s="817">
        <v>0</v>
      </c>
      <c r="N180" s="817"/>
      <c r="O180" s="817">
        <v>0</v>
      </c>
      <c r="P180" s="817"/>
      <c r="Q180" s="817">
        <v>5</v>
      </c>
      <c r="R180" s="817"/>
      <c r="S180" s="817"/>
      <c r="T180" s="817">
        <v>3</v>
      </c>
      <c r="U180" s="817"/>
      <c r="V180" s="817"/>
      <c r="W180" s="817">
        <v>5</v>
      </c>
      <c r="X180" s="817">
        <v>0</v>
      </c>
      <c r="Y180" s="817">
        <v>3</v>
      </c>
      <c r="Z180" s="817">
        <v>3</v>
      </c>
      <c r="AA180" s="833">
        <v>3.8</v>
      </c>
      <c r="AC180" s="817"/>
      <c r="AD180" s="817">
        <v>3</v>
      </c>
      <c r="AE180" s="817"/>
      <c r="AF180" s="817">
        <v>3</v>
      </c>
      <c r="AG180" s="817"/>
      <c r="AH180" s="817">
        <v>5</v>
      </c>
      <c r="AI180" s="817">
        <v>5</v>
      </c>
      <c r="AJ180" s="817"/>
      <c r="AK180" s="817"/>
      <c r="AL180" s="817"/>
      <c r="AM180" s="817">
        <v>3</v>
      </c>
      <c r="AN180" s="817"/>
      <c r="AO180" s="817">
        <v>0</v>
      </c>
      <c r="AP180" s="817"/>
      <c r="AQ180" s="817"/>
      <c r="AR180" s="817">
        <v>5</v>
      </c>
      <c r="AS180" s="817">
        <v>0</v>
      </c>
      <c r="AT180" s="817">
        <v>5</v>
      </c>
      <c r="AU180" s="817">
        <v>0</v>
      </c>
      <c r="AV180" s="817">
        <v>5</v>
      </c>
      <c r="AW180" s="817"/>
      <c r="AX180" s="817"/>
      <c r="AY180" s="817"/>
      <c r="AZ180" s="817"/>
      <c r="BA180" s="817"/>
      <c r="BB180" s="817">
        <v>0</v>
      </c>
      <c r="BC180" s="817"/>
      <c r="BD180" s="817">
        <v>5</v>
      </c>
      <c r="BE180" s="817">
        <v>0</v>
      </c>
      <c r="BF180" s="817">
        <v>5</v>
      </c>
      <c r="BG180" s="817"/>
      <c r="BH180" s="817"/>
      <c r="BI180" s="817">
        <v>0</v>
      </c>
      <c r="BJ180" s="817">
        <v>5</v>
      </c>
      <c r="BM180" s="817"/>
      <c r="BN180" s="817">
        <v>0</v>
      </c>
      <c r="BO180" s="817">
        <v>0</v>
      </c>
      <c r="BQ180" s="817"/>
      <c r="BR180" s="817">
        <v>5</v>
      </c>
      <c r="BS180" s="817"/>
      <c r="BT180" s="817"/>
      <c r="BU180" s="817">
        <v>5</v>
      </c>
    </row>
    <row r="181" spans="1:73" ht="29" x14ac:dyDescent="0.35">
      <c r="A181" s="806" t="s">
        <v>743</v>
      </c>
      <c r="B181" s="806" t="s">
        <v>839</v>
      </c>
      <c r="C181" s="827">
        <v>0</v>
      </c>
      <c r="D181" s="827">
        <v>0</v>
      </c>
      <c r="E181" s="827">
        <v>0</v>
      </c>
      <c r="G181" s="817">
        <v>0</v>
      </c>
      <c r="H181" s="817">
        <v>0</v>
      </c>
      <c r="I181" s="817"/>
      <c r="J181" s="817">
        <v>0</v>
      </c>
      <c r="K181" s="817"/>
      <c r="L181" s="817">
        <v>0</v>
      </c>
      <c r="M181" s="817">
        <v>0</v>
      </c>
      <c r="N181" s="817"/>
      <c r="O181" s="817">
        <v>0</v>
      </c>
      <c r="P181" s="817"/>
      <c r="Q181" s="817">
        <v>0</v>
      </c>
      <c r="R181" s="817"/>
      <c r="S181" s="817"/>
      <c r="T181" s="817">
        <v>0</v>
      </c>
      <c r="U181" s="817"/>
      <c r="V181" s="817"/>
      <c r="W181" s="817">
        <v>0</v>
      </c>
      <c r="X181" s="817">
        <v>0</v>
      </c>
      <c r="Y181" s="817">
        <v>0</v>
      </c>
      <c r="Z181" s="817">
        <v>0</v>
      </c>
      <c r="AA181" s="817">
        <v>0</v>
      </c>
      <c r="AC181" s="817"/>
      <c r="AD181" s="817">
        <v>0</v>
      </c>
      <c r="AE181" s="817"/>
      <c r="AF181" s="817">
        <v>0</v>
      </c>
      <c r="AG181" s="817"/>
      <c r="AH181" s="817">
        <v>0</v>
      </c>
      <c r="AI181" s="817">
        <v>0</v>
      </c>
      <c r="AJ181" s="817"/>
      <c r="AK181" s="817"/>
      <c r="AL181" s="817"/>
      <c r="AM181" s="817">
        <v>0</v>
      </c>
      <c r="AN181" s="817"/>
      <c r="AO181" s="817">
        <v>0</v>
      </c>
      <c r="AP181" s="817"/>
      <c r="AQ181" s="817"/>
      <c r="AR181" s="817">
        <v>0</v>
      </c>
      <c r="AS181" s="817">
        <v>0</v>
      </c>
      <c r="AT181" s="817">
        <v>0</v>
      </c>
      <c r="AU181" s="817">
        <v>0</v>
      </c>
      <c r="AV181" s="817">
        <v>0</v>
      </c>
      <c r="AW181" s="817"/>
      <c r="AX181" s="817"/>
      <c r="AY181" s="817"/>
      <c r="AZ181" s="817"/>
      <c r="BA181" s="817"/>
      <c r="BB181" s="817">
        <v>5</v>
      </c>
      <c r="BC181" s="817"/>
      <c r="BD181" s="817">
        <v>0</v>
      </c>
      <c r="BE181" s="817">
        <v>0</v>
      </c>
      <c r="BF181" s="817">
        <v>0</v>
      </c>
      <c r="BG181" s="817"/>
      <c r="BH181" s="817"/>
      <c r="BI181" s="817">
        <v>0</v>
      </c>
      <c r="BJ181" s="817">
        <v>0</v>
      </c>
      <c r="BM181" s="817"/>
      <c r="BN181" s="817">
        <v>0</v>
      </c>
      <c r="BO181" s="817">
        <v>0</v>
      </c>
      <c r="BQ181" s="817"/>
      <c r="BR181" s="817">
        <v>0</v>
      </c>
      <c r="BS181" s="817"/>
      <c r="BT181" s="817"/>
      <c r="BU181" s="817">
        <v>0</v>
      </c>
    </row>
    <row r="182" spans="1:73" ht="29" x14ac:dyDescent="0.35">
      <c r="A182" s="806" t="s">
        <v>743</v>
      </c>
      <c r="B182" s="806" t="s">
        <v>840</v>
      </c>
      <c r="C182" s="827">
        <v>0</v>
      </c>
      <c r="D182" s="827">
        <v>10</v>
      </c>
      <c r="E182" s="827">
        <v>0</v>
      </c>
      <c r="G182" s="817">
        <v>10</v>
      </c>
      <c r="H182" s="817">
        <v>10</v>
      </c>
      <c r="I182" s="817"/>
      <c r="J182" s="817">
        <v>0</v>
      </c>
      <c r="K182" s="817"/>
      <c r="L182" s="817">
        <v>10</v>
      </c>
      <c r="M182" s="817">
        <v>0</v>
      </c>
      <c r="N182" s="817"/>
      <c r="O182" s="817">
        <v>10</v>
      </c>
      <c r="P182" s="817"/>
      <c r="Q182" s="817">
        <v>0</v>
      </c>
      <c r="R182" s="817"/>
      <c r="S182" s="817"/>
      <c r="T182" s="817">
        <v>10</v>
      </c>
      <c r="U182" s="817"/>
      <c r="V182" s="817"/>
      <c r="W182" s="817">
        <v>10</v>
      </c>
      <c r="X182" s="817">
        <v>0</v>
      </c>
      <c r="Y182" s="817">
        <v>10</v>
      </c>
      <c r="Z182" s="817">
        <v>10</v>
      </c>
      <c r="AA182" s="817">
        <v>4</v>
      </c>
      <c r="AC182" s="817"/>
      <c r="AD182" s="817">
        <v>10</v>
      </c>
      <c r="AE182" s="817"/>
      <c r="AF182" s="817">
        <v>0</v>
      </c>
      <c r="AG182" s="817"/>
      <c r="AH182" s="817">
        <v>0</v>
      </c>
      <c r="AI182" s="817">
        <v>0</v>
      </c>
      <c r="AJ182" s="817"/>
      <c r="AK182" s="817"/>
      <c r="AL182" s="817"/>
      <c r="AM182" s="817">
        <v>0</v>
      </c>
      <c r="AN182" s="817"/>
      <c r="AO182" s="817">
        <v>10</v>
      </c>
      <c r="AP182" s="817"/>
      <c r="AQ182" s="817"/>
      <c r="AR182" s="817">
        <v>10</v>
      </c>
      <c r="AS182" s="817">
        <v>10</v>
      </c>
      <c r="AT182" s="817">
        <v>10</v>
      </c>
      <c r="AU182" s="817">
        <v>10</v>
      </c>
      <c r="AV182" s="817">
        <v>10</v>
      </c>
      <c r="AW182" s="817"/>
      <c r="AX182" s="817"/>
      <c r="AY182" s="817"/>
      <c r="AZ182" s="817"/>
      <c r="BA182" s="817"/>
      <c r="BB182" s="817">
        <v>10</v>
      </c>
      <c r="BC182" s="817"/>
      <c r="BD182" s="817">
        <v>10</v>
      </c>
      <c r="BE182" s="817">
        <v>0</v>
      </c>
      <c r="BF182" s="817">
        <v>10</v>
      </c>
      <c r="BG182" s="817"/>
      <c r="BH182" s="817"/>
      <c r="BI182" s="817">
        <v>10</v>
      </c>
      <c r="BJ182" s="817">
        <v>10</v>
      </c>
      <c r="BM182" s="817"/>
      <c r="BN182" s="817">
        <v>0</v>
      </c>
      <c r="BO182" s="817">
        <v>0</v>
      </c>
      <c r="BQ182" s="817"/>
      <c r="BR182" s="817">
        <v>10</v>
      </c>
      <c r="BS182" s="817"/>
      <c r="BT182" s="817"/>
      <c r="BU182" s="817">
        <v>0</v>
      </c>
    </row>
    <row r="183" spans="1:73" ht="29" x14ac:dyDescent="0.35">
      <c r="A183" s="807" t="s">
        <v>743</v>
      </c>
      <c r="B183" s="807" t="s">
        <v>748</v>
      </c>
      <c r="C183" s="825">
        <v>79</v>
      </c>
      <c r="D183" s="825">
        <v>89</v>
      </c>
      <c r="E183" s="825">
        <v>79</v>
      </c>
      <c r="F183" s="829"/>
      <c r="G183" s="819">
        <v>95</v>
      </c>
      <c r="H183" s="819">
        <v>62</v>
      </c>
      <c r="I183" s="819"/>
      <c r="J183" s="819">
        <v>59</v>
      </c>
      <c r="K183" s="819"/>
      <c r="L183" s="819">
        <v>93</v>
      </c>
      <c r="M183" s="819">
        <v>67</v>
      </c>
      <c r="N183" s="819"/>
      <c r="O183" s="819">
        <v>69</v>
      </c>
      <c r="P183" s="819"/>
      <c r="Q183" s="819">
        <v>85</v>
      </c>
      <c r="R183" s="819"/>
      <c r="S183" s="819"/>
      <c r="T183" s="819">
        <v>84</v>
      </c>
      <c r="U183" s="819"/>
      <c r="V183" s="819"/>
      <c r="W183" s="819">
        <v>90</v>
      </c>
      <c r="X183" s="819">
        <v>67</v>
      </c>
      <c r="Y183" s="819">
        <v>81</v>
      </c>
      <c r="Z183" s="819">
        <v>87</v>
      </c>
      <c r="AA183" s="832">
        <v>85.6</v>
      </c>
      <c r="AB183" s="834"/>
      <c r="AC183" s="819"/>
      <c r="AD183" s="819">
        <v>72</v>
      </c>
      <c r="AE183" s="819"/>
      <c r="AF183" s="819">
        <v>79</v>
      </c>
      <c r="AG183" s="819"/>
      <c r="AH183" s="819">
        <v>85</v>
      </c>
      <c r="AI183" s="819">
        <v>85</v>
      </c>
      <c r="AJ183" s="819"/>
      <c r="AK183" s="819"/>
      <c r="AL183" s="819"/>
      <c r="AM183" s="819">
        <v>75</v>
      </c>
      <c r="AN183" s="819"/>
      <c r="AO183" s="819">
        <v>77</v>
      </c>
      <c r="AP183" s="819"/>
      <c r="AQ183" s="819"/>
      <c r="AR183" s="819">
        <v>74</v>
      </c>
      <c r="AS183" s="819">
        <v>72</v>
      </c>
      <c r="AT183" s="819">
        <v>90</v>
      </c>
      <c r="AU183" s="819">
        <v>79</v>
      </c>
      <c r="AV183" s="819">
        <v>90</v>
      </c>
      <c r="AW183" s="819"/>
      <c r="AX183" s="819"/>
      <c r="AY183" s="819"/>
      <c r="AZ183" s="819"/>
      <c r="BA183" s="819"/>
      <c r="BB183" s="819">
        <v>81</v>
      </c>
      <c r="BC183" s="819"/>
      <c r="BD183" s="819">
        <v>87</v>
      </c>
      <c r="BE183" s="819">
        <v>66</v>
      </c>
      <c r="BF183" s="819">
        <v>94</v>
      </c>
      <c r="BG183" s="819"/>
      <c r="BH183" s="819"/>
      <c r="BI183" s="819">
        <v>79</v>
      </c>
      <c r="BJ183" s="819">
        <v>83</v>
      </c>
      <c r="BK183" s="819"/>
      <c r="BL183" s="807"/>
      <c r="BM183" s="819"/>
      <c r="BN183" s="819">
        <v>68</v>
      </c>
      <c r="BO183" s="819">
        <v>69</v>
      </c>
      <c r="BP183" s="835"/>
      <c r="BQ183" s="819"/>
      <c r="BR183" s="819">
        <v>89</v>
      </c>
      <c r="BS183" s="819"/>
      <c r="BT183" s="819"/>
      <c r="BU183" s="837">
        <v>80.959999999999994</v>
      </c>
    </row>
    <row r="184" spans="1:73" ht="43.5" x14ac:dyDescent="0.35">
      <c r="A184" s="812" t="s">
        <v>743</v>
      </c>
      <c r="B184" s="812" t="s">
        <v>749</v>
      </c>
      <c r="C184" s="826">
        <v>992250</v>
      </c>
      <c r="D184" s="826">
        <v>1322500</v>
      </c>
      <c r="E184" s="826">
        <v>2159500</v>
      </c>
      <c r="F184" s="830"/>
      <c r="G184" s="820">
        <v>2270400</v>
      </c>
      <c r="H184" s="820">
        <v>1041250</v>
      </c>
      <c r="I184" s="820"/>
      <c r="J184" s="820">
        <v>5000000</v>
      </c>
      <c r="K184" s="820"/>
      <c r="L184" s="820">
        <v>3000000</v>
      </c>
      <c r="M184" s="820">
        <v>3744250</v>
      </c>
      <c r="N184" s="820"/>
      <c r="O184" s="820">
        <v>600600</v>
      </c>
      <c r="P184" s="820"/>
      <c r="Q184" s="820">
        <v>5000000</v>
      </c>
      <c r="R184" s="820"/>
      <c r="S184" s="820"/>
      <c r="T184" s="820">
        <v>750000</v>
      </c>
      <c r="U184" s="820"/>
      <c r="V184" s="820"/>
      <c r="W184" s="820">
        <v>2500000</v>
      </c>
      <c r="X184" s="820">
        <v>2000000</v>
      </c>
      <c r="Y184" s="820">
        <v>1600000</v>
      </c>
      <c r="Z184" s="820">
        <v>138800</v>
      </c>
      <c r="AA184" s="820">
        <v>1000000</v>
      </c>
      <c r="AB184" s="831"/>
      <c r="AC184" s="820"/>
      <c r="AD184" s="820">
        <v>3300000</v>
      </c>
      <c r="AE184" s="820"/>
      <c r="AF184" s="820">
        <v>2057000</v>
      </c>
      <c r="AG184" s="820"/>
      <c r="AH184" s="820">
        <v>2863250</v>
      </c>
      <c r="AI184" s="820">
        <v>5000000</v>
      </c>
      <c r="AJ184" s="820"/>
      <c r="AK184" s="820"/>
      <c r="AL184" s="820"/>
      <c r="AM184" s="820">
        <v>4000000</v>
      </c>
      <c r="AN184" s="820"/>
      <c r="AO184" s="820">
        <v>5000000</v>
      </c>
      <c r="AP184" s="820"/>
      <c r="AQ184" s="820"/>
      <c r="AR184" s="820">
        <v>859250</v>
      </c>
      <c r="AS184" s="820">
        <v>1936000</v>
      </c>
      <c r="AT184" s="820">
        <v>1962250</v>
      </c>
      <c r="AU184" s="820">
        <v>2643000</v>
      </c>
      <c r="AV184" s="820">
        <v>2202500</v>
      </c>
      <c r="AW184" s="820"/>
      <c r="AX184" s="820"/>
      <c r="AY184" s="820"/>
      <c r="AZ184" s="820"/>
      <c r="BA184" s="820"/>
      <c r="BB184" s="820">
        <v>2015000</v>
      </c>
      <c r="BC184" s="820"/>
      <c r="BD184" s="820">
        <v>4999750</v>
      </c>
      <c r="BE184" s="820">
        <v>953920</v>
      </c>
      <c r="BF184" s="820">
        <v>2500000</v>
      </c>
      <c r="BG184" s="820"/>
      <c r="BH184" s="820"/>
      <c r="BI184" s="820">
        <v>3127904</v>
      </c>
      <c r="BJ184" s="820">
        <v>5000000</v>
      </c>
      <c r="BK184" s="831"/>
      <c r="BL184" s="812"/>
      <c r="BM184" s="820"/>
      <c r="BN184" s="820">
        <v>5000000</v>
      </c>
      <c r="BO184" s="820">
        <v>1982250</v>
      </c>
      <c r="BP184" s="836"/>
      <c r="BQ184" s="820"/>
      <c r="BR184" s="820">
        <v>579250</v>
      </c>
      <c r="BS184" s="820"/>
      <c r="BT184" s="820"/>
      <c r="BU184" s="820">
        <v>2934800</v>
      </c>
    </row>
    <row r="185" spans="1:73" ht="29" x14ac:dyDescent="0.35">
      <c r="A185" s="806" t="s">
        <v>743</v>
      </c>
      <c r="B185" s="806" t="s">
        <v>841</v>
      </c>
      <c r="C185" s="827">
        <v>5</v>
      </c>
      <c r="D185" s="827">
        <v>5</v>
      </c>
      <c r="E185" s="827">
        <v>5</v>
      </c>
      <c r="G185" s="817">
        <v>5</v>
      </c>
      <c r="H185" s="817">
        <v>0</v>
      </c>
      <c r="I185" s="817"/>
      <c r="J185" s="817">
        <v>5</v>
      </c>
      <c r="K185" s="817"/>
      <c r="L185" s="817">
        <v>5</v>
      </c>
      <c r="M185" s="817">
        <v>0</v>
      </c>
      <c r="N185" s="817"/>
      <c r="O185" s="817">
        <v>0</v>
      </c>
      <c r="P185" s="817"/>
      <c r="Q185" s="817">
        <v>5</v>
      </c>
      <c r="R185" s="817"/>
      <c r="S185" s="817"/>
      <c r="T185" s="817">
        <v>0</v>
      </c>
      <c r="U185" s="817"/>
      <c r="V185" s="817"/>
      <c r="W185" s="817">
        <v>0</v>
      </c>
      <c r="X185" s="817">
        <v>0</v>
      </c>
      <c r="Y185" s="817">
        <v>0</v>
      </c>
      <c r="Z185" s="817">
        <v>5</v>
      </c>
      <c r="AA185" s="817">
        <v>5</v>
      </c>
      <c r="AC185" s="817"/>
      <c r="AD185" s="817">
        <v>0</v>
      </c>
      <c r="AE185" s="817"/>
      <c r="AF185" s="817">
        <v>5</v>
      </c>
      <c r="AG185" s="817"/>
      <c r="AH185" s="817">
        <v>5</v>
      </c>
      <c r="AI185" s="817">
        <v>5</v>
      </c>
      <c r="AJ185" s="817"/>
      <c r="AK185" s="817"/>
      <c r="AL185" s="817"/>
      <c r="AM185" s="817">
        <v>0</v>
      </c>
      <c r="AN185" s="817"/>
      <c r="AO185" s="817">
        <v>0</v>
      </c>
      <c r="AP185" s="817"/>
      <c r="AQ185" s="817"/>
      <c r="AR185" s="817">
        <v>0</v>
      </c>
      <c r="AS185" s="817">
        <v>0</v>
      </c>
      <c r="AT185" s="817">
        <v>0</v>
      </c>
      <c r="AU185" s="817">
        <v>0</v>
      </c>
      <c r="AV185" s="817">
        <v>0</v>
      </c>
      <c r="AW185" s="817"/>
      <c r="AX185" s="817"/>
      <c r="AY185" s="817"/>
      <c r="AZ185" s="817"/>
      <c r="BA185" s="817"/>
      <c r="BB185" s="817">
        <v>0</v>
      </c>
      <c r="BC185" s="817"/>
      <c r="BD185" s="817">
        <v>0</v>
      </c>
      <c r="BE185" s="817">
        <v>0</v>
      </c>
      <c r="BF185" s="817">
        <v>5</v>
      </c>
      <c r="BG185" s="817"/>
      <c r="BH185" s="817"/>
      <c r="BI185" s="817">
        <v>0</v>
      </c>
      <c r="BJ185" s="817">
        <v>0</v>
      </c>
      <c r="BM185" s="817"/>
      <c r="BN185" s="817">
        <v>0</v>
      </c>
      <c r="BO185" s="817">
        <v>0</v>
      </c>
      <c r="BQ185" s="817"/>
      <c r="BR185" s="817">
        <v>5</v>
      </c>
      <c r="BS185" s="817"/>
      <c r="BT185" s="817"/>
      <c r="BU185" s="817">
        <v>5</v>
      </c>
    </row>
    <row r="186" spans="1:73" x14ac:dyDescent="0.35">
      <c r="A186" s="806" t="s">
        <v>743</v>
      </c>
      <c r="B186" s="806" t="s">
        <v>842</v>
      </c>
      <c r="C186" s="827">
        <v>900</v>
      </c>
      <c r="D186" s="827">
        <v>900</v>
      </c>
      <c r="E186" s="827">
        <v>900</v>
      </c>
      <c r="G186" s="817">
        <v>3000</v>
      </c>
      <c r="I186" s="817">
        <v>9999</v>
      </c>
      <c r="J186" s="817">
        <v>250</v>
      </c>
      <c r="K186" s="817">
        <v>2400</v>
      </c>
      <c r="L186" s="817">
        <v>9999</v>
      </c>
      <c r="M186" s="817">
        <v>0</v>
      </c>
      <c r="N186" s="817">
        <v>750</v>
      </c>
      <c r="O186" s="817"/>
      <c r="P186" s="817"/>
      <c r="Q186" s="817">
        <v>9999</v>
      </c>
      <c r="S186" s="817">
        <v>0</v>
      </c>
      <c r="T186" s="817">
        <v>0</v>
      </c>
      <c r="U186" s="817"/>
      <c r="V186" s="817"/>
      <c r="W186" s="817">
        <v>0</v>
      </c>
      <c r="X186" s="817">
        <v>0</v>
      </c>
      <c r="Y186" s="817"/>
      <c r="Z186" s="817">
        <v>0</v>
      </c>
      <c r="AA186" s="817">
        <v>1638</v>
      </c>
      <c r="AC186" s="817"/>
      <c r="AD186" s="817"/>
      <c r="AE186" s="817"/>
      <c r="AF186" s="817">
        <v>9999</v>
      </c>
      <c r="AG186" s="817">
        <v>0</v>
      </c>
      <c r="AH186" s="817">
        <v>2000</v>
      </c>
      <c r="AI186" s="817">
        <v>5250</v>
      </c>
      <c r="AJ186" s="817"/>
      <c r="AL186" s="817"/>
      <c r="AM186" s="817">
        <v>0</v>
      </c>
      <c r="AN186" s="817">
        <v>7000</v>
      </c>
      <c r="AP186" s="817"/>
      <c r="AQ186" s="817"/>
      <c r="AR186" s="817">
        <v>0</v>
      </c>
      <c r="AS186" s="817"/>
      <c r="AT186" s="817"/>
      <c r="AU186" s="817"/>
      <c r="AV186" s="817"/>
      <c r="AW186" s="817"/>
      <c r="AX186" s="817"/>
      <c r="AY186" s="817"/>
      <c r="AZ186" s="817"/>
      <c r="BA186" s="817"/>
      <c r="BC186" s="817"/>
      <c r="BD186" s="817">
        <v>0</v>
      </c>
      <c r="BE186" s="817">
        <v>0</v>
      </c>
      <c r="BF186" s="817">
        <v>9800</v>
      </c>
      <c r="BG186" s="817"/>
      <c r="BH186" s="817"/>
      <c r="BI186" s="817">
        <v>0</v>
      </c>
      <c r="BJ186" s="817">
        <v>0</v>
      </c>
      <c r="BM186" s="817"/>
      <c r="BN186" s="817">
        <v>0</v>
      </c>
      <c r="BO186" s="817"/>
      <c r="BQ186" s="817"/>
      <c r="BR186" s="817">
        <v>9999</v>
      </c>
      <c r="BS186" s="817"/>
      <c r="BT186" s="817"/>
      <c r="BU186" s="817">
        <v>0</v>
      </c>
    </row>
    <row r="187" spans="1:73" x14ac:dyDescent="0.35">
      <c r="A187" s="806" t="s">
        <v>743</v>
      </c>
      <c r="B187" s="806" t="s">
        <v>843</v>
      </c>
      <c r="G187" s="817">
        <v>1920</v>
      </c>
      <c r="I187" s="817">
        <v>3500</v>
      </c>
      <c r="J187" s="817">
        <v>200</v>
      </c>
      <c r="K187" s="817">
        <v>120</v>
      </c>
      <c r="L187" s="817">
        <v>2000</v>
      </c>
      <c r="M187" s="817">
        <v>0</v>
      </c>
      <c r="N187" s="817">
        <v>80</v>
      </c>
      <c r="O187" s="817"/>
      <c r="P187" s="817"/>
      <c r="Q187" s="817"/>
      <c r="S187" s="817">
        <v>0</v>
      </c>
      <c r="T187" s="817">
        <v>0</v>
      </c>
      <c r="U187" s="817"/>
      <c r="V187" s="817"/>
      <c r="W187" s="817">
        <v>0</v>
      </c>
      <c r="X187" s="817">
        <v>0</v>
      </c>
      <c r="Y187" s="817"/>
      <c r="Z187" s="817">
        <v>0</v>
      </c>
      <c r="AA187" s="817">
        <v>0</v>
      </c>
      <c r="AC187" s="817"/>
      <c r="AD187" s="817"/>
      <c r="AE187" s="817"/>
      <c r="AF187" s="817">
        <v>0</v>
      </c>
      <c r="AG187" s="817">
        <v>0</v>
      </c>
      <c r="AI187" s="817">
        <v>5500</v>
      </c>
      <c r="AJ187" s="817"/>
      <c r="AL187" s="817"/>
      <c r="AM187" s="817">
        <v>0</v>
      </c>
      <c r="AN187" s="817">
        <v>200</v>
      </c>
      <c r="AP187" s="817"/>
      <c r="AQ187" s="817"/>
      <c r="AR187" s="817">
        <v>0</v>
      </c>
      <c r="AS187" s="817"/>
      <c r="AT187" s="817"/>
      <c r="AU187" s="817"/>
      <c r="AV187" s="817"/>
      <c r="AW187" s="817"/>
      <c r="AX187" s="817"/>
      <c r="AY187" s="817"/>
      <c r="AZ187" s="817"/>
      <c r="BA187" s="817"/>
      <c r="BC187" s="817"/>
      <c r="BD187" s="817">
        <v>0</v>
      </c>
      <c r="BE187" s="817">
        <v>0</v>
      </c>
      <c r="BF187" s="817">
        <v>446</v>
      </c>
      <c r="BG187" s="817"/>
      <c r="BH187" s="817"/>
      <c r="BI187" s="817">
        <v>0</v>
      </c>
      <c r="BJ187" s="817">
        <v>0</v>
      </c>
      <c r="BM187" s="817"/>
      <c r="BN187" s="817">
        <v>0</v>
      </c>
      <c r="BO187" s="817"/>
      <c r="BQ187" s="817"/>
      <c r="BR187" s="817">
        <v>0</v>
      </c>
      <c r="BS187" s="817"/>
      <c r="BT187" s="817"/>
      <c r="BU187" s="817">
        <v>480</v>
      </c>
    </row>
    <row r="188" spans="1:73" ht="29" x14ac:dyDescent="0.35">
      <c r="A188" s="806" t="s">
        <v>743</v>
      </c>
      <c r="B188" s="806" t="s">
        <v>844</v>
      </c>
      <c r="C188" s="19"/>
      <c r="D188" s="19" t="s">
        <v>198</v>
      </c>
      <c r="E188" s="19"/>
      <c r="G188" s="816" t="s">
        <v>198</v>
      </c>
      <c r="H188" s="816" t="s">
        <v>198</v>
      </c>
      <c r="I188" s="816"/>
      <c r="J188" s="816"/>
      <c r="K188" s="816" t="s">
        <v>198</v>
      </c>
      <c r="L188" s="816" t="s">
        <v>198</v>
      </c>
      <c r="M188" s="816"/>
      <c r="N188" s="816" t="s">
        <v>198</v>
      </c>
      <c r="O188" s="816" t="s">
        <v>198</v>
      </c>
      <c r="P188" s="816"/>
      <c r="Q188" s="816"/>
      <c r="R188" s="816"/>
      <c r="S188" s="816" t="s">
        <v>198</v>
      </c>
      <c r="T188" s="816" t="s">
        <v>198</v>
      </c>
      <c r="U188" s="816"/>
      <c r="V188" s="816"/>
      <c r="W188" s="816" t="s">
        <v>198</v>
      </c>
      <c r="X188" s="816"/>
      <c r="Y188" s="816" t="s">
        <v>198</v>
      </c>
      <c r="Z188" s="816" t="s">
        <v>198</v>
      </c>
      <c r="AA188" s="816" t="s">
        <v>198</v>
      </c>
      <c r="AC188" s="816" t="s">
        <v>198</v>
      </c>
      <c r="AD188" s="816" t="s">
        <v>198</v>
      </c>
      <c r="AE188" s="816"/>
      <c r="AF188" s="816"/>
      <c r="AG188" s="816" t="s">
        <v>198</v>
      </c>
      <c r="AH188" s="816"/>
      <c r="AI188" s="816"/>
      <c r="AJ188" s="816"/>
      <c r="AK188" s="816"/>
      <c r="AL188" s="816"/>
      <c r="AM188" s="816"/>
      <c r="AN188" s="816"/>
      <c r="AO188" s="816" t="s">
        <v>198</v>
      </c>
      <c r="AP188" s="816"/>
      <c r="AQ188" s="816" t="s">
        <v>198</v>
      </c>
      <c r="AR188" s="816" t="s">
        <v>198</v>
      </c>
      <c r="AS188" s="816"/>
      <c r="AT188" s="816" t="s">
        <v>198</v>
      </c>
      <c r="AU188" s="816" t="s">
        <v>198</v>
      </c>
      <c r="AV188" s="816" t="s">
        <v>198</v>
      </c>
      <c r="AW188" s="816"/>
      <c r="AX188" s="816"/>
      <c r="AY188" s="816" t="s">
        <v>198</v>
      </c>
      <c r="AZ188" s="816"/>
      <c r="BA188" s="816"/>
      <c r="BB188" s="816" t="s">
        <v>198</v>
      </c>
      <c r="BC188" s="816"/>
      <c r="BD188" s="816" t="s">
        <v>198</v>
      </c>
      <c r="BE188" s="816"/>
      <c r="BF188" s="816"/>
      <c r="BG188" s="816"/>
      <c r="BH188" s="816"/>
      <c r="BI188" s="816" t="s">
        <v>198</v>
      </c>
      <c r="BJ188" s="816" t="s">
        <v>198</v>
      </c>
      <c r="BM188" s="816"/>
      <c r="BN188" s="816"/>
      <c r="BO188" s="816"/>
      <c r="BQ188" s="816"/>
      <c r="BR188" s="816"/>
      <c r="BS188" s="816" t="s">
        <v>198</v>
      </c>
      <c r="BT188" s="816"/>
      <c r="BU188" s="816"/>
    </row>
    <row r="189" spans="1:73" ht="29" x14ac:dyDescent="0.35">
      <c r="A189" s="806" t="s">
        <v>743</v>
      </c>
      <c r="B189" s="806" t="s">
        <v>845</v>
      </c>
      <c r="C189" s="19" t="s">
        <v>198</v>
      </c>
      <c r="D189" s="19" t="s">
        <v>198</v>
      </c>
      <c r="E189" s="19" t="s">
        <v>198</v>
      </c>
      <c r="G189" s="816" t="s">
        <v>198</v>
      </c>
      <c r="H189" s="816"/>
      <c r="I189" s="816" t="s">
        <v>198</v>
      </c>
      <c r="J189" s="816" t="s">
        <v>198</v>
      </c>
      <c r="K189" s="816" t="s">
        <v>198</v>
      </c>
      <c r="L189" s="816" t="s">
        <v>198</v>
      </c>
      <c r="M189" s="816"/>
      <c r="N189" s="816" t="s">
        <v>198</v>
      </c>
      <c r="O189" s="816"/>
      <c r="P189" s="816"/>
      <c r="Q189" s="816" t="s">
        <v>198</v>
      </c>
      <c r="R189" s="816"/>
      <c r="S189" s="816"/>
      <c r="T189" s="816"/>
      <c r="U189" s="816"/>
      <c r="V189" s="816"/>
      <c r="W189" s="816"/>
      <c r="X189" s="816"/>
      <c r="Y189" s="816"/>
      <c r="Z189" s="816" t="s">
        <v>198</v>
      </c>
      <c r="AA189" s="816" t="s">
        <v>198</v>
      </c>
      <c r="AC189" s="816" t="s">
        <v>198</v>
      </c>
      <c r="AD189" s="816"/>
      <c r="AE189" s="816"/>
      <c r="AF189" s="816" t="s">
        <v>198</v>
      </c>
      <c r="AG189" s="816"/>
      <c r="AH189" s="816" t="s">
        <v>198</v>
      </c>
      <c r="AI189" s="816" t="s">
        <v>198</v>
      </c>
      <c r="AJ189" s="816"/>
      <c r="AK189" s="816"/>
      <c r="AL189" s="816"/>
      <c r="AM189" s="816"/>
      <c r="AN189" s="816"/>
      <c r="AO189" s="816"/>
      <c r="AP189" s="816"/>
      <c r="AQ189" s="816"/>
      <c r="AR189" s="816"/>
      <c r="AS189" s="816"/>
      <c r="AT189" s="816"/>
      <c r="AU189" s="816"/>
      <c r="AV189" s="816"/>
      <c r="AW189" s="816"/>
      <c r="AX189" s="816"/>
      <c r="AY189" s="816"/>
      <c r="AZ189" s="816"/>
      <c r="BA189" s="816"/>
      <c r="BB189" s="816"/>
      <c r="BC189" s="816"/>
      <c r="BD189" s="816"/>
      <c r="BE189" s="816"/>
      <c r="BF189" s="816"/>
      <c r="BG189" s="816"/>
      <c r="BH189" s="816"/>
      <c r="BI189" s="816"/>
      <c r="BJ189" s="816"/>
      <c r="BM189" s="816"/>
      <c r="BN189" s="816"/>
      <c r="BO189" s="816"/>
      <c r="BQ189" s="816"/>
      <c r="BR189" s="816" t="s">
        <v>198</v>
      </c>
      <c r="BS189" s="816"/>
      <c r="BT189" s="816"/>
      <c r="BU189" s="816" t="s">
        <v>198</v>
      </c>
    </row>
    <row r="190" spans="1:73" ht="29" x14ac:dyDescent="0.35">
      <c r="A190" s="806" t="s">
        <v>743</v>
      </c>
      <c r="B190" s="806" t="s">
        <v>846</v>
      </c>
      <c r="C190" s="19" t="s">
        <v>198</v>
      </c>
      <c r="D190" s="19" t="s">
        <v>198</v>
      </c>
      <c r="E190" s="19" t="s">
        <v>198</v>
      </c>
      <c r="G190" s="816" t="s">
        <v>198</v>
      </c>
      <c r="H190" s="816"/>
      <c r="I190" s="816" t="s">
        <v>198</v>
      </c>
      <c r="J190" s="816" t="s">
        <v>198</v>
      </c>
      <c r="K190" s="816" t="s">
        <v>198</v>
      </c>
      <c r="L190" s="816" t="s">
        <v>198</v>
      </c>
      <c r="M190" s="816"/>
      <c r="N190" s="816" t="s">
        <v>198</v>
      </c>
      <c r="O190" s="816"/>
      <c r="P190" s="816"/>
      <c r="Q190" s="816" t="s">
        <v>198</v>
      </c>
      <c r="R190" s="816"/>
      <c r="S190" s="816"/>
      <c r="T190" s="816"/>
      <c r="U190" s="816"/>
      <c r="V190" s="816"/>
      <c r="W190" s="816"/>
      <c r="X190" s="816"/>
      <c r="Y190" s="816"/>
      <c r="Z190" s="816" t="s">
        <v>198</v>
      </c>
      <c r="AA190" s="816" t="s">
        <v>198</v>
      </c>
      <c r="AC190" s="816" t="s">
        <v>198</v>
      </c>
      <c r="AD190" s="816"/>
      <c r="AE190" s="816"/>
      <c r="AF190" s="816" t="s">
        <v>198</v>
      </c>
      <c r="AG190" s="816"/>
      <c r="AH190" s="816" t="s">
        <v>198</v>
      </c>
      <c r="AI190" s="816" t="s">
        <v>198</v>
      </c>
      <c r="AJ190" s="816"/>
      <c r="AK190" s="816"/>
      <c r="AL190" s="816"/>
      <c r="AM190" s="816"/>
      <c r="AN190" s="816"/>
      <c r="AO190" s="816"/>
      <c r="AP190" s="816"/>
      <c r="AQ190" s="816"/>
      <c r="AR190" s="816"/>
      <c r="AS190" s="816"/>
      <c r="AT190" s="816"/>
      <c r="AU190" s="816"/>
      <c r="AV190" s="816"/>
      <c r="AW190" s="816"/>
      <c r="AX190" s="816"/>
      <c r="AY190" s="816"/>
      <c r="AZ190" s="816"/>
      <c r="BA190" s="816"/>
      <c r="BB190" s="816"/>
      <c r="BC190" s="816"/>
      <c r="BD190" s="816"/>
      <c r="BE190" s="816"/>
      <c r="BF190" s="816"/>
      <c r="BG190" s="816"/>
      <c r="BH190" s="816"/>
      <c r="BI190" s="816"/>
      <c r="BJ190" s="816"/>
      <c r="BM190" s="816"/>
      <c r="BN190" s="816"/>
      <c r="BO190" s="816"/>
      <c r="BQ190" s="816"/>
      <c r="BR190" s="816" t="s">
        <v>198</v>
      </c>
      <c r="BS190" s="816"/>
      <c r="BT190" s="816"/>
      <c r="BU190" s="816" t="s">
        <v>198</v>
      </c>
    </row>
    <row r="191" spans="1:73" x14ac:dyDescent="0.35">
      <c r="A191" s="806" t="s">
        <v>743</v>
      </c>
      <c r="B191" s="806" t="s">
        <v>847</v>
      </c>
      <c r="C191" s="19" t="s">
        <v>198</v>
      </c>
      <c r="D191" s="19" t="s">
        <v>198</v>
      </c>
      <c r="E191" s="19" t="s">
        <v>198</v>
      </c>
      <c r="G191" s="816" t="s">
        <v>198</v>
      </c>
      <c r="H191" s="816"/>
      <c r="I191" s="816" t="s">
        <v>198</v>
      </c>
      <c r="J191" s="816" t="s">
        <v>198</v>
      </c>
      <c r="K191" s="816" t="s">
        <v>503</v>
      </c>
      <c r="L191" s="816" t="s">
        <v>198</v>
      </c>
      <c r="M191" s="816"/>
      <c r="N191" s="816" t="s">
        <v>198</v>
      </c>
      <c r="O191" s="816"/>
      <c r="P191" s="816"/>
      <c r="Q191" s="816" t="s">
        <v>198</v>
      </c>
      <c r="R191" s="816"/>
      <c r="S191" s="816"/>
      <c r="T191" s="816"/>
      <c r="U191" s="816"/>
      <c r="V191" s="816"/>
      <c r="W191" s="816"/>
      <c r="X191" s="816"/>
      <c r="Y191" s="816"/>
      <c r="Z191" s="816" t="s">
        <v>198</v>
      </c>
      <c r="AA191" s="816" t="s">
        <v>198</v>
      </c>
      <c r="AC191" s="816" t="s">
        <v>198</v>
      </c>
      <c r="AD191" s="816"/>
      <c r="AE191" s="816"/>
      <c r="AF191" s="816" t="s">
        <v>198</v>
      </c>
      <c r="AG191" s="816"/>
      <c r="AH191" s="816" t="s">
        <v>198</v>
      </c>
      <c r="AI191" s="816" t="s">
        <v>198</v>
      </c>
      <c r="AJ191" s="816"/>
      <c r="AK191" s="816"/>
      <c r="AL191" s="816"/>
      <c r="AM191" s="816"/>
      <c r="AN191" s="816"/>
      <c r="AO191" s="816"/>
      <c r="AP191" s="816"/>
      <c r="AQ191" s="816"/>
      <c r="AR191" s="816"/>
      <c r="AS191" s="816"/>
      <c r="AT191" s="816"/>
      <c r="AU191" s="816"/>
      <c r="AV191" s="816"/>
      <c r="AW191" s="816"/>
      <c r="AX191" s="816"/>
      <c r="AY191" s="816"/>
      <c r="AZ191" s="816"/>
      <c r="BA191" s="816"/>
      <c r="BB191" s="816"/>
      <c r="BC191" s="816"/>
      <c r="BD191" s="816"/>
      <c r="BE191" s="816"/>
      <c r="BF191" s="816"/>
      <c r="BG191" s="816"/>
      <c r="BH191" s="816"/>
      <c r="BI191" s="816"/>
      <c r="BJ191" s="816"/>
      <c r="BM191" s="816"/>
      <c r="BN191" s="816"/>
      <c r="BO191" s="816"/>
      <c r="BQ191" s="816"/>
      <c r="BR191" s="816" t="s">
        <v>198</v>
      </c>
      <c r="BS191" s="816"/>
      <c r="BT191" s="816"/>
      <c r="BU191" s="816" t="s">
        <v>198</v>
      </c>
    </row>
    <row r="192" spans="1:73" ht="29" x14ac:dyDescent="0.35">
      <c r="A192" s="806" t="s">
        <v>743</v>
      </c>
      <c r="B192" s="806" t="s">
        <v>848</v>
      </c>
      <c r="C192" s="19" t="s">
        <v>198</v>
      </c>
      <c r="D192" s="19" t="s">
        <v>198</v>
      </c>
      <c r="E192" s="19" t="s">
        <v>198</v>
      </c>
      <c r="G192" s="816" t="s">
        <v>198</v>
      </c>
      <c r="H192" s="816"/>
      <c r="I192" s="816" t="s">
        <v>198</v>
      </c>
      <c r="J192" s="816" t="s">
        <v>198</v>
      </c>
      <c r="K192" s="816" t="s">
        <v>198</v>
      </c>
      <c r="L192" s="816" t="s">
        <v>198</v>
      </c>
      <c r="M192" s="816"/>
      <c r="N192" s="816" t="s">
        <v>198</v>
      </c>
      <c r="O192" s="816"/>
      <c r="P192" s="816"/>
      <c r="Q192" s="816" t="s">
        <v>198</v>
      </c>
      <c r="R192" s="816"/>
      <c r="S192" s="816"/>
      <c r="T192" s="816"/>
      <c r="U192" s="816"/>
      <c r="V192" s="816"/>
      <c r="W192" s="816"/>
      <c r="X192" s="816"/>
      <c r="Y192" s="816"/>
      <c r="Z192" s="816" t="s">
        <v>198</v>
      </c>
      <c r="AA192" s="816" t="s">
        <v>198</v>
      </c>
      <c r="AC192" s="816" t="s">
        <v>198</v>
      </c>
      <c r="AD192" s="816"/>
      <c r="AE192" s="816"/>
      <c r="AF192" s="816" t="s">
        <v>198</v>
      </c>
      <c r="AG192" s="816"/>
      <c r="AH192" s="816" t="s">
        <v>198</v>
      </c>
      <c r="AI192" s="816" t="s">
        <v>198</v>
      </c>
      <c r="AJ192" s="816"/>
      <c r="AK192" s="816"/>
      <c r="AL192" s="816"/>
      <c r="AM192" s="816"/>
      <c r="AN192" s="816"/>
      <c r="AO192" s="816"/>
      <c r="AP192" s="816"/>
      <c r="AQ192" s="816"/>
      <c r="AR192" s="816"/>
      <c r="AS192" s="816"/>
      <c r="AT192" s="816"/>
      <c r="AU192" s="816"/>
      <c r="AV192" s="816"/>
      <c r="AW192" s="816"/>
      <c r="AX192" s="816"/>
      <c r="AY192" s="816"/>
      <c r="AZ192" s="816"/>
      <c r="BA192" s="816"/>
      <c r="BB192" s="816"/>
      <c r="BC192" s="816"/>
      <c r="BD192" s="816"/>
      <c r="BE192" s="816"/>
      <c r="BF192" s="816"/>
      <c r="BG192" s="816"/>
      <c r="BH192" s="816"/>
      <c r="BI192" s="816"/>
      <c r="BJ192" s="816"/>
      <c r="BM192" s="816"/>
      <c r="BN192" s="816"/>
      <c r="BO192" s="816"/>
      <c r="BQ192" s="816"/>
      <c r="BR192" s="816" t="s">
        <v>198</v>
      </c>
      <c r="BS192" s="816"/>
      <c r="BT192" s="816"/>
      <c r="BU192" s="816" t="s">
        <v>198</v>
      </c>
    </row>
    <row r="193" spans="1:73" ht="29" x14ac:dyDescent="0.35">
      <c r="A193" s="806" t="s">
        <v>743</v>
      </c>
      <c r="B193" s="806" t="s">
        <v>849</v>
      </c>
      <c r="C193" s="19" t="s">
        <v>198</v>
      </c>
      <c r="D193" s="19" t="s">
        <v>198</v>
      </c>
      <c r="E193" s="19" t="s">
        <v>198</v>
      </c>
      <c r="G193" s="816" t="s">
        <v>198</v>
      </c>
      <c r="H193" s="816"/>
      <c r="I193" s="816" t="s">
        <v>198</v>
      </c>
      <c r="J193" s="816" t="s">
        <v>198</v>
      </c>
      <c r="K193" s="816" t="s">
        <v>198</v>
      </c>
      <c r="L193" s="816" t="s">
        <v>198</v>
      </c>
      <c r="M193" s="816"/>
      <c r="N193" s="816" t="s">
        <v>198</v>
      </c>
      <c r="O193" s="816"/>
      <c r="P193" s="816"/>
      <c r="Q193" s="816" t="s">
        <v>198</v>
      </c>
      <c r="R193" s="816"/>
      <c r="S193" s="816"/>
      <c r="T193" s="816"/>
      <c r="U193" s="816"/>
      <c r="V193" s="816"/>
      <c r="W193" s="816"/>
      <c r="X193" s="816"/>
      <c r="Y193" s="816"/>
      <c r="Z193" s="816" t="s">
        <v>198</v>
      </c>
      <c r="AA193" s="816" t="s">
        <v>198</v>
      </c>
      <c r="AC193" s="816" t="s">
        <v>198</v>
      </c>
      <c r="AD193" s="816"/>
      <c r="AE193" s="816"/>
      <c r="AF193" s="816" t="s">
        <v>198</v>
      </c>
      <c r="AG193" s="816"/>
      <c r="AH193" s="816" t="s">
        <v>198</v>
      </c>
      <c r="AI193" s="816" t="s">
        <v>198</v>
      </c>
      <c r="AJ193" s="816"/>
      <c r="AK193" s="816"/>
      <c r="AL193" s="816"/>
      <c r="AM193" s="816"/>
      <c r="AN193" s="816"/>
      <c r="AO193" s="816"/>
      <c r="AP193" s="816"/>
      <c r="AQ193" s="816"/>
      <c r="AR193" s="816"/>
      <c r="AS193" s="816"/>
      <c r="AT193" s="816"/>
      <c r="AU193" s="816"/>
      <c r="AV193" s="816"/>
      <c r="AW193" s="816"/>
      <c r="AX193" s="816"/>
      <c r="AY193" s="816"/>
      <c r="AZ193" s="816"/>
      <c r="BA193" s="816"/>
      <c r="BB193" s="816"/>
      <c r="BC193" s="816"/>
      <c r="BD193" s="816"/>
      <c r="BE193" s="816"/>
      <c r="BF193" s="816"/>
      <c r="BG193" s="816"/>
      <c r="BH193" s="816"/>
      <c r="BI193" s="816"/>
      <c r="BJ193" s="816"/>
      <c r="BM193" s="816"/>
      <c r="BN193" s="816"/>
      <c r="BO193" s="816"/>
      <c r="BQ193" s="816"/>
      <c r="BR193" s="816" t="s">
        <v>198</v>
      </c>
      <c r="BS193" s="816"/>
      <c r="BT193" s="816"/>
      <c r="BU193" s="816" t="s">
        <v>198</v>
      </c>
    </row>
    <row r="194" spans="1:73" x14ac:dyDescent="0.35">
      <c r="A194" s="806" t="s">
        <v>743</v>
      </c>
      <c r="B194" s="806" t="s">
        <v>896</v>
      </c>
      <c r="C194" s="19" t="s">
        <v>198</v>
      </c>
      <c r="D194" s="19" t="s">
        <v>198</v>
      </c>
      <c r="E194" s="19" t="s">
        <v>198</v>
      </c>
      <c r="H194" s="816"/>
      <c r="I194" s="816"/>
      <c r="J194" s="816" t="s">
        <v>198</v>
      </c>
      <c r="K194" s="816"/>
      <c r="L194" s="816"/>
      <c r="M194" s="816"/>
      <c r="N194" s="816"/>
      <c r="O194" s="816"/>
      <c r="P194" s="816"/>
      <c r="Q194" s="816" t="s">
        <v>198</v>
      </c>
      <c r="S194" s="816"/>
      <c r="T194" s="816"/>
      <c r="U194" s="816"/>
      <c r="V194" s="816"/>
      <c r="W194" s="816" t="s">
        <v>198</v>
      </c>
      <c r="X194" s="816"/>
      <c r="Y194" s="816"/>
      <c r="Z194" s="816"/>
      <c r="AA194" s="816" t="s">
        <v>198</v>
      </c>
      <c r="AC194" s="816"/>
      <c r="AD194" s="816"/>
      <c r="AE194" s="816"/>
      <c r="AF194" s="816"/>
      <c r="AG194" s="816"/>
      <c r="AH194" s="816" t="s">
        <v>198</v>
      </c>
      <c r="AI194" s="816" t="s">
        <v>198</v>
      </c>
      <c r="AJ194" s="816"/>
      <c r="AL194" s="816"/>
      <c r="AM194" s="816"/>
      <c r="AN194" s="816"/>
      <c r="AO194" s="816"/>
      <c r="AP194" s="816"/>
      <c r="AQ194" s="816" t="s">
        <v>198</v>
      </c>
      <c r="AR194" s="816" t="s">
        <v>198</v>
      </c>
      <c r="AS194" s="816"/>
      <c r="AT194" s="816" t="s">
        <v>198</v>
      </c>
      <c r="AU194" s="816"/>
      <c r="AV194" s="816" t="s">
        <v>198</v>
      </c>
      <c r="AX194" s="816"/>
      <c r="AY194" s="816" t="s">
        <v>198</v>
      </c>
      <c r="AZ194" s="816"/>
      <c r="BA194" s="816"/>
      <c r="BB194" s="816"/>
      <c r="BC194" s="816"/>
      <c r="BD194" s="816" t="s">
        <v>198</v>
      </c>
      <c r="BE194" s="816"/>
      <c r="BF194" s="816"/>
      <c r="BG194" s="816"/>
      <c r="BH194" s="816"/>
      <c r="BI194" s="816"/>
      <c r="BJ194" s="816" t="s">
        <v>198</v>
      </c>
      <c r="BM194" s="816"/>
      <c r="BN194" s="816"/>
      <c r="BO194" s="816"/>
      <c r="BQ194" s="816"/>
      <c r="BR194" s="816"/>
      <c r="BS194" s="816" t="s">
        <v>198</v>
      </c>
      <c r="BT194" s="816"/>
      <c r="BU194" s="816" t="s">
        <v>198</v>
      </c>
    </row>
    <row r="195" spans="1:73" ht="29" x14ac:dyDescent="0.35">
      <c r="A195" s="806" t="s">
        <v>757</v>
      </c>
      <c r="B195" s="806" t="s">
        <v>1632</v>
      </c>
      <c r="C195" s="806"/>
      <c r="D195" s="806"/>
      <c r="E195" s="806"/>
      <c r="F195" s="806"/>
      <c r="H195" s="816" t="s">
        <v>198</v>
      </c>
      <c r="I195" s="816"/>
      <c r="K195" s="816" t="s">
        <v>198</v>
      </c>
      <c r="L195" s="816" t="s">
        <v>198</v>
      </c>
      <c r="M195" s="816"/>
      <c r="N195" s="816" t="s">
        <v>198</v>
      </c>
      <c r="O195" s="816"/>
      <c r="P195" s="816" t="s">
        <v>198</v>
      </c>
      <c r="Q195" s="816"/>
      <c r="R195" s="816" t="s">
        <v>198</v>
      </c>
      <c r="S195" s="816" t="s">
        <v>198</v>
      </c>
      <c r="T195" s="816"/>
      <c r="U195" s="816" t="s">
        <v>198</v>
      </c>
      <c r="V195" s="816"/>
      <c r="W195" s="816"/>
      <c r="X195" s="816"/>
      <c r="Y195" s="816" t="s">
        <v>198</v>
      </c>
      <c r="Z195" s="816"/>
      <c r="AA195" s="816" t="s">
        <v>198</v>
      </c>
      <c r="AC195" s="816"/>
      <c r="AD195" s="816"/>
      <c r="AE195" s="816" t="s">
        <v>198</v>
      </c>
      <c r="AF195" s="816" t="s">
        <v>198</v>
      </c>
      <c r="AG195" s="816" t="s">
        <v>198</v>
      </c>
      <c r="AH195" s="816" t="s">
        <v>198</v>
      </c>
      <c r="AI195" s="816"/>
      <c r="AJ195" s="816" t="s">
        <v>198</v>
      </c>
      <c r="AK195" s="816" t="s">
        <v>198</v>
      </c>
      <c r="AL195" s="816" t="s">
        <v>198</v>
      </c>
      <c r="AM195" s="816" t="s">
        <v>198</v>
      </c>
      <c r="AP195" s="816" t="s">
        <v>198</v>
      </c>
      <c r="AQ195" s="816"/>
      <c r="AR195" s="816" t="s">
        <v>198</v>
      </c>
      <c r="AS195" s="816" t="s">
        <v>198</v>
      </c>
      <c r="AT195" s="816" t="s">
        <v>198</v>
      </c>
      <c r="AU195" s="816" t="s">
        <v>198</v>
      </c>
      <c r="AV195" s="816" t="s">
        <v>198</v>
      </c>
      <c r="AX195" s="816"/>
      <c r="AY195" s="816" t="s">
        <v>198</v>
      </c>
      <c r="AZ195" s="816" t="s">
        <v>198</v>
      </c>
      <c r="BA195" s="816"/>
      <c r="BB195" s="816" t="s">
        <v>198</v>
      </c>
      <c r="BC195" s="816" t="s">
        <v>198</v>
      </c>
      <c r="BD195" s="816"/>
      <c r="BE195" s="816" t="s">
        <v>198</v>
      </c>
      <c r="BG195" s="816"/>
      <c r="BH195" s="816" t="s">
        <v>198</v>
      </c>
      <c r="BI195" s="816" t="s">
        <v>198</v>
      </c>
      <c r="BJ195" s="816"/>
      <c r="BM195" s="816"/>
      <c r="BN195" s="816"/>
      <c r="BO195" s="816"/>
      <c r="BQ195" s="816"/>
      <c r="BR195" s="816"/>
      <c r="BS195" s="816" t="s">
        <v>198</v>
      </c>
      <c r="BT195" s="816" t="s">
        <v>198</v>
      </c>
      <c r="BU195" s="816"/>
    </row>
    <row r="196" spans="1:73" ht="409.5" x14ac:dyDescent="0.35">
      <c r="A196" s="806" t="s">
        <v>757</v>
      </c>
      <c r="B196" s="806" t="s">
        <v>1643</v>
      </c>
      <c r="C196" s="806"/>
      <c r="D196" s="806"/>
      <c r="E196" s="806"/>
      <c r="F196" s="806"/>
      <c r="H196" s="816" t="s">
        <v>2574</v>
      </c>
      <c r="I196" s="816"/>
      <c r="K196" s="816" t="s">
        <v>2631</v>
      </c>
      <c r="L196" s="816" t="s">
        <v>2658</v>
      </c>
      <c r="M196" s="816"/>
      <c r="N196" s="816" t="s">
        <v>2722</v>
      </c>
      <c r="O196" s="816"/>
      <c r="P196" s="816" t="s">
        <v>2774</v>
      </c>
      <c r="Q196" s="816"/>
      <c r="R196" s="816" t="s">
        <v>2806</v>
      </c>
      <c r="S196" s="816" t="s">
        <v>2827</v>
      </c>
      <c r="T196" s="816"/>
      <c r="U196" s="816" t="s">
        <v>2860</v>
      </c>
      <c r="V196" s="816"/>
      <c r="W196" s="816"/>
      <c r="X196" s="816"/>
      <c r="Y196" s="816" t="s">
        <v>2934</v>
      </c>
      <c r="Z196" s="816"/>
      <c r="AA196" s="816" t="s">
        <v>3014</v>
      </c>
      <c r="AC196" s="816"/>
      <c r="AD196" s="816"/>
      <c r="AE196" s="816" t="s">
        <v>3093</v>
      </c>
      <c r="AF196" s="816" t="s">
        <v>3118</v>
      </c>
      <c r="AG196" s="816" t="s">
        <v>2827</v>
      </c>
      <c r="AH196" s="816" t="s">
        <v>3182</v>
      </c>
      <c r="AI196" s="816"/>
      <c r="AJ196" s="816" t="s">
        <v>3236</v>
      </c>
      <c r="AK196" s="816" t="s">
        <v>3256</v>
      </c>
      <c r="AL196" s="816" t="s">
        <v>3271</v>
      </c>
      <c r="AM196" s="816" t="s">
        <v>3292</v>
      </c>
      <c r="AP196" s="816" t="s">
        <v>3373</v>
      </c>
      <c r="AQ196" s="816"/>
      <c r="AR196" s="816" t="s">
        <v>3412</v>
      </c>
      <c r="AS196" s="816" t="s">
        <v>3438</v>
      </c>
      <c r="AT196" s="816" t="s">
        <v>3457</v>
      </c>
      <c r="AU196" s="816" t="s">
        <v>3471</v>
      </c>
      <c r="AV196" s="816" t="s">
        <v>3484</v>
      </c>
      <c r="AX196" s="816"/>
      <c r="AY196" s="816" t="s">
        <v>3571</v>
      </c>
      <c r="AZ196" s="816" t="s">
        <v>3600</v>
      </c>
      <c r="BA196" s="816"/>
      <c r="BB196" s="816" t="s">
        <v>3666</v>
      </c>
      <c r="BC196" s="816" t="s">
        <v>3680</v>
      </c>
      <c r="BD196" s="816"/>
      <c r="BE196" s="816" t="s">
        <v>3757</v>
      </c>
      <c r="BG196" s="816"/>
      <c r="BH196" s="816" t="s">
        <v>3924</v>
      </c>
      <c r="BI196" s="816" t="s">
        <v>3946</v>
      </c>
      <c r="BJ196" s="816"/>
      <c r="BM196" s="816"/>
      <c r="BN196" s="816"/>
      <c r="BO196" s="816"/>
      <c r="BQ196" s="816"/>
      <c r="BR196" s="816"/>
      <c r="BS196" s="816" t="s">
        <v>3571</v>
      </c>
      <c r="BT196" s="816" t="s">
        <v>4343</v>
      </c>
      <c r="BU196" s="816"/>
    </row>
    <row r="197" spans="1:73" ht="29" x14ac:dyDescent="0.35">
      <c r="A197" s="806" t="s">
        <v>757</v>
      </c>
      <c r="B197" s="806" t="s">
        <v>1637</v>
      </c>
      <c r="C197" s="806"/>
      <c r="D197" s="806"/>
      <c r="E197" s="806"/>
      <c r="F197" s="806"/>
      <c r="H197" s="816" t="s">
        <v>198</v>
      </c>
      <c r="I197" s="816"/>
      <c r="K197" s="816" t="s">
        <v>198</v>
      </c>
      <c r="L197" s="816" t="s">
        <v>198</v>
      </c>
      <c r="M197" s="816"/>
      <c r="N197" s="816" t="s">
        <v>198</v>
      </c>
      <c r="O197" s="816"/>
      <c r="P197" s="816" t="s">
        <v>198</v>
      </c>
      <c r="Q197" s="816"/>
      <c r="R197" s="816" t="s">
        <v>198</v>
      </c>
      <c r="S197" s="816" t="s">
        <v>198</v>
      </c>
      <c r="T197" s="816"/>
      <c r="U197" s="816" t="s">
        <v>198</v>
      </c>
      <c r="V197" s="816"/>
      <c r="W197" s="816"/>
      <c r="X197" s="816"/>
      <c r="Y197" s="816" t="s">
        <v>198</v>
      </c>
      <c r="Z197" s="816"/>
      <c r="AA197" s="816" t="s">
        <v>198</v>
      </c>
      <c r="AC197" s="816"/>
      <c r="AD197" s="816"/>
      <c r="AE197" s="816" t="s">
        <v>198</v>
      </c>
      <c r="AF197" s="816" t="s">
        <v>198</v>
      </c>
      <c r="AG197" s="816" t="s">
        <v>198</v>
      </c>
      <c r="AH197" s="816" t="s">
        <v>198</v>
      </c>
      <c r="AI197" s="816"/>
      <c r="AJ197" s="816" t="s">
        <v>198</v>
      </c>
      <c r="AK197" s="816" t="s">
        <v>198</v>
      </c>
      <c r="AL197" s="816" t="s">
        <v>198</v>
      </c>
      <c r="AM197" s="816" t="s">
        <v>198</v>
      </c>
      <c r="AP197" s="816" t="s">
        <v>198</v>
      </c>
      <c r="AQ197" s="816"/>
      <c r="AR197" s="816" t="s">
        <v>198</v>
      </c>
      <c r="AS197" s="816" t="s">
        <v>198</v>
      </c>
      <c r="AT197" s="816" t="s">
        <v>198</v>
      </c>
      <c r="AU197" s="816" t="s">
        <v>198</v>
      </c>
      <c r="AV197" s="816" t="s">
        <v>198</v>
      </c>
      <c r="AX197" s="816"/>
      <c r="AY197" s="816" t="s">
        <v>198</v>
      </c>
      <c r="AZ197" s="816" t="s">
        <v>198</v>
      </c>
      <c r="BA197" s="816"/>
      <c r="BB197" s="816" t="s">
        <v>198</v>
      </c>
      <c r="BC197" s="816" t="s">
        <v>198</v>
      </c>
      <c r="BD197" s="816"/>
      <c r="BE197" s="816" t="s">
        <v>198</v>
      </c>
      <c r="BG197" s="816"/>
      <c r="BH197" s="816" t="s">
        <v>198</v>
      </c>
      <c r="BI197" s="816" t="s">
        <v>198</v>
      </c>
      <c r="BJ197" s="816"/>
      <c r="BM197" s="816"/>
      <c r="BN197" s="816"/>
      <c r="BO197" s="816"/>
      <c r="BQ197" s="816"/>
      <c r="BR197" s="816"/>
      <c r="BS197" s="816" t="s">
        <v>198</v>
      </c>
      <c r="BT197" s="816" t="s">
        <v>198</v>
      </c>
      <c r="BU197" s="816"/>
    </row>
    <row r="198" spans="1:73" ht="29" x14ac:dyDescent="0.35">
      <c r="A198" s="806" t="s">
        <v>757</v>
      </c>
      <c r="B198" s="806" t="s">
        <v>1641</v>
      </c>
      <c r="C198" s="806"/>
      <c r="D198" s="806"/>
      <c r="E198" s="806"/>
      <c r="F198" s="806"/>
      <c r="H198" s="816" t="s">
        <v>198</v>
      </c>
      <c r="I198" s="816"/>
      <c r="K198" s="816" t="s">
        <v>198</v>
      </c>
      <c r="L198" s="816" t="s">
        <v>198</v>
      </c>
      <c r="M198" s="816"/>
      <c r="N198" s="816" t="s">
        <v>198</v>
      </c>
      <c r="O198" s="816"/>
      <c r="P198" s="816" t="s">
        <v>198</v>
      </c>
      <c r="Q198" s="816"/>
      <c r="R198" s="816" t="s">
        <v>198</v>
      </c>
      <c r="S198" s="816" t="s">
        <v>198</v>
      </c>
      <c r="T198" s="816"/>
      <c r="U198" s="816" t="s">
        <v>198</v>
      </c>
      <c r="V198" s="816"/>
      <c r="W198" s="816"/>
      <c r="X198" s="816"/>
      <c r="Y198" s="816" t="s">
        <v>198</v>
      </c>
      <c r="Z198" s="816"/>
      <c r="AA198" s="816" t="s">
        <v>198</v>
      </c>
      <c r="AC198" s="816"/>
      <c r="AD198" s="816"/>
      <c r="AE198" s="816" t="s">
        <v>198</v>
      </c>
      <c r="AF198" s="816" t="s">
        <v>198</v>
      </c>
      <c r="AG198" s="816" t="s">
        <v>198</v>
      </c>
      <c r="AH198" s="816" t="s">
        <v>198</v>
      </c>
      <c r="AI198" s="816"/>
      <c r="AJ198" s="816" t="s">
        <v>198</v>
      </c>
      <c r="AK198" s="816" t="s">
        <v>198</v>
      </c>
      <c r="AL198" s="816" t="s">
        <v>198</v>
      </c>
      <c r="AM198" s="816" t="s">
        <v>198</v>
      </c>
      <c r="AP198" s="816" t="s">
        <v>198</v>
      </c>
      <c r="AQ198" s="816"/>
      <c r="AR198" s="816" t="s">
        <v>198</v>
      </c>
      <c r="AS198" s="816" t="s">
        <v>198</v>
      </c>
      <c r="AT198" s="816" t="s">
        <v>198</v>
      </c>
      <c r="AU198" s="816" t="s">
        <v>198</v>
      </c>
      <c r="AV198" s="816" t="s">
        <v>198</v>
      </c>
      <c r="AX198" s="816"/>
      <c r="AY198" s="816" t="s">
        <v>198</v>
      </c>
      <c r="AZ198" s="816" t="s">
        <v>198</v>
      </c>
      <c r="BA198" s="816"/>
      <c r="BB198" s="816" t="s">
        <v>198</v>
      </c>
      <c r="BC198" s="816" t="s">
        <v>198</v>
      </c>
      <c r="BD198" s="816"/>
      <c r="BE198" s="816" t="s">
        <v>198</v>
      </c>
      <c r="BG198" s="816"/>
      <c r="BH198" s="816" t="s">
        <v>198</v>
      </c>
      <c r="BI198" s="816" t="s">
        <v>198</v>
      </c>
      <c r="BJ198" s="816"/>
      <c r="BM198" s="816"/>
      <c r="BN198" s="816"/>
      <c r="BO198" s="816"/>
      <c r="BQ198" s="816"/>
      <c r="BR198" s="816"/>
      <c r="BS198" s="816" t="s">
        <v>198</v>
      </c>
      <c r="BT198" s="816" t="s">
        <v>198</v>
      </c>
      <c r="BU198" s="816"/>
    </row>
    <row r="199" spans="1:73" x14ac:dyDescent="0.35">
      <c r="A199" s="806" t="s">
        <v>732</v>
      </c>
      <c r="B199" s="806" t="s">
        <v>761</v>
      </c>
      <c r="C199" s="816"/>
      <c r="D199" s="816"/>
      <c r="E199" s="816"/>
      <c r="F199" s="816"/>
      <c r="G199" s="816" t="s">
        <v>1958</v>
      </c>
      <c r="H199" s="816" t="s">
        <v>2476</v>
      </c>
      <c r="I199" s="816"/>
      <c r="J199" s="816"/>
      <c r="K199" s="816" t="s">
        <v>2476</v>
      </c>
      <c r="L199" s="816" t="s">
        <v>2476</v>
      </c>
      <c r="M199" s="816"/>
      <c r="N199" s="816" t="s">
        <v>2476</v>
      </c>
      <c r="O199" s="816"/>
      <c r="P199" s="816" t="s">
        <v>2476</v>
      </c>
      <c r="Q199" s="816"/>
      <c r="R199" s="816" t="s">
        <v>2476</v>
      </c>
      <c r="S199" s="816" t="s">
        <v>2476</v>
      </c>
      <c r="T199" s="816"/>
      <c r="U199" s="816" t="s">
        <v>2476</v>
      </c>
      <c r="V199" s="816"/>
      <c r="W199" s="816"/>
      <c r="X199" s="816"/>
      <c r="Y199" s="816" t="s">
        <v>2476</v>
      </c>
      <c r="Z199" s="816"/>
      <c r="AA199" s="816" t="s">
        <v>2476</v>
      </c>
      <c r="AB199" s="816" t="s">
        <v>1958</v>
      </c>
      <c r="AC199" s="816"/>
      <c r="AD199" s="816"/>
      <c r="AE199" s="816" t="s">
        <v>2476</v>
      </c>
      <c r="AF199" s="816" t="s">
        <v>1958</v>
      </c>
      <c r="AG199" s="816" t="s">
        <v>2476</v>
      </c>
      <c r="AH199" s="816" t="s">
        <v>2476</v>
      </c>
      <c r="AI199" s="816"/>
      <c r="AJ199" s="816" t="s">
        <v>2476</v>
      </c>
      <c r="AK199" s="816" t="s">
        <v>2476</v>
      </c>
      <c r="AL199" s="816" t="s">
        <v>2476</v>
      </c>
      <c r="AM199" s="816"/>
      <c r="AN199" s="816"/>
      <c r="AO199" s="816"/>
      <c r="AP199" s="816" t="s">
        <v>2476</v>
      </c>
      <c r="AQ199" s="816" t="s">
        <v>1958</v>
      </c>
      <c r="AR199" s="816" t="s">
        <v>2476</v>
      </c>
      <c r="AS199" s="816" t="s">
        <v>2476</v>
      </c>
      <c r="AT199" s="816" t="s">
        <v>2476</v>
      </c>
      <c r="AU199" s="816" t="s">
        <v>2476</v>
      </c>
      <c r="AV199" s="816" t="s">
        <v>2476</v>
      </c>
      <c r="AW199" s="816"/>
      <c r="AX199" s="816"/>
      <c r="AY199" s="816" t="s">
        <v>2476</v>
      </c>
      <c r="AZ199" s="816" t="s">
        <v>2476</v>
      </c>
      <c r="BA199" s="816"/>
      <c r="BB199" s="816" t="s">
        <v>2476</v>
      </c>
      <c r="BC199" s="816" t="s">
        <v>900</v>
      </c>
      <c r="BD199" s="816"/>
      <c r="BE199" s="816" t="s">
        <v>2476</v>
      </c>
      <c r="BF199" s="816"/>
      <c r="BG199" s="816"/>
      <c r="BH199" s="816" t="s">
        <v>2476</v>
      </c>
      <c r="BI199" s="816" t="s">
        <v>2476</v>
      </c>
      <c r="BJ199" s="816"/>
      <c r="BK199" s="816" t="s">
        <v>1958</v>
      </c>
      <c r="BM199" s="816"/>
      <c r="BN199" s="816"/>
      <c r="BO199" s="816"/>
      <c r="BP199" s="816"/>
      <c r="BQ199" s="816"/>
      <c r="BR199" s="816"/>
      <c r="BS199" s="816" t="s">
        <v>2476</v>
      </c>
      <c r="BT199" s="816" t="s">
        <v>2476</v>
      </c>
      <c r="BU199" s="816"/>
    </row>
    <row r="200" spans="1:73" ht="29" x14ac:dyDescent="0.35">
      <c r="A200" s="806" t="s">
        <v>757</v>
      </c>
      <c r="B200" s="806" t="s">
        <v>1638</v>
      </c>
      <c r="C200" s="806"/>
      <c r="D200" s="806"/>
      <c r="E200" s="806"/>
      <c r="F200" s="806"/>
      <c r="H200" s="816" t="s">
        <v>198</v>
      </c>
      <c r="I200" s="816"/>
      <c r="K200" s="816" t="s">
        <v>198</v>
      </c>
      <c r="L200" s="816" t="s">
        <v>198</v>
      </c>
      <c r="M200" s="816"/>
      <c r="N200" s="816" t="s">
        <v>198</v>
      </c>
      <c r="O200" s="816"/>
      <c r="P200" s="816" t="s">
        <v>198</v>
      </c>
      <c r="Q200" s="816"/>
      <c r="R200" s="816" t="s">
        <v>198</v>
      </c>
      <c r="S200" s="816" t="s">
        <v>198</v>
      </c>
      <c r="T200" s="816"/>
      <c r="U200" s="816" t="s">
        <v>198</v>
      </c>
      <c r="V200" s="816"/>
      <c r="W200" s="816"/>
      <c r="X200" s="816"/>
      <c r="Y200" s="816" t="s">
        <v>198</v>
      </c>
      <c r="Z200" s="816"/>
      <c r="AA200" s="816" t="s">
        <v>198</v>
      </c>
      <c r="AC200" s="816"/>
      <c r="AD200" s="816"/>
      <c r="AE200" s="816" t="s">
        <v>198</v>
      </c>
      <c r="AF200" s="816" t="s">
        <v>198</v>
      </c>
      <c r="AG200" s="816" t="s">
        <v>198</v>
      </c>
      <c r="AH200" s="816" t="s">
        <v>198</v>
      </c>
      <c r="AI200" s="816"/>
      <c r="AJ200" s="816" t="s">
        <v>198</v>
      </c>
      <c r="AK200" s="816" t="s">
        <v>198</v>
      </c>
      <c r="AL200" s="816" t="s">
        <v>198</v>
      </c>
      <c r="AM200" s="816" t="s">
        <v>198</v>
      </c>
      <c r="AP200" s="816" t="s">
        <v>198</v>
      </c>
      <c r="AQ200" s="816"/>
      <c r="AR200" s="816" t="s">
        <v>198</v>
      </c>
      <c r="AS200" s="816" t="s">
        <v>198</v>
      </c>
      <c r="AT200" s="816" t="s">
        <v>198</v>
      </c>
      <c r="AU200" s="816" t="s">
        <v>198</v>
      </c>
      <c r="AV200" s="816" t="s">
        <v>198</v>
      </c>
      <c r="AX200" s="816"/>
      <c r="AY200" s="816" t="s">
        <v>198</v>
      </c>
      <c r="AZ200" s="816" t="s">
        <v>198</v>
      </c>
      <c r="BA200" s="816"/>
      <c r="BB200" s="816" t="s">
        <v>198</v>
      </c>
      <c r="BC200" s="816" t="s">
        <v>198</v>
      </c>
      <c r="BD200" s="816"/>
      <c r="BE200" s="816" t="s">
        <v>198</v>
      </c>
      <c r="BG200" s="816"/>
      <c r="BH200" s="816" t="s">
        <v>198</v>
      </c>
      <c r="BI200" s="816" t="s">
        <v>198</v>
      </c>
      <c r="BJ200" s="816"/>
      <c r="BM200" s="816"/>
      <c r="BN200" s="816"/>
      <c r="BO200" s="816"/>
      <c r="BQ200" s="816"/>
      <c r="BR200" s="816"/>
      <c r="BS200" s="816" t="s">
        <v>198</v>
      </c>
      <c r="BT200" s="816" t="s">
        <v>198</v>
      </c>
      <c r="BU200" s="816"/>
    </row>
    <row r="201" spans="1:73" ht="29" x14ac:dyDescent="0.35">
      <c r="A201" s="806" t="s">
        <v>757</v>
      </c>
      <c r="B201" s="806" t="s">
        <v>1201</v>
      </c>
      <c r="C201" s="806"/>
      <c r="D201" s="806"/>
      <c r="E201" s="806"/>
      <c r="F201" s="806"/>
      <c r="H201" s="816" t="b">
        <v>1</v>
      </c>
      <c r="I201" s="816"/>
      <c r="J201" s="816"/>
      <c r="K201" s="816" t="b">
        <v>1</v>
      </c>
      <c r="L201" s="816" t="b">
        <v>1</v>
      </c>
      <c r="M201" s="816"/>
      <c r="N201" s="816" t="b">
        <v>1</v>
      </c>
      <c r="O201" s="816"/>
      <c r="P201" s="816" t="b">
        <v>1</v>
      </c>
      <c r="Q201" s="816"/>
      <c r="R201" s="816" t="b">
        <v>1</v>
      </c>
      <c r="S201" s="816" t="b">
        <v>1</v>
      </c>
      <c r="T201" s="816"/>
      <c r="U201" s="816" t="b">
        <v>1</v>
      </c>
      <c r="V201" s="816"/>
      <c r="W201" s="816"/>
      <c r="X201" s="816"/>
      <c r="Y201" s="816" t="b">
        <v>1</v>
      </c>
      <c r="Z201" s="816"/>
      <c r="AA201" s="816" t="b">
        <v>1</v>
      </c>
      <c r="AC201" s="816"/>
      <c r="AD201" s="816"/>
      <c r="AE201" s="816" t="b">
        <v>1</v>
      </c>
      <c r="AF201" s="816" t="b">
        <v>1</v>
      </c>
      <c r="AG201" s="816" t="b">
        <v>1</v>
      </c>
      <c r="AH201" s="816" t="b">
        <v>1</v>
      </c>
      <c r="AI201" s="816"/>
      <c r="AJ201" s="816" t="b">
        <v>1</v>
      </c>
      <c r="AK201" s="816" t="b">
        <v>1</v>
      </c>
      <c r="AL201" s="816" t="b">
        <v>1</v>
      </c>
      <c r="AM201" s="816" t="b">
        <v>1</v>
      </c>
      <c r="AN201" s="816"/>
      <c r="AO201" s="816"/>
      <c r="AP201" s="816" t="b">
        <v>1</v>
      </c>
      <c r="AQ201" s="816" t="b">
        <v>0</v>
      </c>
      <c r="AR201" s="816" t="b">
        <v>1</v>
      </c>
      <c r="AS201" s="816" t="b">
        <v>1</v>
      </c>
      <c r="AT201" s="816" t="b">
        <v>1</v>
      </c>
      <c r="AU201" s="816" t="b">
        <v>1</v>
      </c>
      <c r="AV201" s="816" t="b">
        <v>1</v>
      </c>
      <c r="AW201" s="816"/>
      <c r="AX201" s="816"/>
      <c r="AY201" s="816" t="b">
        <v>1</v>
      </c>
      <c r="AZ201" s="816" t="b">
        <v>1</v>
      </c>
      <c r="BA201" s="816"/>
      <c r="BB201" s="816" t="b">
        <v>1</v>
      </c>
      <c r="BC201" s="816" t="b">
        <v>1</v>
      </c>
      <c r="BD201" s="816"/>
      <c r="BE201" s="816" t="b">
        <v>1</v>
      </c>
      <c r="BF201" s="816"/>
      <c r="BG201" s="816"/>
      <c r="BH201" s="816" t="b">
        <v>1</v>
      </c>
      <c r="BI201" s="816" t="b">
        <v>1</v>
      </c>
      <c r="BJ201" s="816"/>
      <c r="BM201" s="816"/>
      <c r="BN201" s="816" t="b">
        <v>0</v>
      </c>
      <c r="BO201" s="816"/>
      <c r="BQ201" s="816"/>
      <c r="BR201" s="816"/>
      <c r="BS201" s="816" t="b">
        <v>1</v>
      </c>
      <c r="BT201" s="816" t="b">
        <v>1</v>
      </c>
      <c r="BU201" s="816"/>
    </row>
    <row r="202" spans="1:73" ht="29" x14ac:dyDescent="0.35">
      <c r="A202" s="806" t="s">
        <v>757</v>
      </c>
      <c r="B202" s="806" t="s">
        <v>759</v>
      </c>
      <c r="C202" s="817"/>
      <c r="D202" s="817"/>
      <c r="E202" s="817"/>
      <c r="F202" s="817"/>
      <c r="G202" s="817"/>
      <c r="H202" s="816" t="s">
        <v>2475</v>
      </c>
      <c r="I202" s="816"/>
      <c r="J202" s="816"/>
      <c r="K202" s="816" t="s">
        <v>1959</v>
      </c>
      <c r="L202" s="816" t="s">
        <v>1959</v>
      </c>
      <c r="M202" s="816"/>
      <c r="N202" s="816" t="s">
        <v>1959</v>
      </c>
      <c r="O202" s="816"/>
      <c r="P202" s="816" t="s">
        <v>1959</v>
      </c>
      <c r="Q202" s="816"/>
      <c r="R202" s="816" t="s">
        <v>1959</v>
      </c>
      <c r="S202" s="816" t="s">
        <v>1959</v>
      </c>
      <c r="T202" s="816"/>
      <c r="U202" s="816" t="s">
        <v>2475</v>
      </c>
      <c r="V202" s="816"/>
      <c r="W202" s="816"/>
      <c r="X202" s="816"/>
      <c r="Y202" s="816" t="s">
        <v>1959</v>
      </c>
      <c r="Z202" s="816"/>
      <c r="AA202" s="816" t="s">
        <v>2475</v>
      </c>
      <c r="AB202" s="817"/>
      <c r="AC202" s="816"/>
      <c r="AD202" s="816"/>
      <c r="AE202" s="816" t="s">
        <v>1959</v>
      </c>
      <c r="AF202" s="816" t="s">
        <v>2475</v>
      </c>
      <c r="AG202" s="816" t="s">
        <v>1959</v>
      </c>
      <c r="AH202" s="816" t="s">
        <v>1959</v>
      </c>
      <c r="AI202" s="816"/>
      <c r="AJ202" s="816" t="s">
        <v>2475</v>
      </c>
      <c r="AK202" s="816" t="s">
        <v>2475</v>
      </c>
      <c r="AL202" s="816" t="s">
        <v>1959</v>
      </c>
      <c r="AM202" s="816" t="s">
        <v>1959</v>
      </c>
      <c r="AN202" s="816"/>
      <c r="AO202" s="816"/>
      <c r="AP202" s="816" t="s">
        <v>2475</v>
      </c>
      <c r="AQ202" s="816" t="s">
        <v>1959</v>
      </c>
      <c r="AR202" s="816" t="s">
        <v>2475</v>
      </c>
      <c r="AS202" s="816" t="s">
        <v>2475</v>
      </c>
      <c r="AT202" s="816" t="s">
        <v>2475</v>
      </c>
      <c r="AU202" s="816" t="s">
        <v>2475</v>
      </c>
      <c r="AV202" s="816" t="s">
        <v>2475</v>
      </c>
      <c r="AW202" s="816"/>
      <c r="AX202" s="816"/>
      <c r="AY202" s="816" t="s">
        <v>1959</v>
      </c>
      <c r="AZ202" s="816" t="s">
        <v>1959</v>
      </c>
      <c r="BA202" s="816"/>
      <c r="BB202" s="816" t="s">
        <v>1959</v>
      </c>
      <c r="BC202" s="816" t="s">
        <v>2475</v>
      </c>
      <c r="BD202" s="816"/>
      <c r="BE202" s="816" t="s">
        <v>1959</v>
      </c>
      <c r="BF202" s="816"/>
      <c r="BG202" s="816"/>
      <c r="BH202" s="816" t="s">
        <v>2475</v>
      </c>
      <c r="BI202" s="816" t="s">
        <v>2475</v>
      </c>
      <c r="BJ202" s="816"/>
      <c r="BK202" s="817"/>
      <c r="BM202" s="816"/>
      <c r="BN202" s="816" t="s">
        <v>1959</v>
      </c>
      <c r="BO202" s="816"/>
      <c r="BP202" s="817"/>
      <c r="BQ202" s="816"/>
      <c r="BR202" s="816"/>
      <c r="BS202" s="816" t="s">
        <v>1959</v>
      </c>
      <c r="BT202" s="816" t="s">
        <v>2475</v>
      </c>
      <c r="BU202" s="816"/>
    </row>
    <row r="203" spans="1:73" ht="29" x14ac:dyDescent="0.35">
      <c r="A203" s="806" t="s">
        <v>757</v>
      </c>
      <c r="B203" s="806" t="s">
        <v>1185</v>
      </c>
      <c r="C203" s="806"/>
      <c r="D203" s="806"/>
      <c r="E203" s="806"/>
      <c r="F203" s="806"/>
      <c r="H203" s="817">
        <v>40</v>
      </c>
      <c r="I203" s="817"/>
      <c r="J203" s="817"/>
      <c r="K203" s="817"/>
      <c r="L203" s="817"/>
      <c r="M203" s="817"/>
      <c r="N203" s="817"/>
      <c r="O203" s="817"/>
      <c r="P203" s="817"/>
      <c r="Q203" s="817"/>
      <c r="R203" s="817"/>
      <c r="S203" s="817"/>
      <c r="T203" s="817"/>
      <c r="U203" s="817">
        <v>40</v>
      </c>
      <c r="V203" s="817"/>
      <c r="W203" s="817"/>
      <c r="X203" s="817"/>
      <c r="Y203" s="817"/>
      <c r="Z203" s="817"/>
      <c r="AA203" s="817">
        <v>40</v>
      </c>
      <c r="AC203" s="817"/>
      <c r="AD203" s="817"/>
      <c r="AE203" s="817"/>
      <c r="AF203" s="817">
        <v>40</v>
      </c>
      <c r="AG203" s="817"/>
      <c r="AH203" s="817"/>
      <c r="AI203" s="817"/>
      <c r="AJ203" s="817">
        <v>40</v>
      </c>
      <c r="AK203" s="817">
        <v>40</v>
      </c>
      <c r="AL203" s="817"/>
      <c r="AM203" s="817"/>
      <c r="AN203" s="817"/>
      <c r="AO203" s="817"/>
      <c r="AP203" s="817">
        <v>40</v>
      </c>
      <c r="AQ203" s="817"/>
      <c r="AR203" s="817">
        <v>40</v>
      </c>
      <c r="AS203" s="817">
        <v>40</v>
      </c>
      <c r="AT203" s="817">
        <v>40</v>
      </c>
      <c r="AU203" s="817">
        <v>40</v>
      </c>
      <c r="AV203" s="817">
        <v>40</v>
      </c>
      <c r="AW203" s="817"/>
      <c r="AX203" s="817"/>
      <c r="AY203" s="817"/>
      <c r="AZ203" s="817"/>
      <c r="BA203" s="817"/>
      <c r="BB203" s="817"/>
      <c r="BC203" s="817">
        <v>40</v>
      </c>
      <c r="BD203" s="817"/>
      <c r="BE203" s="817"/>
      <c r="BF203" s="817"/>
      <c r="BG203" s="817"/>
      <c r="BH203" s="817">
        <v>40</v>
      </c>
      <c r="BI203" s="817">
        <v>40</v>
      </c>
      <c r="BJ203" s="817"/>
      <c r="BM203" s="817"/>
      <c r="BN203" s="817"/>
      <c r="BO203" s="817"/>
      <c r="BQ203" s="817"/>
      <c r="BR203" s="817"/>
      <c r="BS203" s="817"/>
      <c r="BT203" s="817">
        <v>40</v>
      </c>
      <c r="BU203" s="817"/>
    </row>
    <row r="204" spans="1:73" ht="29" x14ac:dyDescent="0.35">
      <c r="A204" s="806" t="s">
        <v>757</v>
      </c>
      <c r="B204" s="806" t="s">
        <v>1181</v>
      </c>
      <c r="C204" s="806"/>
      <c r="D204" s="806"/>
      <c r="E204" s="806"/>
      <c r="F204" s="806"/>
      <c r="H204" s="817">
        <v>11</v>
      </c>
      <c r="I204" s="817"/>
      <c r="J204" s="817"/>
      <c r="K204" s="817"/>
      <c r="L204" s="817"/>
      <c r="M204" s="817"/>
      <c r="N204" s="817"/>
      <c r="O204" s="817"/>
      <c r="P204" s="817"/>
      <c r="Q204" s="817"/>
      <c r="R204" s="817"/>
      <c r="S204" s="817"/>
      <c r="T204" s="817"/>
      <c r="U204" s="817">
        <v>14</v>
      </c>
      <c r="V204" s="817"/>
      <c r="W204" s="817"/>
      <c r="X204" s="817"/>
      <c r="Y204" s="817"/>
      <c r="Z204" s="817"/>
      <c r="AA204" s="817">
        <v>11</v>
      </c>
      <c r="AC204" s="817"/>
      <c r="AD204" s="817"/>
      <c r="AE204" s="817"/>
      <c r="AF204" s="817">
        <v>10</v>
      </c>
      <c r="AG204" s="817"/>
      <c r="AH204" s="817"/>
      <c r="AI204" s="817"/>
      <c r="AJ204" s="817">
        <v>11</v>
      </c>
      <c r="AK204" s="817">
        <v>11</v>
      </c>
      <c r="AL204" s="817"/>
      <c r="AM204" s="817"/>
      <c r="AN204" s="817"/>
      <c r="AO204" s="817"/>
      <c r="AP204" s="817">
        <v>11</v>
      </c>
      <c r="AQ204" s="817"/>
      <c r="AR204" s="817">
        <v>11</v>
      </c>
      <c r="AS204" s="817">
        <v>9</v>
      </c>
      <c r="AT204" s="817">
        <v>14</v>
      </c>
      <c r="AU204" s="817">
        <v>14</v>
      </c>
      <c r="AV204" s="817">
        <v>14</v>
      </c>
      <c r="AW204" s="817"/>
      <c r="AX204" s="817"/>
      <c r="AY204" s="817"/>
      <c r="AZ204" s="817"/>
      <c r="BA204" s="817"/>
      <c r="BB204" s="817"/>
      <c r="BC204" s="821">
        <v>8.6199999999999992</v>
      </c>
      <c r="BD204" s="817"/>
      <c r="BE204" s="817"/>
      <c r="BF204" s="817"/>
      <c r="BG204" s="817"/>
      <c r="BH204" s="817">
        <v>14</v>
      </c>
      <c r="BI204" s="817">
        <v>11</v>
      </c>
      <c r="BJ204" s="817"/>
      <c r="BM204" s="817"/>
      <c r="BN204" s="817"/>
      <c r="BO204" s="817"/>
      <c r="BQ204" s="817"/>
      <c r="BR204" s="817"/>
      <c r="BS204" s="817"/>
      <c r="BT204" s="817">
        <v>10</v>
      </c>
      <c r="BU204" s="817"/>
    </row>
    <row r="205" spans="1:73" ht="29" x14ac:dyDescent="0.35">
      <c r="A205" s="806" t="s">
        <v>757</v>
      </c>
      <c r="B205" s="806" t="s">
        <v>1182</v>
      </c>
      <c r="C205" s="806"/>
      <c r="D205" s="806"/>
      <c r="E205" s="806"/>
      <c r="F205" s="806"/>
      <c r="H205" s="817">
        <v>14</v>
      </c>
      <c r="I205" s="817"/>
      <c r="J205" s="817"/>
      <c r="K205" s="817"/>
      <c r="L205" s="817"/>
      <c r="M205" s="817"/>
      <c r="N205" s="817"/>
      <c r="O205" s="817"/>
      <c r="P205" s="817"/>
      <c r="Q205" s="817"/>
      <c r="R205" s="817"/>
      <c r="S205" s="817"/>
      <c r="T205" s="817"/>
      <c r="U205" s="817">
        <v>20</v>
      </c>
      <c r="V205" s="817"/>
      <c r="W205" s="817"/>
      <c r="X205" s="817"/>
      <c r="Y205" s="817"/>
      <c r="Z205" s="817"/>
      <c r="AA205" s="817">
        <v>16</v>
      </c>
      <c r="AC205" s="817"/>
      <c r="AD205" s="817"/>
      <c r="AE205" s="817"/>
      <c r="AF205" s="817">
        <v>14</v>
      </c>
      <c r="AG205" s="817"/>
      <c r="AH205" s="817"/>
      <c r="AI205" s="817"/>
      <c r="AJ205" s="817">
        <v>16</v>
      </c>
      <c r="AK205" s="817">
        <v>16</v>
      </c>
      <c r="AL205" s="817"/>
      <c r="AM205" s="817"/>
      <c r="AN205" s="817"/>
      <c r="AO205" s="817"/>
      <c r="AP205" s="817">
        <v>16</v>
      </c>
      <c r="AQ205" s="817"/>
      <c r="AR205" s="817">
        <v>16</v>
      </c>
      <c r="AS205" s="817">
        <v>12</v>
      </c>
      <c r="AT205" s="817">
        <v>20</v>
      </c>
      <c r="AU205" s="817">
        <v>20</v>
      </c>
      <c r="AV205" s="817">
        <v>20</v>
      </c>
      <c r="AW205" s="817"/>
      <c r="AX205" s="817"/>
      <c r="AY205" s="817"/>
      <c r="AZ205" s="817"/>
      <c r="BA205" s="817"/>
      <c r="BB205" s="817"/>
      <c r="BC205" s="821">
        <v>15.24</v>
      </c>
      <c r="BD205" s="817"/>
      <c r="BE205" s="817"/>
      <c r="BF205" s="817"/>
      <c r="BG205" s="817"/>
      <c r="BH205" s="817">
        <v>20</v>
      </c>
      <c r="BI205" s="817">
        <v>16</v>
      </c>
      <c r="BJ205" s="817"/>
      <c r="BM205" s="817"/>
      <c r="BN205" s="817"/>
      <c r="BO205" s="817"/>
      <c r="BQ205" s="817"/>
      <c r="BR205" s="817"/>
      <c r="BS205" s="817"/>
      <c r="BT205" s="817">
        <v>10</v>
      </c>
      <c r="BU205" s="817"/>
    </row>
    <row r="206" spans="1:73" ht="29" x14ac:dyDescent="0.35">
      <c r="A206" s="806" t="s">
        <v>757</v>
      </c>
      <c r="B206" s="806" t="s">
        <v>1180</v>
      </c>
      <c r="C206" s="806"/>
      <c r="D206" s="806"/>
      <c r="E206" s="806"/>
      <c r="F206" s="806"/>
      <c r="H206" s="817">
        <v>0</v>
      </c>
      <c r="I206" s="817"/>
      <c r="J206" s="817"/>
      <c r="K206" s="817"/>
      <c r="L206" s="817"/>
      <c r="M206" s="817"/>
      <c r="N206" s="817"/>
      <c r="O206" s="817"/>
      <c r="P206" s="817"/>
      <c r="Q206" s="817"/>
      <c r="R206" s="817"/>
      <c r="S206" s="817"/>
      <c r="T206" s="817"/>
      <c r="U206" s="817">
        <v>0</v>
      </c>
      <c r="V206" s="817"/>
      <c r="W206" s="817"/>
      <c r="X206" s="817"/>
      <c r="Y206" s="817"/>
      <c r="Z206" s="817"/>
      <c r="AA206" s="817">
        <v>0</v>
      </c>
      <c r="AC206" s="817"/>
      <c r="AD206" s="817"/>
      <c r="AE206" s="817"/>
      <c r="AF206" s="817">
        <v>0</v>
      </c>
      <c r="AG206" s="817"/>
      <c r="AH206" s="817"/>
      <c r="AI206" s="817"/>
      <c r="AJ206" s="817">
        <v>0</v>
      </c>
      <c r="AK206" s="817">
        <v>0</v>
      </c>
      <c r="AL206" s="817"/>
      <c r="AM206" s="817"/>
      <c r="AN206" s="817"/>
      <c r="AO206" s="817"/>
      <c r="AP206" s="817">
        <v>0</v>
      </c>
      <c r="AQ206" s="817"/>
      <c r="AR206" s="817">
        <v>0</v>
      </c>
      <c r="AS206" s="817">
        <v>0</v>
      </c>
      <c r="AT206" s="817">
        <v>0</v>
      </c>
      <c r="AU206" s="817">
        <v>0</v>
      </c>
      <c r="AV206" s="817">
        <v>0</v>
      </c>
      <c r="AW206" s="817"/>
      <c r="AX206" s="817"/>
      <c r="AY206" s="817"/>
      <c r="AZ206" s="817"/>
      <c r="BA206" s="817"/>
      <c r="BB206" s="817"/>
      <c r="BC206" s="817">
        <v>0</v>
      </c>
      <c r="BD206" s="817"/>
      <c r="BE206" s="817"/>
      <c r="BF206" s="817"/>
      <c r="BG206" s="817"/>
      <c r="BH206" s="817">
        <v>0</v>
      </c>
      <c r="BI206" s="817">
        <v>0</v>
      </c>
      <c r="BJ206" s="817"/>
      <c r="BM206" s="817"/>
      <c r="BN206" s="817"/>
      <c r="BO206" s="817"/>
      <c r="BQ206" s="817"/>
      <c r="BR206" s="817"/>
      <c r="BS206" s="817"/>
      <c r="BT206" s="817">
        <v>0</v>
      </c>
      <c r="BU206" s="817"/>
    </row>
    <row r="207" spans="1:73" ht="29" x14ac:dyDescent="0.35">
      <c r="A207" s="806" t="s">
        <v>757</v>
      </c>
      <c r="B207" s="806" t="s">
        <v>1184</v>
      </c>
      <c r="C207" s="806"/>
      <c r="D207" s="806"/>
      <c r="E207" s="806"/>
      <c r="F207" s="806"/>
      <c r="H207" s="817">
        <v>0</v>
      </c>
      <c r="I207" s="817"/>
      <c r="J207" s="817"/>
      <c r="K207" s="817"/>
      <c r="L207" s="817"/>
      <c r="M207" s="817"/>
      <c r="N207" s="817"/>
      <c r="O207" s="817"/>
      <c r="P207" s="817"/>
      <c r="Q207" s="817"/>
      <c r="R207" s="817"/>
      <c r="S207" s="817"/>
      <c r="T207" s="817"/>
      <c r="U207" s="817">
        <v>0</v>
      </c>
      <c r="V207" s="817"/>
      <c r="W207" s="817"/>
      <c r="X207" s="817"/>
      <c r="Y207" s="817"/>
      <c r="Z207" s="817"/>
      <c r="AA207" s="817">
        <v>0</v>
      </c>
      <c r="AC207" s="817"/>
      <c r="AD207" s="817"/>
      <c r="AE207" s="817"/>
      <c r="AF207" s="817">
        <v>0</v>
      </c>
      <c r="AG207" s="817"/>
      <c r="AH207" s="817"/>
      <c r="AI207" s="817"/>
      <c r="AJ207" s="817">
        <v>0</v>
      </c>
      <c r="AK207" s="817">
        <v>0</v>
      </c>
      <c r="AL207" s="817"/>
      <c r="AM207" s="817"/>
      <c r="AN207" s="817"/>
      <c r="AO207" s="817"/>
      <c r="AP207" s="817">
        <v>0</v>
      </c>
      <c r="AQ207" s="817"/>
      <c r="AR207" s="817">
        <v>0</v>
      </c>
      <c r="AS207" s="817">
        <v>0</v>
      </c>
      <c r="AT207" s="817">
        <v>0</v>
      </c>
      <c r="AU207" s="817">
        <v>0</v>
      </c>
      <c r="AV207" s="817">
        <v>0</v>
      </c>
      <c r="AW207" s="817"/>
      <c r="AX207" s="817"/>
      <c r="AY207" s="817"/>
      <c r="AZ207" s="817"/>
      <c r="BA207" s="817"/>
      <c r="BB207" s="817"/>
      <c r="BC207" s="817">
        <v>0</v>
      </c>
      <c r="BD207" s="817"/>
      <c r="BE207" s="817"/>
      <c r="BF207" s="817"/>
      <c r="BG207" s="817"/>
      <c r="BH207" s="817">
        <v>0</v>
      </c>
      <c r="BI207" s="817">
        <v>0</v>
      </c>
      <c r="BJ207" s="817"/>
      <c r="BM207" s="817"/>
      <c r="BN207" s="817"/>
      <c r="BO207" s="817"/>
      <c r="BQ207" s="817"/>
      <c r="BR207" s="817"/>
      <c r="BS207" s="817"/>
      <c r="BT207" s="817">
        <v>0</v>
      </c>
      <c r="BU207" s="817"/>
    </row>
    <row r="208" spans="1:73" ht="29" x14ac:dyDescent="0.35">
      <c r="A208" s="806" t="s">
        <v>757</v>
      </c>
      <c r="B208" s="806" t="s">
        <v>1183</v>
      </c>
      <c r="C208" s="806"/>
      <c r="D208" s="806"/>
      <c r="E208" s="806"/>
      <c r="F208" s="806"/>
      <c r="H208" s="817">
        <v>10</v>
      </c>
      <c r="I208" s="817"/>
      <c r="J208" s="817"/>
      <c r="K208" s="817"/>
      <c r="L208" s="817"/>
      <c r="M208" s="817"/>
      <c r="N208" s="817"/>
      <c r="O208" s="817"/>
      <c r="P208" s="817"/>
      <c r="Q208" s="817"/>
      <c r="R208" s="817"/>
      <c r="S208" s="817"/>
      <c r="T208" s="817"/>
      <c r="U208" s="817">
        <v>10</v>
      </c>
      <c r="V208" s="817"/>
      <c r="W208" s="817"/>
      <c r="X208" s="817"/>
      <c r="Y208" s="817"/>
      <c r="Z208" s="817"/>
      <c r="AA208" s="817">
        <v>0</v>
      </c>
      <c r="AC208" s="817"/>
      <c r="AD208" s="817"/>
      <c r="AE208" s="817"/>
      <c r="AF208" s="817">
        <v>0</v>
      </c>
      <c r="AG208" s="817"/>
      <c r="AH208" s="817"/>
      <c r="AI208" s="817"/>
      <c r="AJ208" s="817">
        <v>10</v>
      </c>
      <c r="AK208" s="817">
        <v>0</v>
      </c>
      <c r="AL208" s="817"/>
      <c r="AM208" s="817"/>
      <c r="AN208" s="817"/>
      <c r="AO208" s="817"/>
      <c r="AP208" s="817">
        <v>10</v>
      </c>
      <c r="AQ208" s="817"/>
      <c r="AR208" s="817">
        <v>10</v>
      </c>
      <c r="AS208" s="817">
        <v>10</v>
      </c>
      <c r="AT208" s="817">
        <v>10</v>
      </c>
      <c r="AU208" s="817">
        <v>10</v>
      </c>
      <c r="AV208" s="817">
        <v>10</v>
      </c>
      <c r="AW208" s="817"/>
      <c r="AX208" s="817"/>
      <c r="AY208" s="817"/>
      <c r="AZ208" s="817"/>
      <c r="BA208" s="817"/>
      <c r="BB208" s="817"/>
      <c r="BC208" s="817">
        <v>0</v>
      </c>
      <c r="BD208" s="817"/>
      <c r="BE208" s="817"/>
      <c r="BF208" s="817"/>
      <c r="BG208" s="817"/>
      <c r="BH208" s="817">
        <v>10</v>
      </c>
      <c r="BI208" s="817">
        <v>10</v>
      </c>
      <c r="BJ208" s="817"/>
      <c r="BM208" s="817"/>
      <c r="BN208" s="817"/>
      <c r="BO208" s="817"/>
      <c r="BQ208" s="817"/>
      <c r="BR208" s="817"/>
      <c r="BS208" s="817"/>
      <c r="BT208" s="817">
        <v>0</v>
      </c>
      <c r="BU208" s="817"/>
    </row>
    <row r="209" spans="1:73" ht="29" x14ac:dyDescent="0.35">
      <c r="A209" s="806" t="s">
        <v>757</v>
      </c>
      <c r="B209" s="806" t="s">
        <v>764</v>
      </c>
      <c r="C209" s="817"/>
      <c r="D209" s="817"/>
      <c r="E209" s="817"/>
      <c r="F209" s="817"/>
      <c r="G209" s="818"/>
      <c r="H209" s="817">
        <v>75</v>
      </c>
      <c r="I209" s="817"/>
      <c r="J209" s="817"/>
      <c r="K209" s="817"/>
      <c r="L209" s="817"/>
      <c r="M209" s="817"/>
      <c r="N209" s="817"/>
      <c r="O209" s="817"/>
      <c r="P209" s="817"/>
      <c r="Q209" s="817"/>
      <c r="R209" s="817"/>
      <c r="S209" s="817"/>
      <c r="T209" s="817"/>
      <c r="U209" s="817">
        <v>84</v>
      </c>
      <c r="V209" s="817"/>
      <c r="W209" s="817"/>
      <c r="X209" s="817"/>
      <c r="Y209" s="817"/>
      <c r="Z209" s="817"/>
      <c r="AA209" s="817">
        <v>67</v>
      </c>
      <c r="AB209" s="818"/>
      <c r="AC209" s="817"/>
      <c r="AD209" s="817"/>
      <c r="AE209" s="817"/>
      <c r="AF209" s="817">
        <v>64</v>
      </c>
      <c r="AG209" s="817"/>
      <c r="AH209" s="817"/>
      <c r="AI209" s="817"/>
      <c r="AJ209" s="817">
        <v>77</v>
      </c>
      <c r="AK209" s="817">
        <v>67</v>
      </c>
      <c r="AL209" s="817"/>
      <c r="AM209" s="817"/>
      <c r="AN209" s="817"/>
      <c r="AO209" s="817"/>
      <c r="AP209" s="817">
        <v>77</v>
      </c>
      <c r="AQ209" s="817"/>
      <c r="AR209" s="817">
        <v>77</v>
      </c>
      <c r="AS209" s="817">
        <v>71</v>
      </c>
      <c r="AT209" s="817">
        <v>84</v>
      </c>
      <c r="AU209" s="817">
        <v>84</v>
      </c>
      <c r="AV209" s="817">
        <v>84</v>
      </c>
      <c r="AW209" s="817"/>
      <c r="AX209" s="817"/>
      <c r="AY209" s="817"/>
      <c r="AZ209" s="817"/>
      <c r="BA209" s="817"/>
      <c r="BB209" s="817"/>
      <c r="BC209" s="821">
        <v>63.86</v>
      </c>
      <c r="BD209" s="817"/>
      <c r="BE209" s="817"/>
      <c r="BF209" s="817"/>
      <c r="BG209" s="817"/>
      <c r="BH209" s="817">
        <v>84</v>
      </c>
      <c r="BI209" s="817">
        <v>77</v>
      </c>
      <c r="BJ209" s="817"/>
      <c r="BK209" s="817"/>
      <c r="BM209" s="817"/>
      <c r="BN209" s="817"/>
      <c r="BO209" s="817"/>
      <c r="BP209" s="817"/>
      <c r="BQ209" s="817"/>
      <c r="BR209" s="817"/>
      <c r="BS209" s="817"/>
      <c r="BT209" s="817">
        <v>60</v>
      </c>
      <c r="BU209" s="817"/>
    </row>
    <row r="210" spans="1:73" ht="29" x14ac:dyDescent="0.35">
      <c r="A210" s="806" t="s">
        <v>757</v>
      </c>
      <c r="B210" s="806" t="s">
        <v>765</v>
      </c>
      <c r="C210" s="817"/>
      <c r="D210" s="817"/>
      <c r="E210" s="817"/>
      <c r="F210" s="817"/>
      <c r="G210" s="816"/>
      <c r="H210" s="818">
        <v>1396626</v>
      </c>
      <c r="I210" s="818"/>
      <c r="J210" s="818"/>
      <c r="K210" s="818"/>
      <c r="L210" s="818"/>
      <c r="M210" s="818"/>
      <c r="N210" s="818"/>
      <c r="O210" s="818"/>
      <c r="P210" s="818"/>
      <c r="Q210" s="818"/>
      <c r="R210" s="818"/>
      <c r="S210" s="818"/>
      <c r="T210" s="818"/>
      <c r="U210" s="818">
        <v>1360000</v>
      </c>
      <c r="V210" s="818"/>
      <c r="W210" s="818"/>
      <c r="X210" s="818"/>
      <c r="Y210" s="818"/>
      <c r="Z210" s="818"/>
      <c r="AA210" s="818">
        <v>1500000</v>
      </c>
      <c r="AB210" s="816"/>
      <c r="AC210" s="818"/>
      <c r="AD210" s="818"/>
      <c r="AE210" s="818"/>
      <c r="AF210" s="818">
        <v>200000</v>
      </c>
      <c r="AG210" s="818"/>
      <c r="AH210" s="818"/>
      <c r="AI210" s="818"/>
      <c r="AJ210" s="818">
        <v>5000000</v>
      </c>
      <c r="AK210" s="818">
        <v>1200000</v>
      </c>
      <c r="AL210" s="818"/>
      <c r="AM210" s="818"/>
      <c r="AN210" s="818"/>
      <c r="AO210" s="818"/>
      <c r="AP210" s="818">
        <v>600000</v>
      </c>
      <c r="AQ210" s="818"/>
      <c r="AR210" s="818">
        <v>480000</v>
      </c>
      <c r="AS210" s="818">
        <v>1200000</v>
      </c>
      <c r="AT210" s="818">
        <v>600000</v>
      </c>
      <c r="AU210" s="818">
        <v>360000</v>
      </c>
      <c r="AV210" s="818">
        <v>550000</v>
      </c>
      <c r="AW210" s="818"/>
      <c r="AX210" s="818"/>
      <c r="AY210" s="818"/>
      <c r="AZ210" s="818"/>
      <c r="BA210" s="818"/>
      <c r="BB210" s="818"/>
      <c r="BC210" s="818">
        <v>5000000</v>
      </c>
      <c r="BD210" s="818"/>
      <c r="BE210" s="818"/>
      <c r="BF210" s="818"/>
      <c r="BG210" s="818"/>
      <c r="BH210" s="818">
        <v>5000000</v>
      </c>
      <c r="BI210" s="818">
        <v>165000</v>
      </c>
      <c r="BJ210" s="818"/>
      <c r="BK210" s="817"/>
      <c r="BM210" s="818"/>
      <c r="BN210" s="818"/>
      <c r="BO210" s="818"/>
      <c r="BP210" s="818"/>
      <c r="BQ210" s="818"/>
      <c r="BR210" s="818"/>
      <c r="BS210" s="818"/>
      <c r="BT210" s="818">
        <v>540000</v>
      </c>
      <c r="BU210" s="818"/>
    </row>
    <row r="211" spans="1:73" ht="29" x14ac:dyDescent="0.35">
      <c r="A211" s="806" t="s">
        <v>757</v>
      </c>
      <c r="B211" s="806" t="s">
        <v>1186</v>
      </c>
      <c r="C211" s="806"/>
      <c r="D211" s="806"/>
      <c r="E211" s="806"/>
      <c r="F211" s="806"/>
      <c r="H211" s="817">
        <v>0</v>
      </c>
      <c r="I211" s="817"/>
      <c r="J211" s="817"/>
      <c r="K211" s="817"/>
      <c r="L211" s="817"/>
      <c r="M211" s="817"/>
      <c r="N211" s="817"/>
      <c r="O211" s="817"/>
      <c r="P211" s="817"/>
      <c r="Q211" s="817"/>
      <c r="R211" s="817"/>
      <c r="S211" s="817"/>
      <c r="T211" s="817"/>
      <c r="U211" s="817">
        <v>0</v>
      </c>
      <c r="V211" s="817"/>
      <c r="W211" s="817"/>
      <c r="X211" s="817"/>
      <c r="Y211" s="817"/>
      <c r="Z211" s="817"/>
      <c r="AA211" s="817">
        <v>0</v>
      </c>
      <c r="AC211" s="817"/>
      <c r="AD211" s="817"/>
      <c r="AE211" s="817"/>
      <c r="AF211" s="817">
        <v>0</v>
      </c>
      <c r="AG211" s="817"/>
      <c r="AH211" s="817"/>
      <c r="AI211" s="817"/>
      <c r="AJ211" s="817">
        <v>0</v>
      </c>
      <c r="AK211" s="817">
        <v>0</v>
      </c>
      <c r="AL211" s="817"/>
      <c r="AM211" s="817"/>
      <c r="AN211" s="817"/>
      <c r="AO211" s="817"/>
      <c r="AP211" s="817">
        <v>0</v>
      </c>
      <c r="AQ211" s="817"/>
      <c r="AR211" s="817">
        <v>0</v>
      </c>
      <c r="AS211" s="817">
        <v>0</v>
      </c>
      <c r="AT211" s="817">
        <v>0</v>
      </c>
      <c r="AU211" s="817">
        <v>0</v>
      </c>
      <c r="AV211" s="817">
        <v>0</v>
      </c>
      <c r="AW211" s="817"/>
      <c r="AX211" s="817"/>
      <c r="AY211" s="817"/>
      <c r="AZ211" s="817"/>
      <c r="BA211" s="817"/>
      <c r="BB211" s="817"/>
      <c r="BC211" s="817">
        <v>0</v>
      </c>
      <c r="BD211" s="817"/>
      <c r="BE211" s="817"/>
      <c r="BF211" s="817"/>
      <c r="BG211" s="817"/>
      <c r="BH211" s="817">
        <v>0</v>
      </c>
      <c r="BI211" s="817">
        <v>0</v>
      </c>
      <c r="BJ211" s="817"/>
      <c r="BM211" s="817"/>
      <c r="BN211" s="817"/>
      <c r="BO211" s="817"/>
      <c r="BQ211" s="817"/>
      <c r="BR211" s="817"/>
      <c r="BS211" s="817"/>
      <c r="BT211" s="817">
        <v>0</v>
      </c>
      <c r="BU211" s="817"/>
    </row>
    <row r="212" spans="1:73" ht="29" x14ac:dyDescent="0.35">
      <c r="A212" s="806" t="s">
        <v>757</v>
      </c>
      <c r="B212" s="806" t="s">
        <v>768</v>
      </c>
      <c r="C212" s="817"/>
      <c r="D212" s="817"/>
      <c r="E212" s="817"/>
      <c r="F212" s="817"/>
      <c r="G212" s="816"/>
      <c r="H212" s="816" t="s">
        <v>1959</v>
      </c>
      <c r="I212" s="816"/>
      <c r="J212" s="816"/>
      <c r="K212" s="816" t="s">
        <v>2475</v>
      </c>
      <c r="L212" s="816" t="s">
        <v>1959</v>
      </c>
      <c r="M212" s="816"/>
      <c r="N212" s="816" t="s">
        <v>1959</v>
      </c>
      <c r="O212" s="816"/>
      <c r="P212" s="816" t="s">
        <v>1959</v>
      </c>
      <c r="Q212" s="816"/>
      <c r="R212" s="816" t="s">
        <v>1959</v>
      </c>
      <c r="S212" s="816" t="s">
        <v>1959</v>
      </c>
      <c r="T212" s="816"/>
      <c r="U212" s="816" t="s">
        <v>1959</v>
      </c>
      <c r="V212" s="816"/>
      <c r="W212" s="816"/>
      <c r="X212" s="816"/>
      <c r="Y212" s="816" t="s">
        <v>1959</v>
      </c>
      <c r="Z212" s="816"/>
      <c r="AA212" s="816" t="s">
        <v>1959</v>
      </c>
      <c r="AB212" s="816"/>
      <c r="AC212" s="816"/>
      <c r="AD212" s="816"/>
      <c r="AE212" s="816" t="s">
        <v>1959</v>
      </c>
      <c r="AF212" s="816" t="s">
        <v>1959</v>
      </c>
      <c r="AG212" s="816" t="s">
        <v>1959</v>
      </c>
      <c r="AH212" s="816" t="s">
        <v>1959</v>
      </c>
      <c r="AI212" s="816"/>
      <c r="AJ212" s="816" t="s">
        <v>1959</v>
      </c>
      <c r="AK212" s="816" t="s">
        <v>1959</v>
      </c>
      <c r="AL212" s="816" t="s">
        <v>1959</v>
      </c>
      <c r="AM212" s="816" t="s">
        <v>1959</v>
      </c>
      <c r="AN212" s="816"/>
      <c r="AO212" s="816"/>
      <c r="AP212" s="816" t="s">
        <v>1959</v>
      </c>
      <c r="AQ212" s="816" t="s">
        <v>1959</v>
      </c>
      <c r="AR212" s="816" t="s">
        <v>1959</v>
      </c>
      <c r="AS212" s="816" t="s">
        <v>1959</v>
      </c>
      <c r="AT212" s="816" t="s">
        <v>1959</v>
      </c>
      <c r="AU212" s="816" t="s">
        <v>1959</v>
      </c>
      <c r="AV212" s="816" t="s">
        <v>1959</v>
      </c>
      <c r="AW212" s="816"/>
      <c r="AX212" s="816"/>
      <c r="AY212" s="816" t="s">
        <v>1959</v>
      </c>
      <c r="AZ212" s="816" t="s">
        <v>2475</v>
      </c>
      <c r="BA212" s="816"/>
      <c r="BB212" s="816" t="s">
        <v>1959</v>
      </c>
      <c r="BC212" s="816" t="s">
        <v>1959</v>
      </c>
      <c r="BD212" s="816"/>
      <c r="BE212" s="816" t="s">
        <v>1959</v>
      </c>
      <c r="BF212" s="816"/>
      <c r="BG212" s="816"/>
      <c r="BH212" s="816" t="s">
        <v>1959</v>
      </c>
      <c r="BI212" s="816" t="s">
        <v>1959</v>
      </c>
      <c r="BJ212" s="816"/>
      <c r="BK212" s="817"/>
      <c r="BM212" s="816"/>
      <c r="BN212" s="816" t="s">
        <v>1959</v>
      </c>
      <c r="BO212" s="816"/>
      <c r="BP212" s="817"/>
      <c r="BQ212" s="816"/>
      <c r="BR212" s="816"/>
      <c r="BS212" s="816" t="s">
        <v>1959</v>
      </c>
      <c r="BT212" s="816" t="s">
        <v>1959</v>
      </c>
      <c r="BU212" s="816"/>
    </row>
    <row r="213" spans="1:73" ht="29" x14ac:dyDescent="0.35">
      <c r="A213" s="806" t="s">
        <v>757</v>
      </c>
      <c r="B213" s="806" t="s">
        <v>1199</v>
      </c>
      <c r="C213" s="806"/>
      <c r="D213" s="806"/>
      <c r="E213" s="806"/>
      <c r="F213" s="806"/>
      <c r="H213" s="817"/>
      <c r="I213" s="817"/>
      <c r="J213" s="817"/>
      <c r="K213" s="817">
        <v>40</v>
      </c>
      <c r="L213" s="817"/>
      <c r="M213" s="817"/>
      <c r="N213" s="817"/>
      <c r="O213" s="817"/>
      <c r="P213" s="817"/>
      <c r="Q213" s="817"/>
      <c r="R213" s="817"/>
      <c r="S213" s="817"/>
      <c r="T213" s="817"/>
      <c r="U213" s="817"/>
      <c r="V213" s="817"/>
      <c r="W213" s="817"/>
      <c r="X213" s="817"/>
      <c r="Y213" s="817"/>
      <c r="Z213" s="817"/>
      <c r="AA213" s="817"/>
      <c r="AC213" s="817"/>
      <c r="AD213" s="817"/>
      <c r="AE213" s="817"/>
      <c r="AF213" s="817"/>
      <c r="AG213" s="817"/>
      <c r="AH213" s="817"/>
      <c r="AI213" s="817"/>
      <c r="AJ213" s="817"/>
      <c r="AK213" s="817"/>
      <c r="AL213" s="817"/>
      <c r="AM213" s="817"/>
      <c r="AN213" s="817"/>
      <c r="AO213" s="817"/>
      <c r="AP213" s="817"/>
      <c r="AQ213" s="817"/>
      <c r="AR213" s="817"/>
      <c r="AS213" s="817"/>
      <c r="AT213" s="817"/>
      <c r="AU213" s="817"/>
      <c r="AV213" s="817"/>
      <c r="AW213" s="817"/>
      <c r="AX213" s="817"/>
      <c r="AY213" s="817"/>
      <c r="AZ213" s="817">
        <v>30</v>
      </c>
      <c r="BA213" s="817"/>
      <c r="BB213" s="817"/>
      <c r="BC213" s="817"/>
      <c r="BD213" s="817"/>
      <c r="BE213" s="817"/>
      <c r="BF213" s="817"/>
      <c r="BG213" s="817"/>
      <c r="BH213" s="817"/>
      <c r="BI213" s="817"/>
      <c r="BJ213" s="817"/>
      <c r="BM213" s="817"/>
      <c r="BN213" s="817"/>
      <c r="BO213" s="817"/>
      <c r="BQ213" s="817"/>
      <c r="BR213" s="817"/>
      <c r="BS213" s="817"/>
      <c r="BT213" s="817"/>
      <c r="BU213" s="817"/>
    </row>
    <row r="214" spans="1:73" ht="29" x14ac:dyDescent="0.35">
      <c r="A214" s="806" t="s">
        <v>757</v>
      </c>
      <c r="B214" s="806" t="s">
        <v>1195</v>
      </c>
      <c r="C214" s="806"/>
      <c r="D214" s="806"/>
      <c r="E214" s="806"/>
      <c r="F214" s="806"/>
      <c r="H214" s="817"/>
      <c r="I214" s="817"/>
      <c r="J214" s="817"/>
      <c r="K214" s="817">
        <v>9</v>
      </c>
      <c r="L214" s="817"/>
      <c r="M214" s="817"/>
      <c r="N214" s="817"/>
      <c r="O214" s="817"/>
      <c r="P214" s="817"/>
      <c r="Q214" s="817"/>
      <c r="R214" s="817"/>
      <c r="S214" s="817"/>
      <c r="T214" s="817"/>
      <c r="U214" s="817"/>
      <c r="V214" s="817"/>
      <c r="W214" s="817"/>
      <c r="X214" s="817"/>
      <c r="Y214" s="817"/>
      <c r="Z214" s="817"/>
      <c r="AA214" s="817"/>
      <c r="AC214" s="817"/>
      <c r="AD214" s="817"/>
      <c r="AE214" s="817"/>
      <c r="AF214" s="817"/>
      <c r="AG214" s="817"/>
      <c r="AH214" s="817"/>
      <c r="AI214" s="817"/>
      <c r="AJ214" s="817"/>
      <c r="AK214" s="817"/>
      <c r="AL214" s="817"/>
      <c r="AM214" s="817"/>
      <c r="AN214" s="817"/>
      <c r="AO214" s="817"/>
      <c r="AP214" s="817"/>
      <c r="AQ214" s="817"/>
      <c r="AR214" s="817"/>
      <c r="AS214" s="817"/>
      <c r="AT214" s="817"/>
      <c r="AU214" s="817"/>
      <c r="AV214" s="817"/>
      <c r="AW214" s="817"/>
      <c r="AX214" s="817"/>
      <c r="AY214" s="817"/>
      <c r="AZ214" s="817">
        <v>12</v>
      </c>
      <c r="BA214" s="817"/>
      <c r="BB214" s="817"/>
      <c r="BC214" s="817"/>
      <c r="BD214" s="817"/>
      <c r="BE214" s="817"/>
      <c r="BF214" s="817"/>
      <c r="BG214" s="817"/>
      <c r="BH214" s="817"/>
      <c r="BI214" s="817"/>
      <c r="BJ214" s="817"/>
      <c r="BM214" s="817"/>
      <c r="BN214" s="817"/>
      <c r="BO214" s="817"/>
      <c r="BQ214" s="817"/>
      <c r="BR214" s="817"/>
      <c r="BS214" s="817"/>
      <c r="BT214" s="817"/>
      <c r="BU214" s="817"/>
    </row>
    <row r="215" spans="1:73" ht="29" x14ac:dyDescent="0.35">
      <c r="A215" s="806" t="s">
        <v>757</v>
      </c>
      <c r="B215" s="806" t="s">
        <v>1196</v>
      </c>
      <c r="C215" s="806"/>
      <c r="D215" s="806"/>
      <c r="E215" s="806"/>
      <c r="F215" s="806"/>
      <c r="H215" s="817"/>
      <c r="I215" s="817"/>
      <c r="J215" s="817"/>
      <c r="K215" s="817">
        <v>8</v>
      </c>
      <c r="L215" s="817"/>
      <c r="M215" s="817"/>
      <c r="N215" s="817"/>
      <c r="O215" s="817"/>
      <c r="P215" s="817"/>
      <c r="Q215" s="817"/>
      <c r="R215" s="817"/>
      <c r="S215" s="817"/>
      <c r="T215" s="817"/>
      <c r="U215" s="817"/>
      <c r="V215" s="817"/>
      <c r="W215" s="817"/>
      <c r="X215" s="817"/>
      <c r="Y215" s="817"/>
      <c r="Z215" s="817"/>
      <c r="AA215" s="817"/>
      <c r="AC215" s="817"/>
      <c r="AD215" s="817"/>
      <c r="AE215" s="817"/>
      <c r="AF215" s="817"/>
      <c r="AG215" s="817"/>
      <c r="AH215" s="817"/>
      <c r="AI215" s="817"/>
      <c r="AJ215" s="817"/>
      <c r="AK215" s="817"/>
      <c r="AL215" s="817"/>
      <c r="AM215" s="817"/>
      <c r="AN215" s="817"/>
      <c r="AO215" s="817"/>
      <c r="AP215" s="817"/>
      <c r="AQ215" s="817"/>
      <c r="AR215" s="817"/>
      <c r="AS215" s="817"/>
      <c r="AT215" s="817"/>
      <c r="AU215" s="817"/>
      <c r="AV215" s="817"/>
      <c r="AW215" s="817"/>
      <c r="AX215" s="817"/>
      <c r="AY215" s="817"/>
      <c r="AZ215" s="817">
        <v>16</v>
      </c>
      <c r="BA215" s="817"/>
      <c r="BB215" s="817"/>
      <c r="BC215" s="817"/>
      <c r="BD215" s="817"/>
      <c r="BE215" s="817"/>
      <c r="BF215" s="817"/>
      <c r="BG215" s="817"/>
      <c r="BH215" s="817"/>
      <c r="BI215" s="817"/>
      <c r="BJ215" s="817"/>
      <c r="BM215" s="817"/>
      <c r="BN215" s="817"/>
      <c r="BO215" s="817"/>
      <c r="BQ215" s="817"/>
      <c r="BR215" s="817"/>
      <c r="BS215" s="817"/>
      <c r="BT215" s="817"/>
      <c r="BU215" s="817"/>
    </row>
    <row r="216" spans="1:73" ht="29" x14ac:dyDescent="0.35">
      <c r="A216" s="806" t="s">
        <v>757</v>
      </c>
      <c r="B216" s="806" t="s">
        <v>1194</v>
      </c>
      <c r="C216" s="806"/>
      <c r="D216" s="806"/>
      <c r="E216" s="806"/>
      <c r="F216" s="806"/>
      <c r="H216" s="817"/>
      <c r="I216" s="817"/>
      <c r="J216" s="817"/>
      <c r="K216" s="817">
        <v>0</v>
      </c>
      <c r="L216" s="817"/>
      <c r="M216" s="817"/>
      <c r="N216" s="817"/>
      <c r="O216" s="817"/>
      <c r="P216" s="817"/>
      <c r="Q216" s="817"/>
      <c r="R216" s="817"/>
      <c r="S216" s="817"/>
      <c r="T216" s="817"/>
      <c r="U216" s="817"/>
      <c r="V216" s="817"/>
      <c r="W216" s="817"/>
      <c r="X216" s="817"/>
      <c r="Y216" s="817"/>
      <c r="Z216" s="817"/>
      <c r="AA216" s="817"/>
      <c r="AC216" s="817"/>
      <c r="AD216" s="817"/>
      <c r="AE216" s="817"/>
      <c r="AF216" s="817"/>
      <c r="AG216" s="817"/>
      <c r="AH216" s="817"/>
      <c r="AI216" s="817"/>
      <c r="AJ216" s="817"/>
      <c r="AK216" s="817"/>
      <c r="AL216" s="817"/>
      <c r="AM216" s="817"/>
      <c r="AN216" s="817"/>
      <c r="AO216" s="817"/>
      <c r="AP216" s="817"/>
      <c r="AQ216" s="817"/>
      <c r="AR216" s="817"/>
      <c r="AS216" s="817"/>
      <c r="AT216" s="817"/>
      <c r="AU216" s="817"/>
      <c r="AV216" s="817"/>
      <c r="AW216" s="817"/>
      <c r="AX216" s="817"/>
      <c r="AY216" s="817"/>
      <c r="AZ216" s="817">
        <v>0</v>
      </c>
      <c r="BA216" s="817"/>
      <c r="BB216" s="817"/>
      <c r="BC216" s="817"/>
      <c r="BD216" s="817"/>
      <c r="BE216" s="817"/>
      <c r="BF216" s="817"/>
      <c r="BG216" s="817"/>
      <c r="BH216" s="817"/>
      <c r="BI216" s="817"/>
      <c r="BJ216" s="817"/>
      <c r="BM216" s="817"/>
      <c r="BN216" s="817"/>
      <c r="BO216" s="817"/>
      <c r="BQ216" s="817"/>
      <c r="BR216" s="817"/>
      <c r="BS216" s="817"/>
      <c r="BT216" s="817"/>
      <c r="BU216" s="817"/>
    </row>
    <row r="217" spans="1:73" ht="29" x14ac:dyDescent="0.35">
      <c r="A217" s="806" t="s">
        <v>757</v>
      </c>
      <c r="B217" s="806" t="s">
        <v>1198</v>
      </c>
      <c r="C217" s="806"/>
      <c r="D217" s="806"/>
      <c r="E217" s="806"/>
      <c r="F217" s="806"/>
      <c r="H217" s="817"/>
      <c r="I217" s="817"/>
      <c r="J217" s="817"/>
      <c r="K217" s="817">
        <v>0</v>
      </c>
      <c r="L217" s="817"/>
      <c r="M217" s="817"/>
      <c r="N217" s="817"/>
      <c r="O217" s="817"/>
      <c r="P217" s="817"/>
      <c r="Q217" s="817"/>
      <c r="R217" s="817"/>
      <c r="S217" s="817"/>
      <c r="T217" s="817"/>
      <c r="U217" s="817"/>
      <c r="V217" s="817"/>
      <c r="W217" s="817"/>
      <c r="X217" s="817"/>
      <c r="Y217" s="817"/>
      <c r="Z217" s="817"/>
      <c r="AA217" s="817"/>
      <c r="AC217" s="817"/>
      <c r="AD217" s="817"/>
      <c r="AE217" s="817"/>
      <c r="AF217" s="817"/>
      <c r="AG217" s="817"/>
      <c r="AH217" s="817"/>
      <c r="AI217" s="817"/>
      <c r="AJ217" s="817"/>
      <c r="AK217" s="817"/>
      <c r="AL217" s="817"/>
      <c r="AM217" s="817"/>
      <c r="AN217" s="817"/>
      <c r="AO217" s="817"/>
      <c r="AP217" s="817"/>
      <c r="AQ217" s="817"/>
      <c r="AR217" s="817"/>
      <c r="AS217" s="817"/>
      <c r="AT217" s="817"/>
      <c r="AU217" s="817"/>
      <c r="AV217" s="817"/>
      <c r="AW217" s="817"/>
      <c r="AX217" s="817"/>
      <c r="AY217" s="817"/>
      <c r="AZ217" s="817">
        <v>0</v>
      </c>
      <c r="BA217" s="817"/>
      <c r="BB217" s="817"/>
      <c r="BC217" s="817"/>
      <c r="BD217" s="817"/>
      <c r="BE217" s="817"/>
      <c r="BF217" s="817"/>
      <c r="BG217" s="817"/>
      <c r="BH217" s="817"/>
      <c r="BI217" s="817"/>
      <c r="BJ217" s="817"/>
      <c r="BM217" s="817"/>
      <c r="BN217" s="817"/>
      <c r="BO217" s="817"/>
      <c r="BQ217" s="817"/>
      <c r="BR217" s="817"/>
      <c r="BS217" s="817"/>
      <c r="BT217" s="817"/>
      <c r="BU217" s="817"/>
    </row>
    <row r="218" spans="1:73" ht="29" x14ac:dyDescent="0.35">
      <c r="A218" s="806" t="s">
        <v>757</v>
      </c>
      <c r="B218" s="806" t="s">
        <v>1197</v>
      </c>
      <c r="C218" s="806"/>
      <c r="D218" s="806"/>
      <c r="E218" s="806"/>
      <c r="F218" s="806"/>
      <c r="H218" s="817"/>
      <c r="I218" s="817"/>
      <c r="J218" s="817"/>
      <c r="K218" s="817">
        <v>10</v>
      </c>
      <c r="L218" s="817"/>
      <c r="M218" s="817"/>
      <c r="N218" s="817"/>
      <c r="O218" s="817"/>
      <c r="P218" s="817"/>
      <c r="Q218" s="817"/>
      <c r="R218" s="817"/>
      <c r="S218" s="817"/>
      <c r="T218" s="817"/>
      <c r="U218" s="817"/>
      <c r="V218" s="817"/>
      <c r="W218" s="817"/>
      <c r="X218" s="817"/>
      <c r="Y218" s="817"/>
      <c r="Z218" s="817"/>
      <c r="AA218" s="817"/>
      <c r="AC218" s="817"/>
      <c r="AD218" s="817"/>
      <c r="AE218" s="817"/>
      <c r="AF218" s="817"/>
      <c r="AG218" s="817"/>
      <c r="AH218" s="817"/>
      <c r="AI218" s="817"/>
      <c r="AJ218" s="817"/>
      <c r="AK218" s="817"/>
      <c r="AL218" s="817"/>
      <c r="AM218" s="817"/>
      <c r="AN218" s="817"/>
      <c r="AO218" s="817"/>
      <c r="AP218" s="817"/>
      <c r="AQ218" s="817"/>
      <c r="AR218" s="817"/>
      <c r="AS218" s="817"/>
      <c r="AT218" s="817"/>
      <c r="AU218" s="817"/>
      <c r="AV218" s="817"/>
      <c r="AW218" s="817"/>
      <c r="AX218" s="817"/>
      <c r="AY218" s="817"/>
      <c r="AZ218" s="817">
        <v>0</v>
      </c>
      <c r="BA218" s="817"/>
      <c r="BB218" s="817"/>
      <c r="BC218" s="817"/>
      <c r="BD218" s="817"/>
      <c r="BE218" s="817"/>
      <c r="BF218" s="817"/>
      <c r="BG218" s="817"/>
      <c r="BH218" s="817"/>
      <c r="BI218" s="817"/>
      <c r="BJ218" s="817"/>
      <c r="BM218" s="817"/>
      <c r="BN218" s="817"/>
      <c r="BO218" s="817"/>
      <c r="BQ218" s="817"/>
      <c r="BR218" s="817"/>
      <c r="BS218" s="817"/>
      <c r="BT218" s="817"/>
      <c r="BU218" s="817"/>
    </row>
    <row r="219" spans="1:73" x14ac:dyDescent="0.35">
      <c r="A219" s="806" t="s">
        <v>757</v>
      </c>
      <c r="B219" s="806" t="s">
        <v>769</v>
      </c>
      <c r="C219" s="817"/>
      <c r="D219" s="817"/>
      <c r="E219" s="817"/>
      <c r="F219" s="817"/>
      <c r="G219" s="818"/>
      <c r="H219" s="817"/>
      <c r="I219" s="817"/>
      <c r="J219" s="817"/>
      <c r="K219" s="817">
        <v>67</v>
      </c>
      <c r="L219" s="817"/>
      <c r="M219" s="817"/>
      <c r="N219" s="817"/>
      <c r="O219" s="817"/>
      <c r="P219" s="817"/>
      <c r="Q219" s="817"/>
      <c r="R219" s="817"/>
      <c r="S219" s="817"/>
      <c r="T219" s="817"/>
      <c r="U219" s="817"/>
      <c r="V219" s="817"/>
      <c r="W219" s="817"/>
      <c r="X219" s="817"/>
      <c r="Y219" s="817"/>
      <c r="Z219" s="817"/>
      <c r="AA219" s="817"/>
      <c r="AB219" s="818"/>
      <c r="AC219" s="817"/>
      <c r="AD219" s="817"/>
      <c r="AE219" s="817"/>
      <c r="AF219" s="817"/>
      <c r="AG219" s="817"/>
      <c r="AH219" s="817"/>
      <c r="AI219" s="817"/>
      <c r="AJ219" s="817"/>
      <c r="AK219" s="817"/>
      <c r="AL219" s="817"/>
      <c r="AM219" s="817"/>
      <c r="AN219" s="817"/>
      <c r="AO219" s="817"/>
      <c r="AP219" s="817"/>
      <c r="AQ219" s="817"/>
      <c r="AR219" s="817"/>
      <c r="AS219" s="817"/>
      <c r="AT219" s="817"/>
      <c r="AU219" s="817"/>
      <c r="AV219" s="817"/>
      <c r="AW219" s="817"/>
      <c r="AX219" s="817"/>
      <c r="AY219" s="817"/>
      <c r="AZ219" s="817">
        <v>58</v>
      </c>
      <c r="BA219" s="817"/>
      <c r="BB219" s="817"/>
      <c r="BC219" s="817"/>
      <c r="BD219" s="817"/>
      <c r="BE219" s="817"/>
      <c r="BF219" s="817"/>
      <c r="BG219" s="817"/>
      <c r="BH219" s="817"/>
      <c r="BI219" s="817"/>
      <c r="BJ219" s="817"/>
      <c r="BK219" s="817"/>
      <c r="BM219" s="817"/>
      <c r="BN219" s="817"/>
      <c r="BO219" s="817"/>
      <c r="BP219" s="817"/>
      <c r="BQ219" s="817"/>
      <c r="BR219" s="817"/>
      <c r="BS219" s="817"/>
      <c r="BT219" s="817"/>
      <c r="BU219" s="817"/>
    </row>
    <row r="220" spans="1:73" ht="29" x14ac:dyDescent="0.35">
      <c r="A220" s="806" t="s">
        <v>757</v>
      </c>
      <c r="B220" s="806" t="s">
        <v>770</v>
      </c>
      <c r="C220" s="817"/>
      <c r="D220" s="817"/>
      <c r="E220" s="817"/>
      <c r="F220" s="817"/>
      <c r="G220" s="816"/>
      <c r="H220" s="818"/>
      <c r="I220" s="818"/>
      <c r="J220" s="818"/>
      <c r="K220" s="818">
        <v>1200000</v>
      </c>
      <c r="L220" s="818"/>
      <c r="M220" s="818"/>
      <c r="N220" s="818"/>
      <c r="O220" s="818"/>
      <c r="P220" s="818"/>
      <c r="Q220" s="818"/>
      <c r="R220" s="818"/>
      <c r="S220" s="818"/>
      <c r="T220" s="818"/>
      <c r="U220" s="818"/>
      <c r="V220" s="818"/>
      <c r="W220" s="818"/>
      <c r="X220" s="818"/>
      <c r="Y220" s="818"/>
      <c r="Z220" s="818"/>
      <c r="AA220" s="818"/>
      <c r="AB220" s="816"/>
      <c r="AC220" s="818"/>
      <c r="AD220" s="818"/>
      <c r="AE220" s="818"/>
      <c r="AF220" s="818"/>
      <c r="AG220" s="818"/>
      <c r="AH220" s="818"/>
      <c r="AI220" s="818"/>
      <c r="AJ220" s="818"/>
      <c r="AK220" s="818"/>
      <c r="AL220" s="818"/>
      <c r="AM220" s="818"/>
      <c r="AN220" s="818"/>
      <c r="AO220" s="818"/>
      <c r="AP220" s="818"/>
      <c r="AQ220" s="818"/>
      <c r="AR220" s="818"/>
      <c r="AS220" s="818"/>
      <c r="AT220" s="818"/>
      <c r="AU220" s="818"/>
      <c r="AV220" s="818"/>
      <c r="AW220" s="818"/>
      <c r="AX220" s="818"/>
      <c r="AY220" s="818"/>
      <c r="AZ220" s="818">
        <v>440000</v>
      </c>
      <c r="BA220" s="818"/>
      <c r="BB220" s="818"/>
      <c r="BC220" s="818"/>
      <c r="BD220" s="818"/>
      <c r="BE220" s="818"/>
      <c r="BF220" s="818"/>
      <c r="BG220" s="818"/>
      <c r="BH220" s="818"/>
      <c r="BI220" s="818"/>
      <c r="BJ220" s="818"/>
      <c r="BK220" s="817"/>
      <c r="BM220" s="818"/>
      <c r="BN220" s="818"/>
      <c r="BO220" s="818"/>
      <c r="BP220" s="817"/>
      <c r="BQ220" s="818"/>
      <c r="BR220" s="818"/>
      <c r="BS220" s="818"/>
      <c r="BT220" s="818"/>
      <c r="BU220" s="818"/>
    </row>
    <row r="221" spans="1:73" ht="29" x14ac:dyDescent="0.35">
      <c r="A221" s="806" t="s">
        <v>757</v>
      </c>
      <c r="B221" s="806" t="s">
        <v>1200</v>
      </c>
      <c r="C221" s="806"/>
      <c r="D221" s="806"/>
      <c r="E221" s="806"/>
      <c r="F221" s="806"/>
      <c r="H221" s="817"/>
      <c r="I221" s="817"/>
      <c r="J221" s="817"/>
      <c r="K221" s="817">
        <v>0</v>
      </c>
      <c r="L221" s="817"/>
      <c r="M221" s="817"/>
      <c r="N221" s="817"/>
      <c r="O221" s="817"/>
      <c r="P221" s="817"/>
      <c r="Q221" s="817"/>
      <c r="R221" s="817"/>
      <c r="S221" s="817"/>
      <c r="T221" s="817"/>
      <c r="U221" s="817"/>
      <c r="V221" s="817"/>
      <c r="W221" s="817"/>
      <c r="X221" s="817"/>
      <c r="Y221" s="817"/>
      <c r="Z221" s="817"/>
      <c r="AA221" s="817"/>
      <c r="AC221" s="817"/>
      <c r="AD221" s="817"/>
      <c r="AE221" s="817"/>
      <c r="AF221" s="817"/>
      <c r="AG221" s="817"/>
      <c r="AH221" s="817"/>
      <c r="AI221" s="817"/>
      <c r="AJ221" s="817"/>
      <c r="AK221" s="817"/>
      <c r="AL221" s="817"/>
      <c r="AM221" s="817"/>
      <c r="AN221" s="817"/>
      <c r="AO221" s="817"/>
      <c r="AP221" s="817"/>
      <c r="AQ221" s="817"/>
      <c r="AR221" s="817"/>
      <c r="AS221" s="817"/>
      <c r="AT221" s="817"/>
      <c r="AU221" s="817"/>
      <c r="AV221" s="817"/>
      <c r="AW221" s="817"/>
      <c r="AX221" s="817"/>
      <c r="AY221" s="817"/>
      <c r="AZ221" s="817">
        <v>0</v>
      </c>
      <c r="BA221" s="817"/>
      <c r="BB221" s="817"/>
      <c r="BC221" s="817"/>
      <c r="BD221" s="817"/>
      <c r="BE221" s="817"/>
      <c r="BF221" s="817"/>
      <c r="BG221" s="817"/>
      <c r="BH221" s="817"/>
      <c r="BI221" s="817"/>
      <c r="BJ221" s="817"/>
      <c r="BM221" s="817"/>
      <c r="BN221" s="817"/>
      <c r="BO221" s="817"/>
      <c r="BQ221" s="817"/>
      <c r="BR221" s="817"/>
      <c r="BS221" s="817"/>
      <c r="BT221" s="817"/>
      <c r="BU221" s="817"/>
    </row>
    <row r="222" spans="1:73" ht="29" x14ac:dyDescent="0.35">
      <c r="A222" s="806" t="s">
        <v>757</v>
      </c>
      <c r="B222" s="806" t="s">
        <v>1639</v>
      </c>
      <c r="C222" s="806"/>
      <c r="D222" s="806"/>
      <c r="E222" s="806"/>
      <c r="F222" s="806"/>
      <c r="H222" s="816" t="s">
        <v>198</v>
      </c>
      <c r="I222" s="816"/>
      <c r="K222" s="816" t="s">
        <v>198</v>
      </c>
      <c r="L222" s="816" t="s">
        <v>198</v>
      </c>
      <c r="M222" s="816"/>
      <c r="N222" s="816" t="s">
        <v>198</v>
      </c>
      <c r="O222" s="816"/>
      <c r="P222" s="816" t="s">
        <v>198</v>
      </c>
      <c r="Q222" s="816"/>
      <c r="R222" s="816" t="s">
        <v>198</v>
      </c>
      <c r="S222" s="816" t="s">
        <v>198</v>
      </c>
      <c r="T222" s="816"/>
      <c r="U222" s="816" t="s">
        <v>198</v>
      </c>
      <c r="V222" s="816"/>
      <c r="W222" s="816"/>
      <c r="X222" s="816"/>
      <c r="Y222" s="816" t="s">
        <v>198</v>
      </c>
      <c r="Z222" s="816"/>
      <c r="AA222" s="816" t="s">
        <v>198</v>
      </c>
      <c r="AC222" s="816"/>
      <c r="AD222" s="816"/>
      <c r="AE222" s="816" t="s">
        <v>198</v>
      </c>
      <c r="AF222" s="816" t="s">
        <v>198</v>
      </c>
      <c r="AG222" s="816" t="s">
        <v>198</v>
      </c>
      <c r="AH222" s="816" t="s">
        <v>198</v>
      </c>
      <c r="AI222" s="816"/>
      <c r="AJ222" s="816" t="s">
        <v>198</v>
      </c>
      <c r="AK222" s="816" t="s">
        <v>198</v>
      </c>
      <c r="AL222" s="816" t="s">
        <v>198</v>
      </c>
      <c r="AM222" s="816" t="s">
        <v>198</v>
      </c>
      <c r="AP222" s="816" t="s">
        <v>198</v>
      </c>
      <c r="AQ222" s="816"/>
      <c r="AR222" s="816" t="s">
        <v>198</v>
      </c>
      <c r="AS222" s="816" t="s">
        <v>198</v>
      </c>
      <c r="AT222" s="816" t="s">
        <v>198</v>
      </c>
      <c r="AU222" s="816" t="s">
        <v>198</v>
      </c>
      <c r="AV222" s="816" t="s">
        <v>198</v>
      </c>
      <c r="AX222" s="816"/>
      <c r="AY222" s="816" t="s">
        <v>198</v>
      </c>
      <c r="AZ222" s="816" t="s">
        <v>198</v>
      </c>
      <c r="BA222" s="816"/>
      <c r="BB222" s="816" t="s">
        <v>198</v>
      </c>
      <c r="BC222" s="816" t="s">
        <v>198</v>
      </c>
      <c r="BD222" s="816"/>
      <c r="BE222" s="816" t="s">
        <v>198</v>
      </c>
      <c r="BG222" s="816"/>
      <c r="BH222" s="816" t="s">
        <v>198</v>
      </c>
      <c r="BI222" s="816" t="s">
        <v>198</v>
      </c>
      <c r="BJ222" s="816"/>
      <c r="BM222" s="816"/>
      <c r="BN222" s="816"/>
      <c r="BO222" s="816"/>
      <c r="BQ222" s="816"/>
      <c r="BR222" s="816"/>
      <c r="BS222" s="816" t="s">
        <v>198</v>
      </c>
      <c r="BT222" s="816" t="s">
        <v>198</v>
      </c>
      <c r="BU222" s="816"/>
    </row>
    <row r="223" spans="1:73" x14ac:dyDescent="0.35">
      <c r="A223" s="806" t="s">
        <v>757</v>
      </c>
      <c r="B223" s="806" t="s">
        <v>1640</v>
      </c>
      <c r="C223" s="806"/>
      <c r="D223" s="806"/>
      <c r="E223" s="806"/>
      <c r="F223" s="806"/>
      <c r="H223" s="816" t="s">
        <v>198</v>
      </c>
      <c r="I223" s="816"/>
      <c r="K223" s="816" t="s">
        <v>198</v>
      </c>
      <c r="L223" s="816" t="s">
        <v>198</v>
      </c>
      <c r="M223" s="816"/>
      <c r="N223" s="816" t="s">
        <v>198</v>
      </c>
      <c r="O223" s="816"/>
      <c r="P223" s="816" t="s">
        <v>198</v>
      </c>
      <c r="Q223" s="816"/>
      <c r="R223" s="816" t="s">
        <v>198</v>
      </c>
      <c r="S223" s="816" t="s">
        <v>198</v>
      </c>
      <c r="T223" s="816"/>
      <c r="U223" s="816" t="s">
        <v>198</v>
      </c>
      <c r="V223" s="816"/>
      <c r="W223" s="816"/>
      <c r="X223" s="816"/>
      <c r="Y223" s="816" t="s">
        <v>198</v>
      </c>
      <c r="Z223" s="816"/>
      <c r="AA223" s="816" t="s">
        <v>198</v>
      </c>
      <c r="AC223" s="816"/>
      <c r="AD223" s="816"/>
      <c r="AE223" s="816" t="s">
        <v>198</v>
      </c>
      <c r="AF223" s="816" t="s">
        <v>198</v>
      </c>
      <c r="AG223" s="816" t="s">
        <v>198</v>
      </c>
      <c r="AH223" s="816" t="s">
        <v>198</v>
      </c>
      <c r="AI223" s="816"/>
      <c r="AJ223" s="816" t="s">
        <v>198</v>
      </c>
      <c r="AK223" s="816" t="s">
        <v>198</v>
      </c>
      <c r="AL223" s="816" t="s">
        <v>198</v>
      </c>
      <c r="AM223" s="816" t="s">
        <v>198</v>
      </c>
      <c r="AP223" s="816" t="s">
        <v>198</v>
      </c>
      <c r="AQ223" s="816"/>
      <c r="AR223" s="816" t="s">
        <v>198</v>
      </c>
      <c r="AS223" s="816" t="s">
        <v>198</v>
      </c>
      <c r="AT223" s="816" t="s">
        <v>198</v>
      </c>
      <c r="AU223" s="816" t="s">
        <v>198</v>
      </c>
      <c r="AV223" s="816" t="s">
        <v>198</v>
      </c>
      <c r="AX223" s="816"/>
      <c r="AY223" s="816" t="s">
        <v>198</v>
      </c>
      <c r="AZ223" s="816" t="s">
        <v>198</v>
      </c>
      <c r="BA223" s="816"/>
      <c r="BB223" s="816" t="s">
        <v>198</v>
      </c>
      <c r="BC223" s="816" t="s">
        <v>198</v>
      </c>
      <c r="BD223" s="816"/>
      <c r="BE223" s="816" t="s">
        <v>198</v>
      </c>
      <c r="BG223" s="816"/>
      <c r="BH223" s="816" t="s">
        <v>198</v>
      </c>
      <c r="BI223" s="816" t="s">
        <v>198</v>
      </c>
      <c r="BJ223" s="816"/>
      <c r="BM223" s="816"/>
      <c r="BN223" s="816"/>
      <c r="BO223" s="816"/>
      <c r="BQ223" s="816"/>
      <c r="BR223" s="816"/>
      <c r="BS223" s="816" t="s">
        <v>198</v>
      </c>
      <c r="BT223" s="816" t="s">
        <v>198</v>
      </c>
      <c r="BU223" s="816"/>
    </row>
    <row r="224" spans="1:73" ht="409.5" x14ac:dyDescent="0.35">
      <c r="A224" s="806" t="s">
        <v>757</v>
      </c>
      <c r="B224" s="806" t="s">
        <v>1633</v>
      </c>
      <c r="C224" s="806"/>
      <c r="D224" s="806"/>
      <c r="E224" s="806"/>
      <c r="F224" s="806"/>
      <c r="H224" s="816" t="s">
        <v>2572</v>
      </c>
      <c r="I224" s="816"/>
      <c r="K224" s="816" t="s">
        <v>2629</v>
      </c>
      <c r="L224" s="816" t="s">
        <v>2656</v>
      </c>
      <c r="M224" s="816"/>
      <c r="N224" s="816" t="s">
        <v>2720</v>
      </c>
      <c r="O224" s="816"/>
      <c r="P224" s="816" t="s">
        <v>2772</v>
      </c>
      <c r="Q224" s="816"/>
      <c r="R224" s="816" t="s">
        <v>2803</v>
      </c>
      <c r="S224" s="816" t="s">
        <v>2825</v>
      </c>
      <c r="T224" s="816"/>
      <c r="U224" s="816" t="s">
        <v>1618</v>
      </c>
      <c r="V224" s="816"/>
      <c r="W224" s="816"/>
      <c r="X224" s="816"/>
      <c r="Y224" s="816" t="s">
        <v>2804</v>
      </c>
      <c r="Z224" s="816"/>
      <c r="AA224" s="816" t="s">
        <v>3012</v>
      </c>
      <c r="AC224" s="816"/>
      <c r="AD224" s="816"/>
      <c r="AE224" s="816" t="s">
        <v>3091</v>
      </c>
      <c r="AF224" s="816" t="s">
        <v>3116</v>
      </c>
      <c r="AG224" s="816" t="s">
        <v>3137</v>
      </c>
      <c r="AH224" s="816" t="s">
        <v>3178</v>
      </c>
      <c r="AI224" s="816"/>
      <c r="AJ224" s="816" t="s">
        <v>3234</v>
      </c>
      <c r="AK224" s="816" t="s">
        <v>3250</v>
      </c>
      <c r="AL224" s="816" t="s">
        <v>3269</v>
      </c>
      <c r="AM224" s="816" t="s">
        <v>3289</v>
      </c>
      <c r="AP224" s="816" t="s">
        <v>3371</v>
      </c>
      <c r="AQ224" s="816"/>
      <c r="AR224" s="816" t="s">
        <v>3410</v>
      </c>
      <c r="AS224" s="816" t="s">
        <v>3436</v>
      </c>
      <c r="AT224" s="816" t="s">
        <v>3455</v>
      </c>
      <c r="AU224" s="816" t="s">
        <v>3469</v>
      </c>
      <c r="AV224" s="816" t="s">
        <v>3453</v>
      </c>
      <c r="AX224" s="816"/>
      <c r="AY224" s="816" t="s">
        <v>3569</v>
      </c>
      <c r="AZ224" s="816" t="s">
        <v>3598</v>
      </c>
      <c r="BA224" s="816"/>
      <c r="BB224" s="816" t="s">
        <v>3664</v>
      </c>
      <c r="BC224" s="816" t="s">
        <v>3678</v>
      </c>
      <c r="BD224" s="816"/>
      <c r="BE224" s="816" t="s">
        <v>3755</v>
      </c>
      <c r="BG224" s="816"/>
      <c r="BH224" s="816" t="s">
        <v>3922</v>
      </c>
      <c r="BI224" s="816" t="s">
        <v>3944</v>
      </c>
      <c r="BJ224" s="816"/>
      <c r="BM224" s="816"/>
      <c r="BN224" s="816"/>
      <c r="BO224" s="816"/>
      <c r="BQ224" s="816"/>
      <c r="BR224" s="816"/>
      <c r="BS224" s="816" t="s">
        <v>3569</v>
      </c>
      <c r="BT224" s="816" t="s">
        <v>4341</v>
      </c>
      <c r="BU224" s="816"/>
    </row>
    <row r="225" spans="1:73" ht="58" x14ac:dyDescent="0.35">
      <c r="A225" s="806" t="s">
        <v>757</v>
      </c>
      <c r="B225" s="806" t="s">
        <v>1644</v>
      </c>
      <c r="C225" s="806"/>
      <c r="D225" s="806"/>
      <c r="E225" s="806"/>
      <c r="F225" s="806"/>
      <c r="H225" s="816" t="s">
        <v>2575</v>
      </c>
      <c r="I225" s="816"/>
      <c r="K225" s="816"/>
      <c r="M225" s="816"/>
      <c r="N225" s="816" t="s">
        <v>2728</v>
      </c>
      <c r="Q225" s="816"/>
      <c r="R225" s="816" t="s">
        <v>2804</v>
      </c>
      <c r="S225" s="816"/>
      <c r="U225" s="816" t="s">
        <v>2861</v>
      </c>
      <c r="V225" s="816"/>
      <c r="W225" s="816"/>
      <c r="Y225" s="816" t="s">
        <v>2931</v>
      </c>
      <c r="AD225" s="816"/>
      <c r="AE225" s="816" t="s">
        <v>3094</v>
      </c>
      <c r="AF225" s="816" t="s">
        <v>3120</v>
      </c>
      <c r="AG225" s="816"/>
      <c r="AH225" s="816" t="s">
        <v>3179</v>
      </c>
      <c r="AJ225" s="816"/>
      <c r="AK225" s="816" t="s">
        <v>3251</v>
      </c>
      <c r="AL225" s="816"/>
      <c r="AM225" s="816" t="s">
        <v>3290</v>
      </c>
      <c r="AR225" s="816" t="s">
        <v>3413</v>
      </c>
      <c r="AS225" s="816" t="s">
        <v>3439</v>
      </c>
      <c r="AT225" s="816"/>
      <c r="AU225" s="816" t="s">
        <v>3472</v>
      </c>
      <c r="AV225" s="816"/>
      <c r="AX225" s="816"/>
      <c r="AY225" s="816" t="s">
        <v>3565</v>
      </c>
      <c r="AZ225" s="816" t="s">
        <v>3601</v>
      </c>
      <c r="BC225" s="816" t="s">
        <v>3681</v>
      </c>
      <c r="BD225" s="816"/>
      <c r="BE225" s="816" t="s">
        <v>3755</v>
      </c>
      <c r="BG225" s="816"/>
      <c r="BH225" s="816"/>
      <c r="BI225" s="816" t="s">
        <v>3939</v>
      </c>
      <c r="BR225" s="816"/>
      <c r="BS225" s="816" t="s">
        <v>3565</v>
      </c>
      <c r="BT225" s="816" t="s">
        <v>4344</v>
      </c>
      <c r="BU225" s="816"/>
    </row>
    <row r="226" spans="1:73" ht="43.5" x14ac:dyDescent="0.35">
      <c r="A226" s="806" t="s">
        <v>757</v>
      </c>
      <c r="B226" s="806" t="s">
        <v>1648</v>
      </c>
      <c r="C226" s="806"/>
      <c r="D226" s="806"/>
      <c r="E226" s="806"/>
      <c r="F226" s="806"/>
      <c r="I226" s="816"/>
      <c r="K226" s="816"/>
      <c r="M226" s="816"/>
      <c r="N226" s="816" t="s">
        <v>2729</v>
      </c>
      <c r="Q226" s="816"/>
      <c r="S226" s="816"/>
      <c r="U226" s="816" t="s">
        <v>2855</v>
      </c>
      <c r="V226" s="816"/>
      <c r="W226" s="816"/>
      <c r="AD226" s="816"/>
      <c r="AE226" s="816"/>
      <c r="AF226" s="816" t="s">
        <v>3121</v>
      </c>
      <c r="AG226" s="816"/>
      <c r="AH226" s="816" t="s">
        <v>3180</v>
      </c>
      <c r="AJ226" s="816"/>
      <c r="AK226" s="816" t="s">
        <v>3252</v>
      </c>
      <c r="AL226" s="816"/>
      <c r="AR226" s="816"/>
      <c r="AS226" s="816" t="s">
        <v>3440</v>
      </c>
      <c r="AT226" s="816"/>
      <c r="AU226" s="816"/>
      <c r="AV226" s="816"/>
      <c r="AX226" s="816"/>
      <c r="AY226" s="816" t="s">
        <v>3572</v>
      </c>
      <c r="AZ226" s="816"/>
      <c r="BC226" s="816" t="s">
        <v>3682</v>
      </c>
      <c r="BD226" s="816"/>
      <c r="BE226" s="816" t="s">
        <v>3755</v>
      </c>
      <c r="BG226" s="816"/>
      <c r="BH226" s="816"/>
      <c r="BI226" s="816" t="s">
        <v>3940</v>
      </c>
      <c r="BR226" s="816"/>
      <c r="BS226" s="816" t="s">
        <v>3572</v>
      </c>
      <c r="BT226" s="816" t="s">
        <v>4345</v>
      </c>
      <c r="BU226" s="816"/>
    </row>
    <row r="227" spans="1:73" ht="43.5" x14ac:dyDescent="0.35">
      <c r="A227" s="806" t="s">
        <v>757</v>
      </c>
      <c r="B227" s="806" t="s">
        <v>1652</v>
      </c>
      <c r="C227" s="806"/>
      <c r="D227" s="806"/>
      <c r="E227" s="806"/>
      <c r="F227" s="806"/>
      <c r="I227" s="816"/>
      <c r="K227" s="816"/>
      <c r="M227" s="816"/>
      <c r="N227" s="816" t="s">
        <v>2730</v>
      </c>
      <c r="Q227" s="816"/>
      <c r="S227" s="816"/>
      <c r="U227" s="816" t="s">
        <v>2856</v>
      </c>
      <c r="V227" s="816"/>
      <c r="W227" s="816"/>
      <c r="AD227" s="816"/>
      <c r="AF227" s="816" t="s">
        <v>3122</v>
      </c>
      <c r="AG227" s="816"/>
      <c r="AH227" s="816"/>
      <c r="AJ227" s="816"/>
      <c r="AK227" s="816" t="s">
        <v>3253</v>
      </c>
      <c r="AL227" s="816"/>
      <c r="AR227" s="816"/>
      <c r="AS227" s="816"/>
      <c r="AT227" s="816"/>
      <c r="AU227" s="816"/>
      <c r="AV227" s="816"/>
      <c r="AX227" s="816"/>
      <c r="AY227" s="816" t="s">
        <v>3573</v>
      </c>
      <c r="AZ227" s="816"/>
      <c r="BC227" s="816" t="s">
        <v>3683</v>
      </c>
      <c r="BD227" s="816"/>
      <c r="BE227" s="816" t="s">
        <v>3755</v>
      </c>
      <c r="BG227" s="816"/>
      <c r="BH227" s="816"/>
      <c r="BI227" s="816" t="s">
        <v>3947</v>
      </c>
      <c r="BR227" s="816"/>
      <c r="BS227" s="816" t="s">
        <v>3573</v>
      </c>
      <c r="BT227" s="816"/>
      <c r="BU227" s="816"/>
    </row>
    <row r="228" spans="1:73" ht="58" x14ac:dyDescent="0.35">
      <c r="A228" s="806" t="s">
        <v>757</v>
      </c>
      <c r="B228" s="806" t="s">
        <v>2731</v>
      </c>
      <c r="C228" s="806"/>
      <c r="D228" s="806"/>
      <c r="E228" s="806"/>
      <c r="F228" s="806"/>
      <c r="N228" s="816" t="s">
        <v>2732</v>
      </c>
      <c r="U228" s="816" t="s">
        <v>2862</v>
      </c>
      <c r="AH228" s="816"/>
      <c r="AK228" s="816" t="s">
        <v>3254</v>
      </c>
      <c r="BC228" s="816" t="s">
        <v>3684</v>
      </c>
      <c r="BI228" s="816" t="s">
        <v>3948</v>
      </c>
    </row>
    <row r="229" spans="1:73" x14ac:dyDescent="0.35">
      <c r="A229" s="806" t="s">
        <v>757</v>
      </c>
      <c r="B229" s="806" t="s">
        <v>1636</v>
      </c>
      <c r="C229" s="806"/>
      <c r="D229" s="806"/>
      <c r="E229" s="806"/>
      <c r="F229" s="806"/>
      <c r="H229" s="811">
        <v>44957</v>
      </c>
      <c r="I229" s="811"/>
      <c r="K229" s="811">
        <v>44984</v>
      </c>
      <c r="L229" s="811">
        <v>44977</v>
      </c>
      <c r="M229" s="811"/>
      <c r="N229" s="811">
        <v>44978</v>
      </c>
      <c r="O229" s="811"/>
      <c r="P229" s="811">
        <v>44966</v>
      </c>
      <c r="Q229" s="811"/>
      <c r="R229" s="811">
        <v>44978</v>
      </c>
      <c r="S229" s="811">
        <v>44959</v>
      </c>
      <c r="T229" s="811"/>
      <c r="U229" s="811">
        <v>44982</v>
      </c>
      <c r="V229" s="811"/>
      <c r="W229" s="811"/>
      <c r="X229" s="811"/>
      <c r="Y229" s="811">
        <v>44978</v>
      </c>
      <c r="Z229" s="811"/>
      <c r="AA229" s="811">
        <v>44981</v>
      </c>
      <c r="AC229" s="811"/>
      <c r="AD229" s="811"/>
      <c r="AE229" s="811">
        <v>44972</v>
      </c>
      <c r="AF229" s="811">
        <v>44742</v>
      </c>
      <c r="AG229" s="811">
        <v>44978</v>
      </c>
      <c r="AH229" s="811">
        <v>44915</v>
      </c>
      <c r="AI229" s="811"/>
      <c r="AJ229" s="811">
        <v>44984</v>
      </c>
      <c r="AK229" s="811">
        <v>44742</v>
      </c>
      <c r="AL229" s="811">
        <v>44984</v>
      </c>
      <c r="AM229" s="811">
        <v>44952</v>
      </c>
      <c r="AP229" s="811">
        <v>44958</v>
      </c>
      <c r="AQ229" s="811"/>
      <c r="AR229" s="811">
        <v>44522</v>
      </c>
      <c r="AS229" s="811">
        <v>44932</v>
      </c>
      <c r="AT229" s="811">
        <v>44978</v>
      </c>
      <c r="AU229" s="811">
        <v>44980</v>
      </c>
      <c r="AV229" s="811">
        <v>44973</v>
      </c>
      <c r="AX229" s="811"/>
      <c r="AY229" s="811">
        <v>44984</v>
      </c>
      <c r="AZ229" s="811">
        <v>44980</v>
      </c>
      <c r="BA229" s="811"/>
      <c r="BB229" s="811">
        <v>44931</v>
      </c>
      <c r="BC229" s="811">
        <v>44926</v>
      </c>
      <c r="BD229" s="811"/>
      <c r="BE229" s="811">
        <v>44012</v>
      </c>
      <c r="BG229" s="811"/>
      <c r="BH229" s="811">
        <v>44982</v>
      </c>
      <c r="BI229" s="811">
        <v>44931</v>
      </c>
      <c r="BJ229" s="811"/>
      <c r="BM229" s="811"/>
      <c r="BN229" s="811"/>
      <c r="BO229" s="811"/>
      <c r="BQ229" s="811"/>
      <c r="BR229" s="811"/>
      <c r="BS229" s="811">
        <v>44984</v>
      </c>
      <c r="BT229" s="811">
        <v>44984</v>
      </c>
      <c r="BU229" s="811"/>
    </row>
    <row r="230" spans="1:73" x14ac:dyDescent="0.35">
      <c r="A230" s="806" t="s">
        <v>757</v>
      </c>
      <c r="B230" s="806" t="s">
        <v>1647</v>
      </c>
      <c r="C230" s="806"/>
      <c r="D230" s="806"/>
      <c r="E230" s="806"/>
      <c r="F230" s="806"/>
      <c r="H230" s="811">
        <v>44957</v>
      </c>
      <c r="I230" s="811"/>
      <c r="K230" s="811"/>
      <c r="M230" s="811"/>
      <c r="N230" s="811">
        <v>44978</v>
      </c>
      <c r="P230" s="811"/>
      <c r="Q230" s="811"/>
      <c r="R230" s="811">
        <v>44978</v>
      </c>
      <c r="S230" s="811"/>
      <c r="U230" s="811">
        <v>44982</v>
      </c>
      <c r="V230" s="811"/>
      <c r="W230" s="811"/>
      <c r="Y230" s="811">
        <v>44978</v>
      </c>
      <c r="AD230" s="811"/>
      <c r="AE230" s="811">
        <v>44377</v>
      </c>
      <c r="AF230" s="811">
        <v>44377</v>
      </c>
      <c r="AG230" s="811"/>
      <c r="AH230" s="811">
        <v>44929</v>
      </c>
      <c r="AJ230" s="811"/>
      <c r="AK230" s="811">
        <v>44742</v>
      </c>
      <c r="AL230" s="811"/>
      <c r="AM230" s="811">
        <v>44927</v>
      </c>
      <c r="AR230" s="811">
        <v>44522</v>
      </c>
      <c r="AS230" s="811">
        <v>44932</v>
      </c>
      <c r="AT230" s="811"/>
      <c r="AU230" s="811">
        <v>44980</v>
      </c>
      <c r="AV230" s="811"/>
      <c r="AX230" s="811"/>
      <c r="AY230" s="811">
        <v>44984</v>
      </c>
      <c r="AZ230" s="811">
        <v>44980</v>
      </c>
      <c r="BC230" s="811">
        <v>44926</v>
      </c>
      <c r="BD230" s="811"/>
      <c r="BE230" s="811">
        <v>44377</v>
      </c>
      <c r="BG230" s="811"/>
      <c r="BH230" s="811"/>
      <c r="BI230" s="811">
        <v>44931</v>
      </c>
      <c r="BR230" s="811"/>
      <c r="BS230" s="811">
        <v>44984</v>
      </c>
      <c r="BT230" s="811"/>
      <c r="BU230" s="811"/>
    </row>
    <row r="231" spans="1:73" x14ac:dyDescent="0.35">
      <c r="A231" s="806" t="s">
        <v>757</v>
      </c>
      <c r="B231" s="806" t="s">
        <v>1651</v>
      </c>
      <c r="C231" s="806"/>
      <c r="D231" s="806"/>
      <c r="E231" s="806"/>
      <c r="F231" s="806"/>
      <c r="I231" s="811"/>
      <c r="K231" s="811"/>
      <c r="M231" s="811"/>
      <c r="N231" s="811">
        <v>44978</v>
      </c>
      <c r="P231" s="811"/>
      <c r="Q231" s="811"/>
      <c r="S231" s="811"/>
      <c r="U231" s="811">
        <v>44982</v>
      </c>
      <c r="V231" s="811"/>
      <c r="W231" s="811"/>
      <c r="AD231" s="811"/>
      <c r="AF231" s="811">
        <v>44012</v>
      </c>
      <c r="AG231" s="811"/>
      <c r="AH231" s="811">
        <v>43901</v>
      </c>
      <c r="AJ231" s="811"/>
      <c r="AK231" s="811">
        <v>44742</v>
      </c>
      <c r="AL231" s="811"/>
      <c r="AR231" s="811"/>
      <c r="AS231" s="811">
        <v>44932</v>
      </c>
      <c r="AT231" s="811"/>
      <c r="AU231" s="811"/>
      <c r="AV231" s="811"/>
      <c r="AX231" s="811"/>
      <c r="AY231" s="811">
        <v>43617</v>
      </c>
      <c r="AZ231" s="811"/>
      <c r="BC231" s="811">
        <v>44926</v>
      </c>
      <c r="BD231" s="811"/>
      <c r="BE231" s="811">
        <v>44742</v>
      </c>
      <c r="BG231" s="811"/>
      <c r="BH231" s="811"/>
      <c r="BI231" s="811">
        <v>44931</v>
      </c>
      <c r="BR231" s="811"/>
      <c r="BS231" s="811">
        <v>43617</v>
      </c>
      <c r="BT231" s="811"/>
      <c r="BU231" s="811"/>
    </row>
    <row r="232" spans="1:73" x14ac:dyDescent="0.35">
      <c r="A232" s="806" t="s">
        <v>757</v>
      </c>
      <c r="B232" s="806" t="s">
        <v>1655</v>
      </c>
      <c r="C232" s="806"/>
      <c r="D232" s="806"/>
      <c r="E232" s="806"/>
      <c r="F232" s="806"/>
      <c r="I232" s="811"/>
      <c r="K232" s="811"/>
      <c r="M232" s="811"/>
      <c r="N232" s="811">
        <v>44978</v>
      </c>
      <c r="P232" s="811"/>
      <c r="Q232" s="811"/>
      <c r="S232" s="811"/>
      <c r="U232" s="811">
        <v>44982</v>
      </c>
      <c r="V232" s="811"/>
      <c r="W232" s="811"/>
      <c r="AD232" s="811"/>
      <c r="AF232" s="811">
        <v>44967</v>
      </c>
      <c r="AG232" s="811"/>
      <c r="AH232" s="811"/>
      <c r="AJ232" s="811"/>
      <c r="AK232" s="811">
        <v>44742</v>
      </c>
      <c r="AL232" s="811"/>
      <c r="AR232" s="811"/>
      <c r="AS232" s="811"/>
      <c r="AT232" s="811"/>
      <c r="AU232" s="811"/>
      <c r="AV232" s="811"/>
      <c r="AX232" s="811"/>
      <c r="AY232" s="811">
        <v>44984</v>
      </c>
      <c r="AZ232" s="811"/>
      <c r="BC232" s="811">
        <v>44926</v>
      </c>
      <c r="BD232" s="811"/>
      <c r="BE232" s="811">
        <v>44984</v>
      </c>
      <c r="BG232" s="811"/>
      <c r="BH232" s="811"/>
      <c r="BI232" s="811">
        <v>44931</v>
      </c>
      <c r="BR232" s="811"/>
      <c r="BS232" s="811">
        <v>44984</v>
      </c>
      <c r="BT232" s="811"/>
      <c r="BU232" s="811"/>
    </row>
    <row r="233" spans="1:73" x14ac:dyDescent="0.35">
      <c r="A233" s="806" t="s">
        <v>757</v>
      </c>
      <c r="B233" s="806" t="s">
        <v>2735</v>
      </c>
      <c r="C233" s="806"/>
      <c r="D233" s="806"/>
      <c r="E233" s="806"/>
      <c r="F233" s="806"/>
      <c r="N233" s="811">
        <v>44978</v>
      </c>
      <c r="U233" s="811">
        <v>44982</v>
      </c>
      <c r="AH233" s="811"/>
      <c r="AK233" s="811">
        <v>44980</v>
      </c>
      <c r="BC233" s="811">
        <v>44926</v>
      </c>
      <c r="BI233" s="811">
        <v>44931</v>
      </c>
    </row>
    <row r="234" spans="1:73" ht="29" x14ac:dyDescent="0.35">
      <c r="A234" s="806" t="s">
        <v>757</v>
      </c>
      <c r="B234" s="806" t="s">
        <v>1635</v>
      </c>
      <c r="C234" s="806"/>
      <c r="D234" s="806"/>
      <c r="E234" s="806"/>
      <c r="F234" s="806"/>
      <c r="H234" s="811">
        <v>43471</v>
      </c>
      <c r="I234" s="811"/>
      <c r="K234" s="811">
        <v>43758</v>
      </c>
      <c r="L234" s="811">
        <v>43471</v>
      </c>
      <c r="M234" s="811"/>
      <c r="N234" s="811">
        <v>43471</v>
      </c>
      <c r="O234" s="811"/>
      <c r="P234" s="811">
        <v>43471</v>
      </c>
      <c r="Q234" s="811"/>
      <c r="R234" s="811">
        <v>43471</v>
      </c>
      <c r="S234" s="811">
        <v>43471</v>
      </c>
      <c r="T234" s="811"/>
      <c r="U234" s="811">
        <v>43471</v>
      </c>
      <c r="V234" s="811"/>
      <c r="W234" s="811"/>
      <c r="X234" s="811"/>
      <c r="Y234" s="811">
        <v>43471</v>
      </c>
      <c r="Z234" s="811"/>
      <c r="AA234" s="811">
        <v>43521</v>
      </c>
      <c r="AC234" s="811"/>
      <c r="AD234" s="811"/>
      <c r="AE234" s="811">
        <v>43471</v>
      </c>
      <c r="AF234" s="811">
        <v>44378</v>
      </c>
      <c r="AG234" s="811">
        <v>43471</v>
      </c>
      <c r="AH234" s="811">
        <v>44201</v>
      </c>
      <c r="AI234" s="811"/>
      <c r="AJ234" s="811">
        <v>43471</v>
      </c>
      <c r="AK234" s="811">
        <v>43647</v>
      </c>
      <c r="AL234" s="811">
        <v>44089</v>
      </c>
      <c r="AM234" s="811">
        <v>44562</v>
      </c>
      <c r="AP234" s="811">
        <v>43471</v>
      </c>
      <c r="AQ234" s="811"/>
      <c r="AR234" s="811">
        <v>43471</v>
      </c>
      <c r="AS234" s="811">
        <v>43471</v>
      </c>
      <c r="AT234" s="811">
        <v>43800</v>
      </c>
      <c r="AU234" s="811">
        <v>43471</v>
      </c>
      <c r="AV234" s="811">
        <v>43800</v>
      </c>
      <c r="AX234" s="811"/>
      <c r="AY234" s="811">
        <v>43471</v>
      </c>
      <c r="AZ234" s="811">
        <v>43471</v>
      </c>
      <c r="BA234" s="811"/>
      <c r="BB234" s="811">
        <v>43471</v>
      </c>
      <c r="BC234" s="811">
        <v>43471</v>
      </c>
      <c r="BD234" s="811"/>
      <c r="BE234" s="811">
        <v>43471</v>
      </c>
      <c r="BG234" s="811"/>
      <c r="BH234" s="811">
        <v>43471</v>
      </c>
      <c r="BI234" s="811">
        <v>43471</v>
      </c>
      <c r="BJ234" s="811"/>
      <c r="BM234" s="811"/>
      <c r="BN234" s="811"/>
      <c r="BO234" s="811"/>
      <c r="BQ234" s="811"/>
      <c r="BR234" s="811"/>
      <c r="BS234" s="811">
        <v>43471</v>
      </c>
      <c r="BT234" s="811">
        <v>43471</v>
      </c>
      <c r="BU234" s="811"/>
    </row>
    <row r="235" spans="1:73" ht="29" x14ac:dyDescent="0.35">
      <c r="A235" s="806" t="s">
        <v>757</v>
      </c>
      <c r="B235" s="806" t="s">
        <v>1646</v>
      </c>
      <c r="C235" s="806"/>
      <c r="D235" s="806"/>
      <c r="E235" s="806"/>
      <c r="F235" s="806"/>
      <c r="H235" s="811">
        <v>44743</v>
      </c>
      <c r="I235" s="811"/>
      <c r="K235" s="811"/>
      <c r="M235" s="811"/>
      <c r="N235" s="811">
        <v>43831</v>
      </c>
      <c r="P235" s="811"/>
      <c r="Q235" s="811"/>
      <c r="R235" s="811">
        <v>43471</v>
      </c>
      <c r="S235" s="811"/>
      <c r="U235" s="811">
        <v>43471</v>
      </c>
      <c r="V235" s="811"/>
      <c r="W235" s="811"/>
      <c r="Y235" s="811">
        <v>43471</v>
      </c>
      <c r="AD235" s="811"/>
      <c r="AE235" s="811">
        <v>43471</v>
      </c>
      <c r="AF235" s="811">
        <v>44013</v>
      </c>
      <c r="AG235" s="811"/>
      <c r="AH235" s="811">
        <v>44680</v>
      </c>
      <c r="AJ235" s="811"/>
      <c r="AK235" s="811">
        <v>43647</v>
      </c>
      <c r="AL235" s="811"/>
      <c r="AM235" s="811">
        <v>43471</v>
      </c>
      <c r="AR235" s="811">
        <v>43471</v>
      </c>
      <c r="AS235" s="811">
        <v>43471</v>
      </c>
      <c r="AT235" s="811"/>
      <c r="AU235" s="811">
        <v>43800</v>
      </c>
      <c r="AV235" s="811"/>
      <c r="AX235" s="811"/>
      <c r="AY235" s="811">
        <v>43471</v>
      </c>
      <c r="AZ235" s="811">
        <v>43799</v>
      </c>
      <c r="BC235" s="811">
        <v>43471</v>
      </c>
      <c r="BD235" s="811"/>
      <c r="BE235" s="811">
        <v>44013</v>
      </c>
      <c r="BG235" s="811"/>
      <c r="BH235" s="811"/>
      <c r="BI235" s="811">
        <v>43471</v>
      </c>
      <c r="BR235" s="811"/>
      <c r="BS235" s="811">
        <v>43471</v>
      </c>
      <c r="BT235" s="811"/>
      <c r="BU235" s="811"/>
    </row>
    <row r="236" spans="1:73" ht="29" x14ac:dyDescent="0.35">
      <c r="A236" s="806" t="s">
        <v>757</v>
      </c>
      <c r="B236" s="806" t="s">
        <v>1650</v>
      </c>
      <c r="C236" s="806"/>
      <c r="D236" s="806"/>
      <c r="E236" s="806"/>
      <c r="F236" s="806"/>
      <c r="I236" s="811"/>
      <c r="K236" s="811"/>
      <c r="M236" s="811"/>
      <c r="N236" s="811">
        <v>44197</v>
      </c>
      <c r="P236" s="811"/>
      <c r="Q236" s="811"/>
      <c r="S236" s="811"/>
      <c r="U236" s="811">
        <v>43471</v>
      </c>
      <c r="V236" s="811"/>
      <c r="W236" s="811"/>
      <c r="AD236" s="811"/>
      <c r="AF236" s="811">
        <v>43647</v>
      </c>
      <c r="AG236" s="811"/>
      <c r="AH236" s="811">
        <v>43471</v>
      </c>
      <c r="AJ236" s="811"/>
      <c r="AK236" s="811">
        <v>43647</v>
      </c>
      <c r="AL236" s="811"/>
      <c r="AR236" s="811"/>
      <c r="AS236" s="811">
        <v>43471</v>
      </c>
      <c r="AT236" s="811"/>
      <c r="AU236" s="811"/>
      <c r="AV236" s="811"/>
      <c r="AX236" s="811"/>
      <c r="AY236" s="811">
        <v>43471</v>
      </c>
      <c r="AZ236" s="811"/>
      <c r="BC236" s="811">
        <v>43471</v>
      </c>
      <c r="BD236" s="811"/>
      <c r="BE236" s="811">
        <v>44378</v>
      </c>
      <c r="BG236" s="811"/>
      <c r="BH236" s="811"/>
      <c r="BI236" s="811">
        <v>43471</v>
      </c>
      <c r="BR236" s="811"/>
      <c r="BS236" s="811">
        <v>43471</v>
      </c>
      <c r="BT236" s="811"/>
      <c r="BU236" s="811"/>
    </row>
    <row r="237" spans="1:73" ht="29" x14ac:dyDescent="0.35">
      <c r="A237" s="806" t="s">
        <v>757</v>
      </c>
      <c r="B237" s="806" t="s">
        <v>1654</v>
      </c>
      <c r="C237" s="806"/>
      <c r="D237" s="806"/>
      <c r="E237" s="806"/>
      <c r="F237" s="806"/>
      <c r="I237" s="811"/>
      <c r="K237" s="811"/>
      <c r="M237" s="811"/>
      <c r="N237" s="811">
        <v>44562</v>
      </c>
      <c r="P237" s="811"/>
      <c r="Q237" s="811"/>
      <c r="S237" s="811"/>
      <c r="U237" s="811">
        <v>43471</v>
      </c>
      <c r="V237" s="811"/>
      <c r="W237" s="811"/>
      <c r="AD237" s="811"/>
      <c r="AF237" s="811">
        <v>44743</v>
      </c>
      <c r="AG237" s="811"/>
      <c r="AH237" s="811"/>
      <c r="AJ237" s="811"/>
      <c r="AK237" s="811">
        <v>43647</v>
      </c>
      <c r="AL237" s="811"/>
      <c r="AR237" s="811"/>
      <c r="AS237" s="811"/>
      <c r="AT237" s="811"/>
      <c r="AU237" s="811"/>
      <c r="AV237" s="811"/>
      <c r="AX237" s="811"/>
      <c r="AY237" s="811">
        <v>44958</v>
      </c>
      <c r="AZ237" s="811"/>
      <c r="BC237" s="811">
        <v>43471</v>
      </c>
      <c r="BD237" s="811"/>
      <c r="BE237" s="811">
        <v>44743</v>
      </c>
      <c r="BG237" s="811"/>
      <c r="BH237" s="811"/>
      <c r="BI237" s="811">
        <v>43471</v>
      </c>
      <c r="BR237" s="811"/>
      <c r="BS237" s="811">
        <v>44958</v>
      </c>
      <c r="BT237" s="811"/>
      <c r="BU237" s="811"/>
    </row>
    <row r="238" spans="1:73" ht="29" x14ac:dyDescent="0.35">
      <c r="A238" s="806" t="s">
        <v>757</v>
      </c>
      <c r="B238" s="806" t="s">
        <v>2734</v>
      </c>
      <c r="C238" s="806"/>
      <c r="D238" s="806"/>
      <c r="E238" s="806"/>
      <c r="F238" s="806"/>
      <c r="N238" s="811">
        <v>44927</v>
      </c>
      <c r="P238" s="811"/>
      <c r="U238" s="811">
        <v>44958</v>
      </c>
      <c r="AH238" s="811"/>
      <c r="AK238" s="811">
        <v>44743</v>
      </c>
      <c r="BC238" s="811">
        <v>43471</v>
      </c>
      <c r="BI238" s="811">
        <v>43471</v>
      </c>
    </row>
    <row r="239" spans="1:73" ht="29" x14ac:dyDescent="0.35">
      <c r="A239" s="806" t="s">
        <v>757</v>
      </c>
      <c r="B239" s="806" t="s">
        <v>1634</v>
      </c>
      <c r="C239" s="806"/>
      <c r="D239" s="806"/>
      <c r="E239" s="806"/>
      <c r="F239" s="806"/>
      <c r="H239" s="817">
        <v>108</v>
      </c>
      <c r="I239" s="817"/>
      <c r="K239" s="817">
        <v>46</v>
      </c>
      <c r="L239" s="817">
        <v>60</v>
      </c>
      <c r="M239" s="817"/>
      <c r="N239" s="817">
        <v>23</v>
      </c>
      <c r="O239" s="817"/>
      <c r="P239" s="817">
        <v>237</v>
      </c>
      <c r="Q239" s="817"/>
      <c r="R239" s="817">
        <v>237</v>
      </c>
      <c r="S239" s="817">
        <v>237</v>
      </c>
      <c r="T239" s="817"/>
      <c r="U239" s="817">
        <v>69</v>
      </c>
      <c r="V239" s="817"/>
      <c r="W239" s="817"/>
      <c r="X239" s="817"/>
      <c r="Y239" s="817">
        <v>116</v>
      </c>
      <c r="Z239" s="817"/>
      <c r="AA239" s="817">
        <v>30</v>
      </c>
      <c r="AC239" s="817"/>
      <c r="AD239" s="817"/>
      <c r="AE239" s="817">
        <v>235</v>
      </c>
      <c r="AF239" s="817">
        <v>5</v>
      </c>
      <c r="AG239" s="817">
        <v>237</v>
      </c>
      <c r="AH239" s="817">
        <v>1</v>
      </c>
      <c r="AI239" s="817"/>
      <c r="AJ239" s="817">
        <v>625</v>
      </c>
      <c r="AK239" s="817">
        <v>38</v>
      </c>
      <c r="AL239" s="817">
        <v>3</v>
      </c>
      <c r="AM239" s="817">
        <v>14</v>
      </c>
      <c r="AP239" s="817">
        <v>32</v>
      </c>
      <c r="AQ239" s="817"/>
      <c r="AR239" s="817">
        <v>3</v>
      </c>
      <c r="AS239" s="817">
        <v>1</v>
      </c>
      <c r="AT239" s="817">
        <v>11</v>
      </c>
      <c r="AU239" s="817">
        <v>11</v>
      </c>
      <c r="AV239" s="817">
        <v>11</v>
      </c>
      <c r="AX239" s="817"/>
      <c r="AY239" s="817">
        <v>2</v>
      </c>
      <c r="AZ239" s="817">
        <v>4</v>
      </c>
      <c r="BA239" s="817"/>
      <c r="BB239" s="817">
        <v>24</v>
      </c>
      <c r="BC239" s="817">
        <v>50</v>
      </c>
      <c r="BD239" s="817"/>
      <c r="BE239" s="817">
        <v>25</v>
      </c>
      <c r="BG239" s="817"/>
      <c r="BH239" s="817">
        <v>93</v>
      </c>
      <c r="BI239" s="817">
        <v>49</v>
      </c>
      <c r="BJ239" s="817"/>
      <c r="BM239" s="817"/>
      <c r="BN239" s="817"/>
      <c r="BO239" s="817"/>
      <c r="BQ239" s="817"/>
      <c r="BR239" s="817"/>
      <c r="BS239" s="817">
        <v>2</v>
      </c>
      <c r="BT239" s="817">
        <v>14</v>
      </c>
      <c r="BU239" s="817"/>
    </row>
    <row r="240" spans="1:73" ht="29" x14ac:dyDescent="0.35">
      <c r="A240" s="806" t="s">
        <v>757</v>
      </c>
      <c r="B240" s="806" t="s">
        <v>1645</v>
      </c>
      <c r="C240" s="806"/>
      <c r="D240" s="806"/>
      <c r="E240" s="806"/>
      <c r="F240" s="806"/>
      <c r="H240" s="817">
        <v>1</v>
      </c>
      <c r="I240" s="817"/>
      <c r="K240" s="817"/>
      <c r="M240" s="817"/>
      <c r="N240" s="817">
        <v>45</v>
      </c>
      <c r="Q240" s="817"/>
      <c r="R240" s="817">
        <v>193</v>
      </c>
      <c r="S240" s="817"/>
      <c r="U240" s="817">
        <v>200</v>
      </c>
      <c r="V240" s="817"/>
      <c r="W240" s="817"/>
      <c r="Y240" s="817">
        <v>237</v>
      </c>
      <c r="AD240" s="817"/>
      <c r="AE240" s="817">
        <v>361</v>
      </c>
      <c r="AF240" s="817">
        <v>9</v>
      </c>
      <c r="AG240" s="817"/>
      <c r="AH240" s="817">
        <v>1</v>
      </c>
      <c r="AJ240" s="817"/>
      <c r="AK240" s="817">
        <v>13</v>
      </c>
      <c r="AL240" s="817"/>
      <c r="AM240" s="817">
        <v>7</v>
      </c>
      <c r="AR240" s="817">
        <v>19</v>
      </c>
      <c r="AS240" s="817">
        <v>25</v>
      </c>
      <c r="AT240" s="817"/>
      <c r="AU240" s="817">
        <v>11</v>
      </c>
      <c r="AV240" s="817"/>
      <c r="AX240" s="817"/>
      <c r="AY240" s="817">
        <v>2</v>
      </c>
      <c r="AZ240" s="817">
        <v>2</v>
      </c>
      <c r="BC240" s="817">
        <v>100</v>
      </c>
      <c r="BD240" s="817"/>
      <c r="BE240" s="817">
        <v>12</v>
      </c>
      <c r="BG240" s="817"/>
      <c r="BH240" s="817"/>
      <c r="BI240" s="817">
        <v>20</v>
      </c>
      <c r="BR240" s="817"/>
      <c r="BS240" s="817">
        <v>2</v>
      </c>
      <c r="BT240" s="817"/>
      <c r="BU240" s="817"/>
    </row>
    <row r="241" spans="1:73" ht="29" x14ac:dyDescent="0.35">
      <c r="A241" s="806" t="s">
        <v>757</v>
      </c>
      <c r="B241" s="806" t="s">
        <v>1649</v>
      </c>
      <c r="C241" s="806"/>
      <c r="D241" s="806"/>
      <c r="E241" s="806"/>
      <c r="F241" s="806"/>
      <c r="I241" s="817"/>
      <c r="K241" s="817"/>
      <c r="M241" s="817"/>
      <c r="N241" s="817">
        <v>27</v>
      </c>
      <c r="Q241" s="817"/>
      <c r="S241" s="817"/>
      <c r="U241" s="817">
        <v>3</v>
      </c>
      <c r="V241" s="817"/>
      <c r="W241" s="817"/>
      <c r="AD241" s="817"/>
      <c r="AF241" s="817">
        <v>9</v>
      </c>
      <c r="AG241" s="817"/>
      <c r="AH241" s="817">
        <v>1</v>
      </c>
      <c r="AJ241" s="817"/>
      <c r="AK241" s="817">
        <v>9</v>
      </c>
      <c r="AL241" s="817"/>
      <c r="AR241" s="817"/>
      <c r="AS241" s="817">
        <v>7</v>
      </c>
      <c r="AT241" s="817"/>
      <c r="AU241" s="817"/>
      <c r="AV241" s="817"/>
      <c r="AX241" s="817"/>
      <c r="AY241" s="817">
        <v>4</v>
      </c>
      <c r="AZ241" s="817"/>
      <c r="BC241" s="817">
        <v>200</v>
      </c>
      <c r="BD241" s="817"/>
      <c r="BE241" s="817">
        <v>22</v>
      </c>
      <c r="BG241" s="817"/>
      <c r="BH241" s="817"/>
      <c r="BI241" s="817">
        <v>4</v>
      </c>
      <c r="BR241" s="817"/>
      <c r="BS241" s="817">
        <v>4</v>
      </c>
      <c r="BT241" s="817"/>
      <c r="BU241" s="817"/>
    </row>
    <row r="242" spans="1:73" ht="29" x14ac:dyDescent="0.35">
      <c r="A242" s="806" t="s">
        <v>757</v>
      </c>
      <c r="B242" s="806" t="s">
        <v>1653</v>
      </c>
      <c r="C242" s="806"/>
      <c r="D242" s="806"/>
      <c r="E242" s="806"/>
      <c r="F242" s="806"/>
      <c r="I242" s="817"/>
      <c r="K242" s="817"/>
      <c r="M242" s="817"/>
      <c r="N242" s="817">
        <v>27</v>
      </c>
      <c r="Q242" s="817"/>
      <c r="S242" s="817"/>
      <c r="U242" s="817">
        <v>1</v>
      </c>
      <c r="V242" s="817"/>
      <c r="W242" s="817"/>
      <c r="AD242" s="817"/>
      <c r="AF242" s="817">
        <v>2</v>
      </c>
      <c r="AG242" s="817"/>
      <c r="AH242" s="817"/>
      <c r="AJ242" s="817"/>
      <c r="AK242" s="817">
        <v>9</v>
      </c>
      <c r="AL242" s="817"/>
      <c r="AR242" s="817"/>
      <c r="AS242" s="817"/>
      <c r="AT242" s="817"/>
      <c r="AU242" s="817"/>
      <c r="AV242" s="817"/>
      <c r="AX242" s="817"/>
      <c r="AY242" s="817">
        <v>1</v>
      </c>
      <c r="AZ242" s="817"/>
      <c r="BC242" s="817">
        <v>40</v>
      </c>
      <c r="BD242" s="817"/>
      <c r="BE242" s="817">
        <v>4</v>
      </c>
      <c r="BG242" s="817"/>
      <c r="BH242" s="817"/>
      <c r="BI242" s="817">
        <v>29</v>
      </c>
      <c r="BR242" s="817"/>
      <c r="BS242" s="817">
        <v>1</v>
      </c>
      <c r="BT242" s="817"/>
      <c r="BU242" s="817"/>
    </row>
    <row r="243" spans="1:73" ht="29" x14ac:dyDescent="0.35">
      <c r="A243" s="806" t="s">
        <v>757</v>
      </c>
      <c r="B243" s="806" t="s">
        <v>2733</v>
      </c>
      <c r="C243" s="806"/>
      <c r="D243" s="806"/>
      <c r="E243" s="806"/>
      <c r="F243" s="806"/>
      <c r="N243" s="817">
        <v>10</v>
      </c>
      <c r="U243" s="817">
        <v>0</v>
      </c>
      <c r="AH243" s="817"/>
      <c r="AK243" s="817">
        <v>2</v>
      </c>
      <c r="BC243" s="817">
        <v>45</v>
      </c>
      <c r="BI243" s="817">
        <v>29</v>
      </c>
    </row>
    <row r="244" spans="1:73" ht="409.5" x14ac:dyDescent="0.35">
      <c r="A244" s="806" t="s">
        <v>757</v>
      </c>
      <c r="B244" s="806" t="s">
        <v>1642</v>
      </c>
      <c r="C244" s="806"/>
      <c r="D244" s="806"/>
      <c r="E244" s="806"/>
      <c r="F244" s="806"/>
      <c r="H244" s="816" t="s">
        <v>2573</v>
      </c>
      <c r="I244" s="816"/>
      <c r="K244" s="816" t="s">
        <v>2630</v>
      </c>
      <c r="L244" s="816" t="s">
        <v>2657</v>
      </c>
      <c r="M244" s="816"/>
      <c r="N244" s="816" t="s">
        <v>2721</v>
      </c>
      <c r="O244" s="816"/>
      <c r="P244" s="816" t="s">
        <v>2773</v>
      </c>
      <c r="Q244" s="816"/>
      <c r="R244" s="816" t="s">
        <v>2805</v>
      </c>
      <c r="S244" s="816" t="s">
        <v>2826</v>
      </c>
      <c r="T244" s="816"/>
      <c r="U244" s="816" t="s">
        <v>2859</v>
      </c>
      <c r="V244" s="816"/>
      <c r="W244" s="816"/>
      <c r="X244" s="816"/>
      <c r="Y244" s="816" t="s">
        <v>2935</v>
      </c>
      <c r="Z244" s="816"/>
      <c r="AA244" s="816" t="s">
        <v>3013</v>
      </c>
      <c r="AC244" s="816"/>
      <c r="AD244" s="816"/>
      <c r="AE244" s="816" t="s">
        <v>3092</v>
      </c>
      <c r="AF244" s="816" t="s">
        <v>3117</v>
      </c>
      <c r="AG244" s="816" t="s">
        <v>3138</v>
      </c>
      <c r="AH244" s="816" t="s">
        <v>3181</v>
      </c>
      <c r="AI244" s="816"/>
      <c r="AJ244" s="816" t="s">
        <v>3235</v>
      </c>
      <c r="AK244" s="816" t="s">
        <v>3255</v>
      </c>
      <c r="AL244" s="816" t="s">
        <v>3270</v>
      </c>
      <c r="AM244" s="816" t="s">
        <v>3291</v>
      </c>
      <c r="AP244" s="816" t="s">
        <v>3372</v>
      </c>
      <c r="AQ244" s="816"/>
      <c r="AR244" s="816" t="s">
        <v>3411</v>
      </c>
      <c r="AS244" s="816" t="s">
        <v>3437</v>
      </c>
      <c r="AT244" s="816" t="s">
        <v>3456</v>
      </c>
      <c r="AU244" s="816" t="s">
        <v>3470</v>
      </c>
      <c r="AV244" s="816" t="s">
        <v>3483</v>
      </c>
      <c r="AX244" s="816"/>
      <c r="AY244" s="816" t="s">
        <v>3570</v>
      </c>
      <c r="AZ244" s="816" t="s">
        <v>3599</v>
      </c>
      <c r="BA244" s="816"/>
      <c r="BB244" s="816" t="s">
        <v>3665</v>
      </c>
      <c r="BC244" s="816" t="s">
        <v>3679</v>
      </c>
      <c r="BD244" s="816"/>
      <c r="BE244" s="816" t="s">
        <v>3756</v>
      </c>
      <c r="BG244" s="816"/>
      <c r="BH244" s="816" t="s">
        <v>3923</v>
      </c>
      <c r="BI244" s="816" t="s">
        <v>3945</v>
      </c>
      <c r="BJ244" s="816"/>
      <c r="BM244" s="816"/>
      <c r="BN244" s="816"/>
      <c r="BO244" s="816"/>
      <c r="BQ244" s="816"/>
      <c r="BR244" s="816"/>
      <c r="BS244" s="816" t="s">
        <v>3570</v>
      </c>
      <c r="BT244" s="816" t="s">
        <v>4342</v>
      </c>
      <c r="BU244" s="816"/>
    </row>
    <row r="245" spans="1:73" ht="29" x14ac:dyDescent="0.35">
      <c r="A245" s="806" t="s">
        <v>757</v>
      </c>
      <c r="B245" s="806" t="s">
        <v>760</v>
      </c>
      <c r="C245" s="817"/>
      <c r="D245" s="817"/>
      <c r="E245" s="817"/>
      <c r="F245" s="817"/>
      <c r="G245" s="818"/>
      <c r="H245" s="816" t="s">
        <v>1959</v>
      </c>
      <c r="I245" s="816"/>
      <c r="J245" s="816"/>
      <c r="K245" s="816" t="s">
        <v>1959</v>
      </c>
      <c r="L245" s="816" t="s">
        <v>1959</v>
      </c>
      <c r="M245" s="816"/>
      <c r="N245" s="816" t="s">
        <v>2475</v>
      </c>
      <c r="O245" s="816"/>
      <c r="P245" s="816" t="s">
        <v>2475</v>
      </c>
      <c r="Q245" s="816"/>
      <c r="R245" s="816" t="s">
        <v>1959</v>
      </c>
      <c r="S245" s="816" t="s">
        <v>2475</v>
      </c>
      <c r="T245" s="816"/>
      <c r="U245" s="816" t="s">
        <v>1959</v>
      </c>
      <c r="V245" s="816"/>
      <c r="W245" s="816"/>
      <c r="X245" s="816"/>
      <c r="Y245" s="816" t="s">
        <v>2475</v>
      </c>
      <c r="Z245" s="816"/>
      <c r="AA245" s="816" t="s">
        <v>1959</v>
      </c>
      <c r="AB245" s="818"/>
      <c r="AC245" s="816"/>
      <c r="AD245" s="816"/>
      <c r="AE245" s="816" t="s">
        <v>1959</v>
      </c>
      <c r="AF245" s="816" t="s">
        <v>1959</v>
      </c>
      <c r="AG245" s="816" t="s">
        <v>2475</v>
      </c>
      <c r="AH245" s="816" t="s">
        <v>1959</v>
      </c>
      <c r="AI245" s="816"/>
      <c r="AJ245" s="816" t="s">
        <v>1959</v>
      </c>
      <c r="AK245" s="816" t="s">
        <v>1959</v>
      </c>
      <c r="AL245" s="816" t="s">
        <v>1959</v>
      </c>
      <c r="AM245" s="816" t="s">
        <v>1959</v>
      </c>
      <c r="AN245" s="816"/>
      <c r="AO245" s="816"/>
      <c r="AP245" s="816" t="s">
        <v>1959</v>
      </c>
      <c r="AQ245" s="816" t="s">
        <v>1959</v>
      </c>
      <c r="AR245" s="816" t="s">
        <v>1959</v>
      </c>
      <c r="AS245" s="816" t="s">
        <v>1959</v>
      </c>
      <c r="AT245" s="816" t="s">
        <v>1959</v>
      </c>
      <c r="AU245" s="816" t="s">
        <v>1959</v>
      </c>
      <c r="AV245" s="816" t="s">
        <v>1959</v>
      </c>
      <c r="AW245" s="816"/>
      <c r="AX245" s="816"/>
      <c r="AY245" s="816" t="s">
        <v>2475</v>
      </c>
      <c r="AZ245" s="816" t="s">
        <v>2475</v>
      </c>
      <c r="BA245" s="816"/>
      <c r="BB245" s="816" t="s">
        <v>1959</v>
      </c>
      <c r="BC245" s="816" t="s">
        <v>1959</v>
      </c>
      <c r="BD245" s="816"/>
      <c r="BE245" s="816" t="s">
        <v>1959</v>
      </c>
      <c r="BF245" s="816"/>
      <c r="BG245" s="816"/>
      <c r="BH245" s="816" t="s">
        <v>1959</v>
      </c>
      <c r="BI245" s="816" t="s">
        <v>1959</v>
      </c>
      <c r="BJ245" s="816"/>
      <c r="BK245" s="817"/>
      <c r="BM245" s="816"/>
      <c r="BN245" s="816" t="s">
        <v>1959</v>
      </c>
      <c r="BO245" s="816"/>
      <c r="BP245" s="817"/>
      <c r="BQ245" s="816"/>
      <c r="BR245" s="816"/>
      <c r="BS245" s="816" t="s">
        <v>2475</v>
      </c>
      <c r="BT245" s="816" t="s">
        <v>1959</v>
      </c>
      <c r="BU245" s="816"/>
    </row>
    <row r="246" spans="1:73" x14ac:dyDescent="0.35">
      <c r="A246" s="806" t="s">
        <v>757</v>
      </c>
      <c r="B246" s="806" t="s">
        <v>1192</v>
      </c>
      <c r="C246" s="806"/>
      <c r="D246" s="806"/>
      <c r="E246" s="806"/>
      <c r="F246" s="806"/>
      <c r="H246" s="817"/>
      <c r="I246" s="817"/>
      <c r="J246" s="817"/>
      <c r="K246" s="817"/>
      <c r="L246" s="817"/>
      <c r="M246" s="817"/>
      <c r="N246" s="817">
        <v>40</v>
      </c>
      <c r="O246" s="817"/>
      <c r="P246" s="817">
        <v>40</v>
      </c>
      <c r="Q246" s="817"/>
      <c r="R246" s="817"/>
      <c r="S246" s="817">
        <v>40</v>
      </c>
      <c r="T246" s="817"/>
      <c r="U246" s="817"/>
      <c r="V246" s="817"/>
      <c r="W246" s="817"/>
      <c r="X246" s="817"/>
      <c r="Y246" s="817">
        <v>40</v>
      </c>
      <c r="Z246" s="817"/>
      <c r="AA246" s="817"/>
      <c r="AC246" s="817"/>
      <c r="AD246" s="817"/>
      <c r="AE246" s="817"/>
      <c r="AF246" s="817"/>
      <c r="AG246" s="817">
        <v>40</v>
      </c>
      <c r="AH246" s="817"/>
      <c r="AI246" s="817"/>
      <c r="AJ246" s="817"/>
      <c r="AK246" s="817"/>
      <c r="AL246" s="817"/>
      <c r="AM246" s="817"/>
      <c r="AN246" s="817"/>
      <c r="AO246" s="817"/>
      <c r="AP246" s="817"/>
      <c r="AQ246" s="817"/>
      <c r="AR246" s="817"/>
      <c r="AS246" s="817"/>
      <c r="AT246" s="817"/>
      <c r="AU246" s="817"/>
      <c r="AV246" s="817"/>
      <c r="AW246" s="817"/>
      <c r="AX246" s="817"/>
      <c r="AY246" s="817">
        <v>30</v>
      </c>
      <c r="AZ246" s="817">
        <v>30</v>
      </c>
      <c r="BA246" s="817"/>
      <c r="BB246" s="817"/>
      <c r="BC246" s="817"/>
      <c r="BD246" s="817"/>
      <c r="BE246" s="817"/>
      <c r="BF246" s="817"/>
      <c r="BG246" s="817"/>
      <c r="BH246" s="817"/>
      <c r="BI246" s="817"/>
      <c r="BJ246" s="817"/>
      <c r="BM246" s="817"/>
      <c r="BN246" s="817"/>
      <c r="BO246" s="817"/>
      <c r="BQ246" s="817"/>
      <c r="BR246" s="817"/>
      <c r="BS246" s="817">
        <v>30</v>
      </c>
      <c r="BT246" s="817"/>
      <c r="BU246" s="817"/>
    </row>
    <row r="247" spans="1:73" ht="29" x14ac:dyDescent="0.35">
      <c r="A247" s="806" t="s">
        <v>757</v>
      </c>
      <c r="B247" s="806" t="s">
        <v>1188</v>
      </c>
      <c r="C247" s="806"/>
      <c r="D247" s="806"/>
      <c r="E247" s="806"/>
      <c r="F247" s="806"/>
      <c r="H247" s="817"/>
      <c r="I247" s="817"/>
      <c r="J247" s="817"/>
      <c r="K247" s="817"/>
      <c r="L247" s="817"/>
      <c r="M247" s="817"/>
      <c r="N247" s="817">
        <v>15</v>
      </c>
      <c r="O247" s="817"/>
      <c r="P247" s="817">
        <v>11</v>
      </c>
      <c r="Q247" s="817"/>
      <c r="R247" s="817"/>
      <c r="S247" s="817">
        <v>13</v>
      </c>
      <c r="T247" s="817"/>
      <c r="U247" s="817"/>
      <c r="V247" s="817"/>
      <c r="W247" s="817"/>
      <c r="X247" s="817"/>
      <c r="Y247" s="817">
        <v>9</v>
      </c>
      <c r="Z247" s="817"/>
      <c r="AA247" s="817"/>
      <c r="AC247" s="817"/>
      <c r="AD247" s="817"/>
      <c r="AE247" s="817"/>
      <c r="AF247" s="817"/>
      <c r="AG247" s="817">
        <v>9</v>
      </c>
      <c r="AH247" s="817"/>
      <c r="AI247" s="817"/>
      <c r="AJ247" s="817"/>
      <c r="AK247" s="817"/>
      <c r="AL247" s="817"/>
      <c r="AM247" s="817"/>
      <c r="AN247" s="817"/>
      <c r="AO247" s="817"/>
      <c r="AP247" s="817"/>
      <c r="AQ247" s="817"/>
      <c r="AR247" s="817"/>
      <c r="AS247" s="817"/>
      <c r="AT247" s="817"/>
      <c r="AU247" s="817"/>
      <c r="AV247" s="817"/>
      <c r="AW247" s="817"/>
      <c r="AX247" s="817"/>
      <c r="AY247" s="817">
        <v>11</v>
      </c>
      <c r="AZ247" s="817">
        <v>12</v>
      </c>
      <c r="BA247" s="817"/>
      <c r="BB247" s="817"/>
      <c r="BC247" s="817"/>
      <c r="BD247" s="817"/>
      <c r="BE247" s="817"/>
      <c r="BF247" s="817"/>
      <c r="BG247" s="817"/>
      <c r="BH247" s="817"/>
      <c r="BI247" s="817"/>
      <c r="BJ247" s="817"/>
      <c r="BM247" s="817"/>
      <c r="BN247" s="817"/>
      <c r="BO247" s="817"/>
      <c r="BQ247" s="817"/>
      <c r="BR247" s="817"/>
      <c r="BS247" s="817">
        <v>11</v>
      </c>
      <c r="BT247" s="817"/>
      <c r="BU247" s="817"/>
    </row>
    <row r="248" spans="1:73" x14ac:dyDescent="0.35">
      <c r="A248" s="806" t="s">
        <v>757</v>
      </c>
      <c r="B248" s="806" t="s">
        <v>1189</v>
      </c>
      <c r="C248" s="806"/>
      <c r="D248" s="806"/>
      <c r="E248" s="806"/>
      <c r="F248" s="806"/>
      <c r="H248" s="817"/>
      <c r="I248" s="817"/>
      <c r="J248" s="817"/>
      <c r="K248" s="817"/>
      <c r="L248" s="817"/>
      <c r="M248" s="817"/>
      <c r="N248" s="817">
        <v>16</v>
      </c>
      <c r="O248" s="817"/>
      <c r="P248" s="817">
        <v>14</v>
      </c>
      <c r="Q248" s="817"/>
      <c r="R248" s="817"/>
      <c r="S248" s="817">
        <v>14</v>
      </c>
      <c r="T248" s="817"/>
      <c r="U248" s="817"/>
      <c r="V248" s="817"/>
      <c r="W248" s="817"/>
      <c r="X248" s="817"/>
      <c r="Y248" s="817">
        <v>10</v>
      </c>
      <c r="Z248" s="817"/>
      <c r="AA248" s="817"/>
      <c r="AC248" s="817"/>
      <c r="AD248" s="817"/>
      <c r="AE248" s="817"/>
      <c r="AF248" s="817"/>
      <c r="AG248" s="817">
        <v>10</v>
      </c>
      <c r="AH248" s="817"/>
      <c r="AI248" s="817"/>
      <c r="AJ248" s="817"/>
      <c r="AK248" s="817"/>
      <c r="AL248" s="817"/>
      <c r="AM248" s="817"/>
      <c r="AN248" s="817"/>
      <c r="AO248" s="817"/>
      <c r="AP248" s="817"/>
      <c r="AQ248" s="817"/>
      <c r="AR248" s="817"/>
      <c r="AS248" s="817"/>
      <c r="AT248" s="817"/>
      <c r="AU248" s="817"/>
      <c r="AV248" s="817"/>
      <c r="AW248" s="817"/>
      <c r="AX248" s="817"/>
      <c r="AY248" s="817">
        <v>14</v>
      </c>
      <c r="AZ248" s="817">
        <v>16</v>
      </c>
      <c r="BA248" s="817"/>
      <c r="BB248" s="817"/>
      <c r="BC248" s="817"/>
      <c r="BD248" s="817"/>
      <c r="BE248" s="817"/>
      <c r="BF248" s="817"/>
      <c r="BG248" s="817"/>
      <c r="BH248" s="817"/>
      <c r="BI248" s="817"/>
      <c r="BJ248" s="817"/>
      <c r="BM248" s="817"/>
      <c r="BN248" s="817"/>
      <c r="BO248" s="817"/>
      <c r="BQ248" s="817"/>
      <c r="BR248" s="817"/>
      <c r="BS248" s="817">
        <v>14</v>
      </c>
      <c r="BT248" s="817"/>
      <c r="BU248" s="817"/>
    </row>
    <row r="249" spans="1:73" ht="29" x14ac:dyDescent="0.35">
      <c r="A249" s="806" t="s">
        <v>757</v>
      </c>
      <c r="B249" s="806" t="s">
        <v>1187</v>
      </c>
      <c r="C249" s="806"/>
      <c r="D249" s="806"/>
      <c r="E249" s="806"/>
      <c r="F249" s="806"/>
      <c r="H249" s="817"/>
      <c r="I249" s="817"/>
      <c r="J249" s="817"/>
      <c r="K249" s="817"/>
      <c r="L249" s="817"/>
      <c r="M249" s="817"/>
      <c r="N249" s="817">
        <v>0</v>
      </c>
      <c r="O249" s="817"/>
      <c r="P249" s="817">
        <v>0</v>
      </c>
      <c r="Q249" s="817"/>
      <c r="R249" s="817"/>
      <c r="S249" s="817">
        <v>0</v>
      </c>
      <c r="T249" s="817"/>
      <c r="U249" s="817"/>
      <c r="V249" s="817"/>
      <c r="W249" s="817"/>
      <c r="X249" s="817"/>
      <c r="Y249" s="817">
        <v>0</v>
      </c>
      <c r="Z249" s="817"/>
      <c r="AA249" s="817"/>
      <c r="AC249" s="817"/>
      <c r="AD249" s="817"/>
      <c r="AE249" s="817"/>
      <c r="AF249" s="817"/>
      <c r="AG249" s="817">
        <v>0</v>
      </c>
      <c r="AH249" s="817"/>
      <c r="AI249" s="817"/>
      <c r="AJ249" s="817"/>
      <c r="AK249" s="817"/>
      <c r="AL249" s="817"/>
      <c r="AM249" s="817"/>
      <c r="AN249" s="817"/>
      <c r="AO249" s="817"/>
      <c r="AP249" s="817"/>
      <c r="AQ249" s="817"/>
      <c r="AR249" s="817"/>
      <c r="AS249" s="817"/>
      <c r="AT249" s="817"/>
      <c r="AU249" s="817"/>
      <c r="AV249" s="817"/>
      <c r="AW249" s="817"/>
      <c r="AX249" s="817"/>
      <c r="AY249" s="817">
        <v>0</v>
      </c>
      <c r="AZ249" s="817">
        <v>0</v>
      </c>
      <c r="BA249" s="817"/>
      <c r="BB249" s="817"/>
      <c r="BC249" s="817"/>
      <c r="BD249" s="817"/>
      <c r="BE249" s="817"/>
      <c r="BF249" s="817"/>
      <c r="BG249" s="817"/>
      <c r="BH249" s="817"/>
      <c r="BI249" s="817"/>
      <c r="BJ249" s="817"/>
      <c r="BM249" s="817"/>
      <c r="BN249" s="817"/>
      <c r="BO249" s="817"/>
      <c r="BQ249" s="817"/>
      <c r="BR249" s="817"/>
      <c r="BS249" s="817">
        <v>0</v>
      </c>
      <c r="BT249" s="817"/>
      <c r="BU249" s="817"/>
    </row>
    <row r="250" spans="1:73" ht="29" x14ac:dyDescent="0.35">
      <c r="A250" s="806" t="s">
        <v>757</v>
      </c>
      <c r="B250" s="806" t="s">
        <v>1191</v>
      </c>
      <c r="C250" s="806"/>
      <c r="D250" s="806"/>
      <c r="E250" s="806"/>
      <c r="F250" s="806"/>
      <c r="H250" s="817"/>
      <c r="I250" s="817"/>
      <c r="J250" s="817"/>
      <c r="K250" s="817"/>
      <c r="L250" s="817"/>
      <c r="M250" s="817"/>
      <c r="N250" s="817">
        <v>0</v>
      </c>
      <c r="O250" s="817"/>
      <c r="P250" s="817">
        <v>0</v>
      </c>
      <c r="Q250" s="817"/>
      <c r="R250" s="817"/>
      <c r="S250" s="817">
        <v>0</v>
      </c>
      <c r="T250" s="817"/>
      <c r="U250" s="817"/>
      <c r="V250" s="817"/>
      <c r="W250" s="817"/>
      <c r="X250" s="817"/>
      <c r="Y250" s="817">
        <v>0</v>
      </c>
      <c r="Z250" s="817"/>
      <c r="AA250" s="817"/>
      <c r="AC250" s="817"/>
      <c r="AD250" s="817"/>
      <c r="AE250" s="817"/>
      <c r="AF250" s="817"/>
      <c r="AG250" s="817">
        <v>0</v>
      </c>
      <c r="AH250" s="817"/>
      <c r="AI250" s="817"/>
      <c r="AJ250" s="817"/>
      <c r="AK250" s="817"/>
      <c r="AL250" s="817"/>
      <c r="AM250" s="817"/>
      <c r="AN250" s="817"/>
      <c r="AO250" s="817"/>
      <c r="AP250" s="817"/>
      <c r="AQ250" s="817"/>
      <c r="AR250" s="817"/>
      <c r="AS250" s="817"/>
      <c r="AT250" s="817"/>
      <c r="AU250" s="817"/>
      <c r="AV250" s="817"/>
      <c r="AW250" s="817"/>
      <c r="AX250" s="817"/>
      <c r="AY250" s="817">
        <v>0</v>
      </c>
      <c r="AZ250" s="817">
        <v>0</v>
      </c>
      <c r="BA250" s="817"/>
      <c r="BB250" s="817"/>
      <c r="BC250" s="817"/>
      <c r="BD250" s="817"/>
      <c r="BE250" s="817"/>
      <c r="BF250" s="817"/>
      <c r="BG250" s="817"/>
      <c r="BH250" s="817"/>
      <c r="BI250" s="817"/>
      <c r="BJ250" s="817"/>
      <c r="BM250" s="817"/>
      <c r="BN250" s="817"/>
      <c r="BO250" s="817"/>
      <c r="BQ250" s="817"/>
      <c r="BR250" s="817"/>
      <c r="BS250" s="817">
        <v>0</v>
      </c>
      <c r="BT250" s="817"/>
      <c r="BU250" s="817"/>
    </row>
    <row r="251" spans="1:73" ht="29" x14ac:dyDescent="0.35">
      <c r="A251" s="806" t="s">
        <v>757</v>
      </c>
      <c r="B251" s="806" t="s">
        <v>1190</v>
      </c>
      <c r="C251" s="806"/>
      <c r="D251" s="806"/>
      <c r="E251" s="806"/>
      <c r="F251" s="806"/>
      <c r="H251" s="817"/>
      <c r="I251" s="817"/>
      <c r="J251" s="817"/>
      <c r="K251" s="817"/>
      <c r="L251" s="817"/>
      <c r="M251" s="817"/>
      <c r="N251" s="817">
        <v>10</v>
      </c>
      <c r="O251" s="817"/>
      <c r="P251" s="817">
        <v>10</v>
      </c>
      <c r="Q251" s="817"/>
      <c r="R251" s="817"/>
      <c r="S251" s="817">
        <v>10</v>
      </c>
      <c r="T251" s="817"/>
      <c r="U251" s="817"/>
      <c r="V251" s="817"/>
      <c r="W251" s="817"/>
      <c r="X251" s="817"/>
      <c r="Y251" s="817">
        <v>10</v>
      </c>
      <c r="Z251" s="817"/>
      <c r="AA251" s="817"/>
      <c r="AC251" s="817"/>
      <c r="AD251" s="817"/>
      <c r="AE251" s="817"/>
      <c r="AF251" s="817"/>
      <c r="AG251" s="817">
        <v>10</v>
      </c>
      <c r="AH251" s="817"/>
      <c r="AI251" s="817"/>
      <c r="AJ251" s="817"/>
      <c r="AK251" s="817"/>
      <c r="AL251" s="817"/>
      <c r="AM251" s="817"/>
      <c r="AN251" s="817"/>
      <c r="AO251" s="817"/>
      <c r="AP251" s="817"/>
      <c r="AQ251" s="817"/>
      <c r="AR251" s="817"/>
      <c r="AS251" s="817"/>
      <c r="AT251" s="817"/>
      <c r="AU251" s="817"/>
      <c r="AV251" s="817"/>
      <c r="AW251" s="817"/>
      <c r="AX251" s="817"/>
      <c r="AY251" s="817">
        <v>10</v>
      </c>
      <c r="AZ251" s="817">
        <v>0</v>
      </c>
      <c r="BA251" s="817"/>
      <c r="BB251" s="817"/>
      <c r="BC251" s="817"/>
      <c r="BD251" s="817"/>
      <c r="BE251" s="817"/>
      <c r="BF251" s="817"/>
      <c r="BG251" s="817"/>
      <c r="BH251" s="817"/>
      <c r="BI251" s="817"/>
      <c r="BJ251" s="817"/>
      <c r="BM251" s="817"/>
      <c r="BN251" s="817"/>
      <c r="BO251" s="817"/>
      <c r="BQ251" s="817"/>
      <c r="BR251" s="817"/>
      <c r="BS251" s="817">
        <v>10</v>
      </c>
      <c r="BT251" s="817"/>
      <c r="BU251" s="817"/>
    </row>
    <row r="252" spans="1:73" x14ac:dyDescent="0.35">
      <c r="A252" s="806" t="s">
        <v>757</v>
      </c>
      <c r="B252" s="806" t="s">
        <v>766</v>
      </c>
      <c r="C252" s="817"/>
      <c r="D252" s="817"/>
      <c r="E252" s="817"/>
      <c r="F252" s="817"/>
      <c r="G252" s="817"/>
      <c r="H252" s="817"/>
      <c r="I252" s="817"/>
      <c r="J252" s="817"/>
      <c r="K252" s="817"/>
      <c r="L252" s="817"/>
      <c r="M252" s="817"/>
      <c r="N252" s="817">
        <v>81</v>
      </c>
      <c r="O252" s="817"/>
      <c r="P252" s="817">
        <v>75</v>
      </c>
      <c r="Q252" s="817"/>
      <c r="R252" s="817"/>
      <c r="S252" s="817">
        <v>77</v>
      </c>
      <c r="T252" s="817"/>
      <c r="U252" s="817"/>
      <c r="V252" s="817"/>
      <c r="W252" s="817"/>
      <c r="X252" s="817"/>
      <c r="Y252" s="817">
        <v>69</v>
      </c>
      <c r="Z252" s="817"/>
      <c r="AA252" s="817"/>
      <c r="AB252" s="817"/>
      <c r="AC252" s="817"/>
      <c r="AD252" s="817"/>
      <c r="AE252" s="817"/>
      <c r="AF252" s="817"/>
      <c r="AG252" s="817">
        <v>69</v>
      </c>
      <c r="AH252" s="817"/>
      <c r="AI252" s="817"/>
      <c r="AJ252" s="817"/>
      <c r="AK252" s="817"/>
      <c r="AL252" s="817"/>
      <c r="AM252" s="817"/>
      <c r="AN252" s="817"/>
      <c r="AO252" s="817"/>
      <c r="AP252" s="817"/>
      <c r="AQ252" s="817"/>
      <c r="AR252" s="817"/>
      <c r="AS252" s="817"/>
      <c r="AT252" s="817"/>
      <c r="AU252" s="817"/>
      <c r="AV252" s="817"/>
      <c r="AW252" s="817"/>
      <c r="AX252" s="817"/>
      <c r="AY252" s="817">
        <v>65</v>
      </c>
      <c r="AZ252" s="817">
        <v>58</v>
      </c>
      <c r="BA252" s="817"/>
      <c r="BB252" s="817"/>
      <c r="BC252" s="817"/>
      <c r="BD252" s="817"/>
      <c r="BE252" s="817"/>
      <c r="BF252" s="817"/>
      <c r="BG252" s="817"/>
      <c r="BH252" s="817"/>
      <c r="BI252" s="817"/>
      <c r="BJ252" s="817"/>
      <c r="BK252" s="817"/>
      <c r="BM252" s="817"/>
      <c r="BN252" s="817"/>
      <c r="BO252" s="817"/>
      <c r="BP252" s="817"/>
      <c r="BQ252" s="817"/>
      <c r="BR252" s="817"/>
      <c r="BS252" s="817">
        <v>65</v>
      </c>
      <c r="BT252" s="817"/>
      <c r="BU252" s="817"/>
    </row>
    <row r="253" spans="1:73" x14ac:dyDescent="0.35">
      <c r="A253" s="806" t="s">
        <v>757</v>
      </c>
      <c r="B253" s="806" t="s">
        <v>767</v>
      </c>
      <c r="C253" s="817"/>
      <c r="D253" s="817"/>
      <c r="E253" s="817"/>
      <c r="F253" s="817"/>
      <c r="G253" s="818"/>
      <c r="H253" s="818"/>
      <c r="I253" s="818"/>
      <c r="J253" s="818"/>
      <c r="K253" s="818"/>
      <c r="L253" s="818"/>
      <c r="M253" s="818"/>
      <c r="N253" s="818">
        <v>240000</v>
      </c>
      <c r="O253" s="818"/>
      <c r="P253" s="818">
        <v>600000</v>
      </c>
      <c r="Q253" s="818"/>
      <c r="R253" s="818"/>
      <c r="S253" s="818">
        <v>750000</v>
      </c>
      <c r="T253" s="818"/>
      <c r="U253" s="818"/>
      <c r="V253" s="818"/>
      <c r="W253" s="818"/>
      <c r="X253" s="818"/>
      <c r="Y253" s="818">
        <v>1600211</v>
      </c>
      <c r="Z253" s="818"/>
      <c r="AA253" s="818"/>
      <c r="AB253" s="818"/>
      <c r="AC253" s="818"/>
      <c r="AD253" s="818"/>
      <c r="AE253" s="818"/>
      <c r="AF253" s="818"/>
      <c r="AG253" s="818">
        <v>500000</v>
      </c>
      <c r="AH253" s="818"/>
      <c r="AI253" s="818"/>
      <c r="AJ253" s="818"/>
      <c r="AK253" s="818"/>
      <c r="AL253" s="818"/>
      <c r="AM253" s="818"/>
      <c r="AN253" s="818"/>
      <c r="AO253" s="818"/>
      <c r="AP253" s="818"/>
      <c r="AQ253" s="818"/>
      <c r="AR253" s="818"/>
      <c r="AS253" s="818"/>
      <c r="AT253" s="818"/>
      <c r="AU253" s="818"/>
      <c r="AV253" s="818"/>
      <c r="AW253" s="818"/>
      <c r="AX253" s="818"/>
      <c r="AY253" s="818">
        <v>2000000</v>
      </c>
      <c r="AZ253" s="818">
        <v>3960000</v>
      </c>
      <c r="BA253" s="818"/>
      <c r="BB253" s="818"/>
      <c r="BC253" s="818"/>
      <c r="BD253" s="818"/>
      <c r="BE253" s="818"/>
      <c r="BF253" s="818"/>
      <c r="BG253" s="818"/>
      <c r="BH253" s="818"/>
      <c r="BI253" s="818"/>
      <c r="BJ253" s="818"/>
      <c r="BK253" s="817"/>
      <c r="BM253" s="818"/>
      <c r="BN253" s="818"/>
      <c r="BO253" s="818"/>
      <c r="BP253" s="816"/>
      <c r="BQ253" s="818"/>
      <c r="BR253" s="818"/>
      <c r="BS253" s="818">
        <v>2000000</v>
      </c>
      <c r="BT253" s="818"/>
      <c r="BU253" s="818"/>
    </row>
    <row r="254" spans="1:73" ht="29" x14ac:dyDescent="0.35">
      <c r="A254" s="806" t="s">
        <v>757</v>
      </c>
      <c r="B254" s="806" t="s">
        <v>1193</v>
      </c>
      <c r="C254" s="806"/>
      <c r="D254" s="806"/>
      <c r="E254" s="806"/>
      <c r="F254" s="806"/>
      <c r="H254" s="817"/>
      <c r="I254" s="817"/>
      <c r="J254" s="817"/>
      <c r="K254" s="817"/>
      <c r="L254" s="817"/>
      <c r="M254" s="817"/>
      <c r="N254" s="817">
        <v>0</v>
      </c>
      <c r="O254" s="817"/>
      <c r="P254" s="817">
        <v>0</v>
      </c>
      <c r="Q254" s="817"/>
      <c r="R254" s="817"/>
      <c r="S254" s="817">
        <v>0</v>
      </c>
      <c r="T254" s="817"/>
      <c r="U254" s="817"/>
      <c r="V254" s="817"/>
      <c r="W254" s="817"/>
      <c r="X254" s="817"/>
      <c r="Y254" s="817">
        <v>0</v>
      </c>
      <c r="Z254" s="817"/>
      <c r="AA254" s="817"/>
      <c r="AC254" s="817"/>
      <c r="AD254" s="817"/>
      <c r="AE254" s="817"/>
      <c r="AF254" s="817"/>
      <c r="AG254" s="817">
        <v>0</v>
      </c>
      <c r="AH254" s="817"/>
      <c r="AI254" s="817"/>
      <c r="AJ254" s="817"/>
      <c r="AK254" s="817"/>
      <c r="AL254" s="817"/>
      <c r="AM254" s="817"/>
      <c r="AN254" s="817"/>
      <c r="AO254" s="817"/>
      <c r="AP254" s="817"/>
      <c r="AQ254" s="817"/>
      <c r="AR254" s="817"/>
      <c r="AS254" s="817"/>
      <c r="AT254" s="817"/>
      <c r="AU254" s="817"/>
      <c r="AV254" s="817"/>
      <c r="AW254" s="817"/>
      <c r="AX254" s="817"/>
      <c r="AY254" s="817">
        <v>0</v>
      </c>
      <c r="AZ254" s="817">
        <v>0</v>
      </c>
      <c r="BA254" s="817"/>
      <c r="BB254" s="817"/>
      <c r="BC254" s="817"/>
      <c r="BD254" s="817"/>
      <c r="BE254" s="817"/>
      <c r="BF254" s="817"/>
      <c r="BG254" s="817"/>
      <c r="BH254" s="817"/>
      <c r="BI254" s="817"/>
      <c r="BJ254" s="817"/>
      <c r="BM254" s="817"/>
      <c r="BN254" s="817"/>
      <c r="BO254" s="817"/>
      <c r="BQ254" s="817"/>
      <c r="BR254" s="817"/>
      <c r="BS254" s="817">
        <v>0</v>
      </c>
      <c r="BT254" s="817"/>
      <c r="BU254" s="817"/>
    </row>
    <row r="255" spans="1:73" ht="29" x14ac:dyDescent="0.35">
      <c r="A255" s="806" t="s">
        <v>757</v>
      </c>
      <c r="B255" s="806" t="s">
        <v>758</v>
      </c>
      <c r="C255" s="817"/>
      <c r="D255" s="817"/>
      <c r="E255" s="817"/>
      <c r="F255" s="817"/>
      <c r="G255" s="816"/>
      <c r="H255" s="816" t="s">
        <v>2475</v>
      </c>
      <c r="I255" s="816"/>
      <c r="J255" s="816"/>
      <c r="K255" s="816" t="s">
        <v>1959</v>
      </c>
      <c r="L255" s="816" t="s">
        <v>2475</v>
      </c>
      <c r="M255" s="816"/>
      <c r="N255" s="816" t="s">
        <v>1959</v>
      </c>
      <c r="O255" s="816"/>
      <c r="P255" s="816" t="s">
        <v>1959</v>
      </c>
      <c r="Q255" s="816"/>
      <c r="R255" s="816" t="s">
        <v>2475</v>
      </c>
      <c r="S255" s="816" t="s">
        <v>1959</v>
      </c>
      <c r="T255" s="816"/>
      <c r="U255" s="816" t="s">
        <v>2475</v>
      </c>
      <c r="V255" s="816"/>
      <c r="W255" s="816"/>
      <c r="X255" s="816"/>
      <c r="Y255" s="816" t="s">
        <v>1959</v>
      </c>
      <c r="Z255" s="816"/>
      <c r="AA255" s="816" t="s">
        <v>1959</v>
      </c>
      <c r="AB255" s="816"/>
      <c r="AC255" s="816"/>
      <c r="AD255" s="816"/>
      <c r="AE255" s="816" t="s">
        <v>2475</v>
      </c>
      <c r="AF255" s="816" t="s">
        <v>2475</v>
      </c>
      <c r="AG255" s="816" t="s">
        <v>1959</v>
      </c>
      <c r="AH255" s="816" t="s">
        <v>2475</v>
      </c>
      <c r="AI255" s="816"/>
      <c r="AJ255" s="816" t="s">
        <v>1959</v>
      </c>
      <c r="AK255" s="816" t="s">
        <v>2475</v>
      </c>
      <c r="AL255" s="816" t="s">
        <v>2475</v>
      </c>
      <c r="AM255" s="816" t="s">
        <v>2475</v>
      </c>
      <c r="AN255" s="816"/>
      <c r="AO255" s="816"/>
      <c r="AP255" s="816" t="s">
        <v>1959</v>
      </c>
      <c r="AQ255" s="816" t="s">
        <v>1959</v>
      </c>
      <c r="AR255" s="816" t="s">
        <v>2475</v>
      </c>
      <c r="AS255" s="816" t="s">
        <v>2475</v>
      </c>
      <c r="AT255" s="816" t="s">
        <v>2475</v>
      </c>
      <c r="AU255" s="816" t="s">
        <v>2475</v>
      </c>
      <c r="AV255" s="816" t="s">
        <v>2475</v>
      </c>
      <c r="AW255" s="816"/>
      <c r="AX255" s="816"/>
      <c r="AY255" s="816" t="s">
        <v>1959</v>
      </c>
      <c r="AZ255" s="816" t="s">
        <v>1959</v>
      </c>
      <c r="BA255" s="816"/>
      <c r="BB255" s="816" t="s">
        <v>2475</v>
      </c>
      <c r="BC255" s="816" t="s">
        <v>1959</v>
      </c>
      <c r="BD255" s="816"/>
      <c r="BE255" s="816" t="s">
        <v>2475</v>
      </c>
      <c r="BF255" s="816"/>
      <c r="BG255" s="816"/>
      <c r="BH255" s="816" t="s">
        <v>1959</v>
      </c>
      <c r="BI255" s="816" t="s">
        <v>2475</v>
      </c>
      <c r="BJ255" s="816"/>
      <c r="BK255" s="817"/>
      <c r="BM255" s="816"/>
      <c r="BN255" s="816" t="s">
        <v>1959</v>
      </c>
      <c r="BO255" s="816"/>
      <c r="BP255" s="817"/>
      <c r="BQ255" s="816"/>
      <c r="BR255" s="816"/>
      <c r="BS255" s="816" t="s">
        <v>1959</v>
      </c>
      <c r="BT255" s="816" t="s">
        <v>2475</v>
      </c>
      <c r="BU255" s="816"/>
    </row>
    <row r="256" spans="1:73" ht="29" x14ac:dyDescent="0.35">
      <c r="A256" s="806" t="s">
        <v>757</v>
      </c>
      <c r="B256" s="806" t="s">
        <v>1178</v>
      </c>
      <c r="C256" s="806"/>
      <c r="D256" s="806"/>
      <c r="E256" s="806"/>
      <c r="F256" s="806"/>
      <c r="H256" s="817">
        <v>40</v>
      </c>
      <c r="I256" s="817"/>
      <c r="J256" s="817"/>
      <c r="K256" s="817"/>
      <c r="L256" s="817">
        <v>40</v>
      </c>
      <c r="M256" s="817"/>
      <c r="N256" s="817"/>
      <c r="O256" s="817"/>
      <c r="P256" s="817"/>
      <c r="Q256" s="817"/>
      <c r="R256" s="817">
        <v>40</v>
      </c>
      <c r="S256" s="817"/>
      <c r="T256" s="817"/>
      <c r="U256" s="817">
        <v>40</v>
      </c>
      <c r="V256" s="817"/>
      <c r="W256" s="817"/>
      <c r="X256" s="817"/>
      <c r="Y256" s="817"/>
      <c r="Z256" s="817"/>
      <c r="AA256" s="817"/>
      <c r="AC256" s="817"/>
      <c r="AD256" s="817"/>
      <c r="AE256" s="817">
        <v>40</v>
      </c>
      <c r="AF256" s="817">
        <v>40</v>
      </c>
      <c r="AG256" s="817"/>
      <c r="AH256" s="817">
        <v>20</v>
      </c>
      <c r="AI256" s="817"/>
      <c r="AJ256" s="817"/>
      <c r="AK256" s="817">
        <v>40</v>
      </c>
      <c r="AL256" s="817">
        <v>20</v>
      </c>
      <c r="AM256" s="817">
        <v>40</v>
      </c>
      <c r="AN256" s="817"/>
      <c r="AO256" s="817"/>
      <c r="AP256" s="817"/>
      <c r="AQ256" s="817"/>
      <c r="AR256" s="817">
        <v>40</v>
      </c>
      <c r="AS256" s="817">
        <v>40</v>
      </c>
      <c r="AT256" s="817">
        <v>40</v>
      </c>
      <c r="AU256" s="817">
        <v>40</v>
      </c>
      <c r="AV256" s="817">
        <v>40</v>
      </c>
      <c r="AW256" s="817"/>
      <c r="AX256" s="817"/>
      <c r="AY256" s="817"/>
      <c r="AZ256" s="817"/>
      <c r="BA256" s="817"/>
      <c r="BB256" s="817">
        <v>40</v>
      </c>
      <c r="BC256" s="817"/>
      <c r="BD256" s="817"/>
      <c r="BE256" s="817">
        <v>40</v>
      </c>
      <c r="BF256" s="817"/>
      <c r="BG256" s="817"/>
      <c r="BH256" s="817"/>
      <c r="BI256" s="817">
        <v>40</v>
      </c>
      <c r="BJ256" s="817"/>
      <c r="BM256" s="817"/>
      <c r="BN256" s="817"/>
      <c r="BO256" s="817"/>
      <c r="BQ256" s="817"/>
      <c r="BR256" s="817"/>
      <c r="BS256" s="817"/>
      <c r="BT256" s="817">
        <v>40</v>
      </c>
      <c r="BU256" s="817"/>
    </row>
    <row r="257" spans="1:73" ht="29" x14ac:dyDescent="0.35">
      <c r="A257" s="806" t="s">
        <v>757</v>
      </c>
      <c r="B257" s="806" t="s">
        <v>1174</v>
      </c>
      <c r="C257" s="806"/>
      <c r="D257" s="806"/>
      <c r="E257" s="806"/>
      <c r="F257" s="806"/>
      <c r="H257" s="817">
        <v>11</v>
      </c>
      <c r="I257" s="817"/>
      <c r="J257" s="817"/>
      <c r="K257" s="817"/>
      <c r="L257" s="817">
        <v>14</v>
      </c>
      <c r="M257" s="817"/>
      <c r="N257" s="817"/>
      <c r="O257" s="817"/>
      <c r="P257" s="817"/>
      <c r="Q257" s="817"/>
      <c r="R257" s="817">
        <v>13</v>
      </c>
      <c r="S257" s="817"/>
      <c r="T257" s="817"/>
      <c r="U257" s="817">
        <v>14</v>
      </c>
      <c r="V257" s="817"/>
      <c r="W257" s="817"/>
      <c r="X257" s="817"/>
      <c r="Y257" s="817"/>
      <c r="Z257" s="817"/>
      <c r="AA257" s="817"/>
      <c r="AC257" s="817"/>
      <c r="AD257" s="817"/>
      <c r="AE257" s="817">
        <v>14</v>
      </c>
      <c r="AF257" s="817">
        <v>10</v>
      </c>
      <c r="AG257" s="817"/>
      <c r="AH257" s="833">
        <v>11.5</v>
      </c>
      <c r="AI257" s="817"/>
      <c r="AJ257" s="817"/>
      <c r="AK257" s="817">
        <v>11</v>
      </c>
      <c r="AL257" s="817">
        <v>13</v>
      </c>
      <c r="AM257" s="817">
        <v>9</v>
      </c>
      <c r="AN257" s="817"/>
      <c r="AO257" s="817"/>
      <c r="AP257" s="817"/>
      <c r="AQ257" s="817"/>
      <c r="AR257" s="817">
        <v>11</v>
      </c>
      <c r="AS257" s="817">
        <v>9</v>
      </c>
      <c r="AT257" s="817">
        <v>14</v>
      </c>
      <c r="AU257" s="817">
        <v>14</v>
      </c>
      <c r="AV257" s="817">
        <v>14</v>
      </c>
      <c r="AW257" s="817"/>
      <c r="AX257" s="817"/>
      <c r="AY257" s="817"/>
      <c r="AZ257" s="817"/>
      <c r="BA257" s="817"/>
      <c r="BB257" s="817">
        <v>9</v>
      </c>
      <c r="BC257" s="817"/>
      <c r="BD257" s="817"/>
      <c r="BE257" s="817">
        <v>9</v>
      </c>
      <c r="BF257" s="817"/>
      <c r="BG257" s="817"/>
      <c r="BH257" s="817"/>
      <c r="BI257" s="817">
        <v>11</v>
      </c>
      <c r="BJ257" s="817"/>
      <c r="BM257" s="817"/>
      <c r="BN257" s="817"/>
      <c r="BO257" s="817"/>
      <c r="BQ257" s="817"/>
      <c r="BR257" s="817"/>
      <c r="BS257" s="817"/>
      <c r="BT257" s="817">
        <v>10</v>
      </c>
      <c r="BU257" s="817"/>
    </row>
    <row r="258" spans="1:73" ht="29" x14ac:dyDescent="0.35">
      <c r="A258" s="806" t="s">
        <v>757</v>
      </c>
      <c r="B258" s="806" t="s">
        <v>1175</v>
      </c>
      <c r="C258" s="806"/>
      <c r="D258" s="806"/>
      <c r="E258" s="806"/>
      <c r="F258" s="806"/>
      <c r="H258" s="817">
        <v>14</v>
      </c>
      <c r="I258" s="817"/>
      <c r="J258" s="817"/>
      <c r="K258" s="817"/>
      <c r="L258" s="817">
        <v>20</v>
      </c>
      <c r="M258" s="817"/>
      <c r="N258" s="817"/>
      <c r="O258" s="817"/>
      <c r="P258" s="817"/>
      <c r="Q258" s="817"/>
      <c r="R258" s="817">
        <v>14</v>
      </c>
      <c r="S258" s="817"/>
      <c r="T258" s="817"/>
      <c r="U258" s="817">
        <v>20</v>
      </c>
      <c r="V258" s="817"/>
      <c r="W258" s="817"/>
      <c r="X258" s="817"/>
      <c r="Y258" s="817"/>
      <c r="Z258" s="817"/>
      <c r="AA258" s="817"/>
      <c r="AC258" s="817"/>
      <c r="AD258" s="817"/>
      <c r="AE258" s="817">
        <v>20</v>
      </c>
      <c r="AF258" s="817">
        <v>14</v>
      </c>
      <c r="AG258" s="817"/>
      <c r="AH258" s="817">
        <v>17</v>
      </c>
      <c r="AI258" s="817"/>
      <c r="AJ258" s="817"/>
      <c r="AK258" s="817">
        <v>16</v>
      </c>
      <c r="AL258" s="817">
        <v>12</v>
      </c>
      <c r="AM258" s="817">
        <v>16</v>
      </c>
      <c r="AN258" s="817"/>
      <c r="AO258" s="817"/>
      <c r="AP258" s="817"/>
      <c r="AQ258" s="817"/>
      <c r="AR258" s="817">
        <v>16</v>
      </c>
      <c r="AS258" s="817">
        <v>12</v>
      </c>
      <c r="AT258" s="817">
        <v>20</v>
      </c>
      <c r="AU258" s="817">
        <v>20</v>
      </c>
      <c r="AV258" s="817">
        <v>20</v>
      </c>
      <c r="AW258" s="817"/>
      <c r="AX258" s="817"/>
      <c r="AY258" s="817"/>
      <c r="AZ258" s="817"/>
      <c r="BA258" s="817"/>
      <c r="BB258" s="817">
        <v>16</v>
      </c>
      <c r="BC258" s="817"/>
      <c r="BD258" s="817"/>
      <c r="BE258" s="817">
        <v>10</v>
      </c>
      <c r="BF258" s="817"/>
      <c r="BG258" s="817"/>
      <c r="BH258" s="817"/>
      <c r="BI258" s="817">
        <v>16</v>
      </c>
      <c r="BJ258" s="817"/>
      <c r="BM258" s="817"/>
      <c r="BN258" s="817"/>
      <c r="BO258" s="817"/>
      <c r="BQ258" s="817"/>
      <c r="BR258" s="817"/>
      <c r="BS258" s="817"/>
      <c r="BT258" s="817">
        <v>10</v>
      </c>
      <c r="BU258" s="817"/>
    </row>
    <row r="259" spans="1:73" ht="29" x14ac:dyDescent="0.35">
      <c r="A259" s="806" t="s">
        <v>757</v>
      </c>
      <c r="B259" s="806" t="s">
        <v>1173</v>
      </c>
      <c r="C259" s="806"/>
      <c r="D259" s="806"/>
      <c r="E259" s="806"/>
      <c r="F259" s="806"/>
      <c r="H259" s="817">
        <v>0</v>
      </c>
      <c r="I259" s="817"/>
      <c r="J259" s="817"/>
      <c r="K259" s="817"/>
      <c r="L259" s="817">
        <v>0</v>
      </c>
      <c r="M259" s="817"/>
      <c r="N259" s="817"/>
      <c r="O259" s="817"/>
      <c r="P259" s="817"/>
      <c r="Q259" s="817"/>
      <c r="R259" s="817">
        <v>0</v>
      </c>
      <c r="S259" s="817"/>
      <c r="T259" s="817"/>
      <c r="U259" s="817">
        <v>0</v>
      </c>
      <c r="V259" s="817"/>
      <c r="W259" s="817"/>
      <c r="X259" s="817"/>
      <c r="Y259" s="817"/>
      <c r="Z259" s="817"/>
      <c r="AA259" s="817"/>
      <c r="AC259" s="817"/>
      <c r="AD259" s="817"/>
      <c r="AE259" s="817">
        <v>0</v>
      </c>
      <c r="AF259" s="817">
        <v>0</v>
      </c>
      <c r="AG259" s="817"/>
      <c r="AH259" s="817">
        <v>0</v>
      </c>
      <c r="AI259" s="817"/>
      <c r="AJ259" s="817"/>
      <c r="AK259" s="817">
        <v>0</v>
      </c>
      <c r="AL259" s="817">
        <v>0</v>
      </c>
      <c r="AM259" s="817">
        <v>0</v>
      </c>
      <c r="AN259" s="817"/>
      <c r="AO259" s="817"/>
      <c r="AP259" s="817"/>
      <c r="AQ259" s="817"/>
      <c r="AR259" s="817">
        <v>0</v>
      </c>
      <c r="AS259" s="817">
        <v>0</v>
      </c>
      <c r="AT259" s="817">
        <v>0</v>
      </c>
      <c r="AU259" s="817">
        <v>0</v>
      </c>
      <c r="AV259" s="817">
        <v>0</v>
      </c>
      <c r="AW259" s="817"/>
      <c r="AX259" s="817"/>
      <c r="AY259" s="817"/>
      <c r="AZ259" s="817"/>
      <c r="BA259" s="817"/>
      <c r="BB259" s="817">
        <v>0</v>
      </c>
      <c r="BC259" s="817"/>
      <c r="BD259" s="817"/>
      <c r="BE259" s="817">
        <v>0</v>
      </c>
      <c r="BF259" s="817"/>
      <c r="BG259" s="817"/>
      <c r="BH259" s="817"/>
      <c r="BI259" s="817">
        <v>0</v>
      </c>
      <c r="BJ259" s="817"/>
      <c r="BM259" s="817"/>
      <c r="BN259" s="817"/>
      <c r="BO259" s="817"/>
      <c r="BQ259" s="817"/>
      <c r="BR259" s="817"/>
      <c r="BS259" s="817"/>
      <c r="BT259" s="817">
        <v>0</v>
      </c>
      <c r="BU259" s="817"/>
    </row>
    <row r="260" spans="1:73" ht="29" x14ac:dyDescent="0.35">
      <c r="A260" s="806" t="s">
        <v>757</v>
      </c>
      <c r="B260" s="806" t="s">
        <v>1177</v>
      </c>
      <c r="C260" s="806"/>
      <c r="D260" s="806"/>
      <c r="E260" s="806"/>
      <c r="F260" s="806"/>
      <c r="H260" s="817">
        <v>0</v>
      </c>
      <c r="I260" s="817"/>
      <c r="J260" s="817"/>
      <c r="K260" s="817"/>
      <c r="L260" s="817">
        <v>0</v>
      </c>
      <c r="M260" s="817"/>
      <c r="N260" s="817"/>
      <c r="O260" s="817"/>
      <c r="P260" s="817"/>
      <c r="Q260" s="817"/>
      <c r="R260" s="817">
        <v>0</v>
      </c>
      <c r="S260" s="817"/>
      <c r="T260" s="817"/>
      <c r="U260" s="817">
        <v>0</v>
      </c>
      <c r="V260" s="817"/>
      <c r="W260" s="817"/>
      <c r="X260" s="817"/>
      <c r="Y260" s="817"/>
      <c r="Z260" s="817"/>
      <c r="AA260" s="817"/>
      <c r="AC260" s="817"/>
      <c r="AD260" s="817"/>
      <c r="AE260" s="817">
        <v>0</v>
      </c>
      <c r="AF260" s="817">
        <v>0</v>
      </c>
      <c r="AG260" s="817"/>
      <c r="AH260" s="817">
        <v>0</v>
      </c>
      <c r="AI260" s="817"/>
      <c r="AJ260" s="817"/>
      <c r="AK260" s="817">
        <v>0</v>
      </c>
      <c r="AL260" s="817">
        <v>0</v>
      </c>
      <c r="AM260" s="817">
        <v>0</v>
      </c>
      <c r="AN260" s="817"/>
      <c r="AO260" s="817"/>
      <c r="AP260" s="817"/>
      <c r="AQ260" s="817"/>
      <c r="AR260" s="817">
        <v>0</v>
      </c>
      <c r="AS260" s="817">
        <v>0</v>
      </c>
      <c r="AT260" s="817">
        <v>0</v>
      </c>
      <c r="AU260" s="817">
        <v>0</v>
      </c>
      <c r="AV260" s="817">
        <v>0</v>
      </c>
      <c r="AW260" s="817"/>
      <c r="AX260" s="817"/>
      <c r="AY260" s="817"/>
      <c r="AZ260" s="817"/>
      <c r="BA260" s="817"/>
      <c r="BB260" s="817">
        <v>5</v>
      </c>
      <c r="BC260" s="817"/>
      <c r="BD260" s="817"/>
      <c r="BE260" s="817">
        <v>0</v>
      </c>
      <c r="BF260" s="817"/>
      <c r="BG260" s="817"/>
      <c r="BH260" s="817"/>
      <c r="BI260" s="817">
        <v>0</v>
      </c>
      <c r="BJ260" s="817"/>
      <c r="BM260" s="817"/>
      <c r="BN260" s="817"/>
      <c r="BO260" s="817"/>
      <c r="BQ260" s="817"/>
      <c r="BR260" s="817"/>
      <c r="BS260" s="817"/>
      <c r="BT260" s="817">
        <v>0</v>
      </c>
      <c r="BU260" s="817"/>
    </row>
    <row r="261" spans="1:73" ht="29" x14ac:dyDescent="0.35">
      <c r="A261" s="806" t="s">
        <v>757</v>
      </c>
      <c r="B261" s="806" t="s">
        <v>1176</v>
      </c>
      <c r="C261" s="806"/>
      <c r="D261" s="806"/>
      <c r="E261" s="806"/>
      <c r="F261" s="806"/>
      <c r="H261" s="817">
        <v>10</v>
      </c>
      <c r="I261" s="817"/>
      <c r="J261" s="817"/>
      <c r="K261" s="817"/>
      <c r="L261" s="817">
        <v>10</v>
      </c>
      <c r="M261" s="817"/>
      <c r="N261" s="817"/>
      <c r="O261" s="817"/>
      <c r="P261" s="817"/>
      <c r="Q261" s="817"/>
      <c r="R261" s="817">
        <v>10</v>
      </c>
      <c r="S261" s="817"/>
      <c r="T261" s="817"/>
      <c r="U261" s="817">
        <v>10</v>
      </c>
      <c r="V261" s="817"/>
      <c r="W261" s="817"/>
      <c r="X261" s="817"/>
      <c r="Y261" s="817"/>
      <c r="Z261" s="817"/>
      <c r="AA261" s="817"/>
      <c r="AC261" s="817"/>
      <c r="AD261" s="817"/>
      <c r="AE261" s="817">
        <v>0</v>
      </c>
      <c r="AF261" s="817">
        <v>0</v>
      </c>
      <c r="AG261" s="817"/>
      <c r="AH261" s="817">
        <v>10</v>
      </c>
      <c r="AI261" s="817"/>
      <c r="AJ261" s="817"/>
      <c r="AK261" s="817">
        <v>0</v>
      </c>
      <c r="AL261" s="817">
        <v>0</v>
      </c>
      <c r="AM261" s="817">
        <v>0</v>
      </c>
      <c r="AN261" s="817"/>
      <c r="AO261" s="817"/>
      <c r="AP261" s="817"/>
      <c r="AQ261" s="817"/>
      <c r="AR261" s="817">
        <v>10</v>
      </c>
      <c r="AS261" s="817">
        <v>10</v>
      </c>
      <c r="AT261" s="817">
        <v>10</v>
      </c>
      <c r="AU261" s="817">
        <v>10</v>
      </c>
      <c r="AV261" s="817">
        <v>10</v>
      </c>
      <c r="AW261" s="817"/>
      <c r="AX261" s="817"/>
      <c r="AY261" s="817"/>
      <c r="AZ261" s="817"/>
      <c r="BA261" s="817"/>
      <c r="BB261" s="817">
        <v>10</v>
      </c>
      <c r="BC261" s="817"/>
      <c r="BD261" s="817"/>
      <c r="BE261" s="817">
        <v>0</v>
      </c>
      <c r="BF261" s="817"/>
      <c r="BG261" s="817"/>
      <c r="BH261" s="817"/>
      <c r="BI261" s="817">
        <v>10</v>
      </c>
      <c r="BJ261" s="817"/>
      <c r="BM261" s="817"/>
      <c r="BN261" s="817"/>
      <c r="BO261" s="817"/>
      <c r="BQ261" s="817"/>
      <c r="BR261" s="817"/>
      <c r="BS261" s="817"/>
      <c r="BT261" s="817">
        <v>0</v>
      </c>
      <c r="BU261" s="817"/>
    </row>
    <row r="262" spans="1:73" ht="29" x14ac:dyDescent="0.35">
      <c r="A262" s="806" t="s">
        <v>757</v>
      </c>
      <c r="B262" s="806" t="s">
        <v>762</v>
      </c>
      <c r="C262" s="817"/>
      <c r="D262" s="817"/>
      <c r="E262" s="817"/>
      <c r="F262" s="817"/>
      <c r="G262" s="818"/>
      <c r="H262" s="817">
        <v>75</v>
      </c>
      <c r="I262" s="817"/>
      <c r="J262" s="817"/>
      <c r="K262" s="817"/>
      <c r="L262" s="817">
        <v>84</v>
      </c>
      <c r="M262" s="817"/>
      <c r="N262" s="817"/>
      <c r="O262" s="817"/>
      <c r="P262" s="817"/>
      <c r="Q262" s="817"/>
      <c r="R262" s="817">
        <v>77</v>
      </c>
      <c r="S262" s="817"/>
      <c r="T262" s="817"/>
      <c r="U262" s="817">
        <v>84</v>
      </c>
      <c r="V262" s="817"/>
      <c r="W262" s="817"/>
      <c r="X262" s="817"/>
      <c r="Y262" s="817"/>
      <c r="Z262" s="817"/>
      <c r="AA262" s="817"/>
      <c r="AB262" s="818"/>
      <c r="AC262" s="817"/>
      <c r="AD262" s="817"/>
      <c r="AE262" s="817">
        <v>74</v>
      </c>
      <c r="AF262" s="817">
        <v>64</v>
      </c>
      <c r="AG262" s="817"/>
      <c r="AH262" s="833">
        <v>58.5</v>
      </c>
      <c r="AI262" s="817"/>
      <c r="AJ262" s="817"/>
      <c r="AK262" s="817">
        <v>67</v>
      </c>
      <c r="AL262" s="817">
        <v>45</v>
      </c>
      <c r="AM262" s="817">
        <v>65</v>
      </c>
      <c r="AN262" s="817"/>
      <c r="AO262" s="817"/>
      <c r="AP262" s="817"/>
      <c r="AQ262" s="817"/>
      <c r="AR262" s="817">
        <v>77</v>
      </c>
      <c r="AS262" s="817">
        <v>71</v>
      </c>
      <c r="AT262" s="817">
        <v>84</v>
      </c>
      <c r="AU262" s="817">
        <v>84</v>
      </c>
      <c r="AV262" s="817">
        <v>84</v>
      </c>
      <c r="AW262" s="817"/>
      <c r="AX262" s="817"/>
      <c r="AY262" s="817"/>
      <c r="AZ262" s="817"/>
      <c r="BA262" s="817"/>
      <c r="BB262" s="817">
        <v>80</v>
      </c>
      <c r="BC262" s="817"/>
      <c r="BD262" s="817"/>
      <c r="BE262" s="817">
        <v>59</v>
      </c>
      <c r="BF262" s="817"/>
      <c r="BG262" s="817"/>
      <c r="BH262" s="817"/>
      <c r="BI262" s="817">
        <v>77</v>
      </c>
      <c r="BJ262" s="817"/>
      <c r="BK262" s="817"/>
      <c r="BM262" s="817"/>
      <c r="BN262" s="817"/>
      <c r="BO262" s="817"/>
      <c r="BP262" s="817"/>
      <c r="BQ262" s="817"/>
      <c r="BR262" s="817"/>
      <c r="BS262" s="817"/>
      <c r="BT262" s="817">
        <v>60</v>
      </c>
      <c r="BU262" s="817"/>
    </row>
    <row r="263" spans="1:73" ht="29" x14ac:dyDescent="0.35">
      <c r="A263" s="806" t="s">
        <v>757</v>
      </c>
      <c r="B263" s="806" t="s">
        <v>763</v>
      </c>
      <c r="C263" s="816"/>
      <c r="D263" s="816"/>
      <c r="E263" s="816"/>
      <c r="F263" s="816"/>
      <c r="G263" s="817"/>
      <c r="H263" s="818">
        <v>2146524</v>
      </c>
      <c r="I263" s="818"/>
      <c r="J263" s="818"/>
      <c r="K263" s="818"/>
      <c r="L263" s="818">
        <v>1000000</v>
      </c>
      <c r="M263" s="818"/>
      <c r="N263" s="818"/>
      <c r="O263" s="818"/>
      <c r="P263" s="818"/>
      <c r="Q263" s="818"/>
      <c r="R263" s="818">
        <v>5000000</v>
      </c>
      <c r="S263" s="818"/>
      <c r="T263" s="818"/>
      <c r="U263" s="818">
        <v>720000</v>
      </c>
      <c r="V263" s="818"/>
      <c r="W263" s="818"/>
      <c r="X263" s="818"/>
      <c r="Y263" s="818"/>
      <c r="Z263" s="818"/>
      <c r="AA263" s="818"/>
      <c r="AB263" s="817"/>
      <c r="AC263" s="818"/>
      <c r="AD263" s="818"/>
      <c r="AE263" s="818">
        <v>5000000</v>
      </c>
      <c r="AF263" s="818">
        <v>500000</v>
      </c>
      <c r="AG263" s="818"/>
      <c r="AH263" s="818">
        <v>500000</v>
      </c>
      <c r="AI263" s="818"/>
      <c r="AJ263" s="818"/>
      <c r="AK263" s="818">
        <v>3000000</v>
      </c>
      <c r="AL263" s="818">
        <v>545000</v>
      </c>
      <c r="AM263" s="818">
        <v>2000000</v>
      </c>
      <c r="AN263" s="818"/>
      <c r="AO263" s="818"/>
      <c r="AP263" s="818"/>
      <c r="AQ263" s="818"/>
      <c r="AR263" s="818">
        <v>702000</v>
      </c>
      <c r="AS263" s="818">
        <v>720000</v>
      </c>
      <c r="AT263" s="818">
        <v>2000000</v>
      </c>
      <c r="AU263" s="818">
        <v>1440000</v>
      </c>
      <c r="AV263" s="818">
        <v>1650000</v>
      </c>
      <c r="AW263" s="818"/>
      <c r="AX263" s="818"/>
      <c r="AY263" s="818"/>
      <c r="AZ263" s="818"/>
      <c r="BA263" s="818"/>
      <c r="BB263" s="818">
        <v>2985000</v>
      </c>
      <c r="BC263" s="818"/>
      <c r="BD263" s="818"/>
      <c r="BE263" s="818">
        <v>480000</v>
      </c>
      <c r="BF263" s="818"/>
      <c r="BG263" s="818"/>
      <c r="BH263" s="818"/>
      <c r="BI263" s="818">
        <v>1705000</v>
      </c>
      <c r="BJ263" s="818"/>
      <c r="BK263" s="817"/>
      <c r="BM263" s="818"/>
      <c r="BN263" s="818"/>
      <c r="BO263" s="818"/>
      <c r="BP263" s="817"/>
      <c r="BQ263" s="818"/>
      <c r="BR263" s="818"/>
      <c r="BS263" s="818"/>
      <c r="BT263" s="818">
        <v>2460000</v>
      </c>
      <c r="BU263" s="818"/>
    </row>
    <row r="264" spans="1:73" ht="29" x14ac:dyDescent="0.35">
      <c r="A264" s="806" t="s">
        <v>757</v>
      </c>
      <c r="B264" s="806" t="s">
        <v>1179</v>
      </c>
      <c r="C264" s="806"/>
      <c r="D264" s="806"/>
      <c r="E264" s="806"/>
      <c r="F264" s="806"/>
      <c r="H264" s="817">
        <v>0</v>
      </c>
      <c r="I264" s="817"/>
      <c r="J264" s="817"/>
      <c r="K264" s="817"/>
      <c r="L264" s="817">
        <v>0</v>
      </c>
      <c r="M264" s="817"/>
      <c r="N264" s="817"/>
      <c r="O264" s="817"/>
      <c r="P264" s="817"/>
      <c r="Q264" s="817"/>
      <c r="R264" s="817">
        <v>0</v>
      </c>
      <c r="S264" s="817"/>
      <c r="T264" s="817"/>
      <c r="U264" s="817">
        <v>0</v>
      </c>
      <c r="V264" s="817"/>
      <c r="W264" s="817"/>
      <c r="X264" s="817"/>
      <c r="Y264" s="817"/>
      <c r="Z264" s="817"/>
      <c r="AA264" s="817"/>
      <c r="AC264" s="817"/>
      <c r="AD264" s="817"/>
      <c r="AE264" s="817">
        <v>0</v>
      </c>
      <c r="AF264" s="817">
        <v>0</v>
      </c>
      <c r="AG264" s="817"/>
      <c r="AH264" s="817">
        <v>0</v>
      </c>
      <c r="AI264" s="817"/>
      <c r="AJ264" s="817"/>
      <c r="AK264" s="817">
        <v>0</v>
      </c>
      <c r="AL264" s="817">
        <v>0</v>
      </c>
      <c r="AM264" s="817">
        <v>0</v>
      </c>
      <c r="AN264" s="817"/>
      <c r="AO264" s="817"/>
      <c r="AP264" s="817"/>
      <c r="AQ264" s="817"/>
      <c r="AR264" s="817">
        <v>0</v>
      </c>
      <c r="AS264" s="817">
        <v>0</v>
      </c>
      <c r="AT264" s="817">
        <v>0</v>
      </c>
      <c r="AU264" s="817">
        <v>0</v>
      </c>
      <c r="AV264" s="817">
        <v>0</v>
      </c>
      <c r="AW264" s="817"/>
      <c r="AX264" s="817"/>
      <c r="AY264" s="817"/>
      <c r="AZ264" s="817"/>
      <c r="BA264" s="817"/>
      <c r="BB264" s="817">
        <v>0</v>
      </c>
      <c r="BC264" s="817"/>
      <c r="BD264" s="817"/>
      <c r="BE264" s="817">
        <v>0</v>
      </c>
      <c r="BF264" s="817"/>
      <c r="BG264" s="817"/>
      <c r="BH264" s="817"/>
      <c r="BI264" s="817">
        <v>0</v>
      </c>
      <c r="BJ264" s="817"/>
      <c r="BM264" s="817"/>
      <c r="BN264" s="817"/>
      <c r="BO264" s="817"/>
      <c r="BQ264" s="817"/>
      <c r="BR264" s="817"/>
      <c r="BS264" s="817"/>
      <c r="BT264" s="817">
        <v>0</v>
      </c>
      <c r="BU264" s="817"/>
    </row>
    <row r="265" spans="1:73" ht="29" x14ac:dyDescent="0.35">
      <c r="A265" s="806" t="s">
        <v>757</v>
      </c>
      <c r="B265" s="806" t="s">
        <v>1172</v>
      </c>
      <c r="C265" s="806"/>
      <c r="D265" s="806"/>
      <c r="E265" s="806"/>
      <c r="F265" s="806"/>
      <c r="H265" s="816" t="s">
        <v>198</v>
      </c>
      <c r="I265" s="816"/>
      <c r="J265" s="816"/>
      <c r="K265" s="816" t="s">
        <v>198</v>
      </c>
      <c r="L265" s="816" t="s">
        <v>198</v>
      </c>
      <c r="M265" s="816"/>
      <c r="N265" s="816" t="s">
        <v>198</v>
      </c>
      <c r="O265" s="816"/>
      <c r="P265" s="816" t="s">
        <v>198</v>
      </c>
      <c r="Q265" s="816"/>
      <c r="R265" s="816" t="s">
        <v>198</v>
      </c>
      <c r="S265" s="816" t="s">
        <v>198</v>
      </c>
      <c r="T265" s="816"/>
      <c r="U265" s="816" t="s">
        <v>198</v>
      </c>
      <c r="V265" s="816"/>
      <c r="W265" s="816"/>
      <c r="X265" s="816"/>
      <c r="Y265" s="816" t="s">
        <v>198</v>
      </c>
      <c r="Z265" s="816"/>
      <c r="AA265" s="816"/>
      <c r="AC265" s="816"/>
      <c r="AD265" s="816"/>
      <c r="AE265" s="816"/>
      <c r="AF265" s="816"/>
      <c r="AG265" s="816" t="s">
        <v>198</v>
      </c>
      <c r="AH265" s="816" t="s">
        <v>198</v>
      </c>
      <c r="AI265" s="816"/>
      <c r="AJ265" s="816" t="s">
        <v>198</v>
      </c>
      <c r="AK265" s="816"/>
      <c r="AL265" s="816"/>
      <c r="AM265" s="816"/>
      <c r="AN265" s="816"/>
      <c r="AO265" s="816"/>
      <c r="AP265" s="816" t="s">
        <v>198</v>
      </c>
      <c r="AQ265" s="816"/>
      <c r="AR265" s="816" t="s">
        <v>198</v>
      </c>
      <c r="AS265" s="816"/>
      <c r="AT265" s="816" t="s">
        <v>198</v>
      </c>
      <c r="AU265" s="816" t="s">
        <v>198</v>
      </c>
      <c r="AV265" s="816" t="s">
        <v>198</v>
      </c>
      <c r="AW265" s="816"/>
      <c r="AX265" s="816"/>
      <c r="AY265" s="816" t="s">
        <v>198</v>
      </c>
      <c r="AZ265" s="816"/>
      <c r="BA265" s="816"/>
      <c r="BB265" s="816" t="s">
        <v>198</v>
      </c>
      <c r="BC265" s="816"/>
      <c r="BD265" s="816"/>
      <c r="BE265" s="816"/>
      <c r="BF265" s="816"/>
      <c r="BG265" s="816"/>
      <c r="BH265" s="816" t="s">
        <v>198</v>
      </c>
      <c r="BI265" s="816" t="s">
        <v>198</v>
      </c>
      <c r="BJ265" s="816"/>
      <c r="BM265" s="816"/>
      <c r="BN265" s="816"/>
      <c r="BO265" s="816"/>
      <c r="BQ265" s="816"/>
      <c r="BR265" s="816"/>
      <c r="BS265" s="816" t="s">
        <v>198</v>
      </c>
      <c r="BT265" s="816"/>
      <c r="BU265" s="816"/>
    </row>
    <row r="266" spans="1:73" ht="29" x14ac:dyDescent="0.35">
      <c r="A266" s="806" t="s">
        <v>789</v>
      </c>
      <c r="B266" s="806" t="s">
        <v>1085</v>
      </c>
      <c r="C266" s="806"/>
      <c r="D266" s="806"/>
      <c r="E266" s="806"/>
      <c r="F266" s="816" t="s">
        <v>198</v>
      </c>
      <c r="I266" s="816"/>
      <c r="J266" s="816"/>
      <c r="K266" s="816"/>
      <c r="L266" s="816" t="s">
        <v>198</v>
      </c>
      <c r="M266" s="816"/>
      <c r="N266" s="816"/>
      <c r="O266" s="816"/>
      <c r="P266" s="816"/>
      <c r="Q266" s="816"/>
      <c r="S266" s="816"/>
      <c r="T266" s="816"/>
      <c r="U266" s="816"/>
      <c r="V266" s="816"/>
      <c r="W266" s="816"/>
      <c r="X266" s="816"/>
      <c r="Z266" s="816"/>
      <c r="AA266" s="816" t="s">
        <v>198</v>
      </c>
      <c r="AB266" s="816" t="s">
        <v>198</v>
      </c>
      <c r="AC266" s="816"/>
      <c r="AD266" s="816"/>
      <c r="AE266" s="816"/>
      <c r="AF266" s="816"/>
      <c r="AG266" s="816"/>
      <c r="AH266" s="816" t="s">
        <v>198</v>
      </c>
      <c r="AI266" s="816"/>
      <c r="AJ266" s="816"/>
      <c r="AL266" s="816"/>
      <c r="AN266" s="816" t="s">
        <v>198</v>
      </c>
      <c r="AP266" s="816"/>
      <c r="AQ266" s="816"/>
      <c r="AR266" s="816"/>
      <c r="AS266" s="816"/>
      <c r="AT266" s="816"/>
      <c r="AU266" s="816"/>
      <c r="AV266" s="816"/>
      <c r="AW266" s="816" t="s">
        <v>198</v>
      </c>
      <c r="AX266" s="816" t="s">
        <v>198</v>
      </c>
      <c r="AY266" s="816"/>
      <c r="AZ266" s="816"/>
      <c r="BA266" s="816" t="s">
        <v>198</v>
      </c>
      <c r="BC266" s="816"/>
      <c r="BD266" s="816" t="s">
        <v>198</v>
      </c>
      <c r="BE266" s="816"/>
      <c r="BF266" s="816" t="s">
        <v>198</v>
      </c>
      <c r="BG266" s="816"/>
      <c r="BH266" s="816"/>
      <c r="BI266" s="816"/>
      <c r="BJ266" s="816"/>
      <c r="BK266" s="816" t="s">
        <v>198</v>
      </c>
      <c r="BM266" s="816"/>
      <c r="BN266" s="816"/>
      <c r="BO266" s="816"/>
      <c r="BQ266" s="816" t="s">
        <v>198</v>
      </c>
      <c r="BR266" s="816"/>
      <c r="BS266" s="816"/>
      <c r="BT266" s="816"/>
      <c r="BU266" s="816"/>
    </row>
    <row r="267" spans="1:73" ht="29" x14ac:dyDescent="0.35">
      <c r="A267" s="806" t="s">
        <v>789</v>
      </c>
      <c r="B267" s="806" t="s">
        <v>2011</v>
      </c>
      <c r="C267" s="806"/>
      <c r="D267" s="806"/>
      <c r="E267" s="806"/>
      <c r="F267" s="806"/>
      <c r="BF267" s="816" t="s">
        <v>503</v>
      </c>
    </row>
    <row r="268" spans="1:73" x14ac:dyDescent="0.35">
      <c r="A268" s="806" t="s">
        <v>789</v>
      </c>
      <c r="B268" s="806" t="s">
        <v>1102</v>
      </c>
      <c r="C268" s="806"/>
      <c r="D268" s="806"/>
      <c r="E268" s="806"/>
      <c r="F268" s="816" t="s">
        <v>2512</v>
      </c>
      <c r="I268" s="816"/>
      <c r="J268" s="816"/>
      <c r="K268" s="816"/>
      <c r="L268" s="816" t="s">
        <v>2670</v>
      </c>
      <c r="M268" s="816"/>
      <c r="N268" s="816"/>
      <c r="O268" s="816"/>
      <c r="P268" s="816"/>
      <c r="Q268" s="816"/>
      <c r="S268" s="816"/>
      <c r="T268" s="816"/>
      <c r="U268" s="816"/>
      <c r="V268" s="816"/>
      <c r="W268" s="816"/>
      <c r="X268" s="816"/>
      <c r="Z268" s="816"/>
      <c r="AA268" s="816" t="s">
        <v>2984</v>
      </c>
      <c r="AB268" s="816" t="s">
        <v>3041</v>
      </c>
      <c r="AC268" s="816"/>
      <c r="AD268" s="816"/>
      <c r="AE268" s="816"/>
      <c r="AF268" s="816"/>
      <c r="AG268" s="816"/>
      <c r="AH268" s="816" t="s">
        <v>3160</v>
      </c>
      <c r="AI268" s="816"/>
      <c r="AJ268" s="816"/>
      <c r="AL268" s="816"/>
      <c r="AN268" s="816" t="s">
        <v>3316</v>
      </c>
      <c r="AP268" s="816"/>
      <c r="AQ268" s="816"/>
      <c r="AR268" s="816"/>
      <c r="AS268" s="816"/>
      <c r="AT268" s="816"/>
      <c r="AU268" s="816"/>
      <c r="AV268" s="816"/>
      <c r="AW268" s="816" t="s">
        <v>3506</v>
      </c>
      <c r="AX268" s="816" t="s">
        <v>3537</v>
      </c>
      <c r="AY268" s="816"/>
      <c r="AZ268" s="816"/>
      <c r="BA268" s="816" t="s">
        <v>3625</v>
      </c>
      <c r="BC268" s="816"/>
      <c r="BD268" s="816" t="s">
        <v>3714</v>
      </c>
      <c r="BE268" s="816"/>
      <c r="BF268" s="816" t="s">
        <v>3777</v>
      </c>
      <c r="BG268" s="816"/>
      <c r="BH268" s="816"/>
      <c r="BI268" s="816"/>
      <c r="BJ268" s="816"/>
      <c r="BK268" s="816" t="s">
        <v>4001</v>
      </c>
      <c r="BM268" s="816"/>
      <c r="BN268" s="816"/>
      <c r="BO268" s="816"/>
      <c r="BQ268" s="816" t="s">
        <v>4296</v>
      </c>
      <c r="BR268" s="816"/>
      <c r="BS268" s="816"/>
      <c r="BT268" s="816"/>
      <c r="BU268" s="816"/>
    </row>
    <row r="269" spans="1:73" x14ac:dyDescent="0.35">
      <c r="A269" s="806" t="s">
        <v>789</v>
      </c>
      <c r="B269" s="806" t="s">
        <v>1973</v>
      </c>
      <c r="C269" s="806"/>
      <c r="D269" s="806"/>
      <c r="E269" s="806"/>
      <c r="F269" s="806"/>
      <c r="AN269" s="816" t="s">
        <v>3328</v>
      </c>
      <c r="BF269" s="816" t="s">
        <v>3786</v>
      </c>
    </row>
    <row r="270" spans="1:73" x14ac:dyDescent="0.35">
      <c r="A270" s="806" t="s">
        <v>789</v>
      </c>
      <c r="B270" s="806" t="s">
        <v>1974</v>
      </c>
      <c r="C270" s="806"/>
      <c r="D270" s="806"/>
      <c r="E270" s="806"/>
      <c r="F270" s="806"/>
      <c r="AN270" s="816" t="s">
        <v>3329</v>
      </c>
      <c r="BF270" s="816" t="s">
        <v>3787</v>
      </c>
    </row>
    <row r="271" spans="1:73" x14ac:dyDescent="0.35">
      <c r="A271" s="806" t="s">
        <v>789</v>
      </c>
      <c r="B271" s="806" t="s">
        <v>1975</v>
      </c>
      <c r="C271" s="806"/>
      <c r="D271" s="806"/>
      <c r="E271" s="806"/>
      <c r="F271" s="806"/>
      <c r="AN271" s="816" t="s">
        <v>3330</v>
      </c>
    </row>
    <row r="272" spans="1:73" x14ac:dyDescent="0.35">
      <c r="A272" s="806" t="s">
        <v>789</v>
      </c>
      <c r="B272" s="806" t="s">
        <v>1976</v>
      </c>
      <c r="C272" s="806"/>
      <c r="D272" s="806"/>
      <c r="E272" s="806"/>
      <c r="F272" s="806"/>
      <c r="AN272" s="816" t="s">
        <v>3331</v>
      </c>
    </row>
    <row r="273" spans="1:73" x14ac:dyDescent="0.35">
      <c r="A273" s="806" t="s">
        <v>789</v>
      </c>
      <c r="B273" s="806" t="s">
        <v>1977</v>
      </c>
      <c r="C273" s="806"/>
      <c r="D273" s="806"/>
      <c r="E273" s="806"/>
      <c r="F273" s="806"/>
      <c r="AN273" s="816" t="s">
        <v>3332</v>
      </c>
    </row>
    <row r="274" spans="1:73" x14ac:dyDescent="0.35">
      <c r="A274" s="806" t="s">
        <v>789</v>
      </c>
      <c r="B274" s="806" t="s">
        <v>1978</v>
      </c>
      <c r="C274" s="806"/>
      <c r="D274" s="806"/>
      <c r="E274" s="806"/>
      <c r="F274" s="806"/>
      <c r="AN274" s="816" t="s">
        <v>3333</v>
      </c>
    </row>
    <row r="275" spans="1:73" ht="409.5" x14ac:dyDescent="0.35">
      <c r="A275" s="806" t="s">
        <v>789</v>
      </c>
      <c r="B275" s="806" t="s">
        <v>1147</v>
      </c>
      <c r="C275" s="806"/>
      <c r="D275" s="806"/>
      <c r="E275" s="806"/>
      <c r="F275" s="816" t="s">
        <v>2529</v>
      </c>
      <c r="I275" s="816"/>
      <c r="J275" s="816"/>
      <c r="K275" s="816"/>
      <c r="L275" s="816" t="s">
        <v>2684</v>
      </c>
      <c r="M275" s="816"/>
      <c r="N275" s="816"/>
      <c r="O275" s="816"/>
      <c r="P275" s="816"/>
      <c r="Q275" s="816"/>
      <c r="S275" s="816"/>
      <c r="T275" s="816"/>
      <c r="U275" s="816"/>
      <c r="V275" s="816"/>
      <c r="W275" s="816"/>
      <c r="X275" s="816"/>
      <c r="Z275" s="816"/>
      <c r="AA275" s="816" t="s">
        <v>2990</v>
      </c>
      <c r="AB275" s="816" t="s">
        <v>3040</v>
      </c>
      <c r="AC275" s="816"/>
      <c r="AD275" s="816"/>
      <c r="AE275" s="816"/>
      <c r="AF275" s="816"/>
      <c r="AG275" s="816"/>
      <c r="AH275" s="816" t="s">
        <v>3166</v>
      </c>
      <c r="AI275" s="816"/>
      <c r="AJ275" s="816"/>
      <c r="AL275" s="816"/>
      <c r="AN275" s="816" t="s">
        <v>3325</v>
      </c>
      <c r="AP275" s="816"/>
      <c r="AQ275" s="816"/>
      <c r="AR275" s="816"/>
      <c r="AS275" s="816"/>
      <c r="AT275" s="816"/>
      <c r="AU275" s="816"/>
      <c r="AV275" s="816"/>
      <c r="AW275" s="816" t="s">
        <v>3512</v>
      </c>
      <c r="AX275" s="816" t="s">
        <v>3543</v>
      </c>
      <c r="AY275" s="816"/>
      <c r="AZ275" s="816"/>
      <c r="BA275" s="816" t="s">
        <v>3633</v>
      </c>
      <c r="BC275" s="816"/>
      <c r="BD275" s="816" t="s">
        <v>3722</v>
      </c>
      <c r="BE275" s="816"/>
      <c r="BF275" s="816" t="s">
        <v>3785</v>
      </c>
      <c r="BG275" s="816"/>
      <c r="BH275" s="816"/>
      <c r="BI275" s="816"/>
      <c r="BJ275" s="816"/>
      <c r="BK275" s="816" t="s">
        <v>4061</v>
      </c>
      <c r="BM275" s="816"/>
      <c r="BN275" s="816"/>
      <c r="BO275" s="816"/>
      <c r="BQ275" s="816" t="s">
        <v>4302</v>
      </c>
      <c r="BR275" s="816"/>
      <c r="BS275" s="816"/>
      <c r="BT275" s="816"/>
      <c r="BU275" s="816"/>
    </row>
    <row r="276" spans="1:73" x14ac:dyDescent="0.35">
      <c r="A276" s="806" t="s">
        <v>789</v>
      </c>
      <c r="B276" s="806" t="s">
        <v>1123</v>
      </c>
      <c r="C276" s="806"/>
      <c r="D276" s="806"/>
      <c r="E276" s="806"/>
      <c r="F276" s="816" t="s">
        <v>503</v>
      </c>
      <c r="I276" s="816"/>
      <c r="J276" s="816"/>
      <c r="K276" s="816"/>
      <c r="L276" s="816" t="s">
        <v>503</v>
      </c>
      <c r="M276" s="816"/>
      <c r="N276" s="816"/>
      <c r="O276" s="816"/>
      <c r="P276" s="816"/>
      <c r="Q276" s="816"/>
      <c r="S276" s="816"/>
      <c r="T276" s="816"/>
      <c r="U276" s="816"/>
      <c r="V276" s="816"/>
      <c r="W276" s="816"/>
      <c r="X276" s="816"/>
      <c r="Z276" s="816"/>
      <c r="AA276" s="816" t="s">
        <v>503</v>
      </c>
      <c r="AB276" s="816" t="s">
        <v>503</v>
      </c>
      <c r="AC276" s="816"/>
      <c r="AD276" s="816"/>
      <c r="AE276" s="816"/>
      <c r="AF276" s="816"/>
      <c r="AG276" s="816"/>
      <c r="AH276" s="816" t="s">
        <v>503</v>
      </c>
      <c r="AI276" s="816"/>
      <c r="AJ276" s="816"/>
      <c r="AL276" s="816"/>
      <c r="AN276" s="816" t="s">
        <v>503</v>
      </c>
      <c r="AP276" s="816"/>
      <c r="AQ276" s="816"/>
      <c r="AR276" s="816"/>
      <c r="AS276" s="816"/>
      <c r="AT276" s="816"/>
      <c r="AU276" s="816"/>
      <c r="AV276" s="816"/>
      <c r="AW276" s="816" t="s">
        <v>503</v>
      </c>
      <c r="AX276" s="816" t="s">
        <v>503</v>
      </c>
      <c r="AY276" s="816"/>
      <c r="AZ276" s="816"/>
      <c r="BA276" s="816" t="s">
        <v>503</v>
      </c>
      <c r="BC276" s="816"/>
      <c r="BD276" s="816" t="s">
        <v>503</v>
      </c>
      <c r="BE276" s="816"/>
      <c r="BF276" s="816" t="s">
        <v>198</v>
      </c>
      <c r="BG276" s="816"/>
      <c r="BH276" s="816"/>
      <c r="BI276" s="816"/>
      <c r="BJ276" s="816"/>
      <c r="BK276" s="816" t="s">
        <v>198</v>
      </c>
      <c r="BM276" s="816"/>
      <c r="BN276" s="816"/>
      <c r="BO276" s="816"/>
      <c r="BQ276" s="816" t="s">
        <v>503</v>
      </c>
      <c r="BR276" s="816"/>
      <c r="BS276" s="816"/>
      <c r="BT276" s="816"/>
      <c r="BU276" s="816"/>
    </row>
    <row r="277" spans="1:73" ht="261" x14ac:dyDescent="0.35">
      <c r="A277" s="806" t="s">
        <v>789</v>
      </c>
      <c r="B277" s="806" t="s">
        <v>1124</v>
      </c>
      <c r="C277" s="806"/>
      <c r="D277" s="806"/>
      <c r="E277" s="806"/>
      <c r="F277" s="806"/>
      <c r="I277" s="816"/>
      <c r="K277" s="816"/>
      <c r="M277" s="816"/>
      <c r="N277" s="816"/>
      <c r="O277" s="816"/>
      <c r="P277" s="816"/>
      <c r="Q277" s="816"/>
      <c r="S277" s="816"/>
      <c r="T277" s="816"/>
      <c r="U277" s="816"/>
      <c r="V277" s="816"/>
      <c r="W277" s="816"/>
      <c r="X277" s="816"/>
      <c r="Z277" s="816"/>
      <c r="AA277" s="816" t="s">
        <v>2987</v>
      </c>
      <c r="AC277" s="816"/>
      <c r="AD277" s="816"/>
      <c r="AE277" s="816"/>
      <c r="AF277" s="816"/>
      <c r="AG277" s="816"/>
      <c r="AI277" s="816"/>
      <c r="AJ277" s="816"/>
      <c r="AL277" s="816"/>
      <c r="AN277" s="816"/>
      <c r="AP277" s="816"/>
      <c r="AQ277" s="816"/>
      <c r="AR277" s="816"/>
      <c r="AS277" s="816"/>
      <c r="AT277" s="816"/>
      <c r="AU277" s="816"/>
      <c r="AV277" s="816"/>
      <c r="AX277" s="816"/>
      <c r="AY277" s="816"/>
      <c r="AZ277" s="816"/>
      <c r="BA277" s="816" t="s">
        <v>3635</v>
      </c>
      <c r="BC277" s="816"/>
      <c r="BD277" s="816" t="s">
        <v>3724</v>
      </c>
      <c r="BE277" s="816"/>
      <c r="BF277" s="816" t="s">
        <v>3789</v>
      </c>
      <c r="BG277" s="816"/>
      <c r="BH277" s="816"/>
      <c r="BI277" s="816"/>
      <c r="BJ277" s="816"/>
      <c r="BK277" s="816" t="s">
        <v>4004</v>
      </c>
      <c r="BM277" s="816"/>
      <c r="BN277" s="816"/>
      <c r="BO277" s="816"/>
      <c r="BQ277" s="816"/>
      <c r="BR277" s="816"/>
      <c r="BS277" s="816"/>
      <c r="BT277" s="816"/>
      <c r="BU277" s="816"/>
    </row>
    <row r="278" spans="1:73" x14ac:dyDescent="0.35">
      <c r="A278" s="806" t="s">
        <v>789</v>
      </c>
      <c r="B278" s="806" t="s">
        <v>1108</v>
      </c>
      <c r="C278" s="806"/>
      <c r="D278" s="806"/>
      <c r="E278" s="806"/>
      <c r="F278" s="816" t="s">
        <v>503</v>
      </c>
      <c r="I278" s="816"/>
      <c r="J278" s="816"/>
      <c r="K278" s="816"/>
      <c r="L278" s="816" t="s">
        <v>503</v>
      </c>
      <c r="M278" s="816"/>
      <c r="N278" s="816"/>
      <c r="O278" s="816"/>
      <c r="P278" s="816"/>
      <c r="Q278" s="816"/>
      <c r="S278" s="816"/>
      <c r="T278" s="816"/>
      <c r="U278" s="816"/>
      <c r="V278" s="816"/>
      <c r="W278" s="816"/>
      <c r="X278" s="816"/>
      <c r="Z278" s="816"/>
      <c r="AA278" s="816" t="s">
        <v>503</v>
      </c>
      <c r="AB278" s="816" t="s">
        <v>198</v>
      </c>
      <c r="AC278" s="816"/>
      <c r="AD278" s="816"/>
      <c r="AE278" s="816"/>
      <c r="AF278" s="816"/>
      <c r="AG278" s="816"/>
      <c r="AH278" s="816" t="s">
        <v>503</v>
      </c>
      <c r="AI278" s="816"/>
      <c r="AJ278" s="816"/>
      <c r="AL278" s="816"/>
      <c r="AN278" s="816" t="s">
        <v>503</v>
      </c>
      <c r="AP278" s="816"/>
      <c r="AQ278" s="816"/>
      <c r="AR278" s="816"/>
      <c r="AS278" s="816"/>
      <c r="AT278" s="816"/>
      <c r="AU278" s="816"/>
      <c r="AV278" s="816"/>
      <c r="AW278" s="816" t="s">
        <v>503</v>
      </c>
      <c r="AX278" s="816" t="s">
        <v>503</v>
      </c>
      <c r="AY278" s="816"/>
      <c r="AZ278" s="816"/>
      <c r="BA278" s="816" t="s">
        <v>503</v>
      </c>
      <c r="BC278" s="816"/>
      <c r="BD278" s="816" t="s">
        <v>503</v>
      </c>
      <c r="BE278" s="816"/>
      <c r="BF278" s="816" t="s">
        <v>503</v>
      </c>
      <c r="BG278" s="816"/>
      <c r="BH278" s="816"/>
      <c r="BI278" s="816"/>
      <c r="BJ278" s="816"/>
      <c r="BK278" s="816" t="s">
        <v>503</v>
      </c>
      <c r="BM278" s="816"/>
      <c r="BN278" s="816"/>
      <c r="BO278" s="816"/>
      <c r="BQ278" s="816" t="s">
        <v>198</v>
      </c>
      <c r="BR278" s="816"/>
      <c r="BS278" s="816"/>
      <c r="BT278" s="816"/>
      <c r="BU278" s="816"/>
    </row>
    <row r="279" spans="1:73" x14ac:dyDescent="0.35">
      <c r="A279" s="806" t="s">
        <v>789</v>
      </c>
      <c r="B279" s="806" t="s">
        <v>790</v>
      </c>
      <c r="C279" s="817"/>
      <c r="D279" s="817"/>
      <c r="E279" s="817"/>
      <c r="F279" s="816" t="s">
        <v>2475</v>
      </c>
      <c r="G279" s="816"/>
      <c r="H279" s="816"/>
      <c r="I279" s="816"/>
      <c r="J279" s="816"/>
      <c r="K279" s="816"/>
      <c r="L279" s="816" t="s">
        <v>2475</v>
      </c>
      <c r="M279" s="816"/>
      <c r="N279" s="816"/>
      <c r="O279" s="816"/>
      <c r="P279" s="816"/>
      <c r="Q279" s="816"/>
      <c r="R279" s="816"/>
      <c r="S279" s="816"/>
      <c r="T279" s="816"/>
      <c r="U279" s="816"/>
      <c r="V279" s="816"/>
      <c r="W279" s="816"/>
      <c r="X279" s="816"/>
      <c r="Y279" s="816"/>
      <c r="Z279" s="816"/>
      <c r="AA279" s="816" t="s">
        <v>2475</v>
      </c>
      <c r="AB279" s="816" t="s">
        <v>2475</v>
      </c>
      <c r="AC279" s="816"/>
      <c r="AD279" s="816"/>
      <c r="AE279" s="816"/>
      <c r="AF279" s="816"/>
      <c r="AG279" s="816"/>
      <c r="AH279" s="816" t="s">
        <v>2475</v>
      </c>
      <c r="AI279" s="816"/>
      <c r="AJ279" s="816"/>
      <c r="AK279" s="816"/>
      <c r="AL279" s="816"/>
      <c r="AM279" s="816"/>
      <c r="AN279" s="816" t="s">
        <v>2475</v>
      </c>
      <c r="AO279" s="816"/>
      <c r="AP279" s="816"/>
      <c r="AQ279" s="816"/>
      <c r="AR279" s="816"/>
      <c r="AS279" s="816"/>
      <c r="AT279" s="816"/>
      <c r="AU279" s="816"/>
      <c r="AV279" s="816"/>
      <c r="AW279" s="816" t="s">
        <v>2475</v>
      </c>
      <c r="AX279" s="816" t="s">
        <v>2475</v>
      </c>
      <c r="AY279" s="816"/>
      <c r="AZ279" s="816" t="s">
        <v>1959</v>
      </c>
      <c r="BA279" s="816" t="s">
        <v>2475</v>
      </c>
      <c r="BB279" s="817"/>
      <c r="BC279" s="816"/>
      <c r="BD279" s="816" t="s">
        <v>2475</v>
      </c>
      <c r="BE279" s="816"/>
      <c r="BF279" s="816" t="s">
        <v>2475</v>
      </c>
      <c r="BG279" s="816"/>
      <c r="BH279" s="816"/>
      <c r="BI279" s="816"/>
      <c r="BJ279" s="816" t="s">
        <v>1959</v>
      </c>
      <c r="BK279" s="816" t="s">
        <v>2475</v>
      </c>
      <c r="BL279" s="817"/>
      <c r="BM279" s="816"/>
      <c r="BN279" s="816"/>
      <c r="BO279" s="816"/>
      <c r="BP279" s="816"/>
      <c r="BQ279" s="816" t="s">
        <v>2475</v>
      </c>
      <c r="BR279" s="816"/>
      <c r="BS279" s="816"/>
      <c r="BT279" s="816"/>
      <c r="BU279" s="816"/>
    </row>
    <row r="280" spans="1:73" x14ac:dyDescent="0.35">
      <c r="A280" s="806" t="s">
        <v>789</v>
      </c>
      <c r="B280" s="806" t="s">
        <v>1113</v>
      </c>
      <c r="C280" s="806"/>
      <c r="D280" s="806"/>
      <c r="E280" s="806"/>
      <c r="F280" s="818">
        <v>625000</v>
      </c>
      <c r="I280" s="818"/>
      <c r="J280" s="818"/>
      <c r="K280" s="818"/>
      <c r="L280" s="818">
        <v>1460000</v>
      </c>
      <c r="M280" s="818"/>
      <c r="N280" s="818"/>
      <c r="O280" s="818"/>
      <c r="P280" s="818"/>
      <c r="Q280" s="818"/>
      <c r="S280" s="818"/>
      <c r="T280" s="818"/>
      <c r="U280" s="818"/>
      <c r="V280" s="818"/>
      <c r="W280" s="818"/>
      <c r="X280" s="818"/>
      <c r="Z280" s="818"/>
      <c r="AA280" s="818">
        <v>2950000</v>
      </c>
      <c r="AB280" s="818">
        <v>695000</v>
      </c>
      <c r="AC280" s="818"/>
      <c r="AD280" s="818"/>
      <c r="AE280" s="818"/>
      <c r="AF280" s="818"/>
      <c r="AG280" s="818"/>
      <c r="AH280" s="818">
        <v>500000</v>
      </c>
      <c r="AI280" s="818"/>
      <c r="AJ280" s="818"/>
      <c r="AL280" s="818"/>
      <c r="AN280" s="818">
        <v>554500</v>
      </c>
      <c r="AP280" s="818"/>
      <c r="AQ280" s="818"/>
      <c r="AR280" s="818"/>
      <c r="AS280" s="818"/>
      <c r="AT280" s="818"/>
      <c r="AU280" s="818"/>
      <c r="AV280" s="818"/>
      <c r="AW280" s="818">
        <v>5250000</v>
      </c>
      <c r="AX280" s="818">
        <v>0</v>
      </c>
      <c r="AY280" s="818"/>
      <c r="AZ280" s="818"/>
      <c r="BA280" s="818">
        <v>130000</v>
      </c>
      <c r="BC280" s="818"/>
      <c r="BD280" s="818">
        <v>3200000</v>
      </c>
      <c r="BE280" s="818"/>
      <c r="BF280" s="818">
        <v>688000</v>
      </c>
      <c r="BG280" s="818"/>
      <c r="BH280" s="818"/>
      <c r="BI280" s="818"/>
      <c r="BJ280" s="818"/>
      <c r="BK280" s="818">
        <v>2900000</v>
      </c>
      <c r="BM280" s="818"/>
      <c r="BN280" s="818"/>
      <c r="BO280" s="818"/>
      <c r="BQ280" s="818">
        <v>1071000</v>
      </c>
      <c r="BR280" s="818"/>
      <c r="BS280" s="818"/>
      <c r="BT280" s="818"/>
      <c r="BU280" s="818"/>
    </row>
    <row r="281" spans="1:73" x14ac:dyDescent="0.35">
      <c r="A281" s="806" t="s">
        <v>789</v>
      </c>
      <c r="B281" s="806" t="s">
        <v>1099</v>
      </c>
      <c r="C281" s="806"/>
      <c r="D281" s="806"/>
      <c r="E281" s="806"/>
      <c r="F281" s="818">
        <v>1600000</v>
      </c>
      <c r="I281" s="818"/>
      <c r="J281" s="818"/>
      <c r="K281" s="818"/>
      <c r="L281" s="818">
        <v>3000000</v>
      </c>
      <c r="M281" s="818"/>
      <c r="N281" s="818"/>
      <c r="O281" s="818"/>
      <c r="P281" s="818"/>
      <c r="Q281" s="818"/>
      <c r="S281" s="818"/>
      <c r="T281" s="818"/>
      <c r="U281" s="818"/>
      <c r="V281" s="818"/>
      <c r="W281" s="818"/>
      <c r="X281" s="818"/>
      <c r="Z281" s="818"/>
      <c r="AA281" s="818">
        <v>7500000</v>
      </c>
      <c r="AB281" s="818">
        <v>1000000</v>
      </c>
      <c r="AC281" s="818"/>
      <c r="AD281" s="818"/>
      <c r="AE281" s="818"/>
      <c r="AF281" s="818"/>
      <c r="AG281" s="818"/>
      <c r="AH281" s="818">
        <v>3250000</v>
      </c>
      <c r="AI281" s="818"/>
      <c r="AJ281" s="818"/>
      <c r="AL281" s="818"/>
      <c r="AN281" s="818">
        <v>2200000</v>
      </c>
      <c r="AP281" s="818"/>
      <c r="AQ281" s="818"/>
      <c r="AR281" s="818"/>
      <c r="AS281" s="818"/>
      <c r="AT281" s="818"/>
      <c r="AU281" s="818"/>
      <c r="AV281" s="818"/>
      <c r="AW281" s="818">
        <v>2200000</v>
      </c>
      <c r="AX281" s="818">
        <v>2600000</v>
      </c>
      <c r="AY281" s="818"/>
      <c r="AZ281" s="818"/>
      <c r="BA281" s="818">
        <v>5500000</v>
      </c>
      <c r="BC281" s="818"/>
      <c r="BD281" s="818">
        <v>5000000</v>
      </c>
      <c r="BE281" s="818"/>
      <c r="BF281" s="818">
        <v>7500000</v>
      </c>
      <c r="BG281" s="818"/>
      <c r="BH281" s="818"/>
      <c r="BI281" s="818"/>
      <c r="BJ281" s="818"/>
      <c r="BK281" s="818">
        <v>4800000</v>
      </c>
      <c r="BM281" s="818"/>
      <c r="BN281" s="818"/>
      <c r="BO281" s="818"/>
      <c r="BQ281" s="818">
        <v>9989300</v>
      </c>
      <c r="BR281" s="818"/>
      <c r="BS281" s="818"/>
      <c r="BT281" s="818"/>
      <c r="BU281" s="818"/>
    </row>
    <row r="282" spans="1:73" x14ac:dyDescent="0.35">
      <c r="A282" s="806" t="s">
        <v>789</v>
      </c>
      <c r="B282" s="806" t="s">
        <v>925</v>
      </c>
      <c r="C282" s="806"/>
      <c r="D282" s="806"/>
      <c r="E282" s="806"/>
      <c r="F282" s="817">
        <v>40</v>
      </c>
      <c r="I282" s="817"/>
      <c r="J282" s="817"/>
      <c r="K282" s="817"/>
      <c r="L282" s="817">
        <v>40</v>
      </c>
      <c r="M282" s="817"/>
      <c r="N282" s="817"/>
      <c r="O282" s="817"/>
      <c r="P282" s="817"/>
      <c r="Q282" s="817"/>
      <c r="R282" s="817"/>
      <c r="S282" s="817"/>
      <c r="T282" s="817"/>
      <c r="U282" s="817"/>
      <c r="V282" s="817"/>
      <c r="W282" s="817"/>
      <c r="X282" s="817"/>
      <c r="Y282" s="817"/>
      <c r="Z282" s="817"/>
      <c r="AA282" s="817">
        <v>40</v>
      </c>
      <c r="AB282" s="817">
        <v>40</v>
      </c>
      <c r="AC282" s="817"/>
      <c r="AD282" s="817"/>
      <c r="AE282" s="817"/>
      <c r="AF282" s="817"/>
      <c r="AG282" s="817"/>
      <c r="AH282" s="817">
        <v>40</v>
      </c>
      <c r="AI282" s="817"/>
      <c r="AJ282" s="817"/>
      <c r="AL282" s="817"/>
      <c r="AM282" s="817"/>
      <c r="AN282" s="817">
        <v>30</v>
      </c>
      <c r="AO282" s="817"/>
      <c r="AP282" s="817"/>
      <c r="AQ282" s="817"/>
      <c r="AR282" s="817"/>
      <c r="AS282" s="817"/>
      <c r="AT282" s="817"/>
      <c r="AU282" s="817"/>
      <c r="AV282" s="817"/>
      <c r="AW282" s="817">
        <v>40</v>
      </c>
      <c r="AX282" s="817">
        <v>40</v>
      </c>
      <c r="AY282" s="817"/>
      <c r="AZ282" s="817"/>
      <c r="BA282" s="817">
        <v>40</v>
      </c>
      <c r="BC282" s="817"/>
      <c r="BD282" s="817">
        <v>40</v>
      </c>
      <c r="BE282" s="817"/>
      <c r="BF282" s="817">
        <v>40</v>
      </c>
      <c r="BG282" s="817"/>
      <c r="BH282" s="817"/>
      <c r="BI282" s="817"/>
      <c r="BJ282" s="817"/>
      <c r="BK282" s="817">
        <v>40</v>
      </c>
      <c r="BM282" s="817"/>
      <c r="BN282" s="817"/>
      <c r="BO282" s="817"/>
      <c r="BQ282" s="817">
        <v>40</v>
      </c>
      <c r="BR282" s="817"/>
      <c r="BS282" s="817"/>
      <c r="BT282" s="817"/>
      <c r="BU282" s="817"/>
    </row>
    <row r="283" spans="1:73" x14ac:dyDescent="0.35">
      <c r="A283" s="806" t="s">
        <v>789</v>
      </c>
      <c r="B283" s="806" t="s">
        <v>1105</v>
      </c>
      <c r="C283" s="806"/>
      <c r="D283" s="806"/>
      <c r="E283" s="806"/>
      <c r="F283" s="816">
        <v>606700840</v>
      </c>
      <c r="I283" s="816"/>
      <c r="K283" s="816"/>
      <c r="L283" s="816">
        <v>4047.03</v>
      </c>
      <c r="M283" s="816"/>
      <c r="N283" s="816"/>
      <c r="O283" s="816"/>
      <c r="P283" s="816"/>
      <c r="Q283" s="816"/>
      <c r="S283" s="816"/>
      <c r="T283" s="816"/>
      <c r="U283" s="816"/>
      <c r="V283" s="816"/>
      <c r="W283" s="816"/>
      <c r="X283" s="816"/>
      <c r="Z283" s="816"/>
      <c r="AA283" s="816">
        <v>1021</v>
      </c>
      <c r="AB283" s="816">
        <v>600700350</v>
      </c>
      <c r="AC283" s="816"/>
      <c r="AD283" s="816"/>
      <c r="AE283" s="816"/>
      <c r="AF283" s="816"/>
      <c r="AG283" s="816"/>
      <c r="AH283" s="816">
        <v>1106.01</v>
      </c>
      <c r="AI283" s="816"/>
      <c r="AJ283" s="816"/>
      <c r="AL283" s="816"/>
      <c r="AN283" s="816">
        <v>2532.08</v>
      </c>
      <c r="AP283" s="816"/>
      <c r="AQ283" s="816"/>
      <c r="AR283" s="816"/>
      <c r="AS283" s="816"/>
      <c r="AT283" s="816"/>
      <c r="AU283" s="816"/>
      <c r="AV283" s="816"/>
      <c r="AW283" s="816">
        <v>3382.03</v>
      </c>
      <c r="AX283" s="816" t="s">
        <v>3545</v>
      </c>
      <c r="AY283" s="816"/>
      <c r="AZ283" s="816"/>
      <c r="BA283" s="816">
        <v>403.03</v>
      </c>
      <c r="BC283" s="816"/>
      <c r="BD283" s="816">
        <v>423901</v>
      </c>
      <c r="BE283" s="816"/>
      <c r="BF283" s="816">
        <v>631.02</v>
      </c>
      <c r="BG283" s="816"/>
      <c r="BH283" s="816"/>
      <c r="BI283" s="816"/>
      <c r="BJ283" s="816"/>
      <c r="BK283" s="816" t="s">
        <v>4003</v>
      </c>
      <c r="BM283" s="816"/>
      <c r="BN283" s="816"/>
      <c r="BO283" s="816"/>
      <c r="BQ283" s="816">
        <v>1.21</v>
      </c>
      <c r="BR283" s="816"/>
      <c r="BS283" s="816"/>
      <c r="BT283" s="816"/>
      <c r="BU283" s="816"/>
    </row>
    <row r="284" spans="1:73" x14ac:dyDescent="0.35">
      <c r="A284" s="806" t="s">
        <v>789</v>
      </c>
      <c r="B284" s="806" t="s">
        <v>1991</v>
      </c>
      <c r="C284" s="806"/>
      <c r="D284" s="806"/>
      <c r="E284" s="806"/>
      <c r="F284" s="806"/>
      <c r="AN284" s="816">
        <v>2532.08</v>
      </c>
      <c r="BF284" s="816">
        <v>752.02</v>
      </c>
    </row>
    <row r="285" spans="1:73" x14ac:dyDescent="0.35">
      <c r="A285" s="806" t="s">
        <v>789</v>
      </c>
      <c r="B285" s="806" t="s">
        <v>1993</v>
      </c>
      <c r="C285" s="806"/>
      <c r="D285" s="806"/>
      <c r="E285" s="806"/>
      <c r="F285" s="806"/>
      <c r="AN285" s="816">
        <v>2532.08</v>
      </c>
      <c r="BF285" s="816">
        <v>874.01</v>
      </c>
    </row>
    <row r="286" spans="1:73" x14ac:dyDescent="0.35">
      <c r="A286" s="806" t="s">
        <v>789</v>
      </c>
      <c r="B286" s="806" t="s">
        <v>1992</v>
      </c>
      <c r="C286" s="806"/>
      <c r="D286" s="806"/>
      <c r="E286" s="806"/>
      <c r="F286" s="806"/>
      <c r="AN286" s="816">
        <v>2532.08</v>
      </c>
    </row>
    <row r="287" spans="1:73" x14ac:dyDescent="0.35">
      <c r="A287" s="806" t="s">
        <v>789</v>
      </c>
      <c r="B287" s="806" t="s">
        <v>1994</v>
      </c>
      <c r="C287" s="806"/>
      <c r="D287" s="806"/>
      <c r="E287" s="806"/>
      <c r="F287" s="806"/>
      <c r="AN287" s="816">
        <v>2532.08</v>
      </c>
    </row>
    <row r="288" spans="1:73" x14ac:dyDescent="0.35">
      <c r="A288" s="806" t="s">
        <v>789</v>
      </c>
      <c r="B288" s="806" t="s">
        <v>1995</v>
      </c>
      <c r="C288" s="806"/>
      <c r="D288" s="806"/>
      <c r="E288" s="806"/>
      <c r="F288" s="806"/>
      <c r="AN288" s="816">
        <v>2532.08</v>
      </c>
    </row>
    <row r="289" spans="1:73" x14ac:dyDescent="0.35">
      <c r="A289" s="806" t="s">
        <v>789</v>
      </c>
      <c r="B289" s="806" t="s">
        <v>1996</v>
      </c>
      <c r="C289" s="806"/>
      <c r="D289" s="806"/>
      <c r="E289" s="806"/>
      <c r="F289" s="806"/>
      <c r="AN289" s="816">
        <v>2532.08</v>
      </c>
    </row>
    <row r="290" spans="1:73" x14ac:dyDescent="0.35">
      <c r="A290" s="806" t="s">
        <v>789</v>
      </c>
      <c r="B290" s="806" t="s">
        <v>1103</v>
      </c>
      <c r="C290" s="806"/>
      <c r="D290" s="806"/>
      <c r="E290" s="806"/>
      <c r="F290" s="816" t="s">
        <v>2513</v>
      </c>
      <c r="I290" s="816"/>
      <c r="J290" s="816"/>
      <c r="K290" s="816"/>
      <c r="L290" s="816" t="s">
        <v>2671</v>
      </c>
      <c r="M290" s="816"/>
      <c r="N290" s="816"/>
      <c r="O290" s="816"/>
      <c r="P290" s="816"/>
      <c r="Q290" s="816"/>
      <c r="S290" s="816"/>
      <c r="T290" s="816"/>
      <c r="U290" s="816"/>
      <c r="V290" s="816"/>
      <c r="W290" s="816"/>
      <c r="X290" s="816"/>
      <c r="Z290" s="816"/>
      <c r="AA290" s="816" t="s">
        <v>2985</v>
      </c>
      <c r="AB290" s="816" t="s">
        <v>3042</v>
      </c>
      <c r="AC290" s="816"/>
      <c r="AD290" s="816"/>
      <c r="AE290" s="816"/>
      <c r="AF290" s="816"/>
      <c r="AG290" s="816"/>
      <c r="AH290" s="816" t="s">
        <v>3161</v>
      </c>
      <c r="AI290" s="816"/>
      <c r="AJ290" s="816"/>
      <c r="AL290" s="816"/>
      <c r="AN290" s="816" t="s">
        <v>3317</v>
      </c>
      <c r="AP290" s="816"/>
      <c r="AQ290" s="816"/>
      <c r="AR290" s="816"/>
      <c r="AS290" s="816"/>
      <c r="AT290" s="816"/>
      <c r="AU290" s="816"/>
      <c r="AV290" s="816"/>
      <c r="AW290" s="816" t="s">
        <v>3507</v>
      </c>
      <c r="AX290" s="816" t="s">
        <v>1906</v>
      </c>
      <c r="AY290" s="816"/>
      <c r="AZ290" s="816"/>
      <c r="BA290" s="816" t="s">
        <v>3626</v>
      </c>
      <c r="BC290" s="816"/>
      <c r="BD290" s="816" t="s">
        <v>3692</v>
      </c>
      <c r="BE290" s="816"/>
      <c r="BF290" s="816" t="s">
        <v>3778</v>
      </c>
      <c r="BG290" s="816"/>
      <c r="BH290" s="816"/>
      <c r="BI290" s="816"/>
      <c r="BJ290" s="816"/>
      <c r="BK290" s="816" t="s">
        <v>4002</v>
      </c>
      <c r="BM290" s="816"/>
      <c r="BN290" s="816"/>
      <c r="BO290" s="816"/>
      <c r="BQ290" s="816" t="s">
        <v>4286</v>
      </c>
      <c r="BR290" s="816"/>
      <c r="BS290" s="816"/>
      <c r="BT290" s="816"/>
      <c r="BU290" s="816"/>
    </row>
    <row r="291" spans="1:73" x14ac:dyDescent="0.35">
      <c r="A291" s="806" t="s">
        <v>789</v>
      </c>
      <c r="B291" s="806" t="s">
        <v>1979</v>
      </c>
      <c r="C291" s="806"/>
      <c r="D291" s="806"/>
      <c r="E291" s="806"/>
      <c r="F291" s="806"/>
      <c r="AN291" s="816" t="s">
        <v>3317</v>
      </c>
      <c r="BD291" s="816"/>
      <c r="BF291" s="816" t="s">
        <v>1747</v>
      </c>
    </row>
    <row r="292" spans="1:73" x14ac:dyDescent="0.35">
      <c r="A292" s="806" t="s">
        <v>789</v>
      </c>
      <c r="B292" s="806" t="s">
        <v>1980</v>
      </c>
      <c r="C292" s="806"/>
      <c r="D292" s="806"/>
      <c r="E292" s="806"/>
      <c r="F292" s="806"/>
      <c r="AN292" s="816" t="s">
        <v>3317</v>
      </c>
      <c r="BF292" s="816" t="s">
        <v>3788</v>
      </c>
    </row>
    <row r="293" spans="1:73" x14ac:dyDescent="0.35">
      <c r="A293" s="806" t="s">
        <v>789</v>
      </c>
      <c r="B293" s="806" t="s">
        <v>1981</v>
      </c>
      <c r="C293" s="806"/>
      <c r="D293" s="806"/>
      <c r="E293" s="806"/>
      <c r="F293" s="806"/>
      <c r="AN293" s="816" t="s">
        <v>3317</v>
      </c>
    </row>
    <row r="294" spans="1:73" x14ac:dyDescent="0.35">
      <c r="A294" s="806" t="s">
        <v>789</v>
      </c>
      <c r="B294" s="806" t="s">
        <v>1982</v>
      </c>
      <c r="C294" s="806"/>
      <c r="D294" s="806"/>
      <c r="E294" s="806"/>
      <c r="F294" s="806"/>
      <c r="AN294" s="816" t="s">
        <v>3317</v>
      </c>
    </row>
    <row r="295" spans="1:73" x14ac:dyDescent="0.35">
      <c r="A295" s="806" t="s">
        <v>789</v>
      </c>
      <c r="B295" s="806" t="s">
        <v>1983</v>
      </c>
      <c r="C295" s="806"/>
      <c r="D295" s="806"/>
      <c r="E295" s="806"/>
      <c r="F295" s="806"/>
      <c r="AN295" s="816" t="s">
        <v>3317</v>
      </c>
    </row>
    <row r="296" spans="1:73" x14ac:dyDescent="0.35">
      <c r="A296" s="806" t="s">
        <v>789</v>
      </c>
      <c r="B296" s="806" t="s">
        <v>1984</v>
      </c>
      <c r="C296" s="806"/>
      <c r="D296" s="806"/>
      <c r="E296" s="806"/>
      <c r="F296" s="806"/>
      <c r="AN296" s="816" t="s">
        <v>3317</v>
      </c>
    </row>
    <row r="297" spans="1:73" x14ac:dyDescent="0.35">
      <c r="A297" s="806" t="s">
        <v>789</v>
      </c>
      <c r="B297" s="806" t="s">
        <v>1100</v>
      </c>
      <c r="C297" s="806"/>
      <c r="D297" s="806"/>
      <c r="E297" s="806"/>
      <c r="F297" s="818">
        <v>2500</v>
      </c>
      <c r="I297" s="818"/>
      <c r="J297" s="818"/>
      <c r="K297" s="818"/>
      <c r="L297" s="818">
        <v>3000</v>
      </c>
      <c r="M297" s="818"/>
      <c r="N297" s="818"/>
      <c r="O297" s="818"/>
      <c r="P297" s="818"/>
      <c r="Q297" s="818"/>
      <c r="S297" s="818"/>
      <c r="T297" s="818"/>
      <c r="U297" s="818"/>
      <c r="V297" s="818"/>
      <c r="W297" s="818"/>
      <c r="X297" s="818"/>
      <c r="Z297" s="818"/>
      <c r="AA297" s="818">
        <v>0</v>
      </c>
      <c r="AB297" s="818">
        <v>0</v>
      </c>
      <c r="AC297" s="818"/>
      <c r="AD297" s="818"/>
      <c r="AE297" s="818"/>
      <c r="AF297" s="818"/>
      <c r="AG297" s="818"/>
      <c r="AH297" s="818">
        <v>3250</v>
      </c>
      <c r="AI297" s="818"/>
      <c r="AJ297" s="818"/>
      <c r="AL297" s="818"/>
      <c r="AN297" s="818">
        <v>0</v>
      </c>
      <c r="AP297" s="818"/>
      <c r="AQ297" s="818"/>
      <c r="AR297" s="818"/>
      <c r="AS297" s="818"/>
      <c r="AT297" s="818"/>
      <c r="AU297" s="818"/>
      <c r="AV297" s="818"/>
      <c r="AW297" s="818">
        <v>2750</v>
      </c>
      <c r="AX297" s="818">
        <v>0</v>
      </c>
      <c r="AY297" s="818"/>
      <c r="AZ297" s="818"/>
      <c r="BA297" s="818">
        <v>5500</v>
      </c>
      <c r="BC297" s="818"/>
      <c r="BD297" s="818">
        <v>0</v>
      </c>
      <c r="BE297" s="818"/>
      <c r="BF297" s="818"/>
      <c r="BG297" s="818"/>
      <c r="BH297" s="818"/>
      <c r="BI297" s="818"/>
      <c r="BJ297" s="818"/>
      <c r="BK297" s="818">
        <v>6000</v>
      </c>
      <c r="BM297" s="818"/>
      <c r="BN297" s="818"/>
      <c r="BO297" s="818"/>
      <c r="BQ297" s="818">
        <v>10700</v>
      </c>
      <c r="BR297" s="818"/>
      <c r="BS297" s="818"/>
      <c r="BT297" s="818"/>
      <c r="BU297" s="818"/>
    </row>
    <row r="298" spans="1:73" x14ac:dyDescent="0.35">
      <c r="A298" s="806" t="s">
        <v>789</v>
      </c>
      <c r="B298" s="806" t="s">
        <v>926</v>
      </c>
      <c r="C298" s="806"/>
      <c r="D298" s="806"/>
      <c r="E298" s="806"/>
      <c r="F298" s="817">
        <v>9</v>
      </c>
      <c r="I298" s="817"/>
      <c r="J298" s="817"/>
      <c r="K298" s="817"/>
      <c r="L298" s="817">
        <v>15</v>
      </c>
      <c r="M298" s="817"/>
      <c r="N298" s="817"/>
      <c r="O298" s="817"/>
      <c r="P298" s="817"/>
      <c r="Q298" s="817"/>
      <c r="R298" s="817"/>
      <c r="S298" s="817"/>
      <c r="T298" s="817"/>
      <c r="U298" s="817"/>
      <c r="V298" s="817"/>
      <c r="W298" s="817"/>
      <c r="X298" s="817"/>
      <c r="Y298" s="817"/>
      <c r="Z298" s="817"/>
      <c r="AA298" s="817">
        <v>14</v>
      </c>
      <c r="AB298" s="817">
        <v>7</v>
      </c>
      <c r="AC298" s="817"/>
      <c r="AD298" s="817"/>
      <c r="AE298" s="817"/>
      <c r="AF298" s="817"/>
      <c r="AG298" s="817"/>
      <c r="AH298" s="817">
        <v>15</v>
      </c>
      <c r="AI298" s="817"/>
      <c r="AJ298" s="817"/>
      <c r="AL298" s="817"/>
      <c r="AM298" s="817"/>
      <c r="AN298" s="817">
        <v>8</v>
      </c>
      <c r="AO298" s="817"/>
      <c r="AP298" s="817"/>
      <c r="AQ298" s="817"/>
      <c r="AR298" s="817"/>
      <c r="AS298" s="817"/>
      <c r="AT298" s="817"/>
      <c r="AU298" s="817"/>
      <c r="AV298" s="817"/>
      <c r="AW298" s="817">
        <v>11</v>
      </c>
      <c r="AX298" s="817">
        <v>12</v>
      </c>
      <c r="AY298" s="817"/>
      <c r="AZ298" s="817"/>
      <c r="BA298" s="817">
        <v>9</v>
      </c>
      <c r="BC298" s="817"/>
      <c r="BD298" s="817">
        <v>12</v>
      </c>
      <c r="BE298" s="817"/>
      <c r="BF298" s="817">
        <v>14</v>
      </c>
      <c r="BG298" s="817"/>
      <c r="BH298" s="817"/>
      <c r="BI298" s="817"/>
      <c r="BJ298" s="817"/>
      <c r="BK298" s="817">
        <v>11</v>
      </c>
      <c r="BM298" s="817"/>
      <c r="BN298" s="817"/>
      <c r="BO298" s="817"/>
      <c r="BQ298" s="817">
        <v>6</v>
      </c>
      <c r="BR298" s="817"/>
      <c r="BS298" s="817"/>
      <c r="BT298" s="817"/>
      <c r="BU298" s="817"/>
    </row>
    <row r="299" spans="1:73" x14ac:dyDescent="0.35">
      <c r="A299" s="806" t="s">
        <v>732</v>
      </c>
      <c r="B299" s="806" t="s">
        <v>791</v>
      </c>
      <c r="C299" s="816"/>
      <c r="D299" s="816"/>
      <c r="E299" s="816"/>
      <c r="F299" s="816" t="s">
        <v>2476</v>
      </c>
      <c r="G299" s="816" t="s">
        <v>1958</v>
      </c>
      <c r="H299" s="816" t="s">
        <v>1958</v>
      </c>
      <c r="I299" s="816"/>
      <c r="J299" s="816"/>
      <c r="K299" s="816"/>
      <c r="L299" s="816" t="s">
        <v>2476</v>
      </c>
      <c r="M299" s="816"/>
      <c r="N299" s="816"/>
      <c r="O299" s="816"/>
      <c r="P299" s="816"/>
      <c r="Q299" s="816"/>
      <c r="R299" s="816"/>
      <c r="S299" s="816" t="s">
        <v>1958</v>
      </c>
      <c r="T299" s="816"/>
      <c r="U299" s="816"/>
      <c r="V299" s="816"/>
      <c r="W299" s="816"/>
      <c r="X299" s="816"/>
      <c r="Y299" s="816"/>
      <c r="Z299" s="816"/>
      <c r="AA299" s="816" t="s">
        <v>2476</v>
      </c>
      <c r="AB299" s="816" t="s">
        <v>2476</v>
      </c>
      <c r="AC299" s="816"/>
      <c r="AD299" s="816"/>
      <c r="AE299" s="816"/>
      <c r="AF299" s="816"/>
      <c r="AG299" s="816"/>
      <c r="AH299" s="816" t="s">
        <v>2476</v>
      </c>
      <c r="AI299" s="816"/>
      <c r="AJ299" s="816"/>
      <c r="AK299" s="816" t="s">
        <v>1958</v>
      </c>
      <c r="AL299" s="816"/>
      <c r="AM299" s="816"/>
      <c r="AN299" s="816" t="s">
        <v>2476</v>
      </c>
      <c r="AO299" s="816"/>
      <c r="AP299" s="816"/>
      <c r="AQ299" s="816"/>
      <c r="AR299" s="816"/>
      <c r="AS299" s="816"/>
      <c r="AT299" s="816"/>
      <c r="AU299" s="816"/>
      <c r="AV299" s="816"/>
      <c r="AW299" s="816" t="s">
        <v>2476</v>
      </c>
      <c r="AX299" s="816" t="s">
        <v>2476</v>
      </c>
      <c r="AY299" s="816"/>
      <c r="AZ299" s="816" t="s">
        <v>1958</v>
      </c>
      <c r="BA299" s="816" t="s">
        <v>900</v>
      </c>
      <c r="BB299" s="816"/>
      <c r="BC299" s="816"/>
      <c r="BD299" s="816" t="s">
        <v>2476</v>
      </c>
      <c r="BE299" s="816"/>
      <c r="BF299" s="816" t="s">
        <v>2476</v>
      </c>
      <c r="BG299" s="816"/>
      <c r="BH299" s="816"/>
      <c r="BI299" s="816"/>
      <c r="BJ299" s="816" t="s">
        <v>1958</v>
      </c>
      <c r="BK299" s="816" t="s">
        <v>2476</v>
      </c>
      <c r="BM299" s="816"/>
      <c r="BN299" s="816"/>
      <c r="BO299" s="816"/>
      <c r="BP299" s="816"/>
      <c r="BQ299" s="816" t="s">
        <v>900</v>
      </c>
      <c r="BR299" s="816"/>
      <c r="BS299" s="816"/>
      <c r="BT299" s="816"/>
      <c r="BU299" s="816"/>
    </row>
    <row r="300" spans="1:73" ht="29" x14ac:dyDescent="0.35">
      <c r="A300" s="806" t="s">
        <v>789</v>
      </c>
      <c r="B300" s="806" t="s">
        <v>1627</v>
      </c>
      <c r="C300" s="806"/>
      <c r="D300" s="806"/>
      <c r="E300" s="806"/>
      <c r="F300" s="806"/>
      <c r="I300" s="816"/>
      <c r="K300" s="816"/>
      <c r="L300" s="816" t="s">
        <v>2681</v>
      </c>
      <c r="M300" s="816"/>
      <c r="N300" s="816"/>
      <c r="O300" s="816"/>
      <c r="P300" s="816"/>
      <c r="Q300" s="816"/>
      <c r="S300" s="816"/>
      <c r="T300" s="816"/>
      <c r="U300" s="816"/>
      <c r="V300" s="816"/>
      <c r="W300" s="816"/>
      <c r="X300" s="816"/>
      <c r="Z300" s="816"/>
      <c r="AB300" s="816"/>
      <c r="AC300" s="816"/>
      <c r="AD300" s="816"/>
      <c r="AE300" s="816"/>
      <c r="AF300" s="816"/>
      <c r="AG300" s="816"/>
      <c r="AI300" s="816"/>
      <c r="AJ300" s="816"/>
      <c r="AL300" s="816"/>
      <c r="AP300" s="816"/>
      <c r="AQ300" s="816"/>
      <c r="AR300" s="816"/>
      <c r="AS300" s="816"/>
      <c r="AT300" s="816"/>
      <c r="AU300" s="816"/>
      <c r="AV300" s="816"/>
      <c r="AX300" s="816"/>
      <c r="AY300" s="816"/>
      <c r="AZ300" s="816"/>
      <c r="BA300" s="816" t="s">
        <v>2517</v>
      </c>
      <c r="BC300" s="816"/>
      <c r="BD300" s="816"/>
      <c r="BE300" s="816"/>
      <c r="BG300" s="816"/>
      <c r="BH300" s="816"/>
      <c r="BI300" s="816"/>
      <c r="BJ300" s="816"/>
      <c r="BK300" s="816" t="s">
        <v>2680</v>
      </c>
      <c r="BM300" s="816"/>
      <c r="BN300" s="816"/>
      <c r="BO300" s="816"/>
      <c r="BQ300" s="816"/>
      <c r="BR300" s="816"/>
      <c r="BS300" s="816"/>
      <c r="BT300" s="816"/>
      <c r="BU300" s="816"/>
    </row>
    <row r="301" spans="1:73" ht="29" x14ac:dyDescent="0.35">
      <c r="A301" s="806" t="s">
        <v>789</v>
      </c>
      <c r="B301" s="806" t="s">
        <v>1625</v>
      </c>
      <c r="C301" s="806"/>
      <c r="D301" s="806"/>
      <c r="E301" s="806"/>
      <c r="F301" s="806"/>
      <c r="I301" s="811"/>
      <c r="K301" s="811"/>
      <c r="M301" s="811"/>
      <c r="N301" s="811"/>
      <c r="O301" s="811"/>
      <c r="P301" s="811"/>
      <c r="Q301" s="811"/>
      <c r="S301" s="811"/>
      <c r="T301" s="811"/>
      <c r="U301" s="811"/>
      <c r="V301" s="811"/>
      <c r="W301" s="811"/>
      <c r="X301" s="811"/>
      <c r="Z301" s="811"/>
      <c r="AC301" s="811"/>
      <c r="AD301" s="811"/>
      <c r="AE301" s="811"/>
      <c r="AF301" s="811"/>
      <c r="AG301" s="811"/>
      <c r="AI301" s="811"/>
      <c r="AJ301" s="811"/>
      <c r="AL301" s="811"/>
      <c r="AP301" s="811"/>
      <c r="AQ301" s="811"/>
      <c r="AR301" s="811"/>
      <c r="AS301" s="811"/>
      <c r="AT301" s="811"/>
      <c r="AU301" s="811"/>
      <c r="AV301" s="811"/>
      <c r="AX301" s="811"/>
      <c r="AY301" s="811"/>
      <c r="AZ301" s="811"/>
      <c r="BA301" s="811"/>
      <c r="BC301" s="811"/>
      <c r="BD301" s="811"/>
      <c r="BE301" s="811"/>
      <c r="BG301" s="811"/>
      <c r="BH301" s="811"/>
      <c r="BI301" s="811"/>
      <c r="BJ301" s="811"/>
      <c r="BK301" s="811">
        <v>44943</v>
      </c>
      <c r="BM301" s="811"/>
      <c r="BN301" s="811"/>
      <c r="BO301" s="811"/>
      <c r="BQ301" s="811"/>
      <c r="BR301" s="811"/>
      <c r="BS301" s="811"/>
      <c r="BT301" s="811"/>
      <c r="BU301" s="811"/>
    </row>
    <row r="302" spans="1:73" ht="29" x14ac:dyDescent="0.35">
      <c r="A302" s="806" t="s">
        <v>789</v>
      </c>
      <c r="B302" s="806" t="s">
        <v>1623</v>
      </c>
      <c r="C302" s="806"/>
      <c r="D302" s="806"/>
      <c r="E302" s="806"/>
      <c r="F302" s="816" t="s">
        <v>683</v>
      </c>
      <c r="I302" s="816"/>
      <c r="K302" s="816"/>
      <c r="L302" s="816" t="s">
        <v>2677</v>
      </c>
      <c r="M302" s="816"/>
      <c r="N302" s="816"/>
      <c r="O302" s="816"/>
      <c r="P302" s="816"/>
      <c r="Q302" s="816"/>
      <c r="S302" s="816"/>
      <c r="T302" s="816"/>
      <c r="U302" s="816"/>
      <c r="V302" s="816"/>
      <c r="W302" s="816"/>
      <c r="X302" s="816"/>
      <c r="Z302" s="816"/>
      <c r="AB302" s="816"/>
      <c r="AC302" s="816"/>
      <c r="AD302" s="816"/>
      <c r="AE302" s="816"/>
      <c r="AF302" s="816"/>
      <c r="AG302" s="816"/>
      <c r="AH302" s="816" t="s">
        <v>3162</v>
      </c>
      <c r="AI302" s="816"/>
      <c r="AJ302" s="816"/>
      <c r="AL302" s="816"/>
      <c r="AN302" s="816" t="s">
        <v>3335</v>
      </c>
      <c r="AP302" s="816"/>
      <c r="AQ302" s="816"/>
      <c r="AR302" s="816"/>
      <c r="AS302" s="816"/>
      <c r="AT302" s="816"/>
      <c r="AU302" s="816"/>
      <c r="AV302" s="816"/>
      <c r="AX302" s="816"/>
      <c r="AY302" s="816"/>
      <c r="AZ302" s="816"/>
      <c r="BA302" s="816" t="s">
        <v>3636</v>
      </c>
      <c r="BC302" s="816"/>
      <c r="BD302" s="816" t="s">
        <v>3725</v>
      </c>
      <c r="BE302" s="816"/>
      <c r="BG302" s="816"/>
      <c r="BH302" s="816"/>
      <c r="BI302" s="816"/>
      <c r="BJ302" s="816"/>
      <c r="BK302" s="816" t="s">
        <v>4005</v>
      </c>
      <c r="BM302" s="816"/>
      <c r="BN302" s="816"/>
      <c r="BO302" s="816"/>
      <c r="BQ302" s="816"/>
      <c r="BR302" s="816"/>
      <c r="BS302" s="816"/>
      <c r="BT302" s="816"/>
      <c r="BU302" s="816"/>
    </row>
    <row r="303" spans="1:73" ht="43.5" x14ac:dyDescent="0.35">
      <c r="A303" s="806" t="s">
        <v>789</v>
      </c>
      <c r="B303" s="806" t="s">
        <v>2308</v>
      </c>
      <c r="C303" s="806"/>
      <c r="D303" s="806"/>
      <c r="E303" s="806"/>
      <c r="F303" s="816" t="s">
        <v>2525</v>
      </c>
      <c r="L303" s="816"/>
      <c r="AA303" s="816" t="s">
        <v>3001</v>
      </c>
      <c r="AB303" s="816" t="s">
        <v>3048</v>
      </c>
      <c r="AH303" s="816" t="s">
        <v>3202</v>
      </c>
      <c r="AN303" s="816" t="s">
        <v>3338</v>
      </c>
      <c r="AW303" s="816" t="s">
        <v>3516</v>
      </c>
      <c r="AX303" s="816" t="s">
        <v>3547</v>
      </c>
      <c r="BD303" s="816" t="s">
        <v>3734</v>
      </c>
      <c r="BK303" s="816" t="s">
        <v>4078</v>
      </c>
    </row>
    <row r="304" spans="1:73" ht="29" x14ac:dyDescent="0.35">
      <c r="A304" s="806" t="s">
        <v>789</v>
      </c>
      <c r="B304" s="806" t="s">
        <v>2309</v>
      </c>
      <c r="C304" s="806"/>
      <c r="D304" s="806"/>
      <c r="E304" s="806"/>
      <c r="F304" s="806"/>
      <c r="AH304" s="818">
        <v>100000</v>
      </c>
      <c r="AN304" s="818">
        <v>55984</v>
      </c>
      <c r="AX304" s="818">
        <v>345285</v>
      </c>
    </row>
    <row r="305" spans="1:69" ht="29" x14ac:dyDescent="0.35">
      <c r="A305" s="806" t="s">
        <v>789</v>
      </c>
      <c r="B305" s="806" t="s">
        <v>2305</v>
      </c>
      <c r="C305" s="806"/>
      <c r="D305" s="806"/>
      <c r="E305" s="806"/>
      <c r="F305" s="806"/>
      <c r="L305" s="818"/>
      <c r="AA305" s="818">
        <v>4850000</v>
      </c>
      <c r="AB305" s="818">
        <v>138000</v>
      </c>
      <c r="AH305" s="818">
        <v>1000000</v>
      </c>
      <c r="AN305" s="818">
        <v>68200</v>
      </c>
      <c r="AW305" s="818">
        <v>401492</v>
      </c>
    </row>
    <row r="306" spans="1:69" ht="29" x14ac:dyDescent="0.35">
      <c r="A306" s="806" t="s">
        <v>789</v>
      </c>
      <c r="B306" s="806" t="s">
        <v>2281</v>
      </c>
      <c r="C306" s="806"/>
      <c r="D306" s="806"/>
      <c r="E306" s="806"/>
      <c r="F306" s="806"/>
      <c r="AA306" s="818"/>
      <c r="AN306" s="818">
        <v>22700</v>
      </c>
      <c r="BD306" s="818">
        <v>500000</v>
      </c>
    </row>
    <row r="307" spans="1:69" ht="29" x14ac:dyDescent="0.35">
      <c r="A307" s="806" t="s">
        <v>789</v>
      </c>
      <c r="B307" s="806" t="s">
        <v>2292</v>
      </c>
      <c r="C307" s="806"/>
      <c r="D307" s="806"/>
      <c r="E307" s="806"/>
      <c r="F307" s="818">
        <v>74760</v>
      </c>
      <c r="AA307" s="818">
        <v>1000000</v>
      </c>
      <c r="AN307" s="818">
        <v>5500</v>
      </c>
      <c r="AW307" s="818">
        <v>146638</v>
      </c>
      <c r="AX307" s="818">
        <v>742269</v>
      </c>
      <c r="BD307" s="818">
        <v>1500000</v>
      </c>
      <c r="BK307" s="818">
        <v>360000</v>
      </c>
    </row>
    <row r="308" spans="1:69" ht="29" x14ac:dyDescent="0.35">
      <c r="A308" s="806" t="s">
        <v>789</v>
      </c>
      <c r="B308" s="806" t="s">
        <v>2299</v>
      </c>
      <c r="C308" s="806"/>
      <c r="D308" s="806"/>
      <c r="E308" s="806"/>
      <c r="F308" s="806"/>
      <c r="AA308" s="818">
        <v>431246</v>
      </c>
      <c r="AN308" s="818">
        <v>160700</v>
      </c>
      <c r="AW308" s="818">
        <v>400000</v>
      </c>
      <c r="BD308" s="818">
        <v>500000</v>
      </c>
      <c r="BK308" s="818">
        <v>480000</v>
      </c>
    </row>
    <row r="309" spans="1:69" ht="29" x14ac:dyDescent="0.35">
      <c r="A309" s="806" t="s">
        <v>789</v>
      </c>
      <c r="B309" s="806" t="s">
        <v>2310</v>
      </c>
      <c r="C309" s="806"/>
      <c r="D309" s="806"/>
      <c r="E309" s="806"/>
      <c r="F309" s="816" t="s">
        <v>2526</v>
      </c>
      <c r="L309" s="816" t="s">
        <v>2690</v>
      </c>
      <c r="AA309" s="816" t="s">
        <v>3002</v>
      </c>
      <c r="AH309" s="816" t="s">
        <v>3203</v>
      </c>
      <c r="AW309" s="816" t="s">
        <v>3517</v>
      </c>
      <c r="AX309" s="816" t="s">
        <v>3551</v>
      </c>
      <c r="BD309" s="816" t="s">
        <v>3737</v>
      </c>
      <c r="BK309" s="816" t="s">
        <v>4080</v>
      </c>
    </row>
    <row r="310" spans="1:69" ht="29" x14ac:dyDescent="0.35">
      <c r="A310" s="806" t="s">
        <v>789</v>
      </c>
      <c r="B310" s="806" t="s">
        <v>2313</v>
      </c>
      <c r="C310" s="806"/>
      <c r="D310" s="806"/>
      <c r="E310" s="806"/>
      <c r="F310" s="806"/>
      <c r="AH310" s="818">
        <v>1380658</v>
      </c>
      <c r="AX310" s="818"/>
      <c r="BK310" s="818">
        <v>840552</v>
      </c>
    </row>
    <row r="311" spans="1:69" ht="29" x14ac:dyDescent="0.35">
      <c r="A311" s="806" t="s">
        <v>789</v>
      </c>
      <c r="B311" s="806" t="s">
        <v>2306</v>
      </c>
      <c r="C311" s="806"/>
      <c r="D311" s="806"/>
      <c r="E311" s="806"/>
      <c r="F311" s="818">
        <v>430000</v>
      </c>
      <c r="L311" s="818">
        <v>201200</v>
      </c>
      <c r="AA311" s="818">
        <v>6070000</v>
      </c>
      <c r="AW311" s="818"/>
    </row>
    <row r="312" spans="1:69" ht="29" x14ac:dyDescent="0.35">
      <c r="A312" s="806" t="s">
        <v>789</v>
      </c>
      <c r="B312" s="806" t="s">
        <v>2282</v>
      </c>
      <c r="C312" s="806"/>
      <c r="D312" s="806"/>
      <c r="E312" s="806"/>
      <c r="F312" s="806"/>
      <c r="AA312" s="818">
        <v>4014306</v>
      </c>
      <c r="AH312" s="818">
        <v>750000</v>
      </c>
      <c r="AX312" s="818">
        <v>758403</v>
      </c>
    </row>
    <row r="313" spans="1:69" ht="29" x14ac:dyDescent="0.35">
      <c r="A313" s="806" t="s">
        <v>789</v>
      </c>
      <c r="B313" s="806" t="s">
        <v>2293</v>
      </c>
      <c r="C313" s="806"/>
      <c r="D313" s="806"/>
      <c r="E313" s="806"/>
      <c r="F313" s="818"/>
      <c r="AA313" s="818">
        <v>45000000</v>
      </c>
      <c r="AW313" s="818">
        <v>270566</v>
      </c>
      <c r="BD313" s="818">
        <v>500000</v>
      </c>
    </row>
    <row r="314" spans="1:69" ht="29" x14ac:dyDescent="0.35">
      <c r="A314" s="806" t="s">
        <v>789</v>
      </c>
      <c r="B314" s="806" t="s">
        <v>2300</v>
      </c>
      <c r="C314" s="806"/>
      <c r="D314" s="806"/>
      <c r="E314" s="806"/>
      <c r="F314" s="818"/>
      <c r="AA314" s="818">
        <v>1505200</v>
      </c>
      <c r="BD314" s="818">
        <v>750000</v>
      </c>
    </row>
    <row r="315" spans="1:69" ht="29" x14ac:dyDescent="0.35">
      <c r="A315" s="806" t="s">
        <v>789</v>
      </c>
      <c r="B315" s="806" t="s">
        <v>2312</v>
      </c>
      <c r="C315" s="806"/>
      <c r="D315" s="806"/>
      <c r="E315" s="806"/>
      <c r="F315" s="806"/>
      <c r="L315" s="816" t="s">
        <v>2531</v>
      </c>
      <c r="AA315" s="816" t="s">
        <v>3003</v>
      </c>
      <c r="AW315" s="816" t="s">
        <v>2531</v>
      </c>
      <c r="BD315" s="816" t="s">
        <v>3739</v>
      </c>
      <c r="BK315" s="816" t="s">
        <v>4081</v>
      </c>
    </row>
    <row r="316" spans="1:69" ht="29" x14ac:dyDescent="0.35">
      <c r="A316" s="806" t="s">
        <v>789</v>
      </c>
      <c r="B316" s="806" t="s">
        <v>2307</v>
      </c>
      <c r="C316" s="806"/>
      <c r="D316" s="806"/>
      <c r="E316" s="806"/>
      <c r="F316" s="806"/>
      <c r="L316" s="818">
        <v>133800</v>
      </c>
      <c r="AW316" s="818">
        <v>349087</v>
      </c>
      <c r="BK316" s="818">
        <v>5086576</v>
      </c>
    </row>
    <row r="317" spans="1:69" ht="29" x14ac:dyDescent="0.35">
      <c r="A317" s="806" t="s">
        <v>789</v>
      </c>
      <c r="B317" s="806" t="s">
        <v>2283</v>
      </c>
      <c r="C317" s="806"/>
      <c r="D317" s="806"/>
      <c r="E317" s="806"/>
      <c r="F317" s="806"/>
      <c r="BK317" s="818">
        <v>440816</v>
      </c>
    </row>
    <row r="318" spans="1:69" ht="29" x14ac:dyDescent="0.35">
      <c r="A318" s="806" t="s">
        <v>789</v>
      </c>
      <c r="B318" s="806" t="s">
        <v>2294</v>
      </c>
      <c r="C318" s="806"/>
      <c r="D318" s="806"/>
      <c r="E318" s="806"/>
      <c r="F318" s="806"/>
      <c r="AW318" s="818">
        <v>306889</v>
      </c>
      <c r="BD318" s="818">
        <v>300000</v>
      </c>
      <c r="BK318" s="818">
        <v>42816</v>
      </c>
    </row>
    <row r="319" spans="1:69" ht="29" x14ac:dyDescent="0.35">
      <c r="A319" s="806" t="s">
        <v>789</v>
      </c>
      <c r="B319" s="806" t="s">
        <v>2301</v>
      </c>
      <c r="C319" s="806"/>
      <c r="D319" s="806"/>
      <c r="E319" s="806"/>
      <c r="F319" s="806"/>
      <c r="BD319" s="818">
        <v>600000</v>
      </c>
    </row>
    <row r="320" spans="1:69" x14ac:dyDescent="0.35">
      <c r="A320" s="806" t="s">
        <v>789</v>
      </c>
      <c r="B320" s="806" t="s">
        <v>2211</v>
      </c>
      <c r="C320" s="806"/>
      <c r="D320" s="806"/>
      <c r="E320" s="806"/>
      <c r="F320" s="818">
        <v>0</v>
      </c>
      <c r="L320" s="818">
        <v>3000000</v>
      </c>
      <c r="AA320" s="818">
        <v>7500000</v>
      </c>
      <c r="AB320" s="818">
        <v>1000000</v>
      </c>
      <c r="AN320" s="818">
        <v>615828</v>
      </c>
      <c r="AW320" s="818">
        <v>2200000</v>
      </c>
      <c r="AX320" s="818">
        <v>2600000</v>
      </c>
      <c r="BA320" s="818">
        <v>5500000</v>
      </c>
      <c r="BD320" s="818">
        <v>3000000</v>
      </c>
      <c r="BF320" s="818">
        <v>7500000</v>
      </c>
      <c r="BK320" s="818">
        <v>4680000</v>
      </c>
      <c r="BQ320" s="818">
        <v>0</v>
      </c>
    </row>
    <row r="321" spans="1:69" x14ac:dyDescent="0.35">
      <c r="A321" s="806" t="s">
        <v>789</v>
      </c>
      <c r="B321" s="806" t="s">
        <v>2213</v>
      </c>
      <c r="C321" s="806"/>
      <c r="D321" s="806"/>
      <c r="E321" s="806"/>
      <c r="F321" s="818">
        <v>750000</v>
      </c>
      <c r="L321" s="818">
        <v>1200000</v>
      </c>
      <c r="AA321" s="818">
        <v>10920000</v>
      </c>
      <c r="AB321" s="818">
        <v>21941900</v>
      </c>
      <c r="AN321" s="818">
        <v>750000</v>
      </c>
      <c r="AW321" s="818">
        <v>5549250</v>
      </c>
      <c r="AX321" s="818">
        <v>1500000</v>
      </c>
      <c r="BA321" s="818">
        <v>897100</v>
      </c>
      <c r="BD321" s="818">
        <v>20500000</v>
      </c>
      <c r="BF321" s="818">
        <v>6150000</v>
      </c>
      <c r="BK321" s="818">
        <v>5086576</v>
      </c>
      <c r="BQ321" s="818">
        <v>27968680</v>
      </c>
    </row>
    <row r="322" spans="1:69" x14ac:dyDescent="0.35">
      <c r="A322" s="806" t="s">
        <v>789</v>
      </c>
      <c r="B322" s="806" t="s">
        <v>2212</v>
      </c>
      <c r="C322" s="806"/>
      <c r="D322" s="806"/>
      <c r="E322" s="806"/>
      <c r="F322" s="818">
        <v>500000</v>
      </c>
      <c r="L322" s="818"/>
      <c r="AA322" s="818">
        <v>4096306</v>
      </c>
      <c r="AN322" s="818">
        <v>250000</v>
      </c>
      <c r="AW322" s="818">
        <v>1492861</v>
      </c>
      <c r="AX322" s="818">
        <v>3000000</v>
      </c>
      <c r="BA322" s="818"/>
      <c r="BD322" s="818">
        <v>2500000</v>
      </c>
      <c r="BK322" s="818">
        <v>440816</v>
      </c>
      <c r="BQ322" s="818">
        <v>1819000</v>
      </c>
    </row>
    <row r="323" spans="1:69" x14ac:dyDescent="0.35">
      <c r="A323" s="806" t="s">
        <v>789</v>
      </c>
      <c r="B323" s="806" t="s">
        <v>2214</v>
      </c>
      <c r="C323" s="806"/>
      <c r="D323" s="806"/>
      <c r="E323" s="806"/>
      <c r="F323" s="818">
        <v>800000</v>
      </c>
      <c r="AA323" s="818">
        <v>50000000</v>
      </c>
      <c r="AN323" s="818">
        <v>60000</v>
      </c>
      <c r="AW323" s="818">
        <v>1716299</v>
      </c>
      <c r="AX323" s="818">
        <v>3983872</v>
      </c>
      <c r="BD323" s="818">
        <v>13000000</v>
      </c>
      <c r="BK323" s="818">
        <v>524217</v>
      </c>
    </row>
    <row r="324" spans="1:69" x14ac:dyDescent="0.35">
      <c r="A324" s="806" t="s">
        <v>789</v>
      </c>
      <c r="B324" s="806" t="s">
        <v>2215</v>
      </c>
      <c r="C324" s="806"/>
      <c r="D324" s="806"/>
      <c r="E324" s="806"/>
      <c r="F324" s="818">
        <v>374000</v>
      </c>
      <c r="AA324" s="818">
        <v>2019618</v>
      </c>
      <c r="AN324" s="818">
        <v>1613614</v>
      </c>
      <c r="AW324" s="818">
        <v>400000</v>
      </c>
      <c r="AX324" s="818">
        <v>325000</v>
      </c>
      <c r="BD324" s="818">
        <v>7500000</v>
      </c>
      <c r="BK324" s="818">
        <v>480000</v>
      </c>
    </row>
    <row r="325" spans="1:69" ht="29" x14ac:dyDescent="0.35">
      <c r="A325" s="806" t="s">
        <v>789</v>
      </c>
      <c r="B325" s="806" t="s">
        <v>2247</v>
      </c>
      <c r="C325" s="806"/>
      <c r="D325" s="806"/>
      <c r="E325" s="806"/>
      <c r="F325" s="806"/>
      <c r="AX325" s="818">
        <v>88336</v>
      </c>
      <c r="BA325" s="818">
        <v>165000</v>
      </c>
      <c r="BF325" s="818">
        <v>387500</v>
      </c>
    </row>
    <row r="326" spans="1:69" ht="29" x14ac:dyDescent="0.35">
      <c r="A326" s="806" t="s">
        <v>789</v>
      </c>
      <c r="B326" s="806" t="s">
        <v>2248</v>
      </c>
      <c r="C326" s="806"/>
      <c r="D326" s="806"/>
      <c r="E326" s="806"/>
      <c r="F326" s="806"/>
      <c r="AW326" s="818">
        <v>55940</v>
      </c>
      <c r="AX326" s="818"/>
      <c r="BF326" s="818"/>
    </row>
    <row r="327" spans="1:69" ht="29" x14ac:dyDescent="0.35">
      <c r="A327" s="806" t="s">
        <v>789</v>
      </c>
      <c r="B327" s="806" t="s">
        <v>2249</v>
      </c>
      <c r="C327" s="806"/>
      <c r="D327" s="806"/>
      <c r="E327" s="806"/>
      <c r="F327" s="806"/>
      <c r="BD327" s="818">
        <v>200000</v>
      </c>
    </row>
    <row r="328" spans="1:69" ht="29" x14ac:dyDescent="0.35">
      <c r="A328" s="806" t="s">
        <v>789</v>
      </c>
      <c r="B328" s="806" t="s">
        <v>2250</v>
      </c>
      <c r="C328" s="806"/>
      <c r="D328" s="806"/>
      <c r="E328" s="806"/>
      <c r="F328" s="806"/>
      <c r="AW328" s="818">
        <v>47526</v>
      </c>
      <c r="BD328" s="818"/>
    </row>
    <row r="329" spans="1:69" ht="29" x14ac:dyDescent="0.35">
      <c r="A329" s="806" t="s">
        <v>789</v>
      </c>
      <c r="B329" s="806" t="s">
        <v>2251</v>
      </c>
      <c r="C329" s="806"/>
      <c r="D329" s="806"/>
      <c r="E329" s="806"/>
      <c r="F329" s="806"/>
      <c r="BD329" s="818">
        <v>900000</v>
      </c>
    </row>
    <row r="330" spans="1:69" ht="29" x14ac:dyDescent="0.35">
      <c r="A330" s="806" t="s">
        <v>789</v>
      </c>
      <c r="B330" s="806" t="s">
        <v>2264</v>
      </c>
      <c r="C330" s="806"/>
      <c r="D330" s="806"/>
      <c r="E330" s="806"/>
      <c r="F330" s="806"/>
      <c r="BK330" s="818">
        <v>1364081</v>
      </c>
    </row>
    <row r="331" spans="1:69" ht="29" x14ac:dyDescent="0.35">
      <c r="A331" s="806" t="s">
        <v>789</v>
      </c>
      <c r="B331" s="806" t="s">
        <v>2290</v>
      </c>
      <c r="C331" s="806"/>
      <c r="D331" s="806"/>
      <c r="E331" s="806"/>
      <c r="F331" s="806"/>
      <c r="BD331" s="818">
        <v>2400000</v>
      </c>
    </row>
    <row r="332" spans="1:69" ht="29" x14ac:dyDescent="0.35">
      <c r="A332" s="806" t="s">
        <v>789</v>
      </c>
      <c r="B332" s="806" t="s">
        <v>2243</v>
      </c>
      <c r="C332" s="806"/>
      <c r="D332" s="806"/>
      <c r="E332" s="806"/>
      <c r="F332" s="806"/>
      <c r="AH332" s="818">
        <v>313184</v>
      </c>
      <c r="AX332" s="818">
        <v>250000</v>
      </c>
      <c r="BF332" s="818">
        <v>175000</v>
      </c>
      <c r="BK332" s="818">
        <v>467784</v>
      </c>
    </row>
    <row r="333" spans="1:69" ht="29" x14ac:dyDescent="0.35">
      <c r="A333" s="806" t="s">
        <v>789</v>
      </c>
      <c r="B333" s="806" t="s">
        <v>2244</v>
      </c>
      <c r="C333" s="806"/>
      <c r="D333" s="806"/>
      <c r="E333" s="806"/>
      <c r="F333" s="806"/>
      <c r="AB333" s="818">
        <v>207000</v>
      </c>
      <c r="AH333" s="818"/>
      <c r="AW333" s="818">
        <v>358708</v>
      </c>
      <c r="BA333" s="818">
        <v>99000</v>
      </c>
      <c r="BF333" s="818"/>
      <c r="BQ333" s="818">
        <v>4280000</v>
      </c>
    </row>
    <row r="334" spans="1:69" ht="29" x14ac:dyDescent="0.35">
      <c r="A334" s="806" t="s">
        <v>789</v>
      </c>
      <c r="B334" s="806" t="s">
        <v>2245</v>
      </c>
      <c r="C334" s="806"/>
      <c r="D334" s="806"/>
      <c r="E334" s="806"/>
      <c r="F334" s="806"/>
      <c r="AW334" s="818">
        <v>115361</v>
      </c>
      <c r="AX334" s="818">
        <v>500000</v>
      </c>
      <c r="BA334" s="818"/>
      <c r="BD334" s="818">
        <v>1000000</v>
      </c>
    </row>
    <row r="335" spans="1:69" ht="29" x14ac:dyDescent="0.35">
      <c r="A335" s="806" t="s">
        <v>789</v>
      </c>
      <c r="B335" s="806" t="s">
        <v>2246</v>
      </c>
      <c r="C335" s="806"/>
      <c r="D335" s="806"/>
      <c r="E335" s="806"/>
      <c r="F335" s="806"/>
      <c r="AW335" s="818">
        <v>855931</v>
      </c>
    </row>
    <row r="336" spans="1:69" ht="29" x14ac:dyDescent="0.35">
      <c r="A336" s="806" t="s">
        <v>789</v>
      </c>
      <c r="B336" s="806" t="s">
        <v>2199</v>
      </c>
      <c r="C336" s="806"/>
      <c r="D336" s="806"/>
      <c r="E336" s="806"/>
      <c r="F336" s="816" t="s">
        <v>503</v>
      </c>
      <c r="L336" s="816" t="s">
        <v>503</v>
      </c>
      <c r="AA336" s="816" t="s">
        <v>503</v>
      </c>
      <c r="AB336" s="816" t="s">
        <v>503</v>
      </c>
      <c r="AH336" s="816" t="s">
        <v>503</v>
      </c>
      <c r="AN336" s="816" t="s">
        <v>503</v>
      </c>
      <c r="AW336" s="816" t="s">
        <v>503</v>
      </c>
      <c r="AX336" s="816" t="s">
        <v>503</v>
      </c>
      <c r="BA336" s="816" t="s">
        <v>503</v>
      </c>
      <c r="BD336" s="816" t="s">
        <v>503</v>
      </c>
      <c r="BF336" s="816" t="s">
        <v>503</v>
      </c>
      <c r="BK336" s="816" t="s">
        <v>503</v>
      </c>
      <c r="BQ336" s="816" t="s">
        <v>503</v>
      </c>
    </row>
    <row r="337" spans="1:69" ht="29" x14ac:dyDescent="0.35">
      <c r="A337" s="806" t="s">
        <v>789</v>
      </c>
      <c r="B337" s="806" t="s">
        <v>2200</v>
      </c>
      <c r="C337" s="806"/>
      <c r="D337" s="806"/>
      <c r="E337" s="806"/>
      <c r="F337" s="816" t="s">
        <v>198</v>
      </c>
      <c r="L337" s="816" t="s">
        <v>503</v>
      </c>
      <c r="AA337" s="816" t="s">
        <v>503</v>
      </c>
      <c r="AB337" s="816" t="s">
        <v>198</v>
      </c>
      <c r="AH337" s="816" t="s">
        <v>503</v>
      </c>
      <c r="AN337" s="816" t="s">
        <v>503</v>
      </c>
      <c r="AW337" s="816" t="s">
        <v>503</v>
      </c>
      <c r="AX337" s="816" t="s">
        <v>198</v>
      </c>
      <c r="BA337" s="816" t="s">
        <v>503</v>
      </c>
      <c r="BD337" s="816" t="s">
        <v>503</v>
      </c>
      <c r="BF337" s="816" t="s">
        <v>503</v>
      </c>
      <c r="BK337" s="816" t="s">
        <v>503</v>
      </c>
      <c r="BQ337" s="816" t="s">
        <v>503</v>
      </c>
    </row>
    <row r="338" spans="1:69" ht="29" x14ac:dyDescent="0.35">
      <c r="A338" s="806" t="s">
        <v>789</v>
      </c>
      <c r="B338" s="806" t="s">
        <v>2201</v>
      </c>
      <c r="C338" s="806"/>
      <c r="D338" s="806"/>
      <c r="E338" s="806"/>
      <c r="F338" s="816" t="s">
        <v>198</v>
      </c>
      <c r="L338" s="816"/>
      <c r="AA338" s="816" t="s">
        <v>503</v>
      </c>
      <c r="AH338" s="816" t="s">
        <v>503</v>
      </c>
      <c r="AN338" s="816" t="s">
        <v>503</v>
      </c>
      <c r="AW338" s="816" t="s">
        <v>198</v>
      </c>
      <c r="AX338" s="816" t="s">
        <v>503</v>
      </c>
      <c r="BA338" s="816"/>
      <c r="BD338" s="816" t="s">
        <v>503</v>
      </c>
      <c r="BK338" s="816" t="s">
        <v>198</v>
      </c>
      <c r="BQ338" s="816" t="s">
        <v>503</v>
      </c>
    </row>
    <row r="339" spans="1:69" ht="29" x14ac:dyDescent="0.35">
      <c r="A339" s="806" t="s">
        <v>789</v>
      </c>
      <c r="B339" s="806" t="s">
        <v>2202</v>
      </c>
      <c r="C339" s="806"/>
      <c r="D339" s="806"/>
      <c r="E339" s="806"/>
      <c r="F339" s="816" t="s">
        <v>198</v>
      </c>
      <c r="AA339" s="816" t="s">
        <v>503</v>
      </c>
      <c r="AN339" s="816" t="s">
        <v>503</v>
      </c>
      <c r="AW339" s="816" t="s">
        <v>198</v>
      </c>
      <c r="AX339" s="816" t="s">
        <v>198</v>
      </c>
      <c r="BD339" s="816" t="s">
        <v>503</v>
      </c>
      <c r="BK339" s="816" t="s">
        <v>198</v>
      </c>
    </row>
    <row r="340" spans="1:69" ht="29" x14ac:dyDescent="0.35">
      <c r="A340" s="806" t="s">
        <v>789</v>
      </c>
      <c r="B340" s="806" t="s">
        <v>2203</v>
      </c>
      <c r="C340" s="806"/>
      <c r="D340" s="806"/>
      <c r="E340" s="806"/>
      <c r="F340" s="816" t="s">
        <v>198</v>
      </c>
      <c r="AA340" s="816" t="s">
        <v>503</v>
      </c>
      <c r="AN340" s="816" t="s">
        <v>503</v>
      </c>
      <c r="AW340" s="816" t="s">
        <v>503</v>
      </c>
      <c r="AX340" s="816" t="s">
        <v>503</v>
      </c>
      <c r="BD340" s="816" t="s">
        <v>503</v>
      </c>
      <c r="BK340" s="816" t="s">
        <v>503</v>
      </c>
    </row>
    <row r="341" spans="1:69" ht="29" x14ac:dyDescent="0.35">
      <c r="A341" s="806" t="s">
        <v>789</v>
      </c>
      <c r="B341" s="806" t="s">
        <v>2262</v>
      </c>
      <c r="C341" s="806"/>
      <c r="D341" s="806"/>
      <c r="E341" s="806"/>
      <c r="F341" s="806"/>
      <c r="BD341" s="818">
        <v>40000</v>
      </c>
    </row>
    <row r="342" spans="1:69" ht="29" x14ac:dyDescent="0.35">
      <c r="A342" s="806" t="s">
        <v>789</v>
      </c>
      <c r="B342" s="806" t="s">
        <v>2271</v>
      </c>
      <c r="C342" s="806"/>
      <c r="D342" s="806"/>
      <c r="E342" s="806"/>
      <c r="F342" s="806"/>
      <c r="BA342" s="818">
        <v>4400</v>
      </c>
      <c r="BD342" s="818">
        <v>650000</v>
      </c>
      <c r="BQ342" s="818">
        <v>140000</v>
      </c>
    </row>
    <row r="343" spans="1:69" ht="29" x14ac:dyDescent="0.35">
      <c r="A343" s="806" t="s">
        <v>789</v>
      </c>
      <c r="B343" s="806" t="s">
        <v>2252</v>
      </c>
      <c r="C343" s="806"/>
      <c r="D343" s="806"/>
      <c r="E343" s="806"/>
      <c r="F343" s="806"/>
      <c r="AX343" s="818">
        <v>228129</v>
      </c>
      <c r="BA343" s="818">
        <v>33000</v>
      </c>
      <c r="BF343" s="818">
        <v>488250</v>
      </c>
    </row>
    <row r="344" spans="1:69" ht="29" x14ac:dyDescent="0.35">
      <c r="A344" s="806" t="s">
        <v>789</v>
      </c>
      <c r="B344" s="806" t="s">
        <v>2254</v>
      </c>
      <c r="C344" s="806"/>
      <c r="D344" s="806"/>
      <c r="E344" s="806"/>
      <c r="F344" s="806"/>
      <c r="BD344" s="818">
        <v>600000</v>
      </c>
    </row>
    <row r="345" spans="1:69" ht="29" x14ac:dyDescent="0.35">
      <c r="A345" s="806" t="s">
        <v>789</v>
      </c>
      <c r="B345" s="806" t="s">
        <v>2256</v>
      </c>
      <c r="C345" s="806"/>
      <c r="D345" s="806"/>
      <c r="E345" s="806"/>
      <c r="F345" s="806"/>
      <c r="BD345" s="818">
        <v>500000</v>
      </c>
    </row>
    <row r="346" spans="1:69" ht="29" x14ac:dyDescent="0.35">
      <c r="A346" s="806" t="s">
        <v>789</v>
      </c>
      <c r="B346" s="806" t="s">
        <v>2263</v>
      </c>
      <c r="C346" s="806"/>
      <c r="D346" s="806"/>
      <c r="E346" s="806"/>
      <c r="F346" s="806"/>
      <c r="AX346" s="818">
        <v>145000</v>
      </c>
      <c r="BK346" s="818"/>
    </row>
    <row r="347" spans="1:69" ht="29" x14ac:dyDescent="0.35">
      <c r="A347" s="806" t="s">
        <v>789</v>
      </c>
      <c r="B347" s="806" t="s">
        <v>2272</v>
      </c>
      <c r="C347" s="806"/>
      <c r="D347" s="806"/>
      <c r="E347" s="806"/>
      <c r="F347" s="806"/>
      <c r="BA347" s="818">
        <v>2000</v>
      </c>
    </row>
    <row r="348" spans="1:69" ht="29" x14ac:dyDescent="0.35">
      <c r="A348" s="806" t="s">
        <v>789</v>
      </c>
      <c r="B348" s="806" t="s">
        <v>2280</v>
      </c>
      <c r="C348" s="806"/>
      <c r="D348" s="806"/>
      <c r="E348" s="806"/>
      <c r="F348" s="818">
        <v>28700</v>
      </c>
      <c r="BA348" s="818"/>
    </row>
    <row r="349" spans="1:69" ht="29" x14ac:dyDescent="0.35">
      <c r="A349" s="806" t="s">
        <v>789</v>
      </c>
      <c r="B349" s="806" t="s">
        <v>2289</v>
      </c>
      <c r="C349" s="806"/>
      <c r="D349" s="806"/>
      <c r="E349" s="806"/>
      <c r="F349" s="806"/>
      <c r="BK349" s="818">
        <v>28800</v>
      </c>
    </row>
    <row r="350" spans="1:69" ht="29" x14ac:dyDescent="0.35">
      <c r="A350" s="806" t="s">
        <v>789</v>
      </c>
      <c r="B350" s="806" t="s">
        <v>2261</v>
      </c>
      <c r="C350" s="806"/>
      <c r="D350" s="806"/>
      <c r="E350" s="806"/>
      <c r="F350" s="806"/>
      <c r="AH350" s="818">
        <v>65000</v>
      </c>
      <c r="BD350" s="818">
        <v>30000</v>
      </c>
    </row>
    <row r="351" spans="1:69" ht="29" x14ac:dyDescent="0.35">
      <c r="A351" s="806" t="s">
        <v>789</v>
      </c>
      <c r="B351" s="806" t="s">
        <v>2270</v>
      </c>
      <c r="C351" s="806"/>
      <c r="D351" s="806"/>
      <c r="E351" s="806"/>
      <c r="F351" s="806"/>
      <c r="AB351" s="818">
        <v>213900</v>
      </c>
      <c r="BA351" s="818">
        <v>39600</v>
      </c>
      <c r="BD351" s="818">
        <v>50000</v>
      </c>
    </row>
    <row r="352" spans="1:69" ht="29" x14ac:dyDescent="0.35">
      <c r="A352" s="806" t="s">
        <v>789</v>
      </c>
      <c r="B352" s="806" t="s">
        <v>2288</v>
      </c>
      <c r="C352" s="806"/>
      <c r="D352" s="806"/>
      <c r="E352" s="806"/>
      <c r="F352" s="806"/>
      <c r="BD352" s="818">
        <v>50000</v>
      </c>
    </row>
    <row r="353" spans="1:69" ht="29" x14ac:dyDescent="0.35">
      <c r="A353" s="806" t="s">
        <v>789</v>
      </c>
      <c r="B353" s="806" t="s">
        <v>2259</v>
      </c>
      <c r="C353" s="806"/>
      <c r="D353" s="806"/>
      <c r="E353" s="806"/>
      <c r="F353" s="806"/>
      <c r="AH353" s="818">
        <v>245000</v>
      </c>
      <c r="AW353" s="818">
        <v>259657</v>
      </c>
      <c r="AX353" s="818">
        <v>216025</v>
      </c>
      <c r="BK353" s="818">
        <v>310832</v>
      </c>
    </row>
    <row r="354" spans="1:69" ht="29" x14ac:dyDescent="0.35">
      <c r="A354" s="806" t="s">
        <v>789</v>
      </c>
      <c r="B354" s="806" t="s">
        <v>2268</v>
      </c>
      <c r="C354" s="806"/>
      <c r="D354" s="806"/>
      <c r="E354" s="806"/>
      <c r="F354" s="806"/>
      <c r="AW354" s="818">
        <v>562088</v>
      </c>
      <c r="AX354" s="818">
        <v>185533</v>
      </c>
      <c r="BA354" s="818">
        <v>26400</v>
      </c>
      <c r="BD354" s="818">
        <v>950000</v>
      </c>
    </row>
    <row r="355" spans="1:69" ht="29" x14ac:dyDescent="0.35">
      <c r="A355" s="806" t="s">
        <v>789</v>
      </c>
      <c r="B355" s="806" t="s">
        <v>2276</v>
      </c>
      <c r="C355" s="806"/>
      <c r="D355" s="806"/>
      <c r="E355" s="806"/>
      <c r="F355" s="806"/>
      <c r="AX355" s="818">
        <v>137545</v>
      </c>
      <c r="BA355" s="818"/>
      <c r="BD355" s="818">
        <v>50000</v>
      </c>
    </row>
    <row r="356" spans="1:69" ht="29" x14ac:dyDescent="0.35">
      <c r="A356" s="806" t="s">
        <v>789</v>
      </c>
      <c r="B356" s="806" t="s">
        <v>2286</v>
      </c>
      <c r="C356" s="806"/>
      <c r="D356" s="806"/>
      <c r="E356" s="806"/>
      <c r="F356" s="806"/>
      <c r="AW356" s="818">
        <v>8000</v>
      </c>
      <c r="AX356" s="818">
        <v>432050</v>
      </c>
      <c r="BD356" s="818">
        <v>250000</v>
      </c>
      <c r="BK356" s="818">
        <v>90801</v>
      </c>
    </row>
    <row r="357" spans="1:69" ht="29" x14ac:dyDescent="0.35">
      <c r="A357" s="806" t="s">
        <v>789</v>
      </c>
      <c r="B357" s="806" t="s">
        <v>2297</v>
      </c>
      <c r="C357" s="806"/>
      <c r="D357" s="806"/>
      <c r="E357" s="806"/>
      <c r="F357" s="806"/>
      <c r="AX357" s="818">
        <v>325000</v>
      </c>
    </row>
    <row r="358" spans="1:69" ht="29" x14ac:dyDescent="0.35">
      <c r="A358" s="806" t="s">
        <v>789</v>
      </c>
      <c r="B358" s="806" t="s">
        <v>2258</v>
      </c>
      <c r="C358" s="806"/>
      <c r="D358" s="806"/>
      <c r="E358" s="806"/>
      <c r="F358" s="806"/>
      <c r="AX358" s="818"/>
      <c r="BK358" s="818">
        <v>57600</v>
      </c>
    </row>
    <row r="359" spans="1:69" ht="29" x14ac:dyDescent="0.35">
      <c r="A359" s="806" t="s">
        <v>789</v>
      </c>
      <c r="B359" s="806" t="s">
        <v>2267</v>
      </c>
      <c r="C359" s="806"/>
      <c r="D359" s="806"/>
      <c r="E359" s="806"/>
      <c r="F359" s="806"/>
      <c r="AX359" s="818"/>
      <c r="BA359" s="818">
        <v>9900</v>
      </c>
      <c r="BD359" s="818">
        <v>850000</v>
      </c>
    </row>
    <row r="360" spans="1:69" ht="29" x14ac:dyDescent="0.35">
      <c r="A360" s="806" t="s">
        <v>789</v>
      </c>
      <c r="B360" s="806" t="s">
        <v>2296</v>
      </c>
      <c r="C360" s="806"/>
      <c r="D360" s="806"/>
      <c r="E360" s="806"/>
      <c r="F360" s="806"/>
      <c r="BD360" s="818">
        <v>150000</v>
      </c>
    </row>
    <row r="361" spans="1:69" ht="29" x14ac:dyDescent="0.35">
      <c r="A361" s="806" t="s">
        <v>789</v>
      </c>
      <c r="B361" s="806" t="s">
        <v>2235</v>
      </c>
      <c r="C361" s="806"/>
      <c r="D361" s="806"/>
      <c r="E361" s="806"/>
      <c r="F361" s="806"/>
      <c r="AB361" s="818">
        <v>1000000</v>
      </c>
      <c r="BF361" s="818">
        <v>934000</v>
      </c>
      <c r="BK361" s="818"/>
    </row>
    <row r="362" spans="1:69" ht="29" x14ac:dyDescent="0.35">
      <c r="A362" s="806" t="s">
        <v>789</v>
      </c>
      <c r="B362" s="806" t="s">
        <v>2236</v>
      </c>
      <c r="C362" s="806"/>
      <c r="D362" s="806"/>
      <c r="E362" s="806"/>
      <c r="F362" s="806"/>
      <c r="AB362" s="818">
        <v>4244000</v>
      </c>
      <c r="AX362" s="818">
        <v>50000</v>
      </c>
      <c r="BA362" s="818">
        <v>130000</v>
      </c>
      <c r="BF362" s="818"/>
      <c r="BK362" s="818"/>
      <c r="BQ362" s="818">
        <v>0</v>
      </c>
    </row>
    <row r="363" spans="1:69" ht="29" x14ac:dyDescent="0.35">
      <c r="A363" s="806" t="s">
        <v>789</v>
      </c>
      <c r="B363" s="806" t="s">
        <v>2237</v>
      </c>
      <c r="C363" s="806"/>
      <c r="D363" s="806"/>
      <c r="E363" s="806"/>
      <c r="F363" s="806"/>
      <c r="AW363" s="818">
        <v>1377500</v>
      </c>
      <c r="BA363" s="818"/>
      <c r="BK363" s="818"/>
    </row>
    <row r="364" spans="1:69" ht="29" x14ac:dyDescent="0.35">
      <c r="A364" s="806" t="s">
        <v>789</v>
      </c>
      <c r="B364" s="806" t="s">
        <v>2265</v>
      </c>
      <c r="C364" s="806"/>
      <c r="D364" s="806"/>
      <c r="E364" s="806"/>
      <c r="F364" s="806"/>
      <c r="BA364" s="818">
        <v>5000</v>
      </c>
      <c r="BD364" s="818">
        <v>30000</v>
      </c>
      <c r="BQ364" s="818">
        <v>0</v>
      </c>
    </row>
    <row r="365" spans="1:69" ht="29" x14ac:dyDescent="0.35">
      <c r="A365" s="806" t="s">
        <v>789</v>
      </c>
      <c r="B365" s="806" t="s">
        <v>2273</v>
      </c>
      <c r="C365" s="806"/>
      <c r="D365" s="806"/>
      <c r="E365" s="806"/>
      <c r="F365" s="806"/>
      <c r="BQ365" s="818">
        <v>0</v>
      </c>
    </row>
    <row r="366" spans="1:69" ht="29" x14ac:dyDescent="0.35">
      <c r="A366" s="806" t="s">
        <v>789</v>
      </c>
      <c r="B366" s="806" t="s">
        <v>2205</v>
      </c>
      <c r="C366" s="806"/>
      <c r="D366" s="806"/>
      <c r="E366" s="806"/>
      <c r="F366" s="816">
        <v>2</v>
      </c>
      <c r="L366" s="816">
        <v>1</v>
      </c>
      <c r="AA366" s="816">
        <v>2</v>
      </c>
      <c r="AB366" s="816">
        <v>2</v>
      </c>
      <c r="AH366" s="816">
        <v>2</v>
      </c>
      <c r="AN366" s="816">
        <v>2</v>
      </c>
      <c r="AW366" s="816">
        <v>3</v>
      </c>
      <c r="AX366" s="816">
        <v>3</v>
      </c>
      <c r="BA366" s="816">
        <v>1</v>
      </c>
      <c r="BD366" s="816">
        <v>2</v>
      </c>
      <c r="BF366" s="816">
        <v>2</v>
      </c>
      <c r="BK366" s="816">
        <v>3</v>
      </c>
      <c r="BQ366" s="816" t="s">
        <v>683</v>
      </c>
    </row>
    <row r="367" spans="1:69" ht="29" x14ac:dyDescent="0.35">
      <c r="A367" s="806" t="s">
        <v>789</v>
      </c>
      <c r="B367" s="806" t="s">
        <v>2206</v>
      </c>
      <c r="C367" s="806"/>
      <c r="D367" s="806"/>
      <c r="E367" s="806"/>
      <c r="F367" s="816" t="s">
        <v>683</v>
      </c>
      <c r="L367" s="816">
        <v>2</v>
      </c>
      <c r="AA367" s="816">
        <v>3</v>
      </c>
      <c r="AB367" s="816">
        <v>1</v>
      </c>
      <c r="AH367" s="816">
        <v>1</v>
      </c>
      <c r="AN367" s="816" t="s">
        <v>683</v>
      </c>
      <c r="AW367" s="816">
        <v>1</v>
      </c>
      <c r="AX367" s="816">
        <v>4</v>
      </c>
      <c r="BA367" s="816" t="s">
        <v>683</v>
      </c>
      <c r="BD367" s="816">
        <v>1</v>
      </c>
      <c r="BF367" s="816">
        <v>1</v>
      </c>
      <c r="BK367" s="816">
        <v>1</v>
      </c>
      <c r="BQ367" s="816" t="s">
        <v>683</v>
      </c>
    </row>
    <row r="368" spans="1:69" ht="29" x14ac:dyDescent="0.35">
      <c r="A368" s="806" t="s">
        <v>789</v>
      </c>
      <c r="B368" s="806" t="s">
        <v>2207</v>
      </c>
      <c r="C368" s="806"/>
      <c r="D368" s="806"/>
      <c r="E368" s="806"/>
      <c r="F368" s="816" t="s">
        <v>683</v>
      </c>
      <c r="L368" s="816"/>
      <c r="AA368" s="816">
        <v>5</v>
      </c>
      <c r="AH368" s="816">
        <v>1</v>
      </c>
      <c r="AN368" s="816" t="s">
        <v>683</v>
      </c>
      <c r="AW368" s="816">
        <v>2</v>
      </c>
      <c r="AX368" s="816">
        <v>2</v>
      </c>
      <c r="BA368" s="816"/>
      <c r="BD368" s="816">
        <v>4</v>
      </c>
      <c r="BK368" s="816">
        <v>2</v>
      </c>
      <c r="BQ368" s="816" t="s">
        <v>683</v>
      </c>
    </row>
    <row r="369" spans="1:69" ht="29" x14ac:dyDescent="0.35">
      <c r="A369" s="806" t="s">
        <v>789</v>
      </c>
      <c r="B369" s="806" t="s">
        <v>2208</v>
      </c>
      <c r="C369" s="806"/>
      <c r="D369" s="806"/>
      <c r="E369" s="806"/>
      <c r="F369" s="816" t="s">
        <v>683</v>
      </c>
      <c r="AA369" s="816">
        <v>1</v>
      </c>
      <c r="AN369" s="816" t="s">
        <v>683</v>
      </c>
      <c r="AW369" s="816">
        <v>5</v>
      </c>
      <c r="AX369" s="816">
        <v>1</v>
      </c>
      <c r="BD369" s="816">
        <v>3</v>
      </c>
      <c r="BK369" s="816" t="s">
        <v>683</v>
      </c>
    </row>
    <row r="370" spans="1:69" ht="29" x14ac:dyDescent="0.35">
      <c r="A370" s="806" t="s">
        <v>789</v>
      </c>
      <c r="B370" s="806" t="s">
        <v>2209</v>
      </c>
      <c r="C370" s="806"/>
      <c r="D370" s="806"/>
      <c r="E370" s="806"/>
      <c r="F370" s="816" t="s">
        <v>683</v>
      </c>
      <c r="AA370" s="816">
        <v>4</v>
      </c>
      <c r="AN370" s="816" t="s">
        <v>683</v>
      </c>
      <c r="AW370" s="816">
        <v>4</v>
      </c>
      <c r="AX370" s="816">
        <v>5</v>
      </c>
      <c r="BD370" s="816" t="s">
        <v>683</v>
      </c>
      <c r="BK370" s="816">
        <v>4</v>
      </c>
    </row>
    <row r="371" spans="1:69" ht="29" x14ac:dyDescent="0.35">
      <c r="A371" s="806" t="s">
        <v>789</v>
      </c>
      <c r="B371" s="806" t="s">
        <v>2257</v>
      </c>
      <c r="C371" s="806"/>
      <c r="D371" s="806"/>
      <c r="E371" s="806"/>
      <c r="F371" s="806"/>
      <c r="L371" s="818">
        <v>3000000</v>
      </c>
      <c r="AA371" s="818">
        <v>7500000</v>
      </c>
      <c r="AN371" s="818">
        <v>559844</v>
      </c>
      <c r="AW371" s="818">
        <v>1940343</v>
      </c>
      <c r="AX371" s="818">
        <v>1077225</v>
      </c>
      <c r="BA371" s="818">
        <v>4950000</v>
      </c>
      <c r="BD371" s="818">
        <v>2900000</v>
      </c>
      <c r="BF371" s="818">
        <v>4803250</v>
      </c>
      <c r="BK371" s="818">
        <v>1581551</v>
      </c>
    </row>
    <row r="372" spans="1:69" ht="29" x14ac:dyDescent="0.35">
      <c r="A372" s="806" t="s">
        <v>789</v>
      </c>
      <c r="B372" s="806" t="s">
        <v>2266</v>
      </c>
      <c r="C372" s="806"/>
      <c r="D372" s="806"/>
      <c r="E372" s="806"/>
      <c r="F372" s="818">
        <v>86960</v>
      </c>
      <c r="L372" s="818">
        <v>865000</v>
      </c>
      <c r="AB372" s="818">
        <v>15621000</v>
      </c>
      <c r="AN372" s="818">
        <v>681800</v>
      </c>
      <c r="AW372" s="818">
        <v>3821935</v>
      </c>
      <c r="AX372" s="818">
        <v>764467</v>
      </c>
      <c r="BD372" s="818">
        <v>18000000</v>
      </c>
      <c r="BF372" s="818">
        <v>6150000</v>
      </c>
      <c r="BQ372" s="818">
        <v>23548680</v>
      </c>
    </row>
    <row r="373" spans="1:69" ht="29" x14ac:dyDescent="0.35">
      <c r="A373" s="806" t="s">
        <v>789</v>
      </c>
      <c r="B373" s="806" t="s">
        <v>2274</v>
      </c>
      <c r="C373" s="806"/>
      <c r="D373" s="806"/>
      <c r="E373" s="806"/>
      <c r="F373" s="818">
        <v>471300</v>
      </c>
      <c r="L373" s="818"/>
      <c r="AA373" s="818">
        <v>82000</v>
      </c>
      <c r="AN373" s="818">
        <v>227300</v>
      </c>
      <c r="AX373" s="818">
        <v>1604052</v>
      </c>
      <c r="BQ373" s="818">
        <v>1819000</v>
      </c>
    </row>
    <row r="374" spans="1:69" ht="29" x14ac:dyDescent="0.35">
      <c r="A374" s="806" t="s">
        <v>789</v>
      </c>
      <c r="B374" s="806" t="s">
        <v>2284</v>
      </c>
      <c r="C374" s="806"/>
      <c r="D374" s="806"/>
      <c r="E374" s="806"/>
      <c r="F374" s="818">
        <v>725240</v>
      </c>
      <c r="AA374" s="818">
        <v>4000000</v>
      </c>
      <c r="AN374" s="818">
        <v>54500</v>
      </c>
      <c r="AW374" s="818">
        <v>80749</v>
      </c>
      <c r="AX374" s="818">
        <v>2809553</v>
      </c>
      <c r="BD374" s="818">
        <v>8000000</v>
      </c>
    </row>
    <row r="375" spans="1:69" ht="29" x14ac:dyDescent="0.35">
      <c r="A375" s="806" t="s">
        <v>789</v>
      </c>
      <c r="B375" s="806" t="s">
        <v>2295</v>
      </c>
      <c r="C375" s="806"/>
      <c r="D375" s="806"/>
      <c r="E375" s="806"/>
      <c r="F375" s="818">
        <v>374000</v>
      </c>
      <c r="AA375" s="818">
        <v>83172</v>
      </c>
      <c r="AN375" s="818">
        <v>1486456</v>
      </c>
      <c r="BD375" s="818">
        <v>4000000</v>
      </c>
    </row>
    <row r="376" spans="1:69" ht="29" x14ac:dyDescent="0.35">
      <c r="A376" s="806" t="s">
        <v>789</v>
      </c>
      <c r="B376" s="806" t="s">
        <v>2223</v>
      </c>
      <c r="C376" s="806"/>
      <c r="D376" s="806"/>
      <c r="E376" s="806"/>
      <c r="F376" s="817">
        <v>0</v>
      </c>
      <c r="L376" s="817">
        <v>0</v>
      </c>
      <c r="AA376" s="817">
        <v>60</v>
      </c>
      <c r="AB376" s="817">
        <v>396</v>
      </c>
      <c r="AX376" s="817">
        <v>0</v>
      </c>
      <c r="BA376" s="817">
        <v>0</v>
      </c>
      <c r="BF376" s="817">
        <v>0</v>
      </c>
    </row>
    <row r="377" spans="1:69" ht="29" x14ac:dyDescent="0.35">
      <c r="A377" s="806" t="s">
        <v>789</v>
      </c>
      <c r="B377" s="806" t="s">
        <v>2224</v>
      </c>
      <c r="C377" s="806"/>
      <c r="D377" s="806"/>
      <c r="E377" s="806"/>
      <c r="F377" s="817">
        <v>0</v>
      </c>
      <c r="L377" s="817">
        <v>0</v>
      </c>
      <c r="AA377" s="817">
        <v>0</v>
      </c>
      <c r="AB377" s="817">
        <v>396</v>
      </c>
      <c r="AX377" s="817">
        <v>0</v>
      </c>
      <c r="BA377" s="817">
        <v>0</v>
      </c>
      <c r="BF377" s="817">
        <v>0</v>
      </c>
      <c r="BQ377" s="817">
        <v>0</v>
      </c>
    </row>
    <row r="378" spans="1:69" ht="29" x14ac:dyDescent="0.35">
      <c r="A378" s="806" t="s">
        <v>789</v>
      </c>
      <c r="B378" s="806" t="s">
        <v>2225</v>
      </c>
      <c r="C378" s="806"/>
      <c r="D378" s="806"/>
      <c r="E378" s="806"/>
      <c r="F378" s="817">
        <v>0</v>
      </c>
      <c r="L378" s="817"/>
      <c r="AA378" s="817">
        <v>0</v>
      </c>
      <c r="AX378" s="817">
        <v>0</v>
      </c>
      <c r="BA378" s="817"/>
      <c r="BQ378" s="817">
        <v>0</v>
      </c>
    </row>
    <row r="379" spans="1:69" ht="29" x14ac:dyDescent="0.35">
      <c r="A379" s="806" t="s">
        <v>789</v>
      </c>
      <c r="B379" s="806" t="s">
        <v>2226</v>
      </c>
      <c r="C379" s="806"/>
      <c r="D379" s="806"/>
      <c r="E379" s="806"/>
      <c r="F379" s="817">
        <v>0</v>
      </c>
      <c r="AA379" s="817">
        <v>60</v>
      </c>
      <c r="AX379" s="817">
        <v>0</v>
      </c>
    </row>
    <row r="380" spans="1:69" ht="29" x14ac:dyDescent="0.35">
      <c r="A380" s="806" t="s">
        <v>789</v>
      </c>
      <c r="B380" s="806" t="s">
        <v>2227</v>
      </c>
      <c r="C380" s="806"/>
      <c r="D380" s="806"/>
      <c r="E380" s="806"/>
      <c r="F380" s="817">
        <v>0</v>
      </c>
      <c r="AA380" s="817">
        <v>0</v>
      </c>
      <c r="AX380" s="817">
        <v>0</v>
      </c>
      <c r="BD380" s="817">
        <v>0</v>
      </c>
    </row>
    <row r="381" spans="1:69" ht="29" x14ac:dyDescent="0.35">
      <c r="A381" s="806" t="s">
        <v>789</v>
      </c>
      <c r="B381" s="806" t="s">
        <v>2228</v>
      </c>
      <c r="C381" s="806"/>
      <c r="D381" s="806"/>
      <c r="E381" s="806"/>
      <c r="F381" s="817"/>
      <c r="AX381" s="817">
        <v>0</v>
      </c>
    </row>
    <row r="382" spans="1:69" x14ac:dyDescent="0.35">
      <c r="A382" s="806" t="s">
        <v>789</v>
      </c>
      <c r="B382" s="806" t="s">
        <v>2218</v>
      </c>
      <c r="C382" s="806"/>
      <c r="D382" s="806"/>
      <c r="E382" s="806"/>
      <c r="F382" s="823">
        <v>0.06</v>
      </c>
      <c r="L382" s="823">
        <v>0</v>
      </c>
      <c r="AA382" s="823">
        <v>0.06</v>
      </c>
      <c r="AB382" s="823">
        <v>0.02</v>
      </c>
      <c r="AN382" s="823">
        <v>0</v>
      </c>
      <c r="AX382" s="823">
        <v>0</v>
      </c>
      <c r="BA382" s="823">
        <v>0</v>
      </c>
      <c r="BF382" s="823">
        <v>0</v>
      </c>
      <c r="BK382" s="823">
        <v>0</v>
      </c>
    </row>
    <row r="383" spans="1:69" x14ac:dyDescent="0.35">
      <c r="A383" s="806" t="s">
        <v>789</v>
      </c>
      <c r="B383" s="806" t="s">
        <v>2217</v>
      </c>
      <c r="C383" s="806"/>
      <c r="D383" s="806"/>
      <c r="E383" s="806"/>
      <c r="F383" s="806"/>
      <c r="L383" s="823">
        <v>0</v>
      </c>
      <c r="AA383" s="823">
        <v>0</v>
      </c>
      <c r="AB383" s="823">
        <v>4.2500000000000003E-2</v>
      </c>
      <c r="AN383" s="823">
        <v>0</v>
      </c>
      <c r="AX383" s="823">
        <v>0</v>
      </c>
      <c r="BA383" s="823">
        <v>0</v>
      </c>
      <c r="BD383" s="823">
        <v>0.06</v>
      </c>
      <c r="BF383" s="823">
        <v>0.06</v>
      </c>
      <c r="BK383" s="823">
        <v>0.06</v>
      </c>
      <c r="BQ383" s="823">
        <v>0.03</v>
      </c>
    </row>
    <row r="384" spans="1:69" x14ac:dyDescent="0.35">
      <c r="A384" s="806" t="s">
        <v>789</v>
      </c>
      <c r="B384" s="806" t="s">
        <v>2219</v>
      </c>
      <c r="C384" s="806"/>
      <c r="D384" s="806"/>
      <c r="E384" s="806"/>
      <c r="F384" s="806"/>
      <c r="L384" s="823">
        <v>0</v>
      </c>
      <c r="AA384" s="823">
        <v>0</v>
      </c>
      <c r="AN384" s="823">
        <v>0</v>
      </c>
      <c r="AX384" s="823">
        <v>0</v>
      </c>
      <c r="BA384" s="823">
        <v>0</v>
      </c>
      <c r="BD384" s="823">
        <v>0.03</v>
      </c>
      <c r="BK384" s="823">
        <v>4.4999999999999998E-2</v>
      </c>
      <c r="BQ384" s="823">
        <v>0</v>
      </c>
    </row>
    <row r="385" spans="1:73" x14ac:dyDescent="0.35">
      <c r="A385" s="806" t="s">
        <v>789</v>
      </c>
      <c r="B385" s="806" t="s">
        <v>2220</v>
      </c>
      <c r="C385" s="806"/>
      <c r="D385" s="806"/>
      <c r="E385" s="806"/>
      <c r="F385" s="806"/>
      <c r="AA385" s="823">
        <v>0.03</v>
      </c>
      <c r="AN385" s="823">
        <v>0</v>
      </c>
      <c r="AX385" s="823">
        <v>0.05</v>
      </c>
      <c r="BD385" s="823">
        <v>0.03</v>
      </c>
      <c r="BK385" s="823">
        <v>0</v>
      </c>
    </row>
    <row r="386" spans="1:73" x14ac:dyDescent="0.35">
      <c r="A386" s="806" t="s">
        <v>789</v>
      </c>
      <c r="B386" s="806" t="s">
        <v>2221</v>
      </c>
      <c r="C386" s="806"/>
      <c r="D386" s="806"/>
      <c r="E386" s="806"/>
      <c r="F386" s="806"/>
      <c r="AA386" s="823">
        <v>0</v>
      </c>
      <c r="AN386" s="823">
        <v>0</v>
      </c>
      <c r="AX386" s="823">
        <v>0</v>
      </c>
      <c r="BD386" s="823">
        <v>0</v>
      </c>
      <c r="BK386" s="823">
        <v>0</v>
      </c>
    </row>
    <row r="387" spans="1:73" x14ac:dyDescent="0.35">
      <c r="A387" s="806" t="s">
        <v>789</v>
      </c>
      <c r="B387" s="806" t="s">
        <v>2222</v>
      </c>
      <c r="C387" s="806"/>
      <c r="D387" s="806"/>
      <c r="E387" s="806"/>
      <c r="F387" s="806"/>
      <c r="AA387" s="823">
        <v>0</v>
      </c>
      <c r="AX387" s="823">
        <v>0</v>
      </c>
    </row>
    <row r="388" spans="1:73" ht="29" x14ac:dyDescent="0.35">
      <c r="A388" s="806" t="s">
        <v>789</v>
      </c>
      <c r="B388" s="806" t="s">
        <v>2229</v>
      </c>
      <c r="C388" s="806"/>
      <c r="D388" s="806"/>
      <c r="E388" s="806"/>
      <c r="F388" s="818">
        <v>0</v>
      </c>
      <c r="L388" s="818">
        <v>0</v>
      </c>
      <c r="AA388" s="818">
        <v>0</v>
      </c>
      <c r="AB388" s="818">
        <v>0</v>
      </c>
      <c r="BA388" s="818">
        <v>0</v>
      </c>
      <c r="BF388" s="818">
        <v>0</v>
      </c>
    </row>
    <row r="389" spans="1:73" ht="29" x14ac:dyDescent="0.35">
      <c r="A389" s="806" t="s">
        <v>789</v>
      </c>
      <c r="B389" s="806" t="s">
        <v>2230</v>
      </c>
      <c r="C389" s="806"/>
      <c r="D389" s="806"/>
      <c r="E389" s="806"/>
      <c r="F389" s="818">
        <v>0</v>
      </c>
      <c r="L389" s="818">
        <v>0</v>
      </c>
      <c r="AA389" s="818">
        <v>0</v>
      </c>
      <c r="AB389" s="818">
        <v>93150</v>
      </c>
      <c r="BA389" s="818">
        <v>0</v>
      </c>
      <c r="BD389" s="818"/>
      <c r="BF389" s="818">
        <v>0</v>
      </c>
      <c r="BQ389" s="818">
        <v>0</v>
      </c>
    </row>
    <row r="390" spans="1:73" ht="29" x14ac:dyDescent="0.35">
      <c r="A390" s="806" t="s">
        <v>789</v>
      </c>
      <c r="B390" s="806" t="s">
        <v>2231</v>
      </c>
      <c r="C390" s="806"/>
      <c r="D390" s="806"/>
      <c r="E390" s="806"/>
      <c r="F390" s="818">
        <v>0</v>
      </c>
      <c r="L390" s="818"/>
      <c r="AA390" s="818">
        <v>0</v>
      </c>
      <c r="BA390" s="818"/>
      <c r="BD390" s="818">
        <v>0</v>
      </c>
      <c r="BQ390" s="818">
        <v>0</v>
      </c>
    </row>
    <row r="391" spans="1:73" ht="29" x14ac:dyDescent="0.35">
      <c r="A391" s="806" t="s">
        <v>789</v>
      </c>
      <c r="B391" s="806" t="s">
        <v>2232</v>
      </c>
      <c r="C391" s="806"/>
      <c r="D391" s="806"/>
      <c r="E391" s="806"/>
      <c r="F391" s="818">
        <v>0</v>
      </c>
      <c r="AA391" s="818">
        <v>150000</v>
      </c>
      <c r="BD391" s="818">
        <v>0</v>
      </c>
    </row>
    <row r="392" spans="1:73" ht="29" x14ac:dyDescent="0.35">
      <c r="A392" s="806" t="s">
        <v>789</v>
      </c>
      <c r="B392" s="806" t="s">
        <v>2233</v>
      </c>
      <c r="C392" s="806"/>
      <c r="D392" s="806"/>
      <c r="E392" s="806"/>
      <c r="F392" s="818">
        <v>0</v>
      </c>
      <c r="AA392" s="818">
        <v>0</v>
      </c>
      <c r="BD392" s="818">
        <v>0</v>
      </c>
    </row>
    <row r="393" spans="1:73" x14ac:dyDescent="0.35">
      <c r="A393" s="806" t="s">
        <v>789</v>
      </c>
      <c r="B393" s="806" t="s">
        <v>919</v>
      </c>
      <c r="C393" s="806"/>
      <c r="D393" s="806"/>
      <c r="E393" s="806"/>
      <c r="F393" s="816" t="s">
        <v>1618</v>
      </c>
      <c r="I393" s="816"/>
      <c r="J393" s="816"/>
      <c r="K393" s="816"/>
      <c r="L393" s="816" t="s">
        <v>1618</v>
      </c>
      <c r="M393" s="816"/>
      <c r="N393" s="816"/>
      <c r="O393" s="816"/>
      <c r="P393" s="816"/>
      <c r="Q393" s="816"/>
      <c r="R393" s="816"/>
      <c r="S393" s="816"/>
      <c r="T393" s="816"/>
      <c r="U393" s="816"/>
      <c r="V393" s="816"/>
      <c r="W393" s="816"/>
      <c r="X393" s="816"/>
      <c r="Y393" s="816"/>
      <c r="Z393" s="816"/>
      <c r="AA393" s="816" t="s">
        <v>1618</v>
      </c>
      <c r="AB393" s="816" t="s">
        <v>1618</v>
      </c>
      <c r="AC393" s="816"/>
      <c r="AD393" s="816"/>
      <c r="AE393" s="816"/>
      <c r="AF393" s="816"/>
      <c r="AG393" s="816"/>
      <c r="AH393" s="816" t="s">
        <v>1618</v>
      </c>
      <c r="AI393" s="816"/>
      <c r="AJ393" s="816"/>
      <c r="AL393" s="816"/>
      <c r="AM393" s="816"/>
      <c r="AN393" s="816" t="s">
        <v>1618</v>
      </c>
      <c r="AO393" s="816"/>
      <c r="AP393" s="816"/>
      <c r="AQ393" s="816"/>
      <c r="AR393" s="816"/>
      <c r="AS393" s="816"/>
      <c r="AT393" s="816"/>
      <c r="AU393" s="816"/>
      <c r="AV393" s="816"/>
      <c r="AW393" s="816" t="s">
        <v>1618</v>
      </c>
      <c r="AX393" s="816" t="s">
        <v>1618</v>
      </c>
      <c r="AY393" s="816"/>
      <c r="AZ393" s="816" t="s">
        <v>1618</v>
      </c>
      <c r="BA393" s="816" t="s">
        <v>1618</v>
      </c>
      <c r="BC393" s="816"/>
      <c r="BD393" s="816" t="s">
        <v>1618</v>
      </c>
      <c r="BE393" s="816"/>
      <c r="BF393" s="816" t="s">
        <v>1618</v>
      </c>
      <c r="BG393" s="816"/>
      <c r="BH393" s="816"/>
      <c r="BI393" s="816"/>
      <c r="BJ393" s="816" t="s">
        <v>1618</v>
      </c>
      <c r="BK393" s="816" t="s">
        <v>1618</v>
      </c>
      <c r="BM393" s="816"/>
      <c r="BN393" s="816"/>
      <c r="BO393" s="816"/>
      <c r="BQ393" s="816" t="s">
        <v>1618</v>
      </c>
      <c r="BR393" s="816"/>
      <c r="BS393" s="816"/>
      <c r="BT393" s="816"/>
      <c r="BU393" s="816"/>
    </row>
    <row r="394" spans="1:73" ht="43.5" x14ac:dyDescent="0.35">
      <c r="A394" s="806" t="s">
        <v>789</v>
      </c>
      <c r="B394" s="806" t="s">
        <v>946</v>
      </c>
      <c r="C394" s="806"/>
      <c r="D394" s="806"/>
      <c r="E394" s="806"/>
      <c r="F394" s="816" t="s">
        <v>2502</v>
      </c>
      <c r="I394" s="816"/>
      <c r="J394" s="816"/>
      <c r="K394" s="816"/>
      <c r="L394" s="816" t="s">
        <v>2647</v>
      </c>
      <c r="M394" s="816"/>
      <c r="N394" s="816"/>
      <c r="O394" s="816"/>
      <c r="P394" s="816"/>
      <c r="Q394" s="816"/>
      <c r="R394" s="816"/>
      <c r="S394" s="816"/>
      <c r="T394" s="816"/>
      <c r="U394" s="816"/>
      <c r="V394" s="816"/>
      <c r="W394" s="816"/>
      <c r="X394" s="816"/>
      <c r="Y394" s="816"/>
      <c r="Z394" s="816"/>
      <c r="AA394" s="816" t="s">
        <v>2972</v>
      </c>
      <c r="AB394" s="816" t="s">
        <v>3033</v>
      </c>
      <c r="AC394" s="816"/>
      <c r="AD394" s="816"/>
      <c r="AE394" s="816"/>
      <c r="AF394" s="816"/>
      <c r="AG394" s="816"/>
      <c r="AH394" s="816" t="s">
        <v>3151</v>
      </c>
      <c r="AI394" s="816"/>
      <c r="AJ394" s="816"/>
      <c r="AL394" s="816"/>
      <c r="AM394" s="816"/>
      <c r="AN394" s="816" t="s">
        <v>3308</v>
      </c>
      <c r="AO394" s="816"/>
      <c r="AP394" s="816"/>
      <c r="AQ394" s="816"/>
      <c r="AR394" s="816"/>
      <c r="AS394" s="816"/>
      <c r="AT394" s="816"/>
      <c r="AU394" s="816"/>
      <c r="AV394" s="816"/>
      <c r="AW394" s="816" t="s">
        <v>3497</v>
      </c>
      <c r="AX394" s="816" t="s">
        <v>3529</v>
      </c>
      <c r="AY394" s="816"/>
      <c r="AZ394" s="816"/>
      <c r="BA394" s="816" t="s">
        <v>3618</v>
      </c>
      <c r="BC394" s="816"/>
      <c r="BD394" s="816" t="s">
        <v>3701</v>
      </c>
      <c r="BE394" s="816"/>
      <c r="BF394" s="816" t="s">
        <v>3774</v>
      </c>
      <c r="BG394" s="816"/>
      <c r="BH394" s="816"/>
      <c r="BI394" s="816"/>
      <c r="BJ394" s="816"/>
      <c r="BK394" s="816" t="s">
        <v>3994</v>
      </c>
      <c r="BM394" s="816"/>
      <c r="BN394" s="816"/>
      <c r="BO394" s="816"/>
      <c r="BQ394" s="816" t="s">
        <v>4291</v>
      </c>
      <c r="BR394" s="816"/>
      <c r="BS394" s="816"/>
      <c r="BT394" s="816"/>
      <c r="BU394" s="816"/>
    </row>
    <row r="395" spans="1:73" ht="43.5" x14ac:dyDescent="0.35">
      <c r="A395" s="806" t="s">
        <v>789</v>
      </c>
      <c r="B395" s="806" t="s">
        <v>947</v>
      </c>
      <c r="C395" s="806"/>
      <c r="D395" s="806"/>
      <c r="E395" s="806"/>
      <c r="F395" s="816" t="s">
        <v>2503</v>
      </c>
      <c r="I395" s="816"/>
      <c r="J395" s="816"/>
      <c r="K395" s="816"/>
      <c r="L395" s="816"/>
      <c r="M395" s="816"/>
      <c r="N395" s="816"/>
      <c r="O395" s="816"/>
      <c r="P395" s="816"/>
      <c r="Q395" s="816"/>
      <c r="R395" s="816"/>
      <c r="S395" s="816"/>
      <c r="T395" s="816"/>
      <c r="U395" s="816"/>
      <c r="V395" s="816"/>
      <c r="W395" s="816"/>
      <c r="X395" s="816"/>
      <c r="Y395" s="816"/>
      <c r="Z395" s="816"/>
      <c r="AA395" s="816" t="s">
        <v>2973</v>
      </c>
      <c r="AB395" s="816"/>
      <c r="AC395" s="816"/>
      <c r="AD395" s="816"/>
      <c r="AE395" s="816"/>
      <c r="AF395" s="816"/>
      <c r="AG395" s="816"/>
      <c r="AH395" s="816" t="s">
        <v>3153</v>
      </c>
      <c r="AI395" s="816"/>
      <c r="AJ395" s="816"/>
      <c r="AL395" s="816"/>
      <c r="AM395" s="816"/>
      <c r="AN395" s="816" t="s">
        <v>3309</v>
      </c>
      <c r="AO395" s="816"/>
      <c r="AP395" s="816"/>
      <c r="AQ395" s="816"/>
      <c r="AR395" s="816"/>
      <c r="AS395" s="816"/>
      <c r="AT395" s="816"/>
      <c r="AU395" s="816"/>
      <c r="AV395" s="816"/>
      <c r="AW395" s="816" t="s">
        <v>3498</v>
      </c>
      <c r="AX395" s="816" t="s">
        <v>3530</v>
      </c>
      <c r="AY395" s="816"/>
      <c r="AZ395" s="816"/>
      <c r="BA395" s="816"/>
      <c r="BC395" s="816"/>
      <c r="BD395" s="816" t="s">
        <v>3702</v>
      </c>
      <c r="BE395" s="816"/>
      <c r="BF395" s="816"/>
      <c r="BG395" s="816"/>
      <c r="BH395" s="816"/>
      <c r="BI395" s="816"/>
      <c r="BJ395" s="816"/>
      <c r="BK395" s="816" t="s">
        <v>3992</v>
      </c>
      <c r="BM395" s="816"/>
      <c r="BN395" s="816"/>
      <c r="BO395" s="816"/>
      <c r="BQ395" s="816" t="s">
        <v>4292</v>
      </c>
      <c r="BR395" s="816"/>
      <c r="BS395" s="816"/>
      <c r="BT395" s="816"/>
      <c r="BU395" s="816"/>
    </row>
    <row r="396" spans="1:73" ht="29" x14ac:dyDescent="0.35">
      <c r="A396" s="806" t="s">
        <v>789</v>
      </c>
      <c r="B396" s="806" t="s">
        <v>948</v>
      </c>
      <c r="C396" s="806"/>
      <c r="D396" s="806"/>
      <c r="E396" s="806"/>
      <c r="F396" s="816" t="s">
        <v>2504</v>
      </c>
      <c r="I396" s="816"/>
      <c r="J396" s="816"/>
      <c r="K396" s="816"/>
      <c r="L396" s="816"/>
      <c r="M396" s="816"/>
      <c r="N396" s="816"/>
      <c r="O396" s="816"/>
      <c r="P396" s="816"/>
      <c r="Q396" s="816"/>
      <c r="R396" s="816"/>
      <c r="S396" s="816"/>
      <c r="T396" s="816"/>
      <c r="U396" s="816"/>
      <c r="V396" s="816"/>
      <c r="W396" s="816"/>
      <c r="X396" s="816"/>
      <c r="Y396" s="816"/>
      <c r="Z396" s="816"/>
      <c r="AA396" s="816" t="s">
        <v>2976</v>
      </c>
      <c r="AB396" s="816"/>
      <c r="AC396" s="816"/>
      <c r="AD396" s="816"/>
      <c r="AE396" s="816"/>
      <c r="AF396" s="816"/>
      <c r="AG396" s="816"/>
      <c r="AH396" s="816"/>
      <c r="AI396" s="816"/>
      <c r="AJ396" s="816"/>
      <c r="AL396" s="816"/>
      <c r="AM396" s="816"/>
      <c r="AN396" s="816" t="s">
        <v>3310</v>
      </c>
      <c r="AO396" s="816"/>
      <c r="AP396" s="816"/>
      <c r="AQ396" s="816"/>
      <c r="AR396" s="816"/>
      <c r="AS396" s="816"/>
      <c r="AT396" s="816"/>
      <c r="AU396" s="816"/>
      <c r="AV396" s="816"/>
      <c r="AW396" s="816" t="s">
        <v>3499</v>
      </c>
      <c r="AX396" s="816" t="s">
        <v>3531</v>
      </c>
      <c r="AY396" s="816"/>
      <c r="AZ396" s="816"/>
      <c r="BA396" s="816"/>
      <c r="BC396" s="816"/>
      <c r="BD396" s="816" t="s">
        <v>3703</v>
      </c>
      <c r="BE396" s="816"/>
      <c r="BF396" s="816"/>
      <c r="BG396" s="816"/>
      <c r="BH396" s="816"/>
      <c r="BI396" s="816"/>
      <c r="BJ396" s="816"/>
      <c r="BK396" s="816" t="s">
        <v>3993</v>
      </c>
      <c r="BM396" s="816"/>
      <c r="BN396" s="816"/>
      <c r="BO396" s="816"/>
      <c r="BQ396" s="816"/>
      <c r="BR396" s="816"/>
      <c r="BS396" s="816"/>
      <c r="BT396" s="816"/>
      <c r="BU396" s="816"/>
    </row>
    <row r="397" spans="1:73" ht="29" x14ac:dyDescent="0.35">
      <c r="A397" s="806" t="s">
        <v>789</v>
      </c>
      <c r="B397" s="806" t="s">
        <v>949</v>
      </c>
      <c r="C397" s="806"/>
      <c r="D397" s="806"/>
      <c r="E397" s="806"/>
      <c r="F397" s="816" t="s">
        <v>2505</v>
      </c>
      <c r="I397" s="816"/>
      <c r="J397" s="816"/>
      <c r="K397" s="816"/>
      <c r="L397" s="816"/>
      <c r="M397" s="816"/>
      <c r="N397" s="816"/>
      <c r="O397" s="816"/>
      <c r="P397" s="816"/>
      <c r="Q397" s="816"/>
      <c r="R397" s="816"/>
      <c r="S397" s="816"/>
      <c r="T397" s="816"/>
      <c r="U397" s="816"/>
      <c r="V397" s="816"/>
      <c r="W397" s="816"/>
      <c r="X397" s="816"/>
      <c r="Y397" s="816"/>
      <c r="Z397" s="816"/>
      <c r="AA397" s="816" t="s">
        <v>2977</v>
      </c>
      <c r="AB397" s="816"/>
      <c r="AC397" s="816"/>
      <c r="AD397" s="816"/>
      <c r="AE397" s="816"/>
      <c r="AF397" s="816"/>
      <c r="AG397" s="816"/>
      <c r="AH397" s="816"/>
      <c r="AI397" s="816"/>
      <c r="AJ397" s="816"/>
      <c r="AL397" s="816"/>
      <c r="AM397" s="816"/>
      <c r="AN397" s="816" t="s">
        <v>3311</v>
      </c>
      <c r="AO397" s="816"/>
      <c r="AP397" s="816"/>
      <c r="AQ397" s="816"/>
      <c r="AR397" s="816"/>
      <c r="AS397" s="816"/>
      <c r="AT397" s="816"/>
      <c r="AU397" s="816"/>
      <c r="AV397" s="816"/>
      <c r="AW397" s="816" t="s">
        <v>3500</v>
      </c>
      <c r="AX397" s="816" t="s">
        <v>3532</v>
      </c>
      <c r="AY397" s="816"/>
      <c r="AZ397" s="816"/>
      <c r="BA397" s="816"/>
      <c r="BC397" s="816"/>
      <c r="BD397" s="816" t="s">
        <v>3704</v>
      </c>
      <c r="BE397" s="816"/>
      <c r="BF397" s="816"/>
      <c r="BG397" s="816"/>
      <c r="BH397" s="816"/>
      <c r="BI397" s="816"/>
      <c r="BJ397" s="816"/>
      <c r="BK397" s="816" t="s">
        <v>3995</v>
      </c>
      <c r="BM397" s="816"/>
      <c r="BN397" s="816"/>
      <c r="BO397" s="816"/>
      <c r="BQ397" s="816"/>
      <c r="BR397" s="816"/>
      <c r="BS397" s="816"/>
      <c r="BT397" s="816"/>
      <c r="BU397" s="816"/>
    </row>
    <row r="398" spans="1:73" ht="29" x14ac:dyDescent="0.35">
      <c r="A398" s="806" t="s">
        <v>789</v>
      </c>
      <c r="B398" s="806" t="s">
        <v>2239</v>
      </c>
      <c r="C398" s="806"/>
      <c r="D398" s="806"/>
      <c r="E398" s="806"/>
      <c r="F398" s="806"/>
      <c r="AX398" s="818">
        <v>250000</v>
      </c>
      <c r="BA398" s="818">
        <v>347000</v>
      </c>
      <c r="BF398" s="818">
        <v>712000</v>
      </c>
    </row>
    <row r="399" spans="1:73" ht="29" x14ac:dyDescent="0.35">
      <c r="A399" s="806" t="s">
        <v>789</v>
      </c>
      <c r="B399" s="806" t="s">
        <v>2240</v>
      </c>
      <c r="C399" s="806"/>
      <c r="D399" s="806"/>
      <c r="E399" s="806"/>
      <c r="F399" s="806"/>
      <c r="AB399" s="818">
        <v>1518000</v>
      </c>
      <c r="AX399" s="818">
        <v>500000</v>
      </c>
      <c r="BA399" s="818">
        <v>578000</v>
      </c>
      <c r="BF399" s="818"/>
      <c r="BQ399" s="818">
        <v>0</v>
      </c>
    </row>
    <row r="400" spans="1:73" ht="29" x14ac:dyDescent="0.35">
      <c r="A400" s="806" t="s">
        <v>789</v>
      </c>
      <c r="B400" s="806" t="s">
        <v>2241</v>
      </c>
      <c r="C400" s="806"/>
      <c r="D400" s="806"/>
      <c r="E400" s="806"/>
      <c r="F400" s="806"/>
      <c r="BA400" s="818"/>
      <c r="BD400" s="818">
        <v>100000</v>
      </c>
    </row>
    <row r="401" spans="1:73" ht="29" x14ac:dyDescent="0.35">
      <c r="A401" s="806" t="s">
        <v>789</v>
      </c>
      <c r="B401" s="806" t="s">
        <v>2242</v>
      </c>
      <c r="C401" s="806"/>
      <c r="D401" s="806"/>
      <c r="E401" s="806"/>
      <c r="F401" s="806"/>
      <c r="BD401" s="818">
        <v>100000</v>
      </c>
    </row>
    <row r="402" spans="1:73" x14ac:dyDescent="0.35">
      <c r="A402" s="806" t="s">
        <v>789</v>
      </c>
      <c r="B402" s="806" t="s">
        <v>2260</v>
      </c>
      <c r="C402" s="806"/>
      <c r="D402" s="806"/>
      <c r="E402" s="806"/>
      <c r="F402" s="806"/>
      <c r="BK402" s="818">
        <v>57600</v>
      </c>
    </row>
    <row r="403" spans="1:73" x14ac:dyDescent="0.35">
      <c r="A403" s="806" t="s">
        <v>789</v>
      </c>
      <c r="B403" s="806" t="s">
        <v>2269</v>
      </c>
      <c r="C403" s="806"/>
      <c r="D403" s="806"/>
      <c r="E403" s="806"/>
      <c r="F403" s="806"/>
      <c r="BA403" s="818">
        <v>7700</v>
      </c>
    </row>
    <row r="404" spans="1:73" x14ac:dyDescent="0.35">
      <c r="A404" s="806" t="s">
        <v>789</v>
      </c>
      <c r="B404" s="806" t="s">
        <v>2277</v>
      </c>
      <c r="C404" s="806"/>
      <c r="D404" s="806"/>
      <c r="E404" s="806"/>
      <c r="F404" s="806"/>
      <c r="BA404" s="818"/>
      <c r="BD404" s="818">
        <v>50000</v>
      </c>
    </row>
    <row r="405" spans="1:73" x14ac:dyDescent="0.35">
      <c r="A405" s="806" t="s">
        <v>789</v>
      </c>
      <c r="B405" s="806" t="s">
        <v>2287</v>
      </c>
      <c r="C405" s="806"/>
      <c r="D405" s="806"/>
      <c r="E405" s="806"/>
      <c r="F405" s="806"/>
      <c r="BK405" s="818">
        <v>1800</v>
      </c>
    </row>
    <row r="406" spans="1:73" x14ac:dyDescent="0.35">
      <c r="A406" s="806" t="s">
        <v>789</v>
      </c>
      <c r="B406" s="806" t="s">
        <v>1095</v>
      </c>
      <c r="C406" s="806"/>
      <c r="D406" s="806"/>
      <c r="E406" s="806"/>
      <c r="F406" s="816" t="s">
        <v>1751</v>
      </c>
      <c r="I406" s="816"/>
      <c r="J406" s="816"/>
      <c r="K406" s="816"/>
      <c r="L406" s="816" t="s">
        <v>1736</v>
      </c>
      <c r="M406" s="816"/>
      <c r="N406" s="816"/>
      <c r="O406" s="816"/>
      <c r="P406" s="816"/>
      <c r="Q406" s="816"/>
      <c r="S406" s="816"/>
      <c r="T406" s="816"/>
      <c r="U406" s="816"/>
      <c r="V406" s="816"/>
      <c r="W406" s="816"/>
      <c r="X406" s="816"/>
      <c r="Z406" s="816"/>
      <c r="AA406" s="816" t="s">
        <v>1894</v>
      </c>
      <c r="AB406" s="816" t="s">
        <v>1780</v>
      </c>
      <c r="AC406" s="816"/>
      <c r="AD406" s="816"/>
      <c r="AE406" s="816"/>
      <c r="AF406" s="816"/>
      <c r="AG406" s="816"/>
      <c r="AH406" s="816" t="s">
        <v>1760</v>
      </c>
      <c r="AI406" s="816"/>
      <c r="AJ406" s="816"/>
      <c r="AL406" s="816"/>
      <c r="AN406" s="816" t="s">
        <v>1619</v>
      </c>
      <c r="AP406" s="816"/>
      <c r="AQ406" s="816"/>
      <c r="AR406" s="816"/>
      <c r="AS406" s="816"/>
      <c r="AT406" s="816"/>
      <c r="AU406" s="816"/>
      <c r="AV406" s="816"/>
      <c r="AW406" s="816" t="s">
        <v>1883</v>
      </c>
      <c r="AX406" s="816" t="s">
        <v>1906</v>
      </c>
      <c r="AY406" s="816"/>
      <c r="AZ406" s="816"/>
      <c r="BA406" s="816" t="s">
        <v>1918</v>
      </c>
      <c r="BC406" s="816"/>
      <c r="BD406" s="816" t="s">
        <v>1879</v>
      </c>
      <c r="BE406" s="816"/>
      <c r="BF406" s="816" t="s">
        <v>1900</v>
      </c>
      <c r="BG406" s="816"/>
      <c r="BH406" s="816"/>
      <c r="BI406" s="816"/>
      <c r="BJ406" s="816"/>
      <c r="BK406" s="816" t="s">
        <v>1758</v>
      </c>
      <c r="BM406" s="816"/>
      <c r="BN406" s="816"/>
      <c r="BO406" s="816"/>
      <c r="BQ406" s="816" t="s">
        <v>1882</v>
      </c>
      <c r="BR406" s="816"/>
      <c r="BS406" s="816"/>
      <c r="BT406" s="816"/>
      <c r="BU406" s="816"/>
    </row>
    <row r="407" spans="1:73" ht="29" x14ac:dyDescent="0.35">
      <c r="A407" s="806" t="s">
        <v>789</v>
      </c>
      <c r="B407" s="806" t="s">
        <v>1093</v>
      </c>
      <c r="C407" s="806"/>
      <c r="D407" s="806"/>
      <c r="E407" s="806"/>
      <c r="F407" s="816" t="s">
        <v>198</v>
      </c>
      <c r="I407" s="816"/>
      <c r="J407" s="816"/>
      <c r="K407" s="816"/>
      <c r="L407" s="816" t="s">
        <v>198</v>
      </c>
      <c r="M407" s="816"/>
      <c r="N407" s="816"/>
      <c r="O407" s="816"/>
      <c r="P407" s="816"/>
      <c r="Q407" s="816"/>
      <c r="S407" s="816"/>
      <c r="T407" s="816"/>
      <c r="U407" s="816"/>
      <c r="V407" s="816"/>
      <c r="W407" s="816"/>
      <c r="X407" s="816"/>
      <c r="Z407" s="816"/>
      <c r="AA407" s="816" t="s">
        <v>198</v>
      </c>
      <c r="AB407" s="816" t="s">
        <v>198</v>
      </c>
      <c r="AC407" s="816"/>
      <c r="AD407" s="816"/>
      <c r="AE407" s="816"/>
      <c r="AF407" s="816"/>
      <c r="AG407" s="816"/>
      <c r="AH407" s="816" t="s">
        <v>198</v>
      </c>
      <c r="AI407" s="816"/>
      <c r="AJ407" s="816"/>
      <c r="AL407" s="816"/>
      <c r="AN407" s="816" t="s">
        <v>198</v>
      </c>
      <c r="AP407" s="816"/>
      <c r="AQ407" s="816"/>
      <c r="AR407" s="816"/>
      <c r="AS407" s="816"/>
      <c r="AT407" s="816"/>
      <c r="AU407" s="816"/>
      <c r="AV407" s="816"/>
      <c r="AW407" s="816" t="s">
        <v>198</v>
      </c>
      <c r="AX407" s="816" t="s">
        <v>198</v>
      </c>
      <c r="AY407" s="816"/>
      <c r="AZ407" s="816"/>
      <c r="BA407" s="816" t="s">
        <v>198</v>
      </c>
      <c r="BC407" s="816"/>
      <c r="BD407" s="816" t="s">
        <v>198</v>
      </c>
      <c r="BE407" s="816"/>
      <c r="BF407" s="816" t="s">
        <v>198</v>
      </c>
      <c r="BG407" s="816"/>
      <c r="BH407" s="816"/>
      <c r="BI407" s="816"/>
      <c r="BJ407" s="816"/>
      <c r="BK407" s="816" t="s">
        <v>198</v>
      </c>
      <c r="BM407" s="816"/>
      <c r="BN407" s="816"/>
      <c r="BO407" s="816"/>
      <c r="BQ407" s="816" t="s">
        <v>198</v>
      </c>
      <c r="BR407" s="816"/>
      <c r="BS407" s="816"/>
      <c r="BT407" s="816"/>
      <c r="BU407" s="816"/>
    </row>
    <row r="408" spans="1:73" x14ac:dyDescent="0.35">
      <c r="A408" s="806" t="s">
        <v>789</v>
      </c>
      <c r="B408" s="806" t="s">
        <v>1117</v>
      </c>
      <c r="C408" s="806"/>
      <c r="D408" s="806"/>
      <c r="E408" s="806"/>
      <c r="F408" s="816" t="b">
        <v>1</v>
      </c>
      <c r="I408" s="816"/>
      <c r="K408" s="816"/>
      <c r="L408" s="816" t="b">
        <v>1</v>
      </c>
      <c r="M408" s="816"/>
      <c r="N408" s="816"/>
      <c r="O408" s="816"/>
      <c r="P408" s="816"/>
      <c r="Q408" s="816"/>
      <c r="S408" s="816"/>
      <c r="T408" s="816"/>
      <c r="U408" s="816"/>
      <c r="V408" s="816"/>
      <c r="W408" s="816"/>
      <c r="X408" s="816"/>
      <c r="Z408" s="816"/>
      <c r="AA408" s="816" t="b">
        <v>1</v>
      </c>
      <c r="AB408" s="816" t="b">
        <v>1</v>
      </c>
      <c r="AC408" s="816"/>
      <c r="AD408" s="816"/>
      <c r="AE408" s="816"/>
      <c r="AF408" s="816"/>
      <c r="AG408" s="816"/>
      <c r="AH408" s="816" t="b">
        <v>1</v>
      </c>
      <c r="AI408" s="816"/>
      <c r="AJ408" s="816"/>
      <c r="AL408" s="816"/>
      <c r="AN408" s="816" t="b">
        <v>1</v>
      </c>
      <c r="AP408" s="816"/>
      <c r="AQ408" s="816"/>
      <c r="AR408" s="816"/>
      <c r="AS408" s="816"/>
      <c r="AT408" s="816"/>
      <c r="AU408" s="816"/>
      <c r="AV408" s="816"/>
      <c r="AW408" s="816" t="b">
        <v>1</v>
      </c>
      <c r="AX408" s="816" t="b">
        <v>1</v>
      </c>
      <c r="AY408" s="816"/>
      <c r="AZ408" s="816"/>
      <c r="BA408" s="816" t="b">
        <v>1</v>
      </c>
      <c r="BC408" s="816"/>
      <c r="BD408" s="816" t="b">
        <v>1</v>
      </c>
      <c r="BE408" s="816"/>
      <c r="BF408" s="816" t="b">
        <v>1</v>
      </c>
      <c r="BG408" s="816"/>
      <c r="BH408" s="816"/>
      <c r="BI408" s="816"/>
      <c r="BJ408" s="816"/>
      <c r="BK408" s="816" t="b">
        <v>1</v>
      </c>
      <c r="BM408" s="816"/>
      <c r="BN408" s="816"/>
      <c r="BO408" s="816"/>
      <c r="BQ408" s="816"/>
      <c r="BR408" s="816"/>
      <c r="BS408" s="816"/>
      <c r="BT408" s="816"/>
      <c r="BU408" s="816"/>
    </row>
    <row r="409" spans="1:73" ht="29" x14ac:dyDescent="0.35">
      <c r="A409" s="806" t="s">
        <v>789</v>
      </c>
      <c r="B409" s="806" t="s">
        <v>924</v>
      </c>
      <c r="C409" s="806"/>
      <c r="D409" s="806"/>
      <c r="E409" s="806"/>
      <c r="F409" s="816" t="b">
        <v>1</v>
      </c>
      <c r="I409" s="816"/>
      <c r="J409" s="816"/>
      <c r="K409" s="816"/>
      <c r="L409" s="816" t="b">
        <v>1</v>
      </c>
      <c r="M409" s="816"/>
      <c r="N409" s="816"/>
      <c r="O409" s="816"/>
      <c r="P409" s="816"/>
      <c r="Q409" s="816"/>
      <c r="R409" s="816"/>
      <c r="S409" s="816"/>
      <c r="T409" s="816"/>
      <c r="U409" s="816"/>
      <c r="V409" s="816"/>
      <c r="W409" s="816"/>
      <c r="X409" s="816"/>
      <c r="Y409" s="816"/>
      <c r="Z409" s="816"/>
      <c r="AA409" s="816" t="b">
        <v>1</v>
      </c>
      <c r="AB409" s="816" t="b">
        <v>1</v>
      </c>
      <c r="AC409" s="816"/>
      <c r="AD409" s="816"/>
      <c r="AE409" s="816"/>
      <c r="AF409" s="816"/>
      <c r="AG409" s="816"/>
      <c r="AH409" s="816" t="b">
        <v>1</v>
      </c>
      <c r="AI409" s="816"/>
      <c r="AJ409" s="816"/>
      <c r="AL409" s="816"/>
      <c r="AM409" s="816"/>
      <c r="AN409" s="816" t="b">
        <v>1</v>
      </c>
      <c r="AO409" s="816"/>
      <c r="AP409" s="816"/>
      <c r="AQ409" s="816"/>
      <c r="AR409" s="816"/>
      <c r="AS409" s="816"/>
      <c r="AT409" s="816"/>
      <c r="AU409" s="816"/>
      <c r="AV409" s="816"/>
      <c r="AW409" s="816" t="b">
        <v>1</v>
      </c>
      <c r="AX409" s="816" t="b">
        <v>1</v>
      </c>
      <c r="AY409" s="816"/>
      <c r="AZ409" s="816" t="b">
        <v>0</v>
      </c>
      <c r="BA409" s="816" t="b">
        <v>1</v>
      </c>
      <c r="BC409" s="816"/>
      <c r="BD409" s="816" t="b">
        <v>1</v>
      </c>
      <c r="BE409" s="816"/>
      <c r="BF409" s="816" t="b">
        <v>1</v>
      </c>
      <c r="BG409" s="816"/>
      <c r="BH409" s="816"/>
      <c r="BI409" s="816"/>
      <c r="BJ409" s="816" t="b">
        <v>0</v>
      </c>
      <c r="BK409" s="816" t="b">
        <v>1</v>
      </c>
      <c r="BM409" s="816"/>
      <c r="BN409" s="816"/>
      <c r="BO409" s="816"/>
      <c r="BQ409" s="816" t="b">
        <v>1</v>
      </c>
      <c r="BR409" s="816"/>
      <c r="BS409" s="816"/>
      <c r="BT409" s="816"/>
      <c r="BU409" s="816"/>
    </row>
    <row r="410" spans="1:73" x14ac:dyDescent="0.35">
      <c r="A410" s="806" t="s">
        <v>789</v>
      </c>
      <c r="B410" s="806" t="s">
        <v>1137</v>
      </c>
      <c r="C410" s="806"/>
      <c r="D410" s="806"/>
      <c r="E410" s="806"/>
      <c r="F410" s="818">
        <v>400000</v>
      </c>
      <c r="I410" s="818"/>
      <c r="J410" s="818"/>
      <c r="K410" s="818"/>
      <c r="L410" s="818">
        <v>621695</v>
      </c>
      <c r="M410" s="818"/>
      <c r="N410" s="818"/>
      <c r="O410" s="818"/>
      <c r="P410" s="818"/>
      <c r="Q410" s="818"/>
      <c r="S410" s="818"/>
      <c r="T410" s="818"/>
      <c r="U410" s="818"/>
      <c r="V410" s="818"/>
      <c r="W410" s="818"/>
      <c r="X410" s="818"/>
      <c r="Z410" s="818"/>
      <c r="AA410" s="818">
        <v>516600</v>
      </c>
      <c r="AB410" s="818">
        <v>304350</v>
      </c>
      <c r="AC410" s="818"/>
      <c r="AD410" s="818"/>
      <c r="AE410" s="818"/>
      <c r="AF410" s="818"/>
      <c r="AG410" s="818"/>
      <c r="AH410" s="818">
        <v>628000</v>
      </c>
      <c r="AI410" s="818"/>
      <c r="AJ410" s="818"/>
      <c r="AL410" s="818"/>
      <c r="AN410" s="818">
        <v>575000</v>
      </c>
      <c r="AP410" s="818"/>
      <c r="AQ410" s="818"/>
      <c r="AR410" s="818"/>
      <c r="AS410" s="818"/>
      <c r="AT410" s="818"/>
      <c r="AU410" s="818"/>
      <c r="AV410" s="818"/>
      <c r="AW410" s="818">
        <v>233350</v>
      </c>
      <c r="AX410" s="818">
        <v>90800</v>
      </c>
      <c r="AY410" s="818"/>
      <c r="AZ410" s="818"/>
      <c r="BA410" s="818">
        <v>360000</v>
      </c>
      <c r="BC410" s="818"/>
      <c r="BD410" s="818">
        <v>420000</v>
      </c>
      <c r="BE410" s="818"/>
      <c r="BF410" s="818">
        <v>250000</v>
      </c>
      <c r="BG410" s="818"/>
      <c r="BH410" s="818"/>
      <c r="BI410" s="818"/>
      <c r="BJ410" s="818"/>
      <c r="BK410" s="818">
        <v>464000</v>
      </c>
      <c r="BM410" s="818"/>
      <c r="BN410" s="818"/>
      <c r="BO410" s="818"/>
      <c r="BQ410" s="818">
        <v>392900</v>
      </c>
      <c r="BR410" s="818"/>
      <c r="BS410" s="818"/>
      <c r="BT410" s="818"/>
      <c r="BU410" s="818"/>
    </row>
    <row r="411" spans="1:73" x14ac:dyDescent="0.35">
      <c r="A411" s="806" t="s">
        <v>789</v>
      </c>
      <c r="B411" s="806" t="s">
        <v>2067</v>
      </c>
      <c r="C411" s="806"/>
      <c r="D411" s="806"/>
      <c r="E411" s="806"/>
      <c r="F411" s="818">
        <v>400000</v>
      </c>
      <c r="L411" s="818">
        <v>621695</v>
      </c>
      <c r="AA411" s="818">
        <v>737150</v>
      </c>
      <c r="AB411" s="818">
        <v>325000</v>
      </c>
      <c r="AH411" s="818">
        <v>589000</v>
      </c>
      <c r="AW411" s="818">
        <v>272850</v>
      </c>
      <c r="AX411" s="818">
        <v>255600</v>
      </c>
      <c r="BD411" s="818">
        <v>390000</v>
      </c>
      <c r="BF411" s="818">
        <v>250000</v>
      </c>
      <c r="BK411" s="818">
        <v>480000</v>
      </c>
      <c r="BQ411" s="818">
        <v>392900</v>
      </c>
    </row>
    <row r="412" spans="1:73" x14ac:dyDescent="0.35">
      <c r="A412" s="806" t="s">
        <v>789</v>
      </c>
      <c r="B412" s="806" t="s">
        <v>2068</v>
      </c>
      <c r="C412" s="806"/>
      <c r="D412" s="806"/>
      <c r="E412" s="806"/>
      <c r="F412" s="806"/>
      <c r="L412" s="818">
        <v>621695</v>
      </c>
      <c r="AA412" s="818">
        <v>705650</v>
      </c>
      <c r="AB412" s="818">
        <v>332000</v>
      </c>
      <c r="AH412" s="818">
        <v>570000</v>
      </c>
      <c r="AW412" s="818"/>
      <c r="AX412" s="818">
        <v>115850</v>
      </c>
      <c r="BD412" s="818">
        <v>120000</v>
      </c>
      <c r="BF412" s="818">
        <v>250000</v>
      </c>
      <c r="BK412" s="818">
        <v>464000</v>
      </c>
      <c r="BQ412" s="818">
        <v>392900</v>
      </c>
    </row>
    <row r="413" spans="1:73" x14ac:dyDescent="0.35">
      <c r="A413" s="806" t="s">
        <v>789</v>
      </c>
      <c r="B413" s="806" t="s">
        <v>2069</v>
      </c>
      <c r="C413" s="806"/>
      <c r="D413" s="806"/>
      <c r="E413" s="806"/>
      <c r="F413" s="806"/>
      <c r="L413" s="818">
        <v>621695</v>
      </c>
      <c r="AA413" s="818">
        <v>764942</v>
      </c>
      <c r="AB413" s="818">
        <v>341100</v>
      </c>
      <c r="AX413" s="818">
        <v>298500</v>
      </c>
      <c r="BD413" s="818">
        <v>250000</v>
      </c>
      <c r="BK413" s="818">
        <v>480000</v>
      </c>
    </row>
    <row r="414" spans="1:73" x14ac:dyDescent="0.35">
      <c r="A414" s="806" t="s">
        <v>789</v>
      </c>
      <c r="B414" s="806" t="s">
        <v>2070</v>
      </c>
      <c r="C414" s="806"/>
      <c r="D414" s="806"/>
      <c r="E414" s="806"/>
      <c r="F414" s="806"/>
      <c r="L414" s="818">
        <v>621695</v>
      </c>
      <c r="AB414" s="818">
        <v>348000</v>
      </c>
      <c r="AX414" s="818">
        <v>140600</v>
      </c>
      <c r="BK414" s="818">
        <v>464000</v>
      </c>
    </row>
    <row r="415" spans="1:73" x14ac:dyDescent="0.35">
      <c r="A415" s="806" t="s">
        <v>789</v>
      </c>
      <c r="B415" s="806" t="s">
        <v>2071</v>
      </c>
      <c r="C415" s="806"/>
      <c r="D415" s="806"/>
      <c r="E415" s="806"/>
      <c r="F415" s="806"/>
      <c r="AX415" s="818">
        <v>343550</v>
      </c>
      <c r="BK415" s="818">
        <v>480000</v>
      </c>
    </row>
    <row r="416" spans="1:73" x14ac:dyDescent="0.35">
      <c r="A416" s="806" t="s">
        <v>789</v>
      </c>
      <c r="B416" s="806" t="s">
        <v>927</v>
      </c>
      <c r="C416" s="806"/>
      <c r="D416" s="806"/>
      <c r="E416" s="806"/>
      <c r="F416" s="817">
        <v>20</v>
      </c>
      <c r="I416" s="817"/>
      <c r="J416" s="817"/>
      <c r="K416" s="817"/>
      <c r="L416" s="817">
        <v>20</v>
      </c>
      <c r="M416" s="817"/>
      <c r="N416" s="817"/>
      <c r="O416" s="817"/>
      <c r="P416" s="817"/>
      <c r="Q416" s="817"/>
      <c r="R416" s="817"/>
      <c r="S416" s="817"/>
      <c r="T416" s="817"/>
      <c r="U416" s="817"/>
      <c r="V416" s="817"/>
      <c r="W416" s="817"/>
      <c r="X416" s="817"/>
      <c r="Y416" s="817"/>
      <c r="Z416" s="817"/>
      <c r="AA416" s="817">
        <v>20</v>
      </c>
      <c r="AB416" s="817">
        <v>20</v>
      </c>
      <c r="AC416" s="817"/>
      <c r="AD416" s="817"/>
      <c r="AE416" s="817"/>
      <c r="AF416" s="817"/>
      <c r="AG416" s="817"/>
      <c r="AH416" s="817">
        <v>20</v>
      </c>
      <c r="AI416" s="817"/>
      <c r="AJ416" s="817"/>
      <c r="AL416" s="817"/>
      <c r="AM416" s="817"/>
      <c r="AN416" s="817">
        <v>20</v>
      </c>
      <c r="AO416" s="817"/>
      <c r="AP416" s="817"/>
      <c r="AQ416" s="817"/>
      <c r="AR416" s="817"/>
      <c r="AS416" s="817"/>
      <c r="AT416" s="817"/>
      <c r="AU416" s="817"/>
      <c r="AV416" s="817"/>
      <c r="AW416" s="817">
        <v>20</v>
      </c>
      <c r="AX416" s="817">
        <v>20</v>
      </c>
      <c r="AY416" s="817"/>
      <c r="AZ416" s="817"/>
      <c r="BA416" s="817">
        <v>20</v>
      </c>
      <c r="BC416" s="817"/>
      <c r="BD416" s="817">
        <v>20</v>
      </c>
      <c r="BE416" s="817"/>
      <c r="BF416" s="817">
        <v>9</v>
      </c>
      <c r="BG416" s="817"/>
      <c r="BH416" s="817"/>
      <c r="BI416" s="817"/>
      <c r="BJ416" s="817"/>
      <c r="BK416" s="817">
        <v>20</v>
      </c>
      <c r="BM416" s="817"/>
      <c r="BN416" s="817"/>
      <c r="BO416" s="817"/>
      <c r="BQ416" s="817">
        <v>20</v>
      </c>
      <c r="BR416" s="817"/>
      <c r="BS416" s="817"/>
      <c r="BT416" s="817"/>
      <c r="BU416" s="817"/>
    </row>
    <row r="417" spans="1:73" x14ac:dyDescent="0.35">
      <c r="A417" s="806" t="s">
        <v>789</v>
      </c>
      <c r="B417" s="806" t="s">
        <v>1121</v>
      </c>
      <c r="C417" s="806"/>
      <c r="D417" s="806"/>
      <c r="E417" s="806"/>
      <c r="F417" s="816" t="s">
        <v>503</v>
      </c>
      <c r="I417" s="816"/>
      <c r="J417" s="816"/>
      <c r="K417" s="816"/>
      <c r="L417" s="816" t="s">
        <v>503</v>
      </c>
      <c r="M417" s="816"/>
      <c r="N417" s="816"/>
      <c r="O417" s="816"/>
      <c r="P417" s="816"/>
      <c r="Q417" s="816"/>
      <c r="S417" s="816"/>
      <c r="T417" s="816"/>
      <c r="U417" s="816"/>
      <c r="V417" s="816"/>
      <c r="W417" s="816"/>
      <c r="X417" s="816"/>
      <c r="Z417" s="816"/>
      <c r="AA417" s="816" t="s">
        <v>503</v>
      </c>
      <c r="AB417" s="816" t="s">
        <v>503</v>
      </c>
      <c r="AC417" s="816"/>
      <c r="AD417" s="816"/>
      <c r="AE417" s="816"/>
      <c r="AF417" s="816"/>
      <c r="AG417" s="816"/>
      <c r="AH417" s="816" t="s">
        <v>503</v>
      </c>
      <c r="AI417" s="816"/>
      <c r="AJ417" s="816"/>
      <c r="AL417" s="816"/>
      <c r="AN417" s="816" t="s">
        <v>503</v>
      </c>
      <c r="AP417" s="816"/>
      <c r="AQ417" s="816"/>
      <c r="AR417" s="816"/>
      <c r="AS417" s="816"/>
      <c r="AT417" s="816"/>
      <c r="AU417" s="816"/>
      <c r="AV417" s="816"/>
      <c r="AW417" s="816" t="s">
        <v>198</v>
      </c>
      <c r="AX417" s="816" t="s">
        <v>503</v>
      </c>
      <c r="AY417" s="816"/>
      <c r="AZ417" s="816"/>
      <c r="BA417" s="816" t="s">
        <v>503</v>
      </c>
      <c r="BC417" s="816"/>
      <c r="BD417" s="816" t="s">
        <v>503</v>
      </c>
      <c r="BE417" s="816"/>
      <c r="BF417" s="816" t="s">
        <v>503</v>
      </c>
      <c r="BG417" s="816"/>
      <c r="BH417" s="816"/>
      <c r="BI417" s="816"/>
      <c r="BJ417" s="816"/>
      <c r="BK417" s="816" t="s">
        <v>503</v>
      </c>
      <c r="BM417" s="816"/>
      <c r="BN417" s="816"/>
      <c r="BO417" s="816"/>
      <c r="BQ417" s="816" t="s">
        <v>503</v>
      </c>
      <c r="BR417" s="816"/>
      <c r="BS417" s="816"/>
      <c r="BT417" s="816"/>
      <c r="BU417" s="816"/>
    </row>
    <row r="418" spans="1:73" x14ac:dyDescent="0.35">
      <c r="A418" s="806" t="s">
        <v>789</v>
      </c>
      <c r="B418" s="806" t="s">
        <v>1122</v>
      </c>
      <c r="C418" s="806"/>
      <c r="D418" s="806"/>
      <c r="E418" s="806"/>
      <c r="F418" s="811">
        <v>45031</v>
      </c>
      <c r="I418" s="811"/>
      <c r="J418" s="811"/>
      <c r="K418" s="811"/>
      <c r="L418" s="811">
        <v>45768</v>
      </c>
      <c r="M418" s="811"/>
      <c r="N418" s="811"/>
      <c r="O418" s="811"/>
      <c r="P418" s="811"/>
      <c r="Q418" s="811"/>
      <c r="S418" s="811"/>
      <c r="T418" s="811"/>
      <c r="U418" s="811"/>
      <c r="V418" s="811"/>
      <c r="W418" s="811"/>
      <c r="X418" s="811"/>
      <c r="Z418" s="811"/>
      <c r="AA418" s="811">
        <v>45170</v>
      </c>
      <c r="AB418" s="811">
        <v>45129</v>
      </c>
      <c r="AC418" s="811"/>
      <c r="AD418" s="811"/>
      <c r="AE418" s="811"/>
      <c r="AF418" s="811"/>
      <c r="AG418" s="811"/>
      <c r="AH418" s="811">
        <v>45170</v>
      </c>
      <c r="AI418" s="811"/>
      <c r="AJ418" s="811"/>
      <c r="AL418" s="811"/>
      <c r="AN418" s="811">
        <v>45473</v>
      </c>
      <c r="AP418" s="811"/>
      <c r="AQ418" s="811"/>
      <c r="AR418" s="811"/>
      <c r="AS418" s="811"/>
      <c r="AT418" s="811"/>
      <c r="AU418" s="811"/>
      <c r="AV418" s="811"/>
      <c r="AW418" s="811">
        <v>44397</v>
      </c>
      <c r="AX418" s="811">
        <v>45413</v>
      </c>
      <c r="AY418" s="811"/>
      <c r="AZ418" s="811"/>
      <c r="BA418" s="811">
        <v>45322</v>
      </c>
      <c r="BC418" s="811"/>
      <c r="BD418" s="811">
        <v>45641</v>
      </c>
      <c r="BE418" s="811"/>
      <c r="BF418" s="811">
        <v>45322</v>
      </c>
      <c r="BG418" s="811"/>
      <c r="BH418" s="811"/>
      <c r="BI418" s="811"/>
      <c r="BJ418" s="811"/>
      <c r="BK418" s="811">
        <v>45280</v>
      </c>
      <c r="BM418" s="811"/>
      <c r="BN418" s="811"/>
      <c r="BO418" s="811"/>
      <c r="BQ418" s="811">
        <v>45078</v>
      </c>
      <c r="BR418" s="811"/>
      <c r="BS418" s="811"/>
      <c r="BT418" s="811"/>
      <c r="BU418" s="811"/>
    </row>
    <row r="419" spans="1:73" ht="29" x14ac:dyDescent="0.35">
      <c r="A419" s="806" t="s">
        <v>789</v>
      </c>
      <c r="B419" s="806" t="s">
        <v>922</v>
      </c>
      <c r="C419" s="806"/>
      <c r="D419" s="806"/>
      <c r="E419" s="806"/>
      <c r="F419" s="816" t="s">
        <v>683</v>
      </c>
      <c r="I419" s="816"/>
      <c r="J419" s="816"/>
      <c r="K419" s="816"/>
      <c r="L419" s="816" t="s">
        <v>683</v>
      </c>
      <c r="M419" s="816"/>
      <c r="N419" s="816"/>
      <c r="O419" s="816"/>
      <c r="P419" s="816"/>
      <c r="Q419" s="816"/>
      <c r="R419" s="816"/>
      <c r="S419" s="816"/>
      <c r="T419" s="816"/>
      <c r="U419" s="816"/>
      <c r="V419" s="816"/>
      <c r="W419" s="816"/>
      <c r="X419" s="816"/>
      <c r="Y419" s="816"/>
      <c r="Z419" s="816"/>
      <c r="AA419" s="816" t="s">
        <v>683</v>
      </c>
      <c r="AB419" s="816" t="s">
        <v>683</v>
      </c>
      <c r="AC419" s="816"/>
      <c r="AD419" s="816"/>
      <c r="AE419" s="816"/>
      <c r="AF419" s="816"/>
      <c r="AG419" s="816"/>
      <c r="AH419" s="816" t="s">
        <v>683</v>
      </c>
      <c r="AI419" s="816"/>
      <c r="AJ419" s="816"/>
      <c r="AL419" s="816"/>
      <c r="AM419" s="816"/>
      <c r="AN419" s="816" t="s">
        <v>683</v>
      </c>
      <c r="AO419" s="816"/>
      <c r="AP419" s="816"/>
      <c r="AQ419" s="816"/>
      <c r="AR419" s="816"/>
      <c r="AS419" s="816"/>
      <c r="AT419" s="816"/>
      <c r="AU419" s="816"/>
      <c r="AV419" s="816"/>
      <c r="AW419" s="816" t="s">
        <v>683</v>
      </c>
      <c r="AX419" s="816" t="s">
        <v>683</v>
      </c>
      <c r="AY419" s="816"/>
      <c r="AZ419" s="816" t="s">
        <v>683</v>
      </c>
      <c r="BA419" s="816" t="s">
        <v>683</v>
      </c>
      <c r="BC419" s="816"/>
      <c r="BD419" s="816" t="s">
        <v>683</v>
      </c>
      <c r="BE419" s="816"/>
      <c r="BF419" s="816" t="s">
        <v>683</v>
      </c>
      <c r="BG419" s="816"/>
      <c r="BH419" s="816"/>
      <c r="BI419" s="816"/>
      <c r="BJ419" s="816" t="s">
        <v>683</v>
      </c>
      <c r="BK419" s="816" t="s">
        <v>683</v>
      </c>
      <c r="BM419" s="816"/>
      <c r="BN419" s="816"/>
      <c r="BO419" s="816"/>
      <c r="BQ419" s="816" t="s">
        <v>683</v>
      </c>
      <c r="BR419" s="816"/>
      <c r="BS419" s="816"/>
      <c r="BT419" s="816"/>
      <c r="BU419" s="816"/>
    </row>
    <row r="420" spans="1:73" x14ac:dyDescent="0.35">
      <c r="A420" s="806" t="s">
        <v>789</v>
      </c>
      <c r="B420" s="806" t="s">
        <v>1115</v>
      </c>
      <c r="C420" s="806"/>
      <c r="D420" s="806"/>
      <c r="E420" s="806"/>
      <c r="F420" s="806"/>
      <c r="I420" s="816"/>
      <c r="K420" s="816"/>
      <c r="L420" s="816" t="b">
        <v>0</v>
      </c>
      <c r="M420" s="816"/>
      <c r="N420" s="816"/>
      <c r="O420" s="816"/>
      <c r="P420" s="816"/>
      <c r="Q420" s="816"/>
      <c r="S420" s="816"/>
      <c r="T420" s="816"/>
      <c r="U420" s="816"/>
      <c r="V420" s="816"/>
      <c r="W420" s="816"/>
      <c r="X420" s="816"/>
      <c r="Z420" s="816"/>
      <c r="AA420" s="816" t="b">
        <v>1</v>
      </c>
      <c r="AB420" s="816" t="b">
        <v>1</v>
      </c>
      <c r="AC420" s="816"/>
      <c r="AD420" s="816"/>
      <c r="AE420" s="816"/>
      <c r="AF420" s="816"/>
      <c r="AG420" s="816"/>
      <c r="AH420" s="816" t="b">
        <v>1</v>
      </c>
      <c r="AI420" s="816"/>
      <c r="AJ420" s="816"/>
      <c r="AL420" s="816"/>
      <c r="AN420" s="816" t="b">
        <v>1</v>
      </c>
      <c r="AP420" s="816"/>
      <c r="AQ420" s="816"/>
      <c r="AR420" s="816"/>
      <c r="AS420" s="816"/>
      <c r="AT420" s="816"/>
      <c r="AU420" s="816"/>
      <c r="AV420" s="816"/>
      <c r="AX420" s="816" t="b">
        <v>0</v>
      </c>
      <c r="AY420" s="816"/>
      <c r="AZ420" s="816"/>
      <c r="BA420" s="816" t="b">
        <v>0</v>
      </c>
      <c r="BC420" s="816"/>
      <c r="BD420" s="816" t="b">
        <v>1</v>
      </c>
      <c r="BE420" s="816"/>
      <c r="BF420" s="816" t="b">
        <v>1</v>
      </c>
      <c r="BG420" s="816"/>
      <c r="BH420" s="816"/>
      <c r="BI420" s="816"/>
      <c r="BJ420" s="816"/>
      <c r="BK420" s="816" t="b">
        <v>0</v>
      </c>
      <c r="BM420" s="816"/>
      <c r="BN420" s="816"/>
      <c r="BO420" s="816"/>
      <c r="BQ420" s="816" t="b">
        <v>0</v>
      </c>
      <c r="BR420" s="816"/>
      <c r="BS420" s="816"/>
      <c r="BT420" s="816"/>
      <c r="BU420" s="816"/>
    </row>
    <row r="421" spans="1:73" x14ac:dyDescent="0.35">
      <c r="A421" s="806" t="s">
        <v>789</v>
      </c>
      <c r="B421" s="806" t="s">
        <v>1106</v>
      </c>
      <c r="C421" s="806"/>
      <c r="D421" s="806"/>
      <c r="E421" s="806"/>
      <c r="F421" s="824">
        <v>38.677799999999998</v>
      </c>
      <c r="I421" s="824"/>
      <c r="K421" s="824"/>
      <c r="L421" s="824">
        <v>34.08</v>
      </c>
      <c r="M421" s="824"/>
      <c r="N421" s="824"/>
      <c r="O421" s="824"/>
      <c r="P421" s="824"/>
      <c r="Q421" s="824"/>
      <c r="S421" s="824"/>
      <c r="T421" s="824"/>
      <c r="U421" s="824"/>
      <c r="V421" s="824"/>
      <c r="W421" s="824"/>
      <c r="X421" s="824"/>
      <c r="Z421" s="824"/>
      <c r="AA421" s="824">
        <v>38.134410899999999</v>
      </c>
      <c r="AB421" s="824">
        <v>39.360720000000001</v>
      </c>
      <c r="AC421" s="824"/>
      <c r="AD421" s="824"/>
      <c r="AE421" s="824"/>
      <c r="AF421" s="824"/>
      <c r="AG421" s="824"/>
      <c r="AH421" s="824">
        <v>36.932380000000002</v>
      </c>
      <c r="AI421" s="824"/>
      <c r="AJ421" s="824"/>
      <c r="AL421" s="824"/>
      <c r="AN421" s="824">
        <v>38.359529999999999</v>
      </c>
      <c r="AP421" s="824"/>
      <c r="AQ421" s="824"/>
      <c r="AR421" s="824"/>
      <c r="AS421" s="824"/>
      <c r="AT421" s="824"/>
      <c r="AU421" s="824"/>
      <c r="AV421" s="824"/>
      <c r="AW421" s="824">
        <v>37.931130000000003</v>
      </c>
      <c r="AX421" s="824">
        <v>37.388300000000001</v>
      </c>
      <c r="AY421" s="824"/>
      <c r="AZ421" s="824"/>
      <c r="BA421" s="824">
        <v>39.125100000000003</v>
      </c>
      <c r="BC421" s="824"/>
      <c r="BD421" s="824">
        <v>37.852686400000003</v>
      </c>
      <c r="BE421" s="824"/>
      <c r="BF421" s="824">
        <v>33.660559999999997</v>
      </c>
      <c r="BG421" s="824"/>
      <c r="BH421" s="824"/>
      <c r="BI421" s="824"/>
      <c r="BJ421" s="824"/>
      <c r="BK421" s="824">
        <v>-120.42806</v>
      </c>
      <c r="BM421" s="824"/>
      <c r="BN421" s="824"/>
      <c r="BO421" s="824"/>
      <c r="BQ421" s="824">
        <v>38.084794000000002</v>
      </c>
      <c r="BR421" s="824"/>
      <c r="BS421" s="824"/>
      <c r="BT421" s="824"/>
      <c r="BU421" s="824"/>
    </row>
    <row r="422" spans="1:73" x14ac:dyDescent="0.35">
      <c r="A422" s="806" t="s">
        <v>789</v>
      </c>
      <c r="B422" s="806" t="s">
        <v>1997</v>
      </c>
      <c r="C422" s="806"/>
      <c r="D422" s="806"/>
      <c r="E422" s="806"/>
      <c r="F422" s="806"/>
      <c r="AN422" s="824">
        <v>38.359459999999999</v>
      </c>
      <c r="BF422" s="824">
        <v>33.756180000000001</v>
      </c>
    </row>
    <row r="423" spans="1:73" x14ac:dyDescent="0.35">
      <c r="A423" s="806" t="s">
        <v>789</v>
      </c>
      <c r="B423" s="806" t="s">
        <v>1998</v>
      </c>
      <c r="C423" s="806"/>
      <c r="D423" s="806"/>
      <c r="E423" s="806"/>
      <c r="F423" s="806"/>
      <c r="AB423" s="824"/>
      <c r="AN423" s="824">
        <v>38.359470000000002</v>
      </c>
      <c r="BF423" s="824">
        <v>33.826650000000001</v>
      </c>
    </row>
    <row r="424" spans="1:73" x14ac:dyDescent="0.35">
      <c r="A424" s="806" t="s">
        <v>789</v>
      </c>
      <c r="B424" s="806" t="s">
        <v>1999</v>
      </c>
      <c r="C424" s="806"/>
      <c r="D424" s="806"/>
      <c r="E424" s="806"/>
      <c r="F424" s="806"/>
      <c r="AN424" s="824">
        <v>38.359630000000003</v>
      </c>
    </row>
    <row r="425" spans="1:73" x14ac:dyDescent="0.35">
      <c r="A425" s="806" t="s">
        <v>789</v>
      </c>
      <c r="B425" s="806" t="s">
        <v>2000</v>
      </c>
      <c r="C425" s="806"/>
      <c r="D425" s="806"/>
      <c r="E425" s="806"/>
      <c r="F425" s="806"/>
      <c r="AN425" s="824">
        <v>38.359769999999997</v>
      </c>
    </row>
    <row r="426" spans="1:73" x14ac:dyDescent="0.35">
      <c r="A426" s="806" t="s">
        <v>789</v>
      </c>
      <c r="B426" s="806" t="s">
        <v>2001</v>
      </c>
      <c r="C426" s="806"/>
      <c r="D426" s="806"/>
      <c r="E426" s="806"/>
      <c r="F426" s="806"/>
      <c r="AN426" s="824">
        <v>38.359969999999997</v>
      </c>
    </row>
    <row r="427" spans="1:73" x14ac:dyDescent="0.35">
      <c r="A427" s="806" t="s">
        <v>789</v>
      </c>
      <c r="B427" s="806" t="s">
        <v>2002</v>
      </c>
      <c r="C427" s="806"/>
      <c r="D427" s="806"/>
      <c r="E427" s="806"/>
      <c r="F427" s="806"/>
      <c r="AN427" s="824">
        <v>38.360039999999998</v>
      </c>
    </row>
    <row r="428" spans="1:73" x14ac:dyDescent="0.35">
      <c r="A428" s="806" t="s">
        <v>789</v>
      </c>
      <c r="B428" s="806" t="s">
        <v>1107</v>
      </c>
      <c r="C428" s="806"/>
      <c r="D428" s="806"/>
      <c r="E428" s="806"/>
      <c r="F428" s="824">
        <v>-121.16924</v>
      </c>
      <c r="I428" s="824"/>
      <c r="K428" s="824"/>
      <c r="L428" s="824">
        <v>-117.96</v>
      </c>
      <c r="M428" s="824"/>
      <c r="N428" s="824"/>
      <c r="O428" s="824"/>
      <c r="P428" s="824"/>
      <c r="Q428" s="824"/>
      <c r="S428" s="824"/>
      <c r="T428" s="824"/>
      <c r="U428" s="824"/>
      <c r="V428" s="824"/>
      <c r="W428" s="824"/>
      <c r="X428" s="824"/>
      <c r="Z428" s="824"/>
      <c r="AA428" s="824">
        <v>-122.56492</v>
      </c>
      <c r="AB428" s="824">
        <v>-121.71617000000001</v>
      </c>
      <c r="AC428" s="824"/>
      <c r="AD428" s="824"/>
      <c r="AE428" s="824"/>
      <c r="AF428" s="824"/>
      <c r="AG428" s="824"/>
      <c r="AH428" s="824">
        <v>-121.78265</v>
      </c>
      <c r="AI428" s="824"/>
      <c r="AJ428" s="824"/>
      <c r="AL428" s="824"/>
      <c r="AN428" s="824">
        <v>-121.97938000000001</v>
      </c>
      <c r="AP428" s="824"/>
      <c r="AQ428" s="824"/>
      <c r="AR428" s="824"/>
      <c r="AS428" s="824"/>
      <c r="AT428" s="824"/>
      <c r="AU428" s="824"/>
      <c r="AV428" s="824"/>
      <c r="AW428" s="824">
        <v>-122.05329</v>
      </c>
      <c r="AX428" s="824">
        <v>-121.944</v>
      </c>
      <c r="AY428" s="824"/>
      <c r="AZ428" s="824"/>
      <c r="BA428" s="824">
        <v>-121.55251</v>
      </c>
      <c r="BC428" s="824"/>
      <c r="BD428" s="824">
        <v>-122.26631999999999</v>
      </c>
      <c r="BE428" s="824"/>
      <c r="BF428" s="824">
        <v>-117.89312</v>
      </c>
      <c r="BG428" s="824"/>
      <c r="BH428" s="824"/>
      <c r="BI428" s="824"/>
      <c r="BJ428" s="824"/>
      <c r="BK428" s="824">
        <v>34.902299999999997</v>
      </c>
      <c r="BM428" s="824"/>
      <c r="BN428" s="824"/>
      <c r="BO428" s="824"/>
      <c r="BQ428" s="824">
        <v>-120.57165000000001</v>
      </c>
      <c r="BR428" s="824"/>
      <c r="BS428" s="824"/>
      <c r="BT428" s="824"/>
      <c r="BU428" s="824"/>
    </row>
    <row r="429" spans="1:73" x14ac:dyDescent="0.35">
      <c r="A429" s="806" t="s">
        <v>789</v>
      </c>
      <c r="B429" s="806" t="s">
        <v>2003</v>
      </c>
      <c r="C429" s="806"/>
      <c r="D429" s="806"/>
      <c r="E429" s="806"/>
      <c r="F429" s="806"/>
      <c r="AN429" s="824">
        <v>-121.97951</v>
      </c>
      <c r="BF429" s="824">
        <v>-117.89537</v>
      </c>
    </row>
    <row r="430" spans="1:73" x14ac:dyDescent="0.35">
      <c r="A430" s="806" t="s">
        <v>789</v>
      </c>
      <c r="B430" s="806" t="s">
        <v>2004</v>
      </c>
      <c r="C430" s="806"/>
      <c r="D430" s="806"/>
      <c r="E430" s="806"/>
      <c r="F430" s="806"/>
      <c r="AN430" s="824">
        <v>-121.97972</v>
      </c>
      <c r="BF430" s="824">
        <v>-117.91415000000001</v>
      </c>
    </row>
    <row r="431" spans="1:73" x14ac:dyDescent="0.35">
      <c r="A431" s="806" t="s">
        <v>789</v>
      </c>
      <c r="B431" s="806" t="s">
        <v>2005</v>
      </c>
      <c r="C431" s="806"/>
      <c r="D431" s="806"/>
      <c r="E431" s="806"/>
      <c r="F431" s="806"/>
      <c r="AN431" s="824">
        <v>-121.97981</v>
      </c>
    </row>
    <row r="432" spans="1:73" x14ac:dyDescent="0.35">
      <c r="A432" s="806" t="s">
        <v>789</v>
      </c>
      <c r="B432" s="806" t="s">
        <v>2006</v>
      </c>
      <c r="C432" s="806"/>
      <c r="D432" s="806"/>
      <c r="E432" s="806"/>
      <c r="F432" s="806"/>
      <c r="AN432" s="824">
        <v>-121.97962</v>
      </c>
    </row>
    <row r="433" spans="1:73" x14ac:dyDescent="0.35">
      <c r="A433" s="806" t="s">
        <v>789</v>
      </c>
      <c r="B433" s="806" t="s">
        <v>2007</v>
      </c>
      <c r="C433" s="806"/>
      <c r="D433" s="806"/>
      <c r="E433" s="806"/>
      <c r="F433" s="806"/>
      <c r="AN433" s="824">
        <v>-121.97985</v>
      </c>
    </row>
    <row r="434" spans="1:73" x14ac:dyDescent="0.35">
      <c r="A434" s="806" t="s">
        <v>789</v>
      </c>
      <c r="B434" s="806" t="s">
        <v>2008</v>
      </c>
      <c r="C434" s="806"/>
      <c r="D434" s="806"/>
      <c r="E434" s="806"/>
      <c r="F434" s="806"/>
      <c r="AN434" s="824">
        <v>-121.97989</v>
      </c>
    </row>
    <row r="435" spans="1:73" x14ac:dyDescent="0.35">
      <c r="A435" s="806" t="s">
        <v>789</v>
      </c>
      <c r="B435" s="806" t="s">
        <v>934</v>
      </c>
      <c r="C435" s="806"/>
      <c r="D435" s="806"/>
      <c r="E435" s="806"/>
      <c r="F435" s="816" t="s">
        <v>503</v>
      </c>
      <c r="I435" s="816"/>
      <c r="J435" s="816"/>
      <c r="K435" s="816"/>
      <c r="L435" s="816" t="s">
        <v>503</v>
      </c>
      <c r="M435" s="816"/>
      <c r="N435" s="816"/>
      <c r="O435" s="816"/>
      <c r="P435" s="816"/>
      <c r="Q435" s="816"/>
      <c r="R435" s="816"/>
      <c r="S435" s="816"/>
      <c r="T435" s="816"/>
      <c r="U435" s="816"/>
      <c r="V435" s="816"/>
      <c r="W435" s="816"/>
      <c r="X435" s="816"/>
      <c r="Y435" s="816"/>
      <c r="Z435" s="816"/>
      <c r="AA435" s="816" t="s">
        <v>503</v>
      </c>
      <c r="AB435" s="816" t="s">
        <v>503</v>
      </c>
      <c r="AC435" s="816"/>
      <c r="AD435" s="816"/>
      <c r="AE435" s="816"/>
      <c r="AF435" s="816"/>
      <c r="AG435" s="816"/>
      <c r="AH435" s="816" t="s">
        <v>503</v>
      </c>
      <c r="AI435" s="816"/>
      <c r="AJ435" s="816"/>
      <c r="AL435" s="816"/>
      <c r="AM435" s="816"/>
      <c r="AN435" s="816" t="s">
        <v>503</v>
      </c>
      <c r="AO435" s="816"/>
      <c r="AP435" s="816"/>
      <c r="AQ435" s="816"/>
      <c r="AR435" s="816"/>
      <c r="AS435" s="816"/>
      <c r="AT435" s="816"/>
      <c r="AU435" s="816"/>
      <c r="AV435" s="816"/>
      <c r="AW435" s="816" t="s">
        <v>503</v>
      </c>
      <c r="AX435" s="816" t="s">
        <v>503</v>
      </c>
      <c r="AY435" s="816"/>
      <c r="AZ435" s="816"/>
      <c r="BA435" s="816" t="s">
        <v>503</v>
      </c>
      <c r="BC435" s="816"/>
      <c r="BD435" s="816" t="s">
        <v>503</v>
      </c>
      <c r="BE435" s="816"/>
      <c r="BF435" s="816" t="s">
        <v>198</v>
      </c>
      <c r="BG435" s="816"/>
      <c r="BH435" s="816"/>
      <c r="BI435" s="816"/>
      <c r="BJ435" s="816"/>
      <c r="BK435" s="816" t="s">
        <v>503</v>
      </c>
      <c r="BM435" s="816"/>
      <c r="BN435" s="816"/>
      <c r="BO435" s="816"/>
      <c r="BQ435" s="816" t="s">
        <v>503</v>
      </c>
      <c r="BR435" s="816"/>
      <c r="BS435" s="816"/>
      <c r="BT435" s="816"/>
      <c r="BU435" s="816"/>
    </row>
    <row r="436" spans="1:73" x14ac:dyDescent="0.35">
      <c r="A436" s="806" t="s">
        <v>789</v>
      </c>
      <c r="B436" s="806" t="s">
        <v>1090</v>
      </c>
      <c r="C436" s="806"/>
      <c r="D436" s="806"/>
      <c r="E436" s="806"/>
      <c r="F436" s="816" t="s">
        <v>198</v>
      </c>
      <c r="I436" s="816"/>
      <c r="J436" s="816"/>
      <c r="K436" s="816"/>
      <c r="L436" s="816" t="s">
        <v>198</v>
      </c>
      <c r="M436" s="816"/>
      <c r="N436" s="816"/>
      <c r="O436" s="816"/>
      <c r="P436" s="816"/>
      <c r="Q436" s="816"/>
      <c r="S436" s="816"/>
      <c r="T436" s="816"/>
      <c r="U436" s="816"/>
      <c r="V436" s="816"/>
      <c r="W436" s="816"/>
      <c r="X436" s="816"/>
      <c r="Z436" s="816"/>
      <c r="AA436" s="816" t="s">
        <v>198</v>
      </c>
      <c r="AB436" s="816" t="s">
        <v>198</v>
      </c>
      <c r="AC436" s="816"/>
      <c r="AD436" s="816"/>
      <c r="AE436" s="816"/>
      <c r="AF436" s="816"/>
      <c r="AG436" s="816"/>
      <c r="AH436" s="816" t="s">
        <v>198</v>
      </c>
      <c r="AI436" s="816"/>
      <c r="AJ436" s="816"/>
      <c r="AL436" s="816"/>
      <c r="AN436" s="816" t="s">
        <v>198</v>
      </c>
      <c r="AP436" s="816"/>
      <c r="AQ436" s="816"/>
      <c r="AR436" s="816"/>
      <c r="AS436" s="816"/>
      <c r="AT436" s="816"/>
      <c r="AU436" s="816"/>
      <c r="AV436" s="816"/>
      <c r="AW436" s="816" t="s">
        <v>198</v>
      </c>
      <c r="AX436" s="816" t="s">
        <v>198</v>
      </c>
      <c r="AY436" s="816"/>
      <c r="AZ436" s="816"/>
      <c r="BA436" s="816" t="s">
        <v>198</v>
      </c>
      <c r="BC436" s="816"/>
      <c r="BD436" s="816" t="s">
        <v>198</v>
      </c>
      <c r="BE436" s="816"/>
      <c r="BF436" s="816" t="s">
        <v>198</v>
      </c>
      <c r="BG436" s="816"/>
      <c r="BH436" s="816"/>
      <c r="BI436" s="816"/>
      <c r="BJ436" s="816"/>
      <c r="BK436" s="816" t="s">
        <v>198</v>
      </c>
      <c r="BM436" s="816"/>
      <c r="BN436" s="816"/>
      <c r="BO436" s="816"/>
      <c r="BQ436" s="816" t="s">
        <v>198</v>
      </c>
      <c r="BR436" s="816"/>
      <c r="BS436" s="816"/>
      <c r="BT436" s="816"/>
      <c r="BU436" s="816"/>
    </row>
    <row r="437" spans="1:73" x14ac:dyDescent="0.35">
      <c r="A437" s="806" t="s">
        <v>789</v>
      </c>
      <c r="B437" s="806" t="s">
        <v>1138</v>
      </c>
      <c r="C437" s="806"/>
      <c r="D437" s="806"/>
      <c r="E437" s="806"/>
      <c r="F437" s="816" t="s">
        <v>2521</v>
      </c>
      <c r="I437" s="816"/>
      <c r="J437" s="816"/>
      <c r="K437" s="816"/>
      <c r="L437" s="816" t="s">
        <v>2521</v>
      </c>
      <c r="M437" s="816"/>
      <c r="N437" s="816"/>
      <c r="O437" s="816"/>
      <c r="P437" s="816"/>
      <c r="Q437" s="816"/>
      <c r="S437" s="816"/>
      <c r="T437" s="816"/>
      <c r="U437" s="816"/>
      <c r="V437" s="816"/>
      <c r="W437" s="816"/>
      <c r="X437" s="816"/>
      <c r="Z437" s="816"/>
      <c r="AA437" s="816" t="s">
        <v>2521</v>
      </c>
      <c r="AB437" s="816" t="s">
        <v>2521</v>
      </c>
      <c r="AC437" s="816"/>
      <c r="AD437" s="816"/>
      <c r="AE437" s="816"/>
      <c r="AF437" s="816"/>
      <c r="AG437" s="816"/>
      <c r="AH437" s="816" t="s">
        <v>3163</v>
      </c>
      <c r="AI437" s="816"/>
      <c r="AJ437" s="816"/>
      <c r="AL437" s="816"/>
      <c r="AN437" s="816" t="s">
        <v>2521</v>
      </c>
      <c r="AP437" s="816"/>
      <c r="AQ437" s="816"/>
      <c r="AR437" s="816"/>
      <c r="AS437" s="816"/>
      <c r="AT437" s="816"/>
      <c r="AU437" s="816"/>
      <c r="AV437" s="816"/>
      <c r="AW437" s="816" t="s">
        <v>2521</v>
      </c>
      <c r="AX437" s="816" t="s">
        <v>3540</v>
      </c>
      <c r="AY437" s="816"/>
      <c r="AZ437" s="816"/>
      <c r="BA437" s="816" t="s">
        <v>2521</v>
      </c>
      <c r="BC437" s="816"/>
      <c r="BD437" s="816" t="s">
        <v>2521</v>
      </c>
      <c r="BE437" s="816"/>
      <c r="BF437" s="816" t="s">
        <v>2521</v>
      </c>
      <c r="BG437" s="816"/>
      <c r="BH437" s="816"/>
      <c r="BI437" s="816"/>
      <c r="BJ437" s="816"/>
      <c r="BK437" s="816" t="s">
        <v>2521</v>
      </c>
      <c r="BM437" s="816"/>
      <c r="BN437" s="816"/>
      <c r="BO437" s="816"/>
      <c r="BQ437" s="816" t="s">
        <v>3728</v>
      </c>
      <c r="BR437" s="816"/>
      <c r="BS437" s="816"/>
      <c r="BT437" s="816"/>
      <c r="BU437" s="816"/>
    </row>
    <row r="438" spans="1:73" x14ac:dyDescent="0.35">
      <c r="A438" s="806" t="s">
        <v>789</v>
      </c>
      <c r="B438" s="806" t="s">
        <v>2073</v>
      </c>
      <c r="C438" s="806"/>
      <c r="D438" s="806"/>
      <c r="E438" s="806"/>
      <c r="F438" s="816" t="s">
        <v>2521</v>
      </c>
      <c r="L438" s="816" t="s">
        <v>2521</v>
      </c>
      <c r="AA438" s="816" t="s">
        <v>2521</v>
      </c>
      <c r="AB438" s="816" t="s">
        <v>2521</v>
      </c>
      <c r="AH438" s="816" t="s">
        <v>3163</v>
      </c>
      <c r="AW438" s="816" t="s">
        <v>2521</v>
      </c>
      <c r="AX438" s="816" t="s">
        <v>3163</v>
      </c>
      <c r="BD438" s="816" t="s">
        <v>2521</v>
      </c>
      <c r="BF438" s="816" t="s">
        <v>2521</v>
      </c>
      <c r="BK438" s="816" t="s">
        <v>2521</v>
      </c>
      <c r="BQ438" s="816" t="s">
        <v>2521</v>
      </c>
    </row>
    <row r="439" spans="1:73" x14ac:dyDescent="0.35">
      <c r="A439" s="806" t="s">
        <v>789</v>
      </c>
      <c r="B439" s="806" t="s">
        <v>2074</v>
      </c>
      <c r="C439" s="806"/>
      <c r="D439" s="806"/>
      <c r="E439" s="806"/>
      <c r="F439" s="806"/>
      <c r="L439" s="816" t="s">
        <v>2521</v>
      </c>
      <c r="AA439" s="816" t="s">
        <v>2521</v>
      </c>
      <c r="AB439" s="816" t="s">
        <v>2521</v>
      </c>
      <c r="AH439" s="816" t="s">
        <v>3163</v>
      </c>
      <c r="AW439" s="816"/>
      <c r="AX439" s="816" t="s">
        <v>3540</v>
      </c>
      <c r="BD439" s="816" t="s">
        <v>3728</v>
      </c>
      <c r="BF439" s="816" t="s">
        <v>3793</v>
      </c>
      <c r="BK439" s="816" t="s">
        <v>3163</v>
      </c>
      <c r="BQ439" s="816" t="s">
        <v>2521</v>
      </c>
    </row>
    <row r="440" spans="1:73" x14ac:dyDescent="0.35">
      <c r="A440" s="806" t="s">
        <v>789</v>
      </c>
      <c r="B440" s="806" t="s">
        <v>2075</v>
      </c>
      <c r="C440" s="806"/>
      <c r="D440" s="806"/>
      <c r="E440" s="806"/>
      <c r="F440" s="806"/>
      <c r="L440" s="816" t="s">
        <v>2521</v>
      </c>
      <c r="AA440" s="816" t="s">
        <v>2521</v>
      </c>
      <c r="AB440" s="816" t="s">
        <v>2521</v>
      </c>
      <c r="AX440" s="816" t="s">
        <v>3163</v>
      </c>
      <c r="BD440" s="816" t="s">
        <v>2521</v>
      </c>
      <c r="BK440" s="816" t="s">
        <v>3163</v>
      </c>
    </row>
    <row r="441" spans="1:73" x14ac:dyDescent="0.35">
      <c r="A441" s="806" t="s">
        <v>789</v>
      </c>
      <c r="B441" s="806" t="s">
        <v>2076</v>
      </c>
      <c r="C441" s="806"/>
      <c r="D441" s="806"/>
      <c r="E441" s="806"/>
      <c r="F441" s="806"/>
      <c r="L441" s="816" t="s">
        <v>2521</v>
      </c>
      <c r="AB441" s="816" t="s">
        <v>2521</v>
      </c>
      <c r="AX441" s="816" t="s">
        <v>3540</v>
      </c>
      <c r="BK441" s="816" t="s">
        <v>3728</v>
      </c>
    </row>
    <row r="442" spans="1:73" x14ac:dyDescent="0.35">
      <c r="A442" s="806" t="s">
        <v>789</v>
      </c>
      <c r="B442" s="806" t="s">
        <v>2077</v>
      </c>
      <c r="C442" s="806"/>
      <c r="D442" s="806"/>
      <c r="E442" s="806"/>
      <c r="F442" s="806"/>
      <c r="AX442" s="816" t="s">
        <v>3163</v>
      </c>
      <c r="BK442" s="816" t="s">
        <v>3728</v>
      </c>
    </row>
    <row r="443" spans="1:73" x14ac:dyDescent="0.35">
      <c r="A443" s="806" t="s">
        <v>789</v>
      </c>
      <c r="B443" s="806" t="s">
        <v>930</v>
      </c>
      <c r="C443" s="806"/>
      <c r="D443" s="806"/>
      <c r="E443" s="806"/>
      <c r="F443" s="817">
        <v>5</v>
      </c>
      <c r="I443" s="817"/>
      <c r="J443" s="817"/>
      <c r="K443" s="817"/>
      <c r="L443" s="817">
        <v>5</v>
      </c>
      <c r="M443" s="817"/>
      <c r="N443" s="817"/>
      <c r="O443" s="817"/>
      <c r="P443" s="817"/>
      <c r="Q443" s="817"/>
      <c r="R443" s="817"/>
      <c r="S443" s="817"/>
      <c r="T443" s="817"/>
      <c r="U443" s="817"/>
      <c r="V443" s="817"/>
      <c r="W443" s="817"/>
      <c r="X443" s="817"/>
      <c r="Y443" s="817"/>
      <c r="Z443" s="817"/>
      <c r="AA443" s="817">
        <v>5</v>
      </c>
      <c r="AB443" s="817">
        <v>3</v>
      </c>
      <c r="AC443" s="817"/>
      <c r="AD443" s="817"/>
      <c r="AE443" s="817"/>
      <c r="AF443" s="817"/>
      <c r="AG443" s="817"/>
      <c r="AH443" s="817">
        <v>5</v>
      </c>
      <c r="AI443" s="817"/>
      <c r="AJ443" s="817"/>
      <c r="AL443" s="817"/>
      <c r="AM443" s="817"/>
      <c r="AN443" s="817">
        <v>5</v>
      </c>
      <c r="AO443" s="817"/>
      <c r="AP443" s="817"/>
      <c r="AQ443" s="817"/>
      <c r="AR443" s="817"/>
      <c r="AS443" s="817"/>
      <c r="AT443" s="817"/>
      <c r="AU443" s="817"/>
      <c r="AV443" s="817"/>
      <c r="AW443" s="817">
        <v>5</v>
      </c>
      <c r="AX443" s="817">
        <v>5</v>
      </c>
      <c r="AY443" s="817"/>
      <c r="AZ443" s="817"/>
      <c r="BA443" s="817">
        <v>5</v>
      </c>
      <c r="BC443" s="817"/>
      <c r="BD443" s="817">
        <v>5</v>
      </c>
      <c r="BE443" s="817"/>
      <c r="BF443" s="817">
        <v>5</v>
      </c>
      <c r="BG443" s="817"/>
      <c r="BH443" s="817"/>
      <c r="BI443" s="817"/>
      <c r="BJ443" s="817"/>
      <c r="BK443" s="817">
        <v>5</v>
      </c>
      <c r="BM443" s="817"/>
      <c r="BN443" s="817"/>
      <c r="BO443" s="817"/>
      <c r="BQ443" s="817">
        <v>5</v>
      </c>
      <c r="BR443" s="817"/>
      <c r="BS443" s="817"/>
      <c r="BT443" s="817"/>
      <c r="BU443" s="817"/>
    </row>
    <row r="444" spans="1:73" ht="29" x14ac:dyDescent="0.35">
      <c r="A444" s="806" t="s">
        <v>789</v>
      </c>
      <c r="B444" s="806" t="s">
        <v>936</v>
      </c>
      <c r="C444" s="806"/>
      <c r="D444" s="806"/>
      <c r="E444" s="806"/>
      <c r="F444" s="816" t="s">
        <v>198</v>
      </c>
      <c r="I444" s="816"/>
      <c r="J444" s="816"/>
      <c r="K444" s="816"/>
      <c r="L444" s="816" t="s">
        <v>198</v>
      </c>
      <c r="M444" s="816"/>
      <c r="N444" s="816"/>
      <c r="O444" s="816"/>
      <c r="P444" s="816"/>
      <c r="Q444" s="816"/>
      <c r="R444" s="816"/>
      <c r="S444" s="816"/>
      <c r="T444" s="816"/>
      <c r="U444" s="816"/>
      <c r="V444" s="816"/>
      <c r="W444" s="816"/>
      <c r="X444" s="816"/>
      <c r="Y444" s="816"/>
      <c r="Z444" s="816"/>
      <c r="AA444" s="816" t="s">
        <v>198</v>
      </c>
      <c r="AB444" s="816" t="s">
        <v>503</v>
      </c>
      <c r="AC444" s="816"/>
      <c r="AD444" s="816"/>
      <c r="AE444" s="816"/>
      <c r="AF444" s="816"/>
      <c r="AG444" s="816"/>
      <c r="AH444" s="816" t="s">
        <v>198</v>
      </c>
      <c r="AI444" s="816"/>
      <c r="AJ444" s="816"/>
      <c r="AL444" s="816"/>
      <c r="AM444" s="816"/>
      <c r="AN444" s="816" t="s">
        <v>198</v>
      </c>
      <c r="AO444" s="816"/>
      <c r="AP444" s="816"/>
      <c r="AQ444" s="816"/>
      <c r="AR444" s="816"/>
      <c r="AS444" s="816"/>
      <c r="AT444" s="816"/>
      <c r="AU444" s="816"/>
      <c r="AV444" s="816"/>
      <c r="AW444" s="816" t="s">
        <v>198</v>
      </c>
      <c r="AX444" s="816" t="s">
        <v>198</v>
      </c>
      <c r="AY444" s="816"/>
      <c r="AZ444" s="816"/>
      <c r="BA444" s="816" t="s">
        <v>198</v>
      </c>
      <c r="BC444" s="816"/>
      <c r="BD444" s="816" t="s">
        <v>198</v>
      </c>
      <c r="BE444" s="816"/>
      <c r="BF444" s="816"/>
      <c r="BG444" s="816"/>
      <c r="BH444" s="816"/>
      <c r="BI444" s="816"/>
      <c r="BJ444" s="816"/>
      <c r="BK444" s="816" t="s">
        <v>503</v>
      </c>
      <c r="BM444" s="816"/>
      <c r="BN444" s="816"/>
      <c r="BO444" s="816"/>
      <c r="BQ444" s="816" t="s">
        <v>198</v>
      </c>
      <c r="BR444" s="816"/>
      <c r="BS444" s="816"/>
      <c r="BT444" s="816"/>
      <c r="BU444" s="816"/>
    </row>
    <row r="445" spans="1:73" x14ac:dyDescent="0.35">
      <c r="A445" s="806" t="s">
        <v>789</v>
      </c>
      <c r="B445" s="806" t="s">
        <v>940</v>
      </c>
      <c r="C445" s="806"/>
      <c r="D445" s="806"/>
      <c r="E445" s="806"/>
      <c r="F445" s="816" t="s">
        <v>198</v>
      </c>
      <c r="I445" s="816"/>
      <c r="J445" s="816"/>
      <c r="K445" s="816"/>
      <c r="L445" s="816" t="s">
        <v>198</v>
      </c>
      <c r="M445" s="816"/>
      <c r="N445" s="816"/>
      <c r="O445" s="816"/>
      <c r="P445" s="816"/>
      <c r="Q445" s="816"/>
      <c r="S445" s="816"/>
      <c r="T445" s="816"/>
      <c r="U445" s="816"/>
      <c r="V445" s="816"/>
      <c r="W445" s="816"/>
      <c r="X445" s="816"/>
      <c r="Z445" s="816"/>
      <c r="AA445" s="816" t="s">
        <v>198</v>
      </c>
      <c r="AB445" s="816" t="s">
        <v>503</v>
      </c>
      <c r="AC445" s="816"/>
      <c r="AD445" s="816"/>
      <c r="AE445" s="816"/>
      <c r="AF445" s="816"/>
      <c r="AG445" s="816"/>
      <c r="AH445" s="816" t="s">
        <v>198</v>
      </c>
      <c r="AI445" s="816"/>
      <c r="AJ445" s="816"/>
      <c r="AL445" s="816"/>
      <c r="AN445" s="816" t="s">
        <v>198</v>
      </c>
      <c r="AP445" s="816"/>
      <c r="AQ445" s="816"/>
      <c r="AR445" s="816"/>
      <c r="AS445" s="816"/>
      <c r="AT445" s="816"/>
      <c r="AU445" s="816"/>
      <c r="AV445" s="816"/>
      <c r="AW445" s="816" t="s">
        <v>198</v>
      </c>
      <c r="AX445" s="816" t="s">
        <v>198</v>
      </c>
      <c r="AY445" s="816"/>
      <c r="AZ445" s="816"/>
      <c r="BA445" s="816" t="s">
        <v>198</v>
      </c>
      <c r="BC445" s="816"/>
      <c r="BD445" s="816" t="s">
        <v>198</v>
      </c>
      <c r="BE445" s="816"/>
      <c r="BF445" s="816" t="s">
        <v>198</v>
      </c>
      <c r="BG445" s="816"/>
      <c r="BH445" s="816"/>
      <c r="BI445" s="816"/>
      <c r="BJ445" s="816"/>
      <c r="BK445" s="816" t="s">
        <v>198</v>
      </c>
      <c r="BM445" s="816"/>
      <c r="BN445" s="816"/>
      <c r="BO445" s="816"/>
      <c r="BQ445" s="816" t="s">
        <v>198</v>
      </c>
      <c r="BR445" s="816"/>
      <c r="BS445" s="816"/>
      <c r="BT445" s="816"/>
      <c r="BU445" s="816"/>
    </row>
    <row r="446" spans="1:73" ht="409.5" x14ac:dyDescent="0.35">
      <c r="A446" s="806" t="s">
        <v>789</v>
      </c>
      <c r="B446" s="806" t="s">
        <v>1109</v>
      </c>
      <c r="C446" s="806"/>
      <c r="D446" s="806"/>
      <c r="E446" s="806"/>
      <c r="F446" s="816" t="s">
        <v>2514</v>
      </c>
      <c r="I446" s="816"/>
      <c r="K446" s="816"/>
      <c r="L446" s="816" t="s">
        <v>2672</v>
      </c>
      <c r="M446" s="816"/>
      <c r="N446" s="816"/>
      <c r="O446" s="816"/>
      <c r="P446" s="816"/>
      <c r="Q446" s="816"/>
      <c r="S446" s="816"/>
      <c r="T446" s="816"/>
      <c r="U446" s="816"/>
      <c r="V446" s="816"/>
      <c r="W446" s="816"/>
      <c r="X446" s="816"/>
      <c r="Z446" s="816"/>
      <c r="AA446" s="816" t="s">
        <v>3009</v>
      </c>
      <c r="AC446" s="816"/>
      <c r="AD446" s="816"/>
      <c r="AE446" s="816"/>
      <c r="AF446" s="816"/>
      <c r="AG446" s="816"/>
      <c r="AH446" s="816" t="s">
        <v>3200</v>
      </c>
      <c r="AI446" s="816"/>
      <c r="AJ446" s="816"/>
      <c r="AL446" s="816"/>
      <c r="AN446" s="816" t="s">
        <v>3334</v>
      </c>
      <c r="AP446" s="816"/>
      <c r="AQ446" s="816"/>
      <c r="AR446" s="816"/>
      <c r="AS446" s="816"/>
      <c r="AT446" s="816"/>
      <c r="AU446" s="816"/>
      <c r="AV446" s="816"/>
      <c r="AW446" s="816" t="s">
        <v>3518</v>
      </c>
      <c r="AX446" s="816" t="s">
        <v>3544</v>
      </c>
      <c r="AY446" s="816"/>
      <c r="AZ446" s="816"/>
      <c r="BA446" s="816" t="s">
        <v>3634</v>
      </c>
      <c r="BC446" s="816"/>
      <c r="BD446" s="816" t="s">
        <v>3723</v>
      </c>
      <c r="BE446" s="816"/>
      <c r="BG446" s="816"/>
      <c r="BH446" s="816"/>
      <c r="BI446" s="816"/>
      <c r="BJ446" s="816"/>
      <c r="BK446" s="816" t="s">
        <v>4071</v>
      </c>
      <c r="BM446" s="816"/>
      <c r="BN446" s="816"/>
      <c r="BO446" s="816"/>
      <c r="BQ446" s="816" t="s">
        <v>4303</v>
      </c>
      <c r="BR446" s="816"/>
      <c r="BS446" s="816"/>
      <c r="BT446" s="816"/>
      <c r="BU446" s="816"/>
    </row>
    <row r="447" spans="1:73" ht="29" x14ac:dyDescent="0.35">
      <c r="A447" s="806" t="s">
        <v>789</v>
      </c>
      <c r="B447" s="806" t="s">
        <v>938</v>
      </c>
      <c r="C447" s="806"/>
      <c r="D447" s="806"/>
      <c r="E447" s="806"/>
      <c r="F447" s="816" t="s">
        <v>198</v>
      </c>
      <c r="I447" s="816"/>
      <c r="J447" s="816"/>
      <c r="K447" s="816"/>
      <c r="L447" s="816" t="s">
        <v>503</v>
      </c>
      <c r="M447" s="816"/>
      <c r="N447" s="816"/>
      <c r="O447" s="816"/>
      <c r="P447" s="816"/>
      <c r="Q447" s="816"/>
      <c r="S447" s="816"/>
      <c r="T447" s="816"/>
      <c r="U447" s="816"/>
      <c r="V447" s="816"/>
      <c r="W447" s="816"/>
      <c r="X447" s="816"/>
      <c r="Z447" s="816"/>
      <c r="AA447" s="816" t="s">
        <v>198</v>
      </c>
      <c r="AB447" s="816" t="s">
        <v>198</v>
      </c>
      <c r="AC447" s="816"/>
      <c r="AD447" s="816"/>
      <c r="AE447" s="816"/>
      <c r="AF447" s="816"/>
      <c r="AG447" s="816"/>
      <c r="AH447" s="816" t="s">
        <v>503</v>
      </c>
      <c r="AI447" s="816"/>
      <c r="AJ447" s="816"/>
      <c r="AL447" s="816"/>
      <c r="AN447" s="816" t="s">
        <v>503</v>
      </c>
      <c r="AP447" s="816"/>
      <c r="AQ447" s="816"/>
      <c r="AR447" s="816"/>
      <c r="AS447" s="816"/>
      <c r="AT447" s="816"/>
      <c r="AU447" s="816"/>
      <c r="AV447" s="816"/>
      <c r="AW447" s="816" t="s">
        <v>503</v>
      </c>
      <c r="AX447" s="816" t="s">
        <v>503</v>
      </c>
      <c r="AY447" s="816"/>
      <c r="AZ447" s="816"/>
      <c r="BA447" s="816" t="s">
        <v>198</v>
      </c>
      <c r="BC447" s="816"/>
      <c r="BD447" s="816" t="s">
        <v>198</v>
      </c>
      <c r="BE447" s="816"/>
      <c r="BF447" s="816" t="s">
        <v>198</v>
      </c>
      <c r="BG447" s="816"/>
      <c r="BH447" s="816"/>
      <c r="BI447" s="816"/>
      <c r="BJ447" s="816"/>
      <c r="BK447" s="816" t="s">
        <v>503</v>
      </c>
      <c r="BM447" s="816"/>
      <c r="BN447" s="816"/>
      <c r="BO447" s="816"/>
      <c r="BQ447" s="816" t="s">
        <v>198</v>
      </c>
      <c r="BR447" s="816"/>
      <c r="BS447" s="816"/>
      <c r="BT447" s="816"/>
      <c r="BU447" s="816"/>
    </row>
    <row r="448" spans="1:73" ht="29" x14ac:dyDescent="0.35">
      <c r="A448" s="806" t="s">
        <v>789</v>
      </c>
      <c r="B448" s="806" t="s">
        <v>2019</v>
      </c>
      <c r="C448" s="806"/>
      <c r="D448" s="806"/>
      <c r="E448" s="806"/>
      <c r="F448" s="816" t="s">
        <v>2517</v>
      </c>
      <c r="L448" s="816" t="s">
        <v>2517</v>
      </c>
      <c r="AA448" s="816" t="s">
        <v>2680</v>
      </c>
      <c r="AB448" s="816" t="s">
        <v>2517</v>
      </c>
      <c r="AW448" s="816" t="s">
        <v>3515</v>
      </c>
      <c r="BD448" s="816"/>
      <c r="BF448" s="816" t="s">
        <v>2680</v>
      </c>
    </row>
    <row r="449" spans="1:73" ht="29" x14ac:dyDescent="0.35">
      <c r="A449" s="806" t="s">
        <v>789</v>
      </c>
      <c r="B449" s="806" t="s">
        <v>2020</v>
      </c>
      <c r="C449" s="806"/>
      <c r="D449" s="806"/>
      <c r="E449" s="806"/>
      <c r="F449" s="816" t="s">
        <v>2517</v>
      </c>
      <c r="L449" s="816" t="s">
        <v>2517</v>
      </c>
      <c r="AA449" s="816" t="s">
        <v>2517</v>
      </c>
      <c r="AB449" s="816" t="s">
        <v>2517</v>
      </c>
      <c r="BF449" s="816" t="s">
        <v>2680</v>
      </c>
    </row>
    <row r="450" spans="1:73" ht="29" x14ac:dyDescent="0.35">
      <c r="A450" s="806" t="s">
        <v>789</v>
      </c>
      <c r="B450" s="806" t="s">
        <v>2021</v>
      </c>
      <c r="C450" s="806"/>
      <c r="D450" s="806"/>
      <c r="E450" s="806"/>
      <c r="F450" s="806"/>
      <c r="AA450" s="816"/>
      <c r="BF450" s="816" t="s">
        <v>2680</v>
      </c>
    </row>
    <row r="451" spans="1:73" x14ac:dyDescent="0.35">
      <c r="A451" s="806" t="s">
        <v>789</v>
      </c>
      <c r="B451" s="806" t="s">
        <v>2015</v>
      </c>
      <c r="C451" s="806"/>
      <c r="D451" s="806"/>
      <c r="E451" s="806"/>
      <c r="F451" s="811">
        <v>42745</v>
      </c>
      <c r="AA451" s="811">
        <v>44572</v>
      </c>
      <c r="AW451" s="811">
        <v>43228</v>
      </c>
      <c r="BD451" s="811"/>
      <c r="BF451" s="811">
        <v>44985</v>
      </c>
    </row>
    <row r="452" spans="1:73" x14ac:dyDescent="0.35">
      <c r="A452" s="806" t="s">
        <v>789</v>
      </c>
      <c r="B452" s="806" t="s">
        <v>2016</v>
      </c>
      <c r="C452" s="806"/>
      <c r="D452" s="806"/>
      <c r="E452" s="806"/>
      <c r="F452" s="811">
        <v>42745</v>
      </c>
      <c r="AA452" s="811">
        <v>44572</v>
      </c>
      <c r="BF452" s="811">
        <v>44985</v>
      </c>
    </row>
    <row r="453" spans="1:73" x14ac:dyDescent="0.35">
      <c r="A453" s="806" t="s">
        <v>789</v>
      </c>
      <c r="B453" s="806" t="s">
        <v>2017</v>
      </c>
      <c r="C453" s="806"/>
      <c r="D453" s="806"/>
      <c r="E453" s="806"/>
      <c r="F453" s="806"/>
      <c r="AA453" s="811"/>
      <c r="BF453" s="811">
        <v>44985</v>
      </c>
    </row>
    <row r="454" spans="1:73" x14ac:dyDescent="0.35">
      <c r="A454" s="806" t="s">
        <v>789</v>
      </c>
      <c r="B454" s="806" t="s">
        <v>2012</v>
      </c>
      <c r="C454" s="806"/>
      <c r="D454" s="806"/>
      <c r="E454" s="806"/>
      <c r="F454" s="816" t="s">
        <v>2518</v>
      </c>
      <c r="L454" s="816" t="s">
        <v>2677</v>
      </c>
      <c r="AA454" s="816" t="s">
        <v>2995</v>
      </c>
      <c r="AB454" s="816" t="s">
        <v>3045</v>
      </c>
      <c r="AN454" s="816" t="s">
        <v>3335</v>
      </c>
      <c r="AW454" s="816" t="s">
        <v>3498</v>
      </c>
      <c r="BD454" s="816"/>
      <c r="BF454" s="816" t="s">
        <v>3790</v>
      </c>
    </row>
    <row r="455" spans="1:73" x14ac:dyDescent="0.35">
      <c r="A455" s="806" t="s">
        <v>789</v>
      </c>
      <c r="B455" s="806" t="s">
        <v>2013</v>
      </c>
      <c r="C455" s="806"/>
      <c r="D455" s="806"/>
      <c r="E455" s="806"/>
      <c r="F455" s="816" t="s">
        <v>2518</v>
      </c>
      <c r="L455" s="816" t="s">
        <v>2677</v>
      </c>
      <c r="AA455" s="816" t="s">
        <v>2995</v>
      </c>
      <c r="AB455" s="816" t="s">
        <v>3045</v>
      </c>
      <c r="BF455" s="816" t="s">
        <v>3791</v>
      </c>
    </row>
    <row r="456" spans="1:73" x14ac:dyDescent="0.35">
      <c r="A456" s="806" t="s">
        <v>789</v>
      </c>
      <c r="B456" s="806" t="s">
        <v>2014</v>
      </c>
      <c r="C456" s="806"/>
      <c r="D456" s="806"/>
      <c r="E456" s="806"/>
      <c r="F456" s="806"/>
      <c r="AA456" s="816"/>
      <c r="BF456" s="816" t="s">
        <v>3792</v>
      </c>
    </row>
    <row r="457" spans="1:73" ht="72.5" x14ac:dyDescent="0.35">
      <c r="A457" s="806" t="s">
        <v>789</v>
      </c>
      <c r="B457" s="806" t="s">
        <v>2022</v>
      </c>
      <c r="C457" s="806"/>
      <c r="D457" s="806"/>
      <c r="E457" s="806"/>
      <c r="F457" s="816" t="s">
        <v>2519</v>
      </c>
      <c r="L457" s="816" t="s">
        <v>2682</v>
      </c>
      <c r="AA457" s="816" t="s">
        <v>2996</v>
      </c>
      <c r="AB457" s="816" t="s">
        <v>3049</v>
      </c>
      <c r="AN457" s="816" t="s">
        <v>3336</v>
      </c>
      <c r="AW457" s="816" t="s">
        <v>3514</v>
      </c>
      <c r="BA457" s="816"/>
      <c r="BD457" s="816"/>
      <c r="BF457" s="816" t="s">
        <v>1583</v>
      </c>
    </row>
    <row r="458" spans="1:73" ht="58" x14ac:dyDescent="0.35">
      <c r="A458" s="806" t="s">
        <v>789</v>
      </c>
      <c r="B458" s="806" t="s">
        <v>2023</v>
      </c>
      <c r="C458" s="806"/>
      <c r="D458" s="806"/>
      <c r="E458" s="806"/>
      <c r="F458" s="816" t="s">
        <v>2520</v>
      </c>
      <c r="L458" s="816" t="s">
        <v>2683</v>
      </c>
      <c r="AA458" s="816" t="s">
        <v>2997</v>
      </c>
      <c r="AB458" s="816" t="s">
        <v>3050</v>
      </c>
      <c r="AN458" s="816" t="s">
        <v>3337</v>
      </c>
      <c r="BF458" s="816" t="s">
        <v>1583</v>
      </c>
    </row>
    <row r="459" spans="1:73" ht="29" x14ac:dyDescent="0.35">
      <c r="A459" s="806" t="s">
        <v>789</v>
      </c>
      <c r="B459" s="806" t="s">
        <v>2024</v>
      </c>
      <c r="C459" s="806"/>
      <c r="D459" s="806"/>
      <c r="E459" s="806"/>
      <c r="F459" s="806"/>
      <c r="AA459" s="816"/>
      <c r="AN459" s="816" t="s">
        <v>3339</v>
      </c>
      <c r="BF459" s="816" t="s">
        <v>1583</v>
      </c>
    </row>
    <row r="460" spans="1:73" ht="29" x14ac:dyDescent="0.35">
      <c r="A460" s="806" t="s">
        <v>789</v>
      </c>
      <c r="B460" s="806" t="s">
        <v>923</v>
      </c>
      <c r="C460" s="806"/>
      <c r="D460" s="806"/>
      <c r="E460" s="806"/>
      <c r="F460" s="816" t="s">
        <v>683</v>
      </c>
      <c r="I460" s="816"/>
      <c r="J460" s="816"/>
      <c r="K460" s="816"/>
      <c r="L460" s="816" t="s">
        <v>683</v>
      </c>
      <c r="M460" s="816"/>
      <c r="N460" s="816"/>
      <c r="O460" s="816"/>
      <c r="P460" s="816"/>
      <c r="Q460" s="816"/>
      <c r="R460" s="816"/>
      <c r="S460" s="816"/>
      <c r="T460" s="816"/>
      <c r="U460" s="816"/>
      <c r="V460" s="816"/>
      <c r="W460" s="816"/>
      <c r="X460" s="816"/>
      <c r="Y460" s="816"/>
      <c r="Z460" s="816"/>
      <c r="AA460" s="816" t="s">
        <v>683</v>
      </c>
      <c r="AB460" s="816" t="s">
        <v>683</v>
      </c>
      <c r="AC460" s="816"/>
      <c r="AD460" s="816"/>
      <c r="AE460" s="816"/>
      <c r="AF460" s="816"/>
      <c r="AG460" s="816"/>
      <c r="AH460" s="816" t="s">
        <v>683</v>
      </c>
      <c r="AI460" s="816"/>
      <c r="AJ460" s="816"/>
      <c r="AL460" s="816"/>
      <c r="AM460" s="816"/>
      <c r="AN460" s="816" t="s">
        <v>683</v>
      </c>
      <c r="AO460" s="816"/>
      <c r="AP460" s="816"/>
      <c r="AQ460" s="816"/>
      <c r="AR460" s="816"/>
      <c r="AS460" s="816"/>
      <c r="AT460" s="816"/>
      <c r="AU460" s="816"/>
      <c r="AV460" s="816"/>
      <c r="AW460" s="816" t="s">
        <v>683</v>
      </c>
      <c r="AX460" s="816" t="s">
        <v>683</v>
      </c>
      <c r="AY460" s="816"/>
      <c r="AZ460" s="816" t="s">
        <v>683</v>
      </c>
      <c r="BA460" s="816" t="s">
        <v>683</v>
      </c>
      <c r="BC460" s="816"/>
      <c r="BD460" s="816" t="s">
        <v>683</v>
      </c>
      <c r="BE460" s="816"/>
      <c r="BF460" s="816" t="s">
        <v>683</v>
      </c>
      <c r="BG460" s="816"/>
      <c r="BH460" s="816"/>
      <c r="BI460" s="816"/>
      <c r="BJ460" s="816" t="s">
        <v>683</v>
      </c>
      <c r="BK460" s="816" t="s">
        <v>683</v>
      </c>
      <c r="BM460" s="816"/>
      <c r="BN460" s="816"/>
      <c r="BO460" s="816"/>
      <c r="BQ460" s="816" t="s">
        <v>683</v>
      </c>
      <c r="BR460" s="816"/>
      <c r="BS460" s="816"/>
      <c r="BT460" s="816"/>
      <c r="BU460" s="816"/>
    </row>
    <row r="461" spans="1:73" x14ac:dyDescent="0.35">
      <c r="A461" s="806" t="s">
        <v>789</v>
      </c>
      <c r="B461" s="806" t="s">
        <v>1136</v>
      </c>
      <c r="C461" s="806"/>
      <c r="D461" s="806"/>
      <c r="E461" s="806"/>
      <c r="F461" s="818">
        <v>186000</v>
      </c>
      <c r="I461" s="818"/>
      <c r="J461" s="818"/>
      <c r="K461" s="818"/>
      <c r="L461" s="818">
        <v>1246509</v>
      </c>
      <c r="M461" s="818"/>
      <c r="N461" s="818"/>
      <c r="O461" s="818"/>
      <c r="P461" s="818"/>
      <c r="Q461" s="818"/>
      <c r="S461" s="818"/>
      <c r="T461" s="818"/>
      <c r="U461" s="818"/>
      <c r="V461" s="818"/>
      <c r="W461" s="818"/>
      <c r="X461" s="818"/>
      <c r="Z461" s="818"/>
      <c r="AA461" s="818">
        <v>516600</v>
      </c>
      <c r="AB461" s="818">
        <v>304350</v>
      </c>
      <c r="AC461" s="818"/>
      <c r="AD461" s="818"/>
      <c r="AE461" s="818"/>
      <c r="AF461" s="818"/>
      <c r="AG461" s="818"/>
      <c r="AH461" s="818">
        <v>305000</v>
      </c>
      <c r="AI461" s="818"/>
      <c r="AJ461" s="818"/>
      <c r="AL461" s="818"/>
      <c r="AN461" s="818">
        <v>575000</v>
      </c>
      <c r="AP461" s="818"/>
      <c r="AQ461" s="818"/>
      <c r="AR461" s="818"/>
      <c r="AS461" s="818"/>
      <c r="AT461" s="818"/>
      <c r="AU461" s="818"/>
      <c r="AV461" s="818"/>
      <c r="AW461" s="818">
        <v>0</v>
      </c>
      <c r="AX461" s="818">
        <v>0</v>
      </c>
      <c r="AY461" s="818"/>
      <c r="AZ461" s="818"/>
      <c r="BA461" s="818">
        <v>0</v>
      </c>
      <c r="BC461" s="818"/>
      <c r="BD461" s="818">
        <v>220000</v>
      </c>
      <c r="BE461" s="818"/>
      <c r="BF461" s="818">
        <v>0</v>
      </c>
      <c r="BG461" s="818"/>
      <c r="BH461" s="818"/>
      <c r="BI461" s="818"/>
      <c r="BJ461" s="818"/>
      <c r="BK461" s="818">
        <v>464000</v>
      </c>
      <c r="BM461" s="818"/>
      <c r="BN461" s="818"/>
      <c r="BO461" s="818"/>
      <c r="BQ461" s="818">
        <v>0</v>
      </c>
      <c r="BR461" s="818"/>
      <c r="BS461" s="818"/>
      <c r="BT461" s="818"/>
      <c r="BU461" s="818"/>
    </row>
    <row r="462" spans="1:73" x14ac:dyDescent="0.35">
      <c r="A462" s="806" t="s">
        <v>789</v>
      </c>
      <c r="B462" s="806" t="s">
        <v>2060</v>
      </c>
      <c r="C462" s="806"/>
      <c r="D462" s="806"/>
      <c r="E462" s="806"/>
      <c r="F462" s="818">
        <v>186000</v>
      </c>
      <c r="L462" s="818">
        <v>1246509</v>
      </c>
      <c r="AA462" s="818">
        <v>737150</v>
      </c>
      <c r="AB462" s="818">
        <v>325000</v>
      </c>
      <c r="AH462" s="818">
        <v>305000</v>
      </c>
      <c r="AW462" s="818">
        <v>0</v>
      </c>
      <c r="AX462" s="818">
        <v>0</v>
      </c>
      <c r="BD462" s="818">
        <v>190000</v>
      </c>
      <c r="BF462" s="818">
        <v>0</v>
      </c>
      <c r="BK462" s="818">
        <v>480000</v>
      </c>
      <c r="BQ462" s="818">
        <v>0</v>
      </c>
    </row>
    <row r="463" spans="1:73" x14ac:dyDescent="0.35">
      <c r="A463" s="806" t="s">
        <v>789</v>
      </c>
      <c r="B463" s="806" t="s">
        <v>2061</v>
      </c>
      <c r="C463" s="806"/>
      <c r="D463" s="806"/>
      <c r="E463" s="806"/>
      <c r="F463" s="806"/>
      <c r="L463" s="818">
        <v>1246509</v>
      </c>
      <c r="AA463" s="818">
        <v>702650</v>
      </c>
      <c r="AB463" s="818">
        <v>332000</v>
      </c>
      <c r="AH463" s="818">
        <v>305000</v>
      </c>
      <c r="AW463" s="818"/>
      <c r="AX463" s="818">
        <v>0</v>
      </c>
      <c r="BD463" s="818">
        <v>100000</v>
      </c>
      <c r="BF463" s="818">
        <v>0</v>
      </c>
      <c r="BK463" s="818">
        <v>464000</v>
      </c>
      <c r="BQ463" s="818">
        <v>0</v>
      </c>
    </row>
    <row r="464" spans="1:73" x14ac:dyDescent="0.35">
      <c r="A464" s="806" t="s">
        <v>789</v>
      </c>
      <c r="B464" s="806" t="s">
        <v>2062</v>
      </c>
      <c r="C464" s="806"/>
      <c r="D464" s="806"/>
      <c r="E464" s="806"/>
      <c r="F464" s="806"/>
      <c r="L464" s="818">
        <v>1246509</v>
      </c>
      <c r="AA464" s="818">
        <v>764942</v>
      </c>
      <c r="AB464" s="818">
        <v>341100</v>
      </c>
      <c r="AX464" s="818">
        <v>0</v>
      </c>
      <c r="BD464" s="818">
        <v>150000</v>
      </c>
      <c r="BK464" s="818">
        <v>480000</v>
      </c>
    </row>
    <row r="465" spans="1:73" x14ac:dyDescent="0.35">
      <c r="A465" s="806" t="s">
        <v>789</v>
      </c>
      <c r="B465" s="806" t="s">
        <v>2063</v>
      </c>
      <c r="C465" s="806"/>
      <c r="D465" s="806"/>
      <c r="E465" s="806"/>
      <c r="F465" s="806"/>
      <c r="L465" s="818">
        <v>2493018</v>
      </c>
      <c r="AB465" s="818">
        <v>348000</v>
      </c>
      <c r="AX465" s="818">
        <v>0</v>
      </c>
      <c r="BK465" s="818">
        <v>464000</v>
      </c>
    </row>
    <row r="466" spans="1:73" x14ac:dyDescent="0.35">
      <c r="A466" s="806" t="s">
        <v>789</v>
      </c>
      <c r="B466" s="806" t="s">
        <v>2064</v>
      </c>
      <c r="C466" s="806"/>
      <c r="D466" s="806"/>
      <c r="E466" s="806"/>
      <c r="F466" s="806"/>
      <c r="AX466" s="818">
        <v>0</v>
      </c>
      <c r="BK466" s="818">
        <v>480000</v>
      </c>
    </row>
    <row r="467" spans="1:73" ht="29" x14ac:dyDescent="0.35">
      <c r="A467" s="806" t="s">
        <v>789</v>
      </c>
      <c r="B467" s="806" t="s">
        <v>1955</v>
      </c>
      <c r="C467" s="806"/>
      <c r="D467" s="806"/>
      <c r="E467" s="806"/>
      <c r="F467" s="806"/>
      <c r="L467" s="816" t="s">
        <v>683</v>
      </c>
    </row>
    <row r="468" spans="1:73" ht="29" x14ac:dyDescent="0.35">
      <c r="A468" s="806" t="s">
        <v>789</v>
      </c>
      <c r="B468" s="806" t="s">
        <v>1091</v>
      </c>
      <c r="C468" s="806"/>
      <c r="D468" s="806"/>
      <c r="E468" s="806"/>
      <c r="F468" s="816" t="s">
        <v>198</v>
      </c>
      <c r="I468" s="816"/>
      <c r="J468" s="816"/>
      <c r="K468" s="816"/>
      <c r="L468" s="816" t="s">
        <v>198</v>
      </c>
      <c r="M468" s="816"/>
      <c r="N468" s="816"/>
      <c r="O468" s="816"/>
      <c r="P468" s="816"/>
      <c r="Q468" s="816"/>
      <c r="S468" s="816"/>
      <c r="T468" s="816"/>
      <c r="U468" s="816"/>
      <c r="V468" s="816"/>
      <c r="W468" s="816"/>
      <c r="X468" s="816"/>
      <c r="Z468" s="816"/>
      <c r="AA468" s="816" t="s">
        <v>198</v>
      </c>
      <c r="AB468" s="816" t="s">
        <v>198</v>
      </c>
      <c r="AC468" s="816"/>
      <c r="AD468" s="816"/>
      <c r="AE468" s="816"/>
      <c r="AF468" s="816"/>
      <c r="AG468" s="816"/>
      <c r="AH468" s="816" t="s">
        <v>198</v>
      </c>
      <c r="AI468" s="816"/>
      <c r="AJ468" s="816"/>
      <c r="AL468" s="816"/>
      <c r="AN468" s="816" t="s">
        <v>198</v>
      </c>
      <c r="AP468" s="816"/>
      <c r="AQ468" s="816"/>
      <c r="AR468" s="816"/>
      <c r="AS468" s="816"/>
      <c r="AT468" s="816"/>
      <c r="AU468" s="816"/>
      <c r="AV468" s="816"/>
      <c r="AW468" s="816" t="s">
        <v>198</v>
      </c>
      <c r="AX468" s="816" t="s">
        <v>198</v>
      </c>
      <c r="AY468" s="816"/>
      <c r="AZ468" s="816"/>
      <c r="BA468" s="816" t="s">
        <v>198</v>
      </c>
      <c r="BC468" s="816"/>
      <c r="BD468" s="816" t="s">
        <v>198</v>
      </c>
      <c r="BE468" s="816"/>
      <c r="BF468" s="816" t="s">
        <v>198</v>
      </c>
      <c r="BG468" s="816"/>
      <c r="BH468" s="816"/>
      <c r="BI468" s="816"/>
      <c r="BJ468" s="816"/>
      <c r="BK468" s="816" t="s">
        <v>198</v>
      </c>
      <c r="BM468" s="816"/>
      <c r="BN468" s="816"/>
      <c r="BO468" s="816"/>
      <c r="BQ468" s="816" t="s">
        <v>198</v>
      </c>
      <c r="BR468" s="816"/>
      <c r="BS468" s="816"/>
      <c r="BT468" s="816"/>
      <c r="BU468" s="816"/>
    </row>
    <row r="469" spans="1:73" ht="409.5" x14ac:dyDescent="0.35">
      <c r="A469" s="806" t="s">
        <v>789</v>
      </c>
      <c r="B469" s="806" t="s">
        <v>1145</v>
      </c>
      <c r="C469" s="806"/>
      <c r="D469" s="806"/>
      <c r="E469" s="806"/>
      <c r="F469" s="816" t="s">
        <v>2527</v>
      </c>
      <c r="I469" s="816"/>
      <c r="J469" s="816"/>
      <c r="K469" s="816"/>
      <c r="L469" s="816" t="s">
        <v>2674</v>
      </c>
      <c r="M469" s="816"/>
      <c r="N469" s="816"/>
      <c r="O469" s="816"/>
      <c r="P469" s="816"/>
      <c r="Q469" s="816"/>
      <c r="S469" s="816"/>
      <c r="T469" s="816"/>
      <c r="U469" s="816"/>
      <c r="V469" s="816"/>
      <c r="W469" s="816"/>
      <c r="X469" s="816"/>
      <c r="Z469" s="816"/>
      <c r="AA469" s="816" t="s">
        <v>2988</v>
      </c>
      <c r="AB469" s="816" t="s">
        <v>3038</v>
      </c>
      <c r="AC469" s="816"/>
      <c r="AD469" s="816"/>
      <c r="AE469" s="816"/>
      <c r="AF469" s="816"/>
      <c r="AG469" s="816"/>
      <c r="AH469" s="816" t="s">
        <v>3164</v>
      </c>
      <c r="AI469" s="816"/>
      <c r="AJ469" s="816"/>
      <c r="AL469" s="816"/>
      <c r="AN469" s="816" t="s">
        <v>3323</v>
      </c>
      <c r="AP469" s="816"/>
      <c r="AQ469" s="816"/>
      <c r="AR469" s="816"/>
      <c r="AS469" s="816"/>
      <c r="AT469" s="816"/>
      <c r="AU469" s="816"/>
      <c r="AV469" s="816"/>
      <c r="AW469" s="816" t="s">
        <v>3510</v>
      </c>
      <c r="AX469" s="816" t="s">
        <v>3541</v>
      </c>
      <c r="AY469" s="816"/>
      <c r="AZ469" s="816"/>
      <c r="BA469" s="816" t="s">
        <v>3631</v>
      </c>
      <c r="BC469" s="816"/>
      <c r="BD469" s="816" t="s">
        <v>3720</v>
      </c>
      <c r="BE469" s="816"/>
      <c r="BF469" s="816" t="s">
        <v>3783</v>
      </c>
      <c r="BG469" s="816"/>
      <c r="BH469" s="816"/>
      <c r="BI469" s="816"/>
      <c r="BJ469" s="816"/>
      <c r="BK469" s="816" t="s">
        <v>4059</v>
      </c>
      <c r="BM469" s="816"/>
      <c r="BN469" s="816"/>
      <c r="BO469" s="816"/>
      <c r="BQ469" s="816" t="s">
        <v>4300</v>
      </c>
      <c r="BR469" s="816"/>
      <c r="BS469" s="816"/>
      <c r="BT469" s="816"/>
      <c r="BU469" s="816"/>
    </row>
    <row r="470" spans="1:73" x14ac:dyDescent="0.35">
      <c r="A470" s="806" t="s">
        <v>789</v>
      </c>
      <c r="B470" s="806" t="s">
        <v>1092</v>
      </c>
      <c r="C470" s="806"/>
      <c r="D470" s="806"/>
      <c r="E470" s="806"/>
      <c r="F470" s="816" t="s">
        <v>198</v>
      </c>
      <c r="I470" s="816"/>
      <c r="J470" s="816"/>
      <c r="K470" s="816"/>
      <c r="L470" s="816" t="s">
        <v>198</v>
      </c>
      <c r="M470" s="816"/>
      <c r="N470" s="816"/>
      <c r="O470" s="816"/>
      <c r="P470" s="816"/>
      <c r="Q470" s="816"/>
      <c r="S470" s="816"/>
      <c r="T470" s="816"/>
      <c r="U470" s="816"/>
      <c r="V470" s="816"/>
      <c r="W470" s="816"/>
      <c r="X470" s="816"/>
      <c r="Z470" s="816"/>
      <c r="AA470" s="816" t="s">
        <v>198</v>
      </c>
      <c r="AB470" s="816" t="s">
        <v>198</v>
      </c>
      <c r="AC470" s="816"/>
      <c r="AD470" s="816"/>
      <c r="AE470" s="816"/>
      <c r="AF470" s="816"/>
      <c r="AG470" s="816"/>
      <c r="AH470" s="816" t="s">
        <v>198</v>
      </c>
      <c r="AI470" s="816"/>
      <c r="AJ470" s="816"/>
      <c r="AL470" s="816"/>
      <c r="AN470" s="816" t="s">
        <v>198</v>
      </c>
      <c r="AP470" s="816"/>
      <c r="AQ470" s="816"/>
      <c r="AR470" s="816"/>
      <c r="AS470" s="816"/>
      <c r="AT470" s="816"/>
      <c r="AU470" s="816"/>
      <c r="AV470" s="816"/>
      <c r="AW470" s="816" t="s">
        <v>198</v>
      </c>
      <c r="AX470" s="816" t="s">
        <v>198</v>
      </c>
      <c r="AY470" s="816"/>
      <c r="AZ470" s="816"/>
      <c r="BA470" s="816" t="s">
        <v>198</v>
      </c>
      <c r="BC470" s="816"/>
      <c r="BD470" s="816" t="s">
        <v>198</v>
      </c>
      <c r="BE470" s="816"/>
      <c r="BF470" s="816" t="s">
        <v>198</v>
      </c>
      <c r="BG470" s="816"/>
      <c r="BH470" s="816"/>
      <c r="BI470" s="816"/>
      <c r="BJ470" s="816"/>
      <c r="BK470" s="816" t="s">
        <v>198</v>
      </c>
      <c r="BM470" s="816"/>
      <c r="BN470" s="816"/>
      <c r="BO470" s="816"/>
      <c r="BQ470" s="816" t="s">
        <v>198</v>
      </c>
      <c r="BR470" s="816"/>
      <c r="BS470" s="816"/>
      <c r="BT470" s="816"/>
      <c r="BU470" s="816"/>
    </row>
    <row r="471" spans="1:73" x14ac:dyDescent="0.35">
      <c r="A471" s="806" t="s">
        <v>789</v>
      </c>
      <c r="B471" s="806" t="s">
        <v>1096</v>
      </c>
      <c r="C471" s="806"/>
      <c r="D471" s="806"/>
      <c r="E471" s="806"/>
      <c r="F471" s="817">
        <v>10</v>
      </c>
      <c r="I471" s="817"/>
      <c r="J471" s="817"/>
      <c r="K471" s="817"/>
      <c r="L471" s="817">
        <v>12</v>
      </c>
      <c r="M471" s="817"/>
      <c r="N471" s="817"/>
      <c r="O471" s="817"/>
      <c r="P471" s="817"/>
      <c r="Q471" s="817"/>
      <c r="S471" s="817"/>
      <c r="T471" s="817"/>
      <c r="U471" s="817"/>
      <c r="V471" s="817"/>
      <c r="W471" s="817"/>
      <c r="X471" s="817"/>
      <c r="Z471" s="817"/>
      <c r="AA471" s="817">
        <v>30</v>
      </c>
      <c r="AB471" s="817">
        <v>69</v>
      </c>
      <c r="AC471" s="817"/>
      <c r="AD471" s="817"/>
      <c r="AE471" s="817"/>
      <c r="AF471" s="817"/>
      <c r="AG471" s="817"/>
      <c r="AH471" s="817">
        <v>13</v>
      </c>
      <c r="AI471" s="817"/>
      <c r="AJ471" s="817"/>
      <c r="AL471" s="817"/>
      <c r="AN471" s="817">
        <v>10</v>
      </c>
      <c r="AP471" s="817"/>
      <c r="AQ471" s="817"/>
      <c r="AR471" s="817"/>
      <c r="AS471" s="817"/>
      <c r="AT471" s="817"/>
      <c r="AU471" s="817"/>
      <c r="AV471" s="817"/>
      <c r="AW471" s="817">
        <v>11</v>
      </c>
      <c r="AX471" s="817">
        <v>15</v>
      </c>
      <c r="AY471" s="817"/>
      <c r="AZ471" s="817"/>
      <c r="BA471" s="817">
        <v>22</v>
      </c>
      <c r="BC471" s="817"/>
      <c r="BD471" s="817">
        <v>65</v>
      </c>
      <c r="BE471" s="817"/>
      <c r="BF471" s="817">
        <v>30</v>
      </c>
      <c r="BG471" s="817"/>
      <c r="BH471" s="817"/>
      <c r="BI471" s="817"/>
      <c r="BJ471" s="817"/>
      <c r="BK471" s="817">
        <v>24</v>
      </c>
      <c r="BM471" s="817"/>
      <c r="BN471" s="817"/>
      <c r="BO471" s="817"/>
      <c r="BQ471" s="817">
        <v>107</v>
      </c>
      <c r="BR471" s="817"/>
      <c r="BS471" s="817"/>
      <c r="BT471" s="817"/>
      <c r="BU471" s="817"/>
    </row>
    <row r="472" spans="1:73" x14ac:dyDescent="0.35">
      <c r="A472" s="806" t="s">
        <v>789</v>
      </c>
      <c r="B472" s="806" t="s">
        <v>1097</v>
      </c>
      <c r="C472" s="806"/>
      <c r="D472" s="806"/>
      <c r="E472" s="806"/>
      <c r="F472" s="817">
        <v>0</v>
      </c>
      <c r="I472" s="817"/>
      <c r="J472" s="817"/>
      <c r="K472" s="817"/>
      <c r="L472" s="817">
        <v>0</v>
      </c>
      <c r="M472" s="817"/>
      <c r="N472" s="817"/>
      <c r="O472" s="817"/>
      <c r="P472" s="817"/>
      <c r="Q472" s="817"/>
      <c r="S472" s="817"/>
      <c r="T472" s="817"/>
      <c r="U472" s="817"/>
      <c r="V472" s="817"/>
      <c r="W472" s="817"/>
      <c r="X472" s="817"/>
      <c r="Z472" s="817"/>
      <c r="AA472" s="817">
        <v>0</v>
      </c>
      <c r="AB472" s="817">
        <v>0</v>
      </c>
      <c r="AC472" s="817"/>
      <c r="AD472" s="817"/>
      <c r="AE472" s="817"/>
      <c r="AF472" s="817"/>
      <c r="AG472" s="817"/>
      <c r="AH472" s="817"/>
      <c r="AI472" s="817"/>
      <c r="AJ472" s="817"/>
      <c r="AL472" s="817"/>
      <c r="AN472" s="817"/>
      <c r="AP472" s="817"/>
      <c r="AQ472" s="817"/>
      <c r="AR472" s="817"/>
      <c r="AS472" s="817"/>
      <c r="AT472" s="817"/>
      <c r="AU472" s="817"/>
      <c r="AV472" s="817"/>
      <c r="AW472" s="817"/>
      <c r="AX472" s="817"/>
      <c r="AY472" s="817"/>
      <c r="AZ472" s="817"/>
      <c r="BA472" s="817"/>
      <c r="BC472" s="817"/>
      <c r="BD472" s="817">
        <v>0</v>
      </c>
      <c r="BE472" s="817"/>
      <c r="BF472" s="817">
        <v>0</v>
      </c>
      <c r="BG472" s="817"/>
      <c r="BH472" s="817"/>
      <c r="BI472" s="817"/>
      <c r="BJ472" s="817"/>
      <c r="BK472" s="817">
        <v>0</v>
      </c>
      <c r="BM472" s="817"/>
      <c r="BN472" s="817"/>
      <c r="BO472" s="817"/>
      <c r="BQ472" s="817"/>
      <c r="BR472" s="817"/>
      <c r="BS472" s="817"/>
      <c r="BT472" s="817"/>
      <c r="BU472" s="817"/>
    </row>
    <row r="473" spans="1:73" x14ac:dyDescent="0.35">
      <c r="A473" s="806" t="s">
        <v>789</v>
      </c>
      <c r="B473" s="806" t="s">
        <v>1629</v>
      </c>
      <c r="C473" s="806"/>
      <c r="D473" s="806"/>
      <c r="E473" s="806"/>
      <c r="F473" s="816"/>
      <c r="I473" s="816"/>
      <c r="K473" s="816"/>
      <c r="M473" s="816"/>
      <c r="N473" s="816"/>
      <c r="O473" s="816"/>
      <c r="P473" s="816"/>
      <c r="Q473" s="816"/>
      <c r="S473" s="816"/>
      <c r="T473" s="816"/>
      <c r="U473" s="816"/>
      <c r="V473" s="816"/>
      <c r="W473" s="816"/>
      <c r="X473" s="816"/>
      <c r="Z473" s="816"/>
      <c r="AA473" s="816" t="s">
        <v>2993</v>
      </c>
      <c r="AC473" s="816"/>
      <c r="AD473" s="816"/>
      <c r="AE473" s="816"/>
      <c r="AF473" s="816"/>
      <c r="AG473" s="816"/>
      <c r="AI473" s="816"/>
      <c r="AJ473" s="816"/>
      <c r="AL473" s="816"/>
      <c r="AP473" s="816"/>
      <c r="AQ473" s="816"/>
      <c r="AR473" s="816"/>
      <c r="AS473" s="816"/>
      <c r="AT473" s="816"/>
      <c r="AU473" s="816"/>
      <c r="AV473" s="816"/>
      <c r="AW473" s="816"/>
      <c r="AX473" s="816"/>
      <c r="AY473" s="816"/>
      <c r="AZ473" s="816"/>
      <c r="BA473" s="816"/>
      <c r="BC473" s="816"/>
      <c r="BD473" s="816"/>
      <c r="BE473" s="816"/>
      <c r="BG473" s="816"/>
      <c r="BH473" s="816"/>
      <c r="BI473" s="816"/>
      <c r="BJ473" s="816"/>
      <c r="BM473" s="816"/>
      <c r="BN473" s="816"/>
      <c r="BO473" s="816"/>
      <c r="BQ473" s="816"/>
      <c r="BR473" s="816"/>
      <c r="BS473" s="816"/>
      <c r="BT473" s="816"/>
      <c r="BU473" s="816"/>
    </row>
    <row r="474" spans="1:73" ht="29" x14ac:dyDescent="0.35">
      <c r="A474" s="806" t="s">
        <v>789</v>
      </c>
      <c r="B474" s="806" t="s">
        <v>2445</v>
      </c>
      <c r="C474" s="806"/>
      <c r="D474" s="806"/>
      <c r="E474" s="806"/>
      <c r="F474" s="806"/>
      <c r="L474" s="816" t="s">
        <v>2691</v>
      </c>
      <c r="AA474" s="816" t="s">
        <v>3001</v>
      </c>
      <c r="AB474" s="816" t="s">
        <v>3048</v>
      </c>
      <c r="AW474" s="816" t="s">
        <v>3519</v>
      </c>
      <c r="AX474" s="816" t="s">
        <v>3548</v>
      </c>
      <c r="BD474" s="816" t="s">
        <v>3732</v>
      </c>
      <c r="BK474" s="816" t="s">
        <v>4079</v>
      </c>
    </row>
    <row r="475" spans="1:73" x14ac:dyDescent="0.35">
      <c r="A475" s="806" t="s">
        <v>789</v>
      </c>
      <c r="B475" s="806" t="s">
        <v>2423</v>
      </c>
      <c r="C475" s="806"/>
      <c r="D475" s="806"/>
      <c r="E475" s="806"/>
      <c r="F475" s="806"/>
      <c r="AX475" s="818"/>
      <c r="BD475" s="818">
        <v>0</v>
      </c>
      <c r="BK475" s="818">
        <v>4680000</v>
      </c>
    </row>
    <row r="476" spans="1:73" x14ac:dyDescent="0.35">
      <c r="A476" s="806" t="s">
        <v>789</v>
      </c>
      <c r="B476" s="806" t="s">
        <v>2428</v>
      </c>
      <c r="C476" s="806"/>
      <c r="D476" s="806"/>
      <c r="E476" s="806"/>
      <c r="F476" s="806"/>
      <c r="L476" s="818">
        <v>253486</v>
      </c>
      <c r="AA476" s="818">
        <v>4850000</v>
      </c>
      <c r="AB476" s="818">
        <v>138000</v>
      </c>
      <c r="AW476" s="818">
        <v>5549250</v>
      </c>
      <c r="AX476" s="818">
        <v>3983872</v>
      </c>
      <c r="BD476" s="818">
        <v>14600000</v>
      </c>
      <c r="BK476" s="818">
        <v>6531609</v>
      </c>
    </row>
    <row r="477" spans="1:73" x14ac:dyDescent="0.35">
      <c r="A477" s="806" t="s">
        <v>789</v>
      </c>
      <c r="B477" s="806" t="s">
        <v>2431</v>
      </c>
      <c r="C477" s="806"/>
      <c r="D477" s="806"/>
      <c r="E477" s="806"/>
      <c r="F477" s="806"/>
      <c r="L477" s="818">
        <v>350064</v>
      </c>
      <c r="AA477" s="818"/>
      <c r="BD477" s="818">
        <v>2400000</v>
      </c>
    </row>
    <row r="478" spans="1:73" x14ac:dyDescent="0.35">
      <c r="A478" s="806" t="s">
        <v>789</v>
      </c>
      <c r="B478" s="806" t="s">
        <v>2434</v>
      </c>
      <c r="C478" s="806"/>
      <c r="D478" s="806"/>
      <c r="E478" s="806"/>
      <c r="F478" s="806"/>
      <c r="AA478" s="818"/>
      <c r="BD478" s="818">
        <v>3500000</v>
      </c>
    </row>
    <row r="479" spans="1:73" x14ac:dyDescent="0.35">
      <c r="A479" s="806" t="s">
        <v>789</v>
      </c>
      <c r="B479" s="806" t="s">
        <v>2438</v>
      </c>
      <c r="C479" s="806"/>
      <c r="D479" s="806"/>
      <c r="E479" s="806"/>
      <c r="F479" s="806"/>
      <c r="AA479" s="818">
        <v>1431246</v>
      </c>
    </row>
    <row r="480" spans="1:73" x14ac:dyDescent="0.35">
      <c r="A480" s="806" t="s">
        <v>789</v>
      </c>
      <c r="B480" s="806" t="s">
        <v>2442</v>
      </c>
      <c r="C480" s="806"/>
      <c r="D480" s="806"/>
      <c r="E480" s="806"/>
      <c r="F480" s="806"/>
      <c r="L480" s="818">
        <v>84000</v>
      </c>
      <c r="AA480" s="818"/>
    </row>
    <row r="481" spans="1:69" ht="29" x14ac:dyDescent="0.35">
      <c r="A481" s="806" t="s">
        <v>789</v>
      </c>
      <c r="B481" s="806" t="s">
        <v>2446</v>
      </c>
      <c r="C481" s="806"/>
      <c r="D481" s="806"/>
      <c r="E481" s="806"/>
      <c r="F481" s="806"/>
      <c r="L481" s="816" t="s">
        <v>2690</v>
      </c>
      <c r="AA481" s="816" t="s">
        <v>3002</v>
      </c>
      <c r="AW481" s="816" t="s">
        <v>3520</v>
      </c>
      <c r="AX481" s="816" t="s">
        <v>3549</v>
      </c>
      <c r="BD481" s="816" t="s">
        <v>3733</v>
      </c>
    </row>
    <row r="482" spans="1:69" x14ac:dyDescent="0.35">
      <c r="A482" s="806" t="s">
        <v>789</v>
      </c>
      <c r="B482" s="806" t="s">
        <v>2424</v>
      </c>
      <c r="C482" s="806"/>
      <c r="D482" s="806"/>
      <c r="E482" s="806"/>
      <c r="F482" s="806"/>
      <c r="AW482" s="818">
        <v>2200000</v>
      </c>
      <c r="AX482" s="818">
        <v>2600000</v>
      </c>
      <c r="BD482" s="818">
        <v>5000000</v>
      </c>
    </row>
    <row r="483" spans="1:69" x14ac:dyDescent="0.35">
      <c r="A483" s="806" t="s">
        <v>789</v>
      </c>
      <c r="B483" s="806" t="s">
        <v>2427</v>
      </c>
      <c r="C483" s="806"/>
      <c r="D483" s="806"/>
      <c r="E483" s="806"/>
      <c r="F483" s="806"/>
      <c r="AA483" s="818">
        <v>6070000</v>
      </c>
    </row>
    <row r="484" spans="1:69" x14ac:dyDescent="0.35">
      <c r="A484" s="806" t="s">
        <v>789</v>
      </c>
      <c r="B484" s="806" t="s">
        <v>2435</v>
      </c>
      <c r="C484" s="806"/>
      <c r="D484" s="806"/>
      <c r="E484" s="806"/>
      <c r="F484" s="806"/>
      <c r="L484" s="818">
        <v>201200</v>
      </c>
      <c r="AA484" s="818">
        <v>4146910</v>
      </c>
    </row>
    <row r="485" spans="1:69" x14ac:dyDescent="0.35">
      <c r="A485" s="806" t="s">
        <v>789</v>
      </c>
      <c r="B485" s="806" t="s">
        <v>2440</v>
      </c>
      <c r="C485" s="806"/>
      <c r="D485" s="806"/>
      <c r="E485" s="806"/>
      <c r="F485" s="806"/>
      <c r="AA485" s="818">
        <v>46372596</v>
      </c>
    </row>
    <row r="486" spans="1:69" ht="29" x14ac:dyDescent="0.35">
      <c r="A486" s="806" t="s">
        <v>789</v>
      </c>
      <c r="B486" s="806" t="s">
        <v>2447</v>
      </c>
      <c r="C486" s="806"/>
      <c r="D486" s="806"/>
      <c r="E486" s="806"/>
      <c r="F486" s="806"/>
      <c r="L486" s="816" t="s">
        <v>2531</v>
      </c>
      <c r="AA486" s="816" t="s">
        <v>3003</v>
      </c>
      <c r="AW486" s="816" t="s">
        <v>3521</v>
      </c>
      <c r="AX486" s="816" t="s">
        <v>3550</v>
      </c>
    </row>
    <row r="487" spans="1:69" x14ac:dyDescent="0.35">
      <c r="A487" s="806" t="s">
        <v>789</v>
      </c>
      <c r="B487" s="806" t="s">
        <v>2429</v>
      </c>
      <c r="C487" s="806"/>
      <c r="D487" s="806"/>
      <c r="E487" s="806"/>
      <c r="F487" s="806"/>
      <c r="AA487" s="818">
        <v>1000000</v>
      </c>
      <c r="AX487" s="818"/>
    </row>
    <row r="488" spans="1:69" x14ac:dyDescent="0.35">
      <c r="A488" s="806" t="s">
        <v>789</v>
      </c>
      <c r="B488" s="806" t="s">
        <v>2432</v>
      </c>
      <c r="C488" s="806"/>
      <c r="D488" s="806"/>
      <c r="E488" s="806"/>
      <c r="F488" s="806"/>
      <c r="AA488" s="818"/>
      <c r="AW488" s="818">
        <v>1492861</v>
      </c>
      <c r="AX488" s="818">
        <v>1500000</v>
      </c>
    </row>
    <row r="489" spans="1:69" x14ac:dyDescent="0.35">
      <c r="A489" s="806" t="s">
        <v>789</v>
      </c>
      <c r="B489" s="806" t="s">
        <v>2436</v>
      </c>
      <c r="C489" s="806"/>
      <c r="D489" s="806"/>
      <c r="E489" s="806"/>
      <c r="F489" s="806"/>
      <c r="L489" s="818">
        <v>133800</v>
      </c>
      <c r="AW489" s="818">
        <v>1716299</v>
      </c>
      <c r="AX489" s="818">
        <v>3000000</v>
      </c>
    </row>
    <row r="490" spans="1:69" x14ac:dyDescent="0.35">
      <c r="A490" s="806" t="s">
        <v>789</v>
      </c>
      <c r="B490" s="806" t="s">
        <v>2439</v>
      </c>
      <c r="C490" s="806"/>
      <c r="D490" s="806"/>
      <c r="E490" s="806"/>
      <c r="F490" s="806"/>
      <c r="AA490" s="818">
        <v>5339017</v>
      </c>
      <c r="AW490" s="818">
        <v>400000</v>
      </c>
      <c r="AX490" s="818">
        <v>325000</v>
      </c>
    </row>
    <row r="491" spans="1:69" x14ac:dyDescent="0.35">
      <c r="A491" s="806" t="s">
        <v>789</v>
      </c>
      <c r="B491" s="806" t="s">
        <v>2444</v>
      </c>
      <c r="C491" s="806"/>
      <c r="D491" s="806"/>
      <c r="E491" s="806"/>
      <c r="F491" s="806"/>
      <c r="AA491" s="818"/>
      <c r="AX491" s="818">
        <v>473326</v>
      </c>
    </row>
    <row r="492" spans="1:69" x14ac:dyDescent="0.35">
      <c r="A492" s="806" t="s">
        <v>789</v>
      </c>
      <c r="B492" s="806" t="s">
        <v>2316</v>
      </c>
      <c r="C492" s="806"/>
      <c r="D492" s="806"/>
      <c r="E492" s="806"/>
      <c r="F492" s="806"/>
      <c r="L492" s="818">
        <v>2400000</v>
      </c>
      <c r="AA492" s="818">
        <v>7500000</v>
      </c>
      <c r="AB492" s="818">
        <v>1000000</v>
      </c>
      <c r="AN492" s="818">
        <v>2000000</v>
      </c>
      <c r="AW492" s="818">
        <v>2200000</v>
      </c>
      <c r="AX492" s="818">
        <v>2600000</v>
      </c>
      <c r="BA492" s="818"/>
      <c r="BD492" s="818">
        <v>5000000</v>
      </c>
      <c r="BF492" s="818"/>
      <c r="BK492" s="818">
        <v>4800000</v>
      </c>
      <c r="BQ492" s="818">
        <v>10000000</v>
      </c>
    </row>
    <row r="493" spans="1:69" x14ac:dyDescent="0.35">
      <c r="A493" s="806" t="s">
        <v>789</v>
      </c>
      <c r="B493" s="806" t="s">
        <v>2334</v>
      </c>
      <c r="C493" s="806"/>
      <c r="D493" s="806"/>
      <c r="E493" s="806"/>
      <c r="F493" s="806"/>
      <c r="L493" s="818">
        <v>2130990</v>
      </c>
      <c r="AA493" s="818">
        <v>16638068</v>
      </c>
      <c r="AB493" s="818">
        <v>21941900</v>
      </c>
      <c r="AN493" s="818">
        <v>3300000</v>
      </c>
      <c r="AW493" s="818">
        <v>5549250</v>
      </c>
      <c r="AX493" s="818">
        <v>3983872</v>
      </c>
      <c r="BA493" s="818"/>
      <c r="BD493" s="818">
        <v>14600000</v>
      </c>
      <c r="BK493" s="818">
        <v>6531609</v>
      </c>
      <c r="BQ493" s="818">
        <v>27968680</v>
      </c>
    </row>
    <row r="494" spans="1:69" x14ac:dyDescent="0.35">
      <c r="A494" s="806" t="s">
        <v>789</v>
      </c>
      <c r="B494" s="806" t="s">
        <v>2335</v>
      </c>
      <c r="C494" s="806"/>
      <c r="D494" s="806"/>
      <c r="E494" s="806"/>
      <c r="F494" s="806"/>
      <c r="L494" s="818">
        <v>350064</v>
      </c>
      <c r="AA494" s="818">
        <v>2500000</v>
      </c>
      <c r="AN494" s="818">
        <v>450000</v>
      </c>
      <c r="AW494" s="818">
        <v>1492861</v>
      </c>
      <c r="AX494" s="818">
        <v>1500000</v>
      </c>
      <c r="BD494" s="818">
        <v>2400000</v>
      </c>
    </row>
    <row r="495" spans="1:69" x14ac:dyDescent="0.35">
      <c r="A495" s="806" t="s">
        <v>789</v>
      </c>
      <c r="B495" s="806" t="s">
        <v>2336</v>
      </c>
      <c r="C495" s="806"/>
      <c r="D495" s="806"/>
      <c r="E495" s="806"/>
      <c r="F495" s="806"/>
      <c r="L495" s="818">
        <v>1200000</v>
      </c>
      <c r="AA495" s="818">
        <v>9390000</v>
      </c>
      <c r="AW495" s="818">
        <v>1716299</v>
      </c>
      <c r="AX495" s="818">
        <v>3000000</v>
      </c>
      <c r="BD495" s="818">
        <v>3500000</v>
      </c>
    </row>
    <row r="496" spans="1:69" x14ac:dyDescent="0.35">
      <c r="A496" s="806" t="s">
        <v>789</v>
      </c>
      <c r="B496" s="806" t="s">
        <v>2337</v>
      </c>
      <c r="C496" s="806"/>
      <c r="D496" s="806"/>
      <c r="E496" s="806"/>
      <c r="F496" s="806"/>
      <c r="L496" s="818">
        <v>1398000</v>
      </c>
      <c r="AA496" s="818">
        <v>57871932</v>
      </c>
      <c r="AW496" s="818">
        <v>400000</v>
      </c>
      <c r="AX496" s="818">
        <v>325000</v>
      </c>
    </row>
    <row r="497" spans="1:69" x14ac:dyDescent="0.35">
      <c r="A497" s="806" t="s">
        <v>789</v>
      </c>
      <c r="B497" s="806" t="s">
        <v>2338</v>
      </c>
      <c r="C497" s="806"/>
      <c r="D497" s="806"/>
      <c r="E497" s="806"/>
      <c r="F497" s="806"/>
      <c r="L497" s="818">
        <v>84000</v>
      </c>
      <c r="AA497" s="818"/>
      <c r="AX497" s="818">
        <v>473326</v>
      </c>
    </row>
    <row r="498" spans="1:69" ht="29" x14ac:dyDescent="0.35">
      <c r="A498" s="806" t="s">
        <v>789</v>
      </c>
      <c r="B498" s="806" t="s">
        <v>2381</v>
      </c>
      <c r="C498" s="806"/>
      <c r="D498" s="806"/>
      <c r="E498" s="806"/>
      <c r="F498" s="806"/>
      <c r="AA498" s="818">
        <v>472500</v>
      </c>
    </row>
    <row r="499" spans="1:69" ht="29" x14ac:dyDescent="0.35">
      <c r="A499" s="806" t="s">
        <v>789</v>
      </c>
      <c r="B499" s="806" t="s">
        <v>2383</v>
      </c>
      <c r="C499" s="806"/>
      <c r="D499" s="806"/>
      <c r="E499" s="806"/>
      <c r="F499" s="806"/>
      <c r="AA499" s="818">
        <v>500000</v>
      </c>
    </row>
    <row r="500" spans="1:69" ht="29" x14ac:dyDescent="0.35">
      <c r="A500" s="806" t="s">
        <v>789</v>
      </c>
      <c r="B500" s="806" t="s">
        <v>2384</v>
      </c>
      <c r="C500" s="806"/>
      <c r="D500" s="806"/>
      <c r="E500" s="806"/>
      <c r="F500" s="806"/>
      <c r="AA500" s="818">
        <v>135284</v>
      </c>
    </row>
    <row r="501" spans="1:69" ht="29" x14ac:dyDescent="0.35">
      <c r="A501" s="806" t="s">
        <v>789</v>
      </c>
      <c r="B501" s="806" t="s">
        <v>2422</v>
      </c>
      <c r="C501" s="806"/>
      <c r="D501" s="806"/>
      <c r="E501" s="806"/>
      <c r="F501" s="806"/>
      <c r="BA501" s="818"/>
      <c r="BQ501" s="818">
        <v>10000000</v>
      </c>
    </row>
    <row r="502" spans="1:69" ht="29" x14ac:dyDescent="0.35">
      <c r="A502" s="806" t="s">
        <v>789</v>
      </c>
      <c r="B502" s="806" t="s">
        <v>2376</v>
      </c>
      <c r="C502" s="806"/>
      <c r="D502" s="806"/>
      <c r="E502" s="806"/>
      <c r="F502" s="806"/>
      <c r="AB502" s="818">
        <v>207000</v>
      </c>
    </row>
    <row r="503" spans="1:69" ht="29" x14ac:dyDescent="0.35">
      <c r="A503" s="806" t="s">
        <v>789</v>
      </c>
      <c r="B503" s="806" t="s">
        <v>2378</v>
      </c>
      <c r="C503" s="806"/>
      <c r="D503" s="806"/>
      <c r="E503" s="806"/>
      <c r="F503" s="806"/>
      <c r="AA503" s="818">
        <v>701000</v>
      </c>
    </row>
    <row r="504" spans="1:69" ht="29" x14ac:dyDescent="0.35">
      <c r="A504" s="806" t="s">
        <v>789</v>
      </c>
      <c r="B504" s="806" t="s">
        <v>2314</v>
      </c>
      <c r="C504" s="806"/>
      <c r="D504" s="806"/>
      <c r="E504" s="806"/>
      <c r="F504" s="806"/>
      <c r="L504" s="816" t="s">
        <v>503</v>
      </c>
      <c r="AA504" s="816" t="s">
        <v>503</v>
      </c>
      <c r="AB504" s="816" t="s">
        <v>503</v>
      </c>
      <c r="AN504" s="816" t="s">
        <v>503</v>
      </c>
      <c r="AW504" s="816" t="s">
        <v>503</v>
      </c>
      <c r="BA504" s="816"/>
      <c r="BD504" s="816" t="s">
        <v>503</v>
      </c>
      <c r="BF504" s="816"/>
      <c r="BK504" s="816" t="s">
        <v>503</v>
      </c>
      <c r="BQ504" s="816" t="s">
        <v>503</v>
      </c>
    </row>
    <row r="505" spans="1:69" ht="29" x14ac:dyDescent="0.35">
      <c r="A505" s="806" t="s">
        <v>789</v>
      </c>
      <c r="B505" s="806" t="s">
        <v>2324</v>
      </c>
      <c r="C505" s="806"/>
      <c r="D505" s="806"/>
      <c r="E505" s="806"/>
      <c r="F505" s="806"/>
      <c r="L505" s="816" t="s">
        <v>503</v>
      </c>
      <c r="AA505" s="816" t="s">
        <v>503</v>
      </c>
      <c r="AB505" s="816" t="s">
        <v>198</v>
      </c>
      <c r="AN505" s="816" t="s">
        <v>503</v>
      </c>
      <c r="AW505" s="816" t="s">
        <v>198</v>
      </c>
      <c r="BA505" s="816"/>
      <c r="BD505" s="816" t="s">
        <v>503</v>
      </c>
      <c r="BK505" s="816" t="s">
        <v>503</v>
      </c>
      <c r="BQ505" s="816" t="s">
        <v>503</v>
      </c>
    </row>
    <row r="506" spans="1:69" ht="29" x14ac:dyDescent="0.35">
      <c r="A506" s="806" t="s">
        <v>789</v>
      </c>
      <c r="B506" s="806" t="s">
        <v>2325</v>
      </c>
      <c r="C506" s="806"/>
      <c r="D506" s="806"/>
      <c r="E506" s="806"/>
      <c r="F506" s="806"/>
      <c r="L506" s="816" t="s">
        <v>503</v>
      </c>
      <c r="AA506" s="816" t="s">
        <v>503</v>
      </c>
      <c r="AN506" s="816" t="s">
        <v>503</v>
      </c>
      <c r="AW506" s="816" t="s">
        <v>198</v>
      </c>
      <c r="BA506" s="816"/>
      <c r="BD506" s="816" t="s">
        <v>503</v>
      </c>
    </row>
    <row r="507" spans="1:69" ht="29" x14ac:dyDescent="0.35">
      <c r="A507" s="806" t="s">
        <v>789</v>
      </c>
      <c r="B507" s="806" t="s">
        <v>2327</v>
      </c>
      <c r="C507" s="806"/>
      <c r="D507" s="806"/>
      <c r="E507" s="806"/>
      <c r="F507" s="806"/>
      <c r="L507" s="816" t="s">
        <v>198</v>
      </c>
      <c r="AA507" s="816" t="s">
        <v>503</v>
      </c>
      <c r="AW507" s="816" t="s">
        <v>198</v>
      </c>
      <c r="BD507" s="816" t="s">
        <v>503</v>
      </c>
    </row>
    <row r="508" spans="1:69" ht="29" x14ac:dyDescent="0.35">
      <c r="A508" s="806" t="s">
        <v>789</v>
      </c>
      <c r="B508" s="806" t="s">
        <v>2326</v>
      </c>
      <c r="C508" s="806"/>
      <c r="D508" s="806"/>
      <c r="E508" s="806"/>
      <c r="F508" s="806"/>
      <c r="L508" s="816" t="s">
        <v>198</v>
      </c>
      <c r="AA508" s="816" t="s">
        <v>503</v>
      </c>
      <c r="AW508" s="816" t="s">
        <v>503</v>
      </c>
    </row>
    <row r="509" spans="1:69" ht="29" x14ac:dyDescent="0.35">
      <c r="A509" s="806" t="s">
        <v>789</v>
      </c>
      <c r="B509" s="806" t="s">
        <v>2328</v>
      </c>
      <c r="C509" s="806"/>
      <c r="D509" s="806"/>
      <c r="E509" s="806"/>
      <c r="F509" s="806"/>
      <c r="L509" s="816" t="s">
        <v>503</v>
      </c>
      <c r="AA509" s="816"/>
    </row>
    <row r="510" spans="1:69" ht="29" x14ac:dyDescent="0.35">
      <c r="A510" s="806" t="s">
        <v>789</v>
      </c>
      <c r="B510" s="806" t="s">
        <v>2413</v>
      </c>
      <c r="C510" s="806"/>
      <c r="D510" s="806"/>
      <c r="E510" s="806"/>
      <c r="F510" s="806"/>
      <c r="AA510" s="818">
        <v>250000</v>
      </c>
    </row>
    <row r="511" spans="1:69" ht="29" x14ac:dyDescent="0.35">
      <c r="A511" s="806" t="s">
        <v>789</v>
      </c>
      <c r="B511" s="806" t="s">
        <v>2414</v>
      </c>
      <c r="C511" s="806"/>
      <c r="D511" s="806"/>
      <c r="E511" s="806"/>
      <c r="F511" s="806"/>
      <c r="AA511" s="818">
        <v>108078</v>
      </c>
    </row>
    <row r="512" spans="1:69" ht="29" x14ac:dyDescent="0.35">
      <c r="A512" s="806" t="s">
        <v>789</v>
      </c>
      <c r="B512" s="806" t="s">
        <v>2387</v>
      </c>
      <c r="C512" s="806"/>
      <c r="D512" s="806"/>
      <c r="E512" s="806"/>
      <c r="F512" s="806"/>
      <c r="AA512" s="818">
        <v>472500</v>
      </c>
    </row>
    <row r="513" spans="1:63" ht="29" x14ac:dyDescent="0.35">
      <c r="A513" s="806" t="s">
        <v>789</v>
      </c>
      <c r="B513" s="806" t="s">
        <v>2389</v>
      </c>
      <c r="C513" s="806"/>
      <c r="D513" s="806"/>
      <c r="E513" s="806"/>
      <c r="F513" s="806"/>
      <c r="AA513" s="818">
        <v>506263</v>
      </c>
    </row>
    <row r="514" spans="1:63" ht="29" x14ac:dyDescent="0.35">
      <c r="A514" s="806" t="s">
        <v>789</v>
      </c>
      <c r="B514" s="806" t="s">
        <v>2390</v>
      </c>
      <c r="C514" s="806"/>
      <c r="D514" s="806"/>
      <c r="E514" s="806"/>
      <c r="F514" s="806"/>
      <c r="AA514" s="818">
        <v>129021</v>
      </c>
    </row>
    <row r="515" spans="1:63" ht="29" x14ac:dyDescent="0.35">
      <c r="A515" s="806" t="s">
        <v>789</v>
      </c>
      <c r="B515" s="806" t="s">
        <v>2417</v>
      </c>
      <c r="C515" s="806"/>
      <c r="D515" s="806"/>
      <c r="E515" s="806"/>
      <c r="F515" s="806"/>
      <c r="AA515" s="818">
        <v>500000</v>
      </c>
    </row>
    <row r="516" spans="1:63" ht="29" x14ac:dyDescent="0.35">
      <c r="A516" s="806" t="s">
        <v>789</v>
      </c>
      <c r="B516" s="806" t="s">
        <v>2419</v>
      </c>
      <c r="C516" s="806"/>
      <c r="D516" s="806"/>
      <c r="E516" s="806"/>
      <c r="F516" s="806"/>
      <c r="AA516" s="818">
        <v>409711</v>
      </c>
    </row>
    <row r="517" spans="1:63" ht="29" x14ac:dyDescent="0.35">
      <c r="A517" s="806" t="s">
        <v>789</v>
      </c>
      <c r="B517" s="806" t="s">
        <v>2408</v>
      </c>
      <c r="C517" s="806"/>
      <c r="D517" s="806"/>
      <c r="E517" s="806"/>
      <c r="F517" s="806"/>
      <c r="AA517" s="818"/>
      <c r="AX517" s="818"/>
      <c r="BK517" s="818">
        <v>120000</v>
      </c>
    </row>
    <row r="518" spans="1:63" ht="29" x14ac:dyDescent="0.35">
      <c r="A518" s="806" t="s">
        <v>789</v>
      </c>
      <c r="B518" s="806" t="s">
        <v>2409</v>
      </c>
      <c r="C518" s="806"/>
      <c r="D518" s="806"/>
      <c r="E518" s="806"/>
      <c r="F518" s="806"/>
      <c r="AA518" s="818">
        <v>500000</v>
      </c>
      <c r="AB518" s="818">
        <v>213900</v>
      </c>
    </row>
    <row r="519" spans="1:63" ht="29" x14ac:dyDescent="0.35">
      <c r="A519" s="806" t="s">
        <v>789</v>
      </c>
      <c r="B519" s="806" t="s">
        <v>2410</v>
      </c>
      <c r="C519" s="806"/>
      <c r="D519" s="806"/>
      <c r="E519" s="806"/>
      <c r="F519" s="806"/>
      <c r="AA519" s="818">
        <v>194434</v>
      </c>
    </row>
    <row r="520" spans="1:63" ht="29" x14ac:dyDescent="0.35">
      <c r="A520" s="806" t="s">
        <v>789</v>
      </c>
      <c r="B520" s="806" t="s">
        <v>2402</v>
      </c>
      <c r="C520" s="806"/>
      <c r="D520" s="806"/>
      <c r="E520" s="806"/>
      <c r="F520" s="806"/>
      <c r="L520" s="818">
        <v>1877504</v>
      </c>
    </row>
    <row r="521" spans="1:63" ht="29" x14ac:dyDescent="0.35">
      <c r="A521" s="806" t="s">
        <v>789</v>
      </c>
      <c r="B521" s="806" t="s">
        <v>2403</v>
      </c>
      <c r="C521" s="806"/>
      <c r="D521" s="806"/>
      <c r="E521" s="806"/>
      <c r="F521" s="806"/>
      <c r="AA521" s="818">
        <v>187232</v>
      </c>
    </row>
    <row r="522" spans="1:63" x14ac:dyDescent="0.35">
      <c r="A522" s="806" t="s">
        <v>789</v>
      </c>
      <c r="B522" s="806" t="s">
        <v>2398</v>
      </c>
      <c r="C522" s="806"/>
      <c r="D522" s="806"/>
      <c r="E522" s="806"/>
      <c r="F522" s="806"/>
      <c r="AA522" s="818">
        <v>1000000</v>
      </c>
    </row>
    <row r="523" spans="1:63" x14ac:dyDescent="0.35">
      <c r="A523" s="806" t="s">
        <v>789</v>
      </c>
      <c r="B523" s="806" t="s">
        <v>2399</v>
      </c>
      <c r="C523" s="806"/>
      <c r="D523" s="806"/>
      <c r="E523" s="806"/>
      <c r="F523" s="806"/>
      <c r="AA523" s="818">
        <v>23077</v>
      </c>
    </row>
    <row r="524" spans="1:63" ht="29" x14ac:dyDescent="0.35">
      <c r="A524" s="806" t="s">
        <v>789</v>
      </c>
      <c r="B524" s="806" t="s">
        <v>2364</v>
      </c>
      <c r="C524" s="806"/>
      <c r="D524" s="806"/>
      <c r="E524" s="806"/>
      <c r="F524" s="806"/>
      <c r="AB524" s="818">
        <v>1000000</v>
      </c>
      <c r="AX524" s="818"/>
    </row>
    <row r="525" spans="1:63" ht="29" x14ac:dyDescent="0.35">
      <c r="A525" s="806" t="s">
        <v>789</v>
      </c>
      <c r="B525" s="806" t="s">
        <v>2365</v>
      </c>
      <c r="C525" s="806"/>
      <c r="D525" s="806"/>
      <c r="E525" s="806"/>
      <c r="F525" s="806"/>
      <c r="AB525" s="818">
        <v>4244000</v>
      </c>
    </row>
    <row r="526" spans="1:63" ht="29" x14ac:dyDescent="0.35">
      <c r="A526" s="806" t="s">
        <v>789</v>
      </c>
      <c r="B526" s="806" t="s">
        <v>2367</v>
      </c>
      <c r="C526" s="806"/>
      <c r="D526" s="806"/>
      <c r="E526" s="806"/>
      <c r="F526" s="806"/>
      <c r="AA526" s="818">
        <v>25000</v>
      </c>
    </row>
    <row r="527" spans="1:63" ht="29" x14ac:dyDescent="0.35">
      <c r="A527" s="806" t="s">
        <v>789</v>
      </c>
      <c r="B527" s="806" t="s">
        <v>2368</v>
      </c>
      <c r="C527" s="806"/>
      <c r="D527" s="806"/>
      <c r="E527" s="806"/>
      <c r="F527" s="806"/>
      <c r="L527" s="818">
        <v>1398000</v>
      </c>
    </row>
    <row r="528" spans="1:63" x14ac:dyDescent="0.35">
      <c r="A528" s="806" t="s">
        <v>789</v>
      </c>
      <c r="B528" s="806" t="s">
        <v>2433</v>
      </c>
      <c r="C528" s="806"/>
      <c r="D528" s="806"/>
      <c r="E528" s="806"/>
      <c r="F528" s="806"/>
      <c r="AA528" s="818">
        <v>1000</v>
      </c>
    </row>
    <row r="529" spans="1:69" ht="29" x14ac:dyDescent="0.35">
      <c r="A529" s="806" t="s">
        <v>789</v>
      </c>
      <c r="B529" s="806" t="s">
        <v>2315</v>
      </c>
      <c r="C529" s="806"/>
      <c r="D529" s="806"/>
      <c r="E529" s="806"/>
      <c r="F529" s="816" t="s">
        <v>683</v>
      </c>
      <c r="L529" s="816">
        <v>2</v>
      </c>
      <c r="AA529" s="816">
        <v>2</v>
      </c>
      <c r="AB529" s="816">
        <v>2</v>
      </c>
      <c r="AN529" s="816">
        <v>2</v>
      </c>
      <c r="BA529" s="816"/>
      <c r="BD529" s="816" t="s">
        <v>683</v>
      </c>
      <c r="BF529" s="816"/>
      <c r="BK529" s="816">
        <v>2</v>
      </c>
      <c r="BQ529" s="816">
        <v>2</v>
      </c>
    </row>
    <row r="530" spans="1:69" ht="29" x14ac:dyDescent="0.35">
      <c r="A530" s="806" t="s">
        <v>789</v>
      </c>
      <c r="B530" s="806" t="s">
        <v>2329</v>
      </c>
      <c r="C530" s="806"/>
      <c r="D530" s="806"/>
      <c r="E530" s="806"/>
      <c r="F530" s="816" t="s">
        <v>683</v>
      </c>
      <c r="L530" s="816">
        <v>1</v>
      </c>
      <c r="AA530" s="816">
        <v>3</v>
      </c>
      <c r="AB530" s="816">
        <v>1</v>
      </c>
      <c r="AN530" s="816">
        <v>1</v>
      </c>
      <c r="BA530" s="816"/>
      <c r="BD530" s="816" t="s">
        <v>683</v>
      </c>
      <c r="BK530" s="816">
        <v>1</v>
      </c>
      <c r="BQ530" s="816">
        <v>1</v>
      </c>
    </row>
    <row r="531" spans="1:69" ht="29" x14ac:dyDescent="0.35">
      <c r="A531" s="806" t="s">
        <v>789</v>
      </c>
      <c r="B531" s="806" t="s">
        <v>2330</v>
      </c>
      <c r="C531" s="806"/>
      <c r="D531" s="806"/>
      <c r="E531" s="806"/>
      <c r="F531" s="806"/>
      <c r="L531" s="816">
        <v>3</v>
      </c>
      <c r="AA531" s="816">
        <v>4</v>
      </c>
      <c r="AN531" s="816">
        <v>3</v>
      </c>
      <c r="BA531" s="816"/>
      <c r="BD531" s="816">
        <v>1</v>
      </c>
      <c r="BK531" s="816"/>
    </row>
    <row r="532" spans="1:69" ht="29" x14ac:dyDescent="0.35">
      <c r="A532" s="806" t="s">
        <v>789</v>
      </c>
      <c r="B532" s="806" t="s">
        <v>2331</v>
      </c>
      <c r="C532" s="806"/>
      <c r="D532" s="806"/>
      <c r="E532" s="806"/>
      <c r="F532" s="806"/>
      <c r="L532" s="816">
        <v>4</v>
      </c>
      <c r="AA532" s="816">
        <v>5</v>
      </c>
      <c r="BD532" s="816">
        <v>1</v>
      </c>
      <c r="BK532" s="816"/>
    </row>
    <row r="533" spans="1:69" ht="29" x14ac:dyDescent="0.35">
      <c r="A533" s="806" t="s">
        <v>789</v>
      </c>
      <c r="B533" s="806" t="s">
        <v>2332</v>
      </c>
      <c r="C533" s="806"/>
      <c r="D533" s="806"/>
      <c r="E533" s="806"/>
      <c r="F533" s="806"/>
      <c r="L533" s="816">
        <v>5</v>
      </c>
      <c r="AA533" s="816">
        <v>1</v>
      </c>
    </row>
    <row r="534" spans="1:69" ht="29" x14ac:dyDescent="0.35">
      <c r="A534" s="806" t="s">
        <v>789</v>
      </c>
      <c r="B534" s="806" t="s">
        <v>2333</v>
      </c>
      <c r="C534" s="806"/>
      <c r="D534" s="806"/>
      <c r="E534" s="806"/>
      <c r="F534" s="806"/>
      <c r="L534" s="816">
        <v>6</v>
      </c>
      <c r="AA534" s="816"/>
    </row>
    <row r="535" spans="1:69" ht="29" x14ac:dyDescent="0.35">
      <c r="A535" s="806" t="s">
        <v>789</v>
      </c>
      <c r="B535" s="806" t="s">
        <v>2392</v>
      </c>
      <c r="C535" s="806"/>
      <c r="D535" s="806"/>
      <c r="E535" s="806"/>
      <c r="F535" s="806"/>
      <c r="L535" s="818">
        <v>2400000</v>
      </c>
      <c r="AA535" s="818">
        <v>7500000</v>
      </c>
      <c r="AN535" s="818">
        <v>2000000</v>
      </c>
      <c r="AX535" s="818"/>
    </row>
    <row r="536" spans="1:69" ht="29" x14ac:dyDescent="0.35">
      <c r="A536" s="806" t="s">
        <v>789</v>
      </c>
      <c r="B536" s="806" t="s">
        <v>2393</v>
      </c>
      <c r="C536" s="806"/>
      <c r="D536" s="806"/>
      <c r="E536" s="806"/>
      <c r="F536" s="806"/>
      <c r="AB536" s="818">
        <v>15621000</v>
      </c>
      <c r="AN536" s="818">
        <v>3300000</v>
      </c>
      <c r="BQ536" s="818">
        <v>27968680</v>
      </c>
    </row>
    <row r="537" spans="1:69" ht="29" x14ac:dyDescent="0.35">
      <c r="A537" s="806" t="s">
        <v>789</v>
      </c>
      <c r="B537" s="806" t="s">
        <v>2394</v>
      </c>
      <c r="C537" s="806"/>
      <c r="D537" s="806"/>
      <c r="E537" s="806"/>
      <c r="F537" s="806"/>
      <c r="AA537" s="818">
        <v>2500000</v>
      </c>
      <c r="AN537" s="818">
        <v>450000</v>
      </c>
    </row>
    <row r="538" spans="1:69" ht="29" x14ac:dyDescent="0.35">
      <c r="A538" s="806" t="s">
        <v>789</v>
      </c>
      <c r="B538" s="806" t="s">
        <v>2395</v>
      </c>
      <c r="C538" s="806"/>
      <c r="D538" s="806"/>
      <c r="E538" s="806"/>
      <c r="F538" s="806"/>
      <c r="L538" s="818">
        <v>865000</v>
      </c>
    </row>
    <row r="539" spans="1:69" ht="29" x14ac:dyDescent="0.35">
      <c r="A539" s="806" t="s">
        <v>789</v>
      </c>
      <c r="B539" s="806" t="s">
        <v>2396</v>
      </c>
      <c r="C539" s="806"/>
      <c r="D539" s="806"/>
      <c r="E539" s="806"/>
      <c r="F539" s="806"/>
      <c r="AA539" s="818">
        <v>1665172</v>
      </c>
    </row>
    <row r="540" spans="1:69" ht="29" x14ac:dyDescent="0.35">
      <c r="A540" s="806" t="s">
        <v>789</v>
      </c>
      <c r="B540" s="806" t="s">
        <v>2322</v>
      </c>
      <c r="C540" s="806"/>
      <c r="D540" s="806"/>
      <c r="E540" s="806"/>
      <c r="F540" s="806"/>
      <c r="L540" s="817">
        <v>15</v>
      </c>
      <c r="AA540" s="817">
        <v>0</v>
      </c>
      <c r="AB540" s="817">
        <v>396</v>
      </c>
      <c r="AN540" s="817"/>
      <c r="BA540" s="817"/>
      <c r="BD540" s="817">
        <v>0</v>
      </c>
      <c r="BK540" s="817">
        <v>30</v>
      </c>
      <c r="BQ540" s="817">
        <v>33</v>
      </c>
    </row>
    <row r="541" spans="1:69" ht="29" x14ac:dyDescent="0.35">
      <c r="A541" s="806" t="s">
        <v>789</v>
      </c>
      <c r="B541" s="806" t="s">
        <v>2354</v>
      </c>
      <c r="C541" s="806"/>
      <c r="D541" s="806"/>
      <c r="E541" s="806"/>
      <c r="F541" s="806"/>
      <c r="L541" s="817">
        <v>30</v>
      </c>
      <c r="AA541" s="817">
        <v>0</v>
      </c>
      <c r="AB541" s="817">
        <v>396</v>
      </c>
      <c r="AN541" s="817">
        <v>30</v>
      </c>
      <c r="BA541" s="817"/>
      <c r="BD541" s="817">
        <v>0</v>
      </c>
      <c r="BK541" s="817">
        <v>30</v>
      </c>
      <c r="BQ541" s="817">
        <v>33</v>
      </c>
    </row>
    <row r="542" spans="1:69" ht="29" x14ac:dyDescent="0.35">
      <c r="A542" s="806" t="s">
        <v>789</v>
      </c>
      <c r="B542" s="806" t="s">
        <v>2355</v>
      </c>
      <c r="C542" s="806"/>
      <c r="D542" s="806"/>
      <c r="E542" s="806"/>
      <c r="F542" s="806"/>
      <c r="L542" s="817">
        <v>0</v>
      </c>
      <c r="AA542" s="817">
        <v>30</v>
      </c>
      <c r="BD542" s="817">
        <v>30</v>
      </c>
    </row>
    <row r="543" spans="1:69" ht="29" x14ac:dyDescent="0.35">
      <c r="A543" s="806" t="s">
        <v>789</v>
      </c>
      <c r="B543" s="806" t="s">
        <v>2356</v>
      </c>
      <c r="C543" s="806"/>
      <c r="D543" s="806"/>
      <c r="E543" s="806"/>
      <c r="F543" s="806"/>
      <c r="L543" s="817">
        <v>0</v>
      </c>
      <c r="AA543" s="817">
        <v>0</v>
      </c>
      <c r="BD543" s="817">
        <v>30</v>
      </c>
    </row>
    <row r="544" spans="1:69" ht="29" x14ac:dyDescent="0.35">
      <c r="A544" s="806" t="s">
        <v>789</v>
      </c>
      <c r="B544" s="806" t="s">
        <v>2357</v>
      </c>
      <c r="C544" s="806"/>
      <c r="D544" s="806"/>
      <c r="E544" s="806"/>
      <c r="F544" s="806"/>
      <c r="L544" s="817">
        <v>0</v>
      </c>
      <c r="AA544" s="817">
        <v>0</v>
      </c>
    </row>
    <row r="545" spans="1:69" ht="29" x14ac:dyDescent="0.35">
      <c r="A545" s="806" t="s">
        <v>789</v>
      </c>
      <c r="B545" s="806" t="s">
        <v>2358</v>
      </c>
      <c r="C545" s="806"/>
      <c r="D545" s="806"/>
      <c r="E545" s="806"/>
      <c r="F545" s="806"/>
      <c r="L545" s="817">
        <v>0</v>
      </c>
    </row>
    <row r="546" spans="1:69" x14ac:dyDescent="0.35">
      <c r="A546" s="806" t="s">
        <v>789</v>
      </c>
      <c r="B546" s="806" t="s">
        <v>2317</v>
      </c>
      <c r="C546" s="806"/>
      <c r="D546" s="806"/>
      <c r="E546" s="806"/>
      <c r="F546" s="806"/>
      <c r="L546" s="823">
        <v>0.06</v>
      </c>
      <c r="AA546" s="823">
        <v>0.06</v>
      </c>
      <c r="AB546" s="823">
        <v>0.02</v>
      </c>
      <c r="AN546" s="823">
        <v>0</v>
      </c>
      <c r="BF546" s="823">
        <v>0</v>
      </c>
      <c r="BK546" s="823">
        <v>0.03</v>
      </c>
      <c r="BQ546" s="823">
        <v>0</v>
      </c>
    </row>
    <row r="547" spans="1:69" x14ac:dyDescent="0.35">
      <c r="A547" s="806" t="s">
        <v>789</v>
      </c>
      <c r="B547" s="806" t="s">
        <v>2339</v>
      </c>
      <c r="C547" s="806"/>
      <c r="D547" s="806"/>
      <c r="E547" s="806"/>
      <c r="F547" s="806"/>
      <c r="L547" s="823">
        <v>4.7500000000000001E-2</v>
      </c>
      <c r="AA547" s="823">
        <v>0</v>
      </c>
      <c r="AB547" s="823">
        <v>4.2500000000000003E-2</v>
      </c>
      <c r="AN547" s="823">
        <v>0</v>
      </c>
      <c r="BA547" s="823">
        <v>0.06</v>
      </c>
      <c r="BK547" s="823">
        <v>6.5000000000000002E-2</v>
      </c>
      <c r="BQ547" s="823">
        <v>4.2500000000000003E-2</v>
      </c>
    </row>
    <row r="548" spans="1:69" x14ac:dyDescent="0.35">
      <c r="A548" s="806" t="s">
        <v>789</v>
      </c>
      <c r="B548" s="806" t="s">
        <v>2340</v>
      </c>
      <c r="C548" s="806"/>
      <c r="D548" s="806"/>
      <c r="E548" s="806"/>
      <c r="F548" s="806"/>
      <c r="L548" s="823">
        <v>0</v>
      </c>
      <c r="AA548" s="823">
        <v>0</v>
      </c>
      <c r="AN548" s="823">
        <v>0</v>
      </c>
      <c r="BD548" s="823">
        <v>0.05</v>
      </c>
    </row>
    <row r="549" spans="1:69" x14ac:dyDescent="0.35">
      <c r="A549" s="806" t="s">
        <v>789</v>
      </c>
      <c r="B549" s="806" t="s">
        <v>2341</v>
      </c>
      <c r="C549" s="806"/>
      <c r="D549" s="806"/>
      <c r="E549" s="806"/>
      <c r="F549" s="806"/>
      <c r="L549" s="823">
        <v>0</v>
      </c>
      <c r="AA549" s="823">
        <v>0</v>
      </c>
      <c r="BD549" s="823">
        <v>0.05</v>
      </c>
    </row>
    <row r="550" spans="1:69" x14ac:dyDescent="0.35">
      <c r="A550" s="806" t="s">
        <v>789</v>
      </c>
      <c r="B550" s="806" t="s">
        <v>2342</v>
      </c>
      <c r="C550" s="806"/>
      <c r="D550" s="806"/>
      <c r="E550" s="806"/>
      <c r="F550" s="806"/>
      <c r="L550" s="823">
        <v>0</v>
      </c>
      <c r="AA550" s="823">
        <v>0</v>
      </c>
    </row>
    <row r="551" spans="1:69" x14ac:dyDescent="0.35">
      <c r="A551" s="806" t="s">
        <v>789</v>
      </c>
      <c r="B551" s="806" t="s">
        <v>2343</v>
      </c>
      <c r="C551" s="806"/>
      <c r="D551" s="806"/>
      <c r="E551" s="806"/>
      <c r="F551" s="806"/>
      <c r="L551" s="823">
        <v>0</v>
      </c>
      <c r="AA551" s="823">
        <v>0</v>
      </c>
    </row>
    <row r="552" spans="1:69" x14ac:dyDescent="0.35">
      <c r="A552" s="806" t="s">
        <v>789</v>
      </c>
      <c r="B552" s="806" t="s">
        <v>2318</v>
      </c>
      <c r="C552" s="806"/>
      <c r="D552" s="806"/>
      <c r="E552" s="806"/>
      <c r="F552" s="806"/>
      <c r="L552" s="816" t="s">
        <v>2319</v>
      </c>
      <c r="AA552" s="816" t="s">
        <v>2517</v>
      </c>
      <c r="AB552" s="816" t="s">
        <v>2319</v>
      </c>
      <c r="AN552" s="816" t="s">
        <v>2517</v>
      </c>
      <c r="BK552" s="816" t="s">
        <v>2319</v>
      </c>
      <c r="BQ552" s="816" t="s">
        <v>2517</v>
      </c>
    </row>
    <row r="553" spans="1:69" x14ac:dyDescent="0.35">
      <c r="A553" s="806" t="s">
        <v>789</v>
      </c>
      <c r="B553" s="806" t="s">
        <v>2344</v>
      </c>
      <c r="C553" s="806"/>
      <c r="D553" s="806"/>
      <c r="E553" s="806"/>
      <c r="F553" s="806"/>
      <c r="L553" s="816" t="s">
        <v>2319</v>
      </c>
      <c r="AA553" s="816" t="s">
        <v>2517</v>
      </c>
      <c r="AB553" s="816" t="s">
        <v>2319</v>
      </c>
      <c r="AN553" s="816" t="s">
        <v>2319</v>
      </c>
      <c r="BA553" s="816"/>
      <c r="BD553" s="816" t="s">
        <v>2517</v>
      </c>
      <c r="BK553" s="816" t="s">
        <v>2319</v>
      </c>
      <c r="BQ553" s="816" t="s">
        <v>2319</v>
      </c>
    </row>
    <row r="554" spans="1:69" x14ac:dyDescent="0.35">
      <c r="A554" s="806" t="s">
        <v>789</v>
      </c>
      <c r="B554" s="806" t="s">
        <v>2345</v>
      </c>
      <c r="C554" s="806"/>
      <c r="D554" s="806"/>
      <c r="E554" s="806"/>
      <c r="F554" s="806"/>
      <c r="L554" s="816" t="s">
        <v>2517</v>
      </c>
      <c r="AA554" s="816" t="s">
        <v>2517</v>
      </c>
      <c r="AN554" s="816" t="s">
        <v>2517</v>
      </c>
      <c r="BD554" s="816" t="s">
        <v>2319</v>
      </c>
    </row>
    <row r="555" spans="1:69" x14ac:dyDescent="0.35">
      <c r="A555" s="806" t="s">
        <v>789</v>
      </c>
      <c r="B555" s="806" t="s">
        <v>2346</v>
      </c>
      <c r="C555" s="806"/>
      <c r="D555" s="806"/>
      <c r="E555" s="806"/>
      <c r="F555" s="806"/>
      <c r="L555" s="816" t="s">
        <v>2517</v>
      </c>
      <c r="AA555" s="816" t="s">
        <v>2517</v>
      </c>
      <c r="BD555" s="816" t="s">
        <v>2319</v>
      </c>
    </row>
    <row r="556" spans="1:69" x14ac:dyDescent="0.35">
      <c r="A556" s="806" t="s">
        <v>789</v>
      </c>
      <c r="B556" s="806" t="s">
        <v>2347</v>
      </c>
      <c r="C556" s="806"/>
      <c r="D556" s="806"/>
      <c r="E556" s="806"/>
      <c r="F556" s="806"/>
      <c r="L556" s="816" t="s">
        <v>2517</v>
      </c>
      <c r="AA556" s="816" t="s">
        <v>2517</v>
      </c>
    </row>
    <row r="557" spans="1:69" x14ac:dyDescent="0.35">
      <c r="A557" s="806" t="s">
        <v>789</v>
      </c>
      <c r="B557" s="806" t="s">
        <v>2348</v>
      </c>
      <c r="C557" s="806"/>
      <c r="D557" s="806"/>
      <c r="E557" s="806"/>
      <c r="F557" s="806"/>
      <c r="L557" s="816" t="s">
        <v>2517</v>
      </c>
      <c r="AA557" s="816"/>
    </row>
    <row r="558" spans="1:69" ht="29" x14ac:dyDescent="0.35">
      <c r="A558" s="806" t="s">
        <v>789</v>
      </c>
      <c r="B558" s="806" t="s">
        <v>2320</v>
      </c>
      <c r="C558" s="806"/>
      <c r="D558" s="806"/>
      <c r="E558" s="806"/>
      <c r="F558" s="806"/>
      <c r="L558" s="816" t="s">
        <v>2321</v>
      </c>
      <c r="AA558" s="816" t="s">
        <v>2517</v>
      </c>
      <c r="AB558" s="816" t="s">
        <v>2517</v>
      </c>
      <c r="AN558" s="816" t="s">
        <v>2517</v>
      </c>
      <c r="BA558" s="816"/>
      <c r="BD558" s="816" t="s">
        <v>2517</v>
      </c>
      <c r="BK558" s="816" t="s">
        <v>2517</v>
      </c>
      <c r="BQ558" s="816" t="s">
        <v>4307</v>
      </c>
    </row>
    <row r="559" spans="1:69" ht="29" x14ac:dyDescent="0.35">
      <c r="A559" s="806" t="s">
        <v>789</v>
      </c>
      <c r="B559" s="806" t="s">
        <v>2349</v>
      </c>
      <c r="C559" s="806"/>
      <c r="D559" s="806"/>
      <c r="E559" s="806"/>
      <c r="F559" s="806"/>
      <c r="L559" s="816" t="s">
        <v>2321</v>
      </c>
      <c r="AA559" s="816" t="s">
        <v>2517</v>
      </c>
      <c r="AB559" s="816" t="s">
        <v>2321</v>
      </c>
      <c r="AN559" s="816" t="s">
        <v>2321</v>
      </c>
      <c r="BA559" s="816"/>
      <c r="BD559" s="816" t="s">
        <v>2517</v>
      </c>
      <c r="BK559" s="816" t="s">
        <v>2321</v>
      </c>
      <c r="BQ559" s="816" t="s">
        <v>2321</v>
      </c>
    </row>
    <row r="560" spans="1:69" ht="29" x14ac:dyDescent="0.35">
      <c r="A560" s="806" t="s">
        <v>789</v>
      </c>
      <c r="B560" s="806" t="s">
        <v>2350</v>
      </c>
      <c r="C560" s="806"/>
      <c r="D560" s="806"/>
      <c r="E560" s="806"/>
      <c r="F560" s="806"/>
      <c r="L560" s="816" t="s">
        <v>2517</v>
      </c>
      <c r="AA560" s="816" t="s">
        <v>2517</v>
      </c>
      <c r="AN560" s="816" t="s">
        <v>2517</v>
      </c>
      <c r="BD560" s="816" t="s">
        <v>2321</v>
      </c>
    </row>
    <row r="561" spans="1:73" ht="29" x14ac:dyDescent="0.35">
      <c r="A561" s="806" t="s">
        <v>789</v>
      </c>
      <c r="B561" s="806" t="s">
        <v>2351</v>
      </c>
      <c r="C561" s="806"/>
      <c r="D561" s="806"/>
      <c r="E561" s="806"/>
      <c r="F561" s="806"/>
      <c r="L561" s="816" t="s">
        <v>2517</v>
      </c>
      <c r="AA561" s="816" t="s">
        <v>2517</v>
      </c>
      <c r="BD561" s="816" t="s">
        <v>2321</v>
      </c>
    </row>
    <row r="562" spans="1:73" ht="29" x14ac:dyDescent="0.35">
      <c r="A562" s="806" t="s">
        <v>789</v>
      </c>
      <c r="B562" s="806" t="s">
        <v>2352</v>
      </c>
      <c r="C562" s="806"/>
      <c r="D562" s="806"/>
      <c r="E562" s="806"/>
      <c r="F562" s="806"/>
      <c r="L562" s="816" t="s">
        <v>2517</v>
      </c>
      <c r="AA562" s="816" t="s">
        <v>2517</v>
      </c>
    </row>
    <row r="563" spans="1:73" ht="29" x14ac:dyDescent="0.35">
      <c r="A563" s="806" t="s">
        <v>789</v>
      </c>
      <c r="B563" s="806" t="s">
        <v>2353</v>
      </c>
      <c r="C563" s="806"/>
      <c r="D563" s="806"/>
      <c r="E563" s="806"/>
      <c r="F563" s="806"/>
      <c r="L563" s="816" t="s">
        <v>2517</v>
      </c>
      <c r="AA563" s="816"/>
    </row>
    <row r="564" spans="1:73" ht="29" x14ac:dyDescent="0.35">
      <c r="A564" s="806" t="s">
        <v>789</v>
      </c>
      <c r="B564" s="806" t="s">
        <v>2323</v>
      </c>
      <c r="C564" s="806"/>
      <c r="D564" s="806"/>
      <c r="E564" s="806"/>
      <c r="F564" s="806"/>
      <c r="L564" s="818">
        <v>20253</v>
      </c>
      <c r="AA564" s="818">
        <v>0</v>
      </c>
      <c r="AB564" s="818">
        <v>0</v>
      </c>
      <c r="AN564" s="818"/>
      <c r="BA564" s="818"/>
      <c r="BD564" s="818">
        <v>0</v>
      </c>
      <c r="BK564" s="818">
        <v>0</v>
      </c>
    </row>
    <row r="565" spans="1:73" ht="29" x14ac:dyDescent="0.35">
      <c r="A565" s="806" t="s">
        <v>789</v>
      </c>
      <c r="B565" s="806" t="s">
        <v>2359</v>
      </c>
      <c r="C565" s="806"/>
      <c r="D565" s="806"/>
      <c r="E565" s="806"/>
      <c r="F565" s="806"/>
      <c r="L565" s="818">
        <v>11112</v>
      </c>
      <c r="AA565" s="818">
        <v>0</v>
      </c>
      <c r="AB565" s="818">
        <v>93150</v>
      </c>
      <c r="AN565" s="818">
        <v>3300000</v>
      </c>
      <c r="BA565" s="818"/>
      <c r="BD565" s="818">
        <v>0</v>
      </c>
      <c r="BK565" s="818">
        <v>1684</v>
      </c>
    </row>
    <row r="566" spans="1:73" ht="29" x14ac:dyDescent="0.35">
      <c r="A566" s="806" t="s">
        <v>789</v>
      </c>
      <c r="B566" s="806" t="s">
        <v>2360</v>
      </c>
      <c r="C566" s="806"/>
      <c r="D566" s="806"/>
      <c r="E566" s="806"/>
      <c r="F566" s="806"/>
      <c r="L566" s="818">
        <v>0</v>
      </c>
      <c r="AA566" s="818">
        <v>0</v>
      </c>
      <c r="AN566" s="818"/>
      <c r="BD566" s="818">
        <v>12000</v>
      </c>
    </row>
    <row r="567" spans="1:73" ht="29" x14ac:dyDescent="0.35">
      <c r="A567" s="806" t="s">
        <v>789</v>
      </c>
      <c r="B567" s="806" t="s">
        <v>2361</v>
      </c>
      <c r="C567" s="806"/>
      <c r="D567" s="806"/>
      <c r="E567" s="806"/>
      <c r="F567" s="806"/>
      <c r="L567" s="818">
        <v>0</v>
      </c>
      <c r="AA567" s="818">
        <v>0</v>
      </c>
      <c r="BD567" s="818">
        <v>0</v>
      </c>
    </row>
    <row r="568" spans="1:73" ht="29" x14ac:dyDescent="0.35">
      <c r="A568" s="806" t="s">
        <v>789</v>
      </c>
      <c r="B568" s="806" t="s">
        <v>2362</v>
      </c>
      <c r="C568" s="806"/>
      <c r="D568" s="806"/>
      <c r="E568" s="806"/>
      <c r="F568" s="806"/>
      <c r="L568" s="818">
        <v>0</v>
      </c>
      <c r="AA568" s="818">
        <v>0</v>
      </c>
    </row>
    <row r="569" spans="1:73" ht="29" x14ac:dyDescent="0.35">
      <c r="A569" s="806" t="s">
        <v>789</v>
      </c>
      <c r="B569" s="806" t="s">
        <v>2363</v>
      </c>
      <c r="C569" s="806"/>
      <c r="D569" s="806"/>
      <c r="E569" s="806"/>
      <c r="F569" s="806"/>
      <c r="L569" s="818">
        <v>0</v>
      </c>
      <c r="AA569" s="818"/>
    </row>
    <row r="570" spans="1:73" x14ac:dyDescent="0.35">
      <c r="A570" s="806" t="s">
        <v>789</v>
      </c>
      <c r="B570" s="806" t="s">
        <v>920</v>
      </c>
      <c r="C570" s="806"/>
      <c r="D570" s="806"/>
      <c r="E570" s="806"/>
      <c r="F570" s="816" t="s">
        <v>1618</v>
      </c>
      <c r="I570" s="816"/>
      <c r="J570" s="816"/>
      <c r="K570" s="816"/>
      <c r="L570" s="816" t="s">
        <v>1618</v>
      </c>
      <c r="M570" s="816"/>
      <c r="N570" s="816"/>
      <c r="O570" s="816"/>
      <c r="P570" s="816"/>
      <c r="Q570" s="816"/>
      <c r="R570" s="816"/>
      <c r="S570" s="816"/>
      <c r="T570" s="816"/>
      <c r="U570" s="816"/>
      <c r="V570" s="816"/>
      <c r="W570" s="816"/>
      <c r="X570" s="816"/>
      <c r="Y570" s="816"/>
      <c r="Z570" s="816"/>
      <c r="AA570" s="816" t="s">
        <v>1618</v>
      </c>
      <c r="AB570" s="816" t="s">
        <v>1618</v>
      </c>
      <c r="AC570" s="816"/>
      <c r="AD570" s="816"/>
      <c r="AE570" s="816"/>
      <c r="AF570" s="816"/>
      <c r="AG570" s="816"/>
      <c r="AH570" s="816" t="s">
        <v>1618</v>
      </c>
      <c r="AI570" s="816"/>
      <c r="AJ570" s="816"/>
      <c r="AL570" s="816"/>
      <c r="AM570" s="816"/>
      <c r="AN570" s="816" t="s">
        <v>1618</v>
      </c>
      <c r="AO570" s="816"/>
      <c r="AP570" s="816"/>
      <c r="AQ570" s="816"/>
      <c r="AR570" s="816"/>
      <c r="AS570" s="816"/>
      <c r="AT570" s="816"/>
      <c r="AU570" s="816"/>
      <c r="AV570" s="816"/>
      <c r="AW570" s="816" t="s">
        <v>1618</v>
      </c>
      <c r="AX570" s="816" t="s">
        <v>1618</v>
      </c>
      <c r="AY570" s="816"/>
      <c r="AZ570" s="816" t="s">
        <v>1618</v>
      </c>
      <c r="BA570" s="816" t="s">
        <v>1618</v>
      </c>
      <c r="BC570" s="816"/>
      <c r="BD570" s="816" t="s">
        <v>1618</v>
      </c>
      <c r="BE570" s="816"/>
      <c r="BF570" s="816" t="s">
        <v>1618</v>
      </c>
      <c r="BG570" s="816"/>
      <c r="BH570" s="816"/>
      <c r="BI570" s="816"/>
      <c r="BJ570" s="816" t="s">
        <v>1618</v>
      </c>
      <c r="BK570" s="816" t="s">
        <v>1618</v>
      </c>
      <c r="BM570" s="816"/>
      <c r="BN570" s="816"/>
      <c r="BO570" s="816"/>
      <c r="BQ570" s="816" t="s">
        <v>1618</v>
      </c>
      <c r="BR570" s="816"/>
      <c r="BS570" s="816"/>
      <c r="BT570" s="816"/>
      <c r="BU570" s="816"/>
    </row>
    <row r="571" spans="1:73" ht="29" x14ac:dyDescent="0.35">
      <c r="A571" s="806" t="s">
        <v>789</v>
      </c>
      <c r="B571" s="806" t="s">
        <v>951</v>
      </c>
      <c r="C571" s="806"/>
      <c r="D571" s="806"/>
      <c r="E571" s="806"/>
      <c r="F571" s="816"/>
      <c r="I571" s="816"/>
      <c r="J571" s="816"/>
      <c r="K571" s="816"/>
      <c r="L571" s="816" t="s">
        <v>2648</v>
      </c>
      <c r="M571" s="816"/>
      <c r="N571" s="816"/>
      <c r="O571" s="816"/>
      <c r="P571" s="816"/>
      <c r="Q571" s="816"/>
      <c r="R571" s="816"/>
      <c r="S571" s="816"/>
      <c r="T571" s="816"/>
      <c r="U571" s="816"/>
      <c r="V571" s="816"/>
      <c r="W571" s="816"/>
      <c r="X571" s="816"/>
      <c r="Y571" s="816"/>
      <c r="Z571" s="816"/>
      <c r="AA571" s="816" t="s">
        <v>2978</v>
      </c>
      <c r="AB571" s="816" t="s">
        <v>3034</v>
      </c>
      <c r="AC571" s="816"/>
      <c r="AD571" s="816"/>
      <c r="AE571" s="816"/>
      <c r="AF571" s="816"/>
      <c r="AG571" s="816"/>
      <c r="AH571" s="816"/>
      <c r="AI571" s="816"/>
      <c r="AJ571" s="816"/>
      <c r="AL571" s="816"/>
      <c r="AM571" s="816"/>
      <c r="AN571" s="816" t="s">
        <v>3312</v>
      </c>
      <c r="AO571" s="816"/>
      <c r="AP571" s="816"/>
      <c r="AQ571" s="816"/>
      <c r="AR571" s="816"/>
      <c r="AS571" s="816"/>
      <c r="AT571" s="816"/>
      <c r="AU571" s="816"/>
      <c r="AV571" s="816"/>
      <c r="AW571" s="816" t="s">
        <v>3501</v>
      </c>
      <c r="AX571" s="816" t="s">
        <v>3501</v>
      </c>
      <c r="AY571" s="816"/>
      <c r="AZ571" s="816"/>
      <c r="BA571" s="816"/>
      <c r="BC571" s="816"/>
      <c r="BD571" s="816" t="s">
        <v>3705</v>
      </c>
      <c r="BE571" s="816"/>
      <c r="BF571" s="816"/>
      <c r="BG571" s="816"/>
      <c r="BH571" s="816"/>
      <c r="BI571" s="816"/>
      <c r="BJ571" s="816"/>
      <c r="BK571" s="816" t="s">
        <v>3996</v>
      </c>
      <c r="BM571" s="816"/>
      <c r="BN571" s="816"/>
      <c r="BO571" s="816"/>
      <c r="BQ571" s="816" t="s">
        <v>4293</v>
      </c>
      <c r="BR571" s="816"/>
      <c r="BS571" s="816"/>
      <c r="BT571" s="816"/>
      <c r="BU571" s="816"/>
    </row>
    <row r="572" spans="1:73" ht="29" x14ac:dyDescent="0.35">
      <c r="A572" s="806" t="s">
        <v>789</v>
      </c>
      <c r="B572" s="806" t="s">
        <v>952</v>
      </c>
      <c r="C572" s="806"/>
      <c r="D572" s="806"/>
      <c r="E572" s="806"/>
      <c r="F572" s="816"/>
      <c r="I572" s="816"/>
      <c r="J572" s="816"/>
      <c r="K572" s="816"/>
      <c r="L572" s="816" t="s">
        <v>2649</v>
      </c>
      <c r="M572" s="816"/>
      <c r="N572" s="816"/>
      <c r="O572" s="816"/>
      <c r="P572" s="816"/>
      <c r="Q572" s="816"/>
      <c r="R572" s="816"/>
      <c r="S572" s="816"/>
      <c r="T572" s="816"/>
      <c r="U572" s="816"/>
      <c r="V572" s="816"/>
      <c r="W572" s="816"/>
      <c r="X572" s="816"/>
      <c r="Y572" s="816"/>
      <c r="Z572" s="816"/>
      <c r="AA572" s="816" t="s">
        <v>2979</v>
      </c>
      <c r="AB572" s="816"/>
      <c r="AC572" s="816"/>
      <c r="AD572" s="816"/>
      <c r="AE572" s="816"/>
      <c r="AF572" s="816"/>
      <c r="AG572" s="816"/>
      <c r="AH572" s="816"/>
      <c r="AI572" s="816"/>
      <c r="AJ572" s="816"/>
      <c r="AL572" s="816"/>
      <c r="AM572" s="816"/>
      <c r="AN572" s="816" t="s">
        <v>3312</v>
      </c>
      <c r="AO572" s="816"/>
      <c r="AP572" s="816"/>
      <c r="AQ572" s="816"/>
      <c r="AR572" s="816"/>
      <c r="AS572" s="816"/>
      <c r="AT572" s="816"/>
      <c r="AU572" s="816"/>
      <c r="AV572" s="816"/>
      <c r="AW572" s="816" t="s">
        <v>3498</v>
      </c>
      <c r="AX572" s="816" t="s">
        <v>3529</v>
      </c>
      <c r="AY572" s="816"/>
      <c r="AZ572" s="816"/>
      <c r="BA572" s="816"/>
      <c r="BC572" s="816"/>
      <c r="BD572" s="816" t="s">
        <v>3706</v>
      </c>
      <c r="BE572" s="816"/>
      <c r="BF572" s="816"/>
      <c r="BG572" s="816"/>
      <c r="BH572" s="816"/>
      <c r="BI572" s="816"/>
      <c r="BJ572" s="816"/>
      <c r="BK572" s="816"/>
      <c r="BM572" s="816"/>
      <c r="BN572" s="816"/>
      <c r="BO572" s="816"/>
      <c r="BQ572" s="816"/>
      <c r="BR572" s="816"/>
      <c r="BS572" s="816"/>
      <c r="BT572" s="816"/>
      <c r="BU572" s="816"/>
    </row>
    <row r="573" spans="1:73" x14ac:dyDescent="0.35">
      <c r="A573" s="806" t="s">
        <v>789</v>
      </c>
      <c r="B573" s="806" t="s">
        <v>953</v>
      </c>
      <c r="C573" s="806"/>
      <c r="D573" s="806"/>
      <c r="E573" s="806"/>
      <c r="F573" s="816"/>
      <c r="I573" s="816"/>
      <c r="J573" s="816"/>
      <c r="K573" s="816"/>
      <c r="L573" s="816" t="s">
        <v>2650</v>
      </c>
      <c r="M573" s="816"/>
      <c r="N573" s="816"/>
      <c r="O573" s="816"/>
      <c r="P573" s="816"/>
      <c r="Q573" s="816"/>
      <c r="R573" s="816"/>
      <c r="S573" s="816"/>
      <c r="T573" s="816"/>
      <c r="U573" s="816"/>
      <c r="V573" s="816"/>
      <c r="W573" s="816"/>
      <c r="X573" s="816"/>
      <c r="Y573" s="816"/>
      <c r="Z573" s="816"/>
      <c r="AA573" s="816" t="s">
        <v>2973</v>
      </c>
      <c r="AB573" s="816"/>
      <c r="AC573" s="816"/>
      <c r="AD573" s="816"/>
      <c r="AE573" s="816"/>
      <c r="AF573" s="816"/>
      <c r="AG573" s="816"/>
      <c r="AH573" s="816"/>
      <c r="AI573" s="816"/>
      <c r="AJ573" s="816"/>
      <c r="AL573" s="816"/>
      <c r="AM573" s="816"/>
      <c r="AN573" s="816"/>
      <c r="AO573" s="816"/>
      <c r="AP573" s="816"/>
      <c r="AQ573" s="816"/>
      <c r="AR573" s="816"/>
      <c r="AS573" s="816"/>
      <c r="AT573" s="816"/>
      <c r="AU573" s="816"/>
      <c r="AV573" s="816"/>
      <c r="AW573" s="816" t="s">
        <v>3502</v>
      </c>
      <c r="AX573" s="816" t="s">
        <v>3530</v>
      </c>
      <c r="AY573" s="816"/>
      <c r="AZ573" s="816"/>
      <c r="BA573" s="816"/>
      <c r="BC573" s="816"/>
      <c r="BD573" s="816" t="s">
        <v>3707</v>
      </c>
      <c r="BE573" s="816"/>
      <c r="BF573" s="816"/>
      <c r="BG573" s="816"/>
      <c r="BH573" s="816"/>
      <c r="BI573" s="816"/>
      <c r="BJ573" s="816"/>
      <c r="BK573" s="816"/>
      <c r="BM573" s="816"/>
      <c r="BN573" s="816"/>
      <c r="BO573" s="816"/>
      <c r="BQ573" s="816"/>
      <c r="BR573" s="816"/>
      <c r="BS573" s="816"/>
      <c r="BT573" s="816"/>
      <c r="BU573" s="816"/>
    </row>
    <row r="574" spans="1:73" ht="29" x14ac:dyDescent="0.35">
      <c r="A574" s="806" t="s">
        <v>789</v>
      </c>
      <c r="B574" s="806" t="s">
        <v>954</v>
      </c>
      <c r="C574" s="806"/>
      <c r="D574" s="806"/>
      <c r="E574" s="806"/>
      <c r="F574" s="816"/>
      <c r="I574" s="816"/>
      <c r="J574" s="816"/>
      <c r="K574" s="816"/>
      <c r="L574" s="816" t="s">
        <v>2651</v>
      </c>
      <c r="M574" s="816"/>
      <c r="N574" s="816"/>
      <c r="O574" s="816"/>
      <c r="P574" s="816"/>
      <c r="Q574" s="816"/>
      <c r="R574" s="816"/>
      <c r="S574" s="816"/>
      <c r="T574" s="816"/>
      <c r="U574" s="816"/>
      <c r="V574" s="816"/>
      <c r="W574" s="816"/>
      <c r="X574" s="816"/>
      <c r="Y574" s="816"/>
      <c r="Z574" s="816"/>
      <c r="AA574" s="816" t="s">
        <v>2980</v>
      </c>
      <c r="AB574" s="816"/>
      <c r="AC574" s="816"/>
      <c r="AD574" s="816"/>
      <c r="AE574" s="816"/>
      <c r="AF574" s="816"/>
      <c r="AG574" s="816"/>
      <c r="AH574" s="816"/>
      <c r="AI574" s="816"/>
      <c r="AJ574" s="816"/>
      <c r="AL574" s="816"/>
      <c r="AM574" s="816"/>
      <c r="AN574" s="816"/>
      <c r="AO574" s="816"/>
      <c r="AP574" s="816"/>
      <c r="AQ574" s="816"/>
      <c r="AR574" s="816"/>
      <c r="AS574" s="816"/>
      <c r="AT574" s="816"/>
      <c r="AU574" s="816"/>
      <c r="AV574" s="816"/>
      <c r="AW574" s="816" t="s">
        <v>3500</v>
      </c>
      <c r="AX574" s="816" t="s">
        <v>3533</v>
      </c>
      <c r="AY574" s="816"/>
      <c r="AZ574" s="816"/>
      <c r="BA574" s="816"/>
      <c r="BC574" s="816"/>
      <c r="BD574" s="816"/>
      <c r="BE574" s="816"/>
      <c r="BF574" s="816"/>
      <c r="BG574" s="816"/>
      <c r="BH574" s="816"/>
      <c r="BI574" s="816"/>
      <c r="BJ574" s="816"/>
      <c r="BK574" s="816"/>
      <c r="BM574" s="816"/>
      <c r="BN574" s="816"/>
      <c r="BO574" s="816"/>
      <c r="BQ574" s="816"/>
      <c r="BR574" s="816"/>
      <c r="BS574" s="816"/>
      <c r="BT574" s="816"/>
      <c r="BU574" s="816"/>
    </row>
    <row r="575" spans="1:73" x14ac:dyDescent="0.35">
      <c r="A575" s="806" t="s">
        <v>789</v>
      </c>
      <c r="B575" s="806" t="s">
        <v>955</v>
      </c>
      <c r="C575" s="806"/>
      <c r="D575" s="806"/>
      <c r="E575" s="806"/>
      <c r="F575" s="816"/>
      <c r="I575" s="816"/>
      <c r="J575" s="816"/>
      <c r="K575" s="816"/>
      <c r="L575" s="816" t="s">
        <v>2652</v>
      </c>
      <c r="M575" s="816"/>
      <c r="N575" s="816"/>
      <c r="O575" s="816"/>
      <c r="P575" s="816"/>
      <c r="Q575" s="816"/>
      <c r="R575" s="816"/>
      <c r="S575" s="816"/>
      <c r="T575" s="816"/>
      <c r="U575" s="816"/>
      <c r="V575" s="816"/>
      <c r="W575" s="816"/>
      <c r="X575" s="816"/>
      <c r="Y575" s="816"/>
      <c r="Z575" s="816"/>
      <c r="AA575" s="816"/>
      <c r="AB575" s="816"/>
      <c r="AC575" s="816"/>
      <c r="AD575" s="816"/>
      <c r="AE575" s="816"/>
      <c r="AF575" s="816"/>
      <c r="AG575" s="816"/>
      <c r="AH575" s="816"/>
      <c r="AI575" s="816"/>
      <c r="AJ575" s="816"/>
      <c r="AL575" s="816"/>
      <c r="AM575" s="816"/>
      <c r="AN575" s="816"/>
      <c r="AO575" s="816"/>
      <c r="AP575" s="816"/>
      <c r="AQ575" s="816"/>
      <c r="AR575" s="816"/>
      <c r="AS575" s="816"/>
      <c r="AT575" s="816"/>
      <c r="AU575" s="816"/>
      <c r="AV575" s="816"/>
      <c r="AW575" s="816"/>
      <c r="AX575" s="816" t="s">
        <v>3534</v>
      </c>
      <c r="AY575" s="816"/>
      <c r="AZ575" s="816"/>
      <c r="BA575" s="816"/>
      <c r="BC575" s="816"/>
      <c r="BD575" s="816"/>
      <c r="BE575" s="816"/>
      <c r="BF575" s="816"/>
      <c r="BG575" s="816"/>
      <c r="BH575" s="816"/>
      <c r="BI575" s="816"/>
      <c r="BJ575" s="816"/>
      <c r="BK575" s="816"/>
      <c r="BM575" s="816"/>
      <c r="BN575" s="816"/>
      <c r="BO575" s="816"/>
      <c r="BQ575" s="816"/>
      <c r="BR575" s="816"/>
      <c r="BS575" s="816"/>
      <c r="BT575" s="816"/>
      <c r="BU575" s="816"/>
    </row>
    <row r="576" spans="1:73" ht="29" x14ac:dyDescent="0.35">
      <c r="A576" s="806" t="s">
        <v>789</v>
      </c>
      <c r="B576" s="806" t="s">
        <v>2371</v>
      </c>
      <c r="C576" s="806"/>
      <c r="D576" s="806"/>
      <c r="E576" s="806"/>
      <c r="F576" s="806"/>
      <c r="AA576" s="818">
        <v>1773068</v>
      </c>
      <c r="AB576" s="818">
        <v>1518000</v>
      </c>
    </row>
    <row r="577" spans="1:63" ht="29" x14ac:dyDescent="0.35">
      <c r="A577" s="806" t="s">
        <v>789</v>
      </c>
      <c r="B577" s="806" t="s">
        <v>2373</v>
      </c>
      <c r="C577" s="806"/>
      <c r="D577" s="806"/>
      <c r="E577" s="806"/>
      <c r="F577" s="806"/>
      <c r="AA577" s="818">
        <v>3500000</v>
      </c>
    </row>
    <row r="578" spans="1:63" ht="29" x14ac:dyDescent="0.35">
      <c r="A578" s="806" t="s">
        <v>789</v>
      </c>
      <c r="B578" s="806" t="s">
        <v>2374</v>
      </c>
      <c r="C578" s="806"/>
      <c r="D578" s="806"/>
      <c r="E578" s="806"/>
      <c r="F578" s="806"/>
      <c r="AA578" s="818">
        <v>1585775</v>
      </c>
    </row>
    <row r="579" spans="1:63" x14ac:dyDescent="0.35">
      <c r="A579" s="806" t="s">
        <v>789</v>
      </c>
      <c r="B579" s="806" t="s">
        <v>2406</v>
      </c>
      <c r="C579" s="806"/>
      <c r="D579" s="806"/>
      <c r="E579" s="806"/>
      <c r="F579" s="806"/>
      <c r="AA579" s="818">
        <v>51116</v>
      </c>
    </row>
    <row r="580" spans="1:63" ht="29" x14ac:dyDescent="0.35">
      <c r="A580" s="806" t="s">
        <v>789</v>
      </c>
      <c r="B580" s="806" t="s">
        <v>2183</v>
      </c>
      <c r="C580" s="806"/>
      <c r="D580" s="806"/>
      <c r="E580" s="806"/>
      <c r="F580" s="816" t="s">
        <v>2523</v>
      </c>
      <c r="L580" s="816" t="s">
        <v>2687</v>
      </c>
      <c r="AA580" s="816" t="s">
        <v>2999</v>
      </c>
      <c r="AB580" s="816" t="s">
        <v>3051</v>
      </c>
      <c r="AH580" s="816"/>
      <c r="AN580" s="816" t="s">
        <v>3338</v>
      </c>
      <c r="BD580" s="816" t="s">
        <v>3735</v>
      </c>
      <c r="BK580" s="816" t="s">
        <v>4078</v>
      </c>
    </row>
    <row r="581" spans="1:63" x14ac:dyDescent="0.35">
      <c r="A581" s="806" t="s">
        <v>789</v>
      </c>
      <c r="B581" s="806" t="s">
        <v>2185</v>
      </c>
      <c r="C581" s="806"/>
      <c r="D581" s="806"/>
      <c r="E581" s="806"/>
      <c r="F581" s="818">
        <v>597625</v>
      </c>
      <c r="AB581" s="818"/>
      <c r="AH581" s="818"/>
      <c r="AN581" s="818">
        <v>144016</v>
      </c>
      <c r="BD581" s="818">
        <v>100000</v>
      </c>
    </row>
    <row r="582" spans="1:63" x14ac:dyDescent="0.35">
      <c r="A582" s="806" t="s">
        <v>789</v>
      </c>
      <c r="B582" s="806" t="s">
        <v>2188</v>
      </c>
      <c r="C582" s="806"/>
      <c r="D582" s="806"/>
      <c r="E582" s="806"/>
      <c r="F582" s="806"/>
      <c r="L582" s="818">
        <v>24000</v>
      </c>
      <c r="AA582" s="818"/>
      <c r="AN582" s="818">
        <v>27000</v>
      </c>
      <c r="BD582" s="818">
        <v>100000</v>
      </c>
    </row>
    <row r="583" spans="1:63" x14ac:dyDescent="0.35">
      <c r="A583" s="806" t="s">
        <v>789</v>
      </c>
      <c r="B583" s="806" t="s">
        <v>2191</v>
      </c>
      <c r="C583" s="806"/>
      <c r="D583" s="806"/>
      <c r="E583" s="806"/>
      <c r="F583" s="806"/>
      <c r="AB583" s="818">
        <v>7500</v>
      </c>
      <c r="BD583" s="818">
        <v>300000</v>
      </c>
    </row>
    <row r="584" spans="1:63" x14ac:dyDescent="0.35">
      <c r="A584" s="806" t="s">
        <v>789</v>
      </c>
      <c r="B584" s="806" t="s">
        <v>2193</v>
      </c>
      <c r="C584" s="806"/>
      <c r="D584" s="806"/>
      <c r="E584" s="806"/>
      <c r="F584" s="806"/>
      <c r="AA584" s="818">
        <v>4500000</v>
      </c>
      <c r="BK584" s="818">
        <v>20568</v>
      </c>
    </row>
    <row r="585" spans="1:63" x14ac:dyDescent="0.35">
      <c r="A585" s="806" t="s">
        <v>789</v>
      </c>
      <c r="B585" s="806" t="s">
        <v>2194</v>
      </c>
      <c r="C585" s="806"/>
      <c r="D585" s="806"/>
      <c r="E585" s="806"/>
      <c r="F585" s="806"/>
      <c r="AA585" s="818">
        <v>90971</v>
      </c>
      <c r="BK585" s="818"/>
    </row>
    <row r="586" spans="1:63" x14ac:dyDescent="0.35">
      <c r="A586" s="806" t="s">
        <v>789</v>
      </c>
      <c r="B586" s="806" t="s">
        <v>2182</v>
      </c>
      <c r="C586" s="806"/>
      <c r="D586" s="806"/>
      <c r="E586" s="806"/>
      <c r="F586" s="816" t="s">
        <v>2524</v>
      </c>
      <c r="L586" s="816" t="s">
        <v>2688</v>
      </c>
      <c r="AA586" s="816" t="s">
        <v>3000</v>
      </c>
      <c r="AB586" s="816" t="s">
        <v>3052</v>
      </c>
      <c r="AN586" s="816"/>
      <c r="BD586" s="816" t="s">
        <v>3736</v>
      </c>
    </row>
    <row r="587" spans="1:63" x14ac:dyDescent="0.35">
      <c r="A587" s="806" t="s">
        <v>789</v>
      </c>
      <c r="B587" s="806" t="s">
        <v>2186</v>
      </c>
      <c r="C587" s="806"/>
      <c r="D587" s="806"/>
      <c r="E587" s="806"/>
      <c r="F587" s="818">
        <v>44600</v>
      </c>
    </row>
    <row r="588" spans="1:63" x14ac:dyDescent="0.35">
      <c r="A588" s="806" t="s">
        <v>789</v>
      </c>
      <c r="B588" s="806" t="s">
        <v>2189</v>
      </c>
      <c r="C588" s="806"/>
      <c r="D588" s="806"/>
      <c r="E588" s="806"/>
      <c r="F588" s="806"/>
      <c r="L588" s="818">
        <v>25500</v>
      </c>
      <c r="AA588" s="818">
        <v>1000000</v>
      </c>
      <c r="AB588" s="818"/>
      <c r="BD588" s="818">
        <v>150000</v>
      </c>
    </row>
    <row r="589" spans="1:63" x14ac:dyDescent="0.35">
      <c r="A589" s="806" t="s">
        <v>789</v>
      </c>
      <c r="B589" s="806" t="s">
        <v>2195</v>
      </c>
      <c r="C589" s="806"/>
      <c r="D589" s="806"/>
      <c r="E589" s="806"/>
      <c r="F589" s="806"/>
      <c r="AA589" s="818">
        <v>590225</v>
      </c>
    </row>
    <row r="590" spans="1:63" ht="29" x14ac:dyDescent="0.35">
      <c r="A590" s="806" t="s">
        <v>789</v>
      </c>
      <c r="B590" s="806" t="s">
        <v>2184</v>
      </c>
      <c r="C590" s="806"/>
      <c r="D590" s="806"/>
      <c r="E590" s="806"/>
      <c r="F590" s="816" t="s">
        <v>2531</v>
      </c>
      <c r="L590" s="816" t="s">
        <v>2689</v>
      </c>
      <c r="AA590" s="816" t="s">
        <v>3011</v>
      </c>
      <c r="AB590" s="816" t="s">
        <v>3053</v>
      </c>
      <c r="BD590" s="816" t="s">
        <v>3738</v>
      </c>
    </row>
    <row r="591" spans="1:63" x14ac:dyDescent="0.35">
      <c r="A591" s="806" t="s">
        <v>789</v>
      </c>
      <c r="B591" s="806" t="s">
        <v>2187</v>
      </c>
      <c r="C591" s="806"/>
      <c r="D591" s="806"/>
      <c r="E591" s="806"/>
      <c r="F591" s="818">
        <v>175120</v>
      </c>
    </row>
    <row r="592" spans="1:63" x14ac:dyDescent="0.35">
      <c r="A592" s="806" t="s">
        <v>789</v>
      </c>
      <c r="B592" s="806" t="s">
        <v>2190</v>
      </c>
      <c r="C592" s="806"/>
      <c r="D592" s="806"/>
      <c r="E592" s="806"/>
      <c r="F592" s="806"/>
      <c r="L592" s="818">
        <v>32087</v>
      </c>
      <c r="AB592" s="818"/>
    </row>
    <row r="593" spans="1:73" x14ac:dyDescent="0.35">
      <c r="A593" s="806" t="s">
        <v>789</v>
      </c>
      <c r="B593" s="806" t="s">
        <v>2192</v>
      </c>
      <c r="C593" s="806"/>
      <c r="D593" s="806"/>
      <c r="E593" s="806"/>
      <c r="F593" s="806"/>
      <c r="AB593" s="818">
        <v>10425</v>
      </c>
    </row>
    <row r="594" spans="1:73" x14ac:dyDescent="0.35">
      <c r="A594" s="806" t="s">
        <v>789</v>
      </c>
      <c r="B594" s="806" t="s">
        <v>2196</v>
      </c>
      <c r="C594" s="806"/>
      <c r="D594" s="806"/>
      <c r="E594" s="806"/>
      <c r="F594" s="806"/>
      <c r="AA594" s="818">
        <v>157822</v>
      </c>
      <c r="BD594" s="818">
        <v>450000</v>
      </c>
    </row>
    <row r="595" spans="1:73" x14ac:dyDescent="0.35">
      <c r="A595" s="806" t="s">
        <v>789</v>
      </c>
      <c r="B595" s="806" t="s">
        <v>1140</v>
      </c>
      <c r="C595" s="806"/>
      <c r="D595" s="806"/>
      <c r="E595" s="806"/>
      <c r="F595" s="818">
        <v>1600000</v>
      </c>
      <c r="I595" s="818"/>
      <c r="J595" s="818"/>
      <c r="K595" s="818"/>
      <c r="M595" s="818"/>
      <c r="N595" s="818"/>
      <c r="O595" s="818"/>
      <c r="P595" s="818"/>
      <c r="Q595" s="818"/>
      <c r="S595" s="818"/>
      <c r="T595" s="818"/>
      <c r="U595" s="818"/>
      <c r="V595" s="818"/>
      <c r="W595" s="818"/>
      <c r="X595" s="818"/>
      <c r="Z595" s="818"/>
      <c r="AA595" s="818">
        <v>0</v>
      </c>
      <c r="AB595" s="818">
        <v>1000000</v>
      </c>
      <c r="AC595" s="818"/>
      <c r="AD595" s="818"/>
      <c r="AE595" s="818"/>
      <c r="AF595" s="818"/>
      <c r="AG595" s="818"/>
      <c r="AH595" s="818">
        <v>3250000</v>
      </c>
      <c r="AI595" s="818"/>
      <c r="AJ595" s="818"/>
      <c r="AL595" s="818"/>
      <c r="AN595" s="818">
        <v>1584172</v>
      </c>
      <c r="AP595" s="818"/>
      <c r="AQ595" s="818"/>
      <c r="AR595" s="818"/>
      <c r="AS595" s="818"/>
      <c r="AT595" s="818"/>
      <c r="AU595" s="818"/>
      <c r="AV595" s="818"/>
      <c r="AW595" s="818"/>
      <c r="AX595" s="818"/>
      <c r="AY595" s="818"/>
      <c r="AZ595" s="818"/>
      <c r="BA595" s="818">
        <v>0</v>
      </c>
      <c r="BC595" s="818"/>
      <c r="BD595" s="818">
        <v>2000000</v>
      </c>
      <c r="BE595" s="818"/>
      <c r="BF595" s="818"/>
      <c r="BG595" s="818"/>
      <c r="BH595" s="818"/>
      <c r="BI595" s="818"/>
      <c r="BJ595" s="818"/>
      <c r="BK595" s="818">
        <v>0</v>
      </c>
      <c r="BM595" s="818"/>
      <c r="BN595" s="818"/>
      <c r="BO595" s="818"/>
      <c r="BQ595" s="818">
        <v>10000000</v>
      </c>
      <c r="BR595" s="818"/>
      <c r="BS595" s="818"/>
      <c r="BT595" s="818"/>
      <c r="BU595" s="818"/>
    </row>
    <row r="596" spans="1:73" x14ac:dyDescent="0.35">
      <c r="A596" s="806" t="s">
        <v>789</v>
      </c>
      <c r="B596" s="806" t="s">
        <v>2095</v>
      </c>
      <c r="C596" s="806"/>
      <c r="D596" s="806"/>
      <c r="E596" s="806"/>
      <c r="F596" s="818">
        <v>13963</v>
      </c>
      <c r="L596" s="818">
        <v>1000000</v>
      </c>
      <c r="AA596" s="818">
        <v>5718068</v>
      </c>
      <c r="AB596" s="818">
        <v>695000</v>
      </c>
      <c r="AH596" s="818">
        <v>1000000</v>
      </c>
      <c r="AN596" s="818">
        <v>300000</v>
      </c>
      <c r="AW596" s="818"/>
      <c r="AX596" s="818">
        <v>473326</v>
      </c>
      <c r="BA596" s="818">
        <v>130000</v>
      </c>
      <c r="BD596" s="818">
        <v>999000</v>
      </c>
      <c r="BK596" s="818">
        <v>923625</v>
      </c>
      <c r="BQ596" s="818"/>
    </row>
    <row r="597" spans="1:73" x14ac:dyDescent="0.35">
      <c r="A597" s="806" t="s">
        <v>789</v>
      </c>
      <c r="B597" s="806" t="s">
        <v>2096</v>
      </c>
      <c r="C597" s="806"/>
      <c r="D597" s="806"/>
      <c r="E597" s="806"/>
      <c r="F597" s="818"/>
      <c r="L597" s="818">
        <v>1398000</v>
      </c>
      <c r="AA597" s="818">
        <v>5293694</v>
      </c>
      <c r="AB597" s="818">
        <v>3512078</v>
      </c>
      <c r="AH597" s="818">
        <v>750000</v>
      </c>
      <c r="AN597" s="818"/>
      <c r="AW597" s="818"/>
      <c r="BD597" s="818">
        <v>1000000</v>
      </c>
      <c r="BK597" s="818">
        <v>440816</v>
      </c>
      <c r="BQ597" s="818"/>
    </row>
    <row r="598" spans="1:73" x14ac:dyDescent="0.35">
      <c r="A598" s="806" t="s">
        <v>789</v>
      </c>
      <c r="B598" s="806" t="s">
        <v>2097</v>
      </c>
      <c r="C598" s="806"/>
      <c r="D598" s="806"/>
      <c r="E598" s="806"/>
      <c r="F598" s="806"/>
      <c r="AA598" s="818">
        <v>5000000</v>
      </c>
      <c r="AW598" s="818"/>
      <c r="BD598" s="818">
        <v>2200000</v>
      </c>
      <c r="BK598" s="818">
        <v>341981</v>
      </c>
    </row>
    <row r="599" spans="1:73" x14ac:dyDescent="0.35">
      <c r="A599" s="806" t="s">
        <v>789</v>
      </c>
      <c r="B599" s="806" t="s">
        <v>2098</v>
      </c>
      <c r="C599" s="806"/>
      <c r="D599" s="806"/>
      <c r="E599" s="806"/>
      <c r="F599" s="806"/>
      <c r="AA599" s="818">
        <v>3352315</v>
      </c>
      <c r="AW599" s="818"/>
      <c r="BD599" s="818">
        <v>2400000</v>
      </c>
      <c r="BK599" s="818"/>
    </row>
    <row r="600" spans="1:73" x14ac:dyDescent="0.35">
      <c r="A600" s="806" t="s">
        <v>789</v>
      </c>
      <c r="B600" s="806" t="s">
        <v>2132</v>
      </c>
      <c r="C600" s="806"/>
      <c r="D600" s="806"/>
      <c r="E600" s="806"/>
      <c r="F600" s="818">
        <v>35000</v>
      </c>
      <c r="AA600" s="818"/>
      <c r="AB600" s="818"/>
      <c r="AH600" s="818">
        <v>40000</v>
      </c>
      <c r="AN600" s="818"/>
      <c r="AX600" s="818"/>
      <c r="BD600" s="818">
        <v>900000</v>
      </c>
      <c r="BK600" s="818"/>
      <c r="BQ600" s="818">
        <v>136570</v>
      </c>
    </row>
    <row r="601" spans="1:73" x14ac:dyDescent="0.35">
      <c r="A601" s="806" t="s">
        <v>789</v>
      </c>
      <c r="B601" s="806" t="s">
        <v>2133</v>
      </c>
      <c r="C601" s="806"/>
      <c r="D601" s="806"/>
      <c r="E601" s="806"/>
      <c r="F601" s="806"/>
      <c r="L601" s="818">
        <v>434513</v>
      </c>
      <c r="AA601" s="818">
        <v>472500</v>
      </c>
      <c r="AN601" s="818">
        <v>86700</v>
      </c>
      <c r="AX601" s="818">
        <v>186663</v>
      </c>
      <c r="BD601" s="818">
        <v>600000</v>
      </c>
    </row>
    <row r="602" spans="1:73" x14ac:dyDescent="0.35">
      <c r="A602" s="806" t="s">
        <v>789</v>
      </c>
      <c r="B602" s="806" t="s">
        <v>2134</v>
      </c>
      <c r="C602" s="806"/>
      <c r="D602" s="806"/>
      <c r="E602" s="806"/>
      <c r="F602" s="806"/>
      <c r="AA602" s="818">
        <v>500000</v>
      </c>
      <c r="AW602" s="818"/>
      <c r="BD602" s="818">
        <v>450000</v>
      </c>
    </row>
    <row r="603" spans="1:73" x14ac:dyDescent="0.35">
      <c r="A603" s="806" t="s">
        <v>789</v>
      </c>
      <c r="B603" s="806" t="s">
        <v>2135</v>
      </c>
      <c r="C603" s="806"/>
      <c r="D603" s="806"/>
      <c r="E603" s="806"/>
      <c r="F603" s="806"/>
      <c r="AA603" s="818"/>
      <c r="BK603" s="818">
        <v>48000</v>
      </c>
    </row>
    <row r="604" spans="1:73" x14ac:dyDescent="0.35">
      <c r="A604" s="806" t="s">
        <v>789</v>
      </c>
      <c r="B604" s="806" t="s">
        <v>2136</v>
      </c>
      <c r="C604" s="806"/>
      <c r="D604" s="806"/>
      <c r="E604" s="806"/>
      <c r="F604" s="806"/>
      <c r="AA604" s="818">
        <v>135284</v>
      </c>
    </row>
    <row r="605" spans="1:73" ht="29" x14ac:dyDescent="0.35">
      <c r="A605" s="806" t="s">
        <v>789</v>
      </c>
      <c r="B605" s="806" t="s">
        <v>2165</v>
      </c>
      <c r="C605" s="806"/>
      <c r="D605" s="806"/>
      <c r="E605" s="806"/>
      <c r="F605" s="806"/>
      <c r="BD605" s="818">
        <v>100000</v>
      </c>
      <c r="BQ605" s="818">
        <v>0</v>
      </c>
    </row>
    <row r="606" spans="1:73" ht="29" x14ac:dyDescent="0.35">
      <c r="A606" s="806" t="s">
        <v>789</v>
      </c>
      <c r="B606" s="806" t="s">
        <v>2171</v>
      </c>
      <c r="C606" s="806"/>
      <c r="D606" s="806"/>
      <c r="E606" s="806"/>
      <c r="F606" s="806"/>
      <c r="AA606" s="818">
        <v>1000</v>
      </c>
    </row>
    <row r="607" spans="1:73" ht="29" x14ac:dyDescent="0.35">
      <c r="A607" s="806" t="s">
        <v>789</v>
      </c>
      <c r="B607" s="806" t="s">
        <v>2126</v>
      </c>
      <c r="C607" s="806"/>
      <c r="D607" s="806"/>
      <c r="E607" s="806"/>
      <c r="F607" s="806"/>
      <c r="AN607" s="818"/>
      <c r="BD607" s="818"/>
      <c r="BQ607" s="818">
        <v>0</v>
      </c>
    </row>
    <row r="608" spans="1:73" ht="29" x14ac:dyDescent="0.35">
      <c r="A608" s="806" t="s">
        <v>789</v>
      </c>
      <c r="B608" s="806" t="s">
        <v>2127</v>
      </c>
      <c r="C608" s="806"/>
      <c r="D608" s="806"/>
      <c r="E608" s="806"/>
      <c r="F608" s="818">
        <v>13963</v>
      </c>
      <c r="L608" s="818">
        <v>240000</v>
      </c>
      <c r="AN608" s="818"/>
      <c r="AW608" s="818"/>
    </row>
    <row r="609" spans="1:73" ht="29" x14ac:dyDescent="0.35">
      <c r="A609" s="806" t="s">
        <v>789</v>
      </c>
      <c r="B609" s="806" t="s">
        <v>2130</v>
      </c>
      <c r="C609" s="806"/>
      <c r="D609" s="806"/>
      <c r="E609" s="806"/>
      <c r="F609" s="806"/>
      <c r="AA609" s="818">
        <v>701000</v>
      </c>
      <c r="BD609" s="818">
        <v>300000</v>
      </c>
    </row>
    <row r="610" spans="1:73" x14ac:dyDescent="0.35">
      <c r="A610" s="806" t="s">
        <v>789</v>
      </c>
      <c r="B610" s="806" t="s">
        <v>1630</v>
      </c>
      <c r="C610" s="806"/>
      <c r="D610" s="806"/>
      <c r="E610" s="806"/>
      <c r="F610" s="816" t="s">
        <v>503</v>
      </c>
      <c r="I610" s="816"/>
      <c r="K610" s="816"/>
      <c r="L610" s="816"/>
      <c r="M610" s="816"/>
      <c r="N610" s="816"/>
      <c r="O610" s="816"/>
      <c r="P610" s="816"/>
      <c r="Q610" s="816"/>
      <c r="S610" s="816"/>
      <c r="T610" s="816"/>
      <c r="U610" s="816"/>
      <c r="V610" s="816"/>
      <c r="W610" s="816"/>
      <c r="X610" s="816"/>
      <c r="Z610" s="816"/>
      <c r="AA610" s="816" t="s">
        <v>503</v>
      </c>
      <c r="AB610" s="816" t="s">
        <v>503</v>
      </c>
      <c r="AC610" s="816"/>
      <c r="AD610" s="816"/>
      <c r="AE610" s="816"/>
      <c r="AF610" s="816"/>
      <c r="AG610" s="816"/>
      <c r="AH610" s="816" t="s">
        <v>503</v>
      </c>
      <c r="AI610" s="816"/>
      <c r="AJ610" s="816"/>
      <c r="AL610" s="816"/>
      <c r="AN610" s="816" t="s">
        <v>503</v>
      </c>
      <c r="AP610" s="816"/>
      <c r="AQ610" s="816"/>
      <c r="AR610" s="816"/>
      <c r="AS610" s="816"/>
      <c r="AT610" s="816"/>
      <c r="AU610" s="816"/>
      <c r="AV610" s="816"/>
      <c r="AW610" s="816"/>
      <c r="AX610" s="816"/>
      <c r="AY610" s="816"/>
      <c r="AZ610" s="816"/>
      <c r="BA610" s="816"/>
      <c r="BC610" s="816"/>
      <c r="BD610" s="816" t="s">
        <v>503</v>
      </c>
      <c r="BE610" s="816"/>
      <c r="BF610" s="816"/>
      <c r="BG610" s="816"/>
      <c r="BH610" s="816"/>
      <c r="BI610" s="816"/>
      <c r="BJ610" s="816"/>
      <c r="BK610" s="816" t="s">
        <v>503</v>
      </c>
      <c r="BM610" s="816"/>
      <c r="BN610" s="816"/>
      <c r="BO610" s="816"/>
      <c r="BQ610" s="816" t="s">
        <v>503</v>
      </c>
      <c r="BR610" s="816"/>
      <c r="BS610" s="816"/>
      <c r="BT610" s="816"/>
      <c r="BU610" s="816"/>
    </row>
    <row r="611" spans="1:73" x14ac:dyDescent="0.35">
      <c r="A611" s="806" t="s">
        <v>789</v>
      </c>
      <c r="B611" s="806" t="s">
        <v>2085</v>
      </c>
      <c r="C611" s="806"/>
      <c r="D611" s="806"/>
      <c r="E611" s="806"/>
      <c r="F611" s="816" t="s">
        <v>198</v>
      </c>
      <c r="L611" s="816" t="s">
        <v>198</v>
      </c>
      <c r="AA611" s="816" t="s">
        <v>503</v>
      </c>
      <c r="AB611" s="816" t="s">
        <v>198</v>
      </c>
      <c r="AH611" s="816" t="s">
        <v>503</v>
      </c>
      <c r="AN611" s="816" t="s">
        <v>198</v>
      </c>
      <c r="AW611" s="816"/>
      <c r="BA611" s="816" t="s">
        <v>198</v>
      </c>
      <c r="BD611" s="816" t="s">
        <v>198</v>
      </c>
      <c r="BK611" s="816" t="s">
        <v>198</v>
      </c>
      <c r="BQ611" s="816"/>
    </row>
    <row r="612" spans="1:73" x14ac:dyDescent="0.35">
      <c r="A612" s="806" t="s">
        <v>789</v>
      </c>
      <c r="B612" s="806" t="s">
        <v>2086</v>
      </c>
      <c r="C612" s="806"/>
      <c r="D612" s="806"/>
      <c r="E612" s="806"/>
      <c r="F612" s="816"/>
      <c r="L612" s="816" t="s">
        <v>198</v>
      </c>
      <c r="AA612" s="816" t="s">
        <v>503</v>
      </c>
      <c r="AB612" s="816" t="s">
        <v>503</v>
      </c>
      <c r="AH612" s="816" t="s">
        <v>503</v>
      </c>
      <c r="AN612" s="816"/>
      <c r="AW612" s="816"/>
      <c r="BD612" s="816" t="s">
        <v>503</v>
      </c>
      <c r="BK612" s="816" t="s">
        <v>198</v>
      </c>
      <c r="BQ612" s="816"/>
    </row>
    <row r="613" spans="1:73" x14ac:dyDescent="0.35">
      <c r="A613" s="806" t="s">
        <v>789</v>
      </c>
      <c r="B613" s="806" t="s">
        <v>2087</v>
      </c>
      <c r="C613" s="806"/>
      <c r="D613" s="806"/>
      <c r="E613" s="806"/>
      <c r="F613" s="806"/>
      <c r="AA613" s="816" t="s">
        <v>503</v>
      </c>
      <c r="AW613" s="816"/>
      <c r="BD613" s="816" t="s">
        <v>198</v>
      </c>
      <c r="BK613" s="816" t="s">
        <v>198</v>
      </c>
    </row>
    <row r="614" spans="1:73" x14ac:dyDescent="0.35">
      <c r="A614" s="806" t="s">
        <v>789</v>
      </c>
      <c r="B614" s="806" t="s">
        <v>2088</v>
      </c>
      <c r="C614" s="806"/>
      <c r="D614" s="806"/>
      <c r="E614" s="806"/>
      <c r="F614" s="806"/>
      <c r="AA614" s="816" t="s">
        <v>503</v>
      </c>
      <c r="AW614" s="816"/>
      <c r="BD614" s="816" t="s">
        <v>503</v>
      </c>
      <c r="BK614" s="816"/>
    </row>
    <row r="615" spans="1:73" ht="29" x14ac:dyDescent="0.35">
      <c r="A615" s="806" t="s">
        <v>789</v>
      </c>
      <c r="B615" s="806" t="s">
        <v>2163</v>
      </c>
      <c r="C615" s="806"/>
      <c r="D615" s="806"/>
      <c r="E615" s="806"/>
      <c r="F615" s="806"/>
      <c r="AA615" s="818"/>
      <c r="AN615" s="818"/>
      <c r="BK615" s="818"/>
      <c r="BQ615" s="818">
        <v>0</v>
      </c>
    </row>
    <row r="616" spans="1:73" ht="29" x14ac:dyDescent="0.35">
      <c r="A616" s="806" t="s">
        <v>789</v>
      </c>
      <c r="B616" s="806" t="s">
        <v>2170</v>
      </c>
      <c r="C616" s="806"/>
      <c r="D616" s="806"/>
      <c r="E616" s="806"/>
      <c r="F616" s="806"/>
      <c r="AA616" s="818">
        <v>250000</v>
      </c>
      <c r="AN616" s="818"/>
    </row>
    <row r="617" spans="1:73" ht="29" x14ac:dyDescent="0.35">
      <c r="A617" s="806" t="s">
        <v>789</v>
      </c>
      <c r="B617" s="806" t="s">
        <v>2176</v>
      </c>
      <c r="C617" s="806"/>
      <c r="D617" s="806"/>
      <c r="E617" s="806"/>
      <c r="F617" s="806"/>
      <c r="AA617" s="818">
        <v>108078</v>
      </c>
    </row>
    <row r="618" spans="1:73" x14ac:dyDescent="0.35">
      <c r="A618" s="806" t="s">
        <v>789</v>
      </c>
      <c r="B618" s="806" t="s">
        <v>2138</v>
      </c>
      <c r="C618" s="806"/>
      <c r="D618" s="806"/>
      <c r="E618" s="806"/>
      <c r="F618" s="818">
        <v>70000</v>
      </c>
      <c r="AA618" s="818"/>
      <c r="AB618" s="818"/>
      <c r="AH618" s="818">
        <v>328500</v>
      </c>
      <c r="AN618" s="818"/>
      <c r="AX618" s="818"/>
      <c r="BK618" s="818"/>
      <c r="BQ618" s="818">
        <v>488865</v>
      </c>
    </row>
    <row r="619" spans="1:73" x14ac:dyDescent="0.35">
      <c r="A619" s="806" t="s">
        <v>789</v>
      </c>
      <c r="B619" s="806" t="s">
        <v>2139</v>
      </c>
      <c r="C619" s="806"/>
      <c r="D619" s="806"/>
      <c r="E619" s="806"/>
      <c r="F619" s="806"/>
      <c r="L619" s="818">
        <v>43900</v>
      </c>
      <c r="AA619" s="818">
        <v>472500</v>
      </c>
      <c r="AB619" s="818"/>
      <c r="AN619" s="818">
        <v>115000</v>
      </c>
      <c r="AX619" s="818">
        <v>186663</v>
      </c>
      <c r="BD619" s="818">
        <v>149000</v>
      </c>
    </row>
    <row r="620" spans="1:73" x14ac:dyDescent="0.35">
      <c r="A620" s="806" t="s">
        <v>789</v>
      </c>
      <c r="B620" s="806" t="s">
        <v>2140</v>
      </c>
      <c r="C620" s="806"/>
      <c r="D620" s="806"/>
      <c r="E620" s="806"/>
      <c r="F620" s="806"/>
      <c r="AA620" s="818">
        <v>588263</v>
      </c>
      <c r="AB620" s="818">
        <v>227770</v>
      </c>
      <c r="BD620" s="818">
        <v>200000</v>
      </c>
    </row>
    <row r="621" spans="1:73" x14ac:dyDescent="0.35">
      <c r="A621" s="806" t="s">
        <v>789</v>
      </c>
      <c r="B621" s="806" t="s">
        <v>2141</v>
      </c>
      <c r="C621" s="806"/>
      <c r="D621" s="806"/>
      <c r="E621" s="806"/>
      <c r="F621" s="806"/>
      <c r="BK621" s="818">
        <v>96000</v>
      </c>
    </row>
    <row r="622" spans="1:73" x14ac:dyDescent="0.35">
      <c r="A622" s="806" t="s">
        <v>789</v>
      </c>
      <c r="B622" s="806" t="s">
        <v>2142</v>
      </c>
      <c r="C622" s="806"/>
      <c r="D622" s="806"/>
      <c r="E622" s="806"/>
      <c r="F622" s="806"/>
      <c r="AA622" s="818">
        <v>47021</v>
      </c>
      <c r="BD622" s="818">
        <v>235000</v>
      </c>
    </row>
    <row r="623" spans="1:73" ht="29" x14ac:dyDescent="0.35">
      <c r="A623" s="806" t="s">
        <v>789</v>
      </c>
      <c r="B623" s="806" t="s">
        <v>2164</v>
      </c>
      <c r="C623" s="806"/>
      <c r="D623" s="806"/>
      <c r="E623" s="806"/>
      <c r="F623" s="818">
        <v>11750</v>
      </c>
      <c r="AA623" s="818"/>
      <c r="AB623" s="818"/>
      <c r="AH623" s="818"/>
      <c r="AN623" s="818"/>
      <c r="AX623" s="818"/>
      <c r="BD623" s="818">
        <v>35000</v>
      </c>
      <c r="BK623" s="818"/>
      <c r="BQ623" s="818">
        <v>155000</v>
      </c>
    </row>
    <row r="624" spans="1:73" ht="29" x14ac:dyDescent="0.35">
      <c r="A624" s="806" t="s">
        <v>789</v>
      </c>
      <c r="B624" s="806" t="s">
        <v>2169</v>
      </c>
      <c r="C624" s="806"/>
      <c r="D624" s="806"/>
      <c r="E624" s="806"/>
      <c r="F624" s="806"/>
      <c r="L624" s="818">
        <v>39000</v>
      </c>
      <c r="AA624" s="818">
        <v>500000</v>
      </c>
      <c r="AB624" s="818"/>
      <c r="AN624" s="818">
        <v>71300</v>
      </c>
      <c r="AX624" s="818">
        <v>20000</v>
      </c>
    </row>
    <row r="625" spans="1:69" ht="29" x14ac:dyDescent="0.35">
      <c r="A625" s="806" t="s">
        <v>789</v>
      </c>
      <c r="B625" s="806" t="s">
        <v>2173</v>
      </c>
      <c r="C625" s="806"/>
      <c r="D625" s="806"/>
      <c r="E625" s="806"/>
      <c r="F625" s="806"/>
      <c r="AA625" s="818">
        <v>378315</v>
      </c>
      <c r="AB625" s="818">
        <v>36000</v>
      </c>
    </row>
    <row r="626" spans="1:69" ht="29" x14ac:dyDescent="0.35">
      <c r="A626" s="806" t="s">
        <v>789</v>
      </c>
      <c r="B626" s="806" t="s">
        <v>2174</v>
      </c>
      <c r="C626" s="806"/>
      <c r="D626" s="806"/>
      <c r="E626" s="806"/>
      <c r="F626" s="806"/>
      <c r="AA626" s="818"/>
      <c r="BK626" s="818">
        <v>10653</v>
      </c>
    </row>
    <row r="627" spans="1:69" ht="29" x14ac:dyDescent="0.35">
      <c r="A627" s="806" t="s">
        <v>789</v>
      </c>
      <c r="B627" s="806" t="s">
        <v>2177</v>
      </c>
      <c r="C627" s="806"/>
      <c r="D627" s="806"/>
      <c r="E627" s="806"/>
      <c r="F627" s="806"/>
      <c r="AA627" s="818">
        <v>31396</v>
      </c>
      <c r="BD627" s="818">
        <v>100000</v>
      </c>
    </row>
    <row r="628" spans="1:69" x14ac:dyDescent="0.35">
      <c r="A628" s="806" t="s">
        <v>789</v>
      </c>
      <c r="B628" s="806" t="s">
        <v>2162</v>
      </c>
      <c r="C628" s="806"/>
      <c r="D628" s="806"/>
      <c r="E628" s="806"/>
      <c r="F628" s="806"/>
      <c r="AA628" s="818"/>
      <c r="AB628" s="818"/>
      <c r="AH628" s="818"/>
      <c r="BK628" s="818"/>
      <c r="BQ628" s="818">
        <v>481500</v>
      </c>
    </row>
    <row r="629" spans="1:69" x14ac:dyDescent="0.35">
      <c r="A629" s="806" t="s">
        <v>789</v>
      </c>
      <c r="B629" s="806" t="s">
        <v>2167</v>
      </c>
      <c r="C629" s="806"/>
      <c r="D629" s="806"/>
      <c r="E629" s="806"/>
      <c r="F629" s="806"/>
      <c r="AA629" s="818">
        <v>500000</v>
      </c>
      <c r="AB629" s="818"/>
    </row>
    <row r="630" spans="1:69" x14ac:dyDescent="0.35">
      <c r="A630" s="806" t="s">
        <v>789</v>
      </c>
      <c r="B630" s="806" t="s">
        <v>2172</v>
      </c>
      <c r="C630" s="806"/>
      <c r="D630" s="806"/>
      <c r="E630" s="806"/>
      <c r="F630" s="806"/>
      <c r="BK630" s="818">
        <v>2133</v>
      </c>
    </row>
    <row r="631" spans="1:69" x14ac:dyDescent="0.35">
      <c r="A631" s="806" t="s">
        <v>789</v>
      </c>
      <c r="B631" s="806" t="s">
        <v>2175</v>
      </c>
      <c r="C631" s="806"/>
      <c r="D631" s="806"/>
      <c r="E631" s="806"/>
      <c r="F631" s="806"/>
      <c r="AA631" s="818">
        <v>194434</v>
      </c>
    </row>
    <row r="632" spans="1:69" ht="29" x14ac:dyDescent="0.35">
      <c r="A632" s="806" t="s">
        <v>789</v>
      </c>
      <c r="B632" s="806" t="s">
        <v>2151</v>
      </c>
      <c r="C632" s="806"/>
      <c r="D632" s="806"/>
      <c r="E632" s="806"/>
      <c r="F632" s="806"/>
      <c r="AA632" s="818"/>
      <c r="AB632" s="818"/>
      <c r="BK632" s="818"/>
      <c r="BQ632" s="818">
        <v>0</v>
      </c>
    </row>
    <row r="633" spans="1:69" ht="29" x14ac:dyDescent="0.35">
      <c r="A633" s="806" t="s">
        <v>789</v>
      </c>
      <c r="B633" s="806" t="s">
        <v>2152</v>
      </c>
      <c r="C633" s="806"/>
      <c r="D633" s="806"/>
      <c r="E633" s="806"/>
      <c r="F633" s="806"/>
      <c r="L633" s="818">
        <v>15000</v>
      </c>
      <c r="AB633" s="818"/>
    </row>
    <row r="634" spans="1:69" ht="29" x14ac:dyDescent="0.35">
      <c r="A634" s="806" t="s">
        <v>789</v>
      </c>
      <c r="B634" s="806" t="s">
        <v>2153</v>
      </c>
      <c r="C634" s="806"/>
      <c r="D634" s="806"/>
      <c r="E634" s="806"/>
      <c r="F634" s="806"/>
      <c r="AB634" s="818">
        <v>30383</v>
      </c>
      <c r="AW634" s="818"/>
    </row>
    <row r="635" spans="1:69" ht="29" x14ac:dyDescent="0.35">
      <c r="A635" s="806" t="s">
        <v>789</v>
      </c>
      <c r="B635" s="806" t="s">
        <v>2159</v>
      </c>
      <c r="C635" s="806"/>
      <c r="D635" s="806"/>
      <c r="E635" s="806"/>
      <c r="F635" s="806"/>
      <c r="BK635" s="818">
        <v>87730</v>
      </c>
    </row>
    <row r="636" spans="1:69" ht="29" x14ac:dyDescent="0.35">
      <c r="A636" s="806" t="s">
        <v>789</v>
      </c>
      <c r="B636" s="806" t="s">
        <v>2154</v>
      </c>
      <c r="C636" s="806"/>
      <c r="D636" s="806"/>
      <c r="E636" s="806"/>
      <c r="F636" s="806"/>
      <c r="AA636" s="818">
        <v>187232</v>
      </c>
      <c r="BD636" s="818">
        <v>125000</v>
      </c>
    </row>
    <row r="637" spans="1:69" x14ac:dyDescent="0.35">
      <c r="A637" s="806" t="s">
        <v>789</v>
      </c>
      <c r="B637" s="806" t="s">
        <v>2147</v>
      </c>
      <c r="C637" s="806"/>
      <c r="D637" s="806"/>
      <c r="E637" s="806"/>
      <c r="F637" s="806"/>
      <c r="AA637" s="818"/>
      <c r="AH637" s="818">
        <v>50000</v>
      </c>
      <c r="AN637" s="818"/>
      <c r="BQ637" s="818">
        <v>0</v>
      </c>
    </row>
    <row r="638" spans="1:69" x14ac:dyDescent="0.35">
      <c r="A638" s="806" t="s">
        <v>789</v>
      </c>
      <c r="B638" s="806" t="s">
        <v>2148</v>
      </c>
      <c r="C638" s="806"/>
      <c r="D638" s="806"/>
      <c r="E638" s="806"/>
      <c r="F638" s="806"/>
      <c r="L638" s="818">
        <v>60000</v>
      </c>
      <c r="AA638" s="818">
        <v>1000000</v>
      </c>
      <c r="AN638" s="818"/>
    </row>
    <row r="639" spans="1:69" x14ac:dyDescent="0.35">
      <c r="A639" s="806" t="s">
        <v>789</v>
      </c>
      <c r="B639" s="806" t="s">
        <v>2149</v>
      </c>
      <c r="C639" s="806"/>
      <c r="D639" s="806"/>
      <c r="E639" s="806"/>
      <c r="F639" s="806"/>
      <c r="AA639" s="818">
        <v>23077</v>
      </c>
      <c r="BD639" s="818">
        <v>50000</v>
      </c>
    </row>
    <row r="640" spans="1:69" ht="29" x14ac:dyDescent="0.35">
      <c r="A640" s="806" t="s">
        <v>789</v>
      </c>
      <c r="B640" s="806" t="s">
        <v>2114</v>
      </c>
      <c r="C640" s="806"/>
      <c r="D640" s="806"/>
      <c r="E640" s="806"/>
      <c r="F640" s="818">
        <v>10000</v>
      </c>
      <c r="AB640" s="818"/>
      <c r="AH640" s="818"/>
      <c r="AN640" s="818"/>
      <c r="BD640" s="818">
        <v>740000</v>
      </c>
      <c r="BK640" s="818">
        <v>0</v>
      </c>
      <c r="BQ640" s="818">
        <v>0</v>
      </c>
    </row>
    <row r="641" spans="1:73" ht="29" x14ac:dyDescent="0.35">
      <c r="A641" s="806" t="s">
        <v>789</v>
      </c>
      <c r="B641" s="806" t="s">
        <v>2115</v>
      </c>
      <c r="C641" s="806"/>
      <c r="D641" s="806"/>
      <c r="E641" s="806"/>
      <c r="F641" s="806"/>
      <c r="L641" s="818"/>
      <c r="AA641" s="818"/>
      <c r="AB641" s="818">
        <v>695000</v>
      </c>
      <c r="AN641" s="818"/>
      <c r="AW641" s="818"/>
      <c r="BA641" s="818">
        <v>130000</v>
      </c>
      <c r="BD641" s="818">
        <v>0</v>
      </c>
      <c r="BK641" s="818">
        <v>923625</v>
      </c>
    </row>
    <row r="642" spans="1:73" ht="29" x14ac:dyDescent="0.35">
      <c r="A642" s="806" t="s">
        <v>789</v>
      </c>
      <c r="B642" s="806" t="s">
        <v>2116</v>
      </c>
      <c r="C642" s="806"/>
      <c r="D642" s="806"/>
      <c r="E642" s="806"/>
      <c r="F642" s="818"/>
      <c r="L642" s="818">
        <v>1398000</v>
      </c>
      <c r="AA642" s="818">
        <v>25000</v>
      </c>
      <c r="AW642" s="818"/>
      <c r="BD642" s="818">
        <v>0</v>
      </c>
      <c r="BK642" s="818">
        <v>440816</v>
      </c>
    </row>
    <row r="643" spans="1:73" ht="29" x14ac:dyDescent="0.35">
      <c r="A643" s="806" t="s">
        <v>789</v>
      </c>
      <c r="B643" s="806" t="s">
        <v>2117</v>
      </c>
      <c r="C643" s="806"/>
      <c r="D643" s="806"/>
      <c r="E643" s="806"/>
      <c r="F643" s="806"/>
      <c r="BD643" s="818">
        <v>2200000</v>
      </c>
      <c r="BK643" s="818">
        <v>56326</v>
      </c>
    </row>
    <row r="644" spans="1:73" ht="29" x14ac:dyDescent="0.35">
      <c r="A644" s="806" t="s">
        <v>789</v>
      </c>
      <c r="B644" s="806" t="s">
        <v>2118</v>
      </c>
      <c r="C644" s="806"/>
      <c r="D644" s="806"/>
      <c r="E644" s="806"/>
      <c r="F644" s="806"/>
      <c r="BD644" s="818">
        <v>1140000</v>
      </c>
    </row>
    <row r="645" spans="1:73" x14ac:dyDescent="0.35">
      <c r="A645" s="806" t="s">
        <v>789</v>
      </c>
      <c r="B645" s="806" t="s">
        <v>2166</v>
      </c>
      <c r="C645" s="806"/>
      <c r="D645" s="806"/>
      <c r="E645" s="806"/>
      <c r="F645" s="806"/>
      <c r="BQ645" s="818">
        <v>0</v>
      </c>
    </row>
    <row r="646" spans="1:73" x14ac:dyDescent="0.35">
      <c r="A646" s="806" t="s">
        <v>789</v>
      </c>
      <c r="B646" s="806" t="s">
        <v>1144</v>
      </c>
      <c r="C646" s="806"/>
      <c r="D646" s="806"/>
      <c r="E646" s="806"/>
      <c r="F646" s="816">
        <v>2</v>
      </c>
      <c r="I646" s="816"/>
      <c r="J646" s="816"/>
      <c r="K646" s="816"/>
      <c r="L646" s="816"/>
      <c r="M646" s="816"/>
      <c r="N646" s="816"/>
      <c r="O646" s="816"/>
      <c r="P646" s="816"/>
      <c r="Q646" s="816"/>
      <c r="S646" s="816"/>
      <c r="T646" s="816"/>
      <c r="U646" s="816"/>
      <c r="V646" s="816"/>
      <c r="W646" s="816"/>
      <c r="X646" s="816"/>
      <c r="Z646" s="816"/>
      <c r="AA646" s="816">
        <v>2</v>
      </c>
      <c r="AB646" s="816">
        <v>2</v>
      </c>
      <c r="AC646" s="816"/>
      <c r="AD646" s="816"/>
      <c r="AE646" s="816"/>
      <c r="AF646" s="816"/>
      <c r="AG646" s="816"/>
      <c r="AH646" s="816">
        <v>2</v>
      </c>
      <c r="AI646" s="816"/>
      <c r="AJ646" s="816"/>
      <c r="AL646" s="816"/>
      <c r="AN646" s="816">
        <v>2</v>
      </c>
      <c r="AP646" s="816"/>
      <c r="AQ646" s="816"/>
      <c r="AR646" s="816"/>
      <c r="AS646" s="816"/>
      <c r="AT646" s="816"/>
      <c r="AU646" s="816"/>
      <c r="AV646" s="816"/>
      <c r="AW646" s="816"/>
      <c r="AX646" s="816"/>
      <c r="AY646" s="816"/>
      <c r="AZ646" s="816"/>
      <c r="BA646" s="816"/>
      <c r="BC646" s="816"/>
      <c r="BD646" s="816">
        <v>3</v>
      </c>
      <c r="BE646" s="816"/>
      <c r="BF646" s="816"/>
      <c r="BG646" s="816"/>
      <c r="BH646" s="816"/>
      <c r="BI646" s="816"/>
      <c r="BJ646" s="816"/>
      <c r="BK646" s="816">
        <v>3</v>
      </c>
      <c r="BM646" s="816"/>
      <c r="BN646" s="816"/>
      <c r="BO646" s="816"/>
      <c r="BQ646" s="816">
        <v>1</v>
      </c>
      <c r="BR646" s="816"/>
      <c r="BS646" s="816"/>
      <c r="BT646" s="816"/>
      <c r="BU646" s="816"/>
    </row>
    <row r="647" spans="1:73" x14ac:dyDescent="0.35">
      <c r="A647" s="806" t="s">
        <v>789</v>
      </c>
      <c r="B647" s="806" t="s">
        <v>2090</v>
      </c>
      <c r="C647" s="806"/>
      <c r="D647" s="806"/>
      <c r="E647" s="806"/>
      <c r="F647" s="816" t="s">
        <v>683</v>
      </c>
      <c r="L647" s="816">
        <v>1</v>
      </c>
      <c r="AA647" s="816">
        <v>3</v>
      </c>
      <c r="AB647" s="816">
        <v>1</v>
      </c>
      <c r="AH647" s="816">
        <v>1</v>
      </c>
      <c r="AN647" s="816" t="s">
        <v>683</v>
      </c>
      <c r="AW647" s="816"/>
      <c r="BA647" s="816">
        <v>1</v>
      </c>
      <c r="BD647" s="816" t="s">
        <v>683</v>
      </c>
      <c r="BK647" s="816">
        <v>1</v>
      </c>
      <c r="BQ647" s="816"/>
    </row>
    <row r="648" spans="1:73" x14ac:dyDescent="0.35">
      <c r="A648" s="806" t="s">
        <v>789</v>
      </c>
      <c r="B648" s="806" t="s">
        <v>2091</v>
      </c>
      <c r="C648" s="806"/>
      <c r="D648" s="806"/>
      <c r="E648" s="806"/>
      <c r="F648" s="816"/>
      <c r="L648" s="816">
        <v>2</v>
      </c>
      <c r="AA648" s="816">
        <v>5</v>
      </c>
      <c r="AB648" s="816">
        <v>1</v>
      </c>
      <c r="AH648" s="816">
        <v>1</v>
      </c>
      <c r="AN648" s="816"/>
      <c r="AW648" s="816"/>
      <c r="BD648" s="816">
        <v>2</v>
      </c>
      <c r="BK648" s="816">
        <v>2</v>
      </c>
      <c r="BQ648" s="816"/>
    </row>
    <row r="649" spans="1:73" x14ac:dyDescent="0.35">
      <c r="A649" s="806" t="s">
        <v>789</v>
      </c>
      <c r="B649" s="806" t="s">
        <v>2092</v>
      </c>
      <c r="C649" s="806"/>
      <c r="D649" s="806"/>
      <c r="E649" s="806"/>
      <c r="F649" s="806"/>
      <c r="AA649" s="816">
        <v>1</v>
      </c>
      <c r="AW649" s="816"/>
      <c r="BD649" s="816" t="s">
        <v>683</v>
      </c>
      <c r="BK649" s="816" t="s">
        <v>683</v>
      </c>
    </row>
    <row r="650" spans="1:73" x14ac:dyDescent="0.35">
      <c r="A650" s="806" t="s">
        <v>789</v>
      </c>
      <c r="B650" s="806" t="s">
        <v>2093</v>
      </c>
      <c r="C650" s="806"/>
      <c r="D650" s="806"/>
      <c r="E650" s="806"/>
      <c r="F650" s="806"/>
      <c r="AA650" s="816">
        <v>4</v>
      </c>
      <c r="AW650" s="816"/>
      <c r="BD650" s="816">
        <v>1</v>
      </c>
      <c r="BK650" s="816"/>
    </row>
    <row r="651" spans="1:73" ht="29" x14ac:dyDescent="0.35">
      <c r="A651" s="806" t="s">
        <v>789</v>
      </c>
      <c r="B651" s="806" t="s">
        <v>2144</v>
      </c>
      <c r="C651" s="806"/>
      <c r="D651" s="806"/>
      <c r="E651" s="806"/>
      <c r="F651" s="818">
        <v>274750</v>
      </c>
      <c r="AA651" s="818"/>
      <c r="AB651" s="818">
        <v>1000000</v>
      </c>
      <c r="AH651" s="818">
        <v>100000</v>
      </c>
      <c r="AN651" s="818">
        <v>689036</v>
      </c>
      <c r="BQ651" s="818">
        <v>5602457</v>
      </c>
    </row>
    <row r="652" spans="1:73" ht="29" x14ac:dyDescent="0.35">
      <c r="A652" s="806" t="s">
        <v>789</v>
      </c>
      <c r="B652" s="806" t="s">
        <v>2146</v>
      </c>
      <c r="C652" s="806"/>
      <c r="D652" s="806"/>
      <c r="E652" s="806"/>
      <c r="F652" s="806"/>
      <c r="AB652" s="818">
        <v>3200000</v>
      </c>
      <c r="AN652" s="818"/>
    </row>
    <row r="653" spans="1:73" ht="29" x14ac:dyDescent="0.35">
      <c r="A653" s="806" t="s">
        <v>789</v>
      </c>
      <c r="B653" s="806" t="s">
        <v>1142</v>
      </c>
      <c r="C653" s="806"/>
      <c r="D653" s="806"/>
      <c r="E653" s="806"/>
      <c r="F653" s="817">
        <v>0</v>
      </c>
      <c r="I653" s="817"/>
      <c r="J653" s="817"/>
      <c r="K653" s="817"/>
      <c r="M653" s="817"/>
      <c r="N653" s="817"/>
      <c r="O653" s="817"/>
      <c r="P653" s="817"/>
      <c r="Q653" s="817"/>
      <c r="S653" s="817"/>
      <c r="T653" s="817"/>
      <c r="U653" s="817"/>
      <c r="V653" s="817"/>
      <c r="W653" s="817"/>
      <c r="X653" s="817"/>
      <c r="Z653" s="817"/>
      <c r="AA653" s="817">
        <v>60</v>
      </c>
      <c r="AB653" s="817">
        <v>60</v>
      </c>
      <c r="AC653" s="817"/>
      <c r="AD653" s="817"/>
      <c r="AE653" s="817"/>
      <c r="AF653" s="817"/>
      <c r="AG653" s="817"/>
      <c r="AH653" s="817">
        <v>60</v>
      </c>
      <c r="AI653" s="817"/>
      <c r="AJ653" s="817"/>
      <c r="AL653" s="817"/>
      <c r="AN653" s="817">
        <v>60</v>
      </c>
      <c r="AP653" s="817"/>
      <c r="AQ653" s="817"/>
      <c r="AR653" s="817"/>
      <c r="AS653" s="817"/>
      <c r="AT653" s="817"/>
      <c r="AU653" s="817"/>
      <c r="AV653" s="817"/>
      <c r="AW653" s="817"/>
      <c r="AX653" s="817"/>
      <c r="AY653" s="817"/>
      <c r="AZ653" s="817"/>
      <c r="BA653" s="817"/>
      <c r="BC653" s="817"/>
      <c r="BD653" s="817">
        <v>0</v>
      </c>
      <c r="BE653" s="817"/>
      <c r="BF653" s="817"/>
      <c r="BG653" s="817"/>
      <c r="BH653" s="817"/>
      <c r="BI653" s="817"/>
      <c r="BJ653" s="817"/>
      <c r="BM653" s="817"/>
      <c r="BN653" s="817"/>
      <c r="BO653" s="817"/>
      <c r="BQ653" s="817">
        <v>0</v>
      </c>
      <c r="BR653" s="817"/>
      <c r="BS653" s="817"/>
      <c r="BT653" s="817"/>
      <c r="BU653" s="817"/>
    </row>
    <row r="654" spans="1:73" ht="29" x14ac:dyDescent="0.35">
      <c r="A654" s="806" t="s">
        <v>789</v>
      </c>
      <c r="B654" s="806" t="s">
        <v>2106</v>
      </c>
      <c r="C654" s="806"/>
      <c r="D654" s="806"/>
      <c r="E654" s="806"/>
      <c r="F654" s="806"/>
      <c r="L654" s="817">
        <v>10</v>
      </c>
      <c r="AA654" s="817">
        <v>0</v>
      </c>
      <c r="AB654" s="817">
        <v>36</v>
      </c>
      <c r="AH654" s="817">
        <v>60</v>
      </c>
      <c r="AW654" s="817"/>
      <c r="BA654" s="817">
        <v>0</v>
      </c>
      <c r="BD654" s="817">
        <v>0</v>
      </c>
      <c r="BK654" s="817"/>
      <c r="BQ654" s="817"/>
    </row>
    <row r="655" spans="1:73" ht="29" x14ac:dyDescent="0.35">
      <c r="A655" s="806" t="s">
        <v>789</v>
      </c>
      <c r="B655" s="806" t="s">
        <v>2105</v>
      </c>
      <c r="C655" s="806"/>
      <c r="D655" s="806"/>
      <c r="E655" s="806"/>
      <c r="F655" s="806"/>
      <c r="L655" s="817">
        <v>10</v>
      </c>
      <c r="AA655" s="817">
        <v>0</v>
      </c>
      <c r="AB655" s="817">
        <v>36</v>
      </c>
      <c r="AH655" s="817">
        <v>60</v>
      </c>
      <c r="BD655" s="817">
        <v>0</v>
      </c>
    </row>
    <row r="656" spans="1:73" ht="29" x14ac:dyDescent="0.35">
      <c r="A656" s="806" t="s">
        <v>789</v>
      </c>
      <c r="B656" s="806" t="s">
        <v>2108</v>
      </c>
      <c r="C656" s="806"/>
      <c r="D656" s="806"/>
      <c r="E656" s="806"/>
      <c r="F656" s="806"/>
      <c r="AA656" s="817">
        <v>60</v>
      </c>
      <c r="AW656" s="817"/>
      <c r="BD656" s="817">
        <v>0</v>
      </c>
    </row>
    <row r="657" spans="1:73" ht="29" x14ac:dyDescent="0.35">
      <c r="A657" s="806" t="s">
        <v>789</v>
      </c>
      <c r="B657" s="806" t="s">
        <v>2107</v>
      </c>
      <c r="C657" s="806"/>
      <c r="D657" s="806"/>
      <c r="E657" s="806"/>
      <c r="F657" s="806"/>
      <c r="AA657" s="817">
        <v>60</v>
      </c>
      <c r="BD657" s="817">
        <v>0</v>
      </c>
    </row>
    <row r="658" spans="1:73" x14ac:dyDescent="0.35">
      <c r="A658" s="806" t="s">
        <v>789</v>
      </c>
      <c r="B658" s="806" t="s">
        <v>1141</v>
      </c>
      <c r="C658" s="806"/>
      <c r="D658" s="806"/>
      <c r="E658" s="806"/>
      <c r="F658" s="823">
        <v>0.06</v>
      </c>
      <c r="I658" s="823"/>
      <c r="J658" s="823"/>
      <c r="K658" s="823"/>
      <c r="M658" s="823"/>
      <c r="N658" s="823"/>
      <c r="O658" s="823"/>
      <c r="P658" s="823"/>
      <c r="Q658" s="823"/>
      <c r="S658" s="823"/>
      <c r="T658" s="823"/>
      <c r="U658" s="823"/>
      <c r="V658" s="823"/>
      <c r="W658" s="823"/>
      <c r="X658" s="823"/>
      <c r="Z658" s="823"/>
      <c r="AA658" s="823">
        <v>0.06</v>
      </c>
      <c r="AB658" s="823">
        <v>0.06</v>
      </c>
      <c r="AC658" s="823"/>
      <c r="AD658" s="823"/>
      <c r="AE658" s="823"/>
      <c r="AF658" s="823"/>
      <c r="AG658" s="823"/>
      <c r="AH658" s="823">
        <v>0</v>
      </c>
      <c r="AI658" s="823"/>
      <c r="AJ658" s="823"/>
      <c r="AL658" s="823"/>
      <c r="AN658" s="823">
        <v>0</v>
      </c>
      <c r="AP658" s="823"/>
      <c r="AQ658" s="823"/>
      <c r="AR658" s="823"/>
      <c r="AS658" s="823"/>
      <c r="AT658" s="823"/>
      <c r="AU658" s="823"/>
      <c r="AV658" s="823"/>
      <c r="AW658" s="823">
        <v>0</v>
      </c>
      <c r="AX658" s="823"/>
      <c r="AY658" s="823"/>
      <c r="AZ658" s="823"/>
      <c r="BA658" s="823"/>
      <c r="BC658" s="823"/>
      <c r="BD658" s="823">
        <v>0</v>
      </c>
      <c r="BE658" s="823"/>
      <c r="BF658" s="823">
        <v>0</v>
      </c>
      <c r="BG658" s="823"/>
      <c r="BH658" s="823"/>
      <c r="BI658" s="823"/>
      <c r="BJ658" s="823"/>
      <c r="BK658" s="823">
        <v>0.03</v>
      </c>
      <c r="BM658" s="823"/>
      <c r="BN658" s="823"/>
      <c r="BO658" s="823"/>
      <c r="BQ658" s="823">
        <v>0</v>
      </c>
      <c r="BR658" s="823"/>
      <c r="BS658" s="823"/>
      <c r="BT658" s="823"/>
      <c r="BU658" s="823"/>
    </row>
    <row r="659" spans="1:73" x14ac:dyDescent="0.35">
      <c r="A659" s="806" t="s">
        <v>789</v>
      </c>
      <c r="B659" s="806" t="s">
        <v>2100</v>
      </c>
      <c r="C659" s="806"/>
      <c r="D659" s="806"/>
      <c r="E659" s="806"/>
      <c r="F659" s="806"/>
      <c r="L659" s="823">
        <v>0.03</v>
      </c>
      <c r="AA659" s="823">
        <v>0</v>
      </c>
      <c r="AB659" s="823">
        <v>5.2499999999999998E-2</v>
      </c>
      <c r="AH659" s="823">
        <v>0.09</v>
      </c>
      <c r="AN659" s="823">
        <v>0</v>
      </c>
      <c r="AW659" s="823">
        <v>0</v>
      </c>
      <c r="BA659" s="823">
        <v>0</v>
      </c>
      <c r="BD659" s="823">
        <v>0</v>
      </c>
      <c r="BK659" s="823">
        <v>0.08</v>
      </c>
      <c r="BQ659" s="823">
        <v>0.03</v>
      </c>
    </row>
    <row r="660" spans="1:73" x14ac:dyDescent="0.35">
      <c r="A660" s="806" t="s">
        <v>789</v>
      </c>
      <c r="B660" s="806" t="s">
        <v>2101</v>
      </c>
      <c r="C660" s="806"/>
      <c r="D660" s="806"/>
      <c r="E660" s="806"/>
      <c r="F660" s="806"/>
      <c r="L660" s="823">
        <v>0</v>
      </c>
      <c r="AA660" s="823">
        <v>0</v>
      </c>
      <c r="AB660" s="823">
        <v>5.2499999999999998E-2</v>
      </c>
      <c r="AH660" s="823">
        <v>0.09</v>
      </c>
      <c r="AN660" s="823">
        <v>0</v>
      </c>
      <c r="BD660" s="823">
        <v>0.03</v>
      </c>
      <c r="BK660" s="823">
        <v>4.4999999999999998E-2</v>
      </c>
    </row>
    <row r="661" spans="1:73" x14ac:dyDescent="0.35">
      <c r="A661" s="806" t="s">
        <v>789</v>
      </c>
      <c r="B661" s="806" t="s">
        <v>2102</v>
      </c>
      <c r="C661" s="806"/>
      <c r="D661" s="806"/>
      <c r="E661" s="806"/>
      <c r="F661" s="806"/>
      <c r="AA661" s="823">
        <v>0.01</v>
      </c>
      <c r="AW661" s="823">
        <v>0</v>
      </c>
      <c r="BD661" s="823">
        <v>0</v>
      </c>
      <c r="BK661" s="823">
        <v>0</v>
      </c>
    </row>
    <row r="662" spans="1:73" x14ac:dyDescent="0.35">
      <c r="A662" s="806" t="s">
        <v>789</v>
      </c>
      <c r="B662" s="806" t="s">
        <v>2103</v>
      </c>
      <c r="C662" s="806"/>
      <c r="D662" s="806"/>
      <c r="E662" s="806"/>
      <c r="F662" s="806"/>
      <c r="AA662" s="823">
        <v>0</v>
      </c>
      <c r="BD662" s="823">
        <v>0.04</v>
      </c>
    </row>
    <row r="663" spans="1:73" x14ac:dyDescent="0.35">
      <c r="A663" s="806" t="s">
        <v>789</v>
      </c>
      <c r="B663" s="806" t="s">
        <v>2104</v>
      </c>
      <c r="C663" s="806"/>
      <c r="D663" s="806"/>
      <c r="E663" s="806"/>
      <c r="F663" s="806"/>
      <c r="AA663" s="823">
        <v>0</v>
      </c>
    </row>
    <row r="664" spans="1:73" ht="29" x14ac:dyDescent="0.35">
      <c r="A664" s="806" t="s">
        <v>789</v>
      </c>
      <c r="B664" s="806" t="s">
        <v>1143</v>
      </c>
      <c r="C664" s="806"/>
      <c r="D664" s="806"/>
      <c r="E664" s="806"/>
      <c r="F664" s="818">
        <v>0</v>
      </c>
      <c r="I664" s="818"/>
      <c r="J664" s="818"/>
      <c r="K664" s="818"/>
      <c r="M664" s="818"/>
      <c r="N664" s="818"/>
      <c r="O664" s="818"/>
      <c r="P664" s="818"/>
      <c r="Q664" s="818"/>
      <c r="S664" s="818"/>
      <c r="T664" s="818"/>
      <c r="U664" s="818"/>
      <c r="V664" s="818"/>
      <c r="W664" s="818"/>
      <c r="X664" s="818"/>
      <c r="Z664" s="818"/>
      <c r="AA664" s="818"/>
      <c r="AB664" s="818">
        <v>0</v>
      </c>
      <c r="AC664" s="818"/>
      <c r="AD664" s="818"/>
      <c r="AE664" s="818"/>
      <c r="AF664" s="818"/>
      <c r="AG664" s="818"/>
      <c r="AI664" s="818"/>
      <c r="AJ664" s="818"/>
      <c r="AL664" s="818"/>
      <c r="AN664" s="818"/>
      <c r="AP664" s="818"/>
      <c r="AQ664" s="818"/>
      <c r="AR664" s="818"/>
      <c r="AS664" s="818"/>
      <c r="AT664" s="818"/>
      <c r="AU664" s="818"/>
      <c r="AV664" s="818"/>
      <c r="AW664" s="818"/>
      <c r="AX664" s="818"/>
      <c r="AY664" s="818"/>
      <c r="AZ664" s="818"/>
      <c r="BA664" s="818"/>
      <c r="BC664" s="818"/>
      <c r="BD664" s="818">
        <v>0</v>
      </c>
      <c r="BE664" s="818"/>
      <c r="BF664" s="818"/>
      <c r="BG664" s="818"/>
      <c r="BH664" s="818"/>
      <c r="BI664" s="818"/>
      <c r="BJ664" s="818"/>
      <c r="BK664" s="818">
        <v>0</v>
      </c>
      <c r="BM664" s="818"/>
      <c r="BN664" s="818"/>
      <c r="BO664" s="818"/>
      <c r="BQ664" s="818">
        <v>0</v>
      </c>
      <c r="BR664" s="818"/>
      <c r="BS664" s="818"/>
      <c r="BT664" s="818"/>
      <c r="BU664" s="818"/>
    </row>
    <row r="665" spans="1:73" ht="29" x14ac:dyDescent="0.35">
      <c r="A665" s="806" t="s">
        <v>789</v>
      </c>
      <c r="B665" s="806" t="s">
        <v>2110</v>
      </c>
      <c r="C665" s="806"/>
      <c r="D665" s="806"/>
      <c r="E665" s="806"/>
      <c r="F665" s="806"/>
      <c r="L665" s="818">
        <v>0</v>
      </c>
      <c r="AA665" s="818"/>
      <c r="AB665" s="818">
        <v>0</v>
      </c>
      <c r="AH665" s="818"/>
      <c r="AW665" s="818"/>
      <c r="BA665" s="818">
        <v>0</v>
      </c>
      <c r="BD665" s="818">
        <v>0</v>
      </c>
      <c r="BK665" s="818">
        <v>6158</v>
      </c>
      <c r="BQ665" s="818"/>
    </row>
    <row r="666" spans="1:73" ht="29" x14ac:dyDescent="0.35">
      <c r="A666" s="806" t="s">
        <v>789</v>
      </c>
      <c r="B666" s="806" t="s">
        <v>2109</v>
      </c>
      <c r="C666" s="806"/>
      <c r="D666" s="806"/>
      <c r="E666" s="806"/>
      <c r="F666" s="806"/>
      <c r="L666" s="818">
        <v>0</v>
      </c>
      <c r="AA666" s="818"/>
      <c r="AB666" s="818">
        <v>0</v>
      </c>
      <c r="BD666" s="818">
        <v>0</v>
      </c>
      <c r="BK666" s="818">
        <v>3375</v>
      </c>
    </row>
    <row r="667" spans="1:73" ht="29" x14ac:dyDescent="0.35">
      <c r="A667" s="806" t="s">
        <v>789</v>
      </c>
      <c r="B667" s="806" t="s">
        <v>2111</v>
      </c>
      <c r="C667" s="806"/>
      <c r="D667" s="806"/>
      <c r="E667" s="806"/>
      <c r="F667" s="806"/>
      <c r="AA667" s="818">
        <v>25000</v>
      </c>
      <c r="AW667" s="818"/>
      <c r="BD667" s="818">
        <v>0</v>
      </c>
    </row>
    <row r="668" spans="1:73" ht="29" x14ac:dyDescent="0.35">
      <c r="A668" s="806" t="s">
        <v>789</v>
      </c>
      <c r="B668" s="806" t="s">
        <v>2112</v>
      </c>
      <c r="C668" s="806"/>
      <c r="D668" s="806"/>
      <c r="E668" s="806"/>
      <c r="F668" s="806"/>
      <c r="AA668" s="818"/>
      <c r="BD668" s="818">
        <v>0</v>
      </c>
    </row>
    <row r="669" spans="1:73" x14ac:dyDescent="0.35">
      <c r="A669" s="806" t="s">
        <v>789</v>
      </c>
      <c r="B669" s="806" t="s">
        <v>918</v>
      </c>
      <c r="C669" s="806"/>
      <c r="D669" s="806"/>
      <c r="E669" s="806"/>
      <c r="F669" s="816" t="s">
        <v>1618</v>
      </c>
      <c r="I669" s="816"/>
      <c r="J669" s="816"/>
      <c r="K669" s="816"/>
      <c r="L669" s="816" t="s">
        <v>1618</v>
      </c>
      <c r="M669" s="816"/>
      <c r="N669" s="816"/>
      <c r="O669" s="816"/>
      <c r="P669" s="816"/>
      <c r="Q669" s="816"/>
      <c r="R669" s="816"/>
      <c r="S669" s="816"/>
      <c r="T669" s="816"/>
      <c r="U669" s="816"/>
      <c r="V669" s="816"/>
      <c r="W669" s="816"/>
      <c r="X669" s="816"/>
      <c r="Y669" s="816"/>
      <c r="Z669" s="816"/>
      <c r="AA669" s="816" t="s">
        <v>1618</v>
      </c>
      <c r="AB669" s="816" t="s">
        <v>1618</v>
      </c>
      <c r="AC669" s="816"/>
      <c r="AD669" s="816"/>
      <c r="AE669" s="816"/>
      <c r="AF669" s="816"/>
      <c r="AG669" s="816"/>
      <c r="AH669" s="816" t="s">
        <v>1618</v>
      </c>
      <c r="AI669" s="816"/>
      <c r="AJ669" s="816"/>
      <c r="AL669" s="816"/>
      <c r="AM669" s="816"/>
      <c r="AN669" s="816" t="s">
        <v>1618</v>
      </c>
      <c r="AO669" s="816"/>
      <c r="AP669" s="816"/>
      <c r="AQ669" s="816"/>
      <c r="AR669" s="816"/>
      <c r="AS669" s="816"/>
      <c r="AT669" s="816"/>
      <c r="AU669" s="816"/>
      <c r="AV669" s="816"/>
      <c r="AW669" s="816" t="s">
        <v>1618</v>
      </c>
      <c r="AX669" s="816" t="s">
        <v>1618</v>
      </c>
      <c r="AY669" s="816"/>
      <c r="AZ669" s="816" t="s">
        <v>1618</v>
      </c>
      <c r="BA669" s="816" t="s">
        <v>1618</v>
      </c>
      <c r="BC669" s="816"/>
      <c r="BD669" s="816" t="s">
        <v>1618</v>
      </c>
      <c r="BE669" s="816"/>
      <c r="BF669" s="816" t="s">
        <v>1618</v>
      </c>
      <c r="BG669" s="816"/>
      <c r="BH669" s="816"/>
      <c r="BI669" s="816"/>
      <c r="BJ669" s="816" t="s">
        <v>1618</v>
      </c>
      <c r="BK669" s="816" t="s">
        <v>1618</v>
      </c>
      <c r="BM669" s="816"/>
      <c r="BN669" s="816"/>
      <c r="BO669" s="816"/>
      <c r="BQ669" s="816" t="s">
        <v>1618</v>
      </c>
      <c r="BR669" s="816"/>
      <c r="BS669" s="816"/>
      <c r="BT669" s="816"/>
      <c r="BU669" s="816"/>
    </row>
    <row r="670" spans="1:73" ht="29" x14ac:dyDescent="0.35">
      <c r="A670" s="806" t="s">
        <v>789</v>
      </c>
      <c r="B670" s="806" t="s">
        <v>941</v>
      </c>
      <c r="C670" s="806"/>
      <c r="D670" s="806"/>
      <c r="E670" s="806"/>
      <c r="F670" s="816" t="s">
        <v>2501</v>
      </c>
      <c r="I670" s="816"/>
      <c r="J670" s="816"/>
      <c r="K670" s="816"/>
      <c r="L670" s="816" t="s">
        <v>2645</v>
      </c>
      <c r="M670" s="816"/>
      <c r="N670" s="816"/>
      <c r="O670" s="816"/>
      <c r="P670" s="816"/>
      <c r="Q670" s="816"/>
      <c r="R670" s="816"/>
      <c r="S670" s="816"/>
      <c r="T670" s="816"/>
      <c r="U670" s="816"/>
      <c r="V670" s="816"/>
      <c r="W670" s="816"/>
      <c r="X670" s="816"/>
      <c r="Y670" s="816"/>
      <c r="Z670" s="816"/>
      <c r="AA670" s="816" t="s">
        <v>2972</v>
      </c>
      <c r="AB670" s="816" t="s">
        <v>3032</v>
      </c>
      <c r="AC670" s="816"/>
      <c r="AD670" s="816"/>
      <c r="AE670" s="816"/>
      <c r="AF670" s="816"/>
      <c r="AG670" s="816"/>
      <c r="AH670" s="816" t="s">
        <v>3151</v>
      </c>
      <c r="AI670" s="816"/>
      <c r="AJ670" s="816"/>
      <c r="AL670" s="816"/>
      <c r="AM670" s="816"/>
      <c r="AN670" s="816" t="s">
        <v>3313</v>
      </c>
      <c r="AO670" s="816"/>
      <c r="AP670" s="816"/>
      <c r="AQ670" s="816"/>
      <c r="AR670" s="816"/>
      <c r="AS670" s="816"/>
      <c r="AT670" s="816"/>
      <c r="AU670" s="816"/>
      <c r="AV670" s="816"/>
      <c r="AW670" s="816"/>
      <c r="AX670" s="816" t="s">
        <v>3534</v>
      </c>
      <c r="AY670" s="816"/>
      <c r="AZ670" s="816"/>
      <c r="BA670" s="816" t="s">
        <v>3619</v>
      </c>
      <c r="BC670" s="816"/>
      <c r="BD670" s="816" t="s">
        <v>3708</v>
      </c>
      <c r="BE670" s="816"/>
      <c r="BF670" s="816"/>
      <c r="BG670" s="816"/>
      <c r="BH670" s="816"/>
      <c r="BI670" s="816"/>
      <c r="BJ670" s="816"/>
      <c r="BK670" s="816" t="s">
        <v>3991</v>
      </c>
      <c r="BM670" s="816"/>
      <c r="BN670" s="816"/>
      <c r="BO670" s="816"/>
      <c r="BQ670" s="816"/>
      <c r="BR670" s="816"/>
      <c r="BS670" s="816"/>
      <c r="BT670" s="816"/>
      <c r="BU670" s="816"/>
    </row>
    <row r="671" spans="1:73" ht="29" x14ac:dyDescent="0.35">
      <c r="A671" s="806" t="s">
        <v>789</v>
      </c>
      <c r="B671" s="806" t="s">
        <v>942</v>
      </c>
      <c r="C671" s="806"/>
      <c r="D671" s="806"/>
      <c r="E671" s="806"/>
      <c r="F671" s="816"/>
      <c r="I671" s="816"/>
      <c r="J671" s="816"/>
      <c r="K671" s="816"/>
      <c r="L671" s="816" t="s">
        <v>2646</v>
      </c>
      <c r="M671" s="816"/>
      <c r="N671" s="816"/>
      <c r="O671" s="816"/>
      <c r="P671" s="816"/>
      <c r="Q671" s="816"/>
      <c r="R671" s="816"/>
      <c r="S671" s="816"/>
      <c r="T671" s="816"/>
      <c r="U671" s="816"/>
      <c r="V671" s="816"/>
      <c r="W671" s="816"/>
      <c r="X671" s="816"/>
      <c r="Y671" s="816"/>
      <c r="Z671" s="816"/>
      <c r="AA671" s="816" t="s">
        <v>2973</v>
      </c>
      <c r="AB671" s="816" t="s">
        <v>3032</v>
      </c>
      <c r="AC671" s="816"/>
      <c r="AD671" s="816"/>
      <c r="AE671" s="816"/>
      <c r="AF671" s="816"/>
      <c r="AG671" s="816"/>
      <c r="AH671" s="816" t="s">
        <v>3152</v>
      </c>
      <c r="AI671" s="816"/>
      <c r="AJ671" s="816"/>
      <c r="AL671" s="816"/>
      <c r="AM671" s="816"/>
      <c r="AN671" s="816"/>
      <c r="AO671" s="816"/>
      <c r="AP671" s="816"/>
      <c r="AQ671" s="816"/>
      <c r="AR671" s="816"/>
      <c r="AS671" s="816"/>
      <c r="AT671" s="816"/>
      <c r="AU671" s="816"/>
      <c r="AV671" s="816"/>
      <c r="AW671" s="816"/>
      <c r="AX671" s="816"/>
      <c r="AY671" s="816"/>
      <c r="AZ671" s="816"/>
      <c r="BA671" s="816"/>
      <c r="BC671" s="816"/>
      <c r="BD671" s="816" t="s">
        <v>3709</v>
      </c>
      <c r="BE671" s="816"/>
      <c r="BF671" s="816"/>
      <c r="BG671" s="816"/>
      <c r="BH671" s="816"/>
      <c r="BI671" s="816"/>
      <c r="BJ671" s="816"/>
      <c r="BK671" s="816" t="s">
        <v>3992</v>
      </c>
      <c r="BM671" s="816"/>
      <c r="BN671" s="816"/>
      <c r="BO671" s="816"/>
      <c r="BQ671" s="816"/>
      <c r="BR671" s="816"/>
      <c r="BS671" s="816"/>
      <c r="BT671" s="816"/>
      <c r="BU671" s="816"/>
    </row>
    <row r="672" spans="1:73" x14ac:dyDescent="0.35">
      <c r="A672" s="806" t="s">
        <v>789</v>
      </c>
      <c r="B672" s="806" t="s">
        <v>943</v>
      </c>
      <c r="C672" s="806"/>
      <c r="D672" s="806"/>
      <c r="E672" s="806"/>
      <c r="F672" s="816"/>
      <c r="I672" s="816"/>
      <c r="J672" s="816"/>
      <c r="K672" s="816"/>
      <c r="L672" s="816"/>
      <c r="M672" s="816"/>
      <c r="N672" s="816"/>
      <c r="O672" s="816"/>
      <c r="P672" s="816"/>
      <c r="Q672" s="816"/>
      <c r="R672" s="816"/>
      <c r="S672" s="816"/>
      <c r="T672" s="816"/>
      <c r="U672" s="816"/>
      <c r="V672" s="816"/>
      <c r="W672" s="816"/>
      <c r="X672" s="816"/>
      <c r="Y672" s="816"/>
      <c r="Z672" s="816"/>
      <c r="AA672" s="816" t="s">
        <v>2974</v>
      </c>
      <c r="AB672" s="816"/>
      <c r="AC672" s="816"/>
      <c r="AD672" s="816"/>
      <c r="AE672" s="816"/>
      <c r="AF672" s="816"/>
      <c r="AG672" s="816"/>
      <c r="AH672" s="816"/>
      <c r="AI672" s="816"/>
      <c r="AJ672" s="816"/>
      <c r="AL672" s="816"/>
      <c r="AM672" s="816"/>
      <c r="AN672" s="816"/>
      <c r="AO672" s="816"/>
      <c r="AP672" s="816"/>
      <c r="AQ672" s="816"/>
      <c r="AR672" s="816"/>
      <c r="AS672" s="816"/>
      <c r="AT672" s="816"/>
      <c r="AU672" s="816"/>
      <c r="AV672" s="816"/>
      <c r="AW672" s="816"/>
      <c r="AX672" s="816"/>
      <c r="AY672" s="816"/>
      <c r="AZ672" s="816"/>
      <c r="BA672" s="816"/>
      <c r="BC672" s="816"/>
      <c r="BD672" s="816" t="s">
        <v>3710</v>
      </c>
      <c r="BE672" s="816"/>
      <c r="BF672" s="816"/>
      <c r="BG672" s="816"/>
      <c r="BH672" s="816"/>
      <c r="BI672" s="816"/>
      <c r="BJ672" s="816"/>
      <c r="BK672" s="816" t="s">
        <v>3993</v>
      </c>
      <c r="BM672" s="816"/>
      <c r="BN672" s="816"/>
      <c r="BO672" s="816"/>
      <c r="BQ672" s="816"/>
      <c r="BR672" s="816"/>
      <c r="BS672" s="816"/>
      <c r="BT672" s="816"/>
      <c r="BU672" s="816"/>
    </row>
    <row r="673" spans="1:73" x14ac:dyDescent="0.35">
      <c r="A673" s="806" t="s">
        <v>789</v>
      </c>
      <c r="B673" s="806" t="s">
        <v>944</v>
      </c>
      <c r="C673" s="806"/>
      <c r="D673" s="806"/>
      <c r="E673" s="806"/>
      <c r="F673" s="816"/>
      <c r="I673" s="816"/>
      <c r="J673" s="816"/>
      <c r="K673" s="816"/>
      <c r="L673" s="816"/>
      <c r="M673" s="816"/>
      <c r="N673" s="816"/>
      <c r="O673" s="816"/>
      <c r="P673" s="816"/>
      <c r="Q673" s="816"/>
      <c r="R673" s="816"/>
      <c r="S673" s="816"/>
      <c r="T673" s="816"/>
      <c r="U673" s="816"/>
      <c r="V673" s="816"/>
      <c r="W673" s="816"/>
      <c r="X673" s="816"/>
      <c r="Y673" s="816"/>
      <c r="Z673" s="816"/>
      <c r="AA673" s="816" t="s">
        <v>2975</v>
      </c>
      <c r="AB673" s="816"/>
      <c r="AC673" s="816"/>
      <c r="AD673" s="816"/>
      <c r="AE673" s="816"/>
      <c r="AF673" s="816"/>
      <c r="AG673" s="816"/>
      <c r="AH673" s="816"/>
      <c r="AI673" s="816"/>
      <c r="AJ673" s="816"/>
      <c r="AL673" s="816"/>
      <c r="AM673" s="816"/>
      <c r="AN673" s="816"/>
      <c r="AO673" s="816"/>
      <c r="AP673" s="816"/>
      <c r="AQ673" s="816"/>
      <c r="AR673" s="816"/>
      <c r="AS673" s="816"/>
      <c r="AT673" s="816"/>
      <c r="AU673" s="816"/>
      <c r="AV673" s="816"/>
      <c r="AW673" s="816"/>
      <c r="AX673" s="816"/>
      <c r="AY673" s="816"/>
      <c r="AZ673" s="816"/>
      <c r="BA673" s="816"/>
      <c r="BC673" s="816"/>
      <c r="BD673" s="816" t="s">
        <v>3711</v>
      </c>
      <c r="BE673" s="816"/>
      <c r="BF673" s="816"/>
      <c r="BG673" s="816"/>
      <c r="BH673" s="816"/>
      <c r="BI673" s="816"/>
      <c r="BJ673" s="816"/>
      <c r="BK673" s="816"/>
      <c r="BM673" s="816"/>
      <c r="BN673" s="816"/>
      <c r="BO673" s="816"/>
      <c r="BQ673" s="816"/>
      <c r="BR673" s="816"/>
      <c r="BS673" s="816"/>
      <c r="BT673" s="816"/>
      <c r="BU673" s="816"/>
    </row>
    <row r="674" spans="1:73" x14ac:dyDescent="0.35">
      <c r="A674" s="806" t="s">
        <v>789</v>
      </c>
      <c r="B674" s="806" t="s">
        <v>2120</v>
      </c>
      <c r="C674" s="806"/>
      <c r="D674" s="806"/>
      <c r="E674" s="806"/>
      <c r="F674" s="818">
        <v>381155</v>
      </c>
      <c r="AA674" s="818"/>
      <c r="AB674" s="818"/>
      <c r="AH674" s="818">
        <v>627658</v>
      </c>
      <c r="AN674" s="818">
        <v>751120</v>
      </c>
      <c r="AX674" s="818"/>
      <c r="BD674" s="818">
        <v>75000</v>
      </c>
      <c r="BQ674" s="818">
        <v>3133108</v>
      </c>
    </row>
    <row r="675" spans="1:73" x14ac:dyDescent="0.35">
      <c r="A675" s="806" t="s">
        <v>789</v>
      </c>
      <c r="B675" s="806" t="s">
        <v>2121</v>
      </c>
      <c r="C675" s="806"/>
      <c r="D675" s="806"/>
      <c r="E675" s="806"/>
      <c r="F675" s="806"/>
      <c r="L675" s="818">
        <v>40000</v>
      </c>
      <c r="AA675" s="818">
        <v>1773068</v>
      </c>
      <c r="AN675" s="818"/>
      <c r="AW675" s="818"/>
      <c r="AX675" s="818">
        <v>80000</v>
      </c>
    </row>
    <row r="676" spans="1:73" x14ac:dyDescent="0.35">
      <c r="A676" s="806" t="s">
        <v>789</v>
      </c>
      <c r="B676" s="806" t="s">
        <v>2122</v>
      </c>
      <c r="C676" s="806"/>
      <c r="D676" s="806"/>
      <c r="E676" s="806"/>
      <c r="F676" s="818"/>
      <c r="AA676" s="818">
        <v>3500000</v>
      </c>
      <c r="AW676" s="818"/>
      <c r="BD676" s="818">
        <v>50000</v>
      </c>
    </row>
    <row r="677" spans="1:73" x14ac:dyDescent="0.35">
      <c r="A677" s="806" t="s">
        <v>789</v>
      </c>
      <c r="B677" s="806" t="s">
        <v>2123</v>
      </c>
      <c r="C677" s="806"/>
      <c r="D677" s="806"/>
      <c r="E677" s="806"/>
      <c r="F677" s="818"/>
      <c r="AA677" s="818">
        <v>500000</v>
      </c>
    </row>
    <row r="678" spans="1:73" x14ac:dyDescent="0.35">
      <c r="A678" s="806" t="s">
        <v>789</v>
      </c>
      <c r="B678" s="806" t="s">
        <v>2124</v>
      </c>
      <c r="C678" s="806"/>
      <c r="D678" s="806"/>
      <c r="E678" s="806"/>
      <c r="F678" s="806"/>
      <c r="AA678" s="818">
        <v>1085775</v>
      </c>
    </row>
    <row r="679" spans="1:73" x14ac:dyDescent="0.35">
      <c r="A679" s="806" t="s">
        <v>789</v>
      </c>
      <c r="B679" s="806" t="s">
        <v>2156</v>
      </c>
      <c r="C679" s="806"/>
      <c r="D679" s="806"/>
      <c r="E679" s="806"/>
      <c r="F679" s="806"/>
      <c r="AA679" s="818"/>
      <c r="AB679" s="818"/>
      <c r="BD679" s="818">
        <v>50000</v>
      </c>
      <c r="BK679" s="818"/>
      <c r="BQ679" s="818">
        <v>2500</v>
      </c>
    </row>
    <row r="680" spans="1:73" x14ac:dyDescent="0.35">
      <c r="A680" s="806" t="s">
        <v>789</v>
      </c>
      <c r="B680" s="806" t="s">
        <v>2160</v>
      </c>
      <c r="C680" s="806"/>
      <c r="D680" s="806"/>
      <c r="E680" s="806"/>
      <c r="F680" s="806"/>
      <c r="L680" s="818">
        <v>36000</v>
      </c>
      <c r="AB680" s="818"/>
    </row>
    <row r="681" spans="1:73" x14ac:dyDescent="0.35">
      <c r="A681" s="806" t="s">
        <v>789</v>
      </c>
      <c r="B681" s="806" t="s">
        <v>2157</v>
      </c>
      <c r="C681" s="806"/>
      <c r="D681" s="806"/>
      <c r="E681" s="806"/>
      <c r="F681" s="806"/>
      <c r="AA681" s="818">
        <v>51116</v>
      </c>
    </row>
    <row r="682" spans="1:73" x14ac:dyDescent="0.35">
      <c r="A682" s="806" t="s">
        <v>789</v>
      </c>
      <c r="B682" s="806" t="s">
        <v>2158</v>
      </c>
      <c r="C682" s="806"/>
      <c r="D682" s="806"/>
      <c r="E682" s="806"/>
      <c r="F682" s="806"/>
      <c r="BK682" s="818">
        <v>20571</v>
      </c>
    </row>
    <row r="683" spans="1:73" x14ac:dyDescent="0.35">
      <c r="A683" s="806" t="s">
        <v>789</v>
      </c>
      <c r="B683" s="806" t="s">
        <v>921</v>
      </c>
      <c r="C683" s="806"/>
      <c r="D683" s="806"/>
      <c r="E683" s="806"/>
      <c r="F683" s="816" t="s">
        <v>683</v>
      </c>
      <c r="I683" s="816"/>
      <c r="J683" s="816"/>
      <c r="K683" s="816"/>
      <c r="L683" s="816" t="s">
        <v>683</v>
      </c>
      <c r="M683" s="816"/>
      <c r="N683" s="816"/>
      <c r="O683" s="816"/>
      <c r="P683" s="816"/>
      <c r="Q683" s="816"/>
      <c r="R683" s="816"/>
      <c r="S683" s="816"/>
      <c r="T683" s="816"/>
      <c r="U683" s="816"/>
      <c r="V683" s="816"/>
      <c r="W683" s="816"/>
      <c r="X683" s="816"/>
      <c r="Y683" s="816"/>
      <c r="Z683" s="816"/>
      <c r="AA683" s="816" t="s">
        <v>683</v>
      </c>
      <c r="AB683" s="816" t="s">
        <v>683</v>
      </c>
      <c r="AC683" s="816"/>
      <c r="AD683" s="816"/>
      <c r="AE683" s="816"/>
      <c r="AF683" s="816"/>
      <c r="AG683" s="816"/>
      <c r="AH683" s="816" t="s">
        <v>683</v>
      </c>
      <c r="AI683" s="816"/>
      <c r="AJ683" s="816"/>
      <c r="AL683" s="816"/>
      <c r="AM683" s="816"/>
      <c r="AN683" s="816" t="s">
        <v>683</v>
      </c>
      <c r="AO683" s="816"/>
      <c r="AP683" s="816"/>
      <c r="AQ683" s="816"/>
      <c r="AR683" s="816"/>
      <c r="AS683" s="816"/>
      <c r="AT683" s="816"/>
      <c r="AU683" s="816"/>
      <c r="AV683" s="816"/>
      <c r="AW683" s="816" t="s">
        <v>683</v>
      </c>
      <c r="AX683" s="816" t="s">
        <v>683</v>
      </c>
      <c r="AY683" s="816"/>
      <c r="AZ683" s="816" t="s">
        <v>683</v>
      </c>
      <c r="BA683" s="816" t="s">
        <v>683</v>
      </c>
      <c r="BC683" s="816"/>
      <c r="BD683" s="816" t="s">
        <v>683</v>
      </c>
      <c r="BE683" s="816"/>
      <c r="BF683" s="816" t="s">
        <v>503</v>
      </c>
      <c r="BG683" s="816"/>
      <c r="BH683" s="816"/>
      <c r="BI683" s="816"/>
      <c r="BJ683" s="816" t="s">
        <v>683</v>
      </c>
      <c r="BK683" s="816" t="s">
        <v>683</v>
      </c>
      <c r="BM683" s="816"/>
      <c r="BN683" s="816"/>
      <c r="BO683" s="816"/>
      <c r="BQ683" s="816" t="s">
        <v>683</v>
      </c>
      <c r="BR683" s="816"/>
      <c r="BS683" s="816"/>
      <c r="BT683" s="816"/>
      <c r="BU683" s="816"/>
    </row>
    <row r="684" spans="1:73" ht="29" x14ac:dyDescent="0.35">
      <c r="A684" s="806" t="s">
        <v>789</v>
      </c>
      <c r="B684" s="806" t="s">
        <v>1087</v>
      </c>
      <c r="C684" s="806"/>
      <c r="D684" s="806"/>
      <c r="E684" s="806"/>
      <c r="F684" s="817">
        <v>13</v>
      </c>
      <c r="I684" s="817"/>
      <c r="J684" s="817"/>
      <c r="K684" s="817"/>
      <c r="L684" s="817">
        <v>2</v>
      </c>
      <c r="M684" s="817"/>
      <c r="N684" s="817"/>
      <c r="O684" s="817"/>
      <c r="P684" s="817"/>
      <c r="Q684" s="817"/>
      <c r="S684" s="817"/>
      <c r="T684" s="817"/>
      <c r="U684" s="817"/>
      <c r="V684" s="817"/>
      <c r="W684" s="817"/>
      <c r="X684" s="817"/>
      <c r="Z684" s="817"/>
      <c r="AA684" s="817">
        <v>20</v>
      </c>
      <c r="AB684" s="817">
        <v>10</v>
      </c>
      <c r="AC684" s="817"/>
      <c r="AD684" s="817"/>
      <c r="AE684" s="817"/>
      <c r="AF684" s="817"/>
      <c r="AG684" s="817"/>
      <c r="AH684" s="817">
        <v>1</v>
      </c>
      <c r="AI684" s="817"/>
      <c r="AJ684" s="817"/>
      <c r="AL684" s="817"/>
      <c r="AN684" s="817">
        <v>1</v>
      </c>
      <c r="AP684" s="817"/>
      <c r="AQ684" s="817"/>
      <c r="AR684" s="817"/>
      <c r="AS684" s="817"/>
      <c r="AT684" s="817"/>
      <c r="AU684" s="817"/>
      <c r="AV684" s="817"/>
      <c r="AW684" s="817">
        <v>19</v>
      </c>
      <c r="AX684" s="817">
        <v>11</v>
      </c>
      <c r="AY684" s="817"/>
      <c r="AZ684" s="817"/>
      <c r="BA684" s="817">
        <v>1</v>
      </c>
      <c r="BC684" s="817"/>
      <c r="BD684" s="817">
        <v>16</v>
      </c>
      <c r="BE684" s="817"/>
      <c r="BF684" s="817">
        <v>6</v>
      </c>
      <c r="BG684" s="817"/>
      <c r="BH684" s="817"/>
      <c r="BI684" s="817"/>
      <c r="BJ684" s="817"/>
      <c r="BK684" s="817">
        <v>7</v>
      </c>
      <c r="BM684" s="817"/>
      <c r="BN684" s="817"/>
      <c r="BO684" s="817"/>
      <c r="BQ684" s="817">
        <v>1</v>
      </c>
      <c r="BR684" s="817"/>
      <c r="BS684" s="817"/>
      <c r="BT684" s="817"/>
      <c r="BU684" s="817"/>
    </row>
    <row r="685" spans="1:73" ht="29" x14ac:dyDescent="0.35">
      <c r="A685" s="806" t="s">
        <v>789</v>
      </c>
      <c r="B685" s="806" t="s">
        <v>1964</v>
      </c>
      <c r="C685" s="806"/>
      <c r="D685" s="806"/>
      <c r="E685" s="806"/>
      <c r="F685" s="817">
        <v>5</v>
      </c>
      <c r="L685" s="817">
        <v>2</v>
      </c>
      <c r="AA685" s="817">
        <v>6</v>
      </c>
      <c r="AB685" s="817">
        <v>54</v>
      </c>
      <c r="AH685" s="817">
        <v>3</v>
      </c>
      <c r="AN685" s="817">
        <v>1</v>
      </c>
      <c r="AW685" s="817">
        <v>11</v>
      </c>
      <c r="AX685" s="817">
        <v>19</v>
      </c>
      <c r="BA685" s="817">
        <v>1</v>
      </c>
      <c r="BD685" s="817">
        <v>8</v>
      </c>
      <c r="BF685" s="817">
        <v>12</v>
      </c>
      <c r="BK685" s="817">
        <v>10</v>
      </c>
      <c r="BQ685" s="817">
        <v>1</v>
      </c>
    </row>
    <row r="686" spans="1:73" ht="29" x14ac:dyDescent="0.35">
      <c r="A686" s="806" t="s">
        <v>789</v>
      </c>
      <c r="B686" s="806" t="s">
        <v>1965</v>
      </c>
      <c r="C686" s="806"/>
      <c r="D686" s="806"/>
      <c r="E686" s="806"/>
      <c r="F686" s="817">
        <v>2</v>
      </c>
      <c r="L686" s="817">
        <v>6</v>
      </c>
      <c r="AA686" s="817">
        <v>1</v>
      </c>
      <c r="AB686" s="817">
        <v>33</v>
      </c>
      <c r="AH686" s="817">
        <v>6</v>
      </c>
      <c r="AN686" s="817">
        <v>1</v>
      </c>
      <c r="AX686" s="817"/>
      <c r="BA686" s="817">
        <v>1</v>
      </c>
      <c r="BD686" s="817">
        <v>284</v>
      </c>
      <c r="BK686" s="817">
        <v>10</v>
      </c>
      <c r="BQ686" s="817">
        <v>12</v>
      </c>
    </row>
    <row r="687" spans="1:73" ht="29" x14ac:dyDescent="0.35">
      <c r="A687" s="806" t="s">
        <v>789</v>
      </c>
      <c r="B687" s="806" t="s">
        <v>1966</v>
      </c>
      <c r="C687" s="806"/>
      <c r="D687" s="806"/>
      <c r="E687" s="806"/>
      <c r="F687" s="817">
        <v>3</v>
      </c>
      <c r="L687" s="817">
        <v>9</v>
      </c>
      <c r="AA687" s="817">
        <v>1</v>
      </c>
      <c r="AH687" s="817">
        <v>1</v>
      </c>
      <c r="AN687" s="817"/>
      <c r="AX687" s="817"/>
      <c r="BA687" s="817">
        <v>1</v>
      </c>
      <c r="BD687" s="817">
        <v>191</v>
      </c>
      <c r="BK687" s="817">
        <v>9</v>
      </c>
      <c r="BQ687" s="817">
        <v>49</v>
      </c>
    </row>
    <row r="688" spans="1:73" ht="29" x14ac:dyDescent="0.35">
      <c r="A688" s="806" t="s">
        <v>789</v>
      </c>
      <c r="B688" s="806" t="s">
        <v>1967</v>
      </c>
      <c r="C688" s="806"/>
      <c r="D688" s="806"/>
      <c r="E688" s="806"/>
      <c r="F688" s="817">
        <v>2</v>
      </c>
      <c r="AA688" s="817">
        <v>1</v>
      </c>
      <c r="AH688" s="817"/>
      <c r="AW688" s="817"/>
      <c r="AX688" s="817"/>
      <c r="BA688" s="817">
        <v>1</v>
      </c>
      <c r="BK688" s="817">
        <v>10</v>
      </c>
      <c r="BQ688" s="817">
        <v>48</v>
      </c>
    </row>
    <row r="689" spans="1:73" ht="290" x14ac:dyDescent="0.35">
      <c r="A689" s="806" t="s">
        <v>789</v>
      </c>
      <c r="B689" s="806" t="s">
        <v>1086</v>
      </c>
      <c r="C689" s="806"/>
      <c r="D689" s="806"/>
      <c r="E689" s="806"/>
      <c r="F689" s="816" t="s">
        <v>2485</v>
      </c>
      <c r="I689" s="816"/>
      <c r="J689" s="816"/>
      <c r="K689" s="816"/>
      <c r="L689" s="816" t="s">
        <v>2664</v>
      </c>
      <c r="M689" s="816"/>
      <c r="N689" s="816"/>
      <c r="O689" s="816"/>
      <c r="P689" s="816"/>
      <c r="Q689" s="816"/>
      <c r="S689" s="816"/>
      <c r="T689" s="816"/>
      <c r="U689" s="816"/>
      <c r="V689" s="816"/>
      <c r="W689" s="816"/>
      <c r="X689" s="816"/>
      <c r="Z689" s="816"/>
      <c r="AA689" s="816" t="s">
        <v>2981</v>
      </c>
      <c r="AB689" s="816" t="s">
        <v>3035</v>
      </c>
      <c r="AC689" s="816"/>
      <c r="AD689" s="816"/>
      <c r="AE689" s="816"/>
      <c r="AF689" s="816"/>
      <c r="AG689" s="816"/>
      <c r="AH689" s="816" t="s">
        <v>3154</v>
      </c>
      <c r="AI689" s="816"/>
      <c r="AJ689" s="816"/>
      <c r="AL689" s="816"/>
      <c r="AN689" s="816" t="s">
        <v>3314</v>
      </c>
      <c r="AP689" s="816"/>
      <c r="AQ689" s="816"/>
      <c r="AR689" s="816"/>
      <c r="AS689" s="816"/>
      <c r="AT689" s="816"/>
      <c r="AU689" s="816"/>
      <c r="AV689" s="816"/>
      <c r="AW689" s="816" t="s">
        <v>3503</v>
      </c>
      <c r="AX689" s="816" t="s">
        <v>3535</v>
      </c>
      <c r="AY689" s="816"/>
      <c r="AZ689" s="816"/>
      <c r="BA689" s="816" t="s">
        <v>3623</v>
      </c>
      <c r="BC689" s="816"/>
      <c r="BD689" s="816" t="s">
        <v>3712</v>
      </c>
      <c r="BE689" s="816"/>
      <c r="BF689" s="816" t="s">
        <v>3775</v>
      </c>
      <c r="BG689" s="816"/>
      <c r="BH689" s="816"/>
      <c r="BI689" s="816"/>
      <c r="BJ689" s="816"/>
      <c r="BK689" s="816" t="s">
        <v>3984</v>
      </c>
      <c r="BM689" s="816"/>
      <c r="BN689" s="816"/>
      <c r="BO689" s="816"/>
      <c r="BQ689" s="816" t="s">
        <v>4294</v>
      </c>
      <c r="BR689" s="816"/>
      <c r="BS689" s="816"/>
      <c r="BT689" s="816"/>
      <c r="BU689" s="816"/>
    </row>
    <row r="690" spans="1:73" ht="232" x14ac:dyDescent="0.35">
      <c r="A690" s="806" t="s">
        <v>789</v>
      </c>
      <c r="B690" s="806" t="s">
        <v>1960</v>
      </c>
      <c r="C690" s="806"/>
      <c r="D690" s="806"/>
      <c r="E690" s="806"/>
      <c r="F690" s="816" t="s">
        <v>2506</v>
      </c>
      <c r="L690" s="816" t="s">
        <v>2665</v>
      </c>
      <c r="AA690" s="816" t="s">
        <v>2982</v>
      </c>
      <c r="AB690" s="816" t="s">
        <v>3036</v>
      </c>
      <c r="AH690" s="816" t="s">
        <v>3155</v>
      </c>
      <c r="AN690" s="816" t="s">
        <v>3326</v>
      </c>
      <c r="AW690" s="816" t="s">
        <v>3513</v>
      </c>
      <c r="AX690" s="816" t="s">
        <v>3546</v>
      </c>
      <c r="BA690" s="816" t="s">
        <v>3639</v>
      </c>
      <c r="BD690" s="816" t="s">
        <v>3727</v>
      </c>
      <c r="BF690" s="816" t="s">
        <v>3772</v>
      </c>
      <c r="BK690" s="816" t="s">
        <v>3985</v>
      </c>
      <c r="BQ690" s="816" t="s">
        <v>4304</v>
      </c>
    </row>
    <row r="691" spans="1:73" ht="87" x14ac:dyDescent="0.35">
      <c r="A691" s="806" t="s">
        <v>789</v>
      </c>
      <c r="B691" s="806" t="s">
        <v>1961</v>
      </c>
      <c r="C691" s="806"/>
      <c r="D691" s="806"/>
      <c r="E691" s="806"/>
      <c r="F691" s="816" t="s">
        <v>2507</v>
      </c>
      <c r="L691" s="816" t="s">
        <v>2666</v>
      </c>
      <c r="AA691" s="816" t="s">
        <v>2986</v>
      </c>
      <c r="AB691" s="816" t="s">
        <v>3046</v>
      </c>
      <c r="AH691" s="816" t="s">
        <v>3156</v>
      </c>
      <c r="AN691" s="816" t="s">
        <v>3327</v>
      </c>
      <c r="AW691" s="816"/>
      <c r="AX691" s="816"/>
      <c r="BA691" s="816" t="s">
        <v>3640</v>
      </c>
      <c r="BD691" s="816" t="s">
        <v>3729</v>
      </c>
      <c r="BK691" s="816" t="s">
        <v>3997</v>
      </c>
      <c r="BQ691" s="816" t="s">
        <v>4305</v>
      </c>
    </row>
    <row r="692" spans="1:73" ht="87" x14ac:dyDescent="0.35">
      <c r="A692" s="806" t="s">
        <v>789</v>
      </c>
      <c r="B692" s="806" t="s">
        <v>1962</v>
      </c>
      <c r="C692" s="806"/>
      <c r="D692" s="806"/>
      <c r="E692" s="806"/>
      <c r="F692" s="816" t="s">
        <v>2508</v>
      </c>
      <c r="L692" s="816" t="s">
        <v>2667</v>
      </c>
      <c r="AA692" s="816" t="s">
        <v>2991</v>
      </c>
      <c r="AH692" s="816" t="s">
        <v>3157</v>
      </c>
      <c r="AN692" s="816"/>
      <c r="AX692" s="816"/>
      <c r="BA692" s="816" t="s">
        <v>3641</v>
      </c>
      <c r="BD692" s="816" t="s">
        <v>3730</v>
      </c>
      <c r="BK692" s="816" t="s">
        <v>3998</v>
      </c>
      <c r="BQ692" s="816" t="s">
        <v>4306</v>
      </c>
    </row>
    <row r="693" spans="1:73" ht="87" x14ac:dyDescent="0.35">
      <c r="A693" s="806" t="s">
        <v>789</v>
      </c>
      <c r="B693" s="806" t="s">
        <v>1963</v>
      </c>
      <c r="C693" s="806"/>
      <c r="D693" s="806"/>
      <c r="E693" s="806"/>
      <c r="F693" s="816" t="s">
        <v>2509</v>
      </c>
      <c r="AA693" s="816" t="s">
        <v>2992</v>
      </c>
      <c r="AH693" s="816"/>
      <c r="AW693" s="816"/>
      <c r="AX693" s="816"/>
      <c r="BA693" s="816" t="s">
        <v>3642</v>
      </c>
      <c r="BD693" s="816"/>
      <c r="BK693" s="816" t="s">
        <v>3999</v>
      </c>
      <c r="BQ693" s="816" t="s">
        <v>4308</v>
      </c>
    </row>
    <row r="694" spans="1:73" x14ac:dyDescent="0.35">
      <c r="A694" s="806" t="s">
        <v>789</v>
      </c>
      <c r="B694" s="806" t="s">
        <v>1088</v>
      </c>
      <c r="C694" s="806"/>
      <c r="D694" s="806"/>
      <c r="E694" s="806"/>
      <c r="F694" s="811">
        <v>44870</v>
      </c>
      <c r="I694" s="811"/>
      <c r="J694" s="811"/>
      <c r="K694" s="811"/>
      <c r="L694" s="811">
        <v>44957</v>
      </c>
      <c r="M694" s="811"/>
      <c r="N694" s="811"/>
      <c r="O694" s="811"/>
      <c r="P694" s="811"/>
      <c r="Q694" s="811"/>
      <c r="S694" s="811"/>
      <c r="T694" s="811"/>
      <c r="U694" s="811"/>
      <c r="V694" s="811"/>
      <c r="W694" s="811"/>
      <c r="X694" s="811"/>
      <c r="Z694" s="811"/>
      <c r="AA694" s="811">
        <v>44882</v>
      </c>
      <c r="AB694" s="811">
        <v>44916</v>
      </c>
      <c r="AC694" s="811"/>
      <c r="AD694" s="811"/>
      <c r="AE694" s="811"/>
      <c r="AF694" s="811"/>
      <c r="AG694" s="811"/>
      <c r="AH694" s="811">
        <v>43901</v>
      </c>
      <c r="AI694" s="811"/>
      <c r="AJ694" s="811"/>
      <c r="AL694" s="811"/>
      <c r="AN694" s="811">
        <v>43482</v>
      </c>
      <c r="AP694" s="811"/>
      <c r="AQ694" s="811"/>
      <c r="AR694" s="811"/>
      <c r="AS694" s="811"/>
      <c r="AT694" s="811"/>
      <c r="AU694" s="811"/>
      <c r="AV694" s="811"/>
      <c r="AW694" s="811">
        <v>44064</v>
      </c>
      <c r="AX694" s="811">
        <v>43538</v>
      </c>
      <c r="AY694" s="811"/>
      <c r="AZ694" s="811"/>
      <c r="BA694" s="811">
        <v>44385</v>
      </c>
      <c r="BC694" s="811"/>
      <c r="BD694" s="811">
        <v>44103</v>
      </c>
      <c r="BE694" s="811"/>
      <c r="BF694" s="811">
        <v>44717</v>
      </c>
      <c r="BG694" s="811"/>
      <c r="BH694" s="811"/>
      <c r="BI694" s="811"/>
      <c r="BJ694" s="811"/>
      <c r="BK694" s="811">
        <v>44498</v>
      </c>
      <c r="BM694" s="811"/>
      <c r="BN694" s="811"/>
      <c r="BO694" s="811"/>
      <c r="BQ694" s="811">
        <v>43471</v>
      </c>
      <c r="BR694" s="811"/>
      <c r="BS694" s="811"/>
      <c r="BT694" s="811"/>
      <c r="BU694" s="811"/>
    </row>
    <row r="695" spans="1:73" x14ac:dyDescent="0.35">
      <c r="A695" s="806" t="s">
        <v>789</v>
      </c>
      <c r="B695" s="806" t="s">
        <v>1968</v>
      </c>
      <c r="C695" s="806"/>
      <c r="D695" s="806"/>
      <c r="E695" s="806"/>
      <c r="F695" s="811">
        <v>43736</v>
      </c>
      <c r="L695" s="811">
        <v>44519</v>
      </c>
      <c r="AA695" s="811">
        <v>44596</v>
      </c>
      <c r="AB695" s="811">
        <v>44562</v>
      </c>
      <c r="AH695" s="811">
        <v>43992</v>
      </c>
      <c r="AN695" s="811">
        <v>43702</v>
      </c>
      <c r="AW695" s="811">
        <v>43538</v>
      </c>
      <c r="AX695" s="811">
        <v>44064</v>
      </c>
      <c r="BA695" s="811">
        <v>44420</v>
      </c>
      <c r="BD695" s="811">
        <v>43740</v>
      </c>
      <c r="BF695" s="811">
        <v>44413</v>
      </c>
      <c r="BK695" s="811">
        <v>43914</v>
      </c>
      <c r="BQ695" s="811">
        <v>44316</v>
      </c>
    </row>
    <row r="696" spans="1:73" x14ac:dyDescent="0.35">
      <c r="A696" s="806" t="s">
        <v>789</v>
      </c>
      <c r="B696" s="806" t="s">
        <v>1969</v>
      </c>
      <c r="C696" s="806"/>
      <c r="D696" s="806"/>
      <c r="E696" s="806"/>
      <c r="F696" s="811">
        <v>44031</v>
      </c>
      <c r="L696" s="811">
        <v>43894</v>
      </c>
      <c r="AA696" s="811">
        <v>43998</v>
      </c>
      <c r="AB696" s="811">
        <v>44136</v>
      </c>
      <c r="AH696" s="811">
        <v>44837</v>
      </c>
      <c r="AN696" s="811">
        <v>44223</v>
      </c>
      <c r="AW696" s="811"/>
      <c r="AX696" s="811"/>
      <c r="BA696" s="811">
        <v>44420</v>
      </c>
      <c r="BD696" s="811">
        <v>44378</v>
      </c>
      <c r="BK696" s="811">
        <v>43728</v>
      </c>
      <c r="BQ696" s="811">
        <v>44409</v>
      </c>
    </row>
    <row r="697" spans="1:73" x14ac:dyDescent="0.35">
      <c r="A697" s="806" t="s">
        <v>789</v>
      </c>
      <c r="B697" s="806" t="s">
        <v>1970</v>
      </c>
      <c r="C697" s="806"/>
      <c r="D697" s="806"/>
      <c r="E697" s="806"/>
      <c r="F697" s="811">
        <v>44155</v>
      </c>
      <c r="L697" s="811">
        <v>43544</v>
      </c>
      <c r="AA697" s="811">
        <v>44410</v>
      </c>
      <c r="AH697" s="811">
        <v>44915</v>
      </c>
      <c r="AN697" s="811"/>
      <c r="AX697" s="811"/>
      <c r="BA697" s="811">
        <v>44543</v>
      </c>
      <c r="BD697" s="811">
        <v>43678</v>
      </c>
      <c r="BK697" s="811">
        <v>43678</v>
      </c>
      <c r="BQ697" s="811">
        <v>44287</v>
      </c>
    </row>
    <row r="698" spans="1:73" x14ac:dyDescent="0.35">
      <c r="A698" s="806" t="s">
        <v>789</v>
      </c>
      <c r="B698" s="806" t="s">
        <v>1971</v>
      </c>
      <c r="C698" s="806"/>
      <c r="D698" s="806"/>
      <c r="E698" s="806"/>
      <c r="F698" s="811">
        <v>44316</v>
      </c>
      <c r="AA698" s="811">
        <v>43994</v>
      </c>
      <c r="AH698" s="811"/>
      <c r="AW698" s="811"/>
      <c r="AX698" s="811"/>
      <c r="BA698" s="811">
        <v>44543</v>
      </c>
      <c r="BK698" s="811">
        <v>43539</v>
      </c>
      <c r="BQ698" s="811">
        <v>44228</v>
      </c>
    </row>
    <row r="699" spans="1:73" ht="409.5" x14ac:dyDescent="0.35">
      <c r="A699" s="806" t="s">
        <v>789</v>
      </c>
      <c r="B699" s="806" t="s">
        <v>1146</v>
      </c>
      <c r="C699" s="806"/>
      <c r="D699" s="806"/>
      <c r="E699" s="806"/>
      <c r="F699" s="816" t="s">
        <v>2528</v>
      </c>
      <c r="I699" s="816"/>
      <c r="J699" s="816"/>
      <c r="K699" s="816"/>
      <c r="L699" s="816" t="s">
        <v>2678</v>
      </c>
      <c r="M699" s="816"/>
      <c r="N699" s="816"/>
      <c r="O699" s="816"/>
      <c r="P699" s="816"/>
      <c r="Q699" s="816"/>
      <c r="S699" s="816"/>
      <c r="T699" s="816"/>
      <c r="U699" s="816"/>
      <c r="V699" s="816"/>
      <c r="W699" s="816"/>
      <c r="X699" s="816"/>
      <c r="Z699" s="816"/>
      <c r="AA699" s="816" t="s">
        <v>2989</v>
      </c>
      <c r="AB699" s="816" t="s">
        <v>3039</v>
      </c>
      <c r="AC699" s="816"/>
      <c r="AD699" s="816"/>
      <c r="AE699" s="816"/>
      <c r="AF699" s="816"/>
      <c r="AG699" s="816"/>
      <c r="AH699" s="816" t="s">
        <v>3165</v>
      </c>
      <c r="AI699" s="816"/>
      <c r="AJ699" s="816"/>
      <c r="AL699" s="816"/>
      <c r="AN699" s="816" t="s">
        <v>3324</v>
      </c>
      <c r="AP699" s="816"/>
      <c r="AQ699" s="816"/>
      <c r="AR699" s="816"/>
      <c r="AS699" s="816"/>
      <c r="AT699" s="816"/>
      <c r="AU699" s="816"/>
      <c r="AV699" s="816"/>
      <c r="AW699" s="816" t="s">
        <v>3511</v>
      </c>
      <c r="AX699" s="816" t="s">
        <v>3542</v>
      </c>
      <c r="AY699" s="816"/>
      <c r="AZ699" s="816"/>
      <c r="BA699" s="816" t="s">
        <v>3632</v>
      </c>
      <c r="BC699" s="816"/>
      <c r="BD699" s="816" t="s">
        <v>3721</v>
      </c>
      <c r="BE699" s="816"/>
      <c r="BF699" s="816" t="s">
        <v>3784</v>
      </c>
      <c r="BG699" s="816"/>
      <c r="BH699" s="816"/>
      <c r="BI699" s="816"/>
      <c r="BJ699" s="816"/>
      <c r="BK699" s="816" t="s">
        <v>4060</v>
      </c>
      <c r="BM699" s="816"/>
      <c r="BN699" s="816"/>
      <c r="BO699" s="816"/>
      <c r="BQ699" s="816" t="s">
        <v>4301</v>
      </c>
      <c r="BR699" s="816"/>
      <c r="BS699" s="816"/>
      <c r="BT699" s="816"/>
      <c r="BU699" s="816"/>
    </row>
    <row r="700" spans="1:73" x14ac:dyDescent="0.35">
      <c r="A700" s="806" t="s">
        <v>789</v>
      </c>
      <c r="B700" s="806" t="s">
        <v>931</v>
      </c>
      <c r="C700" s="806"/>
      <c r="D700" s="806"/>
      <c r="E700" s="806"/>
      <c r="F700" s="817">
        <v>0</v>
      </c>
      <c r="I700" s="817"/>
      <c r="J700" s="817"/>
      <c r="K700" s="817"/>
      <c r="L700" s="817">
        <v>0</v>
      </c>
      <c r="M700" s="817"/>
      <c r="N700" s="817"/>
      <c r="O700" s="817"/>
      <c r="P700" s="817"/>
      <c r="Q700" s="817"/>
      <c r="R700" s="817"/>
      <c r="S700" s="817"/>
      <c r="T700" s="817"/>
      <c r="U700" s="817"/>
      <c r="V700" s="817"/>
      <c r="W700" s="817"/>
      <c r="X700" s="817"/>
      <c r="Y700" s="817"/>
      <c r="Z700" s="817"/>
      <c r="AA700" s="817">
        <v>0</v>
      </c>
      <c r="AB700" s="817">
        <v>0</v>
      </c>
      <c r="AC700" s="817"/>
      <c r="AD700" s="817"/>
      <c r="AE700" s="817"/>
      <c r="AF700" s="817"/>
      <c r="AG700" s="817"/>
      <c r="AH700" s="817">
        <v>0</v>
      </c>
      <c r="AI700" s="817"/>
      <c r="AJ700" s="817"/>
      <c r="AL700" s="817"/>
      <c r="AM700" s="817"/>
      <c r="AN700" s="817">
        <v>0</v>
      </c>
      <c r="AO700" s="817"/>
      <c r="AP700" s="817"/>
      <c r="AQ700" s="817"/>
      <c r="AR700" s="817"/>
      <c r="AS700" s="817"/>
      <c r="AT700" s="817"/>
      <c r="AU700" s="817"/>
      <c r="AV700" s="817"/>
      <c r="AW700" s="817">
        <v>0</v>
      </c>
      <c r="AX700" s="817">
        <v>0</v>
      </c>
      <c r="AY700" s="817"/>
      <c r="AZ700" s="817"/>
      <c r="BA700" s="817">
        <v>0</v>
      </c>
      <c r="BC700" s="817"/>
      <c r="BD700" s="817">
        <v>0</v>
      </c>
      <c r="BE700" s="817"/>
      <c r="BF700" s="817">
        <v>0</v>
      </c>
      <c r="BG700" s="817"/>
      <c r="BH700" s="817"/>
      <c r="BI700" s="817"/>
      <c r="BJ700" s="817"/>
      <c r="BK700" s="817">
        <v>0</v>
      </c>
      <c r="BM700" s="817"/>
      <c r="BN700" s="817"/>
      <c r="BO700" s="817"/>
      <c r="BQ700" s="817">
        <v>0</v>
      </c>
      <c r="BR700" s="817"/>
      <c r="BS700" s="817"/>
      <c r="BT700" s="817"/>
      <c r="BU700" s="817"/>
    </row>
    <row r="701" spans="1:73" ht="43.5" x14ac:dyDescent="0.35">
      <c r="A701" s="806" t="s">
        <v>789</v>
      </c>
      <c r="B701" s="806" t="s">
        <v>1094</v>
      </c>
      <c r="C701" s="806"/>
      <c r="D701" s="806"/>
      <c r="E701" s="806"/>
      <c r="F701" s="816" t="s">
        <v>2510</v>
      </c>
      <c r="I701" s="816"/>
      <c r="J701" s="816"/>
      <c r="K701" s="816"/>
      <c r="L701" s="816" t="s">
        <v>2668</v>
      </c>
      <c r="M701" s="816"/>
      <c r="N701" s="816"/>
      <c r="O701" s="816"/>
      <c r="P701" s="816"/>
      <c r="Q701" s="816"/>
      <c r="S701" s="816"/>
      <c r="T701" s="816"/>
      <c r="U701" s="816"/>
      <c r="V701" s="816"/>
      <c r="W701" s="816"/>
      <c r="X701" s="816"/>
      <c r="Z701" s="816"/>
      <c r="AA701" s="816" t="s">
        <v>2983</v>
      </c>
      <c r="AB701" s="816" t="s">
        <v>3037</v>
      </c>
      <c r="AC701" s="816"/>
      <c r="AD701" s="816"/>
      <c r="AE701" s="816"/>
      <c r="AF701" s="816"/>
      <c r="AG701" s="816"/>
      <c r="AH701" s="816" t="s">
        <v>3158</v>
      </c>
      <c r="AI701" s="816"/>
      <c r="AJ701" s="816"/>
      <c r="AL701" s="816"/>
      <c r="AN701" s="816" t="s">
        <v>3315</v>
      </c>
      <c r="AP701" s="816"/>
      <c r="AQ701" s="816"/>
      <c r="AR701" s="816"/>
      <c r="AS701" s="816"/>
      <c r="AT701" s="816"/>
      <c r="AU701" s="816"/>
      <c r="AV701" s="816"/>
      <c r="AW701" s="816" t="s">
        <v>3504</v>
      </c>
      <c r="AX701" s="816" t="s">
        <v>3536</v>
      </c>
      <c r="AY701" s="816"/>
      <c r="AZ701" s="816"/>
      <c r="BA701" s="816" t="s">
        <v>3624</v>
      </c>
      <c r="BC701" s="816"/>
      <c r="BD701" s="816" t="s">
        <v>3713</v>
      </c>
      <c r="BE701" s="816"/>
      <c r="BF701" s="816" t="s">
        <v>3776</v>
      </c>
      <c r="BG701" s="816"/>
      <c r="BH701" s="816"/>
      <c r="BI701" s="816"/>
      <c r="BJ701" s="816"/>
      <c r="BK701" s="816" t="s">
        <v>4000</v>
      </c>
      <c r="BM701" s="816"/>
      <c r="BN701" s="816"/>
      <c r="BO701" s="816"/>
      <c r="BQ701" s="816" t="s">
        <v>4295</v>
      </c>
      <c r="BR701" s="816"/>
      <c r="BS701" s="816"/>
      <c r="BT701" s="816"/>
      <c r="BU701" s="816"/>
    </row>
    <row r="702" spans="1:73" x14ac:dyDescent="0.35">
      <c r="A702" s="806" t="s">
        <v>789</v>
      </c>
      <c r="B702" s="806" t="s">
        <v>1112</v>
      </c>
      <c r="C702" s="806"/>
      <c r="D702" s="806"/>
      <c r="E702" s="806"/>
      <c r="F702" s="818">
        <v>10000</v>
      </c>
      <c r="I702" s="818"/>
      <c r="J702" s="818"/>
      <c r="K702" s="818"/>
      <c r="L702" s="818">
        <v>1398000</v>
      </c>
      <c r="M702" s="818"/>
      <c r="N702" s="818"/>
      <c r="O702" s="818"/>
      <c r="P702" s="818"/>
      <c r="Q702" s="818"/>
      <c r="S702" s="818"/>
      <c r="T702" s="818"/>
      <c r="U702" s="818"/>
      <c r="V702" s="818"/>
      <c r="W702" s="818"/>
      <c r="X702" s="818"/>
      <c r="Z702" s="818"/>
      <c r="AA702" s="818">
        <v>0</v>
      </c>
      <c r="AB702" s="818">
        <v>695000</v>
      </c>
      <c r="AC702" s="818"/>
      <c r="AD702" s="818"/>
      <c r="AE702" s="818"/>
      <c r="AF702" s="818"/>
      <c r="AG702" s="818"/>
      <c r="AH702" s="818">
        <v>1</v>
      </c>
      <c r="AI702" s="818"/>
      <c r="AJ702" s="818"/>
      <c r="AL702" s="818"/>
      <c r="AN702" s="818">
        <v>1</v>
      </c>
      <c r="AP702" s="818"/>
      <c r="AQ702" s="818"/>
      <c r="AR702" s="818"/>
      <c r="AS702" s="818"/>
      <c r="AT702" s="818"/>
      <c r="AU702" s="818"/>
      <c r="AV702" s="818"/>
      <c r="AW702" s="818">
        <v>1377500</v>
      </c>
      <c r="AX702" s="818">
        <v>0</v>
      </c>
      <c r="AY702" s="818"/>
      <c r="AZ702" s="818"/>
      <c r="BA702" s="818">
        <v>130000</v>
      </c>
      <c r="BC702" s="818"/>
      <c r="BD702" s="818">
        <v>3200000</v>
      </c>
      <c r="BE702" s="818"/>
      <c r="BF702" s="818">
        <v>688000</v>
      </c>
      <c r="BG702" s="818"/>
      <c r="BH702" s="818"/>
      <c r="BI702" s="818"/>
      <c r="BJ702" s="818"/>
      <c r="BK702" s="818">
        <v>2900000</v>
      </c>
      <c r="BM702" s="818"/>
      <c r="BN702" s="818"/>
      <c r="BO702" s="818"/>
      <c r="BQ702" s="818">
        <v>0</v>
      </c>
      <c r="BR702" s="818"/>
      <c r="BS702" s="818"/>
      <c r="BT702" s="818"/>
      <c r="BU702" s="818"/>
    </row>
    <row r="703" spans="1:73" ht="29" x14ac:dyDescent="0.35">
      <c r="A703" s="806" t="s">
        <v>789</v>
      </c>
      <c r="B703" s="806" t="s">
        <v>2010</v>
      </c>
      <c r="C703" s="806"/>
      <c r="D703" s="806"/>
      <c r="E703" s="806"/>
      <c r="F703" s="806"/>
      <c r="BF703" s="816" t="s">
        <v>198</v>
      </c>
    </row>
    <row r="704" spans="1:73" x14ac:dyDescent="0.35">
      <c r="A704" s="806" t="s">
        <v>789</v>
      </c>
      <c r="B704" s="806" t="s">
        <v>928</v>
      </c>
      <c r="C704" s="806"/>
      <c r="D704" s="806"/>
      <c r="E704" s="806"/>
      <c r="F704" s="817">
        <v>10</v>
      </c>
      <c r="I704" s="817"/>
      <c r="J704" s="817"/>
      <c r="K704" s="817"/>
      <c r="L704" s="817">
        <v>0</v>
      </c>
      <c r="M704" s="817"/>
      <c r="N704" s="817"/>
      <c r="O704" s="817"/>
      <c r="P704" s="817"/>
      <c r="Q704" s="817"/>
      <c r="R704" s="817"/>
      <c r="S704" s="817"/>
      <c r="T704" s="817"/>
      <c r="U704" s="817"/>
      <c r="V704" s="817"/>
      <c r="W704" s="817"/>
      <c r="X704" s="817"/>
      <c r="Y704" s="817"/>
      <c r="Z704" s="817"/>
      <c r="AA704" s="817">
        <v>10</v>
      </c>
      <c r="AB704" s="817">
        <v>10</v>
      </c>
      <c r="AC704" s="817"/>
      <c r="AD704" s="817"/>
      <c r="AE704" s="817"/>
      <c r="AF704" s="817"/>
      <c r="AG704" s="817"/>
      <c r="AH704" s="817">
        <v>0</v>
      </c>
      <c r="AI704" s="817"/>
      <c r="AJ704" s="817"/>
      <c r="AL704" s="817"/>
      <c r="AM704" s="817"/>
      <c r="AN704" s="817">
        <v>0</v>
      </c>
      <c r="AO704" s="817"/>
      <c r="AP704" s="817"/>
      <c r="AQ704" s="817"/>
      <c r="AR704" s="817"/>
      <c r="AS704" s="817"/>
      <c r="AT704" s="817"/>
      <c r="AU704" s="817"/>
      <c r="AV704" s="817"/>
      <c r="AW704" s="817">
        <v>0</v>
      </c>
      <c r="AX704" s="817">
        <v>0</v>
      </c>
      <c r="AY704" s="817"/>
      <c r="AZ704" s="817"/>
      <c r="BA704" s="817">
        <v>10</v>
      </c>
      <c r="BC704" s="817"/>
      <c r="BD704" s="817">
        <v>10</v>
      </c>
      <c r="BE704" s="817"/>
      <c r="BF704" s="817">
        <v>10</v>
      </c>
      <c r="BG704" s="817"/>
      <c r="BH704" s="817"/>
      <c r="BI704" s="817"/>
      <c r="BJ704" s="817"/>
      <c r="BK704" s="817">
        <v>0</v>
      </c>
      <c r="BM704" s="817"/>
      <c r="BN704" s="817"/>
      <c r="BO704" s="817"/>
      <c r="BQ704" s="817">
        <v>10</v>
      </c>
      <c r="BR704" s="817"/>
      <c r="BS704" s="817"/>
      <c r="BT704" s="817"/>
      <c r="BU704" s="817"/>
    </row>
    <row r="705" spans="1:73" ht="203" x14ac:dyDescent="0.35">
      <c r="A705" s="806" t="s">
        <v>789</v>
      </c>
      <c r="B705" s="806" t="s">
        <v>1139</v>
      </c>
      <c r="C705" s="806"/>
      <c r="D705" s="806"/>
      <c r="E705" s="806"/>
      <c r="F705" s="816" t="s">
        <v>2522</v>
      </c>
      <c r="I705" s="816"/>
      <c r="J705" s="816"/>
      <c r="K705" s="816"/>
      <c r="L705" s="816" t="s">
        <v>2685</v>
      </c>
      <c r="M705" s="816"/>
      <c r="N705" s="816"/>
      <c r="O705" s="816"/>
      <c r="P705" s="816"/>
      <c r="Q705" s="816"/>
      <c r="S705" s="816"/>
      <c r="T705" s="816"/>
      <c r="U705" s="816"/>
      <c r="V705" s="816"/>
      <c r="W705" s="816"/>
      <c r="X705" s="816"/>
      <c r="Z705" s="816"/>
      <c r="AA705" s="816" t="s">
        <v>2998</v>
      </c>
      <c r="AB705" s="816" t="s">
        <v>3047</v>
      </c>
      <c r="AC705" s="816"/>
      <c r="AD705" s="816"/>
      <c r="AE705" s="816"/>
      <c r="AF705" s="816"/>
      <c r="AG705" s="816"/>
      <c r="AH705" s="816" t="s">
        <v>3183</v>
      </c>
      <c r="AI705" s="816"/>
      <c r="AJ705" s="816"/>
      <c r="AL705" s="816"/>
      <c r="AN705" s="816" t="s">
        <v>3322</v>
      </c>
      <c r="AP705" s="816"/>
      <c r="AQ705" s="816"/>
      <c r="AR705" s="816"/>
      <c r="AS705" s="816"/>
      <c r="AT705" s="816"/>
      <c r="AU705" s="816"/>
      <c r="AV705" s="816"/>
      <c r="AW705" s="816" t="s">
        <v>3509</v>
      </c>
      <c r="AX705" s="816" t="s">
        <v>3509</v>
      </c>
      <c r="AY705" s="816"/>
      <c r="AZ705" s="816"/>
      <c r="BA705" s="816" t="s">
        <v>3630</v>
      </c>
      <c r="BC705" s="816"/>
      <c r="BD705" s="816" t="s">
        <v>3719</v>
      </c>
      <c r="BE705" s="816"/>
      <c r="BF705" s="816" t="s">
        <v>3782</v>
      </c>
      <c r="BG705" s="816"/>
      <c r="BH705" s="816"/>
      <c r="BI705" s="816"/>
      <c r="BJ705" s="816"/>
      <c r="BK705" s="816" t="s">
        <v>4077</v>
      </c>
      <c r="BM705" s="816"/>
      <c r="BN705" s="816"/>
      <c r="BO705" s="816"/>
      <c r="BQ705" s="816" t="s">
        <v>4299</v>
      </c>
      <c r="BR705" s="816"/>
      <c r="BS705" s="816"/>
      <c r="BT705" s="816"/>
      <c r="BU705" s="816"/>
    </row>
    <row r="706" spans="1:73" ht="203" x14ac:dyDescent="0.35">
      <c r="A706" s="806" t="s">
        <v>789</v>
      </c>
      <c r="B706" s="806" t="s">
        <v>2080</v>
      </c>
      <c r="C706" s="806"/>
      <c r="D706" s="806"/>
      <c r="E706" s="806"/>
      <c r="F706" s="816" t="s">
        <v>2522</v>
      </c>
      <c r="L706" s="816" t="s">
        <v>2686</v>
      </c>
      <c r="AA706" s="816" t="s">
        <v>2998</v>
      </c>
      <c r="AB706" s="816" t="s">
        <v>3047</v>
      </c>
      <c r="AH706" s="816" t="s">
        <v>3201</v>
      </c>
      <c r="AW706" s="816" t="s">
        <v>3509</v>
      </c>
      <c r="AX706" s="816" t="s">
        <v>3509</v>
      </c>
      <c r="BD706" s="816" t="s">
        <v>3719</v>
      </c>
      <c r="BF706" s="816" t="s">
        <v>3782</v>
      </c>
      <c r="BK706" s="816" t="s">
        <v>4077</v>
      </c>
      <c r="BQ706" s="816" t="s">
        <v>4299</v>
      </c>
    </row>
    <row r="707" spans="1:73" ht="203" x14ac:dyDescent="0.35">
      <c r="A707" s="806" t="s">
        <v>789</v>
      </c>
      <c r="B707" s="806" t="s">
        <v>2081</v>
      </c>
      <c r="C707" s="806"/>
      <c r="D707" s="806"/>
      <c r="E707" s="806"/>
      <c r="F707" s="806"/>
      <c r="L707" s="816" t="s">
        <v>2686</v>
      </c>
      <c r="AA707" s="816" t="s">
        <v>2998</v>
      </c>
      <c r="AB707" s="816" t="s">
        <v>3047</v>
      </c>
      <c r="AH707" s="816" t="s">
        <v>3201</v>
      </c>
      <c r="AW707" s="816"/>
      <c r="AX707" s="816" t="s">
        <v>3509</v>
      </c>
      <c r="BD707" s="816" t="s">
        <v>3731</v>
      </c>
      <c r="BF707" s="816" t="s">
        <v>3782</v>
      </c>
      <c r="BK707" s="816" t="s">
        <v>4077</v>
      </c>
      <c r="BQ707" s="816" t="s">
        <v>4299</v>
      </c>
    </row>
    <row r="708" spans="1:73" ht="203" x14ac:dyDescent="0.35">
      <c r="A708" s="806" t="s">
        <v>789</v>
      </c>
      <c r="B708" s="806" t="s">
        <v>2082</v>
      </c>
      <c r="C708" s="806"/>
      <c r="D708" s="806"/>
      <c r="E708" s="806"/>
      <c r="F708" s="806"/>
      <c r="L708" s="816" t="s">
        <v>2686</v>
      </c>
      <c r="AA708" s="816" t="s">
        <v>2998</v>
      </c>
      <c r="AB708" s="816" t="s">
        <v>3047</v>
      </c>
      <c r="AX708" s="816" t="s">
        <v>3509</v>
      </c>
      <c r="BD708" s="816" t="s">
        <v>3719</v>
      </c>
      <c r="BK708" s="816" t="s">
        <v>4077</v>
      </c>
    </row>
    <row r="709" spans="1:73" ht="29" x14ac:dyDescent="0.35">
      <c r="A709" s="806" t="s">
        <v>789</v>
      </c>
      <c r="B709" s="806" t="s">
        <v>2083</v>
      </c>
      <c r="C709" s="806"/>
      <c r="D709" s="806"/>
      <c r="E709" s="806"/>
      <c r="F709" s="806"/>
      <c r="L709" s="816" t="s">
        <v>2686</v>
      </c>
      <c r="AB709" s="816" t="s">
        <v>3047</v>
      </c>
      <c r="AX709" s="816" t="s">
        <v>3509</v>
      </c>
      <c r="BK709" s="816" t="s">
        <v>4077</v>
      </c>
    </row>
    <row r="710" spans="1:73" ht="29" x14ac:dyDescent="0.35">
      <c r="A710" s="806" t="s">
        <v>789</v>
      </c>
      <c r="B710" s="806" t="s">
        <v>2084</v>
      </c>
      <c r="C710" s="806"/>
      <c r="D710" s="806"/>
      <c r="E710" s="806"/>
      <c r="F710" s="806"/>
      <c r="AX710" s="816" t="s">
        <v>3509</v>
      </c>
      <c r="BK710" s="816" t="s">
        <v>4077</v>
      </c>
    </row>
    <row r="711" spans="1:73" x14ac:dyDescent="0.35">
      <c r="A711" s="806" t="s">
        <v>789</v>
      </c>
      <c r="B711" s="806" t="s">
        <v>935</v>
      </c>
      <c r="C711" s="806"/>
      <c r="D711" s="806"/>
      <c r="E711" s="806"/>
      <c r="F711" s="816" t="s">
        <v>503</v>
      </c>
      <c r="I711" s="816"/>
      <c r="J711" s="816"/>
      <c r="K711" s="816"/>
      <c r="L711" s="816" t="s">
        <v>198</v>
      </c>
      <c r="M711" s="816"/>
      <c r="N711" s="816"/>
      <c r="O711" s="816"/>
      <c r="P711" s="816"/>
      <c r="Q711" s="816"/>
      <c r="R711" s="816"/>
      <c r="S711" s="816"/>
      <c r="T711" s="816"/>
      <c r="U711" s="816"/>
      <c r="V711" s="816"/>
      <c r="W711" s="816"/>
      <c r="X711" s="816"/>
      <c r="Y711" s="816"/>
      <c r="Z711" s="816"/>
      <c r="AA711" s="816" t="s">
        <v>198</v>
      </c>
      <c r="AB711" s="816" t="s">
        <v>198</v>
      </c>
      <c r="AC711" s="816"/>
      <c r="AD711" s="816"/>
      <c r="AE711" s="816"/>
      <c r="AF711" s="816"/>
      <c r="AG711" s="816"/>
      <c r="AH711" s="816" t="s">
        <v>503</v>
      </c>
      <c r="AI711" s="816"/>
      <c r="AJ711" s="816"/>
      <c r="AL711" s="816"/>
      <c r="AM711" s="816"/>
      <c r="AN711" s="816" t="s">
        <v>503</v>
      </c>
      <c r="AO711" s="816"/>
      <c r="AP711" s="816"/>
      <c r="AQ711" s="816"/>
      <c r="AR711" s="816"/>
      <c r="AS711" s="816"/>
      <c r="AT711" s="816"/>
      <c r="AU711" s="816"/>
      <c r="AV711" s="816"/>
      <c r="AW711" s="816" t="s">
        <v>198</v>
      </c>
      <c r="AX711" s="816" t="s">
        <v>198</v>
      </c>
      <c r="AY711" s="816"/>
      <c r="AZ711" s="816"/>
      <c r="BA711" s="816" t="s">
        <v>503</v>
      </c>
      <c r="BC711" s="816"/>
      <c r="BD711" s="816" t="s">
        <v>198</v>
      </c>
      <c r="BE711" s="816"/>
      <c r="BF711" s="816" t="s">
        <v>198</v>
      </c>
      <c r="BG711" s="816"/>
      <c r="BH711" s="816"/>
      <c r="BI711" s="816"/>
      <c r="BJ711" s="816"/>
      <c r="BK711" s="816" t="s">
        <v>198</v>
      </c>
      <c r="BM711" s="816"/>
      <c r="BN711" s="816"/>
      <c r="BO711" s="816"/>
      <c r="BQ711" s="816" t="s">
        <v>198</v>
      </c>
      <c r="BR711" s="816"/>
      <c r="BS711" s="816"/>
      <c r="BT711" s="816"/>
      <c r="BU711" s="816"/>
    </row>
    <row r="712" spans="1:73" x14ac:dyDescent="0.35">
      <c r="A712" s="806" t="s">
        <v>789</v>
      </c>
      <c r="B712" s="806" t="s">
        <v>1149</v>
      </c>
      <c r="C712" s="806"/>
      <c r="D712" s="806"/>
      <c r="E712" s="806"/>
      <c r="F712" s="822">
        <v>500</v>
      </c>
      <c r="I712" s="822"/>
      <c r="K712" s="822"/>
      <c r="L712" s="822">
        <v>6000</v>
      </c>
      <c r="M712" s="822"/>
      <c r="N712" s="822"/>
      <c r="O712" s="822"/>
      <c r="P712" s="822"/>
      <c r="Q712" s="822"/>
      <c r="S712" s="822"/>
      <c r="T712" s="822"/>
      <c r="U712" s="822"/>
      <c r="V712" s="822"/>
      <c r="W712" s="822"/>
      <c r="X712" s="822"/>
      <c r="Z712" s="822"/>
      <c r="AA712" s="822">
        <v>500</v>
      </c>
      <c r="AB712" s="822">
        <v>1200</v>
      </c>
      <c r="AC712" s="822"/>
      <c r="AD712" s="822"/>
      <c r="AE712" s="822"/>
      <c r="AF712" s="822"/>
      <c r="AG712" s="822"/>
      <c r="AH712" s="822">
        <v>500</v>
      </c>
      <c r="AI712" s="822"/>
      <c r="AJ712" s="822"/>
      <c r="AL712" s="822"/>
      <c r="AN712" s="822">
        <v>500</v>
      </c>
      <c r="AP712" s="822"/>
      <c r="AQ712" s="822"/>
      <c r="AR712" s="822"/>
      <c r="AS712" s="822"/>
      <c r="AT712" s="822"/>
      <c r="AU712" s="822"/>
      <c r="AV712" s="822"/>
      <c r="AW712" s="822">
        <v>8000</v>
      </c>
      <c r="AX712" s="822">
        <v>7500</v>
      </c>
      <c r="AY712" s="822"/>
      <c r="AZ712" s="822"/>
      <c r="BA712" s="822">
        <v>500</v>
      </c>
      <c r="BC712" s="822"/>
      <c r="BD712" s="822">
        <v>0</v>
      </c>
      <c r="BE712" s="822"/>
      <c r="BF712" s="822">
        <v>9500</v>
      </c>
      <c r="BG712" s="822"/>
      <c r="BH712" s="822"/>
      <c r="BI712" s="822"/>
      <c r="BJ712" s="822"/>
      <c r="BK712" s="822">
        <v>1500</v>
      </c>
      <c r="BM712" s="822"/>
      <c r="BN712" s="822"/>
      <c r="BO712" s="822"/>
      <c r="BQ712" s="822">
        <v>7000</v>
      </c>
      <c r="BR712" s="822"/>
      <c r="BS712" s="822"/>
      <c r="BT712" s="822"/>
      <c r="BU712" s="822"/>
    </row>
    <row r="713" spans="1:73" x14ac:dyDescent="0.35">
      <c r="A713" s="806" t="s">
        <v>789</v>
      </c>
      <c r="B713" s="806" t="s">
        <v>1116</v>
      </c>
      <c r="C713" s="806"/>
      <c r="D713" s="806"/>
      <c r="E713" s="806"/>
      <c r="F713" s="816" t="b">
        <v>1</v>
      </c>
      <c r="I713" s="816"/>
      <c r="K713" s="816"/>
      <c r="L713" s="816" t="b">
        <v>1</v>
      </c>
      <c r="M713" s="816"/>
      <c r="N713" s="816"/>
      <c r="O713" s="816"/>
      <c r="P713" s="816"/>
      <c r="Q713" s="816"/>
      <c r="S713" s="816"/>
      <c r="T713" s="816"/>
      <c r="U713" s="816"/>
      <c r="V713" s="816"/>
      <c r="W713" s="816"/>
      <c r="X713" s="816"/>
      <c r="Z713" s="816"/>
      <c r="AA713" s="816" t="b">
        <v>1</v>
      </c>
      <c r="AB713" s="816" t="b">
        <v>1</v>
      </c>
      <c r="AC713" s="816"/>
      <c r="AD713" s="816"/>
      <c r="AE713" s="816"/>
      <c r="AF713" s="816"/>
      <c r="AG713" s="816"/>
      <c r="AH713" s="816" t="b">
        <v>1</v>
      </c>
      <c r="AI713" s="816"/>
      <c r="AJ713" s="816"/>
      <c r="AL713" s="816"/>
      <c r="AN713" s="816" t="b">
        <v>1</v>
      </c>
      <c r="AP713" s="816"/>
      <c r="AQ713" s="816"/>
      <c r="AR713" s="816"/>
      <c r="AS713" s="816"/>
      <c r="AT713" s="816"/>
      <c r="AU713" s="816"/>
      <c r="AV713" s="816"/>
      <c r="AW713" s="816" t="b">
        <v>1</v>
      </c>
      <c r="AX713" s="816" t="b">
        <v>1</v>
      </c>
      <c r="AY713" s="816"/>
      <c r="AZ713" s="816"/>
      <c r="BA713" s="816" t="b">
        <v>1</v>
      </c>
      <c r="BC713" s="816"/>
      <c r="BD713" s="816" t="b">
        <v>1</v>
      </c>
      <c r="BE713" s="816"/>
      <c r="BF713" s="816" t="b">
        <v>1</v>
      </c>
      <c r="BG713" s="816"/>
      <c r="BH713" s="816"/>
      <c r="BI713" s="816"/>
      <c r="BJ713" s="816"/>
      <c r="BK713" s="816" t="b">
        <v>1</v>
      </c>
      <c r="BM713" s="816"/>
      <c r="BN713" s="816"/>
      <c r="BO713" s="816"/>
      <c r="BQ713" s="816"/>
      <c r="BR713" s="816"/>
      <c r="BS713" s="816"/>
      <c r="BT713" s="816"/>
      <c r="BU713" s="816"/>
    </row>
    <row r="714" spans="1:73" ht="29" x14ac:dyDescent="0.35">
      <c r="A714" s="806" t="s">
        <v>789</v>
      </c>
      <c r="B714" s="806" t="s">
        <v>1125</v>
      </c>
      <c r="C714" s="806"/>
      <c r="D714" s="806"/>
      <c r="E714" s="806"/>
      <c r="F714" s="816" t="s">
        <v>2516</v>
      </c>
      <c r="I714" s="816"/>
      <c r="J714" s="816"/>
      <c r="K714" s="816"/>
      <c r="L714" s="816" t="s">
        <v>2675</v>
      </c>
      <c r="M714" s="816"/>
      <c r="N714" s="816"/>
      <c r="O714" s="816"/>
      <c r="P714" s="816"/>
      <c r="Q714" s="816"/>
      <c r="S714" s="816"/>
      <c r="T714" s="816"/>
      <c r="U714" s="816"/>
      <c r="V714" s="816"/>
      <c r="W714" s="816"/>
      <c r="X714" s="816"/>
      <c r="Z714" s="816"/>
      <c r="AA714" s="816" t="s">
        <v>2517</v>
      </c>
      <c r="AB714" s="816" t="s">
        <v>2009</v>
      </c>
      <c r="AC714" s="816"/>
      <c r="AD714" s="816"/>
      <c r="AE714" s="816"/>
      <c r="AF714" s="816"/>
      <c r="AG714" s="816"/>
      <c r="AH714" s="816" t="s">
        <v>2009</v>
      </c>
      <c r="AI714" s="816"/>
      <c r="AJ714" s="816"/>
      <c r="AL714" s="816"/>
      <c r="AN714" s="816" t="s">
        <v>3319</v>
      </c>
      <c r="AP714" s="816"/>
      <c r="AQ714" s="816"/>
      <c r="AR714" s="816"/>
      <c r="AS714" s="816"/>
      <c r="AT714" s="816"/>
      <c r="AU714" s="816"/>
      <c r="AV714" s="816"/>
      <c r="AW714" s="816" t="s">
        <v>2009</v>
      </c>
      <c r="AX714" s="816" t="s">
        <v>2517</v>
      </c>
      <c r="AY714" s="816"/>
      <c r="AZ714" s="816"/>
      <c r="BA714" s="816" t="s">
        <v>2009</v>
      </c>
      <c r="BC714" s="816"/>
      <c r="BD714" s="816" t="s">
        <v>2009</v>
      </c>
      <c r="BE714" s="816"/>
      <c r="BF714" s="816" t="s">
        <v>3780</v>
      </c>
      <c r="BG714" s="816"/>
      <c r="BH714" s="816"/>
      <c r="BI714" s="816"/>
      <c r="BJ714" s="816"/>
      <c r="BK714" s="816" t="s">
        <v>2009</v>
      </c>
      <c r="BM714" s="816"/>
      <c r="BN714" s="816"/>
      <c r="BO714" s="816"/>
      <c r="BQ714" s="816" t="s">
        <v>2009</v>
      </c>
      <c r="BR714" s="816"/>
      <c r="BS714" s="816"/>
      <c r="BT714" s="816"/>
      <c r="BU714" s="816"/>
    </row>
    <row r="715" spans="1:73" ht="29" x14ac:dyDescent="0.35">
      <c r="A715" s="806" t="s">
        <v>789</v>
      </c>
      <c r="B715" s="806" t="s">
        <v>1126</v>
      </c>
      <c r="C715" s="806"/>
      <c r="D715" s="806"/>
      <c r="E715" s="806"/>
      <c r="F715" s="811">
        <v>44544</v>
      </c>
      <c r="I715" s="811"/>
      <c r="J715" s="811"/>
      <c r="K715" s="811"/>
      <c r="L715" s="811">
        <v>44287</v>
      </c>
      <c r="M715" s="811"/>
      <c r="N715" s="811"/>
      <c r="O715" s="811"/>
      <c r="P715" s="811"/>
      <c r="Q715" s="811"/>
      <c r="S715" s="811"/>
      <c r="T715" s="811"/>
      <c r="U715" s="811"/>
      <c r="V715" s="811"/>
      <c r="W715" s="811"/>
      <c r="X715" s="811"/>
      <c r="Z715" s="811"/>
      <c r="AA715" s="811">
        <v>44785</v>
      </c>
      <c r="AB715" s="811">
        <v>44853</v>
      </c>
      <c r="AC715" s="811"/>
      <c r="AD715" s="811"/>
      <c r="AE715" s="811"/>
      <c r="AF715" s="811"/>
      <c r="AG715" s="811"/>
      <c r="AH715" s="811">
        <v>44907</v>
      </c>
      <c r="AI715" s="811"/>
      <c r="AJ715" s="811"/>
      <c r="AL715" s="811"/>
      <c r="AN715" s="811">
        <v>44769</v>
      </c>
      <c r="AP715" s="811"/>
      <c r="AQ715" s="811"/>
      <c r="AR715" s="811"/>
      <c r="AS715" s="811"/>
      <c r="AT715" s="811"/>
      <c r="AU715" s="811"/>
      <c r="AV715" s="811"/>
      <c r="AW715" s="811">
        <v>42458</v>
      </c>
      <c r="AX715" s="811">
        <v>43633</v>
      </c>
      <c r="AY715" s="811"/>
      <c r="AZ715" s="811"/>
      <c r="BA715" s="811">
        <v>44134</v>
      </c>
      <c r="BC715" s="811"/>
      <c r="BD715" s="811">
        <v>36526</v>
      </c>
      <c r="BE715" s="811"/>
      <c r="BF715" s="811">
        <v>44561</v>
      </c>
      <c r="BG715" s="811"/>
      <c r="BH715" s="811"/>
      <c r="BI715" s="811"/>
      <c r="BJ715" s="811"/>
      <c r="BK715" s="811">
        <v>44631</v>
      </c>
      <c r="BM715" s="811"/>
      <c r="BN715" s="811"/>
      <c r="BO715" s="811"/>
      <c r="BQ715" s="811">
        <v>44802</v>
      </c>
      <c r="BR715" s="811"/>
      <c r="BS715" s="811"/>
      <c r="BT715" s="811"/>
      <c r="BU715" s="811"/>
    </row>
    <row r="716" spans="1:73" ht="275.5" x14ac:dyDescent="0.35">
      <c r="A716" s="806" t="s">
        <v>789</v>
      </c>
      <c r="B716" s="806" t="s">
        <v>1127</v>
      </c>
      <c r="C716" s="806"/>
      <c r="D716" s="806"/>
      <c r="E716" s="806"/>
      <c r="F716" s="816" t="s">
        <v>2530</v>
      </c>
      <c r="I716" s="816"/>
      <c r="J716" s="816"/>
      <c r="K716" s="816"/>
      <c r="L716" s="816" t="s">
        <v>2679</v>
      </c>
      <c r="M716" s="816"/>
      <c r="N716" s="816"/>
      <c r="O716" s="816"/>
      <c r="P716" s="816"/>
      <c r="Q716" s="816"/>
      <c r="S716" s="816"/>
      <c r="T716" s="816"/>
      <c r="U716" s="816"/>
      <c r="V716" s="816"/>
      <c r="W716" s="816"/>
      <c r="X716" s="816"/>
      <c r="Z716" s="816"/>
      <c r="AA716" s="816" t="s">
        <v>3010</v>
      </c>
      <c r="AC716" s="816"/>
      <c r="AD716" s="816"/>
      <c r="AE716" s="816"/>
      <c r="AF716" s="816"/>
      <c r="AG716" s="816"/>
      <c r="AI716" s="816"/>
      <c r="AJ716" s="816"/>
      <c r="AL716" s="816"/>
      <c r="AN716" s="816" t="s">
        <v>3320</v>
      </c>
      <c r="AP716" s="816"/>
      <c r="AQ716" s="816"/>
      <c r="AR716" s="816"/>
      <c r="AS716" s="816"/>
      <c r="AT716" s="816"/>
      <c r="AU716" s="816"/>
      <c r="AV716" s="816"/>
      <c r="AW716" s="816"/>
      <c r="AX716" s="816" t="s">
        <v>3539</v>
      </c>
      <c r="AY716" s="816"/>
      <c r="AZ716" s="816"/>
      <c r="BA716" s="816" t="s">
        <v>3628</v>
      </c>
      <c r="BC716" s="816"/>
      <c r="BD716" s="816" t="s">
        <v>3716</v>
      </c>
      <c r="BE716" s="816"/>
      <c r="BF716" s="816" t="s">
        <v>3781</v>
      </c>
      <c r="BG716" s="816"/>
      <c r="BH716" s="816"/>
      <c r="BI716" s="816"/>
      <c r="BJ716" s="816"/>
      <c r="BM716" s="816"/>
      <c r="BN716" s="816"/>
      <c r="BO716" s="816"/>
      <c r="BQ716" s="816"/>
      <c r="BR716" s="816"/>
      <c r="BS716" s="816"/>
      <c r="BT716" s="816"/>
      <c r="BU716" s="816"/>
    </row>
    <row r="717" spans="1:73" ht="409.5" x14ac:dyDescent="0.35">
      <c r="A717" s="806" t="s">
        <v>789</v>
      </c>
      <c r="B717" s="806" t="s">
        <v>1118</v>
      </c>
      <c r="C717" s="806"/>
      <c r="D717" s="806"/>
      <c r="E717" s="806"/>
      <c r="F717" s="816" t="s">
        <v>2515</v>
      </c>
      <c r="I717" s="816"/>
      <c r="J717" s="816"/>
      <c r="K717" s="816"/>
      <c r="L717" s="816" t="s">
        <v>2673</v>
      </c>
      <c r="M717" s="816"/>
      <c r="N717" s="816"/>
      <c r="O717" s="816"/>
      <c r="P717" s="816"/>
      <c r="Q717" s="816"/>
      <c r="S717" s="816"/>
      <c r="T717" s="816"/>
      <c r="U717" s="816"/>
      <c r="V717" s="816"/>
      <c r="W717" s="816"/>
      <c r="X717" s="816"/>
      <c r="Z717" s="816"/>
      <c r="AA717" s="816" t="s">
        <v>2994</v>
      </c>
      <c r="AB717" s="816" t="s">
        <v>3043</v>
      </c>
      <c r="AC717" s="816"/>
      <c r="AD717" s="816"/>
      <c r="AE717" s="816"/>
      <c r="AF717" s="816"/>
      <c r="AG717" s="816"/>
      <c r="AI717" s="816"/>
      <c r="AJ717" s="816"/>
      <c r="AL717" s="816"/>
      <c r="AN717" s="816" t="s">
        <v>3318</v>
      </c>
      <c r="AP717" s="816"/>
      <c r="AQ717" s="816"/>
      <c r="AR717" s="816"/>
      <c r="AS717" s="816"/>
      <c r="AT717" s="816"/>
      <c r="AU717" s="816"/>
      <c r="AV717" s="816"/>
      <c r="AW717" s="816" t="s">
        <v>3508</v>
      </c>
      <c r="AX717" s="816" t="s">
        <v>3538</v>
      </c>
      <c r="AY717" s="816"/>
      <c r="AZ717" s="816"/>
      <c r="BA717" s="816" t="s">
        <v>3627</v>
      </c>
      <c r="BC717" s="816"/>
      <c r="BD717" s="816" t="s">
        <v>3715</v>
      </c>
      <c r="BE717" s="816"/>
      <c r="BF717" s="816" t="s">
        <v>3779</v>
      </c>
      <c r="BG717" s="816"/>
      <c r="BH717" s="816"/>
      <c r="BI717" s="816"/>
      <c r="BJ717" s="816"/>
      <c r="BK717" s="816" t="s">
        <v>4011</v>
      </c>
      <c r="BM717" s="816"/>
      <c r="BN717" s="816"/>
      <c r="BO717" s="816"/>
      <c r="BQ717" s="816" t="s">
        <v>4297</v>
      </c>
      <c r="BR717" s="816"/>
      <c r="BS717" s="816"/>
      <c r="BT717" s="816"/>
      <c r="BU717" s="816"/>
    </row>
    <row r="718" spans="1:73" ht="29" x14ac:dyDescent="0.35">
      <c r="A718" s="806" t="s">
        <v>789</v>
      </c>
      <c r="B718" s="806" t="s">
        <v>1130</v>
      </c>
      <c r="C718" s="806"/>
      <c r="D718" s="806"/>
      <c r="E718" s="806"/>
      <c r="F718" s="816" t="s">
        <v>2517</v>
      </c>
      <c r="I718" s="816"/>
      <c r="J718" s="816"/>
      <c r="K718" s="816"/>
      <c r="L718" s="816" t="s">
        <v>2680</v>
      </c>
      <c r="M718" s="816"/>
      <c r="N718" s="816"/>
      <c r="O718" s="816"/>
      <c r="P718" s="816"/>
      <c r="Q718" s="816"/>
      <c r="S718" s="816"/>
      <c r="T718" s="816"/>
      <c r="U718" s="816"/>
      <c r="V718" s="816"/>
      <c r="W718" s="816"/>
      <c r="X718" s="816"/>
      <c r="Z718" s="816"/>
      <c r="AA718" s="816" t="s">
        <v>2681</v>
      </c>
      <c r="AB718" s="816" t="s">
        <v>2681</v>
      </c>
      <c r="AC718" s="816"/>
      <c r="AD718" s="816"/>
      <c r="AE718" s="816"/>
      <c r="AF718" s="816"/>
      <c r="AG718" s="816"/>
      <c r="AH718" s="816"/>
      <c r="AI718" s="816"/>
      <c r="AJ718" s="816"/>
      <c r="AL718" s="816"/>
      <c r="AN718" s="816"/>
      <c r="AP718" s="816"/>
      <c r="AQ718" s="816"/>
      <c r="AR718" s="816"/>
      <c r="AS718" s="816"/>
      <c r="AT718" s="816"/>
      <c r="AU718" s="816"/>
      <c r="AV718" s="816"/>
      <c r="AW718" s="816" t="s">
        <v>2680</v>
      </c>
      <c r="AX718" s="816" t="s">
        <v>2680</v>
      </c>
      <c r="AY718" s="816"/>
      <c r="AZ718" s="816"/>
      <c r="BA718" s="816" t="s">
        <v>2681</v>
      </c>
      <c r="BC718" s="816"/>
      <c r="BD718" s="816" t="s">
        <v>3718</v>
      </c>
      <c r="BE718" s="816"/>
      <c r="BF718" s="816"/>
      <c r="BG718" s="816"/>
      <c r="BH718" s="816"/>
      <c r="BI718" s="816"/>
      <c r="BJ718" s="816"/>
      <c r="BK718" s="816" t="s">
        <v>2681</v>
      </c>
      <c r="BM718" s="816"/>
      <c r="BN718" s="816"/>
      <c r="BO718" s="816"/>
      <c r="BQ718" s="816" t="s">
        <v>2680</v>
      </c>
      <c r="BR718" s="816"/>
      <c r="BS718" s="816"/>
      <c r="BT718" s="816"/>
      <c r="BU718" s="816"/>
    </row>
    <row r="719" spans="1:73" x14ac:dyDescent="0.35">
      <c r="A719" s="806" t="s">
        <v>789</v>
      </c>
      <c r="B719" s="806" t="s">
        <v>1129</v>
      </c>
      <c r="C719" s="806"/>
      <c r="D719" s="806"/>
      <c r="E719" s="806"/>
      <c r="F719" s="806"/>
      <c r="I719" s="811"/>
      <c r="J719" s="811"/>
      <c r="K719" s="811"/>
      <c r="L719" s="811"/>
      <c r="M719" s="811"/>
      <c r="N719" s="811"/>
      <c r="O719" s="811"/>
      <c r="P719" s="811"/>
      <c r="Q719" s="811"/>
      <c r="S719" s="811"/>
      <c r="T719" s="811"/>
      <c r="U719" s="811"/>
      <c r="V719" s="811"/>
      <c r="W719" s="811"/>
      <c r="X719" s="811"/>
      <c r="Z719" s="811"/>
      <c r="AA719" s="811">
        <v>44572</v>
      </c>
      <c r="AC719" s="811"/>
      <c r="AD719" s="811"/>
      <c r="AE719" s="811"/>
      <c r="AF719" s="811"/>
      <c r="AG719" s="811"/>
      <c r="AH719" s="811"/>
      <c r="AI719" s="811"/>
      <c r="AJ719" s="811"/>
      <c r="AL719" s="811"/>
      <c r="AN719" s="811"/>
      <c r="AP719" s="811"/>
      <c r="AQ719" s="811"/>
      <c r="AR719" s="811"/>
      <c r="AS719" s="811"/>
      <c r="AT719" s="811"/>
      <c r="AU719" s="811"/>
      <c r="AV719" s="811"/>
      <c r="AW719" s="811">
        <v>44519</v>
      </c>
      <c r="AX719" s="811">
        <v>44958</v>
      </c>
      <c r="AY719" s="811"/>
      <c r="AZ719" s="811"/>
      <c r="BA719" s="811"/>
      <c r="BC719" s="811"/>
      <c r="BD719" s="811">
        <v>44978</v>
      </c>
      <c r="BE719" s="811"/>
      <c r="BF719" s="811"/>
      <c r="BG719" s="811"/>
      <c r="BH719" s="811"/>
      <c r="BI719" s="811"/>
      <c r="BJ719" s="811"/>
      <c r="BK719" s="811">
        <v>44943</v>
      </c>
      <c r="BM719" s="811"/>
      <c r="BN719" s="811"/>
      <c r="BO719" s="811"/>
      <c r="BQ719" s="811">
        <v>44300</v>
      </c>
      <c r="BR719" s="811"/>
      <c r="BS719" s="811"/>
      <c r="BT719" s="811"/>
      <c r="BU719" s="811"/>
    </row>
    <row r="720" spans="1:73" ht="29" x14ac:dyDescent="0.35">
      <c r="A720" s="806" t="s">
        <v>789</v>
      </c>
      <c r="B720" s="806" t="s">
        <v>1128</v>
      </c>
      <c r="C720" s="806"/>
      <c r="D720" s="806"/>
      <c r="E720" s="806"/>
      <c r="F720" s="816" t="s">
        <v>2518</v>
      </c>
      <c r="I720" s="816"/>
      <c r="J720" s="816"/>
      <c r="K720" s="816"/>
      <c r="L720" s="816" t="s">
        <v>2676</v>
      </c>
      <c r="M720" s="816"/>
      <c r="N720" s="816"/>
      <c r="O720" s="816"/>
      <c r="P720" s="816"/>
      <c r="Q720" s="816"/>
      <c r="S720" s="816"/>
      <c r="T720" s="816"/>
      <c r="U720" s="816"/>
      <c r="V720" s="816"/>
      <c r="W720" s="816"/>
      <c r="X720" s="816"/>
      <c r="Z720" s="816"/>
      <c r="AA720" s="816" t="s">
        <v>2995</v>
      </c>
      <c r="AB720" s="816" t="s">
        <v>3044</v>
      </c>
      <c r="AC720" s="816"/>
      <c r="AD720" s="816"/>
      <c r="AE720" s="816"/>
      <c r="AF720" s="816"/>
      <c r="AG720" s="816"/>
      <c r="AH720" s="816" t="s">
        <v>3162</v>
      </c>
      <c r="AI720" s="816"/>
      <c r="AJ720" s="816"/>
      <c r="AL720" s="816"/>
      <c r="AN720" s="816" t="s">
        <v>3321</v>
      </c>
      <c r="AP720" s="816"/>
      <c r="AQ720" s="816"/>
      <c r="AR720" s="816"/>
      <c r="AS720" s="816"/>
      <c r="AT720" s="816"/>
      <c r="AU720" s="816"/>
      <c r="AV720" s="816"/>
      <c r="AW720" s="816" t="s">
        <v>3498</v>
      </c>
      <c r="AX720" s="816" t="s">
        <v>3529</v>
      </c>
      <c r="AY720" s="816"/>
      <c r="AZ720" s="816"/>
      <c r="BA720" s="816" t="s">
        <v>3629</v>
      </c>
      <c r="BC720" s="816"/>
      <c r="BD720" s="816" t="s">
        <v>3717</v>
      </c>
      <c r="BE720" s="816"/>
      <c r="BF720" s="816"/>
      <c r="BG720" s="816"/>
      <c r="BH720" s="816"/>
      <c r="BI720" s="816"/>
      <c r="BJ720" s="816"/>
      <c r="BK720" s="816" t="s">
        <v>4005</v>
      </c>
      <c r="BM720" s="816"/>
      <c r="BN720" s="816"/>
      <c r="BO720" s="816"/>
      <c r="BQ720" s="816" t="s">
        <v>4298</v>
      </c>
      <c r="BR720" s="816"/>
      <c r="BS720" s="816"/>
      <c r="BT720" s="816"/>
      <c r="BU720" s="816"/>
    </row>
    <row r="721" spans="1:73" ht="29" x14ac:dyDescent="0.35">
      <c r="A721" s="806" t="s">
        <v>789</v>
      </c>
      <c r="B721" s="806" t="s">
        <v>1089</v>
      </c>
      <c r="C721" s="806"/>
      <c r="D721" s="806"/>
      <c r="E721" s="806"/>
      <c r="F721" s="816" t="s">
        <v>198</v>
      </c>
      <c r="I721" s="816"/>
      <c r="J721" s="816"/>
      <c r="K721" s="816"/>
      <c r="L721" s="816" t="s">
        <v>198</v>
      </c>
      <c r="M721" s="816"/>
      <c r="N721" s="816"/>
      <c r="O721" s="816"/>
      <c r="P721" s="816"/>
      <c r="Q721" s="816"/>
      <c r="S721" s="816"/>
      <c r="T721" s="816"/>
      <c r="U721" s="816"/>
      <c r="V721" s="816"/>
      <c r="W721" s="816"/>
      <c r="X721" s="816"/>
      <c r="Z721" s="816"/>
      <c r="AA721" s="816" t="s">
        <v>198</v>
      </c>
      <c r="AB721" s="816" t="s">
        <v>198</v>
      </c>
      <c r="AC721" s="816"/>
      <c r="AD721" s="816"/>
      <c r="AE721" s="816"/>
      <c r="AF721" s="816"/>
      <c r="AG721" s="816"/>
      <c r="AH721" s="816" t="s">
        <v>198</v>
      </c>
      <c r="AI721" s="816"/>
      <c r="AJ721" s="816"/>
      <c r="AL721" s="816"/>
      <c r="AN721" s="816" t="s">
        <v>198</v>
      </c>
      <c r="AP721" s="816"/>
      <c r="AQ721" s="816"/>
      <c r="AR721" s="816"/>
      <c r="AS721" s="816"/>
      <c r="AT721" s="816"/>
      <c r="AU721" s="816"/>
      <c r="AV721" s="816"/>
      <c r="AW721" s="816" t="s">
        <v>198</v>
      </c>
      <c r="AX721" s="816" t="s">
        <v>198</v>
      </c>
      <c r="AY721" s="816"/>
      <c r="AZ721" s="816"/>
      <c r="BA721" s="816" t="s">
        <v>198</v>
      </c>
      <c r="BC721" s="816"/>
      <c r="BD721" s="816" t="s">
        <v>198</v>
      </c>
      <c r="BE721" s="816"/>
      <c r="BF721" s="816" t="s">
        <v>198</v>
      </c>
      <c r="BG721" s="816"/>
      <c r="BH721" s="816"/>
      <c r="BI721" s="816"/>
      <c r="BJ721" s="816"/>
      <c r="BK721" s="816" t="s">
        <v>198</v>
      </c>
      <c r="BM721" s="816"/>
      <c r="BN721" s="816"/>
      <c r="BO721" s="816"/>
      <c r="BQ721" s="816" t="s">
        <v>198</v>
      </c>
      <c r="BR721" s="816"/>
      <c r="BS721" s="816"/>
      <c r="BT721" s="816"/>
      <c r="BU721" s="816"/>
    </row>
    <row r="722" spans="1:73" ht="29" x14ac:dyDescent="0.35">
      <c r="A722" s="806" t="s">
        <v>789</v>
      </c>
      <c r="B722" s="806" t="s">
        <v>1119</v>
      </c>
      <c r="C722" s="806"/>
      <c r="D722" s="806"/>
      <c r="E722" s="806"/>
      <c r="F722" s="816" t="s">
        <v>198</v>
      </c>
      <c r="I722" s="816"/>
      <c r="J722" s="816"/>
      <c r="K722" s="816"/>
      <c r="L722" s="816" t="s">
        <v>503</v>
      </c>
      <c r="M722" s="816"/>
      <c r="N722" s="816"/>
      <c r="O722" s="816"/>
      <c r="P722" s="816"/>
      <c r="Q722" s="816"/>
      <c r="S722" s="816"/>
      <c r="T722" s="816"/>
      <c r="U722" s="816"/>
      <c r="V722" s="816"/>
      <c r="W722" s="816"/>
      <c r="X722" s="816"/>
      <c r="Z722" s="816"/>
      <c r="AA722" s="816" t="s">
        <v>198</v>
      </c>
      <c r="AB722" s="816" t="s">
        <v>503</v>
      </c>
      <c r="AC722" s="816"/>
      <c r="AD722" s="816"/>
      <c r="AE722" s="816"/>
      <c r="AF722" s="816"/>
      <c r="AG722" s="816"/>
      <c r="AH722" s="816" t="s">
        <v>503</v>
      </c>
      <c r="AI722" s="816"/>
      <c r="AJ722" s="816"/>
      <c r="AL722" s="816"/>
      <c r="AN722" s="816" t="s">
        <v>503</v>
      </c>
      <c r="AP722" s="816"/>
      <c r="AQ722" s="816"/>
      <c r="AR722" s="816"/>
      <c r="AS722" s="816"/>
      <c r="AT722" s="816"/>
      <c r="AU722" s="816"/>
      <c r="AV722" s="816"/>
      <c r="AW722" s="816" t="s">
        <v>198</v>
      </c>
      <c r="AX722" s="816" t="s">
        <v>503</v>
      </c>
      <c r="AY722" s="816"/>
      <c r="AZ722" s="816"/>
      <c r="BA722" s="816" t="s">
        <v>503</v>
      </c>
      <c r="BC722" s="816"/>
      <c r="BD722" s="816" t="s">
        <v>503</v>
      </c>
      <c r="BE722" s="816"/>
      <c r="BF722" s="816" t="s">
        <v>503</v>
      </c>
      <c r="BG722" s="816"/>
      <c r="BH722" s="816"/>
      <c r="BI722" s="816"/>
      <c r="BJ722" s="816"/>
      <c r="BK722" s="816" t="s">
        <v>198</v>
      </c>
      <c r="BM722" s="816"/>
      <c r="BN722" s="816"/>
      <c r="BO722" s="816"/>
      <c r="BQ722" s="816" t="s">
        <v>198</v>
      </c>
      <c r="BR722" s="816"/>
      <c r="BS722" s="816"/>
      <c r="BT722" s="816"/>
      <c r="BU722" s="816"/>
    </row>
    <row r="723" spans="1:73" x14ac:dyDescent="0.35">
      <c r="A723" s="806" t="s">
        <v>789</v>
      </c>
      <c r="B723" s="806" t="s">
        <v>1120</v>
      </c>
      <c r="C723" s="806"/>
      <c r="D723" s="806"/>
      <c r="E723" s="806"/>
      <c r="F723" s="811">
        <v>43517</v>
      </c>
      <c r="I723" s="811"/>
      <c r="J723" s="811"/>
      <c r="K723" s="811"/>
      <c r="L723" s="811">
        <v>45108</v>
      </c>
      <c r="M723" s="811"/>
      <c r="N723" s="811"/>
      <c r="O723" s="811"/>
      <c r="P723" s="811"/>
      <c r="Q723" s="811"/>
      <c r="S723" s="811"/>
      <c r="T723" s="811"/>
      <c r="U723" s="811"/>
      <c r="V723" s="811"/>
      <c r="W723" s="811"/>
      <c r="X723" s="811"/>
      <c r="Z723" s="811"/>
      <c r="AA723" s="811">
        <v>44207</v>
      </c>
      <c r="AB723" s="811">
        <v>45068</v>
      </c>
      <c r="AC723" s="811"/>
      <c r="AD723" s="811"/>
      <c r="AE723" s="811"/>
      <c r="AF723" s="811"/>
      <c r="AG723" s="811"/>
      <c r="AH723" s="811">
        <v>45078</v>
      </c>
      <c r="AI723" s="811"/>
      <c r="AJ723" s="811"/>
      <c r="AL723" s="811"/>
      <c r="AN723" s="811">
        <v>45200</v>
      </c>
      <c r="AP723" s="811"/>
      <c r="AQ723" s="811"/>
      <c r="AR723" s="811"/>
      <c r="AS723" s="811"/>
      <c r="AT723" s="811"/>
      <c r="AU723" s="811"/>
      <c r="AV723" s="811"/>
      <c r="AW723" s="811">
        <v>43228</v>
      </c>
      <c r="AX723" s="811">
        <v>45020</v>
      </c>
      <c r="AY723" s="811"/>
      <c r="AZ723" s="811"/>
      <c r="BA723" s="811">
        <v>45098</v>
      </c>
      <c r="BC723" s="811"/>
      <c r="BD723" s="811">
        <v>45107</v>
      </c>
      <c r="BE723" s="811"/>
      <c r="BF723" s="811">
        <v>45107</v>
      </c>
      <c r="BG723" s="811"/>
      <c r="BH723" s="811"/>
      <c r="BI723" s="811"/>
      <c r="BJ723" s="811"/>
      <c r="BK723" s="811">
        <v>44943</v>
      </c>
      <c r="BM723" s="811"/>
      <c r="BN723" s="811"/>
      <c r="BO723" s="811"/>
      <c r="BQ723" s="811">
        <v>44096</v>
      </c>
      <c r="BR723" s="811"/>
      <c r="BS723" s="811"/>
      <c r="BT723" s="811"/>
      <c r="BU723" s="811"/>
    </row>
    <row r="724" spans="1:73" x14ac:dyDescent="0.35">
      <c r="A724" s="806" t="s">
        <v>789</v>
      </c>
      <c r="B724" s="806" t="s">
        <v>932</v>
      </c>
      <c r="C724" s="806"/>
      <c r="D724" s="806"/>
      <c r="E724" s="806"/>
      <c r="F724" s="817">
        <v>89</v>
      </c>
      <c r="I724" s="817"/>
      <c r="J724" s="817"/>
      <c r="K724" s="817"/>
      <c r="L724" s="817">
        <v>85</v>
      </c>
      <c r="M724" s="817"/>
      <c r="N724" s="817"/>
      <c r="O724" s="817"/>
      <c r="P724" s="817"/>
      <c r="Q724" s="817"/>
      <c r="R724" s="817"/>
      <c r="S724" s="817"/>
      <c r="T724" s="817"/>
      <c r="U724" s="817"/>
      <c r="V724" s="817"/>
      <c r="W724" s="817"/>
      <c r="X724" s="817"/>
      <c r="Y724" s="817"/>
      <c r="Z724" s="817"/>
      <c r="AA724" s="817">
        <v>94</v>
      </c>
      <c r="AB724" s="817">
        <v>85</v>
      </c>
      <c r="AC724" s="817"/>
      <c r="AD724" s="817"/>
      <c r="AE724" s="817"/>
      <c r="AF724" s="817"/>
      <c r="AG724" s="817"/>
      <c r="AH724" s="817">
        <v>85</v>
      </c>
      <c r="AI724" s="817"/>
      <c r="AJ724" s="817"/>
      <c r="AL724" s="817"/>
      <c r="AM724" s="817"/>
      <c r="AN724" s="817">
        <v>68</v>
      </c>
      <c r="AO724" s="817"/>
      <c r="AP724" s="817"/>
      <c r="AQ724" s="817"/>
      <c r="AR724" s="817"/>
      <c r="AS724" s="817"/>
      <c r="AT724" s="817"/>
      <c r="AU724" s="817"/>
      <c r="AV724" s="817"/>
      <c r="AW724" s="817">
        <v>81</v>
      </c>
      <c r="AX724" s="817">
        <v>82</v>
      </c>
      <c r="AY724" s="817"/>
      <c r="AZ724" s="817"/>
      <c r="BA724" s="817">
        <v>89</v>
      </c>
      <c r="BC724" s="817"/>
      <c r="BD724" s="817">
        <v>87</v>
      </c>
      <c r="BE724" s="817"/>
      <c r="BF724" s="817">
        <v>83</v>
      </c>
      <c r="BG724" s="817"/>
      <c r="BH724" s="817"/>
      <c r="BI724" s="817"/>
      <c r="BJ724" s="817"/>
      <c r="BK724" s="817">
        <v>81</v>
      </c>
      <c r="BM724" s="817"/>
      <c r="BN724" s="817"/>
      <c r="BO724" s="817"/>
      <c r="BQ724" s="817">
        <v>86</v>
      </c>
      <c r="BR724" s="817"/>
      <c r="BS724" s="817"/>
      <c r="BT724" s="817"/>
      <c r="BU724" s="817"/>
    </row>
    <row r="725" spans="1:73" x14ac:dyDescent="0.35">
      <c r="A725" s="806" t="s">
        <v>789</v>
      </c>
      <c r="B725" s="806" t="s">
        <v>933</v>
      </c>
      <c r="C725" s="806"/>
      <c r="D725" s="806"/>
      <c r="E725" s="806"/>
      <c r="F725" s="818">
        <v>1602500</v>
      </c>
      <c r="I725" s="818"/>
      <c r="J725" s="818"/>
      <c r="K725" s="818"/>
      <c r="L725" s="818">
        <v>3003000</v>
      </c>
      <c r="M725" s="818"/>
      <c r="N725" s="818"/>
      <c r="O725" s="818"/>
      <c r="P725" s="818"/>
      <c r="Q725" s="818"/>
      <c r="R725" s="818"/>
      <c r="S725" s="818"/>
      <c r="T725" s="818"/>
      <c r="U725" s="818"/>
      <c r="V725" s="818"/>
      <c r="W725" s="818"/>
      <c r="X725" s="818"/>
      <c r="Y725" s="818"/>
      <c r="Z725" s="818"/>
      <c r="AA725" s="818">
        <v>7500000</v>
      </c>
      <c r="AB725" s="818">
        <v>1000000</v>
      </c>
      <c r="AC725" s="818"/>
      <c r="AD725" s="818"/>
      <c r="AE725" s="818"/>
      <c r="AF725" s="818"/>
      <c r="AG725" s="818"/>
      <c r="AH725" s="818">
        <v>3253250</v>
      </c>
      <c r="AI725" s="818"/>
      <c r="AJ725" s="818"/>
      <c r="AL725" s="818"/>
      <c r="AM725" s="818"/>
      <c r="AN725" s="818">
        <v>2200000</v>
      </c>
      <c r="AO725" s="818"/>
      <c r="AP725" s="818"/>
      <c r="AQ725" s="818"/>
      <c r="AR725" s="818"/>
      <c r="AS725" s="818"/>
      <c r="AT725" s="818"/>
      <c r="AU725" s="818"/>
      <c r="AV725" s="818"/>
      <c r="AW725" s="818">
        <v>2202750</v>
      </c>
      <c r="AX725" s="818">
        <v>2600000</v>
      </c>
      <c r="AY725" s="818"/>
      <c r="AZ725" s="818"/>
      <c r="BA725" s="818">
        <v>5505500</v>
      </c>
      <c r="BC725" s="818"/>
      <c r="BD725" s="818">
        <v>5000000</v>
      </c>
      <c r="BE725" s="818"/>
      <c r="BF725" s="818">
        <v>7500000</v>
      </c>
      <c r="BG725" s="818"/>
      <c r="BH725" s="818"/>
      <c r="BI725" s="818"/>
      <c r="BJ725" s="818"/>
      <c r="BK725" s="818">
        <v>4806000</v>
      </c>
      <c r="BM725" s="818"/>
      <c r="BN725" s="818"/>
      <c r="BO725" s="818"/>
      <c r="BQ725" s="818">
        <v>10000000</v>
      </c>
      <c r="BR725" s="818"/>
      <c r="BS725" s="818"/>
      <c r="BT725" s="818"/>
      <c r="BU725" s="818"/>
    </row>
    <row r="726" spans="1:73" x14ac:dyDescent="0.35">
      <c r="A726" s="806" t="s">
        <v>789</v>
      </c>
      <c r="B726" s="806" t="s">
        <v>1098</v>
      </c>
      <c r="C726" s="806"/>
      <c r="D726" s="806"/>
      <c r="E726" s="806"/>
      <c r="F726" s="817">
        <v>10</v>
      </c>
      <c r="I726" s="817"/>
      <c r="J726" s="817"/>
      <c r="K726" s="817"/>
      <c r="L726" s="817">
        <v>12</v>
      </c>
      <c r="M726" s="817"/>
      <c r="N726" s="817"/>
      <c r="O726" s="817"/>
      <c r="P726" s="817"/>
      <c r="Q726" s="817"/>
      <c r="S726" s="817"/>
      <c r="T726" s="817"/>
      <c r="U726" s="817"/>
      <c r="V726" s="817"/>
      <c r="W726" s="817"/>
      <c r="X726" s="817"/>
      <c r="Z726" s="817"/>
      <c r="AA726" s="817">
        <v>30</v>
      </c>
      <c r="AB726" s="817">
        <v>69</v>
      </c>
      <c r="AC726" s="817"/>
      <c r="AD726" s="817"/>
      <c r="AE726" s="817"/>
      <c r="AF726" s="817"/>
      <c r="AG726" s="817"/>
      <c r="AH726" s="817">
        <v>13</v>
      </c>
      <c r="AI726" s="817"/>
      <c r="AJ726" s="817"/>
      <c r="AL726" s="817"/>
      <c r="AN726" s="817">
        <v>10</v>
      </c>
      <c r="AP726" s="817"/>
      <c r="AQ726" s="817"/>
      <c r="AR726" s="817"/>
      <c r="AS726" s="817"/>
      <c r="AT726" s="817"/>
      <c r="AU726" s="817"/>
      <c r="AV726" s="817"/>
      <c r="AW726" s="817">
        <v>11</v>
      </c>
      <c r="AX726" s="817">
        <v>15</v>
      </c>
      <c r="AY726" s="817"/>
      <c r="AZ726" s="817"/>
      <c r="BA726" s="817">
        <v>22</v>
      </c>
      <c r="BC726" s="817"/>
      <c r="BD726" s="817">
        <v>65</v>
      </c>
      <c r="BE726" s="817"/>
      <c r="BF726" s="817">
        <v>30</v>
      </c>
      <c r="BG726" s="817"/>
      <c r="BH726" s="817"/>
      <c r="BI726" s="817"/>
      <c r="BJ726" s="817"/>
      <c r="BK726" s="817">
        <v>24</v>
      </c>
      <c r="BM726" s="817"/>
      <c r="BN726" s="817"/>
      <c r="BO726" s="817"/>
      <c r="BQ726" s="817">
        <v>107</v>
      </c>
      <c r="BR726" s="817"/>
      <c r="BS726" s="817"/>
      <c r="BT726" s="817"/>
      <c r="BU726" s="817"/>
    </row>
    <row r="727" spans="1:73" ht="29" x14ac:dyDescent="0.35">
      <c r="A727" s="806" t="s">
        <v>789</v>
      </c>
      <c r="B727" s="806" t="s">
        <v>1101</v>
      </c>
      <c r="C727" s="806"/>
      <c r="D727" s="806"/>
      <c r="E727" s="806"/>
      <c r="F727" s="816" t="s">
        <v>2511</v>
      </c>
      <c r="I727" s="816"/>
      <c r="J727" s="816"/>
      <c r="K727" s="816"/>
      <c r="L727" s="816" t="s">
        <v>2669</v>
      </c>
      <c r="M727" s="816"/>
      <c r="N727" s="816"/>
      <c r="O727" s="816"/>
      <c r="P727" s="816"/>
      <c r="Q727" s="816"/>
      <c r="S727" s="816"/>
      <c r="T727" s="816"/>
      <c r="U727" s="816"/>
      <c r="V727" s="816"/>
      <c r="W727" s="816"/>
      <c r="X727" s="816"/>
      <c r="Z727" s="816"/>
      <c r="AA727" s="816" t="s">
        <v>2669</v>
      </c>
      <c r="AB727" s="816" t="s">
        <v>2511</v>
      </c>
      <c r="AC727" s="816"/>
      <c r="AD727" s="816"/>
      <c r="AE727" s="816"/>
      <c r="AF727" s="816"/>
      <c r="AG727" s="816"/>
      <c r="AH727" s="816" t="s">
        <v>3159</v>
      </c>
      <c r="AI727" s="816"/>
      <c r="AJ727" s="816"/>
      <c r="AL727" s="816"/>
      <c r="AN727" s="816" t="s">
        <v>2511</v>
      </c>
      <c r="AP727" s="816"/>
      <c r="AQ727" s="816"/>
      <c r="AR727" s="816"/>
      <c r="AS727" s="816"/>
      <c r="AT727" s="816"/>
      <c r="AU727" s="816"/>
      <c r="AV727" s="816"/>
      <c r="AW727" s="816" t="s">
        <v>3505</v>
      </c>
      <c r="AX727" s="816" t="s">
        <v>3505</v>
      </c>
      <c r="AY727" s="816"/>
      <c r="AZ727" s="816"/>
      <c r="BA727" s="816" t="s">
        <v>3159</v>
      </c>
      <c r="BC727" s="816"/>
      <c r="BD727" s="816" t="s">
        <v>3505</v>
      </c>
      <c r="BE727" s="816"/>
      <c r="BF727" s="816" t="s">
        <v>2511</v>
      </c>
      <c r="BG727" s="816"/>
      <c r="BH727" s="816"/>
      <c r="BI727" s="816"/>
      <c r="BJ727" s="816"/>
      <c r="BK727" s="816" t="s">
        <v>2511</v>
      </c>
      <c r="BM727" s="816"/>
      <c r="BN727" s="816"/>
      <c r="BO727" s="816"/>
      <c r="BQ727" s="816" t="s">
        <v>2517</v>
      </c>
      <c r="BR727" s="816"/>
      <c r="BS727" s="816"/>
      <c r="BT727" s="816"/>
      <c r="BU727" s="816"/>
    </row>
    <row r="728" spans="1:73" x14ac:dyDescent="0.35">
      <c r="A728" s="806" t="s">
        <v>789</v>
      </c>
      <c r="B728" s="806" t="s">
        <v>1135</v>
      </c>
      <c r="C728" s="806"/>
      <c r="D728" s="806"/>
      <c r="E728" s="806"/>
      <c r="F728" s="817">
        <v>1</v>
      </c>
      <c r="I728" s="817"/>
      <c r="J728" s="817"/>
      <c r="K728" s="817"/>
      <c r="L728" s="817">
        <v>2</v>
      </c>
      <c r="M728" s="817"/>
      <c r="N728" s="817"/>
      <c r="O728" s="817"/>
      <c r="P728" s="817"/>
      <c r="Q728" s="817"/>
      <c r="S728" s="817"/>
      <c r="T728" s="817"/>
      <c r="U728" s="817"/>
      <c r="V728" s="817"/>
      <c r="W728" s="817"/>
      <c r="X728" s="817"/>
      <c r="Z728" s="817"/>
      <c r="AA728" s="817">
        <v>1</v>
      </c>
      <c r="AB728" s="817">
        <v>2</v>
      </c>
      <c r="AC728" s="817"/>
      <c r="AD728" s="817"/>
      <c r="AE728" s="817"/>
      <c r="AF728" s="817"/>
      <c r="AG728" s="817"/>
      <c r="AH728" s="817">
        <v>2</v>
      </c>
      <c r="AI728" s="817"/>
      <c r="AJ728" s="817"/>
      <c r="AL728" s="817"/>
      <c r="AN728" s="817">
        <v>3</v>
      </c>
      <c r="AP728" s="817"/>
      <c r="AQ728" s="817"/>
      <c r="AR728" s="817"/>
      <c r="AS728" s="817"/>
      <c r="AT728" s="817"/>
      <c r="AU728" s="817"/>
      <c r="AV728" s="817"/>
      <c r="AW728" s="817">
        <v>1</v>
      </c>
      <c r="AX728" s="817">
        <v>1</v>
      </c>
      <c r="AY728" s="817"/>
      <c r="AZ728" s="817"/>
      <c r="BA728" s="817">
        <v>2</v>
      </c>
      <c r="BC728" s="817"/>
      <c r="BD728" s="817">
        <v>1</v>
      </c>
      <c r="BE728" s="817"/>
      <c r="BF728" s="817">
        <v>2</v>
      </c>
      <c r="BG728" s="817"/>
      <c r="BH728" s="817"/>
      <c r="BI728" s="817"/>
      <c r="BJ728" s="817"/>
      <c r="BK728" s="817">
        <v>2</v>
      </c>
      <c r="BM728" s="817"/>
      <c r="BN728" s="817"/>
      <c r="BO728" s="817"/>
      <c r="BQ728" s="817">
        <v>2</v>
      </c>
      <c r="BR728" s="817"/>
      <c r="BS728" s="817"/>
      <c r="BT728" s="817"/>
      <c r="BU728" s="817"/>
    </row>
    <row r="729" spans="1:73" x14ac:dyDescent="0.35">
      <c r="A729" s="806" t="s">
        <v>789</v>
      </c>
      <c r="B729" s="806" t="s">
        <v>2053</v>
      </c>
      <c r="C729" s="806"/>
      <c r="D729" s="806"/>
      <c r="E729" s="806"/>
      <c r="F729" s="817">
        <v>2</v>
      </c>
      <c r="L729" s="817">
        <v>2</v>
      </c>
      <c r="AA729" s="817">
        <v>2</v>
      </c>
      <c r="AB729" s="817">
        <v>2</v>
      </c>
      <c r="AH729" s="817">
        <v>2</v>
      </c>
      <c r="AW729" s="817">
        <v>3</v>
      </c>
      <c r="AX729" s="817">
        <v>1</v>
      </c>
      <c r="BD729" s="817">
        <v>1</v>
      </c>
      <c r="BF729" s="817">
        <v>2</v>
      </c>
      <c r="BK729" s="817">
        <v>2</v>
      </c>
      <c r="BQ729" s="817">
        <v>2</v>
      </c>
    </row>
    <row r="730" spans="1:73" x14ac:dyDescent="0.35">
      <c r="A730" s="806" t="s">
        <v>789</v>
      </c>
      <c r="B730" s="806" t="s">
        <v>2054</v>
      </c>
      <c r="C730" s="806"/>
      <c r="D730" s="806"/>
      <c r="E730" s="806"/>
      <c r="F730" s="806"/>
      <c r="L730" s="817">
        <v>2</v>
      </c>
      <c r="AA730" s="817">
        <v>2</v>
      </c>
      <c r="AB730" s="817">
        <v>2</v>
      </c>
      <c r="AH730" s="817">
        <v>2</v>
      </c>
      <c r="AW730" s="817"/>
      <c r="AX730" s="817">
        <v>1</v>
      </c>
      <c r="BD730" s="817">
        <v>1</v>
      </c>
      <c r="BF730" s="817">
        <v>2</v>
      </c>
      <c r="BK730" s="817">
        <v>2</v>
      </c>
      <c r="BQ730" s="817">
        <v>2</v>
      </c>
    </row>
    <row r="731" spans="1:73" x14ac:dyDescent="0.35">
      <c r="A731" s="806" t="s">
        <v>789</v>
      </c>
      <c r="B731" s="806" t="s">
        <v>2055</v>
      </c>
      <c r="C731" s="806"/>
      <c r="D731" s="806"/>
      <c r="E731" s="806"/>
      <c r="F731" s="806"/>
      <c r="L731" s="817">
        <v>2</v>
      </c>
      <c r="AA731" s="817">
        <v>2</v>
      </c>
      <c r="AB731" s="817">
        <v>2</v>
      </c>
      <c r="AW731" s="817"/>
      <c r="AX731" s="817">
        <v>1</v>
      </c>
      <c r="BD731" s="817">
        <v>1</v>
      </c>
      <c r="BK731" s="817">
        <v>2</v>
      </c>
    </row>
    <row r="732" spans="1:73" x14ac:dyDescent="0.35">
      <c r="A732" s="806" t="s">
        <v>789</v>
      </c>
      <c r="B732" s="806" t="s">
        <v>2056</v>
      </c>
      <c r="C732" s="806"/>
      <c r="D732" s="806"/>
      <c r="E732" s="806"/>
      <c r="F732" s="806"/>
      <c r="L732" s="817">
        <v>2</v>
      </c>
      <c r="AB732" s="817">
        <v>2</v>
      </c>
      <c r="AX732" s="817">
        <v>1</v>
      </c>
      <c r="BK732" s="817">
        <v>2</v>
      </c>
    </row>
    <row r="733" spans="1:73" x14ac:dyDescent="0.35">
      <c r="A733" s="806" t="s">
        <v>789</v>
      </c>
      <c r="B733" s="806" t="s">
        <v>2057</v>
      </c>
      <c r="C733" s="806"/>
      <c r="D733" s="806"/>
      <c r="E733" s="806"/>
      <c r="F733" s="806"/>
      <c r="AX733" s="817">
        <v>2</v>
      </c>
      <c r="BK733" s="817">
        <v>2</v>
      </c>
    </row>
    <row r="734" spans="1:73" x14ac:dyDescent="0.35">
      <c r="A734" s="806" t="s">
        <v>789</v>
      </c>
      <c r="B734" s="806" t="s">
        <v>1134</v>
      </c>
      <c r="C734" s="806"/>
      <c r="D734" s="806"/>
      <c r="E734" s="806"/>
      <c r="F734" s="817">
        <v>2</v>
      </c>
      <c r="I734" s="817"/>
      <c r="J734" s="817"/>
      <c r="K734" s="817"/>
      <c r="L734" s="817">
        <v>3</v>
      </c>
      <c r="M734" s="817"/>
      <c r="N734" s="817"/>
      <c r="O734" s="817"/>
      <c r="P734" s="817"/>
      <c r="Q734" s="817"/>
      <c r="S734" s="817"/>
      <c r="T734" s="817"/>
      <c r="U734" s="817"/>
      <c r="V734" s="817"/>
      <c r="W734" s="817"/>
      <c r="X734" s="817"/>
      <c r="Z734" s="817"/>
      <c r="AA734" s="817">
        <v>2</v>
      </c>
      <c r="AB734" s="817">
        <v>2</v>
      </c>
      <c r="AC734" s="817"/>
      <c r="AD734" s="817"/>
      <c r="AE734" s="817"/>
      <c r="AF734" s="817"/>
      <c r="AG734" s="817"/>
      <c r="AH734" s="817">
        <v>3</v>
      </c>
      <c r="AI734" s="817"/>
      <c r="AJ734" s="817"/>
      <c r="AL734" s="817"/>
      <c r="AN734" s="817">
        <v>4</v>
      </c>
      <c r="AP734" s="817"/>
      <c r="AQ734" s="817"/>
      <c r="AR734" s="817"/>
      <c r="AS734" s="817"/>
      <c r="AT734" s="817"/>
      <c r="AU734" s="817"/>
      <c r="AV734" s="817"/>
      <c r="AW734" s="817">
        <v>2</v>
      </c>
      <c r="AX734" s="817">
        <v>1</v>
      </c>
      <c r="AY734" s="817"/>
      <c r="AZ734" s="817"/>
      <c r="BA734" s="817">
        <v>4</v>
      </c>
      <c r="BC734" s="817"/>
      <c r="BD734" s="817">
        <v>2</v>
      </c>
      <c r="BE734" s="817"/>
      <c r="BF734" s="817">
        <v>3</v>
      </c>
      <c r="BG734" s="817"/>
      <c r="BH734" s="817"/>
      <c r="BI734" s="817"/>
      <c r="BJ734" s="817"/>
      <c r="BK734" s="817">
        <v>3</v>
      </c>
      <c r="BM734" s="817"/>
      <c r="BN734" s="817"/>
      <c r="BO734" s="817"/>
      <c r="BQ734" s="817">
        <v>3</v>
      </c>
      <c r="BR734" s="817"/>
      <c r="BS734" s="817"/>
      <c r="BT734" s="817"/>
      <c r="BU734" s="817"/>
    </row>
    <row r="735" spans="1:73" x14ac:dyDescent="0.35">
      <c r="A735" s="806" t="s">
        <v>789</v>
      </c>
      <c r="B735" s="806" t="s">
        <v>2046</v>
      </c>
      <c r="C735" s="806"/>
      <c r="D735" s="806"/>
      <c r="E735" s="806"/>
      <c r="F735" s="817">
        <v>4</v>
      </c>
      <c r="L735" s="817">
        <v>3</v>
      </c>
      <c r="AA735" s="817">
        <v>3</v>
      </c>
      <c r="AB735" s="817">
        <v>3</v>
      </c>
      <c r="AH735" s="817">
        <v>2</v>
      </c>
      <c r="AW735" s="817">
        <v>3</v>
      </c>
      <c r="AX735" s="817">
        <v>1</v>
      </c>
      <c r="BD735" s="817">
        <v>2</v>
      </c>
      <c r="BF735" s="817">
        <v>3</v>
      </c>
      <c r="BK735" s="817">
        <v>4</v>
      </c>
      <c r="BQ735" s="817">
        <v>3</v>
      </c>
    </row>
    <row r="736" spans="1:73" x14ac:dyDescent="0.35">
      <c r="A736" s="806" t="s">
        <v>789</v>
      </c>
      <c r="B736" s="806" t="s">
        <v>2047</v>
      </c>
      <c r="C736" s="806"/>
      <c r="D736" s="806"/>
      <c r="E736" s="806"/>
      <c r="F736" s="806"/>
      <c r="L736" s="817">
        <v>3</v>
      </c>
      <c r="AA736" s="817">
        <v>3</v>
      </c>
      <c r="AB736" s="817">
        <v>3</v>
      </c>
      <c r="AH736" s="817">
        <v>2</v>
      </c>
      <c r="AW736" s="817"/>
      <c r="AX736" s="817">
        <v>2</v>
      </c>
      <c r="BD736" s="817">
        <v>0</v>
      </c>
      <c r="BF736" s="817">
        <v>3</v>
      </c>
      <c r="BK736" s="817">
        <v>3</v>
      </c>
      <c r="BQ736" s="817">
        <v>4</v>
      </c>
    </row>
    <row r="737" spans="1:73" x14ac:dyDescent="0.35">
      <c r="A737" s="806" t="s">
        <v>789</v>
      </c>
      <c r="B737" s="806" t="s">
        <v>2048</v>
      </c>
      <c r="C737" s="806"/>
      <c r="D737" s="806"/>
      <c r="E737" s="806"/>
      <c r="F737" s="806"/>
      <c r="L737" s="817">
        <v>3</v>
      </c>
      <c r="AA737" s="817">
        <v>4</v>
      </c>
      <c r="AB737" s="817">
        <v>4</v>
      </c>
      <c r="AW737" s="817"/>
      <c r="AX737" s="817">
        <v>2</v>
      </c>
      <c r="BD737" s="817">
        <v>1</v>
      </c>
      <c r="BK737" s="817">
        <v>4</v>
      </c>
    </row>
    <row r="738" spans="1:73" x14ac:dyDescent="0.35">
      <c r="A738" s="806" t="s">
        <v>789</v>
      </c>
      <c r="B738" s="806" t="s">
        <v>2049</v>
      </c>
      <c r="C738" s="806"/>
      <c r="D738" s="806"/>
      <c r="E738" s="806"/>
      <c r="F738" s="806"/>
      <c r="L738" s="817">
        <v>3</v>
      </c>
      <c r="AB738" s="817">
        <v>5</v>
      </c>
      <c r="AX738" s="817">
        <v>2</v>
      </c>
      <c r="BK738" s="817">
        <v>3</v>
      </c>
    </row>
    <row r="739" spans="1:73" x14ac:dyDescent="0.35">
      <c r="A739" s="806" t="s">
        <v>789</v>
      </c>
      <c r="B739" s="806" t="s">
        <v>2050</v>
      </c>
      <c r="C739" s="806"/>
      <c r="D739" s="806"/>
      <c r="E739" s="806"/>
      <c r="F739" s="806"/>
      <c r="AX739" s="817">
        <v>3</v>
      </c>
      <c r="BK739" s="817">
        <v>4</v>
      </c>
    </row>
    <row r="740" spans="1:73" x14ac:dyDescent="0.35">
      <c r="A740" s="806" t="s">
        <v>789</v>
      </c>
      <c r="B740" s="806" t="s">
        <v>1131</v>
      </c>
      <c r="C740" s="806"/>
      <c r="D740" s="806"/>
      <c r="E740" s="806"/>
      <c r="F740" s="818">
        <v>343267</v>
      </c>
      <c r="I740" s="818"/>
      <c r="J740" s="818"/>
      <c r="K740" s="818"/>
      <c r="L740" s="818">
        <v>445330</v>
      </c>
      <c r="M740" s="818"/>
      <c r="N740" s="818"/>
      <c r="O740" s="818"/>
      <c r="P740" s="818"/>
      <c r="Q740" s="818"/>
      <c r="S740" s="818"/>
      <c r="T740" s="818"/>
      <c r="U740" s="818"/>
      <c r="V740" s="818"/>
      <c r="W740" s="818"/>
      <c r="X740" s="818"/>
      <c r="Z740" s="818"/>
      <c r="AA740" s="818">
        <v>849000</v>
      </c>
      <c r="AB740" s="818">
        <v>304350</v>
      </c>
      <c r="AC740" s="818"/>
      <c r="AD740" s="818"/>
      <c r="AE740" s="818"/>
      <c r="AF740" s="818"/>
      <c r="AG740" s="818"/>
      <c r="AH740" s="818">
        <v>500000</v>
      </c>
      <c r="AI740" s="818"/>
      <c r="AJ740" s="818"/>
      <c r="AL740" s="818"/>
      <c r="AN740" s="818">
        <v>287490</v>
      </c>
      <c r="AP740" s="818"/>
      <c r="AQ740" s="818"/>
      <c r="AR740" s="818"/>
      <c r="AS740" s="818"/>
      <c r="AT740" s="818"/>
      <c r="AU740" s="818"/>
      <c r="AV740" s="818"/>
      <c r="AW740" s="818">
        <v>578357</v>
      </c>
      <c r="AX740" s="818">
        <v>481149</v>
      </c>
      <c r="AY740" s="818"/>
      <c r="AZ740" s="818"/>
      <c r="BA740" s="818">
        <v>290548</v>
      </c>
      <c r="BC740" s="818"/>
      <c r="BD740" s="818">
        <v>650000</v>
      </c>
      <c r="BE740" s="818"/>
      <c r="BF740" s="818">
        <v>500000</v>
      </c>
      <c r="BG740" s="818"/>
      <c r="BH740" s="818"/>
      <c r="BI740" s="818"/>
      <c r="BJ740" s="818"/>
      <c r="BK740" s="818">
        <v>464000</v>
      </c>
      <c r="BM740" s="818"/>
      <c r="BN740" s="818"/>
      <c r="BO740" s="818"/>
      <c r="BQ740" s="818">
        <v>346080</v>
      </c>
      <c r="BR740" s="818"/>
      <c r="BS740" s="818"/>
      <c r="BT740" s="818"/>
      <c r="BU740" s="818"/>
    </row>
    <row r="741" spans="1:73" x14ac:dyDescent="0.35">
      <c r="A741" s="806" t="s">
        <v>789</v>
      </c>
      <c r="B741" s="806" t="s">
        <v>2025</v>
      </c>
      <c r="C741" s="806"/>
      <c r="D741" s="806"/>
      <c r="E741" s="806"/>
      <c r="F741" s="818">
        <v>384012</v>
      </c>
      <c r="L741" s="818">
        <v>445330</v>
      </c>
      <c r="AA741" s="818">
        <v>1264200</v>
      </c>
      <c r="AB741" s="818">
        <v>325000</v>
      </c>
      <c r="AH741" s="818">
        <v>425000</v>
      </c>
      <c r="AW741" s="818">
        <v>694961</v>
      </c>
      <c r="AX741" s="818">
        <v>481149</v>
      </c>
      <c r="BD741" s="818">
        <v>548250</v>
      </c>
      <c r="BF741" s="818">
        <v>500000</v>
      </c>
      <c r="BK741" s="818">
        <v>480000</v>
      </c>
      <c r="BQ741" s="818">
        <v>349440</v>
      </c>
    </row>
    <row r="742" spans="1:73" x14ac:dyDescent="0.35">
      <c r="A742" s="806" t="s">
        <v>789</v>
      </c>
      <c r="B742" s="806" t="s">
        <v>2026</v>
      </c>
      <c r="C742" s="806"/>
      <c r="D742" s="806"/>
      <c r="E742" s="806"/>
      <c r="F742" s="806"/>
      <c r="L742" s="818">
        <v>445330</v>
      </c>
      <c r="AA742" s="818">
        <v>1205000</v>
      </c>
      <c r="AB742" s="818">
        <v>332000</v>
      </c>
      <c r="AH742" s="818">
        <v>380000</v>
      </c>
      <c r="AW742" s="818"/>
      <c r="AX742" s="818">
        <v>685524</v>
      </c>
      <c r="BD742" s="818">
        <v>295000</v>
      </c>
      <c r="BF742" s="818">
        <v>500000</v>
      </c>
      <c r="BK742" s="818">
        <v>464000</v>
      </c>
      <c r="BQ742" s="818">
        <v>445160</v>
      </c>
    </row>
    <row r="743" spans="1:73" x14ac:dyDescent="0.35">
      <c r="A743" s="806" t="s">
        <v>789</v>
      </c>
      <c r="B743" s="806" t="s">
        <v>2027</v>
      </c>
      <c r="C743" s="806"/>
      <c r="D743" s="806"/>
      <c r="E743" s="806"/>
      <c r="F743" s="806"/>
      <c r="L743" s="818">
        <v>445330</v>
      </c>
      <c r="AA743" s="818">
        <v>1311900</v>
      </c>
      <c r="AB743" s="818">
        <v>341100</v>
      </c>
      <c r="AX743" s="818">
        <v>720969</v>
      </c>
      <c r="BD743" s="818">
        <v>425000</v>
      </c>
      <c r="BK743" s="818">
        <v>480000</v>
      </c>
    </row>
    <row r="744" spans="1:73" x14ac:dyDescent="0.35">
      <c r="A744" s="806" t="s">
        <v>789</v>
      </c>
      <c r="B744" s="806" t="s">
        <v>2028</v>
      </c>
      <c r="C744" s="806"/>
      <c r="D744" s="806"/>
      <c r="E744" s="806"/>
      <c r="F744" s="806"/>
      <c r="L744" s="818">
        <v>445330</v>
      </c>
      <c r="AB744" s="818">
        <v>348000</v>
      </c>
      <c r="AX744" s="818">
        <v>961543</v>
      </c>
      <c r="BK744" s="818">
        <v>464000</v>
      </c>
    </row>
    <row r="745" spans="1:73" x14ac:dyDescent="0.35">
      <c r="A745" s="806" t="s">
        <v>789</v>
      </c>
      <c r="B745" s="806" t="s">
        <v>2029</v>
      </c>
      <c r="C745" s="806"/>
      <c r="D745" s="806"/>
      <c r="E745" s="806"/>
      <c r="F745" s="806"/>
      <c r="AX745" s="818">
        <v>961543</v>
      </c>
      <c r="BK745" s="818">
        <v>480000</v>
      </c>
    </row>
    <row r="746" spans="1:73" x14ac:dyDescent="0.35">
      <c r="A746" s="806" t="s">
        <v>789</v>
      </c>
      <c r="B746" s="806" t="s">
        <v>1132</v>
      </c>
      <c r="C746" s="806"/>
      <c r="D746" s="806"/>
      <c r="E746" s="806"/>
      <c r="F746" s="817">
        <v>5</v>
      </c>
      <c r="I746" s="817"/>
      <c r="J746" s="817"/>
      <c r="K746" s="817"/>
      <c r="L746" s="817">
        <v>2</v>
      </c>
      <c r="M746" s="817"/>
      <c r="N746" s="817"/>
      <c r="O746" s="817"/>
      <c r="P746" s="817"/>
      <c r="Q746" s="817"/>
      <c r="S746" s="817"/>
      <c r="T746" s="817"/>
      <c r="U746" s="817"/>
      <c r="V746" s="817"/>
      <c r="W746" s="817"/>
      <c r="X746" s="817"/>
      <c r="Z746" s="817"/>
      <c r="AA746" s="817">
        <v>7</v>
      </c>
      <c r="AB746" s="817">
        <v>6</v>
      </c>
      <c r="AC746" s="817"/>
      <c r="AD746" s="817"/>
      <c r="AE746" s="817"/>
      <c r="AF746" s="817"/>
      <c r="AG746" s="817"/>
      <c r="AH746" s="817">
        <v>8</v>
      </c>
      <c r="AI746" s="817"/>
      <c r="AJ746" s="817"/>
      <c r="AL746" s="817"/>
      <c r="AN746" s="817">
        <v>10</v>
      </c>
      <c r="AP746" s="817"/>
      <c r="AQ746" s="817"/>
      <c r="AR746" s="817"/>
      <c r="AS746" s="817"/>
      <c r="AT746" s="817"/>
      <c r="AU746" s="817"/>
      <c r="AV746" s="817"/>
      <c r="AW746" s="817">
        <v>3</v>
      </c>
      <c r="AX746" s="817">
        <v>1</v>
      </c>
      <c r="AY746" s="817"/>
      <c r="AZ746" s="817"/>
      <c r="BA746" s="817">
        <v>22</v>
      </c>
      <c r="BC746" s="817"/>
      <c r="BD746" s="817">
        <v>7</v>
      </c>
      <c r="BE746" s="817"/>
      <c r="BF746" s="817">
        <v>23</v>
      </c>
      <c r="BG746" s="817"/>
      <c r="BH746" s="817"/>
      <c r="BI746" s="817"/>
      <c r="BJ746" s="817"/>
      <c r="BK746" s="817">
        <v>10</v>
      </c>
      <c r="BM746" s="817"/>
      <c r="BN746" s="817"/>
      <c r="BO746" s="817"/>
      <c r="BQ746" s="817">
        <v>42</v>
      </c>
      <c r="BR746" s="817"/>
      <c r="BS746" s="817"/>
      <c r="BT746" s="817"/>
      <c r="BU746" s="817"/>
    </row>
    <row r="747" spans="1:73" x14ac:dyDescent="0.35">
      <c r="A747" s="806" t="s">
        <v>789</v>
      </c>
      <c r="B747" s="806" t="s">
        <v>2032</v>
      </c>
      <c r="C747" s="806"/>
      <c r="D747" s="806"/>
      <c r="E747" s="806"/>
      <c r="F747" s="817">
        <v>5</v>
      </c>
      <c r="L747" s="817">
        <v>2</v>
      </c>
      <c r="AA747" s="817">
        <v>6</v>
      </c>
      <c r="AB747" s="817">
        <v>18</v>
      </c>
      <c r="AH747" s="817">
        <v>2</v>
      </c>
      <c r="AW747" s="817">
        <v>8</v>
      </c>
      <c r="AX747" s="817">
        <v>1</v>
      </c>
      <c r="BD747" s="817">
        <v>14</v>
      </c>
      <c r="BF747" s="817">
        <v>6</v>
      </c>
      <c r="BK747" s="817">
        <v>2</v>
      </c>
      <c r="BQ747" s="817">
        <v>39</v>
      </c>
    </row>
    <row r="748" spans="1:73" x14ac:dyDescent="0.35">
      <c r="A748" s="806" t="s">
        <v>789</v>
      </c>
      <c r="B748" s="806" t="s">
        <v>2033</v>
      </c>
      <c r="C748" s="806"/>
      <c r="D748" s="806"/>
      <c r="E748" s="806"/>
      <c r="F748" s="806"/>
      <c r="L748" s="817">
        <v>2</v>
      </c>
      <c r="AA748" s="817">
        <v>9</v>
      </c>
      <c r="AB748" s="817">
        <v>18</v>
      </c>
      <c r="AH748" s="817">
        <v>3</v>
      </c>
      <c r="AW748" s="817"/>
      <c r="AX748" s="817">
        <v>2</v>
      </c>
      <c r="BD748" s="817">
        <v>24</v>
      </c>
      <c r="BF748" s="817">
        <v>1</v>
      </c>
      <c r="BK748" s="817">
        <v>5</v>
      </c>
      <c r="BQ748" s="817">
        <v>26</v>
      </c>
    </row>
    <row r="749" spans="1:73" x14ac:dyDescent="0.35">
      <c r="A749" s="806" t="s">
        <v>789</v>
      </c>
      <c r="B749" s="806" t="s">
        <v>2034</v>
      </c>
      <c r="C749" s="806"/>
      <c r="D749" s="806"/>
      <c r="E749" s="806"/>
      <c r="F749" s="806"/>
      <c r="L749" s="817">
        <v>2</v>
      </c>
      <c r="AA749" s="817">
        <v>8</v>
      </c>
      <c r="AB749" s="817">
        <v>18</v>
      </c>
      <c r="AW749" s="817"/>
      <c r="AX749" s="817">
        <v>4</v>
      </c>
      <c r="BD749" s="817">
        <v>14</v>
      </c>
      <c r="BK749" s="817">
        <v>1</v>
      </c>
    </row>
    <row r="750" spans="1:73" x14ac:dyDescent="0.35">
      <c r="A750" s="806" t="s">
        <v>789</v>
      </c>
      <c r="B750" s="806" t="s">
        <v>2035</v>
      </c>
      <c r="C750" s="806"/>
      <c r="D750" s="806"/>
      <c r="E750" s="806"/>
      <c r="F750" s="806"/>
      <c r="L750" s="817">
        <v>4</v>
      </c>
      <c r="AB750" s="817">
        <v>9</v>
      </c>
      <c r="AX750" s="817">
        <v>2</v>
      </c>
      <c r="BK750" s="817">
        <v>5</v>
      </c>
    </row>
    <row r="751" spans="1:73" x14ac:dyDescent="0.35">
      <c r="A751" s="806" t="s">
        <v>789</v>
      </c>
      <c r="B751" s="806" t="s">
        <v>2036</v>
      </c>
      <c r="C751" s="806"/>
      <c r="D751" s="806"/>
      <c r="E751" s="806"/>
      <c r="F751" s="806"/>
      <c r="AX751" s="817">
        <v>3</v>
      </c>
      <c r="BK751" s="817">
        <v>1</v>
      </c>
    </row>
    <row r="752" spans="1:73" ht="29" x14ac:dyDescent="0.35">
      <c r="A752" s="806" t="s">
        <v>789</v>
      </c>
      <c r="B752" s="806" t="s">
        <v>1110</v>
      </c>
      <c r="C752" s="806"/>
      <c r="D752" s="806"/>
      <c r="E752" s="806"/>
      <c r="F752" s="816" t="s">
        <v>503</v>
      </c>
      <c r="I752" s="816"/>
      <c r="J752" s="816"/>
      <c r="K752" s="816"/>
      <c r="L752" s="816" t="s">
        <v>503</v>
      </c>
      <c r="M752" s="816"/>
      <c r="N752" s="816"/>
      <c r="O752" s="816"/>
      <c r="P752" s="816"/>
      <c r="Q752" s="816"/>
      <c r="S752" s="816"/>
      <c r="T752" s="816"/>
      <c r="U752" s="816"/>
      <c r="V752" s="816"/>
      <c r="W752" s="816"/>
      <c r="X752" s="816"/>
      <c r="Z752" s="816"/>
      <c r="AA752" s="816" t="s">
        <v>503</v>
      </c>
      <c r="AB752" s="816" t="s">
        <v>503</v>
      </c>
      <c r="AC752" s="816"/>
      <c r="AD752" s="816"/>
      <c r="AE752" s="816"/>
      <c r="AF752" s="816"/>
      <c r="AG752" s="816"/>
      <c r="AH752" s="816" t="s">
        <v>503</v>
      </c>
      <c r="AI752" s="816"/>
      <c r="AJ752" s="816"/>
      <c r="AL752" s="816"/>
      <c r="AN752" s="816" t="s">
        <v>503</v>
      </c>
      <c r="AP752" s="816"/>
      <c r="AQ752" s="816"/>
      <c r="AR752" s="816"/>
      <c r="AS752" s="816"/>
      <c r="AT752" s="816"/>
      <c r="AU752" s="816"/>
      <c r="AV752" s="816"/>
      <c r="AW752" s="816" t="s">
        <v>503</v>
      </c>
      <c r="AX752" s="816" t="s">
        <v>503</v>
      </c>
      <c r="AY752" s="816"/>
      <c r="AZ752" s="816"/>
      <c r="BA752" s="816" t="s">
        <v>503</v>
      </c>
      <c r="BC752" s="816"/>
      <c r="BD752" s="816" t="s">
        <v>503</v>
      </c>
      <c r="BE752" s="816"/>
      <c r="BF752" s="816" t="s">
        <v>503</v>
      </c>
      <c r="BG752" s="816"/>
      <c r="BH752" s="816"/>
      <c r="BI752" s="816"/>
      <c r="BJ752" s="816"/>
      <c r="BK752" s="816" t="s">
        <v>503</v>
      </c>
      <c r="BM752" s="816"/>
      <c r="BN752" s="816"/>
      <c r="BO752" s="816"/>
      <c r="BQ752" s="816" t="s">
        <v>503</v>
      </c>
      <c r="BR752" s="816"/>
      <c r="BS752" s="816"/>
      <c r="BT752" s="816"/>
      <c r="BU752" s="816"/>
    </row>
    <row r="753" spans="1:73" x14ac:dyDescent="0.35">
      <c r="A753" s="806" t="s">
        <v>789</v>
      </c>
      <c r="B753" s="806" t="s">
        <v>1133</v>
      </c>
      <c r="C753" s="806"/>
      <c r="D753" s="806"/>
      <c r="E753" s="806"/>
      <c r="F753" s="822">
        <v>749</v>
      </c>
      <c r="I753" s="822"/>
      <c r="J753" s="822"/>
      <c r="K753" s="822"/>
      <c r="L753" s="822">
        <v>1340</v>
      </c>
      <c r="M753" s="822"/>
      <c r="N753" s="822"/>
      <c r="O753" s="822"/>
      <c r="P753" s="822"/>
      <c r="Q753" s="822"/>
      <c r="S753" s="822"/>
      <c r="T753" s="822"/>
      <c r="U753" s="822"/>
      <c r="V753" s="822"/>
      <c r="W753" s="822"/>
      <c r="X753" s="822"/>
      <c r="Z753" s="822"/>
      <c r="AA753" s="822">
        <v>861</v>
      </c>
      <c r="AB753" s="822">
        <v>1034</v>
      </c>
      <c r="AC753" s="822"/>
      <c r="AD753" s="822"/>
      <c r="AE753" s="822"/>
      <c r="AF753" s="822"/>
      <c r="AG753" s="822"/>
      <c r="AH753" s="822">
        <v>1300</v>
      </c>
      <c r="AI753" s="822"/>
      <c r="AJ753" s="822"/>
      <c r="AL753" s="822"/>
      <c r="AN753" s="822">
        <v>1524</v>
      </c>
      <c r="AP753" s="822"/>
      <c r="AQ753" s="822"/>
      <c r="AR753" s="822"/>
      <c r="AS753" s="822"/>
      <c r="AT753" s="822"/>
      <c r="AU753" s="822"/>
      <c r="AV753" s="822"/>
      <c r="AW753" s="822">
        <v>992</v>
      </c>
      <c r="AX753" s="822">
        <v>663</v>
      </c>
      <c r="AY753" s="822"/>
      <c r="AZ753" s="822"/>
      <c r="BA753" s="822">
        <v>1350</v>
      </c>
      <c r="BC753" s="822"/>
      <c r="BD753" s="822">
        <v>765</v>
      </c>
      <c r="BE753" s="822"/>
      <c r="BF753" s="822">
        <v>1500</v>
      </c>
      <c r="BG753" s="822"/>
      <c r="BH753" s="822"/>
      <c r="BI753" s="822"/>
      <c r="BJ753" s="822"/>
      <c r="BK753" s="822">
        <v>1248</v>
      </c>
      <c r="BM753" s="822"/>
      <c r="BN753" s="822"/>
      <c r="BO753" s="822"/>
      <c r="BQ753" s="822">
        <v>1236</v>
      </c>
      <c r="BR753" s="822"/>
      <c r="BS753" s="822"/>
      <c r="BT753" s="822"/>
      <c r="BU753" s="822"/>
    </row>
    <row r="754" spans="1:73" x14ac:dyDescent="0.35">
      <c r="A754" s="806" t="s">
        <v>789</v>
      </c>
      <c r="B754" s="806" t="s">
        <v>2039</v>
      </c>
      <c r="C754" s="806"/>
      <c r="D754" s="806"/>
      <c r="E754" s="806"/>
      <c r="F754" s="822">
        <v>1268</v>
      </c>
      <c r="L754" s="822">
        <v>1473</v>
      </c>
      <c r="AA754" s="822">
        <v>1282</v>
      </c>
      <c r="AB754" s="822">
        <v>1300</v>
      </c>
      <c r="AH754" s="822">
        <v>1113</v>
      </c>
      <c r="AW754" s="822">
        <v>1192</v>
      </c>
      <c r="AX754" s="822">
        <v>663</v>
      </c>
      <c r="BD754" s="822">
        <v>645</v>
      </c>
      <c r="BF754" s="822">
        <v>1430</v>
      </c>
      <c r="BK754" s="822">
        <v>1504</v>
      </c>
      <c r="BQ754" s="822">
        <v>1248</v>
      </c>
    </row>
    <row r="755" spans="1:73" x14ac:dyDescent="0.35">
      <c r="A755" s="806" t="s">
        <v>789</v>
      </c>
      <c r="B755" s="806" t="s">
        <v>2040</v>
      </c>
      <c r="C755" s="806"/>
      <c r="D755" s="806"/>
      <c r="E755" s="806"/>
      <c r="F755" s="806"/>
      <c r="L755" s="822">
        <v>1480</v>
      </c>
      <c r="AA755" s="822">
        <v>1222</v>
      </c>
      <c r="AB755" s="822">
        <v>1394</v>
      </c>
      <c r="AH755" s="822">
        <v>987</v>
      </c>
      <c r="AW755" s="822"/>
      <c r="AX755" s="822">
        <v>909</v>
      </c>
      <c r="BD755" s="822">
        <v>340</v>
      </c>
      <c r="BF755" s="822">
        <v>1450</v>
      </c>
      <c r="BK755" s="822">
        <v>1248</v>
      </c>
      <c r="BQ755" s="822">
        <v>1436</v>
      </c>
    </row>
    <row r="756" spans="1:73" x14ac:dyDescent="0.35">
      <c r="A756" s="806" t="s">
        <v>789</v>
      </c>
      <c r="B756" s="806" t="s">
        <v>2041</v>
      </c>
      <c r="C756" s="806"/>
      <c r="D756" s="806"/>
      <c r="E756" s="806"/>
      <c r="F756" s="806"/>
      <c r="L756" s="822">
        <v>1527</v>
      </c>
      <c r="AA756" s="822">
        <v>1402</v>
      </c>
      <c r="AB756" s="822">
        <v>1531</v>
      </c>
      <c r="AW756" s="822"/>
      <c r="AX756" s="822">
        <v>956</v>
      </c>
      <c r="BD756" s="822">
        <v>500</v>
      </c>
      <c r="BK756" s="822">
        <v>1504</v>
      </c>
    </row>
    <row r="757" spans="1:73" x14ac:dyDescent="0.35">
      <c r="A757" s="806" t="s">
        <v>789</v>
      </c>
      <c r="B757" s="806" t="s">
        <v>2042</v>
      </c>
      <c r="C757" s="806"/>
      <c r="D757" s="806"/>
      <c r="E757" s="806"/>
      <c r="F757" s="806"/>
      <c r="L757" s="822">
        <v>1427</v>
      </c>
      <c r="AB757" s="822">
        <v>1574</v>
      </c>
      <c r="AX757" s="822">
        <v>1275</v>
      </c>
      <c r="BK757" s="822">
        <v>1248</v>
      </c>
    </row>
    <row r="758" spans="1:73" x14ac:dyDescent="0.35">
      <c r="A758" s="806" t="s">
        <v>789</v>
      </c>
      <c r="B758" s="806" t="s">
        <v>2043</v>
      </c>
      <c r="C758" s="806"/>
      <c r="D758" s="806"/>
      <c r="E758" s="806"/>
      <c r="F758" s="806"/>
      <c r="AX758" s="822">
        <v>1275</v>
      </c>
      <c r="BK758" s="822">
        <v>1504</v>
      </c>
    </row>
    <row r="759" spans="1:73" ht="29" x14ac:dyDescent="0.35">
      <c r="A759" s="806" t="s">
        <v>789</v>
      </c>
      <c r="B759" s="806" t="s">
        <v>929</v>
      </c>
      <c r="C759" s="806"/>
      <c r="D759" s="806"/>
      <c r="E759" s="806"/>
      <c r="F759" s="817">
        <v>5</v>
      </c>
      <c r="I759" s="817"/>
      <c r="J759" s="817"/>
      <c r="K759" s="817"/>
      <c r="L759" s="817">
        <v>5</v>
      </c>
      <c r="M759" s="817"/>
      <c r="N759" s="817"/>
      <c r="O759" s="817"/>
      <c r="P759" s="817"/>
      <c r="Q759" s="817"/>
      <c r="R759" s="817"/>
      <c r="S759" s="817"/>
      <c r="T759" s="817"/>
      <c r="U759" s="817"/>
      <c r="V759" s="817"/>
      <c r="W759" s="817"/>
      <c r="X759" s="817"/>
      <c r="Y759" s="817"/>
      <c r="Z759" s="817"/>
      <c r="AA759" s="817">
        <v>5</v>
      </c>
      <c r="AB759" s="817">
        <v>5</v>
      </c>
      <c r="AC759" s="817"/>
      <c r="AD759" s="817"/>
      <c r="AE759" s="817"/>
      <c r="AF759" s="817"/>
      <c r="AG759" s="817"/>
      <c r="AH759" s="817">
        <v>5</v>
      </c>
      <c r="AI759" s="817"/>
      <c r="AJ759" s="817"/>
      <c r="AL759" s="817"/>
      <c r="AM759" s="817"/>
      <c r="AN759" s="817">
        <v>5</v>
      </c>
      <c r="AO759" s="817"/>
      <c r="AP759" s="817"/>
      <c r="AQ759" s="817"/>
      <c r="AR759" s="817"/>
      <c r="AS759" s="817"/>
      <c r="AT759" s="817"/>
      <c r="AU759" s="817"/>
      <c r="AV759" s="817"/>
      <c r="AW759" s="817">
        <v>5</v>
      </c>
      <c r="AX759" s="817">
        <v>5</v>
      </c>
      <c r="AY759" s="817"/>
      <c r="AZ759" s="817"/>
      <c r="BA759" s="817">
        <v>5</v>
      </c>
      <c r="BC759" s="817"/>
      <c r="BD759" s="817">
        <v>0</v>
      </c>
      <c r="BE759" s="817"/>
      <c r="BF759" s="817">
        <v>5</v>
      </c>
      <c r="BG759" s="817"/>
      <c r="BH759" s="817"/>
      <c r="BI759" s="817"/>
      <c r="BJ759" s="817"/>
      <c r="BK759" s="817">
        <v>5</v>
      </c>
      <c r="BM759" s="817"/>
      <c r="BN759" s="817"/>
      <c r="BO759" s="817"/>
      <c r="BQ759" s="817">
        <v>5</v>
      </c>
      <c r="BR759" s="817"/>
      <c r="BS759" s="817"/>
      <c r="BT759" s="817"/>
      <c r="BU759" s="817"/>
    </row>
    <row r="760" spans="1:73" x14ac:dyDescent="0.35">
      <c r="A760" s="806" t="s">
        <v>789</v>
      </c>
      <c r="B760" s="806" t="s">
        <v>1148</v>
      </c>
      <c r="C760" s="806"/>
      <c r="D760" s="806"/>
      <c r="E760" s="806"/>
      <c r="F760" s="822">
        <v>900</v>
      </c>
      <c r="I760" s="822"/>
      <c r="K760" s="822"/>
      <c r="L760" s="822">
        <v>9999</v>
      </c>
      <c r="M760" s="822"/>
      <c r="N760" s="822"/>
      <c r="O760" s="822"/>
      <c r="P760" s="822"/>
      <c r="Q760" s="822"/>
      <c r="S760" s="822"/>
      <c r="T760" s="822"/>
      <c r="U760" s="822"/>
      <c r="V760" s="822"/>
      <c r="W760" s="822"/>
      <c r="X760" s="822"/>
      <c r="Z760" s="822"/>
      <c r="AA760" s="822">
        <v>1638</v>
      </c>
      <c r="AC760" s="822"/>
      <c r="AD760" s="822"/>
      <c r="AE760" s="822"/>
      <c r="AF760" s="822"/>
      <c r="AG760" s="822"/>
      <c r="AH760" s="822">
        <v>2000</v>
      </c>
      <c r="AI760" s="822"/>
      <c r="AJ760" s="822"/>
      <c r="AL760" s="822"/>
      <c r="AN760" s="822">
        <v>5900</v>
      </c>
      <c r="AP760" s="822"/>
      <c r="AQ760" s="822"/>
      <c r="AR760" s="822"/>
      <c r="AS760" s="822"/>
      <c r="AT760" s="822"/>
      <c r="AU760" s="822"/>
      <c r="AV760" s="822"/>
      <c r="AW760" s="822">
        <v>9999</v>
      </c>
      <c r="AX760" s="822">
        <v>9999</v>
      </c>
      <c r="AY760" s="822"/>
      <c r="AZ760" s="822"/>
      <c r="BA760" s="822"/>
      <c r="BC760" s="822"/>
      <c r="BD760" s="822">
        <v>0</v>
      </c>
      <c r="BE760" s="822"/>
      <c r="BF760" s="822">
        <v>9800</v>
      </c>
      <c r="BG760" s="822"/>
      <c r="BH760" s="822"/>
      <c r="BI760" s="822"/>
      <c r="BJ760" s="822"/>
      <c r="BK760" s="822">
        <v>100</v>
      </c>
      <c r="BM760" s="822"/>
      <c r="BN760" s="822"/>
      <c r="BO760" s="822"/>
      <c r="BQ760" s="822">
        <v>6000</v>
      </c>
      <c r="BR760" s="822"/>
      <c r="BS760" s="822"/>
      <c r="BT760" s="822"/>
      <c r="BU760" s="822"/>
    </row>
    <row r="761" spans="1:73" x14ac:dyDescent="0.35">
      <c r="A761" s="806" t="s">
        <v>789</v>
      </c>
      <c r="B761" s="806" t="s">
        <v>1114</v>
      </c>
      <c r="C761" s="806"/>
      <c r="D761" s="806"/>
      <c r="E761" s="806"/>
      <c r="F761" s="816" t="b">
        <v>1</v>
      </c>
      <c r="I761" s="816"/>
      <c r="J761" s="816"/>
      <c r="K761" s="816"/>
      <c r="L761" s="816" t="b">
        <v>1</v>
      </c>
      <c r="M761" s="816"/>
      <c r="N761" s="816"/>
      <c r="O761" s="816"/>
      <c r="P761" s="816"/>
      <c r="Q761" s="816"/>
      <c r="S761" s="816"/>
      <c r="T761" s="816"/>
      <c r="U761" s="816"/>
      <c r="V761" s="816"/>
      <c r="W761" s="816"/>
      <c r="X761" s="816"/>
      <c r="Z761" s="816"/>
      <c r="AA761" s="816" t="b">
        <v>1</v>
      </c>
      <c r="AB761" s="816" t="b">
        <v>1</v>
      </c>
      <c r="AC761" s="816"/>
      <c r="AD761" s="816"/>
      <c r="AE761" s="816"/>
      <c r="AF761" s="816"/>
      <c r="AG761" s="816"/>
      <c r="AH761" s="816" t="b">
        <v>1</v>
      </c>
      <c r="AI761" s="816"/>
      <c r="AJ761" s="816"/>
      <c r="AL761" s="816"/>
      <c r="AN761" s="816" t="b">
        <v>1</v>
      </c>
      <c r="AP761" s="816"/>
      <c r="AQ761" s="816"/>
      <c r="AR761" s="816"/>
      <c r="AS761" s="816"/>
      <c r="AT761" s="816"/>
      <c r="AU761" s="816"/>
      <c r="AV761" s="816"/>
      <c r="AW761" s="816" t="b">
        <v>1</v>
      </c>
      <c r="AX761" s="816" t="b">
        <v>1</v>
      </c>
      <c r="AY761" s="816"/>
      <c r="AZ761" s="816"/>
      <c r="BA761" s="816" t="b">
        <v>1</v>
      </c>
      <c r="BC761" s="816"/>
      <c r="BD761" s="816" t="b">
        <v>1</v>
      </c>
      <c r="BE761" s="816"/>
      <c r="BF761" s="816"/>
      <c r="BG761" s="816"/>
      <c r="BH761" s="816"/>
      <c r="BI761" s="816"/>
      <c r="BJ761" s="816"/>
      <c r="BK761" s="816" t="b">
        <v>1</v>
      </c>
      <c r="BM761" s="816"/>
      <c r="BN761" s="816"/>
      <c r="BO761" s="816"/>
      <c r="BQ761" s="816"/>
      <c r="BR761" s="816"/>
      <c r="BS761" s="816"/>
      <c r="BT761" s="816"/>
      <c r="BU761" s="816"/>
    </row>
    <row r="762" spans="1:73" x14ac:dyDescent="0.35">
      <c r="A762" s="806" t="s">
        <v>789</v>
      </c>
      <c r="B762" s="806" t="s">
        <v>1150</v>
      </c>
      <c r="C762" s="806"/>
      <c r="D762" s="806"/>
      <c r="E762" s="806"/>
      <c r="F762" s="806"/>
      <c r="I762" s="822"/>
      <c r="K762" s="822"/>
      <c r="L762" s="822">
        <v>1872</v>
      </c>
      <c r="M762" s="822"/>
      <c r="N762" s="822"/>
      <c r="O762" s="822"/>
      <c r="P762" s="822"/>
      <c r="Q762" s="822"/>
      <c r="S762" s="822"/>
      <c r="T762" s="822"/>
      <c r="U762" s="822"/>
      <c r="V762" s="822"/>
      <c r="W762" s="822"/>
      <c r="X762" s="822"/>
      <c r="Z762" s="822"/>
      <c r="AA762" s="822">
        <v>0</v>
      </c>
      <c r="AC762" s="822"/>
      <c r="AD762" s="822"/>
      <c r="AE762" s="822"/>
      <c r="AF762" s="822"/>
      <c r="AG762" s="822"/>
      <c r="AI762" s="822"/>
      <c r="AJ762" s="822"/>
      <c r="AL762" s="822"/>
      <c r="AN762" s="822">
        <v>100</v>
      </c>
      <c r="AP762" s="822"/>
      <c r="AQ762" s="822"/>
      <c r="AR762" s="822"/>
      <c r="AS762" s="822"/>
      <c r="AT762" s="822"/>
      <c r="AU762" s="822"/>
      <c r="AV762" s="822"/>
      <c r="AW762" s="822">
        <v>9999</v>
      </c>
      <c r="AX762" s="822">
        <v>9999</v>
      </c>
      <c r="AY762" s="822"/>
      <c r="AZ762" s="822"/>
      <c r="BA762" s="822"/>
      <c r="BC762" s="822"/>
      <c r="BD762" s="822">
        <v>0</v>
      </c>
      <c r="BE762" s="822"/>
      <c r="BF762" s="822">
        <v>446</v>
      </c>
      <c r="BG762" s="822"/>
      <c r="BH762" s="822"/>
      <c r="BI762" s="822"/>
      <c r="BJ762" s="822"/>
      <c r="BK762" s="822">
        <v>0</v>
      </c>
      <c r="BM762" s="822"/>
      <c r="BN762" s="822"/>
      <c r="BO762" s="822"/>
      <c r="BQ762" s="822">
        <v>2000</v>
      </c>
      <c r="BR762" s="822"/>
      <c r="BS762" s="822"/>
      <c r="BT762" s="822"/>
      <c r="BU762" s="822"/>
    </row>
    <row r="763" spans="1:73" x14ac:dyDescent="0.35">
      <c r="A763" s="806" t="s">
        <v>789</v>
      </c>
      <c r="B763" s="806" t="s">
        <v>1104</v>
      </c>
      <c r="C763" s="806"/>
      <c r="D763" s="806"/>
      <c r="E763" s="806"/>
      <c r="F763" s="817">
        <v>95630</v>
      </c>
      <c r="I763" s="817"/>
      <c r="J763" s="817"/>
      <c r="K763" s="817"/>
      <c r="L763" s="817">
        <v>91706</v>
      </c>
      <c r="M763" s="817"/>
      <c r="N763" s="817"/>
      <c r="O763" s="817"/>
      <c r="P763" s="817"/>
      <c r="Q763" s="817"/>
      <c r="S763" s="817"/>
      <c r="T763" s="817"/>
      <c r="U763" s="817"/>
      <c r="V763" s="817"/>
      <c r="W763" s="817"/>
      <c r="X763" s="817"/>
      <c r="Z763" s="817"/>
      <c r="AA763" s="817">
        <v>94945</v>
      </c>
      <c r="AB763" s="817">
        <v>95991</v>
      </c>
      <c r="AC763" s="817"/>
      <c r="AD763" s="817"/>
      <c r="AE763" s="817"/>
      <c r="AF763" s="817"/>
      <c r="AG763" s="817"/>
      <c r="AH763" s="817">
        <v>95019</v>
      </c>
      <c r="AI763" s="817"/>
      <c r="AJ763" s="817"/>
      <c r="AL763" s="817"/>
      <c r="AN763" s="817">
        <v>95688</v>
      </c>
      <c r="AP763" s="817"/>
      <c r="AQ763" s="817"/>
      <c r="AR763" s="817"/>
      <c r="AS763" s="817"/>
      <c r="AT763" s="817"/>
      <c r="AU763" s="817"/>
      <c r="AV763" s="817"/>
      <c r="AW763" s="817">
        <v>94597</v>
      </c>
      <c r="AX763" s="817">
        <v>95054</v>
      </c>
      <c r="AY763" s="817"/>
      <c r="AZ763" s="817"/>
      <c r="BA763" s="817">
        <v>95901</v>
      </c>
      <c r="BC763" s="817"/>
      <c r="BD763" s="817">
        <v>94705</v>
      </c>
      <c r="BE763" s="817"/>
      <c r="BF763" s="817">
        <v>92627</v>
      </c>
      <c r="BG763" s="817"/>
      <c r="BH763" s="817"/>
      <c r="BI763" s="817"/>
      <c r="BJ763" s="817"/>
      <c r="BK763" s="817">
        <v>93455</v>
      </c>
      <c r="BM763" s="817"/>
      <c r="BN763" s="817"/>
      <c r="BO763" s="817"/>
      <c r="BQ763" s="817">
        <v>95222</v>
      </c>
      <c r="BR763" s="817"/>
      <c r="BS763" s="817"/>
      <c r="BT763" s="817"/>
      <c r="BU763" s="817"/>
    </row>
    <row r="764" spans="1:73" x14ac:dyDescent="0.35">
      <c r="A764" s="806" t="s">
        <v>789</v>
      </c>
      <c r="B764" s="806" t="s">
        <v>1985</v>
      </c>
      <c r="C764" s="806"/>
      <c r="D764" s="806"/>
      <c r="E764" s="806"/>
      <c r="F764" s="806"/>
      <c r="AN764" s="817">
        <v>95688</v>
      </c>
      <c r="BF764" s="817">
        <v>92706</v>
      </c>
    </row>
    <row r="765" spans="1:73" x14ac:dyDescent="0.35">
      <c r="A765" s="806" t="s">
        <v>789</v>
      </c>
      <c r="B765" s="806" t="s">
        <v>1986</v>
      </c>
      <c r="C765" s="806"/>
      <c r="D765" s="806"/>
      <c r="E765" s="806"/>
      <c r="F765" s="806"/>
      <c r="AN765" s="817">
        <v>95688</v>
      </c>
      <c r="BF765" s="817">
        <v>92805</v>
      </c>
    </row>
    <row r="766" spans="1:73" x14ac:dyDescent="0.35">
      <c r="A766" s="806" t="s">
        <v>789</v>
      </c>
      <c r="B766" s="806" t="s">
        <v>1987</v>
      </c>
      <c r="C766" s="806"/>
      <c r="D766" s="806"/>
      <c r="E766" s="806"/>
      <c r="F766" s="806"/>
      <c r="AN766" s="817">
        <v>95688</v>
      </c>
    </row>
    <row r="767" spans="1:73" x14ac:dyDescent="0.35">
      <c r="A767" s="806" t="s">
        <v>789</v>
      </c>
      <c r="B767" s="806" t="s">
        <v>1988</v>
      </c>
      <c r="C767" s="806"/>
      <c r="D767" s="806"/>
      <c r="E767" s="806"/>
      <c r="F767" s="806"/>
      <c r="AN767" s="817">
        <v>95688</v>
      </c>
    </row>
    <row r="768" spans="1:73" x14ac:dyDescent="0.35">
      <c r="A768" s="806" t="s">
        <v>789</v>
      </c>
      <c r="B768" s="806" t="s">
        <v>1989</v>
      </c>
      <c r="C768" s="806"/>
      <c r="D768" s="806"/>
      <c r="E768" s="806"/>
      <c r="F768" s="806"/>
      <c r="AN768" s="817">
        <v>95688</v>
      </c>
    </row>
    <row r="769" spans="1:73" x14ac:dyDescent="0.35">
      <c r="A769" s="806" t="s">
        <v>789</v>
      </c>
      <c r="B769" s="806" t="s">
        <v>1990</v>
      </c>
      <c r="C769" s="806"/>
      <c r="D769" s="806"/>
      <c r="E769" s="806"/>
      <c r="F769" s="806"/>
      <c r="AN769" s="817">
        <v>95688</v>
      </c>
    </row>
    <row r="770" spans="1:73" ht="29" x14ac:dyDescent="0.35">
      <c r="A770" s="806" t="s">
        <v>789</v>
      </c>
      <c r="B770" s="806" t="s">
        <v>1628</v>
      </c>
      <c r="C770" s="806"/>
      <c r="D770" s="806"/>
      <c r="E770" s="806"/>
      <c r="F770" s="816" t="s">
        <v>2517</v>
      </c>
      <c r="I770" s="816"/>
      <c r="K770" s="816"/>
      <c r="L770" s="816" t="s">
        <v>2517</v>
      </c>
      <c r="M770" s="816"/>
      <c r="N770" s="816"/>
      <c r="O770" s="816"/>
      <c r="P770" s="816"/>
      <c r="Q770" s="816"/>
      <c r="S770" s="816"/>
      <c r="T770" s="816"/>
      <c r="U770" s="816"/>
      <c r="V770" s="816"/>
      <c r="W770" s="816"/>
      <c r="X770" s="816"/>
      <c r="Z770" s="816"/>
      <c r="AA770" s="816" t="s">
        <v>2517</v>
      </c>
      <c r="AB770" s="816" t="s">
        <v>2517</v>
      </c>
      <c r="AC770" s="816"/>
      <c r="AD770" s="816"/>
      <c r="AE770" s="816"/>
      <c r="AF770" s="816"/>
      <c r="AG770" s="816"/>
      <c r="AI770" s="816"/>
      <c r="AJ770" s="816"/>
      <c r="AL770" s="816"/>
      <c r="AP770" s="816"/>
      <c r="AQ770" s="816"/>
      <c r="AR770" s="816"/>
      <c r="AS770" s="816"/>
      <c r="AT770" s="816"/>
      <c r="AU770" s="816"/>
      <c r="AV770" s="816"/>
      <c r="AX770" s="816" t="s">
        <v>2680</v>
      </c>
      <c r="AY770" s="816"/>
      <c r="AZ770" s="816"/>
      <c r="BA770" s="816" t="s">
        <v>2517</v>
      </c>
      <c r="BC770" s="816"/>
      <c r="BD770" s="816" t="s">
        <v>3718</v>
      </c>
      <c r="BE770" s="816"/>
      <c r="BG770" s="816"/>
      <c r="BH770" s="816"/>
      <c r="BI770" s="816"/>
      <c r="BJ770" s="816"/>
      <c r="BK770" s="816" t="s">
        <v>2517</v>
      </c>
      <c r="BM770" s="816"/>
      <c r="BN770" s="816"/>
      <c r="BO770" s="816"/>
      <c r="BQ770" s="816"/>
      <c r="BR770" s="816"/>
      <c r="BS770" s="816"/>
      <c r="BT770" s="816"/>
      <c r="BU770" s="816"/>
    </row>
    <row r="771" spans="1:73" ht="43.5" x14ac:dyDescent="0.35">
      <c r="A771" s="806" t="s">
        <v>789</v>
      </c>
      <c r="B771" s="806" t="s">
        <v>1624</v>
      </c>
      <c r="C771" s="806"/>
      <c r="D771" s="806"/>
      <c r="E771" s="806"/>
      <c r="F771" s="816" t="s">
        <v>2518</v>
      </c>
      <c r="I771" s="816"/>
      <c r="K771" s="816"/>
      <c r="L771" s="816" t="s">
        <v>2677</v>
      </c>
      <c r="M771" s="816"/>
      <c r="N771" s="816"/>
      <c r="O771" s="816"/>
      <c r="P771" s="816"/>
      <c r="Q771" s="816"/>
      <c r="S771" s="816"/>
      <c r="T771" s="816"/>
      <c r="U771" s="816"/>
      <c r="V771" s="816"/>
      <c r="W771" s="816"/>
      <c r="X771" s="816"/>
      <c r="Z771" s="816"/>
      <c r="AA771" s="816" t="s">
        <v>2995</v>
      </c>
      <c r="AB771" s="816" t="s">
        <v>3045</v>
      </c>
      <c r="AC771" s="816"/>
      <c r="AD771" s="816"/>
      <c r="AE771" s="816"/>
      <c r="AF771" s="816"/>
      <c r="AG771" s="816"/>
      <c r="AH771" s="816" t="s">
        <v>3162</v>
      </c>
      <c r="AI771" s="816"/>
      <c r="AJ771" s="816"/>
      <c r="AL771" s="816"/>
      <c r="AN771" s="816" t="s">
        <v>3335</v>
      </c>
      <c r="AP771" s="816"/>
      <c r="AQ771" s="816"/>
      <c r="AR771" s="816"/>
      <c r="AS771" s="816"/>
      <c r="AT771" s="816"/>
      <c r="AU771" s="816"/>
      <c r="AV771" s="816"/>
      <c r="AX771" s="816" t="s">
        <v>3529</v>
      </c>
      <c r="AY771" s="816"/>
      <c r="AZ771" s="816"/>
      <c r="BA771" s="816" t="s">
        <v>3637</v>
      </c>
      <c r="BC771" s="816"/>
      <c r="BD771" s="816" t="s">
        <v>3726</v>
      </c>
      <c r="BE771" s="816"/>
      <c r="BG771" s="816"/>
      <c r="BH771" s="816"/>
      <c r="BI771" s="816"/>
      <c r="BJ771" s="816"/>
      <c r="BK771" s="816" t="s">
        <v>4005</v>
      </c>
      <c r="BM771" s="816"/>
      <c r="BN771" s="816"/>
      <c r="BO771" s="816"/>
      <c r="BQ771" s="816"/>
      <c r="BR771" s="816"/>
      <c r="BS771" s="816"/>
      <c r="BT771" s="816"/>
      <c r="BU771" s="816"/>
    </row>
    <row r="772" spans="1:73" x14ac:dyDescent="0.35">
      <c r="A772" s="806" t="s">
        <v>789</v>
      </c>
      <c r="B772" s="806" t="s">
        <v>1626</v>
      </c>
      <c r="C772" s="806"/>
      <c r="D772" s="806"/>
      <c r="E772" s="806"/>
      <c r="F772" s="806"/>
      <c r="I772" s="811"/>
      <c r="K772" s="811"/>
      <c r="M772" s="811"/>
      <c r="N772" s="811"/>
      <c r="O772" s="811"/>
      <c r="P772" s="811"/>
      <c r="Q772" s="811"/>
      <c r="S772" s="811"/>
      <c r="T772" s="811"/>
      <c r="U772" s="811"/>
      <c r="V772" s="811"/>
      <c r="W772" s="811"/>
      <c r="X772" s="811"/>
      <c r="Z772" s="811"/>
      <c r="AA772" s="811">
        <v>44586</v>
      </c>
      <c r="AB772" s="811"/>
      <c r="AC772" s="811"/>
      <c r="AD772" s="811"/>
      <c r="AE772" s="811"/>
      <c r="AF772" s="811"/>
      <c r="AG772" s="811"/>
      <c r="AI772" s="811"/>
      <c r="AJ772" s="811"/>
      <c r="AL772" s="811"/>
      <c r="AP772" s="811"/>
      <c r="AQ772" s="811"/>
      <c r="AR772" s="811"/>
      <c r="AS772" s="811"/>
      <c r="AT772" s="811"/>
      <c r="AU772" s="811"/>
      <c r="AV772" s="811"/>
      <c r="AX772" s="811">
        <v>44958</v>
      </c>
      <c r="AY772" s="811"/>
      <c r="AZ772" s="811"/>
      <c r="BA772" s="811"/>
      <c r="BC772" s="811"/>
      <c r="BD772" s="811"/>
      <c r="BE772" s="811"/>
      <c r="BG772" s="811"/>
      <c r="BH772" s="811"/>
      <c r="BI772" s="811"/>
      <c r="BJ772" s="811"/>
      <c r="BK772" s="811">
        <v>44565</v>
      </c>
      <c r="BM772" s="811"/>
      <c r="BN772" s="811"/>
      <c r="BO772" s="811"/>
      <c r="BQ772" s="811"/>
      <c r="BR772" s="811"/>
      <c r="BS772" s="811"/>
      <c r="BT772" s="811"/>
      <c r="BU772" s="811"/>
    </row>
    <row r="773" spans="1:73" x14ac:dyDescent="0.35">
      <c r="A773" s="806" t="s">
        <v>789</v>
      </c>
      <c r="B773" s="806" t="s">
        <v>2448</v>
      </c>
      <c r="C773" s="806"/>
      <c r="D773" s="806"/>
      <c r="E773" s="806"/>
      <c r="F773" s="816" t="s">
        <v>198</v>
      </c>
      <c r="L773" s="816" t="s">
        <v>198</v>
      </c>
      <c r="AA773" s="816" t="s">
        <v>198</v>
      </c>
      <c r="AB773" s="816" t="s">
        <v>198</v>
      </c>
      <c r="AH773" s="816" t="s">
        <v>198</v>
      </c>
      <c r="AN773" s="816" t="s">
        <v>198</v>
      </c>
      <c r="AW773" s="816" t="s">
        <v>198</v>
      </c>
      <c r="AX773" s="816" t="s">
        <v>198</v>
      </c>
      <c r="BA773" s="816" t="s">
        <v>198</v>
      </c>
      <c r="BD773" s="816" t="s">
        <v>198</v>
      </c>
      <c r="BF773" s="816" t="s">
        <v>198</v>
      </c>
      <c r="BK773" s="816" t="s">
        <v>198</v>
      </c>
      <c r="BQ773" s="816" t="s">
        <v>198</v>
      </c>
    </row>
    <row r="774" spans="1:73" x14ac:dyDescent="0.35">
      <c r="A774" s="806" t="s">
        <v>789</v>
      </c>
      <c r="B774" s="806" t="s">
        <v>2449</v>
      </c>
      <c r="C774" s="806"/>
      <c r="D774" s="806"/>
      <c r="E774" s="806"/>
      <c r="F774" s="816" t="s">
        <v>198</v>
      </c>
      <c r="L774" s="816" t="s">
        <v>198</v>
      </c>
      <c r="AA774" s="816" t="s">
        <v>198</v>
      </c>
      <c r="AB774" s="816" t="s">
        <v>198</v>
      </c>
      <c r="AH774" s="816" t="s">
        <v>198</v>
      </c>
      <c r="AN774" s="816" t="s">
        <v>198</v>
      </c>
      <c r="AW774" s="816" t="s">
        <v>198</v>
      </c>
      <c r="AX774" s="816" t="s">
        <v>198</v>
      </c>
      <c r="BA774" s="816" t="s">
        <v>198</v>
      </c>
      <c r="BD774" s="816" t="s">
        <v>198</v>
      </c>
      <c r="BF774" s="816" t="s">
        <v>198</v>
      </c>
      <c r="BK774" s="816" t="s">
        <v>198</v>
      </c>
      <c r="BQ774" s="816" t="s">
        <v>198</v>
      </c>
    </row>
    <row r="775" spans="1:73" x14ac:dyDescent="0.35">
      <c r="A775" s="806" t="s">
        <v>789</v>
      </c>
      <c r="B775" s="806" t="s">
        <v>2450</v>
      </c>
      <c r="C775" s="806"/>
      <c r="D775" s="806"/>
      <c r="E775" s="806"/>
      <c r="F775" s="816" t="s">
        <v>198</v>
      </c>
      <c r="L775" s="816" t="s">
        <v>198</v>
      </c>
      <c r="AA775" s="816" t="s">
        <v>198</v>
      </c>
      <c r="AB775" s="816" t="s">
        <v>198</v>
      </c>
      <c r="AH775" s="816" t="s">
        <v>198</v>
      </c>
      <c r="AN775" s="816" t="s">
        <v>198</v>
      </c>
      <c r="AW775" s="816" t="s">
        <v>198</v>
      </c>
      <c r="AX775" s="816" t="s">
        <v>198</v>
      </c>
      <c r="BA775" s="816" t="s">
        <v>198</v>
      </c>
      <c r="BD775" s="816" t="s">
        <v>198</v>
      </c>
      <c r="BF775" s="816" t="s">
        <v>198</v>
      </c>
      <c r="BK775" s="816" t="s">
        <v>198</v>
      </c>
      <c r="BQ775" s="816" t="s">
        <v>198</v>
      </c>
    </row>
    <row r="776" spans="1:73" x14ac:dyDescent="0.35">
      <c r="A776" s="806" t="s">
        <v>789</v>
      </c>
      <c r="B776" s="806" t="s">
        <v>2451</v>
      </c>
      <c r="C776" s="806"/>
      <c r="D776" s="806"/>
      <c r="E776" s="806"/>
      <c r="F776" s="816" t="s">
        <v>198</v>
      </c>
      <c r="L776" s="816" t="s">
        <v>198</v>
      </c>
      <c r="AA776" s="816" t="s">
        <v>198</v>
      </c>
      <c r="AB776" s="816" t="s">
        <v>198</v>
      </c>
      <c r="AH776" s="816" t="s">
        <v>198</v>
      </c>
      <c r="AN776" s="816" t="s">
        <v>198</v>
      </c>
      <c r="AW776" s="816" t="s">
        <v>198</v>
      </c>
      <c r="AX776" s="816" t="s">
        <v>503</v>
      </c>
      <c r="BA776" s="816" t="s">
        <v>198</v>
      </c>
      <c r="BD776" s="816" t="s">
        <v>198</v>
      </c>
      <c r="BF776" s="816" t="s">
        <v>198</v>
      </c>
      <c r="BK776" s="816" t="s">
        <v>198</v>
      </c>
      <c r="BQ776" s="816" t="s">
        <v>198</v>
      </c>
    </row>
    <row r="777" spans="1:73" x14ac:dyDescent="0.35">
      <c r="A777" s="806" t="s">
        <v>789</v>
      </c>
      <c r="B777" s="806" t="s">
        <v>2452</v>
      </c>
      <c r="C777" s="806"/>
      <c r="D777" s="806"/>
      <c r="E777" s="806"/>
      <c r="F777" s="816" t="s">
        <v>198</v>
      </c>
      <c r="L777" s="816" t="s">
        <v>198</v>
      </c>
      <c r="AA777" s="816" t="s">
        <v>198</v>
      </c>
      <c r="AB777" s="816" t="s">
        <v>198</v>
      </c>
      <c r="AH777" s="816" t="s">
        <v>198</v>
      </c>
      <c r="AN777" s="816" t="s">
        <v>198</v>
      </c>
      <c r="AW777" s="816" t="s">
        <v>198</v>
      </c>
      <c r="AX777" s="816" t="s">
        <v>198</v>
      </c>
      <c r="BA777" s="816" t="s">
        <v>198</v>
      </c>
      <c r="BD777" s="816" t="s">
        <v>198</v>
      </c>
      <c r="BF777" s="816" t="s">
        <v>198</v>
      </c>
      <c r="BK777" s="816" t="s">
        <v>198</v>
      </c>
      <c r="BQ777" s="816" t="s">
        <v>198</v>
      </c>
    </row>
    <row r="778" spans="1:73" x14ac:dyDescent="0.35">
      <c r="A778" s="806" t="s">
        <v>789</v>
      </c>
      <c r="B778" s="806" t="s">
        <v>2453</v>
      </c>
      <c r="C778" s="806"/>
      <c r="D778" s="806"/>
      <c r="E778" s="806"/>
      <c r="F778" s="816" t="s">
        <v>198</v>
      </c>
      <c r="L778" s="816" t="s">
        <v>198</v>
      </c>
      <c r="AA778" s="816" t="s">
        <v>198</v>
      </c>
      <c r="AB778" s="816" t="s">
        <v>198</v>
      </c>
      <c r="AH778" s="816" t="s">
        <v>198</v>
      </c>
      <c r="AN778" s="816" t="s">
        <v>198</v>
      </c>
      <c r="AW778" s="816" t="s">
        <v>198</v>
      </c>
      <c r="AX778" s="816" t="s">
        <v>198</v>
      </c>
      <c r="BA778" s="816" t="s">
        <v>198</v>
      </c>
      <c r="BD778" s="816" t="s">
        <v>198</v>
      </c>
      <c r="BF778" s="816" t="s">
        <v>198</v>
      </c>
      <c r="BK778" s="816" t="s">
        <v>198</v>
      </c>
      <c r="BQ778" s="816" t="s">
        <v>198</v>
      </c>
    </row>
    <row r="779" spans="1:73" x14ac:dyDescent="0.35">
      <c r="A779" s="806" t="s">
        <v>789</v>
      </c>
      <c r="B779" s="806" t="s">
        <v>2454</v>
      </c>
      <c r="C779" s="806"/>
      <c r="D779" s="806"/>
      <c r="E779" s="806"/>
      <c r="F779" s="806"/>
      <c r="L779" s="816" t="s">
        <v>198</v>
      </c>
      <c r="AA779" s="816" t="s">
        <v>198</v>
      </c>
      <c r="AB779" s="816" t="s">
        <v>198</v>
      </c>
      <c r="AH779" s="816" t="s">
        <v>503</v>
      </c>
      <c r="AW779" s="816" t="s">
        <v>198</v>
      </c>
      <c r="AX779" s="816" t="s">
        <v>198</v>
      </c>
      <c r="BD779" s="816" t="s">
        <v>198</v>
      </c>
      <c r="BF779" s="816" t="s">
        <v>198</v>
      </c>
      <c r="BK779" s="816" t="s">
        <v>198</v>
      </c>
      <c r="BQ779" s="816" t="s">
        <v>198</v>
      </c>
    </row>
    <row r="780" spans="1:73" x14ac:dyDescent="0.35">
      <c r="A780" s="806" t="s">
        <v>789</v>
      </c>
      <c r="B780" s="806" t="s">
        <v>2455</v>
      </c>
      <c r="C780" s="806"/>
      <c r="D780" s="806"/>
      <c r="E780" s="806"/>
      <c r="F780" s="816" t="s">
        <v>503</v>
      </c>
      <c r="L780" s="816" t="s">
        <v>198</v>
      </c>
      <c r="AA780" s="816" t="s">
        <v>198</v>
      </c>
      <c r="AB780" s="816" t="s">
        <v>198</v>
      </c>
      <c r="AH780" s="816" t="s">
        <v>198</v>
      </c>
      <c r="AN780" s="816" t="s">
        <v>198</v>
      </c>
      <c r="AW780" s="816" t="s">
        <v>198</v>
      </c>
      <c r="AX780" s="816" t="s">
        <v>198</v>
      </c>
      <c r="BA780" s="816" t="s">
        <v>198</v>
      </c>
      <c r="BD780" s="816" t="s">
        <v>503</v>
      </c>
      <c r="BF780" s="816" t="s">
        <v>198</v>
      </c>
      <c r="BK780" s="816" t="s">
        <v>198</v>
      </c>
      <c r="BQ780" s="816" t="s">
        <v>198</v>
      </c>
    </row>
    <row r="781" spans="1:73" x14ac:dyDescent="0.35">
      <c r="A781" s="806" t="s">
        <v>789</v>
      </c>
      <c r="B781" s="806" t="s">
        <v>2456</v>
      </c>
      <c r="C781" s="806"/>
      <c r="D781" s="806"/>
      <c r="E781" s="806"/>
      <c r="F781" s="816" t="s">
        <v>198</v>
      </c>
      <c r="L781" s="816" t="s">
        <v>198</v>
      </c>
      <c r="AA781" s="816" t="s">
        <v>198</v>
      </c>
      <c r="AH781" s="816" t="s">
        <v>198</v>
      </c>
      <c r="AN781" s="816" t="s">
        <v>198</v>
      </c>
      <c r="AW781" s="816" t="s">
        <v>198</v>
      </c>
      <c r="AX781" s="816" t="s">
        <v>198</v>
      </c>
      <c r="BA781" s="816" t="s">
        <v>198</v>
      </c>
      <c r="BD781" s="816" t="s">
        <v>198</v>
      </c>
      <c r="BQ781" s="816" t="s">
        <v>198</v>
      </c>
    </row>
    <row r="782" spans="1:73" ht="29" x14ac:dyDescent="0.35">
      <c r="A782" s="806" t="s">
        <v>789</v>
      </c>
      <c r="B782" s="806" t="s">
        <v>2457</v>
      </c>
      <c r="C782" s="806"/>
      <c r="D782" s="806"/>
      <c r="E782" s="806"/>
      <c r="F782" s="816" t="s">
        <v>198</v>
      </c>
      <c r="L782" s="816" t="s">
        <v>198</v>
      </c>
      <c r="AA782" s="816" t="s">
        <v>198</v>
      </c>
      <c r="AB782" s="816" t="s">
        <v>198</v>
      </c>
      <c r="AH782" s="816" t="s">
        <v>198</v>
      </c>
      <c r="AN782" s="816" t="s">
        <v>198</v>
      </c>
      <c r="AW782" s="816" t="s">
        <v>198</v>
      </c>
      <c r="AX782" s="816" t="s">
        <v>198</v>
      </c>
      <c r="BA782" s="816" t="s">
        <v>198</v>
      </c>
      <c r="BD782" s="816" t="s">
        <v>198</v>
      </c>
      <c r="BF782" s="816" t="s">
        <v>198</v>
      </c>
      <c r="BK782" s="816" t="s">
        <v>198</v>
      </c>
      <c r="BQ782" s="816" t="s">
        <v>198</v>
      </c>
    </row>
    <row r="783" spans="1:73" x14ac:dyDescent="0.35">
      <c r="A783" s="806" t="s">
        <v>789</v>
      </c>
      <c r="B783" s="806" t="s">
        <v>2458</v>
      </c>
      <c r="C783" s="806"/>
      <c r="D783" s="806"/>
      <c r="E783" s="806"/>
      <c r="F783" s="816" t="s">
        <v>198</v>
      </c>
      <c r="L783" s="816" t="s">
        <v>198</v>
      </c>
      <c r="AA783" s="816" t="s">
        <v>198</v>
      </c>
      <c r="AB783" s="816" t="s">
        <v>198</v>
      </c>
      <c r="AH783" s="816" t="s">
        <v>198</v>
      </c>
      <c r="AN783" s="816" t="s">
        <v>198</v>
      </c>
      <c r="AW783" s="816" t="s">
        <v>198</v>
      </c>
      <c r="AX783" s="816" t="s">
        <v>198</v>
      </c>
      <c r="BA783" s="816" t="s">
        <v>198</v>
      </c>
      <c r="BD783" s="816" t="s">
        <v>198</v>
      </c>
      <c r="BF783" s="816" t="s">
        <v>198</v>
      </c>
      <c r="BK783" s="816" t="s">
        <v>198</v>
      </c>
      <c r="BQ783" s="816" t="s">
        <v>198</v>
      </c>
    </row>
    <row r="784" spans="1:73" ht="29" x14ac:dyDescent="0.35">
      <c r="A784" s="806" t="s">
        <v>789</v>
      </c>
      <c r="B784" s="806" t="s">
        <v>937</v>
      </c>
      <c r="C784" s="806"/>
      <c r="D784" s="806"/>
      <c r="E784" s="806"/>
      <c r="F784" s="816" t="s">
        <v>198</v>
      </c>
      <c r="I784" s="816"/>
      <c r="K784" s="816"/>
      <c r="L784" s="816"/>
      <c r="M784" s="816"/>
      <c r="N784" s="816"/>
      <c r="O784" s="816"/>
      <c r="P784" s="816"/>
      <c r="Q784" s="816"/>
      <c r="S784" s="816"/>
      <c r="T784" s="816"/>
      <c r="U784" s="816"/>
      <c r="V784" s="816"/>
      <c r="W784" s="816"/>
      <c r="X784" s="816"/>
      <c r="Z784" s="816"/>
      <c r="AA784" s="816" t="s">
        <v>198</v>
      </c>
      <c r="AB784" s="816" t="s">
        <v>198</v>
      </c>
      <c r="AC784" s="816"/>
      <c r="AD784" s="816"/>
      <c r="AE784" s="816"/>
      <c r="AF784" s="816"/>
      <c r="AG784" s="816"/>
      <c r="AH784" s="816"/>
      <c r="AI784" s="816"/>
      <c r="AJ784" s="816"/>
      <c r="AL784" s="816"/>
      <c r="AN784" s="816"/>
      <c r="AP784" s="816"/>
      <c r="AQ784" s="816"/>
      <c r="AR784" s="816"/>
      <c r="AS784" s="816"/>
      <c r="AT784" s="816"/>
      <c r="AU784" s="816"/>
      <c r="AV784" s="816"/>
      <c r="AW784" s="816"/>
      <c r="AX784" s="816"/>
      <c r="AY784" s="816"/>
      <c r="AZ784" s="816"/>
      <c r="BA784" s="816" t="s">
        <v>198</v>
      </c>
      <c r="BC784" s="816"/>
      <c r="BD784" s="816" t="s">
        <v>198</v>
      </c>
      <c r="BE784" s="816"/>
      <c r="BF784" s="816" t="s">
        <v>198</v>
      </c>
      <c r="BG784" s="816"/>
      <c r="BH784" s="816"/>
      <c r="BI784" s="816"/>
      <c r="BJ784" s="816"/>
      <c r="BK784" s="816"/>
      <c r="BM784" s="816"/>
      <c r="BN784" s="816"/>
      <c r="BO784" s="816"/>
      <c r="BQ784" s="816" t="s">
        <v>198</v>
      </c>
      <c r="BR784" s="816"/>
      <c r="BS784" s="816"/>
      <c r="BT784" s="816"/>
      <c r="BU784" s="816"/>
    </row>
    <row r="785" spans="1:73" x14ac:dyDescent="0.35">
      <c r="A785" s="806" t="s">
        <v>789</v>
      </c>
      <c r="B785" s="806" t="s">
        <v>1151</v>
      </c>
      <c r="C785" s="806"/>
      <c r="D785" s="806"/>
      <c r="E785" s="806"/>
      <c r="F785" s="816" t="s">
        <v>198</v>
      </c>
      <c r="I785" s="816"/>
      <c r="J785" s="816"/>
      <c r="K785" s="816"/>
      <c r="L785" s="816" t="s">
        <v>198</v>
      </c>
      <c r="M785" s="816"/>
      <c r="N785" s="816"/>
      <c r="O785" s="816"/>
      <c r="P785" s="816"/>
      <c r="Q785" s="816"/>
      <c r="S785" s="816"/>
      <c r="T785" s="816"/>
      <c r="U785" s="816"/>
      <c r="V785" s="816"/>
      <c r="W785" s="816"/>
      <c r="X785" s="816"/>
      <c r="Z785" s="816"/>
      <c r="AA785" s="816" t="s">
        <v>198</v>
      </c>
      <c r="AB785" s="816" t="s">
        <v>198</v>
      </c>
      <c r="AC785" s="816"/>
      <c r="AD785" s="816"/>
      <c r="AE785" s="816"/>
      <c r="AF785" s="816"/>
      <c r="AG785" s="816"/>
      <c r="AH785" s="816" t="s">
        <v>198</v>
      </c>
      <c r="AI785" s="816"/>
      <c r="AJ785" s="816"/>
      <c r="AL785" s="816"/>
      <c r="AN785" s="816" t="s">
        <v>198</v>
      </c>
      <c r="AP785" s="816"/>
      <c r="AQ785" s="816"/>
      <c r="AR785" s="816"/>
      <c r="AS785" s="816"/>
      <c r="AT785" s="816"/>
      <c r="AU785" s="816"/>
      <c r="AV785" s="816"/>
      <c r="AW785" s="816" t="s">
        <v>198</v>
      </c>
      <c r="AX785" s="816" t="s">
        <v>198</v>
      </c>
      <c r="AY785" s="816"/>
      <c r="AZ785" s="816"/>
      <c r="BA785" s="816" t="s">
        <v>198</v>
      </c>
      <c r="BC785" s="816"/>
      <c r="BD785" s="816"/>
      <c r="BE785" s="816"/>
      <c r="BF785" s="816" t="s">
        <v>198</v>
      </c>
      <c r="BG785" s="816"/>
      <c r="BH785" s="816"/>
      <c r="BI785" s="816"/>
      <c r="BJ785" s="816"/>
      <c r="BK785" s="816" t="s">
        <v>198</v>
      </c>
      <c r="BM785" s="816"/>
      <c r="BN785" s="816"/>
      <c r="BO785" s="816"/>
      <c r="BQ785" s="816" t="s">
        <v>198</v>
      </c>
      <c r="BR785" s="816"/>
      <c r="BS785" s="816"/>
      <c r="BT785" s="816"/>
      <c r="BU785" s="816"/>
    </row>
    <row r="786" spans="1:73" x14ac:dyDescent="0.35">
      <c r="A786" s="806" t="s">
        <v>789</v>
      </c>
      <c r="B786" s="806" t="s">
        <v>1152</v>
      </c>
      <c r="C786" s="806"/>
      <c r="D786" s="806"/>
      <c r="E786" s="806"/>
      <c r="F786" s="816" t="s">
        <v>198</v>
      </c>
      <c r="I786" s="816"/>
      <c r="J786" s="816"/>
      <c r="K786" s="816"/>
      <c r="L786" s="816" t="s">
        <v>198</v>
      </c>
      <c r="M786" s="816"/>
      <c r="N786" s="816"/>
      <c r="O786" s="816"/>
      <c r="P786" s="816"/>
      <c r="Q786" s="816"/>
      <c r="S786" s="816"/>
      <c r="T786" s="816"/>
      <c r="U786" s="816"/>
      <c r="V786" s="816"/>
      <c r="W786" s="816"/>
      <c r="X786" s="816"/>
      <c r="Z786" s="816"/>
      <c r="AA786" s="816" t="s">
        <v>198</v>
      </c>
      <c r="AB786" s="816" t="s">
        <v>198</v>
      </c>
      <c r="AC786" s="816"/>
      <c r="AD786" s="816"/>
      <c r="AE786" s="816"/>
      <c r="AF786" s="816"/>
      <c r="AG786" s="816"/>
      <c r="AH786" s="816" t="s">
        <v>198</v>
      </c>
      <c r="AI786" s="816"/>
      <c r="AJ786" s="816"/>
      <c r="AL786" s="816"/>
      <c r="AN786" s="816" t="s">
        <v>198</v>
      </c>
      <c r="AP786" s="816"/>
      <c r="AQ786" s="816"/>
      <c r="AR786" s="816"/>
      <c r="AS786" s="816"/>
      <c r="AT786" s="816"/>
      <c r="AU786" s="816"/>
      <c r="AV786" s="816"/>
      <c r="AW786" s="816" t="s">
        <v>198</v>
      </c>
      <c r="AX786" s="816" t="s">
        <v>198</v>
      </c>
      <c r="AY786" s="816"/>
      <c r="AZ786" s="816"/>
      <c r="BA786" s="816" t="s">
        <v>198</v>
      </c>
      <c r="BC786" s="816"/>
      <c r="BD786" s="816"/>
      <c r="BE786" s="816"/>
      <c r="BF786" s="816" t="s">
        <v>198</v>
      </c>
      <c r="BG786" s="816"/>
      <c r="BH786" s="816"/>
      <c r="BI786" s="816"/>
      <c r="BJ786" s="816"/>
      <c r="BK786" s="816" t="s">
        <v>198</v>
      </c>
      <c r="BM786" s="816"/>
      <c r="BN786" s="816"/>
      <c r="BO786" s="816"/>
      <c r="BQ786" s="816" t="s">
        <v>198</v>
      </c>
      <c r="BR786" s="816"/>
      <c r="BS786" s="816"/>
      <c r="BT786" s="816"/>
      <c r="BU786" s="816"/>
    </row>
    <row r="787" spans="1:73" x14ac:dyDescent="0.35">
      <c r="A787" s="806" t="s">
        <v>789</v>
      </c>
      <c r="B787" s="806" t="s">
        <v>1153</v>
      </c>
      <c r="C787" s="806"/>
      <c r="D787" s="806"/>
      <c r="E787" s="806"/>
      <c r="F787" s="816" t="s">
        <v>198</v>
      </c>
      <c r="I787" s="816"/>
      <c r="J787" s="816"/>
      <c r="K787" s="816"/>
      <c r="L787" s="816" t="s">
        <v>198</v>
      </c>
      <c r="M787" s="816"/>
      <c r="N787" s="816"/>
      <c r="O787" s="816"/>
      <c r="P787" s="816"/>
      <c r="Q787" s="816"/>
      <c r="S787" s="816"/>
      <c r="T787" s="816"/>
      <c r="U787" s="816"/>
      <c r="V787" s="816"/>
      <c r="W787" s="816"/>
      <c r="X787" s="816"/>
      <c r="Z787" s="816"/>
      <c r="AA787" s="816" t="s">
        <v>198</v>
      </c>
      <c r="AB787" s="816" t="s">
        <v>198</v>
      </c>
      <c r="AC787" s="816"/>
      <c r="AD787" s="816"/>
      <c r="AE787" s="816"/>
      <c r="AF787" s="816"/>
      <c r="AG787" s="816"/>
      <c r="AH787" s="816" t="s">
        <v>198</v>
      </c>
      <c r="AI787" s="816"/>
      <c r="AJ787" s="816"/>
      <c r="AL787" s="816"/>
      <c r="AN787" s="816" t="s">
        <v>198</v>
      </c>
      <c r="AP787" s="816"/>
      <c r="AQ787" s="816"/>
      <c r="AR787" s="816"/>
      <c r="AS787" s="816"/>
      <c r="AT787" s="816"/>
      <c r="AU787" s="816"/>
      <c r="AV787" s="816"/>
      <c r="AW787" s="816" t="s">
        <v>198</v>
      </c>
      <c r="AX787" s="816" t="s">
        <v>198</v>
      </c>
      <c r="AY787" s="816"/>
      <c r="AZ787" s="816"/>
      <c r="BA787" s="816" t="s">
        <v>198</v>
      </c>
      <c r="BC787" s="816"/>
      <c r="BD787" s="816"/>
      <c r="BE787" s="816"/>
      <c r="BF787" s="816" t="s">
        <v>198</v>
      </c>
      <c r="BG787" s="816"/>
      <c r="BH787" s="816"/>
      <c r="BI787" s="816"/>
      <c r="BJ787" s="816"/>
      <c r="BK787" s="816" t="s">
        <v>198</v>
      </c>
      <c r="BM787" s="816"/>
      <c r="BN787" s="816"/>
      <c r="BO787" s="816"/>
      <c r="BQ787" s="816" t="s">
        <v>198</v>
      </c>
      <c r="BR787" s="816"/>
      <c r="BS787" s="816"/>
      <c r="BT787" s="816"/>
      <c r="BU787" s="816"/>
    </row>
    <row r="788" spans="1:73" ht="29" x14ac:dyDescent="0.35">
      <c r="A788" s="806" t="s">
        <v>789</v>
      </c>
      <c r="B788" s="806" t="s">
        <v>1154</v>
      </c>
      <c r="C788" s="806"/>
      <c r="D788" s="806"/>
      <c r="E788" s="806"/>
      <c r="F788" s="816" t="s">
        <v>198</v>
      </c>
      <c r="I788" s="816"/>
      <c r="J788" s="816"/>
      <c r="K788" s="816"/>
      <c r="L788" s="816" t="s">
        <v>198</v>
      </c>
      <c r="M788" s="816"/>
      <c r="N788" s="816"/>
      <c r="O788" s="816"/>
      <c r="P788" s="816"/>
      <c r="Q788" s="816"/>
      <c r="S788" s="816"/>
      <c r="T788" s="816"/>
      <c r="U788" s="816"/>
      <c r="V788" s="816"/>
      <c r="W788" s="816"/>
      <c r="X788" s="816"/>
      <c r="Z788" s="816"/>
      <c r="AA788" s="816" t="s">
        <v>198</v>
      </c>
      <c r="AB788" s="816" t="s">
        <v>198</v>
      </c>
      <c r="AC788" s="816"/>
      <c r="AD788" s="816"/>
      <c r="AE788" s="816"/>
      <c r="AF788" s="816"/>
      <c r="AG788" s="816"/>
      <c r="AH788" s="816" t="s">
        <v>198</v>
      </c>
      <c r="AI788" s="816"/>
      <c r="AJ788" s="816"/>
      <c r="AL788" s="816"/>
      <c r="AN788" s="816" t="s">
        <v>198</v>
      </c>
      <c r="AP788" s="816"/>
      <c r="AQ788" s="816"/>
      <c r="AR788" s="816"/>
      <c r="AS788" s="816"/>
      <c r="AT788" s="816"/>
      <c r="AU788" s="816"/>
      <c r="AV788" s="816"/>
      <c r="AW788" s="816" t="s">
        <v>198</v>
      </c>
      <c r="AX788" s="816" t="s">
        <v>198</v>
      </c>
      <c r="AY788" s="816"/>
      <c r="AZ788" s="816"/>
      <c r="BA788" s="816" t="s">
        <v>198</v>
      </c>
      <c r="BC788" s="816"/>
      <c r="BD788" s="816"/>
      <c r="BE788" s="816"/>
      <c r="BF788" s="816" t="s">
        <v>198</v>
      </c>
      <c r="BG788" s="816"/>
      <c r="BH788" s="816"/>
      <c r="BI788" s="816"/>
      <c r="BJ788" s="816"/>
      <c r="BK788" s="816" t="s">
        <v>198</v>
      </c>
      <c r="BM788" s="816"/>
      <c r="BN788" s="816"/>
      <c r="BO788" s="816"/>
      <c r="BQ788" s="816" t="s">
        <v>198</v>
      </c>
      <c r="BR788" s="816"/>
      <c r="BS788" s="816"/>
      <c r="BT788" s="816"/>
      <c r="BU788" s="816"/>
    </row>
    <row r="789" spans="1:73" ht="29" x14ac:dyDescent="0.35">
      <c r="A789" s="806" t="s">
        <v>789</v>
      </c>
      <c r="B789" s="806" t="s">
        <v>1155</v>
      </c>
      <c r="C789" s="806"/>
      <c r="D789" s="806"/>
      <c r="E789" s="806"/>
      <c r="F789" s="816" t="s">
        <v>198</v>
      </c>
      <c r="I789" s="816"/>
      <c r="J789" s="816"/>
      <c r="K789" s="816"/>
      <c r="L789" s="816" t="s">
        <v>198</v>
      </c>
      <c r="M789" s="816"/>
      <c r="N789" s="816"/>
      <c r="O789" s="816"/>
      <c r="P789" s="816"/>
      <c r="Q789" s="816"/>
      <c r="S789" s="816"/>
      <c r="T789" s="816"/>
      <c r="U789" s="816"/>
      <c r="V789" s="816"/>
      <c r="W789" s="816"/>
      <c r="X789" s="816"/>
      <c r="Z789" s="816"/>
      <c r="AA789" s="816" t="s">
        <v>198</v>
      </c>
      <c r="AB789" s="816" t="s">
        <v>198</v>
      </c>
      <c r="AC789" s="816"/>
      <c r="AD789" s="816"/>
      <c r="AE789" s="816"/>
      <c r="AF789" s="816"/>
      <c r="AG789" s="816"/>
      <c r="AH789" s="816" t="s">
        <v>198</v>
      </c>
      <c r="AI789" s="816"/>
      <c r="AJ789" s="816"/>
      <c r="AL789" s="816"/>
      <c r="AN789" s="816" t="s">
        <v>198</v>
      </c>
      <c r="AP789" s="816"/>
      <c r="AQ789" s="816"/>
      <c r="AR789" s="816"/>
      <c r="AS789" s="816"/>
      <c r="AT789" s="816"/>
      <c r="AU789" s="816"/>
      <c r="AV789" s="816"/>
      <c r="AW789" s="816" t="s">
        <v>198</v>
      </c>
      <c r="AX789" s="816" t="s">
        <v>198</v>
      </c>
      <c r="AY789" s="816"/>
      <c r="AZ789" s="816"/>
      <c r="BA789" s="816" t="s">
        <v>198</v>
      </c>
      <c r="BC789" s="816"/>
      <c r="BD789" s="816"/>
      <c r="BE789" s="816"/>
      <c r="BF789" s="816" t="s">
        <v>198</v>
      </c>
      <c r="BG789" s="816"/>
      <c r="BH789" s="816"/>
      <c r="BI789" s="816"/>
      <c r="BJ789" s="816"/>
      <c r="BK789" s="816" t="s">
        <v>198</v>
      </c>
      <c r="BM789" s="816"/>
      <c r="BN789" s="816"/>
      <c r="BO789" s="816"/>
      <c r="BQ789" s="816" t="s">
        <v>198</v>
      </c>
      <c r="BR789" s="816"/>
      <c r="BS789" s="816"/>
      <c r="BT789" s="816"/>
      <c r="BU789" s="816"/>
    </row>
    <row r="790" spans="1:73" x14ac:dyDescent="0.35">
      <c r="A790" s="806" t="s">
        <v>789</v>
      </c>
      <c r="B790" s="806" t="s">
        <v>939</v>
      </c>
      <c r="C790" s="806"/>
      <c r="D790" s="806"/>
      <c r="E790" s="806"/>
      <c r="F790" s="816" t="s">
        <v>198</v>
      </c>
      <c r="I790" s="816"/>
      <c r="K790" s="816"/>
      <c r="L790" s="816" t="s">
        <v>198</v>
      </c>
      <c r="M790" s="816"/>
      <c r="N790" s="816"/>
      <c r="O790" s="816"/>
      <c r="P790" s="816"/>
      <c r="Q790" s="816"/>
      <c r="S790" s="816"/>
      <c r="T790" s="816"/>
      <c r="U790" s="816"/>
      <c r="V790" s="816"/>
      <c r="W790" s="816"/>
      <c r="X790" s="816"/>
      <c r="Z790" s="816"/>
      <c r="AA790" s="816" t="s">
        <v>198</v>
      </c>
      <c r="AB790" s="816"/>
      <c r="AC790" s="816"/>
      <c r="AD790" s="816"/>
      <c r="AE790" s="816"/>
      <c r="AF790" s="816"/>
      <c r="AG790" s="816"/>
      <c r="AH790" s="816" t="s">
        <v>198</v>
      </c>
      <c r="AI790" s="816"/>
      <c r="AJ790" s="816"/>
      <c r="AL790" s="816"/>
      <c r="AN790" s="816" t="s">
        <v>198</v>
      </c>
      <c r="AP790" s="816"/>
      <c r="AQ790" s="816"/>
      <c r="AR790" s="816"/>
      <c r="AS790" s="816"/>
      <c r="AT790" s="816"/>
      <c r="AU790" s="816"/>
      <c r="AV790" s="816"/>
      <c r="AW790" s="816" t="s">
        <v>198</v>
      </c>
      <c r="AX790" s="816" t="s">
        <v>198</v>
      </c>
      <c r="AY790" s="816"/>
      <c r="AZ790" s="816"/>
      <c r="BA790" s="816" t="s">
        <v>198</v>
      </c>
      <c r="BC790" s="816"/>
      <c r="BD790" s="816" t="s">
        <v>198</v>
      </c>
      <c r="BE790" s="816"/>
      <c r="BF790" s="816" t="s">
        <v>198</v>
      </c>
      <c r="BG790" s="816"/>
      <c r="BH790" s="816"/>
      <c r="BI790" s="816"/>
      <c r="BJ790" s="816"/>
      <c r="BK790" s="816" t="s">
        <v>198</v>
      </c>
      <c r="BM790" s="816"/>
      <c r="BN790" s="816"/>
      <c r="BO790" s="816"/>
      <c r="BQ790" s="816" t="s">
        <v>198</v>
      </c>
      <c r="BR790" s="816"/>
      <c r="BS790" s="816"/>
      <c r="BT790" s="816"/>
      <c r="BU790" s="816"/>
    </row>
    <row r="791" spans="1:73" x14ac:dyDescent="0.35">
      <c r="A791" s="806" t="s">
        <v>850</v>
      </c>
      <c r="B791" s="806" t="s">
        <v>854</v>
      </c>
      <c r="C791" s="816" t="s">
        <v>198</v>
      </c>
      <c r="D791" s="816" t="s">
        <v>198</v>
      </c>
      <c r="E791" s="816" t="s">
        <v>198</v>
      </c>
      <c r="F791" s="816" t="s">
        <v>198</v>
      </c>
      <c r="G791" s="816" t="s">
        <v>198</v>
      </c>
      <c r="H791" s="816" t="s">
        <v>198</v>
      </c>
      <c r="I791" s="816" t="s">
        <v>198</v>
      </c>
      <c r="J791" s="816" t="s">
        <v>198</v>
      </c>
      <c r="K791" s="816" t="s">
        <v>198</v>
      </c>
      <c r="L791" s="816" t="s">
        <v>198</v>
      </c>
      <c r="M791" s="816"/>
      <c r="N791" s="816" t="s">
        <v>198</v>
      </c>
      <c r="O791" s="816" t="s">
        <v>198</v>
      </c>
      <c r="P791" s="816" t="s">
        <v>198</v>
      </c>
      <c r="Q791" s="816" t="s">
        <v>198</v>
      </c>
      <c r="R791" s="816" t="s">
        <v>198</v>
      </c>
      <c r="S791" s="816" t="s">
        <v>198</v>
      </c>
      <c r="T791" s="816" t="s">
        <v>198</v>
      </c>
      <c r="U791" s="816" t="s">
        <v>198</v>
      </c>
      <c r="V791" s="816" t="s">
        <v>198</v>
      </c>
      <c r="W791" s="816" t="s">
        <v>198</v>
      </c>
      <c r="X791" s="816" t="s">
        <v>198</v>
      </c>
      <c r="Y791" s="816" t="s">
        <v>198</v>
      </c>
      <c r="Z791" s="816" t="s">
        <v>198</v>
      </c>
      <c r="AA791" s="816" t="s">
        <v>198</v>
      </c>
      <c r="AC791" s="816"/>
      <c r="AD791" s="816" t="s">
        <v>198</v>
      </c>
      <c r="AE791" s="816" t="s">
        <v>198</v>
      </c>
      <c r="AF791" s="816" t="s">
        <v>198</v>
      </c>
      <c r="AG791" s="816" t="s">
        <v>198</v>
      </c>
      <c r="AH791" s="816" t="s">
        <v>198</v>
      </c>
      <c r="AI791" s="816" t="s">
        <v>198</v>
      </c>
      <c r="AJ791" s="816" t="s">
        <v>198</v>
      </c>
      <c r="AK791" s="816" t="s">
        <v>198</v>
      </c>
      <c r="AL791" s="816" t="s">
        <v>198</v>
      </c>
      <c r="AM791" s="816" t="s">
        <v>198</v>
      </c>
      <c r="AN791" s="816" t="s">
        <v>198</v>
      </c>
      <c r="AO791" s="816" t="s">
        <v>198</v>
      </c>
      <c r="AP791" s="816" t="s">
        <v>198</v>
      </c>
      <c r="AQ791" s="816" t="s">
        <v>198</v>
      </c>
      <c r="AR791" s="816" t="s">
        <v>198</v>
      </c>
      <c r="AS791" s="816"/>
      <c r="AT791" s="816" t="s">
        <v>198</v>
      </c>
      <c r="AU791" s="816" t="s">
        <v>198</v>
      </c>
      <c r="AV791" s="816" t="s">
        <v>198</v>
      </c>
      <c r="AW791" s="816" t="s">
        <v>198</v>
      </c>
      <c r="AX791" s="816" t="s">
        <v>198</v>
      </c>
      <c r="AY791" s="816" t="s">
        <v>198</v>
      </c>
      <c r="AZ791" s="816" t="s">
        <v>198</v>
      </c>
      <c r="BA791" s="816" t="s">
        <v>198</v>
      </c>
      <c r="BB791" s="816" t="s">
        <v>198</v>
      </c>
      <c r="BC791" s="816"/>
      <c r="BD791" s="816" t="s">
        <v>198</v>
      </c>
      <c r="BE791" s="816" t="s">
        <v>198</v>
      </c>
      <c r="BF791" s="816" t="s">
        <v>198</v>
      </c>
      <c r="BG791" s="816"/>
      <c r="BH791" s="816" t="s">
        <v>198</v>
      </c>
      <c r="BI791" s="816" t="s">
        <v>198</v>
      </c>
      <c r="BJ791" s="816" t="s">
        <v>198</v>
      </c>
      <c r="BK791" s="816" t="s">
        <v>198</v>
      </c>
      <c r="BM791" s="816" t="s">
        <v>198</v>
      </c>
      <c r="BN791" s="816" t="s">
        <v>198</v>
      </c>
      <c r="BO791" s="816" t="s">
        <v>198</v>
      </c>
      <c r="BP791" s="816" t="s">
        <v>198</v>
      </c>
      <c r="BQ791" s="816" t="s">
        <v>198</v>
      </c>
      <c r="BR791" s="816" t="s">
        <v>198</v>
      </c>
      <c r="BS791" s="816" t="s">
        <v>198</v>
      </c>
      <c r="BT791" s="816" t="s">
        <v>198</v>
      </c>
      <c r="BU791" s="816" t="s">
        <v>198</v>
      </c>
    </row>
    <row r="792" spans="1:73" x14ac:dyDescent="0.35">
      <c r="A792" s="806" t="s">
        <v>732</v>
      </c>
      <c r="B792" s="806" t="s">
        <v>775</v>
      </c>
      <c r="C792" s="816"/>
      <c r="D792" s="816"/>
      <c r="E792" s="816"/>
      <c r="F792" s="816"/>
      <c r="G792" s="816" t="s">
        <v>1958</v>
      </c>
      <c r="H792" s="816" t="s">
        <v>1958</v>
      </c>
      <c r="I792" s="816"/>
      <c r="J792" s="816"/>
      <c r="K792" s="816"/>
      <c r="L792" s="816"/>
      <c r="M792" s="816"/>
      <c r="N792" s="816"/>
      <c r="O792" s="816"/>
      <c r="P792" s="816"/>
      <c r="Q792" s="816"/>
      <c r="R792" s="816"/>
      <c r="S792" s="816"/>
      <c r="T792" s="816"/>
      <c r="U792" s="816"/>
      <c r="V792" s="816"/>
      <c r="W792" s="816"/>
      <c r="X792" s="816"/>
      <c r="Y792" s="816"/>
      <c r="Z792" s="816"/>
      <c r="AA792" s="816" t="s">
        <v>1958</v>
      </c>
      <c r="AB792" s="816" t="s">
        <v>1958</v>
      </c>
      <c r="AC792" s="816"/>
      <c r="AD792" s="816"/>
      <c r="AE792" s="816"/>
      <c r="AF792" s="816"/>
      <c r="AG792" s="816"/>
      <c r="AH792" s="816"/>
      <c r="AI792" s="816"/>
      <c r="AJ792" s="816"/>
      <c r="AK792" s="816" t="s">
        <v>1958</v>
      </c>
      <c r="AL792" s="816"/>
      <c r="AM792" s="816"/>
      <c r="AN792" s="816"/>
      <c r="AO792" s="816"/>
      <c r="AP792" s="816"/>
      <c r="AQ792" s="816"/>
      <c r="AR792" s="816"/>
      <c r="AS792" s="816"/>
      <c r="AT792" s="816"/>
      <c r="AU792" s="816"/>
      <c r="AV792" s="816"/>
      <c r="AW792" s="816"/>
      <c r="AX792" s="816"/>
      <c r="AY792" s="816"/>
      <c r="AZ792" s="816"/>
      <c r="BA792" s="816"/>
      <c r="BB792" s="816"/>
      <c r="BC792" s="816"/>
      <c r="BD792" s="816"/>
      <c r="BE792" s="816"/>
      <c r="BF792" s="816"/>
      <c r="BG792" s="816"/>
      <c r="BH792" s="816"/>
      <c r="BI792" s="816"/>
      <c r="BJ792" s="816"/>
      <c r="BK792" s="816" t="s">
        <v>1958</v>
      </c>
      <c r="BM792" s="816"/>
      <c r="BN792" s="816"/>
      <c r="BO792" s="816"/>
      <c r="BP792" s="816"/>
      <c r="BQ792" s="816"/>
      <c r="BR792" s="816"/>
      <c r="BS792" s="816"/>
      <c r="BT792" s="816"/>
      <c r="BU792" s="816"/>
    </row>
    <row r="793" spans="1:73" x14ac:dyDescent="0.35">
      <c r="A793" s="806" t="s">
        <v>728</v>
      </c>
      <c r="B793" s="806" t="s">
        <v>3578</v>
      </c>
      <c r="C793" s="806"/>
      <c r="D793" s="806"/>
      <c r="E793" s="806"/>
      <c r="F793" s="806"/>
      <c r="AB793" s="816" t="s">
        <v>198</v>
      </c>
      <c r="BK793" s="816" t="s">
        <v>198</v>
      </c>
    </row>
    <row r="794" spans="1:73" x14ac:dyDescent="0.35">
      <c r="A794" s="806" t="s">
        <v>728</v>
      </c>
      <c r="B794" s="806" t="s">
        <v>1466</v>
      </c>
      <c r="C794" s="806"/>
      <c r="D794" s="806"/>
      <c r="E794" s="806"/>
      <c r="F794" s="806"/>
      <c r="I794" s="816"/>
      <c r="J794" s="816"/>
      <c r="K794" s="816"/>
      <c r="M794" s="816"/>
      <c r="N794" s="816"/>
      <c r="O794" s="816"/>
      <c r="P794" s="816"/>
      <c r="Q794" s="816"/>
      <c r="R794" s="816"/>
      <c r="S794" s="816"/>
      <c r="T794" s="816"/>
      <c r="U794" s="816"/>
      <c r="V794" s="816"/>
      <c r="W794" s="816"/>
      <c r="X794" s="816"/>
      <c r="Y794" s="816"/>
      <c r="Z794" s="816"/>
      <c r="AB794" s="816" t="s">
        <v>198</v>
      </c>
      <c r="AC794" s="816"/>
      <c r="AD794" s="816"/>
      <c r="AE794" s="816"/>
      <c r="AF794" s="816"/>
      <c r="AG794" s="816"/>
      <c r="AI794" s="816"/>
      <c r="AJ794" s="816"/>
      <c r="AL794" s="816"/>
      <c r="AM794" s="816"/>
      <c r="AN794" s="816"/>
      <c r="AO794" s="816"/>
      <c r="AP794" s="816"/>
      <c r="AQ794" s="816"/>
      <c r="AR794" s="816"/>
      <c r="AS794" s="816"/>
      <c r="AT794" s="816"/>
      <c r="AU794" s="816"/>
      <c r="AV794" s="816"/>
      <c r="AW794" s="816"/>
      <c r="AX794" s="816"/>
      <c r="AY794" s="816"/>
      <c r="AZ794" s="816"/>
      <c r="BA794" s="816"/>
      <c r="BC794" s="816"/>
      <c r="BD794" s="816"/>
      <c r="BE794" s="816"/>
      <c r="BF794" s="816"/>
      <c r="BG794" s="816"/>
      <c r="BH794" s="816"/>
      <c r="BI794" s="816"/>
      <c r="BJ794" s="816"/>
      <c r="BK794" s="816"/>
      <c r="BM794" s="816"/>
      <c r="BN794" s="816"/>
      <c r="BO794" s="816"/>
      <c r="BQ794" s="816"/>
      <c r="BR794" s="816"/>
      <c r="BS794" s="816"/>
      <c r="BT794" s="816"/>
      <c r="BU794" s="816"/>
    </row>
    <row r="795" spans="1:73" ht="29" x14ac:dyDescent="0.35">
      <c r="A795" s="806" t="s">
        <v>728</v>
      </c>
      <c r="B795" s="806" t="s">
        <v>1467</v>
      </c>
      <c r="C795" s="806"/>
      <c r="D795" s="806"/>
      <c r="E795" s="806"/>
      <c r="F795" s="806"/>
      <c r="I795" s="816"/>
      <c r="J795" s="816"/>
      <c r="K795" s="816"/>
      <c r="M795" s="816"/>
      <c r="N795" s="816"/>
      <c r="O795" s="816"/>
      <c r="P795" s="816"/>
      <c r="Q795" s="816"/>
      <c r="R795" s="816"/>
      <c r="S795" s="816"/>
      <c r="T795" s="816"/>
      <c r="U795" s="816"/>
      <c r="V795" s="816"/>
      <c r="W795" s="816"/>
      <c r="X795" s="816"/>
      <c r="Y795" s="816"/>
      <c r="Z795" s="816"/>
      <c r="AB795" s="816" t="s">
        <v>198</v>
      </c>
      <c r="AC795" s="816"/>
      <c r="AD795" s="816"/>
      <c r="AE795" s="816"/>
      <c r="AF795" s="816"/>
      <c r="AG795" s="816"/>
      <c r="AI795" s="816"/>
      <c r="AJ795" s="816"/>
      <c r="AL795" s="816"/>
      <c r="AM795" s="816"/>
      <c r="AN795" s="816"/>
      <c r="AO795" s="816"/>
      <c r="AP795" s="816"/>
      <c r="AQ795" s="816"/>
      <c r="AR795" s="816"/>
      <c r="AS795" s="816"/>
      <c r="AT795" s="816"/>
      <c r="AU795" s="816"/>
      <c r="AV795" s="816"/>
      <c r="AW795" s="816"/>
      <c r="AX795" s="816"/>
      <c r="AY795" s="816"/>
      <c r="AZ795" s="816"/>
      <c r="BA795" s="816"/>
      <c r="BC795" s="816"/>
      <c r="BD795" s="816"/>
      <c r="BE795" s="816"/>
      <c r="BF795" s="816"/>
      <c r="BG795" s="816"/>
      <c r="BH795" s="816"/>
      <c r="BI795" s="816"/>
      <c r="BJ795" s="816"/>
      <c r="BK795" s="816" t="s">
        <v>198</v>
      </c>
      <c r="BM795" s="816"/>
      <c r="BN795" s="816"/>
      <c r="BO795" s="816"/>
      <c r="BQ795" s="816"/>
      <c r="BR795" s="816"/>
      <c r="BS795" s="816"/>
      <c r="BT795" s="816"/>
      <c r="BU795" s="816"/>
    </row>
    <row r="796" spans="1:73" ht="29" x14ac:dyDescent="0.35">
      <c r="A796" s="806" t="s">
        <v>728</v>
      </c>
      <c r="B796" s="806" t="s">
        <v>1468</v>
      </c>
      <c r="C796" s="806"/>
      <c r="D796" s="806"/>
      <c r="E796" s="806"/>
      <c r="F796" s="806"/>
      <c r="I796" s="816"/>
      <c r="J796" s="816"/>
      <c r="K796" s="816"/>
      <c r="M796" s="816"/>
      <c r="N796" s="816"/>
      <c r="O796" s="816"/>
      <c r="P796" s="816"/>
      <c r="Q796" s="816"/>
      <c r="R796" s="816"/>
      <c r="S796" s="816"/>
      <c r="T796" s="816"/>
      <c r="U796" s="816"/>
      <c r="V796" s="816"/>
      <c r="W796" s="816"/>
      <c r="X796" s="816"/>
      <c r="Y796" s="816"/>
      <c r="Z796" s="816"/>
      <c r="AB796" s="816" t="s">
        <v>198</v>
      </c>
      <c r="AC796" s="816"/>
      <c r="AD796" s="816"/>
      <c r="AE796" s="816"/>
      <c r="AF796" s="816"/>
      <c r="AG796" s="816"/>
      <c r="AI796" s="816"/>
      <c r="AJ796" s="816"/>
      <c r="AL796" s="816"/>
      <c r="AM796" s="816"/>
      <c r="AN796" s="816"/>
      <c r="AO796" s="816"/>
      <c r="AP796" s="816"/>
      <c r="AQ796" s="816"/>
      <c r="AR796" s="816"/>
      <c r="AS796" s="816"/>
      <c r="AT796" s="816"/>
      <c r="AU796" s="816"/>
      <c r="AV796" s="816"/>
      <c r="AW796" s="816"/>
      <c r="AX796" s="816"/>
      <c r="AY796" s="816"/>
      <c r="AZ796" s="816"/>
      <c r="BA796" s="816"/>
      <c r="BC796" s="816"/>
      <c r="BD796" s="816"/>
      <c r="BE796" s="816"/>
      <c r="BF796" s="816"/>
      <c r="BG796" s="816"/>
      <c r="BH796" s="816"/>
      <c r="BI796" s="816"/>
      <c r="BJ796" s="816"/>
      <c r="BK796" s="816" t="s">
        <v>198</v>
      </c>
      <c r="BM796" s="816"/>
      <c r="BN796" s="816"/>
      <c r="BO796" s="816"/>
      <c r="BQ796" s="816"/>
      <c r="BR796" s="816"/>
      <c r="BS796" s="816"/>
      <c r="BT796" s="816"/>
      <c r="BU796" s="816"/>
    </row>
    <row r="797" spans="1:73" x14ac:dyDescent="0.35">
      <c r="A797" s="806" t="s">
        <v>728</v>
      </c>
      <c r="B797" s="806" t="s">
        <v>1469</v>
      </c>
      <c r="C797" s="806"/>
      <c r="D797" s="806"/>
      <c r="E797" s="806"/>
      <c r="F797" s="806"/>
      <c r="I797" s="816"/>
      <c r="J797" s="816"/>
      <c r="K797" s="816"/>
      <c r="M797" s="816"/>
      <c r="N797" s="816"/>
      <c r="O797" s="816"/>
      <c r="P797" s="816"/>
      <c r="Q797" s="816"/>
      <c r="R797" s="816"/>
      <c r="S797" s="816"/>
      <c r="T797" s="816"/>
      <c r="U797" s="816"/>
      <c r="V797" s="816"/>
      <c r="W797" s="816"/>
      <c r="X797" s="816"/>
      <c r="Y797" s="816"/>
      <c r="Z797" s="816"/>
      <c r="AB797" s="816" t="s">
        <v>198</v>
      </c>
      <c r="AC797" s="816"/>
      <c r="AD797" s="816"/>
      <c r="AE797" s="816"/>
      <c r="AF797" s="816"/>
      <c r="AG797" s="816"/>
      <c r="AI797" s="816"/>
      <c r="AJ797" s="816"/>
      <c r="AL797" s="816"/>
      <c r="AM797" s="816"/>
      <c r="AN797" s="816"/>
      <c r="AO797" s="816"/>
      <c r="AP797" s="816"/>
      <c r="AQ797" s="816"/>
      <c r="AR797" s="816"/>
      <c r="AS797" s="816"/>
      <c r="AT797" s="816"/>
      <c r="AU797" s="816"/>
      <c r="AV797" s="816"/>
      <c r="AW797" s="816"/>
      <c r="AX797" s="816"/>
      <c r="AY797" s="816"/>
      <c r="AZ797" s="816"/>
      <c r="BA797" s="816"/>
      <c r="BC797" s="816"/>
      <c r="BD797" s="816"/>
      <c r="BE797" s="816"/>
      <c r="BF797" s="816"/>
      <c r="BG797" s="816"/>
      <c r="BH797" s="816"/>
      <c r="BI797" s="816"/>
      <c r="BJ797" s="816"/>
      <c r="BK797" s="816" t="s">
        <v>198</v>
      </c>
      <c r="BM797" s="816"/>
      <c r="BN797" s="816"/>
      <c r="BO797" s="816"/>
      <c r="BQ797" s="816"/>
      <c r="BR797" s="816"/>
      <c r="BS797" s="816"/>
      <c r="BT797" s="816"/>
      <c r="BU797" s="816"/>
    </row>
    <row r="798" spans="1:73" ht="29" x14ac:dyDescent="0.35">
      <c r="A798" s="806" t="s">
        <v>728</v>
      </c>
      <c r="B798" s="806" t="s">
        <v>1470</v>
      </c>
      <c r="C798" s="806"/>
      <c r="D798" s="806"/>
      <c r="E798" s="806"/>
      <c r="F798" s="806"/>
      <c r="I798" s="816"/>
      <c r="J798" s="816"/>
      <c r="K798" s="816"/>
      <c r="M798" s="816"/>
      <c r="N798" s="816"/>
      <c r="O798" s="816"/>
      <c r="P798" s="816"/>
      <c r="Q798" s="816"/>
      <c r="R798" s="816"/>
      <c r="S798" s="816"/>
      <c r="T798" s="816"/>
      <c r="U798" s="816"/>
      <c r="V798" s="816"/>
      <c r="W798" s="816"/>
      <c r="X798" s="816"/>
      <c r="Y798" s="816"/>
      <c r="Z798" s="816"/>
      <c r="AB798" s="816" t="s">
        <v>198</v>
      </c>
      <c r="AC798" s="816"/>
      <c r="AD798" s="816"/>
      <c r="AE798" s="816"/>
      <c r="AF798" s="816"/>
      <c r="AG798" s="816"/>
      <c r="AI798" s="816"/>
      <c r="AJ798" s="816"/>
      <c r="AL798" s="816"/>
      <c r="AM798" s="816"/>
      <c r="AN798" s="816"/>
      <c r="AO798" s="816"/>
      <c r="AP798" s="816"/>
      <c r="AQ798" s="816"/>
      <c r="AR798" s="816"/>
      <c r="AS798" s="816"/>
      <c r="AT798" s="816"/>
      <c r="AU798" s="816"/>
      <c r="AV798" s="816"/>
      <c r="AW798" s="816"/>
      <c r="AX798" s="816"/>
      <c r="AY798" s="816"/>
      <c r="AZ798" s="816"/>
      <c r="BA798" s="816"/>
      <c r="BC798" s="816"/>
      <c r="BD798" s="816"/>
      <c r="BE798" s="816"/>
      <c r="BF798" s="816"/>
      <c r="BG798" s="816"/>
      <c r="BH798" s="816"/>
      <c r="BI798" s="816"/>
      <c r="BJ798" s="816"/>
      <c r="BK798" s="816" t="s">
        <v>198</v>
      </c>
      <c r="BM798" s="816"/>
      <c r="BN798" s="816"/>
      <c r="BO798" s="816"/>
      <c r="BQ798" s="816"/>
      <c r="BR798" s="816"/>
      <c r="BS798" s="816"/>
      <c r="BT798" s="816"/>
      <c r="BU798" s="816"/>
    </row>
    <row r="799" spans="1:73" ht="29" x14ac:dyDescent="0.35">
      <c r="A799" s="806" t="s">
        <v>728</v>
      </c>
      <c r="B799" s="806" t="s">
        <v>1471</v>
      </c>
      <c r="C799" s="806"/>
      <c r="D799" s="806"/>
      <c r="E799" s="806"/>
      <c r="F799" s="806"/>
      <c r="I799" s="816"/>
      <c r="J799" s="816"/>
      <c r="K799" s="816"/>
      <c r="M799" s="816"/>
      <c r="N799" s="816"/>
      <c r="O799" s="816"/>
      <c r="P799" s="816"/>
      <c r="Q799" s="816"/>
      <c r="R799" s="816"/>
      <c r="S799" s="816"/>
      <c r="T799" s="816"/>
      <c r="U799" s="816"/>
      <c r="V799" s="816"/>
      <c r="W799" s="816"/>
      <c r="X799" s="816"/>
      <c r="Y799" s="816"/>
      <c r="Z799" s="816"/>
      <c r="AB799" s="816" t="s">
        <v>198</v>
      </c>
      <c r="AC799" s="816"/>
      <c r="AD799" s="816"/>
      <c r="AE799" s="816"/>
      <c r="AF799" s="816"/>
      <c r="AG799" s="816"/>
      <c r="AI799" s="816"/>
      <c r="AJ799" s="816"/>
      <c r="AL799" s="816"/>
      <c r="AM799" s="816"/>
      <c r="AN799" s="816"/>
      <c r="AO799" s="816"/>
      <c r="AP799" s="816"/>
      <c r="AQ799" s="816"/>
      <c r="AR799" s="816"/>
      <c r="AS799" s="816"/>
      <c r="AT799" s="816"/>
      <c r="AU799" s="816"/>
      <c r="AV799" s="816"/>
      <c r="AW799" s="816"/>
      <c r="AX799" s="816"/>
      <c r="AY799" s="816"/>
      <c r="AZ799" s="816"/>
      <c r="BA799" s="816"/>
      <c r="BC799" s="816"/>
      <c r="BD799" s="816"/>
      <c r="BE799" s="816"/>
      <c r="BF799" s="816"/>
      <c r="BG799" s="816"/>
      <c r="BH799" s="816"/>
      <c r="BI799" s="816"/>
      <c r="BJ799" s="816"/>
      <c r="BK799" s="816" t="s">
        <v>198</v>
      </c>
      <c r="BM799" s="816"/>
      <c r="BN799" s="816"/>
      <c r="BO799" s="816"/>
      <c r="BQ799" s="816"/>
      <c r="BR799" s="816"/>
      <c r="BS799" s="816"/>
      <c r="BT799" s="816"/>
      <c r="BU799" s="816"/>
    </row>
    <row r="800" spans="1:73" ht="29" x14ac:dyDescent="0.35">
      <c r="A800" s="806" t="s">
        <v>728</v>
      </c>
      <c r="B800" s="806" t="s">
        <v>1160</v>
      </c>
      <c r="C800" s="816" t="s">
        <v>198</v>
      </c>
      <c r="D800" s="816" t="s">
        <v>198</v>
      </c>
      <c r="E800" s="816" t="s">
        <v>198</v>
      </c>
      <c r="F800" s="816" t="s">
        <v>198</v>
      </c>
      <c r="I800" s="816" t="s">
        <v>198</v>
      </c>
      <c r="J800" s="816"/>
      <c r="K800" s="816"/>
      <c r="M800" s="816"/>
      <c r="N800" s="816" t="s">
        <v>198</v>
      </c>
      <c r="O800" s="816"/>
      <c r="P800" s="816"/>
      <c r="Q800" s="816"/>
      <c r="S800" s="816"/>
      <c r="T800" s="816"/>
      <c r="U800" s="816"/>
      <c r="V800" s="816"/>
      <c r="W800" s="816"/>
      <c r="X800" s="816"/>
      <c r="Z800" s="816"/>
      <c r="AB800" s="816" t="s">
        <v>198</v>
      </c>
      <c r="AC800" s="816" t="s">
        <v>198</v>
      </c>
      <c r="AD800" s="816"/>
      <c r="AE800" s="816"/>
      <c r="AF800" s="816" t="s">
        <v>198</v>
      </c>
      <c r="AG800" s="816"/>
      <c r="AH800" s="816" t="s">
        <v>198</v>
      </c>
      <c r="AI800" s="816"/>
      <c r="AJ800" s="816"/>
      <c r="AL800" s="816"/>
      <c r="AN800" s="816"/>
      <c r="AP800" s="816"/>
      <c r="AQ800" s="816"/>
      <c r="AR800" s="816"/>
      <c r="AS800" s="816"/>
      <c r="AT800" s="816"/>
      <c r="AU800" s="816"/>
      <c r="AV800" s="816"/>
      <c r="AW800" s="816"/>
      <c r="AX800" s="816"/>
      <c r="AY800" s="816"/>
      <c r="AZ800" s="816"/>
      <c r="BA800" s="816" t="s">
        <v>198</v>
      </c>
      <c r="BC800" s="816"/>
      <c r="BD800" s="816"/>
      <c r="BE800" s="816"/>
      <c r="BF800" s="816"/>
      <c r="BG800" s="816"/>
      <c r="BH800" s="816"/>
      <c r="BI800" s="816"/>
      <c r="BJ800" s="816"/>
      <c r="BK800" s="816" t="s">
        <v>198</v>
      </c>
      <c r="BM800" s="816"/>
      <c r="BN800" s="816"/>
      <c r="BO800" s="816"/>
      <c r="BQ800" s="816" t="s">
        <v>503</v>
      </c>
      <c r="BR800" s="816"/>
      <c r="BS800" s="816"/>
      <c r="BT800" s="816"/>
      <c r="BU800" s="816"/>
    </row>
    <row r="801" spans="1:73" ht="409.5" x14ac:dyDescent="0.35">
      <c r="A801" s="806" t="s">
        <v>728</v>
      </c>
      <c r="B801" s="806" t="s">
        <v>1168</v>
      </c>
      <c r="C801" s="816" t="s">
        <v>2490</v>
      </c>
      <c r="D801" s="816" t="s">
        <v>2495</v>
      </c>
      <c r="E801" s="816" t="s">
        <v>2490</v>
      </c>
      <c r="F801" s="816" t="s">
        <v>2500</v>
      </c>
      <c r="I801" s="816" t="s">
        <v>2595</v>
      </c>
      <c r="J801" s="816"/>
      <c r="K801" s="816"/>
      <c r="M801" s="816"/>
      <c r="N801" s="816" t="s">
        <v>2719</v>
      </c>
      <c r="O801" s="816"/>
      <c r="P801" s="816"/>
      <c r="Q801" s="816"/>
      <c r="S801" s="816"/>
      <c r="T801" s="816"/>
      <c r="U801" s="816"/>
      <c r="V801" s="816"/>
      <c r="W801" s="816"/>
      <c r="X801" s="816"/>
      <c r="Z801" s="816"/>
      <c r="AB801" s="816" t="s">
        <v>3031</v>
      </c>
      <c r="AC801" s="816" t="s">
        <v>3062</v>
      </c>
      <c r="AD801" s="816"/>
      <c r="AE801" s="816"/>
      <c r="AF801" s="816" t="s">
        <v>3115</v>
      </c>
      <c r="AG801" s="816"/>
      <c r="AH801" s="816" t="s">
        <v>3175</v>
      </c>
      <c r="AI801" s="816"/>
      <c r="AJ801" s="816"/>
      <c r="AL801" s="816"/>
      <c r="AN801" s="816"/>
      <c r="AP801" s="816"/>
      <c r="AQ801" s="816"/>
      <c r="AR801" s="816"/>
      <c r="AS801" s="816"/>
      <c r="AT801" s="816"/>
      <c r="AU801" s="816"/>
      <c r="AV801" s="816"/>
      <c r="AW801" s="816"/>
      <c r="AX801" s="816"/>
      <c r="AY801" s="816"/>
      <c r="AZ801" s="816"/>
      <c r="BA801" s="816" t="s">
        <v>3622</v>
      </c>
      <c r="BC801" s="816"/>
      <c r="BD801" s="816"/>
      <c r="BE801" s="816"/>
      <c r="BF801" s="816"/>
      <c r="BG801" s="816"/>
      <c r="BH801" s="816"/>
      <c r="BI801" s="816"/>
      <c r="BJ801" s="816"/>
      <c r="BK801" s="816" t="s">
        <v>3987</v>
      </c>
      <c r="BM801" s="816"/>
      <c r="BN801" s="816"/>
      <c r="BO801" s="816"/>
      <c r="BQ801" s="816"/>
      <c r="BR801" s="816"/>
      <c r="BS801" s="816"/>
      <c r="BT801" s="816"/>
      <c r="BU801" s="816"/>
    </row>
    <row r="802" spans="1:73" x14ac:dyDescent="0.35">
      <c r="A802" s="806" t="s">
        <v>732</v>
      </c>
      <c r="B802" s="806" t="s">
        <v>733</v>
      </c>
      <c r="C802" s="816" t="s">
        <v>1958</v>
      </c>
      <c r="D802" s="816" t="s">
        <v>1958</v>
      </c>
      <c r="E802" s="816" t="s">
        <v>1958</v>
      </c>
      <c r="F802" s="816" t="s">
        <v>2476</v>
      </c>
      <c r="G802" s="816" t="s">
        <v>1958</v>
      </c>
      <c r="H802" s="816" t="s">
        <v>1958</v>
      </c>
      <c r="I802" s="816" t="s">
        <v>2476</v>
      </c>
      <c r="J802" s="816"/>
      <c r="K802" s="816"/>
      <c r="L802" s="816"/>
      <c r="M802" s="816"/>
      <c r="N802" s="816" t="s">
        <v>2476</v>
      </c>
      <c r="O802" s="816"/>
      <c r="P802" s="816"/>
      <c r="Q802" s="816"/>
      <c r="R802" s="816"/>
      <c r="S802" s="816"/>
      <c r="T802" s="816"/>
      <c r="U802" s="816"/>
      <c r="V802" s="816"/>
      <c r="W802" s="816"/>
      <c r="X802" s="816"/>
      <c r="Y802" s="816"/>
      <c r="Z802" s="816"/>
      <c r="AA802" s="816" t="s">
        <v>1958</v>
      </c>
      <c r="AB802" s="816" t="s">
        <v>2476</v>
      </c>
      <c r="AC802" s="816" t="s">
        <v>900</v>
      </c>
      <c r="AD802" s="816"/>
      <c r="AE802" s="816"/>
      <c r="AF802" s="816" t="s">
        <v>2476</v>
      </c>
      <c r="AG802" s="816"/>
      <c r="AH802" s="816" t="s">
        <v>2476</v>
      </c>
      <c r="AI802" s="816"/>
      <c r="AJ802" s="816"/>
      <c r="AK802" s="816" t="s">
        <v>1958</v>
      </c>
      <c r="AL802" s="816"/>
      <c r="AM802" s="816"/>
      <c r="AN802" s="816"/>
      <c r="AO802" s="816"/>
      <c r="AP802" s="816"/>
      <c r="AQ802" s="816" t="s">
        <v>1958</v>
      </c>
      <c r="AR802" s="816"/>
      <c r="AS802" s="816"/>
      <c r="AT802" s="816"/>
      <c r="AU802" s="816"/>
      <c r="AV802" s="816"/>
      <c r="AW802" s="816"/>
      <c r="AX802" s="816"/>
      <c r="AY802" s="816" t="s">
        <v>1958</v>
      </c>
      <c r="AZ802" s="816"/>
      <c r="BA802" s="816" t="s">
        <v>900</v>
      </c>
      <c r="BB802" s="816"/>
      <c r="BC802" s="816"/>
      <c r="BD802" s="816"/>
      <c r="BE802" s="816"/>
      <c r="BF802" s="816"/>
      <c r="BG802" s="816"/>
      <c r="BH802" s="816"/>
      <c r="BI802" s="816"/>
      <c r="BJ802" s="816"/>
      <c r="BK802" s="816" t="s">
        <v>2476</v>
      </c>
      <c r="BM802" s="816"/>
      <c r="BN802" s="816"/>
      <c r="BO802" s="816"/>
      <c r="BP802" s="816"/>
      <c r="BQ802" s="816" t="s">
        <v>900</v>
      </c>
      <c r="BR802" s="816"/>
      <c r="BS802" s="816" t="s">
        <v>1958</v>
      </c>
      <c r="BT802" s="816"/>
      <c r="BU802" s="816"/>
    </row>
    <row r="803" spans="1:73" ht="29" x14ac:dyDescent="0.35">
      <c r="A803" s="806" t="s">
        <v>728</v>
      </c>
      <c r="B803" s="806" t="s">
        <v>1166</v>
      </c>
      <c r="C803" s="816" t="s">
        <v>198</v>
      </c>
      <c r="D803" s="816" t="s">
        <v>198</v>
      </c>
      <c r="E803" s="816" t="s">
        <v>198</v>
      </c>
      <c r="F803" s="816" t="s">
        <v>198</v>
      </c>
      <c r="I803" s="816" t="s">
        <v>198</v>
      </c>
      <c r="J803" s="816"/>
      <c r="K803" s="816"/>
      <c r="M803" s="816"/>
      <c r="N803" s="816" t="s">
        <v>198</v>
      </c>
      <c r="O803" s="816"/>
      <c r="P803" s="816"/>
      <c r="Q803" s="816"/>
      <c r="S803" s="816"/>
      <c r="T803" s="816"/>
      <c r="U803" s="816"/>
      <c r="V803" s="816"/>
      <c r="W803" s="816"/>
      <c r="X803" s="816"/>
      <c r="Z803" s="816"/>
      <c r="AB803" s="816" t="s">
        <v>198</v>
      </c>
      <c r="AC803" s="816" t="s">
        <v>198</v>
      </c>
      <c r="AD803" s="816"/>
      <c r="AE803" s="816"/>
      <c r="AF803" s="816" t="s">
        <v>198</v>
      </c>
      <c r="AG803" s="816"/>
      <c r="AH803" s="816" t="s">
        <v>198</v>
      </c>
      <c r="AI803" s="816"/>
      <c r="AJ803" s="816"/>
      <c r="AL803" s="816"/>
      <c r="AN803" s="816"/>
      <c r="AP803" s="816"/>
      <c r="AQ803" s="816"/>
      <c r="AR803" s="816"/>
      <c r="AS803" s="816"/>
      <c r="AT803" s="816"/>
      <c r="AU803" s="816"/>
      <c r="AV803" s="816"/>
      <c r="AW803" s="816"/>
      <c r="AX803" s="816"/>
      <c r="AY803" s="816"/>
      <c r="AZ803" s="816"/>
      <c r="BA803" s="816" t="s">
        <v>198</v>
      </c>
      <c r="BC803" s="816"/>
      <c r="BD803" s="816"/>
      <c r="BE803" s="816"/>
      <c r="BF803" s="816"/>
      <c r="BG803" s="816"/>
      <c r="BH803" s="816"/>
      <c r="BI803" s="816"/>
      <c r="BJ803" s="816"/>
      <c r="BK803" s="816" t="s">
        <v>198</v>
      </c>
      <c r="BM803" s="816"/>
      <c r="BN803" s="816"/>
      <c r="BO803" s="816"/>
      <c r="BQ803" s="816" t="s">
        <v>198</v>
      </c>
      <c r="BR803" s="816"/>
      <c r="BS803" s="816"/>
      <c r="BT803" s="816"/>
      <c r="BU803" s="816"/>
    </row>
    <row r="804" spans="1:73" ht="29" x14ac:dyDescent="0.35">
      <c r="A804" s="806" t="s">
        <v>728</v>
      </c>
      <c r="B804" s="806" t="s">
        <v>957</v>
      </c>
      <c r="C804" s="816" t="b">
        <v>1</v>
      </c>
      <c r="D804" s="816" t="b">
        <v>1</v>
      </c>
      <c r="E804" s="816" t="b">
        <v>1</v>
      </c>
      <c r="F804" s="816" t="b">
        <v>1</v>
      </c>
      <c r="I804" s="816" t="b">
        <v>1</v>
      </c>
      <c r="J804" s="816"/>
      <c r="K804" s="816"/>
      <c r="M804" s="816"/>
      <c r="N804" s="816" t="b">
        <v>1</v>
      </c>
      <c r="O804" s="816"/>
      <c r="P804" s="816"/>
      <c r="Q804" s="816"/>
      <c r="R804" s="816"/>
      <c r="S804" s="816"/>
      <c r="T804" s="816"/>
      <c r="U804" s="816"/>
      <c r="V804" s="816"/>
      <c r="W804" s="816"/>
      <c r="X804" s="816"/>
      <c r="Y804" s="816"/>
      <c r="Z804" s="816"/>
      <c r="AB804" s="816" t="b">
        <v>1</v>
      </c>
      <c r="AC804" s="816" t="b">
        <v>1</v>
      </c>
      <c r="AD804" s="816"/>
      <c r="AE804" s="816"/>
      <c r="AF804" s="816" t="b">
        <v>1</v>
      </c>
      <c r="AG804" s="816"/>
      <c r="AH804" s="816" t="b">
        <v>1</v>
      </c>
      <c r="AI804" s="816"/>
      <c r="AJ804" s="816"/>
      <c r="AL804" s="816"/>
      <c r="AM804" s="816"/>
      <c r="AN804" s="816"/>
      <c r="AO804" s="816"/>
      <c r="AP804" s="816"/>
      <c r="AQ804" s="816" t="b">
        <v>0</v>
      </c>
      <c r="AR804" s="816"/>
      <c r="AS804" s="816"/>
      <c r="AT804" s="816"/>
      <c r="AU804" s="816"/>
      <c r="AV804" s="816"/>
      <c r="AW804" s="816"/>
      <c r="AX804" s="816"/>
      <c r="AY804" s="816" t="b">
        <v>0</v>
      </c>
      <c r="AZ804" s="816"/>
      <c r="BA804" s="816" t="b">
        <v>1</v>
      </c>
      <c r="BC804" s="816"/>
      <c r="BD804" s="816"/>
      <c r="BE804" s="816"/>
      <c r="BF804" s="816"/>
      <c r="BG804" s="816"/>
      <c r="BH804" s="816"/>
      <c r="BI804" s="816"/>
      <c r="BJ804" s="816"/>
      <c r="BK804" s="816" t="b">
        <v>1</v>
      </c>
      <c r="BM804" s="816"/>
      <c r="BN804" s="816"/>
      <c r="BO804" s="816"/>
      <c r="BQ804" s="816" t="b">
        <v>0</v>
      </c>
      <c r="BR804" s="816"/>
      <c r="BS804" s="816" t="b">
        <v>0</v>
      </c>
      <c r="BT804" s="816"/>
      <c r="BU804" s="816"/>
    </row>
    <row r="805" spans="1:73" ht="29" x14ac:dyDescent="0.35">
      <c r="A805" s="806" t="s">
        <v>728</v>
      </c>
      <c r="B805" s="806" t="s">
        <v>730</v>
      </c>
      <c r="C805" s="816" t="s">
        <v>1959</v>
      </c>
      <c r="D805" s="816" t="s">
        <v>1959</v>
      </c>
      <c r="E805" s="816" t="s">
        <v>1959</v>
      </c>
      <c r="F805" s="816" t="s">
        <v>1959</v>
      </c>
      <c r="G805" s="817"/>
      <c r="H805" s="817"/>
      <c r="I805" s="816" t="s">
        <v>1959</v>
      </c>
      <c r="J805" s="816"/>
      <c r="K805" s="816"/>
      <c r="L805" s="816"/>
      <c r="M805" s="816"/>
      <c r="N805" s="816" t="s">
        <v>1959</v>
      </c>
      <c r="O805" s="816"/>
      <c r="P805" s="816"/>
      <c r="Q805" s="816"/>
      <c r="R805" s="816"/>
      <c r="S805" s="816"/>
      <c r="T805" s="816"/>
      <c r="U805" s="816"/>
      <c r="V805" s="816"/>
      <c r="W805" s="816"/>
      <c r="X805" s="816"/>
      <c r="Y805" s="816"/>
      <c r="Z805" s="816"/>
      <c r="AA805" s="817"/>
      <c r="AB805" s="816" t="s">
        <v>1959</v>
      </c>
      <c r="AC805" s="816" t="s">
        <v>1959</v>
      </c>
      <c r="AD805" s="816"/>
      <c r="AE805" s="816"/>
      <c r="AF805" s="816" t="s">
        <v>1959</v>
      </c>
      <c r="AG805" s="816"/>
      <c r="AH805" s="816" t="s">
        <v>1959</v>
      </c>
      <c r="AI805" s="816"/>
      <c r="AJ805" s="816"/>
      <c r="AK805" s="817"/>
      <c r="AL805" s="816"/>
      <c r="AM805" s="816"/>
      <c r="AN805" s="816"/>
      <c r="AO805" s="816"/>
      <c r="AP805" s="816"/>
      <c r="AQ805" s="816" t="s">
        <v>1959</v>
      </c>
      <c r="AR805" s="816"/>
      <c r="AS805" s="816"/>
      <c r="AT805" s="816"/>
      <c r="AU805" s="816"/>
      <c r="AV805" s="816"/>
      <c r="AW805" s="816"/>
      <c r="AX805" s="816"/>
      <c r="AY805" s="816" t="s">
        <v>1959</v>
      </c>
      <c r="AZ805" s="816"/>
      <c r="BA805" s="816" t="s">
        <v>1959</v>
      </c>
      <c r="BB805" s="816"/>
      <c r="BC805" s="816"/>
      <c r="BD805" s="816"/>
      <c r="BE805" s="816"/>
      <c r="BF805" s="816"/>
      <c r="BG805" s="816"/>
      <c r="BH805" s="816"/>
      <c r="BI805" s="816"/>
      <c r="BJ805" s="816"/>
      <c r="BK805" s="816" t="s">
        <v>1959</v>
      </c>
      <c r="BM805" s="816"/>
      <c r="BN805" s="816"/>
      <c r="BO805" s="816"/>
      <c r="BP805" s="818"/>
      <c r="BQ805" s="816" t="s">
        <v>1959</v>
      </c>
      <c r="BR805" s="816"/>
      <c r="BS805" s="816" t="s">
        <v>1959</v>
      </c>
      <c r="BT805" s="816"/>
      <c r="BU805" s="816"/>
    </row>
    <row r="806" spans="1:73" ht="29" x14ac:dyDescent="0.35">
      <c r="A806" s="806" t="s">
        <v>728</v>
      </c>
      <c r="B806" s="806" t="s">
        <v>740</v>
      </c>
      <c r="C806" s="816" t="s">
        <v>1959</v>
      </c>
      <c r="D806" s="816" t="s">
        <v>1959</v>
      </c>
      <c r="E806" s="816" t="s">
        <v>1959</v>
      </c>
      <c r="F806" s="816" t="s">
        <v>1959</v>
      </c>
      <c r="G806" s="816"/>
      <c r="H806" s="816"/>
      <c r="I806" s="816" t="s">
        <v>1959</v>
      </c>
      <c r="J806" s="816"/>
      <c r="K806" s="816"/>
      <c r="L806" s="816"/>
      <c r="M806" s="816"/>
      <c r="N806" s="816" t="s">
        <v>1959</v>
      </c>
      <c r="O806" s="816"/>
      <c r="P806" s="816"/>
      <c r="Q806" s="816"/>
      <c r="R806" s="816"/>
      <c r="S806" s="816"/>
      <c r="T806" s="816"/>
      <c r="U806" s="816"/>
      <c r="V806" s="816"/>
      <c r="W806" s="816"/>
      <c r="X806" s="816"/>
      <c r="Y806" s="816"/>
      <c r="Z806" s="816"/>
      <c r="AA806" s="816"/>
      <c r="AB806" s="816" t="s">
        <v>1959</v>
      </c>
      <c r="AC806" s="816" t="s">
        <v>1959</v>
      </c>
      <c r="AD806" s="816"/>
      <c r="AE806" s="816"/>
      <c r="AF806" s="816" t="s">
        <v>1959</v>
      </c>
      <c r="AG806" s="816"/>
      <c r="AH806" s="816" t="s">
        <v>1959</v>
      </c>
      <c r="AI806" s="816"/>
      <c r="AJ806" s="816"/>
      <c r="AK806" s="816"/>
      <c r="AL806" s="816"/>
      <c r="AM806" s="816"/>
      <c r="AN806" s="816"/>
      <c r="AO806" s="816"/>
      <c r="AP806" s="816"/>
      <c r="AQ806" s="816" t="s">
        <v>1959</v>
      </c>
      <c r="AR806" s="816"/>
      <c r="AS806" s="816"/>
      <c r="AT806" s="816"/>
      <c r="AU806" s="816"/>
      <c r="AV806" s="816"/>
      <c r="AW806" s="816"/>
      <c r="AX806" s="816"/>
      <c r="AY806" s="816" t="s">
        <v>1959</v>
      </c>
      <c r="AZ806" s="816"/>
      <c r="BA806" s="816" t="s">
        <v>1959</v>
      </c>
      <c r="BB806" s="816"/>
      <c r="BC806" s="816"/>
      <c r="BD806" s="816"/>
      <c r="BE806" s="816"/>
      <c r="BF806" s="816"/>
      <c r="BG806" s="816"/>
      <c r="BH806" s="816"/>
      <c r="BI806" s="816"/>
      <c r="BJ806" s="816"/>
      <c r="BK806" s="816" t="s">
        <v>1959</v>
      </c>
      <c r="BM806" s="816"/>
      <c r="BN806" s="816"/>
      <c r="BO806" s="816"/>
      <c r="BP806" s="816"/>
      <c r="BQ806" s="816" t="s">
        <v>1959</v>
      </c>
      <c r="BR806" s="816"/>
      <c r="BS806" s="816" t="s">
        <v>1959</v>
      </c>
      <c r="BT806" s="816"/>
      <c r="BU806" s="816"/>
    </row>
    <row r="807" spans="1:73" ht="58" x14ac:dyDescent="0.35">
      <c r="A807" s="806" t="s">
        <v>728</v>
      </c>
      <c r="B807" s="806" t="s">
        <v>1161</v>
      </c>
      <c r="C807" s="816" t="s">
        <v>2477</v>
      </c>
      <c r="D807" s="816" t="s">
        <v>2477</v>
      </c>
      <c r="E807" s="816" t="s">
        <v>2477</v>
      </c>
      <c r="F807" s="816" t="s">
        <v>2477</v>
      </c>
      <c r="I807" s="816" t="s">
        <v>2588</v>
      </c>
      <c r="J807" s="816"/>
      <c r="K807" s="816"/>
      <c r="M807" s="816"/>
      <c r="N807" s="816" t="s">
        <v>2717</v>
      </c>
      <c r="O807" s="816"/>
      <c r="P807" s="816"/>
      <c r="Q807" s="816"/>
      <c r="S807" s="816"/>
      <c r="T807" s="816"/>
      <c r="U807" s="816"/>
      <c r="V807" s="816"/>
      <c r="W807" s="816"/>
      <c r="X807" s="816"/>
      <c r="Z807" s="816"/>
      <c r="AB807" s="816" t="s">
        <v>3028</v>
      </c>
      <c r="AC807" s="816" t="s">
        <v>3028</v>
      </c>
      <c r="AD807" s="816"/>
      <c r="AE807" s="816"/>
      <c r="AF807" s="816" t="s">
        <v>3113</v>
      </c>
      <c r="AG807" s="816"/>
      <c r="AH807" s="816" t="s">
        <v>3172</v>
      </c>
      <c r="AI807" s="816"/>
      <c r="AJ807" s="816"/>
      <c r="AL807" s="816"/>
      <c r="AN807" s="816"/>
      <c r="AP807" s="816"/>
      <c r="AQ807" s="816"/>
      <c r="AR807" s="816"/>
      <c r="AS807" s="816"/>
      <c r="AT807" s="816"/>
      <c r="AU807" s="816"/>
      <c r="AV807" s="816"/>
      <c r="AW807" s="816"/>
      <c r="AX807" s="816"/>
      <c r="AY807" s="816"/>
      <c r="AZ807" s="816"/>
      <c r="BA807" s="816" t="s">
        <v>3620</v>
      </c>
      <c r="BC807" s="816"/>
      <c r="BD807" s="816"/>
      <c r="BE807" s="816"/>
      <c r="BF807" s="816"/>
      <c r="BG807" s="816"/>
      <c r="BH807" s="816"/>
      <c r="BI807" s="816"/>
      <c r="BJ807" s="816"/>
      <c r="BK807" s="816" t="s">
        <v>3984</v>
      </c>
      <c r="BM807" s="816"/>
      <c r="BN807" s="816"/>
      <c r="BO807" s="816"/>
      <c r="BQ807" s="816"/>
      <c r="BR807" s="816"/>
      <c r="BS807" s="816"/>
      <c r="BT807" s="816"/>
      <c r="BU807" s="816"/>
    </row>
    <row r="808" spans="1:73" ht="58" x14ac:dyDescent="0.35">
      <c r="A808" s="806" t="s">
        <v>728</v>
      </c>
      <c r="B808" s="806" t="s">
        <v>1660</v>
      </c>
      <c r="C808" s="816" t="s">
        <v>2478</v>
      </c>
      <c r="D808" s="816" t="s">
        <v>2478</v>
      </c>
      <c r="E808" s="816" t="s">
        <v>2478</v>
      </c>
      <c r="F808" s="816" t="s">
        <v>2478</v>
      </c>
      <c r="I808" s="816" t="s">
        <v>2589</v>
      </c>
      <c r="K808" s="816"/>
      <c r="M808" s="816"/>
      <c r="N808" s="816" t="s">
        <v>2723</v>
      </c>
      <c r="Q808" s="816"/>
      <c r="S808" s="816"/>
      <c r="U808" s="816"/>
      <c r="V808" s="816"/>
      <c r="W808" s="816"/>
      <c r="AB808" s="816" t="s">
        <v>3029</v>
      </c>
      <c r="AC808" s="816" t="s">
        <v>3029</v>
      </c>
      <c r="AD808" s="816"/>
      <c r="AF808" s="816" t="s">
        <v>3109</v>
      </c>
      <c r="AG808" s="816"/>
      <c r="AH808" s="816" t="s">
        <v>3173</v>
      </c>
      <c r="AJ808" s="816"/>
      <c r="AL808" s="816"/>
      <c r="AR808" s="816"/>
      <c r="AT808" s="816"/>
      <c r="AU808" s="816"/>
      <c r="AV808" s="816"/>
      <c r="AX808" s="816"/>
      <c r="AY808" s="816"/>
      <c r="AZ808" s="816"/>
      <c r="BA808" s="816" t="s">
        <v>3638</v>
      </c>
      <c r="BC808" s="816"/>
      <c r="BD808" s="816"/>
      <c r="BE808" s="816"/>
      <c r="BG808" s="816"/>
      <c r="BH808" s="816"/>
      <c r="BI808" s="816"/>
      <c r="BK808" s="816" t="s">
        <v>3985</v>
      </c>
      <c r="BS808" s="816"/>
      <c r="BT808" s="816"/>
      <c r="BU808" s="816"/>
    </row>
    <row r="809" spans="1:73" ht="43.5" x14ac:dyDescent="0.35">
      <c r="A809" s="806" t="s">
        <v>728</v>
      </c>
      <c r="B809" s="806" t="s">
        <v>2479</v>
      </c>
      <c r="C809" s="816" t="s">
        <v>2480</v>
      </c>
      <c r="D809" s="816" t="s">
        <v>2480</v>
      </c>
      <c r="E809" s="816" t="s">
        <v>2480</v>
      </c>
      <c r="F809" s="816" t="s">
        <v>2480</v>
      </c>
      <c r="I809" s="816" t="s">
        <v>2596</v>
      </c>
      <c r="N809" s="816" t="s">
        <v>2724</v>
      </c>
      <c r="AB809" s="816" t="s">
        <v>3046</v>
      </c>
      <c r="AC809" s="816" t="s">
        <v>3046</v>
      </c>
      <c r="AF809" s="816" t="s">
        <v>3110</v>
      </c>
      <c r="AH809" s="816" t="s">
        <v>3176</v>
      </c>
      <c r="BA809" s="816" t="s">
        <v>3643</v>
      </c>
      <c r="BK809" s="816" t="s">
        <v>3988</v>
      </c>
    </row>
    <row r="810" spans="1:73" ht="43.5" x14ac:dyDescent="0.35">
      <c r="A810" s="806" t="s">
        <v>728</v>
      </c>
      <c r="B810" s="806" t="s">
        <v>2484</v>
      </c>
      <c r="C810" s="816" t="s">
        <v>2485</v>
      </c>
      <c r="D810" s="816" t="s">
        <v>2485</v>
      </c>
      <c r="E810" s="816" t="s">
        <v>2485</v>
      </c>
      <c r="F810" s="816" t="s">
        <v>2485</v>
      </c>
      <c r="I810" s="816" t="s">
        <v>2597</v>
      </c>
      <c r="N810" s="816" t="s">
        <v>2725</v>
      </c>
      <c r="AF810" s="816" t="s">
        <v>3119</v>
      </c>
      <c r="AH810" s="816" t="s">
        <v>3177</v>
      </c>
      <c r="BA810" s="816" t="s">
        <v>3644</v>
      </c>
      <c r="BK810" s="816" t="s">
        <v>3989</v>
      </c>
    </row>
    <row r="811" spans="1:73" ht="72.5" x14ac:dyDescent="0.35">
      <c r="A811" s="806" t="s">
        <v>728</v>
      </c>
      <c r="B811" s="806" t="s">
        <v>2598</v>
      </c>
      <c r="C811" s="806"/>
      <c r="D811" s="806"/>
      <c r="E811" s="806"/>
      <c r="F811" s="806"/>
      <c r="I811" s="816" t="s">
        <v>2599</v>
      </c>
      <c r="N811" s="816" t="s">
        <v>2726</v>
      </c>
      <c r="AH811" s="816"/>
      <c r="BA811" s="816" t="s">
        <v>3645</v>
      </c>
      <c r="BK811" s="816" t="s">
        <v>3990</v>
      </c>
    </row>
    <row r="812" spans="1:73" ht="29" x14ac:dyDescent="0.35">
      <c r="A812" s="806" t="s">
        <v>728</v>
      </c>
      <c r="B812" s="806" t="s">
        <v>1164</v>
      </c>
      <c r="C812" s="811">
        <v>43736</v>
      </c>
      <c r="D812" s="811">
        <v>43736</v>
      </c>
      <c r="E812" s="811">
        <v>43736</v>
      </c>
      <c r="F812" s="811">
        <v>43736</v>
      </c>
      <c r="I812" s="811">
        <v>44612</v>
      </c>
      <c r="J812" s="811"/>
      <c r="K812" s="811"/>
      <c r="M812" s="811"/>
      <c r="N812" s="811">
        <v>44978</v>
      </c>
      <c r="O812" s="811"/>
      <c r="P812" s="811"/>
      <c r="Q812" s="811"/>
      <c r="S812" s="811"/>
      <c r="T812" s="811"/>
      <c r="U812" s="811"/>
      <c r="V812" s="811"/>
      <c r="W812" s="811"/>
      <c r="X812" s="811"/>
      <c r="Z812" s="811"/>
      <c r="AB812" s="811">
        <v>44916</v>
      </c>
      <c r="AC812" s="811">
        <v>44916</v>
      </c>
      <c r="AD812" s="811"/>
      <c r="AE812" s="811"/>
      <c r="AF812" s="811">
        <v>44729</v>
      </c>
      <c r="AG812" s="811"/>
      <c r="AH812" s="811">
        <v>43992</v>
      </c>
      <c r="AI812" s="811"/>
      <c r="AJ812" s="811"/>
      <c r="AL812" s="811"/>
      <c r="AN812" s="811"/>
      <c r="AP812" s="811"/>
      <c r="AQ812" s="811"/>
      <c r="AR812" s="811"/>
      <c r="AS812" s="811"/>
      <c r="AT812" s="811"/>
      <c r="AU812" s="811"/>
      <c r="AV812" s="811"/>
      <c r="AW812" s="811"/>
      <c r="AX812" s="811"/>
      <c r="AY812" s="811"/>
      <c r="AZ812" s="811"/>
      <c r="BA812" s="811">
        <v>44385</v>
      </c>
      <c r="BC812" s="811"/>
      <c r="BD812" s="811"/>
      <c r="BE812" s="811"/>
      <c r="BF812" s="811"/>
      <c r="BG812" s="811"/>
      <c r="BH812" s="811"/>
      <c r="BI812" s="811"/>
      <c r="BJ812" s="811"/>
      <c r="BK812" s="811">
        <v>44498</v>
      </c>
      <c r="BM812" s="811"/>
      <c r="BN812" s="811"/>
      <c r="BO812" s="811"/>
      <c r="BQ812" s="811"/>
      <c r="BR812" s="811"/>
      <c r="BS812" s="811"/>
      <c r="BT812" s="811"/>
      <c r="BU812" s="811"/>
    </row>
    <row r="813" spans="1:73" ht="29" x14ac:dyDescent="0.35">
      <c r="A813" s="806" t="s">
        <v>728</v>
      </c>
      <c r="B813" s="806" t="s">
        <v>1663</v>
      </c>
      <c r="C813" s="811">
        <v>44316</v>
      </c>
      <c r="D813" s="811">
        <v>44316</v>
      </c>
      <c r="E813" s="811">
        <v>44316</v>
      </c>
      <c r="F813" s="811">
        <v>44316</v>
      </c>
      <c r="I813" s="811">
        <v>44231</v>
      </c>
      <c r="K813" s="811"/>
      <c r="M813" s="811"/>
      <c r="N813" s="811">
        <v>44978</v>
      </c>
      <c r="Q813" s="811"/>
      <c r="S813" s="811"/>
      <c r="U813" s="811"/>
      <c r="V813" s="811"/>
      <c r="W813" s="811"/>
      <c r="AB813" s="811">
        <v>44592</v>
      </c>
      <c r="AC813" s="811">
        <v>44592</v>
      </c>
      <c r="AD813" s="811"/>
      <c r="AF813" s="811">
        <v>44690</v>
      </c>
      <c r="AG813" s="811"/>
      <c r="AH813" s="811">
        <v>44837</v>
      </c>
      <c r="AJ813" s="811"/>
      <c r="AL813" s="811"/>
      <c r="AR813" s="811"/>
      <c r="AT813" s="811"/>
      <c r="AU813" s="811"/>
      <c r="AV813" s="811"/>
      <c r="AX813" s="811"/>
      <c r="AY813" s="811"/>
      <c r="AZ813" s="811"/>
      <c r="BA813" s="811">
        <v>44420</v>
      </c>
      <c r="BC813" s="811"/>
      <c r="BD813" s="811"/>
      <c r="BE813" s="811"/>
      <c r="BG813" s="811"/>
      <c r="BH813" s="811"/>
      <c r="BI813" s="811"/>
      <c r="BK813" s="811">
        <v>43914</v>
      </c>
      <c r="BS813" s="811"/>
      <c r="BT813" s="811"/>
      <c r="BU813" s="811"/>
    </row>
    <row r="814" spans="1:73" ht="29" x14ac:dyDescent="0.35">
      <c r="A814" s="806" t="s">
        <v>728</v>
      </c>
      <c r="B814" s="806" t="s">
        <v>2483</v>
      </c>
      <c r="C814" s="811">
        <v>44031</v>
      </c>
      <c r="D814" s="811">
        <v>44031</v>
      </c>
      <c r="E814" s="811">
        <v>44031</v>
      </c>
      <c r="F814" s="811">
        <v>44031</v>
      </c>
      <c r="I814" s="811">
        <v>44316</v>
      </c>
      <c r="N814" s="811">
        <v>44978</v>
      </c>
      <c r="AB814" s="811">
        <v>44136</v>
      </c>
      <c r="AC814" s="811">
        <v>44136</v>
      </c>
      <c r="AF814" s="811">
        <v>43819</v>
      </c>
      <c r="AH814" s="811">
        <v>43901</v>
      </c>
      <c r="BA814" s="811">
        <v>44420</v>
      </c>
      <c r="BK814" s="811">
        <v>43728</v>
      </c>
    </row>
    <row r="815" spans="1:73" ht="29" x14ac:dyDescent="0.35">
      <c r="A815" s="806" t="s">
        <v>728</v>
      </c>
      <c r="B815" s="806" t="s">
        <v>2488</v>
      </c>
      <c r="C815" s="811">
        <v>44880</v>
      </c>
      <c r="D815" s="811">
        <v>44880</v>
      </c>
      <c r="E815" s="811">
        <v>44880</v>
      </c>
      <c r="F815" s="811">
        <v>44880</v>
      </c>
      <c r="I815" s="811">
        <v>44530</v>
      </c>
      <c r="N815" s="811">
        <v>44978</v>
      </c>
      <c r="AF815" s="811">
        <v>44165</v>
      </c>
      <c r="AH815" s="811">
        <v>44915</v>
      </c>
      <c r="BA815" s="811">
        <v>44543</v>
      </c>
      <c r="BK815" s="811">
        <v>43678</v>
      </c>
    </row>
    <row r="816" spans="1:73" ht="29" x14ac:dyDescent="0.35">
      <c r="A816" s="806" t="s">
        <v>728</v>
      </c>
      <c r="B816" s="806" t="s">
        <v>2727</v>
      </c>
      <c r="C816" s="806"/>
      <c r="D816" s="806"/>
      <c r="E816" s="806"/>
      <c r="F816" s="806"/>
      <c r="N816" s="811">
        <v>44978</v>
      </c>
      <c r="AH816" s="811"/>
      <c r="BA816" s="811">
        <v>44543</v>
      </c>
      <c r="BK816" s="811">
        <v>43539</v>
      </c>
    </row>
    <row r="817" spans="1:73" ht="29" x14ac:dyDescent="0.35">
      <c r="A817" s="806" t="s">
        <v>728</v>
      </c>
      <c r="B817" s="806" t="s">
        <v>1163</v>
      </c>
      <c r="C817" s="811">
        <v>43471</v>
      </c>
      <c r="D817" s="811">
        <v>43471</v>
      </c>
      <c r="E817" s="811">
        <v>43471</v>
      </c>
      <c r="F817" s="811">
        <v>43471</v>
      </c>
      <c r="I817" s="811">
        <v>43516</v>
      </c>
      <c r="J817" s="811"/>
      <c r="K817" s="811"/>
      <c r="M817" s="811"/>
      <c r="N817" s="811">
        <v>43471</v>
      </c>
      <c r="O817" s="811"/>
      <c r="P817" s="811"/>
      <c r="Q817" s="811"/>
      <c r="S817" s="811"/>
      <c r="T817" s="811"/>
      <c r="U817" s="811"/>
      <c r="V817" s="811"/>
      <c r="W817" s="811"/>
      <c r="X817" s="811"/>
      <c r="Z817" s="811"/>
      <c r="AB817" s="811">
        <v>44470</v>
      </c>
      <c r="AC817" s="811">
        <v>44470</v>
      </c>
      <c r="AD817" s="811"/>
      <c r="AE817" s="811"/>
      <c r="AF817" s="811">
        <v>44013</v>
      </c>
      <c r="AG817" s="811"/>
      <c r="AH817" s="811">
        <v>43471</v>
      </c>
      <c r="AI817" s="811"/>
      <c r="AJ817" s="811"/>
      <c r="AL817" s="811"/>
      <c r="AN817" s="811"/>
      <c r="AP817" s="811"/>
      <c r="AQ817" s="811"/>
      <c r="AR817" s="811"/>
      <c r="AS817" s="811"/>
      <c r="AT817" s="811"/>
      <c r="AU817" s="811"/>
      <c r="AV817" s="811"/>
      <c r="AW817" s="811"/>
      <c r="AX817" s="811"/>
      <c r="AY817" s="811"/>
      <c r="AZ817" s="811"/>
      <c r="BA817" s="811">
        <v>44105</v>
      </c>
      <c r="BC817" s="811"/>
      <c r="BD817" s="811"/>
      <c r="BE817" s="811"/>
      <c r="BF817" s="811"/>
      <c r="BG817" s="811"/>
      <c r="BH817" s="811"/>
      <c r="BI817" s="811"/>
      <c r="BJ817" s="811"/>
      <c r="BK817" s="811">
        <v>44107</v>
      </c>
      <c r="BM817" s="811"/>
      <c r="BN817" s="811"/>
      <c r="BO817" s="811"/>
      <c r="BQ817" s="811"/>
      <c r="BR817" s="811"/>
      <c r="BS817" s="811"/>
      <c r="BT817" s="811"/>
      <c r="BU817" s="811"/>
    </row>
    <row r="818" spans="1:73" ht="29" x14ac:dyDescent="0.35">
      <c r="A818" s="806" t="s">
        <v>728</v>
      </c>
      <c r="B818" s="806" t="s">
        <v>1662</v>
      </c>
      <c r="C818" s="811">
        <v>43471</v>
      </c>
      <c r="D818" s="811">
        <v>43471</v>
      </c>
      <c r="E818" s="811">
        <v>43471</v>
      </c>
      <c r="F818" s="811">
        <v>43471</v>
      </c>
      <c r="I818" s="811">
        <v>43692</v>
      </c>
      <c r="K818" s="811"/>
      <c r="M818" s="811"/>
      <c r="N818" s="811">
        <v>43831</v>
      </c>
      <c r="Q818" s="811"/>
      <c r="S818" s="811"/>
      <c r="U818" s="811"/>
      <c r="V818" s="811"/>
      <c r="W818" s="811"/>
      <c r="AB818" s="811">
        <v>43770</v>
      </c>
      <c r="AC818" s="811">
        <v>43771</v>
      </c>
      <c r="AD818" s="811"/>
      <c r="AF818" s="811">
        <v>43891</v>
      </c>
      <c r="AG818" s="811"/>
      <c r="AH818" s="811">
        <v>44063</v>
      </c>
      <c r="AJ818" s="811"/>
      <c r="AL818" s="811"/>
      <c r="AR818" s="811"/>
      <c r="AT818" s="811"/>
      <c r="AU818" s="811"/>
      <c r="AV818" s="811"/>
      <c r="AX818" s="811"/>
      <c r="AY818" s="811"/>
      <c r="AZ818" s="811"/>
      <c r="BA818" s="811">
        <v>44105</v>
      </c>
      <c r="BC818" s="811"/>
      <c r="BD818" s="811"/>
      <c r="BE818" s="811"/>
      <c r="BG818" s="811"/>
      <c r="BH818" s="811"/>
      <c r="BI818" s="811"/>
      <c r="BK818" s="811">
        <v>43561</v>
      </c>
      <c r="BS818" s="811"/>
      <c r="BT818" s="811"/>
      <c r="BU818" s="811"/>
    </row>
    <row r="819" spans="1:73" ht="29" x14ac:dyDescent="0.35">
      <c r="A819" s="806" t="s">
        <v>728</v>
      </c>
      <c r="B819" s="806" t="s">
        <v>2482</v>
      </c>
      <c r="C819" s="811">
        <v>43471</v>
      </c>
      <c r="D819" s="811">
        <v>43471</v>
      </c>
      <c r="E819" s="811">
        <v>43471</v>
      </c>
      <c r="F819" s="811">
        <v>43471</v>
      </c>
      <c r="I819" s="811">
        <v>43497</v>
      </c>
      <c r="N819" s="811">
        <v>44197</v>
      </c>
      <c r="AB819" s="811">
        <v>43497</v>
      </c>
      <c r="AC819" s="811">
        <v>43497</v>
      </c>
      <c r="AF819" s="811">
        <v>43586</v>
      </c>
      <c r="AH819" s="811">
        <v>43471</v>
      </c>
      <c r="BA819" s="811">
        <v>44105</v>
      </c>
    </row>
    <row r="820" spans="1:73" ht="29" x14ac:dyDescent="0.35">
      <c r="A820" s="806" t="s">
        <v>728</v>
      </c>
      <c r="B820" s="806" t="s">
        <v>2487</v>
      </c>
      <c r="C820" s="811">
        <v>43800</v>
      </c>
      <c r="D820" s="811">
        <v>43800</v>
      </c>
      <c r="E820" s="811">
        <v>43800</v>
      </c>
      <c r="F820" s="811">
        <v>44044</v>
      </c>
      <c r="I820" s="811">
        <v>43800</v>
      </c>
      <c r="N820" s="811">
        <v>44562</v>
      </c>
      <c r="AF820" s="811">
        <v>43586</v>
      </c>
      <c r="AH820" s="811">
        <v>44201</v>
      </c>
      <c r="BA820" s="811">
        <v>44256</v>
      </c>
    </row>
    <row r="821" spans="1:73" ht="29" x14ac:dyDescent="0.35">
      <c r="A821" s="806" t="s">
        <v>728</v>
      </c>
      <c r="B821" s="806" t="s">
        <v>2601</v>
      </c>
      <c r="C821" s="806"/>
      <c r="D821" s="806"/>
      <c r="E821" s="806"/>
      <c r="F821" s="806"/>
      <c r="I821" s="811">
        <v>44695</v>
      </c>
      <c r="N821" s="811">
        <v>44927</v>
      </c>
      <c r="BA821" s="811">
        <v>44256</v>
      </c>
    </row>
    <row r="822" spans="1:73" ht="29" x14ac:dyDescent="0.35">
      <c r="A822" s="806" t="s">
        <v>728</v>
      </c>
      <c r="B822" s="806" t="s">
        <v>1162</v>
      </c>
      <c r="C822" s="817">
        <v>5</v>
      </c>
      <c r="D822" s="817">
        <v>5</v>
      </c>
      <c r="E822" s="817">
        <v>5</v>
      </c>
      <c r="F822" s="817">
        <v>5</v>
      </c>
      <c r="I822" s="817">
        <v>4</v>
      </c>
      <c r="J822" s="817"/>
      <c r="K822" s="817"/>
      <c r="M822" s="817"/>
      <c r="N822" s="817">
        <v>5</v>
      </c>
      <c r="O822" s="817"/>
      <c r="P822" s="817"/>
      <c r="Q822" s="817"/>
      <c r="S822" s="817"/>
      <c r="T822" s="817"/>
      <c r="U822" s="817"/>
      <c r="V822" s="817"/>
      <c r="W822" s="817"/>
      <c r="X822" s="817"/>
      <c r="Z822" s="817"/>
      <c r="AB822" s="817">
        <v>10</v>
      </c>
      <c r="AC822" s="817">
        <v>10</v>
      </c>
      <c r="AD822" s="817"/>
      <c r="AE822" s="817"/>
      <c r="AF822" s="817">
        <v>6</v>
      </c>
      <c r="AG822" s="817"/>
      <c r="AH822" s="817">
        <v>3</v>
      </c>
      <c r="AI822" s="817"/>
      <c r="AJ822" s="817"/>
      <c r="AL822" s="817"/>
      <c r="AN822" s="817"/>
      <c r="AP822" s="817"/>
      <c r="AQ822" s="817"/>
      <c r="AR822" s="817"/>
      <c r="AS822" s="817"/>
      <c r="AT822" s="817"/>
      <c r="AU822" s="817"/>
      <c r="AV822" s="817"/>
      <c r="AW822" s="817"/>
      <c r="AX822" s="817"/>
      <c r="AY822" s="817"/>
      <c r="AZ822" s="817"/>
      <c r="BA822" s="817">
        <v>1</v>
      </c>
      <c r="BC822" s="817"/>
      <c r="BD822" s="817"/>
      <c r="BE822" s="817"/>
      <c r="BF822" s="817"/>
      <c r="BG822" s="817"/>
      <c r="BH822" s="817"/>
      <c r="BI822" s="817"/>
      <c r="BJ822" s="817"/>
      <c r="BK822" s="817">
        <v>7</v>
      </c>
      <c r="BM822" s="817"/>
      <c r="BN822" s="817"/>
      <c r="BO822" s="817"/>
      <c r="BQ822" s="817"/>
      <c r="BR822" s="817"/>
      <c r="BS822" s="817"/>
      <c r="BT822" s="817"/>
      <c r="BU822" s="817"/>
    </row>
    <row r="823" spans="1:73" ht="29" x14ac:dyDescent="0.35">
      <c r="A823" s="806" t="s">
        <v>728</v>
      </c>
      <c r="B823" s="806" t="s">
        <v>1661</v>
      </c>
      <c r="C823" s="817">
        <v>5</v>
      </c>
      <c r="D823" s="817">
        <v>5</v>
      </c>
      <c r="E823" s="817">
        <v>5</v>
      </c>
      <c r="F823" s="817">
        <v>5</v>
      </c>
      <c r="I823" s="817">
        <v>4</v>
      </c>
      <c r="K823" s="817"/>
      <c r="M823" s="817"/>
      <c r="N823" s="817">
        <v>1</v>
      </c>
      <c r="Q823" s="817"/>
      <c r="S823" s="817"/>
      <c r="U823" s="817"/>
      <c r="V823" s="817"/>
      <c r="W823" s="817"/>
      <c r="AB823" s="817">
        <v>54</v>
      </c>
      <c r="AC823" s="817">
        <v>54</v>
      </c>
      <c r="AD823" s="817"/>
      <c r="AF823" s="817">
        <v>2</v>
      </c>
      <c r="AG823" s="817"/>
      <c r="AH823" s="817">
        <v>6</v>
      </c>
      <c r="AJ823" s="817"/>
      <c r="AL823" s="817"/>
      <c r="AR823" s="817"/>
      <c r="AT823" s="817"/>
      <c r="AU823" s="817"/>
      <c r="AV823" s="817"/>
      <c r="AX823" s="817"/>
      <c r="AY823" s="817"/>
      <c r="AZ823" s="817"/>
      <c r="BA823" s="817">
        <v>1</v>
      </c>
      <c r="BC823" s="817"/>
      <c r="BD823" s="817"/>
      <c r="BE823" s="817"/>
      <c r="BG823" s="817"/>
      <c r="BH823" s="817"/>
      <c r="BI823" s="817"/>
      <c r="BK823" s="817">
        <v>10</v>
      </c>
      <c r="BS823" s="817"/>
      <c r="BT823" s="817"/>
      <c r="BU823" s="817"/>
    </row>
    <row r="824" spans="1:73" ht="29" x14ac:dyDescent="0.35">
      <c r="A824" s="806" t="s">
        <v>728</v>
      </c>
      <c r="B824" s="806" t="s">
        <v>2481</v>
      </c>
      <c r="C824" s="817">
        <v>2</v>
      </c>
      <c r="D824" s="817">
        <v>2</v>
      </c>
      <c r="E824" s="817">
        <v>2</v>
      </c>
      <c r="F824" s="817">
        <v>2</v>
      </c>
      <c r="I824" s="817">
        <v>3</v>
      </c>
      <c r="N824" s="817">
        <v>1</v>
      </c>
      <c r="AB824" s="817">
        <v>33</v>
      </c>
      <c r="AC824" s="817">
        <v>33</v>
      </c>
      <c r="AF824" s="817">
        <v>1</v>
      </c>
      <c r="AH824" s="817">
        <v>1</v>
      </c>
      <c r="BA824" s="817">
        <v>1</v>
      </c>
      <c r="BK824" s="817">
        <v>10</v>
      </c>
    </row>
    <row r="825" spans="1:73" ht="29" x14ac:dyDescent="0.35">
      <c r="A825" s="806" t="s">
        <v>728</v>
      </c>
      <c r="B825" s="806" t="s">
        <v>2486</v>
      </c>
      <c r="C825" s="817">
        <v>13</v>
      </c>
      <c r="D825" s="817">
        <v>13</v>
      </c>
      <c r="E825" s="817">
        <v>13</v>
      </c>
      <c r="F825" s="817">
        <v>13</v>
      </c>
      <c r="I825" s="817">
        <v>5</v>
      </c>
      <c r="N825" s="817">
        <v>2</v>
      </c>
      <c r="AF825" s="817">
        <v>3</v>
      </c>
      <c r="AH825" s="817">
        <v>1</v>
      </c>
      <c r="BA825" s="817">
        <v>1</v>
      </c>
      <c r="BK825" s="817">
        <v>9</v>
      </c>
    </row>
    <row r="826" spans="1:73" ht="29" x14ac:dyDescent="0.35">
      <c r="A826" s="806" t="s">
        <v>728</v>
      </c>
      <c r="B826" s="806" t="s">
        <v>2600</v>
      </c>
      <c r="C826" s="806"/>
      <c r="D826" s="806"/>
      <c r="E826" s="806"/>
      <c r="F826" s="806"/>
      <c r="I826" s="817">
        <v>8</v>
      </c>
      <c r="N826" s="817">
        <v>3</v>
      </c>
      <c r="AH826" s="817"/>
      <c r="BA826" s="817">
        <v>21</v>
      </c>
      <c r="BK826" s="817">
        <v>10</v>
      </c>
    </row>
    <row r="827" spans="1:73" ht="409.5" x14ac:dyDescent="0.35">
      <c r="A827" s="806" t="s">
        <v>728</v>
      </c>
      <c r="B827" s="806" t="s">
        <v>1167</v>
      </c>
      <c r="C827" s="816" t="s">
        <v>2489</v>
      </c>
      <c r="D827" s="816" t="s">
        <v>2494</v>
      </c>
      <c r="E827" s="816" t="s">
        <v>2489</v>
      </c>
      <c r="F827" s="816" t="s">
        <v>2499</v>
      </c>
      <c r="I827" s="816" t="s">
        <v>2594</v>
      </c>
      <c r="J827" s="816"/>
      <c r="K827" s="816"/>
      <c r="M827" s="816"/>
      <c r="N827" s="816" t="s">
        <v>2718</v>
      </c>
      <c r="O827" s="816"/>
      <c r="P827" s="816"/>
      <c r="Q827" s="816"/>
      <c r="S827" s="816"/>
      <c r="T827" s="816"/>
      <c r="U827" s="816"/>
      <c r="V827" s="816"/>
      <c r="W827" s="816"/>
      <c r="X827" s="816"/>
      <c r="Z827" s="816"/>
      <c r="AB827" s="816" t="s">
        <v>3030</v>
      </c>
      <c r="AC827" s="816" t="s">
        <v>3061</v>
      </c>
      <c r="AD827" s="816"/>
      <c r="AE827" s="816"/>
      <c r="AF827" s="816" t="s">
        <v>3114</v>
      </c>
      <c r="AG827" s="816"/>
      <c r="AH827" s="816" t="s">
        <v>3174</v>
      </c>
      <c r="AI827" s="816"/>
      <c r="AJ827" s="816"/>
      <c r="AL827" s="816"/>
      <c r="AN827" s="816"/>
      <c r="AP827" s="816"/>
      <c r="AQ827" s="816"/>
      <c r="AR827" s="816"/>
      <c r="AS827" s="816"/>
      <c r="AT827" s="816"/>
      <c r="AU827" s="816"/>
      <c r="AV827" s="816"/>
      <c r="AW827" s="816"/>
      <c r="AX827" s="816"/>
      <c r="AY827" s="816"/>
      <c r="AZ827" s="816"/>
      <c r="BA827" s="816" t="s">
        <v>3621</v>
      </c>
      <c r="BC827" s="816"/>
      <c r="BD827" s="816"/>
      <c r="BE827" s="816"/>
      <c r="BF827" s="816"/>
      <c r="BG827" s="816"/>
      <c r="BH827" s="816"/>
      <c r="BI827" s="816"/>
      <c r="BJ827" s="816"/>
      <c r="BK827" s="816" t="s">
        <v>3986</v>
      </c>
      <c r="BM827" s="816"/>
      <c r="BN827" s="816"/>
      <c r="BO827" s="816"/>
      <c r="BQ827" s="816"/>
      <c r="BR827" s="816"/>
      <c r="BS827" s="816"/>
      <c r="BT827" s="816"/>
      <c r="BU827" s="816"/>
    </row>
    <row r="828" spans="1:73" ht="29" x14ac:dyDescent="0.35">
      <c r="A828" s="806" t="s">
        <v>728</v>
      </c>
      <c r="B828" s="806" t="s">
        <v>731</v>
      </c>
      <c r="C828" s="816" t="s">
        <v>1959</v>
      </c>
      <c r="D828" s="816" t="s">
        <v>1959</v>
      </c>
      <c r="E828" s="816" t="s">
        <v>1959</v>
      </c>
      <c r="F828" s="816" t="s">
        <v>1959</v>
      </c>
      <c r="G828" s="818"/>
      <c r="H828" s="818"/>
      <c r="I828" s="816" t="s">
        <v>2475</v>
      </c>
      <c r="J828" s="816"/>
      <c r="K828" s="816"/>
      <c r="L828" s="816"/>
      <c r="M828" s="816"/>
      <c r="N828" s="816" t="s">
        <v>2475</v>
      </c>
      <c r="O828" s="816"/>
      <c r="P828" s="816"/>
      <c r="Q828" s="816"/>
      <c r="R828" s="816"/>
      <c r="S828" s="816"/>
      <c r="T828" s="816"/>
      <c r="U828" s="816"/>
      <c r="V828" s="816"/>
      <c r="W828" s="816"/>
      <c r="X828" s="816"/>
      <c r="Y828" s="816"/>
      <c r="Z828" s="816"/>
      <c r="AA828" s="818"/>
      <c r="AB828" s="816" t="s">
        <v>2475</v>
      </c>
      <c r="AC828" s="816" t="s">
        <v>2475</v>
      </c>
      <c r="AD828" s="816"/>
      <c r="AE828" s="816"/>
      <c r="AF828" s="816" t="s">
        <v>1959</v>
      </c>
      <c r="AG828" s="816"/>
      <c r="AH828" s="816" t="s">
        <v>1959</v>
      </c>
      <c r="AI828" s="816"/>
      <c r="AJ828" s="816"/>
      <c r="AK828" s="818"/>
      <c r="AL828" s="816"/>
      <c r="AM828" s="816"/>
      <c r="AN828" s="816"/>
      <c r="AO828" s="816"/>
      <c r="AP828" s="816"/>
      <c r="AQ828" s="816" t="s">
        <v>1959</v>
      </c>
      <c r="AR828" s="816"/>
      <c r="AS828" s="816"/>
      <c r="AT828" s="816"/>
      <c r="AU828" s="816"/>
      <c r="AV828" s="816"/>
      <c r="AW828" s="816"/>
      <c r="AX828" s="816"/>
      <c r="AY828" s="816" t="s">
        <v>1959</v>
      </c>
      <c r="AZ828" s="816"/>
      <c r="BA828" s="816" t="s">
        <v>1959</v>
      </c>
      <c r="BB828" s="816"/>
      <c r="BC828" s="816"/>
      <c r="BD828" s="816"/>
      <c r="BE828" s="816"/>
      <c r="BF828" s="816"/>
      <c r="BG828" s="816"/>
      <c r="BH828" s="816"/>
      <c r="BI828" s="816"/>
      <c r="BJ828" s="816"/>
      <c r="BK828" s="816" t="s">
        <v>1959</v>
      </c>
      <c r="BM828" s="816"/>
      <c r="BN828" s="816"/>
      <c r="BO828" s="816"/>
      <c r="BP828" s="817"/>
      <c r="BQ828" s="816" t="s">
        <v>1959</v>
      </c>
      <c r="BR828" s="816"/>
      <c r="BS828" s="816" t="s">
        <v>1959</v>
      </c>
      <c r="BT828" s="816"/>
      <c r="BU828" s="816"/>
    </row>
    <row r="829" spans="1:73" x14ac:dyDescent="0.35">
      <c r="A829" s="806" t="s">
        <v>728</v>
      </c>
      <c r="B829" s="806" t="s">
        <v>984</v>
      </c>
      <c r="C829" s="817"/>
      <c r="D829" s="817"/>
      <c r="E829" s="817"/>
      <c r="F829" s="817"/>
      <c r="I829" s="817">
        <v>40</v>
      </c>
      <c r="J829" s="817"/>
      <c r="K829" s="817"/>
      <c r="M829" s="817"/>
      <c r="N829" s="817">
        <v>30</v>
      </c>
      <c r="O829" s="817"/>
      <c r="P829" s="817"/>
      <c r="Q829" s="817"/>
      <c r="R829" s="817"/>
      <c r="S829" s="817"/>
      <c r="T829" s="817"/>
      <c r="U829" s="817"/>
      <c r="V829" s="817"/>
      <c r="W829" s="817"/>
      <c r="X829" s="817"/>
      <c r="Y829" s="817"/>
      <c r="Z829" s="817"/>
      <c r="AB829" s="817">
        <v>40</v>
      </c>
      <c r="AC829" s="817">
        <v>40</v>
      </c>
      <c r="AD829" s="817"/>
      <c r="AE829" s="817"/>
      <c r="AF829" s="817"/>
      <c r="AG829" s="817"/>
      <c r="AH829" s="817"/>
      <c r="AI829" s="817"/>
      <c r="AJ829" s="817"/>
      <c r="AL829" s="817"/>
      <c r="AM829" s="817"/>
      <c r="AN829" s="817"/>
      <c r="AO829" s="817"/>
      <c r="AP829" s="817"/>
      <c r="AQ829" s="817"/>
      <c r="AR829" s="817"/>
      <c r="AS829" s="817"/>
      <c r="AT829" s="817"/>
      <c r="AU829" s="817"/>
      <c r="AV829" s="817"/>
      <c r="AW829" s="817"/>
      <c r="AX829" s="817"/>
      <c r="AY829" s="817"/>
      <c r="AZ829" s="817"/>
      <c r="BA829" s="817"/>
      <c r="BC829" s="817"/>
      <c r="BD829" s="817"/>
      <c r="BE829" s="817"/>
      <c r="BF829" s="817"/>
      <c r="BG829" s="817"/>
      <c r="BH829" s="817"/>
      <c r="BI829" s="817"/>
      <c r="BJ829" s="817"/>
      <c r="BK829" s="817"/>
      <c r="BM829" s="817"/>
      <c r="BN829" s="817"/>
      <c r="BO829" s="817"/>
      <c r="BQ829" s="817"/>
      <c r="BR829" s="817"/>
      <c r="BS829" s="817"/>
      <c r="BT829" s="817"/>
      <c r="BU829" s="817"/>
    </row>
    <row r="830" spans="1:73" ht="29" x14ac:dyDescent="0.35">
      <c r="A830" s="806" t="s">
        <v>728</v>
      </c>
      <c r="B830" s="806" t="s">
        <v>980</v>
      </c>
      <c r="C830" s="817"/>
      <c r="D830" s="817"/>
      <c r="E830" s="817"/>
      <c r="F830" s="817"/>
      <c r="I830" s="817">
        <v>12</v>
      </c>
      <c r="J830" s="817"/>
      <c r="K830" s="817"/>
      <c r="M830" s="817"/>
      <c r="N830" s="817">
        <v>7</v>
      </c>
      <c r="O830" s="817"/>
      <c r="P830" s="817"/>
      <c r="Q830" s="817"/>
      <c r="R830" s="817"/>
      <c r="S830" s="817"/>
      <c r="T830" s="817"/>
      <c r="U830" s="817"/>
      <c r="V830" s="817"/>
      <c r="W830" s="817"/>
      <c r="X830" s="817"/>
      <c r="Y830" s="817"/>
      <c r="Z830" s="817"/>
      <c r="AB830" s="817">
        <v>7</v>
      </c>
      <c r="AC830" s="817">
        <v>10</v>
      </c>
      <c r="AD830" s="817"/>
      <c r="AE830" s="817"/>
      <c r="AF830" s="817"/>
      <c r="AG830" s="817"/>
      <c r="AH830" s="817"/>
      <c r="AI830" s="817"/>
      <c r="AJ830" s="817"/>
      <c r="AL830" s="817"/>
      <c r="AM830" s="817"/>
      <c r="AN830" s="817"/>
      <c r="AO830" s="817"/>
      <c r="AP830" s="817"/>
      <c r="AQ830" s="817"/>
      <c r="AR830" s="817"/>
      <c r="AS830" s="817"/>
      <c r="AT830" s="817"/>
      <c r="AU830" s="817"/>
      <c r="AV830" s="817"/>
      <c r="AW830" s="817"/>
      <c r="AX830" s="817"/>
      <c r="AY830" s="817"/>
      <c r="AZ830" s="817"/>
      <c r="BA830" s="817"/>
      <c r="BC830" s="817"/>
      <c r="BD830" s="817"/>
      <c r="BE830" s="817"/>
      <c r="BF830" s="817"/>
      <c r="BG830" s="817"/>
      <c r="BH830" s="817"/>
      <c r="BI830" s="817"/>
      <c r="BJ830" s="817"/>
      <c r="BK830" s="817"/>
      <c r="BM830" s="817"/>
      <c r="BN830" s="817"/>
      <c r="BO830" s="817"/>
      <c r="BQ830" s="817"/>
      <c r="BR830" s="817"/>
      <c r="BS830" s="817"/>
      <c r="BT830" s="817"/>
      <c r="BU830" s="817"/>
    </row>
    <row r="831" spans="1:73" x14ac:dyDescent="0.35">
      <c r="A831" s="806" t="s">
        <v>728</v>
      </c>
      <c r="B831" s="806" t="s">
        <v>981</v>
      </c>
      <c r="C831" s="817"/>
      <c r="D831" s="817"/>
      <c r="E831" s="817"/>
      <c r="F831" s="817"/>
      <c r="I831" s="817">
        <v>20</v>
      </c>
      <c r="J831" s="817"/>
      <c r="K831" s="817"/>
      <c r="M831" s="817"/>
      <c r="N831" s="817">
        <v>20</v>
      </c>
      <c r="O831" s="817"/>
      <c r="P831" s="817"/>
      <c r="Q831" s="817"/>
      <c r="R831" s="817"/>
      <c r="S831" s="817"/>
      <c r="T831" s="817"/>
      <c r="U831" s="817"/>
      <c r="V831" s="817"/>
      <c r="W831" s="817"/>
      <c r="X831" s="817"/>
      <c r="Y831" s="817"/>
      <c r="Z831" s="817"/>
      <c r="AB831" s="817">
        <v>20</v>
      </c>
      <c r="AC831" s="817">
        <v>20</v>
      </c>
      <c r="AD831" s="817"/>
      <c r="AE831" s="817"/>
      <c r="AF831" s="817"/>
      <c r="AG831" s="817"/>
      <c r="AH831" s="817"/>
      <c r="AI831" s="817"/>
      <c r="AJ831" s="817"/>
      <c r="AL831" s="817"/>
      <c r="AM831" s="817"/>
      <c r="AN831" s="817"/>
      <c r="AO831" s="817"/>
      <c r="AP831" s="817"/>
      <c r="AQ831" s="817"/>
      <c r="AR831" s="817"/>
      <c r="AS831" s="817"/>
      <c r="AT831" s="817"/>
      <c r="AU831" s="817"/>
      <c r="AV831" s="817"/>
      <c r="AW831" s="817"/>
      <c r="AX831" s="817"/>
      <c r="AY831" s="817"/>
      <c r="AZ831" s="817"/>
      <c r="BA831" s="817"/>
      <c r="BC831" s="817"/>
      <c r="BD831" s="817"/>
      <c r="BE831" s="817"/>
      <c r="BF831" s="817"/>
      <c r="BG831" s="817"/>
      <c r="BH831" s="817"/>
      <c r="BI831" s="817"/>
      <c r="BJ831" s="817"/>
      <c r="BK831" s="817"/>
      <c r="BM831" s="817"/>
      <c r="BN831" s="817"/>
      <c r="BO831" s="817"/>
      <c r="BQ831" s="817"/>
      <c r="BR831" s="817"/>
      <c r="BS831" s="817"/>
      <c r="BT831" s="817"/>
      <c r="BU831" s="817"/>
    </row>
    <row r="832" spans="1:73" ht="29" x14ac:dyDescent="0.35">
      <c r="A832" s="806" t="s">
        <v>728</v>
      </c>
      <c r="B832" s="806" t="s">
        <v>979</v>
      </c>
      <c r="C832" s="817"/>
      <c r="D832" s="817"/>
      <c r="E832" s="817"/>
      <c r="F832" s="817"/>
      <c r="I832" s="817">
        <v>3</v>
      </c>
      <c r="J832" s="817"/>
      <c r="K832" s="817"/>
      <c r="M832" s="817"/>
      <c r="N832" s="817">
        <v>3</v>
      </c>
      <c r="O832" s="817"/>
      <c r="P832" s="817"/>
      <c r="Q832" s="817"/>
      <c r="R832" s="817"/>
      <c r="S832" s="817"/>
      <c r="T832" s="817"/>
      <c r="U832" s="817"/>
      <c r="V832" s="817"/>
      <c r="W832" s="817"/>
      <c r="X832" s="817"/>
      <c r="Y832" s="817"/>
      <c r="Z832" s="817"/>
      <c r="AB832" s="817">
        <v>3</v>
      </c>
      <c r="AC832" s="817">
        <v>3</v>
      </c>
      <c r="AD832" s="817"/>
      <c r="AE832" s="817"/>
      <c r="AF832" s="817"/>
      <c r="AG832" s="817"/>
      <c r="AH832" s="817"/>
      <c r="AI832" s="817"/>
      <c r="AJ832" s="817"/>
      <c r="AL832" s="817"/>
      <c r="AM832" s="817"/>
      <c r="AN832" s="817"/>
      <c r="AO832" s="817"/>
      <c r="AP832" s="817"/>
      <c r="AQ832" s="817"/>
      <c r="AR832" s="817"/>
      <c r="AS832" s="817"/>
      <c r="AT832" s="817"/>
      <c r="AU832" s="817"/>
      <c r="AV832" s="817"/>
      <c r="AW832" s="817"/>
      <c r="AX832" s="817"/>
      <c r="AY832" s="817"/>
      <c r="AZ832" s="817"/>
      <c r="BA832" s="817"/>
      <c r="BC832" s="817"/>
      <c r="BD832" s="817"/>
      <c r="BE832" s="817"/>
      <c r="BF832" s="817"/>
      <c r="BG832" s="817"/>
      <c r="BH832" s="817"/>
      <c r="BI832" s="817"/>
      <c r="BJ832" s="817"/>
      <c r="BK832" s="817"/>
      <c r="BM832" s="817"/>
      <c r="BN832" s="817"/>
      <c r="BO832" s="817"/>
      <c r="BQ832" s="817"/>
      <c r="BR832" s="817"/>
      <c r="BS832" s="817"/>
      <c r="BT832" s="817"/>
      <c r="BU832" s="817"/>
    </row>
    <row r="833" spans="1:73" ht="29" x14ac:dyDescent="0.35">
      <c r="A833" s="806" t="s">
        <v>728</v>
      </c>
      <c r="B833" s="806" t="s">
        <v>983</v>
      </c>
      <c r="C833" s="817"/>
      <c r="D833" s="817"/>
      <c r="E833" s="817"/>
      <c r="F833" s="817"/>
      <c r="I833" s="817">
        <v>0</v>
      </c>
      <c r="J833" s="817"/>
      <c r="K833" s="817"/>
      <c r="M833" s="817"/>
      <c r="N833" s="817">
        <v>0</v>
      </c>
      <c r="O833" s="817"/>
      <c r="P833" s="817"/>
      <c r="Q833" s="817"/>
      <c r="R833" s="817"/>
      <c r="S833" s="817"/>
      <c r="T833" s="817"/>
      <c r="U833" s="817"/>
      <c r="V833" s="817"/>
      <c r="W833" s="817"/>
      <c r="X833" s="817"/>
      <c r="Y833" s="817"/>
      <c r="Z833" s="817"/>
      <c r="AB833" s="817">
        <v>0</v>
      </c>
      <c r="AC833" s="817">
        <v>0</v>
      </c>
      <c r="AD833" s="817"/>
      <c r="AE833" s="817"/>
      <c r="AF833" s="817"/>
      <c r="AG833" s="817"/>
      <c r="AH833" s="817"/>
      <c r="AI833" s="817"/>
      <c r="AJ833" s="817"/>
      <c r="AL833" s="817"/>
      <c r="AM833" s="817"/>
      <c r="AN833" s="817"/>
      <c r="AO833" s="817"/>
      <c r="AP833" s="817"/>
      <c r="AQ833" s="817"/>
      <c r="AR833" s="817"/>
      <c r="AS833" s="817"/>
      <c r="AT833" s="817"/>
      <c r="AU833" s="817"/>
      <c r="AV833" s="817"/>
      <c r="AW833" s="817"/>
      <c r="AX833" s="817"/>
      <c r="AY833" s="817"/>
      <c r="AZ833" s="817"/>
      <c r="BA833" s="817"/>
      <c r="BC833" s="817"/>
      <c r="BD833" s="817"/>
      <c r="BE833" s="817"/>
      <c r="BF833" s="817"/>
      <c r="BG833" s="817"/>
      <c r="BH833" s="817"/>
      <c r="BI833" s="817"/>
      <c r="BJ833" s="817"/>
      <c r="BK833" s="817"/>
      <c r="BM833" s="817"/>
      <c r="BN833" s="817"/>
      <c r="BO833" s="817"/>
      <c r="BQ833" s="817"/>
      <c r="BR833" s="817"/>
      <c r="BS833" s="817"/>
      <c r="BT833" s="817"/>
      <c r="BU833" s="817"/>
    </row>
    <row r="834" spans="1:73" ht="29" x14ac:dyDescent="0.35">
      <c r="A834" s="806" t="s">
        <v>728</v>
      </c>
      <c r="B834" s="806" t="s">
        <v>982</v>
      </c>
      <c r="C834" s="817"/>
      <c r="D834" s="817"/>
      <c r="E834" s="817"/>
      <c r="F834" s="817"/>
      <c r="I834" s="817">
        <v>0</v>
      </c>
      <c r="J834" s="817"/>
      <c r="K834" s="817"/>
      <c r="M834" s="817"/>
      <c r="N834" s="817">
        <v>10</v>
      </c>
      <c r="O834" s="817"/>
      <c r="P834" s="817"/>
      <c r="Q834" s="817"/>
      <c r="R834" s="817"/>
      <c r="S834" s="817"/>
      <c r="T834" s="817"/>
      <c r="U834" s="817"/>
      <c r="V834" s="817"/>
      <c r="W834" s="817"/>
      <c r="X834" s="817"/>
      <c r="Y834" s="817"/>
      <c r="Z834" s="817"/>
      <c r="AB834" s="817">
        <v>10</v>
      </c>
      <c r="AC834" s="817">
        <v>10</v>
      </c>
      <c r="AD834" s="817"/>
      <c r="AE834" s="817"/>
      <c r="AF834" s="817"/>
      <c r="AG834" s="817"/>
      <c r="AH834" s="817"/>
      <c r="AI834" s="817"/>
      <c r="AJ834" s="817"/>
      <c r="AL834" s="817"/>
      <c r="AM834" s="817"/>
      <c r="AN834" s="817"/>
      <c r="AO834" s="817"/>
      <c r="AP834" s="817"/>
      <c r="AQ834" s="817"/>
      <c r="AR834" s="817"/>
      <c r="AS834" s="817"/>
      <c r="AT834" s="817"/>
      <c r="AU834" s="817"/>
      <c r="AV834" s="817"/>
      <c r="AW834" s="817"/>
      <c r="AX834" s="817"/>
      <c r="AY834" s="817"/>
      <c r="AZ834" s="817"/>
      <c r="BA834" s="817"/>
      <c r="BC834" s="817"/>
      <c r="BD834" s="817"/>
      <c r="BE834" s="817"/>
      <c r="BF834" s="817"/>
      <c r="BG834" s="817"/>
      <c r="BH834" s="817"/>
      <c r="BI834" s="817"/>
      <c r="BJ834" s="817"/>
      <c r="BK834" s="817"/>
      <c r="BM834" s="817"/>
      <c r="BN834" s="817"/>
      <c r="BO834" s="817"/>
      <c r="BQ834" s="817"/>
      <c r="BR834" s="817"/>
      <c r="BS834" s="817"/>
      <c r="BT834" s="817"/>
      <c r="BU834" s="817"/>
    </row>
    <row r="835" spans="1:73" x14ac:dyDescent="0.35">
      <c r="A835" s="806" t="s">
        <v>728</v>
      </c>
      <c r="B835" s="806" t="s">
        <v>738</v>
      </c>
      <c r="C835" s="817"/>
      <c r="D835" s="817"/>
      <c r="E835" s="817"/>
      <c r="F835" s="817"/>
      <c r="G835" s="817"/>
      <c r="H835" s="817"/>
      <c r="I835" s="817">
        <v>80</v>
      </c>
      <c r="J835" s="817"/>
      <c r="K835" s="817"/>
      <c r="L835" s="816"/>
      <c r="M835" s="817"/>
      <c r="N835" s="817">
        <v>75</v>
      </c>
      <c r="O835" s="817"/>
      <c r="P835" s="817"/>
      <c r="Q835" s="817"/>
      <c r="R835" s="817"/>
      <c r="S835" s="817"/>
      <c r="T835" s="817"/>
      <c r="U835" s="817"/>
      <c r="V835" s="817"/>
      <c r="W835" s="817"/>
      <c r="X835" s="817"/>
      <c r="Y835" s="817"/>
      <c r="Z835" s="817"/>
      <c r="AA835" s="817"/>
      <c r="AB835" s="817">
        <v>85</v>
      </c>
      <c r="AC835" s="817">
        <v>88</v>
      </c>
      <c r="AD835" s="817"/>
      <c r="AE835" s="817"/>
      <c r="AF835" s="817"/>
      <c r="AG835" s="817"/>
      <c r="AH835" s="817"/>
      <c r="AI835" s="817"/>
      <c r="AJ835" s="817"/>
      <c r="AK835" s="817"/>
      <c r="AL835" s="817"/>
      <c r="AM835" s="817"/>
      <c r="AN835" s="817"/>
      <c r="AO835" s="817"/>
      <c r="AP835" s="817"/>
      <c r="AQ835" s="817"/>
      <c r="AR835" s="817"/>
      <c r="AS835" s="817"/>
      <c r="AT835" s="817"/>
      <c r="AU835" s="817"/>
      <c r="AV835" s="817"/>
      <c r="AW835" s="817"/>
      <c r="AX835" s="817"/>
      <c r="AY835" s="817"/>
      <c r="AZ835" s="817"/>
      <c r="BA835" s="817"/>
      <c r="BB835" s="816"/>
      <c r="BC835" s="817"/>
      <c r="BD835" s="817"/>
      <c r="BE835" s="817"/>
      <c r="BF835" s="817"/>
      <c r="BG835" s="817"/>
      <c r="BH835" s="817"/>
      <c r="BI835" s="817"/>
      <c r="BJ835" s="817"/>
      <c r="BK835" s="817"/>
      <c r="BM835" s="817"/>
      <c r="BN835" s="817"/>
      <c r="BO835" s="817"/>
      <c r="BP835" s="816"/>
      <c r="BQ835" s="817"/>
      <c r="BR835" s="817"/>
      <c r="BS835" s="817"/>
      <c r="BT835" s="817"/>
      <c r="BU835" s="817"/>
    </row>
    <row r="836" spans="1:73" x14ac:dyDescent="0.35">
      <c r="A836" s="806" t="s">
        <v>728</v>
      </c>
      <c r="B836" s="806" t="s">
        <v>739</v>
      </c>
      <c r="C836" s="818"/>
      <c r="D836" s="818"/>
      <c r="E836" s="818"/>
      <c r="F836" s="818"/>
      <c r="G836" s="818"/>
      <c r="H836" s="818"/>
      <c r="I836" s="818">
        <v>141750</v>
      </c>
      <c r="J836" s="818"/>
      <c r="K836" s="818"/>
      <c r="L836" s="816"/>
      <c r="M836" s="818"/>
      <c r="N836" s="818">
        <v>160000</v>
      </c>
      <c r="O836" s="818"/>
      <c r="P836" s="818"/>
      <c r="Q836" s="818"/>
      <c r="R836" s="818"/>
      <c r="S836" s="818"/>
      <c r="T836" s="818"/>
      <c r="U836" s="818"/>
      <c r="V836" s="818"/>
      <c r="W836" s="818"/>
      <c r="X836" s="818"/>
      <c r="Y836" s="818"/>
      <c r="Z836" s="818"/>
      <c r="AA836" s="818"/>
      <c r="AB836" s="818">
        <v>500000</v>
      </c>
      <c r="AC836" s="818">
        <v>320000</v>
      </c>
      <c r="AD836" s="818"/>
      <c r="AE836" s="818"/>
      <c r="AF836" s="818"/>
      <c r="AG836" s="818"/>
      <c r="AH836" s="818"/>
      <c r="AI836" s="818"/>
      <c r="AJ836" s="818"/>
      <c r="AK836" s="818"/>
      <c r="AL836" s="818"/>
      <c r="AM836" s="818"/>
      <c r="AN836" s="818"/>
      <c r="AO836" s="818"/>
      <c r="AP836" s="818"/>
      <c r="AQ836" s="818"/>
      <c r="AR836" s="818"/>
      <c r="AS836" s="818"/>
      <c r="AT836" s="818"/>
      <c r="AU836" s="818"/>
      <c r="AV836" s="818"/>
      <c r="AW836" s="818"/>
      <c r="AX836" s="818"/>
      <c r="AY836" s="818"/>
      <c r="AZ836" s="818"/>
      <c r="BA836" s="818"/>
      <c r="BB836" s="816"/>
      <c r="BC836" s="818"/>
      <c r="BD836" s="818"/>
      <c r="BE836" s="818"/>
      <c r="BF836" s="818"/>
      <c r="BG836" s="818"/>
      <c r="BH836" s="818"/>
      <c r="BI836" s="818"/>
      <c r="BJ836" s="818"/>
      <c r="BK836" s="818"/>
      <c r="BM836" s="818"/>
      <c r="BN836" s="818"/>
      <c r="BO836" s="818"/>
      <c r="BP836" s="816"/>
      <c r="BQ836" s="818"/>
      <c r="BR836" s="818"/>
      <c r="BS836" s="818"/>
      <c r="BT836" s="818"/>
      <c r="BU836" s="818"/>
    </row>
    <row r="837" spans="1:73" ht="29" x14ac:dyDescent="0.35">
      <c r="A837" s="806" t="s">
        <v>728</v>
      </c>
      <c r="B837" s="806" t="s">
        <v>985</v>
      </c>
      <c r="C837" s="817"/>
      <c r="D837" s="817"/>
      <c r="E837" s="817"/>
      <c r="F837" s="817"/>
      <c r="I837" s="817">
        <v>5</v>
      </c>
      <c r="J837" s="817"/>
      <c r="K837" s="817"/>
      <c r="M837" s="817"/>
      <c r="N837" s="817">
        <v>5</v>
      </c>
      <c r="O837" s="817"/>
      <c r="P837" s="817"/>
      <c r="Q837" s="817"/>
      <c r="R837" s="817"/>
      <c r="S837" s="817"/>
      <c r="T837" s="817"/>
      <c r="U837" s="817"/>
      <c r="V837" s="817"/>
      <c r="W837" s="817"/>
      <c r="X837" s="817"/>
      <c r="Y837" s="817"/>
      <c r="Z837" s="817"/>
      <c r="AB837" s="817">
        <v>5</v>
      </c>
      <c r="AC837" s="817">
        <v>5</v>
      </c>
      <c r="AD837" s="817"/>
      <c r="AE837" s="817"/>
      <c r="AF837" s="817"/>
      <c r="AG837" s="817"/>
      <c r="AH837" s="817"/>
      <c r="AI837" s="817"/>
      <c r="AJ837" s="817"/>
      <c r="AL837" s="817"/>
      <c r="AM837" s="817"/>
      <c r="AN837" s="817"/>
      <c r="AO837" s="817"/>
      <c r="AP837" s="817"/>
      <c r="AQ837" s="817"/>
      <c r="AR837" s="817"/>
      <c r="AS837" s="817"/>
      <c r="AT837" s="817"/>
      <c r="AU837" s="817"/>
      <c r="AV837" s="817"/>
      <c r="AW837" s="817"/>
      <c r="AX837" s="817"/>
      <c r="AY837" s="817"/>
      <c r="AZ837" s="817"/>
      <c r="BA837" s="817"/>
      <c r="BC837" s="817"/>
      <c r="BD837" s="817"/>
      <c r="BE837" s="817"/>
      <c r="BF837" s="817"/>
      <c r="BG837" s="817"/>
      <c r="BH837" s="817"/>
      <c r="BI837" s="817"/>
      <c r="BJ837" s="817"/>
      <c r="BK837" s="817"/>
      <c r="BM837" s="817"/>
      <c r="BN837" s="817"/>
      <c r="BO837" s="817"/>
      <c r="BQ837" s="817"/>
      <c r="BR837" s="817"/>
      <c r="BS837" s="817"/>
      <c r="BT837" s="817"/>
      <c r="BU837" s="817"/>
    </row>
    <row r="838" spans="1:73" x14ac:dyDescent="0.35">
      <c r="A838" s="806" t="s">
        <v>728</v>
      </c>
      <c r="B838" s="806" t="s">
        <v>1170</v>
      </c>
      <c r="C838" s="817">
        <v>500</v>
      </c>
      <c r="D838" s="817">
        <v>500</v>
      </c>
      <c r="E838" s="817">
        <v>500</v>
      </c>
      <c r="F838" s="817">
        <v>500</v>
      </c>
      <c r="I838" s="817">
        <v>7500</v>
      </c>
      <c r="J838" s="817"/>
      <c r="K838" s="817"/>
      <c r="M838" s="817"/>
      <c r="N838" s="817">
        <v>500</v>
      </c>
      <c r="O838" s="817"/>
      <c r="P838" s="817"/>
      <c r="Q838" s="817"/>
      <c r="S838" s="817"/>
      <c r="T838" s="817"/>
      <c r="U838" s="817"/>
      <c r="V838" s="817"/>
      <c r="W838" s="817"/>
      <c r="X838" s="817"/>
      <c r="Z838" s="817"/>
      <c r="AB838" s="817">
        <v>1200</v>
      </c>
      <c r="AC838" s="817">
        <v>1200</v>
      </c>
      <c r="AD838" s="817"/>
      <c r="AE838" s="817"/>
      <c r="AF838" s="817">
        <v>4500</v>
      </c>
      <c r="AG838" s="817"/>
      <c r="AH838" s="817">
        <v>500</v>
      </c>
      <c r="AI838" s="817"/>
      <c r="AJ838" s="817"/>
      <c r="AL838" s="817"/>
      <c r="AN838" s="817"/>
      <c r="AP838" s="817"/>
      <c r="AQ838" s="817"/>
      <c r="AR838" s="817"/>
      <c r="AS838" s="817"/>
      <c r="AT838" s="817"/>
      <c r="AU838" s="817"/>
      <c r="AV838" s="817"/>
      <c r="AW838" s="817"/>
      <c r="AX838" s="817"/>
      <c r="AY838" s="817"/>
      <c r="AZ838" s="817"/>
      <c r="BA838" s="817">
        <v>500</v>
      </c>
      <c r="BC838" s="817"/>
      <c r="BD838" s="817"/>
      <c r="BE838" s="817"/>
      <c r="BF838" s="817"/>
      <c r="BG838" s="817"/>
      <c r="BH838" s="817"/>
      <c r="BI838" s="817"/>
      <c r="BJ838" s="817"/>
      <c r="BK838" s="817">
        <v>1500</v>
      </c>
      <c r="BM838" s="817"/>
      <c r="BN838" s="817"/>
      <c r="BO838" s="817"/>
      <c r="BQ838" s="817"/>
      <c r="BR838" s="817"/>
      <c r="BS838" s="817"/>
      <c r="BT838" s="817"/>
      <c r="BU838" s="817"/>
    </row>
    <row r="839" spans="1:73" ht="29" x14ac:dyDescent="0.35">
      <c r="A839" s="806" t="s">
        <v>728</v>
      </c>
      <c r="B839" s="806" t="s">
        <v>1165</v>
      </c>
      <c r="C839" s="816" t="s">
        <v>198</v>
      </c>
      <c r="D839" s="816" t="s">
        <v>198</v>
      </c>
      <c r="E839" s="816" t="s">
        <v>198</v>
      </c>
      <c r="F839" s="816" t="s">
        <v>198</v>
      </c>
      <c r="I839" s="816" t="s">
        <v>198</v>
      </c>
      <c r="J839" s="816"/>
      <c r="K839" s="816"/>
      <c r="M839" s="816"/>
      <c r="N839" s="816" t="s">
        <v>198</v>
      </c>
      <c r="O839" s="816"/>
      <c r="P839" s="816"/>
      <c r="Q839" s="816"/>
      <c r="S839" s="816"/>
      <c r="T839" s="816"/>
      <c r="U839" s="816"/>
      <c r="V839" s="816"/>
      <c r="W839" s="816"/>
      <c r="X839" s="816"/>
      <c r="Z839" s="816"/>
      <c r="AB839" s="816" t="s">
        <v>198</v>
      </c>
      <c r="AC839" s="816" t="s">
        <v>198</v>
      </c>
      <c r="AD839" s="816"/>
      <c r="AE839" s="816"/>
      <c r="AF839" s="816" t="s">
        <v>198</v>
      </c>
      <c r="AG839" s="816"/>
      <c r="AH839" s="816" t="s">
        <v>198</v>
      </c>
      <c r="AI839" s="816"/>
      <c r="AJ839" s="816"/>
      <c r="AL839" s="816"/>
      <c r="AN839" s="816"/>
      <c r="AP839" s="816"/>
      <c r="AQ839" s="816"/>
      <c r="AR839" s="816"/>
      <c r="AS839" s="816"/>
      <c r="AT839" s="816"/>
      <c r="AU839" s="816"/>
      <c r="AV839" s="816"/>
      <c r="AW839" s="816"/>
      <c r="AX839" s="816"/>
      <c r="AY839" s="816"/>
      <c r="AZ839" s="816"/>
      <c r="BA839" s="816" t="s">
        <v>198</v>
      </c>
      <c r="BC839" s="816"/>
      <c r="BD839" s="816"/>
      <c r="BE839" s="816"/>
      <c r="BF839" s="816"/>
      <c r="BG839" s="816"/>
      <c r="BH839" s="816"/>
      <c r="BI839" s="816"/>
      <c r="BJ839" s="816"/>
      <c r="BK839" s="816" t="s">
        <v>198</v>
      </c>
      <c r="BM839" s="816"/>
      <c r="BN839" s="816"/>
      <c r="BO839" s="816"/>
      <c r="BQ839" s="816" t="s">
        <v>198</v>
      </c>
      <c r="BR839" s="816"/>
      <c r="BS839" s="816"/>
      <c r="BT839" s="816"/>
      <c r="BU839" s="816"/>
    </row>
    <row r="840" spans="1:73" ht="29" x14ac:dyDescent="0.35">
      <c r="A840" s="806" t="s">
        <v>728</v>
      </c>
      <c r="B840" s="806" t="s">
        <v>729</v>
      </c>
      <c r="C840" s="816" t="s">
        <v>2475</v>
      </c>
      <c r="D840" s="816" t="s">
        <v>2475</v>
      </c>
      <c r="E840" s="816" t="s">
        <v>2475</v>
      </c>
      <c r="F840" s="816" t="s">
        <v>2475</v>
      </c>
      <c r="G840" s="816"/>
      <c r="H840" s="816"/>
      <c r="I840" s="816" t="s">
        <v>1959</v>
      </c>
      <c r="J840" s="816"/>
      <c r="K840" s="816"/>
      <c r="L840" s="816"/>
      <c r="M840" s="816"/>
      <c r="N840" s="816" t="s">
        <v>1959</v>
      </c>
      <c r="O840" s="816"/>
      <c r="P840" s="816"/>
      <c r="Q840" s="816"/>
      <c r="R840" s="816"/>
      <c r="S840" s="816"/>
      <c r="T840" s="816"/>
      <c r="U840" s="816"/>
      <c r="V840" s="816"/>
      <c r="W840" s="816"/>
      <c r="X840" s="816"/>
      <c r="Y840" s="816"/>
      <c r="Z840" s="816"/>
      <c r="AA840" s="816"/>
      <c r="AB840" s="816" t="s">
        <v>1959</v>
      </c>
      <c r="AC840" s="816" t="s">
        <v>1959</v>
      </c>
      <c r="AD840" s="816"/>
      <c r="AE840" s="816"/>
      <c r="AF840" s="816" t="s">
        <v>2475</v>
      </c>
      <c r="AG840" s="816"/>
      <c r="AH840" s="816" t="s">
        <v>2475</v>
      </c>
      <c r="AI840" s="816"/>
      <c r="AJ840" s="816"/>
      <c r="AK840" s="816"/>
      <c r="AL840" s="816"/>
      <c r="AM840" s="816"/>
      <c r="AN840" s="816"/>
      <c r="AO840" s="816"/>
      <c r="AP840" s="816"/>
      <c r="AQ840" s="816" t="s">
        <v>1959</v>
      </c>
      <c r="AR840" s="816"/>
      <c r="AS840" s="816"/>
      <c r="AT840" s="816"/>
      <c r="AU840" s="816"/>
      <c r="AV840" s="816"/>
      <c r="AW840" s="816"/>
      <c r="AX840" s="816"/>
      <c r="AY840" s="816" t="s">
        <v>1959</v>
      </c>
      <c r="AZ840" s="816"/>
      <c r="BA840" s="816" t="s">
        <v>2475</v>
      </c>
      <c r="BB840" s="816"/>
      <c r="BC840" s="816"/>
      <c r="BD840" s="816"/>
      <c r="BE840" s="816"/>
      <c r="BF840" s="816"/>
      <c r="BG840" s="816"/>
      <c r="BH840" s="816"/>
      <c r="BI840" s="816"/>
      <c r="BJ840" s="816"/>
      <c r="BK840" s="816" t="s">
        <v>2475</v>
      </c>
      <c r="BM840" s="816"/>
      <c r="BN840" s="816"/>
      <c r="BO840" s="816"/>
      <c r="BP840" s="817"/>
      <c r="BQ840" s="816" t="s">
        <v>1959</v>
      </c>
      <c r="BR840" s="816"/>
      <c r="BS840" s="816" t="s">
        <v>1959</v>
      </c>
      <c r="BT840" s="816"/>
      <c r="BU840" s="816"/>
    </row>
    <row r="841" spans="1:73" ht="29" x14ac:dyDescent="0.35">
      <c r="A841" s="806" t="s">
        <v>728</v>
      </c>
      <c r="B841" s="806" t="s">
        <v>970</v>
      </c>
      <c r="C841" s="817">
        <v>40</v>
      </c>
      <c r="D841" s="817">
        <v>40</v>
      </c>
      <c r="E841" s="817">
        <v>40</v>
      </c>
      <c r="F841" s="817">
        <v>40</v>
      </c>
      <c r="I841" s="817"/>
      <c r="J841" s="817"/>
      <c r="K841" s="817"/>
      <c r="M841" s="817"/>
      <c r="N841" s="817"/>
      <c r="O841" s="817"/>
      <c r="P841" s="817"/>
      <c r="Q841" s="817"/>
      <c r="R841" s="817"/>
      <c r="S841" s="817"/>
      <c r="T841" s="817"/>
      <c r="U841" s="817"/>
      <c r="V841" s="817"/>
      <c r="W841" s="817"/>
      <c r="X841" s="817"/>
      <c r="Y841" s="817"/>
      <c r="Z841" s="817"/>
      <c r="AB841" s="817"/>
      <c r="AC841" s="817"/>
      <c r="AD841" s="817"/>
      <c r="AE841" s="817"/>
      <c r="AF841" s="817">
        <v>30</v>
      </c>
      <c r="AG841" s="817"/>
      <c r="AH841" s="817">
        <v>30</v>
      </c>
      <c r="AI841" s="817"/>
      <c r="AJ841" s="817"/>
      <c r="AL841" s="817"/>
      <c r="AM841" s="817"/>
      <c r="AN841" s="817"/>
      <c r="AO841" s="817"/>
      <c r="AP841" s="817"/>
      <c r="AQ841" s="817"/>
      <c r="AR841" s="817"/>
      <c r="AS841" s="817"/>
      <c r="AT841" s="817"/>
      <c r="AU841" s="817"/>
      <c r="AV841" s="817"/>
      <c r="AW841" s="817"/>
      <c r="AX841" s="817"/>
      <c r="AY841" s="817"/>
      <c r="AZ841" s="817"/>
      <c r="BA841" s="817">
        <v>40</v>
      </c>
      <c r="BC841" s="817"/>
      <c r="BD841" s="817"/>
      <c r="BE841" s="817"/>
      <c r="BF841" s="817"/>
      <c r="BG841" s="817"/>
      <c r="BH841" s="817"/>
      <c r="BI841" s="817"/>
      <c r="BJ841" s="817"/>
      <c r="BK841" s="817">
        <v>40</v>
      </c>
      <c r="BM841" s="817"/>
      <c r="BN841" s="817"/>
      <c r="BO841" s="817"/>
      <c r="BQ841" s="817"/>
      <c r="BR841" s="817"/>
      <c r="BS841" s="817"/>
      <c r="BT841" s="817"/>
      <c r="BU841" s="817"/>
    </row>
    <row r="842" spans="1:73" ht="29" x14ac:dyDescent="0.35">
      <c r="A842" s="806" t="s">
        <v>728</v>
      </c>
      <c r="B842" s="806" t="s">
        <v>966</v>
      </c>
      <c r="C842" s="817">
        <v>9</v>
      </c>
      <c r="D842" s="817">
        <v>9</v>
      </c>
      <c r="E842" s="817">
        <v>9</v>
      </c>
      <c r="F842" s="817">
        <v>9</v>
      </c>
      <c r="I842" s="817"/>
      <c r="J842" s="821"/>
      <c r="K842" s="817"/>
      <c r="M842" s="817"/>
      <c r="N842" s="817"/>
      <c r="O842" s="817"/>
      <c r="P842" s="817"/>
      <c r="Q842" s="817"/>
      <c r="R842" s="817"/>
      <c r="S842" s="817"/>
      <c r="T842" s="817"/>
      <c r="U842" s="817"/>
      <c r="V842" s="817"/>
      <c r="W842" s="817"/>
      <c r="X842" s="817"/>
      <c r="Y842" s="817"/>
      <c r="Z842" s="817"/>
      <c r="AB842" s="817"/>
      <c r="AC842" s="817"/>
      <c r="AD842" s="817"/>
      <c r="AE842" s="817"/>
      <c r="AF842" s="817">
        <v>11</v>
      </c>
      <c r="AG842" s="817"/>
      <c r="AH842" s="817">
        <v>15</v>
      </c>
      <c r="AI842" s="817"/>
      <c r="AJ842" s="817"/>
      <c r="AL842" s="817"/>
      <c r="AM842" s="817"/>
      <c r="AN842" s="821"/>
      <c r="AO842" s="817"/>
      <c r="AP842" s="817"/>
      <c r="AQ842" s="817"/>
      <c r="AR842" s="817"/>
      <c r="AS842" s="817"/>
      <c r="AT842" s="817"/>
      <c r="AU842" s="817"/>
      <c r="AV842" s="817"/>
      <c r="AW842" s="821"/>
      <c r="AX842" s="817"/>
      <c r="AY842" s="817"/>
      <c r="AZ842" s="817"/>
      <c r="BA842" s="817">
        <v>9</v>
      </c>
      <c r="BC842" s="817"/>
      <c r="BD842" s="817"/>
      <c r="BE842" s="817"/>
      <c r="BF842" s="821"/>
      <c r="BG842" s="817"/>
      <c r="BH842" s="817"/>
      <c r="BI842" s="817"/>
      <c r="BJ842" s="817"/>
      <c r="BK842" s="817">
        <v>11</v>
      </c>
      <c r="BM842" s="817"/>
      <c r="BN842" s="817"/>
      <c r="BO842" s="817"/>
      <c r="BQ842" s="817"/>
      <c r="BR842" s="817"/>
      <c r="BS842" s="817"/>
      <c r="BT842" s="817"/>
      <c r="BU842" s="817"/>
    </row>
    <row r="843" spans="1:73" ht="29" x14ac:dyDescent="0.35">
      <c r="A843" s="806" t="s">
        <v>728</v>
      </c>
      <c r="B843" s="806" t="s">
        <v>967</v>
      </c>
      <c r="C843" s="817">
        <v>20</v>
      </c>
      <c r="D843" s="817">
        <v>20</v>
      </c>
      <c r="E843" s="817">
        <v>20</v>
      </c>
      <c r="F843" s="817">
        <v>20</v>
      </c>
      <c r="I843" s="817"/>
      <c r="J843" s="821"/>
      <c r="K843" s="817"/>
      <c r="M843" s="817"/>
      <c r="N843" s="817"/>
      <c r="O843" s="817"/>
      <c r="P843" s="817"/>
      <c r="Q843" s="817"/>
      <c r="R843" s="817"/>
      <c r="S843" s="817"/>
      <c r="T843" s="817"/>
      <c r="U843" s="817"/>
      <c r="V843" s="817"/>
      <c r="W843" s="817"/>
      <c r="X843" s="817"/>
      <c r="Y843" s="817"/>
      <c r="Z843" s="817"/>
      <c r="AB843" s="817"/>
      <c r="AC843" s="817"/>
      <c r="AD843" s="817"/>
      <c r="AE843" s="817"/>
      <c r="AF843" s="817">
        <v>20</v>
      </c>
      <c r="AG843" s="817"/>
      <c r="AH843" s="817">
        <v>20</v>
      </c>
      <c r="AI843" s="817"/>
      <c r="AJ843" s="817"/>
      <c r="AL843" s="817"/>
      <c r="AM843" s="817"/>
      <c r="AN843" s="821"/>
      <c r="AO843" s="817"/>
      <c r="AP843" s="817"/>
      <c r="AQ843" s="817"/>
      <c r="AR843" s="817"/>
      <c r="AS843" s="817"/>
      <c r="AT843" s="817"/>
      <c r="AU843" s="817"/>
      <c r="AV843" s="817"/>
      <c r="AW843" s="821"/>
      <c r="AX843" s="817"/>
      <c r="AY843" s="817"/>
      <c r="AZ843" s="817"/>
      <c r="BA843" s="817">
        <v>20</v>
      </c>
      <c r="BC843" s="817"/>
      <c r="BD843" s="817"/>
      <c r="BE843" s="817"/>
      <c r="BF843" s="821"/>
      <c r="BG843" s="817"/>
      <c r="BH843" s="817"/>
      <c r="BI843" s="817"/>
      <c r="BJ843" s="817"/>
      <c r="BK843" s="817">
        <v>20</v>
      </c>
      <c r="BM843" s="817"/>
      <c r="BN843" s="817"/>
      <c r="BO843" s="817"/>
      <c r="BQ843" s="817"/>
      <c r="BR843" s="817"/>
      <c r="BS843" s="817"/>
      <c r="BT843" s="817"/>
      <c r="BU843" s="817"/>
    </row>
    <row r="844" spans="1:73" ht="29" x14ac:dyDescent="0.35">
      <c r="A844" s="806" t="s">
        <v>728</v>
      </c>
      <c r="B844" s="806" t="s">
        <v>965</v>
      </c>
      <c r="C844" s="817">
        <v>5</v>
      </c>
      <c r="D844" s="817">
        <v>5</v>
      </c>
      <c r="E844" s="817">
        <v>5</v>
      </c>
      <c r="F844" s="817">
        <v>5</v>
      </c>
      <c r="I844" s="817"/>
      <c r="J844" s="821"/>
      <c r="K844" s="817"/>
      <c r="M844" s="817"/>
      <c r="N844" s="817"/>
      <c r="O844" s="817"/>
      <c r="P844" s="817"/>
      <c r="Q844" s="817"/>
      <c r="R844" s="817"/>
      <c r="S844" s="817"/>
      <c r="T844" s="817"/>
      <c r="U844" s="817"/>
      <c r="V844" s="817"/>
      <c r="W844" s="817"/>
      <c r="X844" s="817"/>
      <c r="Y844" s="817"/>
      <c r="Z844" s="817"/>
      <c r="AB844" s="817"/>
      <c r="AC844" s="817"/>
      <c r="AD844" s="817"/>
      <c r="AE844" s="817"/>
      <c r="AF844" s="817">
        <v>3</v>
      </c>
      <c r="AG844" s="817"/>
      <c r="AH844" s="817">
        <v>5</v>
      </c>
      <c r="AI844" s="817"/>
      <c r="AJ844" s="817"/>
      <c r="AL844" s="817"/>
      <c r="AM844" s="817"/>
      <c r="AN844" s="821"/>
      <c r="AO844" s="817"/>
      <c r="AP844" s="817"/>
      <c r="AQ844" s="817"/>
      <c r="AR844" s="817"/>
      <c r="AS844" s="817"/>
      <c r="AT844" s="817"/>
      <c r="AU844" s="817"/>
      <c r="AV844" s="817"/>
      <c r="AW844" s="821"/>
      <c r="AX844" s="817"/>
      <c r="AY844" s="817"/>
      <c r="AZ844" s="817"/>
      <c r="BA844" s="817">
        <v>5</v>
      </c>
      <c r="BC844" s="817"/>
      <c r="BD844" s="817"/>
      <c r="BE844" s="817"/>
      <c r="BF844" s="821"/>
      <c r="BG844" s="817"/>
      <c r="BH844" s="817"/>
      <c r="BI844" s="817"/>
      <c r="BJ844" s="817"/>
      <c r="BK844" s="817">
        <v>5</v>
      </c>
      <c r="BM844" s="817"/>
      <c r="BN844" s="817"/>
      <c r="BO844" s="817"/>
      <c r="BQ844" s="817"/>
      <c r="BR844" s="817"/>
      <c r="BS844" s="817"/>
      <c r="BT844" s="817"/>
      <c r="BU844" s="817"/>
    </row>
    <row r="845" spans="1:73" ht="29" x14ac:dyDescent="0.35">
      <c r="A845" s="806" t="s">
        <v>728</v>
      </c>
      <c r="B845" s="806" t="s">
        <v>969</v>
      </c>
      <c r="C845" s="817">
        <v>0</v>
      </c>
      <c r="D845" s="817">
        <v>0</v>
      </c>
      <c r="E845" s="817">
        <v>0</v>
      </c>
      <c r="F845" s="817">
        <v>0</v>
      </c>
      <c r="I845" s="817"/>
      <c r="J845" s="817"/>
      <c r="K845" s="817"/>
      <c r="M845" s="817"/>
      <c r="N845" s="817"/>
      <c r="O845" s="817"/>
      <c r="P845" s="817"/>
      <c r="Q845" s="817"/>
      <c r="R845" s="817"/>
      <c r="S845" s="817"/>
      <c r="T845" s="817"/>
      <c r="U845" s="817"/>
      <c r="V845" s="817"/>
      <c r="W845" s="817"/>
      <c r="X845" s="817"/>
      <c r="Y845" s="817"/>
      <c r="Z845" s="817"/>
      <c r="AB845" s="817"/>
      <c r="AC845" s="817"/>
      <c r="AD845" s="817"/>
      <c r="AE845" s="817"/>
      <c r="AF845" s="817">
        <v>0</v>
      </c>
      <c r="AG845" s="817"/>
      <c r="AH845" s="817">
        <v>0</v>
      </c>
      <c r="AI845" s="817"/>
      <c r="AJ845" s="817"/>
      <c r="AL845" s="817"/>
      <c r="AM845" s="817"/>
      <c r="AN845" s="817"/>
      <c r="AO845" s="817"/>
      <c r="AP845" s="817"/>
      <c r="AQ845" s="817"/>
      <c r="AR845" s="817"/>
      <c r="AS845" s="817"/>
      <c r="AT845" s="817"/>
      <c r="AU845" s="817"/>
      <c r="AV845" s="817"/>
      <c r="AW845" s="817"/>
      <c r="AX845" s="817"/>
      <c r="AY845" s="817"/>
      <c r="AZ845" s="817"/>
      <c r="BA845" s="817">
        <v>0</v>
      </c>
      <c r="BC845" s="817"/>
      <c r="BD845" s="817"/>
      <c r="BE845" s="817"/>
      <c r="BF845" s="817"/>
      <c r="BG845" s="817"/>
      <c r="BH845" s="817"/>
      <c r="BI845" s="817"/>
      <c r="BJ845" s="817"/>
      <c r="BK845" s="817">
        <v>0</v>
      </c>
      <c r="BM845" s="817"/>
      <c r="BN845" s="817"/>
      <c r="BO845" s="817"/>
      <c r="BQ845" s="817"/>
      <c r="BR845" s="817"/>
      <c r="BS845" s="817"/>
      <c r="BT845" s="817"/>
      <c r="BU845" s="817"/>
    </row>
    <row r="846" spans="1:73" ht="29" x14ac:dyDescent="0.35">
      <c r="A846" s="806" t="s">
        <v>728</v>
      </c>
      <c r="B846" s="806" t="s">
        <v>968</v>
      </c>
      <c r="C846" s="817">
        <v>0</v>
      </c>
      <c r="D846" s="817">
        <v>10</v>
      </c>
      <c r="E846" s="817">
        <v>0</v>
      </c>
      <c r="F846" s="817">
        <v>10</v>
      </c>
      <c r="I846" s="817"/>
      <c r="J846" s="817"/>
      <c r="K846" s="817"/>
      <c r="M846" s="817"/>
      <c r="N846" s="817"/>
      <c r="O846" s="817"/>
      <c r="P846" s="817"/>
      <c r="Q846" s="817"/>
      <c r="R846" s="817"/>
      <c r="S846" s="817"/>
      <c r="T846" s="817"/>
      <c r="U846" s="817"/>
      <c r="V846" s="817"/>
      <c r="W846" s="817"/>
      <c r="X846" s="817"/>
      <c r="Y846" s="817"/>
      <c r="Z846" s="817"/>
      <c r="AB846" s="817"/>
      <c r="AC846" s="817"/>
      <c r="AD846" s="817"/>
      <c r="AE846" s="817"/>
      <c r="AF846" s="817">
        <v>0</v>
      </c>
      <c r="AG846" s="817"/>
      <c r="AH846" s="817">
        <v>0</v>
      </c>
      <c r="AI846" s="817"/>
      <c r="AJ846" s="817"/>
      <c r="AL846" s="817"/>
      <c r="AM846" s="817"/>
      <c r="AN846" s="817"/>
      <c r="AO846" s="817"/>
      <c r="AP846" s="817"/>
      <c r="AQ846" s="817"/>
      <c r="AR846" s="817"/>
      <c r="AS846" s="817"/>
      <c r="AT846" s="817"/>
      <c r="AU846" s="817"/>
      <c r="AV846" s="817"/>
      <c r="AW846" s="817"/>
      <c r="AX846" s="817"/>
      <c r="AY846" s="817"/>
      <c r="AZ846" s="817"/>
      <c r="BA846" s="817">
        <v>10</v>
      </c>
      <c r="BC846" s="817"/>
      <c r="BD846" s="817"/>
      <c r="BE846" s="817"/>
      <c r="BF846" s="817"/>
      <c r="BG846" s="817"/>
      <c r="BH846" s="817"/>
      <c r="BI846" s="817"/>
      <c r="BJ846" s="817"/>
      <c r="BK846" s="817">
        <v>0</v>
      </c>
      <c r="BM846" s="817"/>
      <c r="BN846" s="817"/>
      <c r="BO846" s="817"/>
      <c r="BQ846" s="817"/>
      <c r="BR846" s="817"/>
      <c r="BS846" s="817"/>
      <c r="BT846" s="817"/>
      <c r="BU846" s="817"/>
    </row>
    <row r="847" spans="1:73" ht="29" x14ac:dyDescent="0.35">
      <c r="A847" s="806" t="s">
        <v>728</v>
      </c>
      <c r="B847" s="806" t="s">
        <v>734</v>
      </c>
      <c r="C847" s="817">
        <v>79</v>
      </c>
      <c r="D847" s="817">
        <v>89</v>
      </c>
      <c r="E847" s="817">
        <v>79</v>
      </c>
      <c r="F847" s="817">
        <v>89</v>
      </c>
      <c r="G847" s="818"/>
      <c r="H847" s="818"/>
      <c r="I847" s="817"/>
      <c r="J847" s="821"/>
      <c r="K847" s="817"/>
      <c r="L847" s="816"/>
      <c r="M847" s="817"/>
      <c r="N847" s="817"/>
      <c r="O847" s="817"/>
      <c r="P847" s="817"/>
      <c r="Q847" s="817"/>
      <c r="R847" s="817"/>
      <c r="S847" s="817"/>
      <c r="T847" s="817"/>
      <c r="U847" s="817"/>
      <c r="V847" s="817"/>
      <c r="W847" s="817"/>
      <c r="X847" s="817"/>
      <c r="Y847" s="817"/>
      <c r="Z847" s="817"/>
      <c r="AA847" s="818"/>
      <c r="AB847" s="817"/>
      <c r="AC847" s="817"/>
      <c r="AD847" s="817"/>
      <c r="AE847" s="817"/>
      <c r="AF847" s="817">
        <v>69</v>
      </c>
      <c r="AG847" s="817"/>
      <c r="AH847" s="817">
        <v>75</v>
      </c>
      <c r="AI847" s="817"/>
      <c r="AJ847" s="817"/>
      <c r="AK847" s="818"/>
      <c r="AL847" s="817"/>
      <c r="AM847" s="817"/>
      <c r="AN847" s="821"/>
      <c r="AO847" s="817"/>
      <c r="AP847" s="817"/>
      <c r="AQ847" s="817"/>
      <c r="AR847" s="817"/>
      <c r="AS847" s="817"/>
      <c r="AT847" s="817"/>
      <c r="AU847" s="817"/>
      <c r="AV847" s="817"/>
      <c r="AW847" s="821"/>
      <c r="AX847" s="817"/>
      <c r="AY847" s="817"/>
      <c r="AZ847" s="817"/>
      <c r="BA847" s="817">
        <v>89</v>
      </c>
      <c r="BB847" s="816"/>
      <c r="BC847" s="817"/>
      <c r="BD847" s="817"/>
      <c r="BE847" s="817"/>
      <c r="BF847" s="821"/>
      <c r="BG847" s="817"/>
      <c r="BH847" s="817"/>
      <c r="BI847" s="817"/>
      <c r="BJ847" s="817"/>
      <c r="BK847" s="817">
        <v>81</v>
      </c>
      <c r="BM847" s="817"/>
      <c r="BN847" s="817"/>
      <c r="BO847" s="817"/>
      <c r="BP847" s="816"/>
      <c r="BQ847" s="817"/>
      <c r="BR847" s="817"/>
      <c r="BS847" s="817"/>
      <c r="BT847" s="817"/>
      <c r="BU847" s="817"/>
    </row>
    <row r="848" spans="1:73" ht="29" x14ac:dyDescent="0.35">
      <c r="A848" s="806" t="s">
        <v>728</v>
      </c>
      <c r="B848" s="806" t="s">
        <v>735</v>
      </c>
      <c r="C848" s="818">
        <v>280000</v>
      </c>
      <c r="D848" s="818">
        <v>200000</v>
      </c>
      <c r="E848" s="818">
        <v>280000</v>
      </c>
      <c r="F848" s="818">
        <v>200000</v>
      </c>
      <c r="G848" s="817"/>
      <c r="H848" s="817"/>
      <c r="I848" s="818"/>
      <c r="J848" s="818"/>
      <c r="K848" s="818"/>
      <c r="L848" s="816"/>
      <c r="M848" s="818"/>
      <c r="N848" s="818"/>
      <c r="O848" s="818"/>
      <c r="P848" s="818"/>
      <c r="Q848" s="818"/>
      <c r="R848" s="818"/>
      <c r="S848" s="818"/>
      <c r="T848" s="818"/>
      <c r="U848" s="818"/>
      <c r="V848" s="818"/>
      <c r="W848" s="818"/>
      <c r="X848" s="818"/>
      <c r="Y848" s="818"/>
      <c r="Z848" s="818"/>
      <c r="AA848" s="817"/>
      <c r="AB848" s="818"/>
      <c r="AC848" s="818"/>
      <c r="AD848" s="818"/>
      <c r="AE848" s="818"/>
      <c r="AF848" s="818">
        <v>100000</v>
      </c>
      <c r="AG848" s="818"/>
      <c r="AH848" s="818">
        <v>263250</v>
      </c>
      <c r="AI848" s="818"/>
      <c r="AJ848" s="818"/>
      <c r="AK848" s="817"/>
      <c r="AL848" s="818"/>
      <c r="AM848" s="818"/>
      <c r="AN848" s="818"/>
      <c r="AO848" s="818"/>
      <c r="AP848" s="818"/>
      <c r="AQ848" s="818"/>
      <c r="AR848" s="818"/>
      <c r="AS848" s="818"/>
      <c r="AT848" s="818"/>
      <c r="AU848" s="818"/>
      <c r="AV848" s="818"/>
      <c r="AW848" s="818"/>
      <c r="AX848" s="818"/>
      <c r="AY848" s="818"/>
      <c r="AZ848" s="818"/>
      <c r="BA848" s="818">
        <v>445500</v>
      </c>
      <c r="BB848" s="816"/>
      <c r="BC848" s="818"/>
      <c r="BD848" s="818"/>
      <c r="BE848" s="818"/>
      <c r="BF848" s="818"/>
      <c r="BG848" s="818"/>
      <c r="BH848" s="818"/>
      <c r="BI848" s="818"/>
      <c r="BJ848" s="818"/>
      <c r="BK848" s="818">
        <v>480000</v>
      </c>
      <c r="BM848" s="818"/>
      <c r="BN848" s="818"/>
      <c r="BO848" s="818"/>
      <c r="BP848" s="816"/>
      <c r="BQ848" s="818"/>
      <c r="BR848" s="818"/>
      <c r="BS848" s="818"/>
      <c r="BT848" s="818"/>
      <c r="BU848" s="818"/>
    </row>
    <row r="849" spans="1:73" ht="29" x14ac:dyDescent="0.35">
      <c r="A849" s="806" t="s">
        <v>728</v>
      </c>
      <c r="B849" s="806" t="s">
        <v>971</v>
      </c>
      <c r="C849" s="817">
        <v>5</v>
      </c>
      <c r="D849" s="817">
        <v>5</v>
      </c>
      <c r="E849" s="817">
        <v>5</v>
      </c>
      <c r="F849" s="817">
        <v>5</v>
      </c>
      <c r="I849" s="817"/>
      <c r="J849" s="817"/>
      <c r="K849" s="817"/>
      <c r="M849" s="817"/>
      <c r="N849" s="817"/>
      <c r="O849" s="817"/>
      <c r="P849" s="817"/>
      <c r="Q849" s="817"/>
      <c r="R849" s="817"/>
      <c r="S849" s="817"/>
      <c r="T849" s="817"/>
      <c r="U849" s="817"/>
      <c r="V849" s="817"/>
      <c r="W849" s="817"/>
      <c r="X849" s="817"/>
      <c r="Y849" s="817"/>
      <c r="Z849" s="817"/>
      <c r="AB849" s="817"/>
      <c r="AC849" s="817"/>
      <c r="AD849" s="817"/>
      <c r="AE849" s="817"/>
      <c r="AF849" s="817">
        <v>5</v>
      </c>
      <c r="AG849" s="817"/>
      <c r="AH849" s="817">
        <v>5</v>
      </c>
      <c r="AI849" s="817"/>
      <c r="AJ849" s="817"/>
      <c r="AL849" s="817"/>
      <c r="AM849" s="817"/>
      <c r="AN849" s="817"/>
      <c r="AO849" s="817"/>
      <c r="AP849" s="817"/>
      <c r="AQ849" s="817"/>
      <c r="AR849" s="817"/>
      <c r="AS849" s="817"/>
      <c r="AT849" s="817"/>
      <c r="AU849" s="817"/>
      <c r="AV849" s="817"/>
      <c r="AW849" s="817"/>
      <c r="AX849" s="817"/>
      <c r="AY849" s="817"/>
      <c r="AZ849" s="817"/>
      <c r="BA849" s="817">
        <v>5</v>
      </c>
      <c r="BC849" s="817"/>
      <c r="BD849" s="817"/>
      <c r="BE849" s="817"/>
      <c r="BF849" s="817"/>
      <c r="BG849" s="817"/>
      <c r="BH849" s="817"/>
      <c r="BI849" s="817"/>
      <c r="BJ849" s="817"/>
      <c r="BK849" s="817">
        <v>5</v>
      </c>
      <c r="BM849" s="817"/>
      <c r="BN849" s="817"/>
      <c r="BO849" s="817"/>
      <c r="BQ849" s="817"/>
      <c r="BR849" s="817"/>
      <c r="BS849" s="817"/>
      <c r="BT849" s="817"/>
      <c r="BU849" s="817"/>
    </row>
    <row r="850" spans="1:73" x14ac:dyDescent="0.35">
      <c r="A850" s="806" t="s">
        <v>728</v>
      </c>
      <c r="B850" s="806" t="s">
        <v>1169</v>
      </c>
      <c r="C850" s="817">
        <v>900</v>
      </c>
      <c r="D850" s="817">
        <v>900</v>
      </c>
      <c r="E850" s="817">
        <v>900</v>
      </c>
      <c r="F850" s="817">
        <v>900</v>
      </c>
      <c r="I850" s="817">
        <v>9999</v>
      </c>
      <c r="J850" s="817"/>
      <c r="K850" s="817"/>
      <c r="M850" s="817"/>
      <c r="N850" s="817">
        <v>750</v>
      </c>
      <c r="O850" s="817"/>
      <c r="P850" s="817"/>
      <c r="Q850" s="817"/>
      <c r="S850" s="817"/>
      <c r="T850" s="817"/>
      <c r="U850" s="817"/>
      <c r="V850" s="817"/>
      <c r="W850" s="817"/>
      <c r="X850" s="817"/>
      <c r="Z850" s="817"/>
      <c r="AC850" s="817"/>
      <c r="AD850" s="817"/>
      <c r="AE850" s="817"/>
      <c r="AF850" s="817">
        <v>9999</v>
      </c>
      <c r="AG850" s="817"/>
      <c r="AH850" s="817">
        <v>2000</v>
      </c>
      <c r="AI850" s="817"/>
      <c r="AJ850" s="817"/>
      <c r="AL850" s="817"/>
      <c r="AN850" s="817"/>
      <c r="AP850" s="817"/>
      <c r="AQ850" s="817"/>
      <c r="AR850" s="817"/>
      <c r="AS850" s="817"/>
      <c r="AT850" s="817"/>
      <c r="AU850" s="817"/>
      <c r="AV850" s="817"/>
      <c r="AW850" s="817"/>
      <c r="AX850" s="817"/>
      <c r="AY850" s="817"/>
      <c r="AZ850" s="817"/>
      <c r="BA850" s="817"/>
      <c r="BC850" s="817"/>
      <c r="BD850" s="817"/>
      <c r="BE850" s="817"/>
      <c r="BF850" s="817"/>
      <c r="BG850" s="817"/>
      <c r="BH850" s="817"/>
      <c r="BI850" s="817"/>
      <c r="BJ850" s="817"/>
      <c r="BK850" s="817">
        <v>100</v>
      </c>
      <c r="BM850" s="817"/>
      <c r="BN850" s="817"/>
      <c r="BO850" s="817"/>
      <c r="BQ850" s="817"/>
      <c r="BR850" s="817"/>
      <c r="BS850" s="817"/>
      <c r="BT850" s="817"/>
      <c r="BU850" s="817"/>
    </row>
    <row r="851" spans="1:73" x14ac:dyDescent="0.35">
      <c r="A851" s="806" t="s">
        <v>728</v>
      </c>
      <c r="B851" s="806" t="s">
        <v>1171</v>
      </c>
      <c r="C851" s="806"/>
      <c r="D851" s="806"/>
      <c r="E851" s="806"/>
      <c r="F851" s="806"/>
      <c r="I851" s="817">
        <v>3500</v>
      </c>
      <c r="J851" s="817"/>
      <c r="K851" s="817"/>
      <c r="M851" s="817"/>
      <c r="N851" s="817">
        <v>80</v>
      </c>
      <c r="O851" s="817"/>
      <c r="P851" s="817"/>
      <c r="Q851" s="817"/>
      <c r="S851" s="817"/>
      <c r="T851" s="817"/>
      <c r="U851" s="817"/>
      <c r="V851" s="817"/>
      <c r="W851" s="817"/>
      <c r="X851" s="817"/>
      <c r="Z851" s="817"/>
      <c r="AC851" s="817"/>
      <c r="AD851" s="817"/>
      <c r="AE851" s="817"/>
      <c r="AF851" s="817"/>
      <c r="AG851" s="817"/>
      <c r="AI851" s="817"/>
      <c r="AJ851" s="817"/>
      <c r="AL851" s="817"/>
      <c r="AN851" s="817"/>
      <c r="AP851" s="817"/>
      <c r="AQ851" s="817"/>
      <c r="AR851" s="817"/>
      <c r="AS851" s="817"/>
      <c r="AT851" s="817"/>
      <c r="AU851" s="817"/>
      <c r="AV851" s="817"/>
      <c r="AW851" s="817"/>
      <c r="AX851" s="817"/>
      <c r="AY851" s="817"/>
      <c r="AZ851" s="817"/>
      <c r="BA851" s="817"/>
      <c r="BC851" s="817"/>
      <c r="BD851" s="817"/>
      <c r="BE851" s="817"/>
      <c r="BF851" s="817"/>
      <c r="BG851" s="817"/>
      <c r="BH851" s="817"/>
      <c r="BI851" s="817"/>
      <c r="BJ851" s="817"/>
      <c r="BK851" s="817">
        <v>0</v>
      </c>
      <c r="BM851" s="817"/>
      <c r="BN851" s="817"/>
      <c r="BO851" s="817"/>
      <c r="BQ851" s="817"/>
      <c r="BR851" s="817"/>
      <c r="BS851" s="817"/>
      <c r="BT851" s="817"/>
      <c r="BU851" s="817"/>
    </row>
    <row r="852" spans="1:73" x14ac:dyDescent="0.35">
      <c r="A852" s="806" t="s">
        <v>728</v>
      </c>
      <c r="B852" s="806" t="s">
        <v>1631</v>
      </c>
      <c r="C852" s="816" t="s">
        <v>198</v>
      </c>
      <c r="D852" s="816" t="s">
        <v>198</v>
      </c>
      <c r="E852" s="816" t="s">
        <v>198</v>
      </c>
      <c r="F852" s="816" t="s">
        <v>198</v>
      </c>
      <c r="I852" s="816" t="s">
        <v>198</v>
      </c>
      <c r="K852" s="816"/>
      <c r="M852" s="816"/>
      <c r="N852" s="816" t="s">
        <v>198</v>
      </c>
      <c r="O852" s="816"/>
      <c r="P852" s="816"/>
      <c r="Q852" s="816"/>
      <c r="S852" s="816"/>
      <c r="T852" s="816"/>
      <c r="U852" s="816"/>
      <c r="V852" s="816"/>
      <c r="W852" s="816"/>
      <c r="X852" s="816"/>
      <c r="Z852" s="816"/>
      <c r="AC852" s="816" t="s">
        <v>198</v>
      </c>
      <c r="AD852" s="816"/>
      <c r="AE852" s="816"/>
      <c r="AF852" s="816" t="s">
        <v>198</v>
      </c>
      <c r="AG852" s="816"/>
      <c r="AH852" s="816" t="s">
        <v>198</v>
      </c>
      <c r="AI852" s="816"/>
      <c r="AJ852" s="816"/>
      <c r="AL852" s="816"/>
      <c r="AP852" s="816"/>
      <c r="AQ852" s="816"/>
      <c r="AR852" s="816"/>
      <c r="AS852" s="816"/>
      <c r="AT852" s="816"/>
      <c r="AU852" s="816"/>
      <c r="AV852" s="816"/>
      <c r="AX852" s="816"/>
      <c r="AY852" s="816"/>
      <c r="AZ852" s="816"/>
      <c r="BA852" s="816" t="s">
        <v>198</v>
      </c>
      <c r="BC852" s="816"/>
      <c r="BD852" s="816"/>
      <c r="BE852" s="816"/>
      <c r="BG852" s="816"/>
      <c r="BH852" s="816"/>
      <c r="BI852" s="816"/>
      <c r="BJ852" s="816"/>
      <c r="BK852" s="816" t="s">
        <v>198</v>
      </c>
      <c r="BM852" s="816"/>
      <c r="BN852" s="816"/>
      <c r="BO852" s="816"/>
      <c r="BQ852" s="816"/>
      <c r="BR852" s="816"/>
      <c r="BS852" s="816"/>
      <c r="BT852" s="816"/>
      <c r="BU852" s="816"/>
    </row>
    <row r="853" spans="1:73" ht="29" x14ac:dyDescent="0.35">
      <c r="A853" s="806" t="s">
        <v>728</v>
      </c>
      <c r="B853" s="806" t="s">
        <v>964</v>
      </c>
      <c r="C853" s="816"/>
      <c r="D853" s="816" t="s">
        <v>198</v>
      </c>
      <c r="E853" s="816"/>
      <c r="F853" s="816" t="s">
        <v>198</v>
      </c>
      <c r="I853" s="816"/>
      <c r="J853" s="816"/>
      <c r="K853" s="816"/>
      <c r="M853" s="816"/>
      <c r="N853" s="816" t="s">
        <v>198</v>
      </c>
      <c r="O853" s="816"/>
      <c r="P853" s="816"/>
      <c r="Q853" s="816"/>
      <c r="S853" s="816"/>
      <c r="T853" s="816"/>
      <c r="U853" s="816"/>
      <c r="V853" s="816"/>
      <c r="W853" s="816"/>
      <c r="X853" s="816"/>
      <c r="Z853" s="816"/>
      <c r="AC853" s="816" t="s">
        <v>198</v>
      </c>
      <c r="AD853" s="816"/>
      <c r="AE853" s="816"/>
      <c r="AF853" s="816"/>
      <c r="AG853" s="816"/>
      <c r="AH853" s="816"/>
      <c r="AI853" s="816"/>
      <c r="AJ853" s="816"/>
      <c r="AL853" s="816"/>
      <c r="AN853" s="816"/>
      <c r="AP853" s="816"/>
      <c r="AQ853" s="816"/>
      <c r="AR853" s="816"/>
      <c r="AS853" s="816"/>
      <c r="AT853" s="816"/>
      <c r="AU853" s="816"/>
      <c r="AV853" s="816"/>
      <c r="AW853" s="816"/>
      <c r="AX853" s="816"/>
      <c r="AY853" s="816"/>
      <c r="AZ853" s="816"/>
      <c r="BA853" s="816" t="s">
        <v>198</v>
      </c>
      <c r="BC853" s="816"/>
      <c r="BD853" s="816"/>
      <c r="BE853" s="816"/>
      <c r="BF853" s="816"/>
      <c r="BG853" s="816"/>
      <c r="BH853" s="816"/>
      <c r="BI853" s="816"/>
      <c r="BJ853" s="816"/>
      <c r="BK853" s="816"/>
      <c r="BM853" s="816"/>
      <c r="BN853" s="816"/>
      <c r="BO853" s="816"/>
      <c r="BQ853" s="816"/>
      <c r="BR853" s="816"/>
      <c r="BS853" s="816"/>
      <c r="BT853" s="816"/>
      <c r="BU853" s="816"/>
    </row>
    <row r="854" spans="1:73" ht="29" x14ac:dyDescent="0.35">
      <c r="A854" s="806" t="s">
        <v>728</v>
      </c>
      <c r="B854" s="806" t="s">
        <v>958</v>
      </c>
      <c r="C854" s="816" t="s">
        <v>198</v>
      </c>
      <c r="D854" s="816" t="s">
        <v>198</v>
      </c>
      <c r="E854" s="816" t="s">
        <v>198</v>
      </c>
      <c r="F854" s="816" t="s">
        <v>198</v>
      </c>
      <c r="I854" s="816" t="s">
        <v>198</v>
      </c>
      <c r="J854" s="816"/>
      <c r="K854" s="816"/>
      <c r="M854" s="816"/>
      <c r="N854" s="816" t="s">
        <v>198</v>
      </c>
      <c r="O854" s="816"/>
      <c r="P854" s="816"/>
      <c r="Q854" s="816"/>
      <c r="S854" s="816"/>
      <c r="T854" s="816"/>
      <c r="U854" s="816"/>
      <c r="V854" s="816"/>
      <c r="W854" s="816"/>
      <c r="X854" s="816"/>
      <c r="Z854" s="816"/>
      <c r="AC854" s="816" t="s">
        <v>198</v>
      </c>
      <c r="AD854" s="816"/>
      <c r="AE854" s="816"/>
      <c r="AF854" s="816" t="s">
        <v>198</v>
      </c>
      <c r="AG854" s="816"/>
      <c r="AH854" s="816" t="s">
        <v>198</v>
      </c>
      <c r="AI854" s="816"/>
      <c r="AJ854" s="816"/>
      <c r="AL854" s="816"/>
      <c r="AN854" s="816"/>
      <c r="AP854" s="816"/>
      <c r="AQ854" s="816"/>
      <c r="AR854" s="816"/>
      <c r="AS854" s="816"/>
      <c r="AT854" s="816"/>
      <c r="AU854" s="816"/>
      <c r="AV854" s="816"/>
      <c r="AW854" s="816"/>
      <c r="AX854" s="816"/>
      <c r="AY854" s="816"/>
      <c r="AZ854" s="816"/>
      <c r="BA854" s="816" t="s">
        <v>198</v>
      </c>
      <c r="BC854" s="816"/>
      <c r="BD854" s="816"/>
      <c r="BE854" s="816"/>
      <c r="BF854" s="816"/>
      <c r="BG854" s="816"/>
      <c r="BH854" s="816"/>
      <c r="BI854" s="816"/>
      <c r="BJ854" s="816"/>
      <c r="BK854" s="816" t="s">
        <v>198</v>
      </c>
      <c r="BM854" s="816"/>
      <c r="BN854" s="816"/>
      <c r="BO854" s="816"/>
      <c r="BQ854" s="816"/>
      <c r="BR854" s="816"/>
      <c r="BS854" s="816"/>
      <c r="BT854" s="816"/>
      <c r="BU854" s="816"/>
    </row>
    <row r="855" spans="1:73" ht="29" x14ac:dyDescent="0.35">
      <c r="A855" s="806" t="s">
        <v>728</v>
      </c>
      <c r="B855" s="806" t="s">
        <v>959</v>
      </c>
      <c r="C855" s="816" t="s">
        <v>198</v>
      </c>
      <c r="D855" s="816" t="s">
        <v>198</v>
      </c>
      <c r="E855" s="816" t="s">
        <v>198</v>
      </c>
      <c r="F855" s="816" t="s">
        <v>198</v>
      </c>
      <c r="I855" s="816" t="s">
        <v>198</v>
      </c>
      <c r="J855" s="816"/>
      <c r="K855" s="816"/>
      <c r="M855" s="816"/>
      <c r="N855" s="816" t="s">
        <v>198</v>
      </c>
      <c r="O855" s="816"/>
      <c r="P855" s="816"/>
      <c r="Q855" s="816"/>
      <c r="S855" s="816"/>
      <c r="T855" s="816"/>
      <c r="U855" s="816"/>
      <c r="V855" s="816"/>
      <c r="W855" s="816"/>
      <c r="X855" s="816"/>
      <c r="Z855" s="816"/>
      <c r="AC855" s="816" t="s">
        <v>198</v>
      </c>
      <c r="AD855" s="816"/>
      <c r="AE855" s="816"/>
      <c r="AF855" s="816" t="s">
        <v>198</v>
      </c>
      <c r="AG855" s="816"/>
      <c r="AH855" s="816" t="s">
        <v>198</v>
      </c>
      <c r="AI855" s="816"/>
      <c r="AJ855" s="816"/>
      <c r="AL855" s="816"/>
      <c r="AN855" s="816"/>
      <c r="AP855" s="816"/>
      <c r="AQ855" s="816"/>
      <c r="AR855" s="816"/>
      <c r="AS855" s="816"/>
      <c r="AT855" s="816"/>
      <c r="AU855" s="816"/>
      <c r="AV855" s="816"/>
      <c r="AW855" s="816"/>
      <c r="AX855" s="816"/>
      <c r="AY855" s="816"/>
      <c r="AZ855" s="816"/>
      <c r="BA855" s="816" t="s">
        <v>198</v>
      </c>
      <c r="BC855" s="816"/>
      <c r="BD855" s="816"/>
      <c r="BE855" s="816"/>
      <c r="BF855" s="816"/>
      <c r="BG855" s="816"/>
      <c r="BH855" s="816"/>
      <c r="BI855" s="816"/>
      <c r="BJ855" s="816"/>
      <c r="BK855" s="816" t="s">
        <v>198</v>
      </c>
      <c r="BM855" s="816"/>
      <c r="BN855" s="816"/>
      <c r="BO855" s="816"/>
      <c r="BQ855" s="816"/>
      <c r="BR855" s="816"/>
      <c r="BS855" s="816"/>
      <c r="BT855" s="816"/>
      <c r="BU855" s="816"/>
    </row>
    <row r="856" spans="1:73" ht="29" x14ac:dyDescent="0.35">
      <c r="A856" s="806" t="s">
        <v>728</v>
      </c>
      <c r="B856" s="806" t="s">
        <v>960</v>
      </c>
      <c r="C856" s="816" t="s">
        <v>198</v>
      </c>
      <c r="D856" s="816" t="s">
        <v>198</v>
      </c>
      <c r="E856" s="816" t="s">
        <v>198</v>
      </c>
      <c r="F856" s="816" t="s">
        <v>198</v>
      </c>
      <c r="I856" s="816" t="s">
        <v>198</v>
      </c>
      <c r="J856" s="816"/>
      <c r="K856" s="816"/>
      <c r="M856" s="816"/>
      <c r="N856" s="816" t="s">
        <v>198</v>
      </c>
      <c r="O856" s="816"/>
      <c r="P856" s="816"/>
      <c r="Q856" s="816"/>
      <c r="S856" s="816"/>
      <c r="T856" s="816"/>
      <c r="U856" s="816"/>
      <c r="V856" s="816"/>
      <c r="W856" s="816"/>
      <c r="X856" s="816"/>
      <c r="Z856" s="816"/>
      <c r="AC856" s="816" t="s">
        <v>198</v>
      </c>
      <c r="AD856" s="816"/>
      <c r="AE856" s="816"/>
      <c r="AF856" s="816" t="s">
        <v>198</v>
      </c>
      <c r="AG856" s="816"/>
      <c r="AH856" s="816" t="s">
        <v>198</v>
      </c>
      <c r="AI856" s="816"/>
      <c r="AJ856" s="816"/>
      <c r="AL856" s="816"/>
      <c r="AN856" s="816"/>
      <c r="AP856" s="816"/>
      <c r="AQ856" s="816"/>
      <c r="AR856" s="816"/>
      <c r="AS856" s="816"/>
      <c r="AT856" s="816"/>
      <c r="AU856" s="816"/>
      <c r="AV856" s="816"/>
      <c r="AW856" s="816"/>
      <c r="AX856" s="816"/>
      <c r="AY856" s="816"/>
      <c r="AZ856" s="816"/>
      <c r="BA856" s="816" t="s">
        <v>198</v>
      </c>
      <c r="BC856" s="816"/>
      <c r="BD856" s="816"/>
      <c r="BE856" s="816"/>
      <c r="BF856" s="816"/>
      <c r="BG856" s="816"/>
      <c r="BH856" s="816"/>
      <c r="BI856" s="816"/>
      <c r="BJ856" s="816"/>
      <c r="BK856" s="816" t="s">
        <v>198</v>
      </c>
      <c r="BM856" s="816"/>
      <c r="BN856" s="816"/>
      <c r="BO856" s="816"/>
      <c r="BQ856" s="816"/>
      <c r="BR856" s="816"/>
      <c r="BS856" s="816"/>
      <c r="BT856" s="816"/>
      <c r="BU856" s="816"/>
    </row>
    <row r="857" spans="1:73" ht="29" x14ac:dyDescent="0.35">
      <c r="A857" s="806" t="s">
        <v>728</v>
      </c>
      <c r="B857" s="806" t="s">
        <v>961</v>
      </c>
      <c r="C857" s="816" t="s">
        <v>198</v>
      </c>
      <c r="D857" s="816" t="s">
        <v>198</v>
      </c>
      <c r="E857" s="816" t="s">
        <v>198</v>
      </c>
      <c r="F857" s="816" t="s">
        <v>198</v>
      </c>
      <c r="I857" s="816" t="s">
        <v>198</v>
      </c>
      <c r="J857" s="816"/>
      <c r="K857" s="816"/>
      <c r="M857" s="816"/>
      <c r="N857" s="816" t="s">
        <v>198</v>
      </c>
      <c r="O857" s="816"/>
      <c r="P857" s="816"/>
      <c r="Q857" s="816"/>
      <c r="S857" s="816"/>
      <c r="T857" s="816"/>
      <c r="U857" s="816"/>
      <c r="V857" s="816"/>
      <c r="W857" s="816"/>
      <c r="X857" s="816"/>
      <c r="Z857" s="816"/>
      <c r="AC857" s="816" t="s">
        <v>198</v>
      </c>
      <c r="AD857" s="816"/>
      <c r="AE857" s="816"/>
      <c r="AF857" s="816" t="s">
        <v>198</v>
      </c>
      <c r="AG857" s="816"/>
      <c r="AH857" s="816" t="s">
        <v>198</v>
      </c>
      <c r="AI857" s="816"/>
      <c r="AJ857" s="816"/>
      <c r="AL857" s="816"/>
      <c r="AN857" s="816"/>
      <c r="AP857" s="816"/>
      <c r="AQ857" s="816"/>
      <c r="AR857" s="816"/>
      <c r="AS857" s="816"/>
      <c r="AT857" s="816"/>
      <c r="AU857" s="816"/>
      <c r="AV857" s="816"/>
      <c r="AW857" s="816"/>
      <c r="AX857" s="816"/>
      <c r="AY857" s="816"/>
      <c r="AZ857" s="816"/>
      <c r="BA857" s="816" t="s">
        <v>198</v>
      </c>
      <c r="BC857" s="816"/>
      <c r="BD857" s="816"/>
      <c r="BE857" s="816"/>
      <c r="BF857" s="816"/>
      <c r="BG857" s="816"/>
      <c r="BH857" s="816"/>
      <c r="BI857" s="816"/>
      <c r="BJ857" s="816"/>
      <c r="BK857" s="816" t="s">
        <v>198</v>
      </c>
      <c r="BM857" s="816"/>
      <c r="BN857" s="816"/>
      <c r="BO857" s="816"/>
      <c r="BQ857" s="816"/>
      <c r="BR857" s="816"/>
      <c r="BS857" s="816"/>
      <c r="BT857" s="816"/>
      <c r="BU857" s="816"/>
    </row>
    <row r="858" spans="1:73" ht="29" x14ac:dyDescent="0.35">
      <c r="A858" s="806" t="s">
        <v>728</v>
      </c>
      <c r="B858" s="806" t="s">
        <v>962</v>
      </c>
      <c r="C858" s="816" t="s">
        <v>198</v>
      </c>
      <c r="D858" s="816" t="s">
        <v>198</v>
      </c>
      <c r="E858" s="816" t="s">
        <v>198</v>
      </c>
      <c r="F858" s="816" t="s">
        <v>198</v>
      </c>
      <c r="I858" s="816" t="s">
        <v>198</v>
      </c>
      <c r="J858" s="816"/>
      <c r="K858" s="816"/>
      <c r="M858" s="816"/>
      <c r="N858" s="816" t="s">
        <v>198</v>
      </c>
      <c r="O858" s="816"/>
      <c r="P858" s="816"/>
      <c r="Q858" s="816"/>
      <c r="S858" s="816"/>
      <c r="T858" s="816"/>
      <c r="U858" s="816"/>
      <c r="V858" s="816"/>
      <c r="W858" s="816"/>
      <c r="X858" s="816"/>
      <c r="Z858" s="816"/>
      <c r="AC858" s="816" t="s">
        <v>198</v>
      </c>
      <c r="AD858" s="816"/>
      <c r="AE858" s="816"/>
      <c r="AF858" s="816" t="s">
        <v>198</v>
      </c>
      <c r="AG858" s="816"/>
      <c r="AH858" s="816" t="s">
        <v>198</v>
      </c>
      <c r="AI858" s="816"/>
      <c r="AJ858" s="816"/>
      <c r="AL858" s="816"/>
      <c r="AN858" s="816"/>
      <c r="AP858" s="816"/>
      <c r="AQ858" s="816"/>
      <c r="AR858" s="816"/>
      <c r="AS858" s="816"/>
      <c r="AT858" s="816"/>
      <c r="AU858" s="816"/>
      <c r="AV858" s="816"/>
      <c r="AW858" s="816"/>
      <c r="AX858" s="816"/>
      <c r="AY858" s="816"/>
      <c r="AZ858" s="816"/>
      <c r="BA858" s="816" t="s">
        <v>198</v>
      </c>
      <c r="BC858" s="816"/>
      <c r="BD858" s="816"/>
      <c r="BE858" s="816"/>
      <c r="BF858" s="816"/>
      <c r="BG858" s="816"/>
      <c r="BH858" s="816"/>
      <c r="BI858" s="816"/>
      <c r="BJ858" s="816"/>
      <c r="BK858" s="816" t="s">
        <v>198</v>
      </c>
      <c r="BM858" s="816"/>
      <c r="BN858" s="816"/>
      <c r="BO858" s="816"/>
      <c r="BQ858" s="816"/>
      <c r="BR858" s="816"/>
      <c r="BS858" s="816"/>
      <c r="BT858" s="816"/>
      <c r="BU858" s="816"/>
    </row>
    <row r="859" spans="1:73" x14ac:dyDescent="0.35">
      <c r="A859" s="806" t="s">
        <v>728</v>
      </c>
      <c r="B859" s="806" t="s">
        <v>963</v>
      </c>
      <c r="C859" s="816" t="s">
        <v>198</v>
      </c>
      <c r="D859" s="816" t="s">
        <v>198</v>
      </c>
      <c r="E859" s="816" t="s">
        <v>198</v>
      </c>
      <c r="F859" s="816" t="s">
        <v>198</v>
      </c>
      <c r="I859" s="816"/>
      <c r="J859" s="816"/>
      <c r="K859" s="816"/>
      <c r="M859" s="816"/>
      <c r="N859" s="816"/>
      <c r="O859" s="816"/>
      <c r="P859" s="816"/>
      <c r="Q859" s="816"/>
      <c r="S859" s="816"/>
      <c r="T859" s="816"/>
      <c r="U859" s="816"/>
      <c r="V859" s="816"/>
      <c r="W859" s="816"/>
      <c r="X859" s="816"/>
      <c r="Z859" s="816"/>
      <c r="AB859" s="816"/>
      <c r="AC859" s="816"/>
      <c r="AD859" s="816"/>
      <c r="AE859" s="816"/>
      <c r="AF859" s="816"/>
      <c r="AG859" s="816"/>
      <c r="AH859" s="816" t="s">
        <v>198</v>
      </c>
      <c r="AI859" s="816"/>
      <c r="AJ859" s="816"/>
      <c r="AL859" s="816"/>
      <c r="AN859" s="816"/>
      <c r="AP859" s="816"/>
      <c r="AQ859" s="816"/>
      <c r="AR859" s="816"/>
      <c r="AS859" s="816"/>
      <c r="AT859" s="816"/>
      <c r="AU859" s="816"/>
      <c r="AV859" s="816"/>
      <c r="AW859" s="816"/>
      <c r="AX859" s="816"/>
      <c r="AY859" s="816"/>
      <c r="AZ859" s="816"/>
      <c r="BA859" s="816" t="s">
        <v>198</v>
      </c>
      <c r="BC859" s="816"/>
      <c r="BD859" s="816"/>
      <c r="BE859" s="816"/>
      <c r="BF859" s="816"/>
      <c r="BG859" s="816"/>
      <c r="BH859" s="816"/>
      <c r="BI859" s="816"/>
      <c r="BJ859" s="816"/>
      <c r="BK859" s="816" t="s">
        <v>198</v>
      </c>
      <c r="BM859" s="816"/>
      <c r="BN859" s="816"/>
      <c r="BO859" s="816"/>
      <c r="BQ859" s="816"/>
      <c r="BR859" s="816"/>
      <c r="BS859" s="816"/>
      <c r="BT859" s="816"/>
      <c r="BU859" s="816"/>
    </row>
    <row r="860" spans="1:73" x14ac:dyDescent="0.35">
      <c r="A860" s="806" t="s">
        <v>850</v>
      </c>
      <c r="B860" s="806" t="s">
        <v>855</v>
      </c>
      <c r="C860" s="816" t="s">
        <v>198</v>
      </c>
      <c r="D860" s="816" t="s">
        <v>198</v>
      </c>
      <c r="E860" s="816" t="s">
        <v>198</v>
      </c>
      <c r="F860" s="816" t="s">
        <v>198</v>
      </c>
      <c r="G860" s="816" t="s">
        <v>198</v>
      </c>
      <c r="H860" s="816" t="s">
        <v>198</v>
      </c>
      <c r="I860" s="816" t="s">
        <v>198</v>
      </c>
      <c r="J860" s="816" t="s">
        <v>198</v>
      </c>
      <c r="K860" s="816" t="s">
        <v>198</v>
      </c>
      <c r="L860" s="816" t="s">
        <v>198</v>
      </c>
      <c r="M860" s="816"/>
      <c r="N860" s="816" t="s">
        <v>198</v>
      </c>
      <c r="O860" s="816" t="s">
        <v>198</v>
      </c>
      <c r="P860" s="816" t="s">
        <v>198</v>
      </c>
      <c r="Q860" s="816" t="s">
        <v>198</v>
      </c>
      <c r="R860" s="816" t="s">
        <v>198</v>
      </c>
      <c r="S860" s="816" t="s">
        <v>198</v>
      </c>
      <c r="T860" s="816" t="s">
        <v>198</v>
      </c>
      <c r="U860" s="816" t="s">
        <v>198</v>
      </c>
      <c r="V860" s="816" t="s">
        <v>198</v>
      </c>
      <c r="W860" s="816" t="s">
        <v>198</v>
      </c>
      <c r="X860" s="816" t="s">
        <v>198</v>
      </c>
      <c r="Y860" s="816" t="s">
        <v>198</v>
      </c>
      <c r="Z860" s="816" t="s">
        <v>198</v>
      </c>
      <c r="AA860" s="816" t="s">
        <v>198</v>
      </c>
      <c r="AC860" s="816"/>
      <c r="AD860" s="816" t="s">
        <v>198</v>
      </c>
      <c r="AE860" s="816" t="s">
        <v>198</v>
      </c>
      <c r="AF860" s="816" t="s">
        <v>198</v>
      </c>
      <c r="AG860" s="816" t="s">
        <v>198</v>
      </c>
      <c r="AH860" s="816" t="s">
        <v>198</v>
      </c>
      <c r="AI860" s="816" t="s">
        <v>198</v>
      </c>
      <c r="AJ860" s="816" t="s">
        <v>198</v>
      </c>
      <c r="AK860" s="816" t="s">
        <v>198</v>
      </c>
      <c r="AL860" s="816" t="s">
        <v>198</v>
      </c>
      <c r="AM860" s="816" t="s">
        <v>198</v>
      </c>
      <c r="AN860" s="816" t="s">
        <v>198</v>
      </c>
      <c r="AO860" s="816" t="s">
        <v>198</v>
      </c>
      <c r="AP860" s="816" t="s">
        <v>198</v>
      </c>
      <c r="AQ860" s="816" t="s">
        <v>198</v>
      </c>
      <c r="AR860" s="816" t="s">
        <v>198</v>
      </c>
      <c r="AS860" s="816"/>
      <c r="AT860" s="816" t="s">
        <v>198</v>
      </c>
      <c r="AU860" s="816" t="s">
        <v>198</v>
      </c>
      <c r="AV860" s="816" t="s">
        <v>198</v>
      </c>
      <c r="AW860" s="816" t="s">
        <v>198</v>
      </c>
      <c r="AX860" s="816" t="s">
        <v>198</v>
      </c>
      <c r="AY860" s="816" t="s">
        <v>198</v>
      </c>
      <c r="AZ860" s="816" t="s">
        <v>198</v>
      </c>
      <c r="BA860" s="816" t="s">
        <v>198</v>
      </c>
      <c r="BB860" s="816" t="s">
        <v>198</v>
      </c>
      <c r="BC860" s="816"/>
      <c r="BD860" s="816" t="s">
        <v>198</v>
      </c>
      <c r="BE860" s="816" t="s">
        <v>198</v>
      </c>
      <c r="BF860" s="816" t="s">
        <v>198</v>
      </c>
      <c r="BG860" s="816"/>
      <c r="BH860" s="816" t="s">
        <v>198</v>
      </c>
      <c r="BI860" s="816" t="s">
        <v>198</v>
      </c>
      <c r="BJ860" s="816" t="s">
        <v>198</v>
      </c>
      <c r="BK860" s="816" t="s">
        <v>198</v>
      </c>
      <c r="BM860" s="816" t="s">
        <v>198</v>
      </c>
      <c r="BN860" s="816" t="s">
        <v>198</v>
      </c>
      <c r="BO860" s="816" t="s">
        <v>198</v>
      </c>
      <c r="BP860" s="816" t="s">
        <v>198</v>
      </c>
      <c r="BQ860" s="816" t="s">
        <v>198</v>
      </c>
      <c r="BR860" s="816" t="s">
        <v>198</v>
      </c>
      <c r="BS860" s="816" t="s">
        <v>198</v>
      </c>
      <c r="BT860" s="816" t="s">
        <v>198</v>
      </c>
      <c r="BU860" s="816" t="s">
        <v>198</v>
      </c>
    </row>
    <row r="861" spans="1:73" x14ac:dyDescent="0.35">
      <c r="A861" s="806" t="s">
        <v>683</v>
      </c>
      <c r="B861" s="806" t="s">
        <v>684</v>
      </c>
      <c r="C861" s="816" t="b">
        <v>0</v>
      </c>
      <c r="D861" s="816" t="b">
        <v>0</v>
      </c>
      <c r="E861" s="816" t="b">
        <v>0</v>
      </c>
      <c r="F861" s="816" t="b">
        <v>0</v>
      </c>
      <c r="G861" s="816" t="b">
        <v>0</v>
      </c>
      <c r="H861" s="816" t="b">
        <v>0</v>
      </c>
      <c r="I861" s="816" t="b">
        <v>1</v>
      </c>
      <c r="J861" s="816" t="b">
        <v>0</v>
      </c>
      <c r="K861" s="816" t="b">
        <v>0</v>
      </c>
      <c r="L861" s="816" t="b">
        <v>0</v>
      </c>
      <c r="M861" s="816" t="b">
        <v>0</v>
      </c>
      <c r="N861" s="816" t="b">
        <v>0</v>
      </c>
      <c r="O861" s="816" t="b">
        <v>0</v>
      </c>
      <c r="P861" s="816" t="b">
        <v>0</v>
      </c>
      <c r="Q861" s="816" t="b">
        <v>0</v>
      </c>
      <c r="R861" s="816" t="b">
        <v>0</v>
      </c>
      <c r="S861" s="816" t="b">
        <v>0</v>
      </c>
      <c r="T861" s="816" t="b">
        <v>0</v>
      </c>
      <c r="U861" s="816" t="b">
        <v>0</v>
      </c>
      <c r="V861" s="816" t="b">
        <v>0</v>
      </c>
      <c r="W861" s="816" t="b">
        <v>0</v>
      </c>
      <c r="X861" s="816" t="b">
        <v>0</v>
      </c>
      <c r="Y861" s="816" t="b">
        <v>0</v>
      </c>
      <c r="Z861" s="816" t="b">
        <v>0</v>
      </c>
      <c r="AA861" s="816" t="b">
        <v>1</v>
      </c>
      <c r="AB861" s="816" t="b">
        <v>0</v>
      </c>
      <c r="AC861" s="816" t="b">
        <v>0</v>
      </c>
      <c r="AD861" s="816" t="b">
        <v>0</v>
      </c>
      <c r="AE861" s="816" t="b">
        <v>0</v>
      </c>
      <c r="AF861" s="816" t="b">
        <v>0</v>
      </c>
      <c r="AG861" s="816" t="b">
        <v>0</v>
      </c>
      <c r="AH861" s="816" t="b">
        <v>0</v>
      </c>
      <c r="AI861" s="816" t="b">
        <v>0</v>
      </c>
      <c r="AJ861" s="816" t="b">
        <v>0</v>
      </c>
      <c r="AK861" s="816" t="b">
        <v>0</v>
      </c>
      <c r="AL861" s="816" t="b">
        <v>0</v>
      </c>
      <c r="AM861" s="816" t="b">
        <v>0</v>
      </c>
      <c r="AN861" s="816" t="b">
        <v>0</v>
      </c>
      <c r="AO861" s="816" t="b">
        <v>0</v>
      </c>
      <c r="AP861" s="816" t="b">
        <v>0</v>
      </c>
      <c r="AQ861" s="816" t="b">
        <v>0</v>
      </c>
      <c r="AR861" s="816" t="b">
        <v>0</v>
      </c>
      <c r="AS861" s="816" t="b">
        <v>0</v>
      </c>
      <c r="AT861" s="816" t="b">
        <v>0</v>
      </c>
      <c r="AU861" s="816" t="b">
        <v>0</v>
      </c>
      <c r="AV861" s="816" t="b">
        <v>1</v>
      </c>
      <c r="AW861" s="816" t="b">
        <v>0</v>
      </c>
      <c r="AX861" s="816" t="b">
        <v>0</v>
      </c>
      <c r="AY861" s="816" t="b">
        <v>0</v>
      </c>
      <c r="AZ861" s="816" t="b">
        <v>0</v>
      </c>
      <c r="BA861" s="816" t="b">
        <v>0</v>
      </c>
      <c r="BB861" s="816" t="b">
        <v>0</v>
      </c>
      <c r="BC861" s="816" t="b">
        <v>1</v>
      </c>
      <c r="BD861" s="816" t="b">
        <v>0</v>
      </c>
      <c r="BE861" s="816" t="b">
        <v>0</v>
      </c>
      <c r="BF861" s="816" t="b">
        <v>0</v>
      </c>
      <c r="BG861" s="816" t="b">
        <v>0</v>
      </c>
      <c r="BH861" s="816" t="b">
        <v>0</v>
      </c>
      <c r="BI861" s="816" t="b">
        <v>0</v>
      </c>
      <c r="BJ861" s="816" t="b">
        <v>0</v>
      </c>
      <c r="BK861" s="816" t="b">
        <v>0</v>
      </c>
      <c r="BL861" s="816" t="b">
        <v>1</v>
      </c>
      <c r="BM861" s="816" t="b">
        <v>0</v>
      </c>
      <c r="BN861" s="816" t="b">
        <v>1</v>
      </c>
      <c r="BO861" s="816" t="b">
        <v>1</v>
      </c>
      <c r="BP861" s="816" t="b">
        <v>0</v>
      </c>
      <c r="BQ861" s="816" t="b">
        <v>0</v>
      </c>
      <c r="BR861" s="816" t="b">
        <v>0</v>
      </c>
      <c r="BS861" s="816" t="b">
        <v>0</v>
      </c>
      <c r="BT861" s="816" t="b">
        <v>0</v>
      </c>
      <c r="BU861" s="816" t="b">
        <v>0</v>
      </c>
    </row>
    <row r="862" spans="1:73" x14ac:dyDescent="0.35">
      <c r="A862" s="806" t="s">
        <v>850</v>
      </c>
      <c r="B862" s="806" t="s">
        <v>1398</v>
      </c>
      <c r="C862" s="806"/>
      <c r="D862" s="806"/>
      <c r="E862" s="806"/>
      <c r="F862" s="806"/>
      <c r="H862" s="816" t="s">
        <v>198</v>
      </c>
      <c r="I862" s="816"/>
      <c r="J862" s="816"/>
      <c r="K862" s="816"/>
      <c r="M862" s="816"/>
      <c r="N862" s="816"/>
      <c r="O862" s="816" t="s">
        <v>198</v>
      </c>
      <c r="P862" s="816" t="s">
        <v>198</v>
      </c>
      <c r="Q862" s="816"/>
      <c r="R862" s="816" t="s">
        <v>198</v>
      </c>
      <c r="S862" s="816" t="s">
        <v>198</v>
      </c>
      <c r="T862" s="816" t="s">
        <v>198</v>
      </c>
      <c r="U862" s="816"/>
      <c r="V862" s="816" t="s">
        <v>198</v>
      </c>
      <c r="W862" s="816" t="s">
        <v>198</v>
      </c>
      <c r="X862" s="816" t="s">
        <v>198</v>
      </c>
      <c r="Y862" s="816" t="s">
        <v>198</v>
      </c>
      <c r="Z862" s="816"/>
      <c r="AC862" s="816"/>
      <c r="AD862" s="816"/>
      <c r="AE862" s="816"/>
      <c r="AF862" s="816"/>
      <c r="AG862" s="816" t="s">
        <v>198</v>
      </c>
      <c r="AI862" s="816" t="s">
        <v>198</v>
      </c>
      <c r="AJ862" s="816"/>
      <c r="AK862" s="816" t="s">
        <v>198</v>
      </c>
      <c r="AL862" s="816" t="s">
        <v>198</v>
      </c>
      <c r="AM862" s="816" t="s">
        <v>198</v>
      </c>
      <c r="AN862" s="816"/>
      <c r="AO862" s="816" t="s">
        <v>198</v>
      </c>
      <c r="AP862" s="816" t="s">
        <v>198</v>
      </c>
      <c r="AQ862" s="816"/>
      <c r="AR862" s="816" t="s">
        <v>503</v>
      </c>
      <c r="AS862" s="816"/>
      <c r="AT862" s="816" t="s">
        <v>198</v>
      </c>
      <c r="AU862" s="816" t="s">
        <v>198</v>
      </c>
      <c r="AV862" s="816" t="s">
        <v>198</v>
      </c>
      <c r="AW862" s="816"/>
      <c r="AX862" s="816"/>
      <c r="AY862" s="816" t="s">
        <v>198</v>
      </c>
      <c r="AZ862" s="816" t="s">
        <v>198</v>
      </c>
      <c r="BA862" s="816"/>
      <c r="BB862" s="816" t="s">
        <v>198</v>
      </c>
      <c r="BC862" s="816"/>
      <c r="BD862" s="816"/>
      <c r="BE862" s="816" t="s">
        <v>198</v>
      </c>
      <c r="BF862" s="816"/>
      <c r="BG862" s="816" t="s">
        <v>198</v>
      </c>
      <c r="BH862" s="816" t="s">
        <v>198</v>
      </c>
      <c r="BI862" s="816"/>
      <c r="BJ862" s="816"/>
      <c r="BM862" s="816" t="s">
        <v>198</v>
      </c>
      <c r="BN862" s="816"/>
      <c r="BO862" s="816" t="s">
        <v>198</v>
      </c>
      <c r="BP862" s="816" t="s">
        <v>198</v>
      </c>
      <c r="BQ862" s="816"/>
      <c r="BR862" s="816"/>
      <c r="BS862" s="816" t="s">
        <v>198</v>
      </c>
      <c r="BT862" s="816" t="s">
        <v>198</v>
      </c>
      <c r="BU862" s="816"/>
    </row>
    <row r="863" spans="1:73" x14ac:dyDescent="0.35">
      <c r="A863" s="806" t="s">
        <v>1386</v>
      </c>
      <c r="B863" s="806" t="s">
        <v>1397</v>
      </c>
      <c r="C863" s="806"/>
      <c r="D863" s="806"/>
      <c r="E863" s="806"/>
      <c r="F863" s="806"/>
      <c r="I863" s="816"/>
      <c r="J863" s="816"/>
      <c r="K863" s="816"/>
      <c r="M863" s="816"/>
      <c r="N863" s="816"/>
      <c r="O863" s="816"/>
      <c r="P863" s="816"/>
      <c r="Q863" s="816"/>
      <c r="R863" s="816"/>
      <c r="S863" s="816"/>
      <c r="T863" s="816"/>
      <c r="U863" s="816"/>
      <c r="V863" s="816"/>
      <c r="W863" s="816"/>
      <c r="X863" s="816"/>
      <c r="Y863" s="816"/>
      <c r="Z863" s="816"/>
      <c r="AC863" s="816"/>
      <c r="AD863" s="816"/>
      <c r="AE863" s="816"/>
      <c r="AF863" s="816"/>
      <c r="AG863" s="816"/>
      <c r="AI863" s="816"/>
      <c r="AJ863" s="816"/>
      <c r="AL863" s="816"/>
      <c r="AM863" s="816"/>
      <c r="AN863" s="816"/>
      <c r="AO863" s="816"/>
      <c r="AP863" s="816"/>
      <c r="AQ863" s="816"/>
      <c r="AR863" s="816"/>
      <c r="AS863" s="816"/>
      <c r="AT863" s="816"/>
      <c r="AU863" s="816"/>
      <c r="AV863" s="816"/>
      <c r="AW863" s="816"/>
      <c r="AX863" s="816"/>
      <c r="AY863" s="816"/>
      <c r="AZ863" s="816"/>
      <c r="BA863" s="816"/>
      <c r="BC863" s="816"/>
      <c r="BD863" s="816"/>
      <c r="BE863" s="816"/>
      <c r="BF863" s="816"/>
      <c r="BG863" s="816" t="s">
        <v>198</v>
      </c>
      <c r="BH863" s="816"/>
      <c r="BI863" s="816"/>
      <c r="BJ863" s="816"/>
      <c r="BM863" s="816"/>
      <c r="BN863" s="816"/>
      <c r="BO863" s="816"/>
      <c r="BQ863" s="816"/>
      <c r="BR863" s="816"/>
      <c r="BS863" s="816"/>
      <c r="BT863" s="816"/>
      <c r="BU863" s="816"/>
    </row>
    <row r="864" spans="1:73" x14ac:dyDescent="0.35">
      <c r="A864" s="806" t="s">
        <v>850</v>
      </c>
      <c r="B864" s="806" t="s">
        <v>1400</v>
      </c>
      <c r="C864" s="806"/>
      <c r="D864" s="806"/>
      <c r="E864" s="806"/>
      <c r="F864" s="806"/>
      <c r="H864" s="816" t="s">
        <v>198</v>
      </c>
      <c r="I864" s="816"/>
      <c r="J864" s="816"/>
      <c r="K864" s="816"/>
      <c r="M864" s="816"/>
      <c r="N864" s="816"/>
      <c r="O864" s="816" t="s">
        <v>198</v>
      </c>
      <c r="P864" s="816" t="s">
        <v>198</v>
      </c>
      <c r="Q864" s="816"/>
      <c r="R864" s="816" t="s">
        <v>198</v>
      </c>
      <c r="S864" s="816" t="s">
        <v>198</v>
      </c>
      <c r="T864" s="816" t="s">
        <v>198</v>
      </c>
      <c r="U864" s="816"/>
      <c r="V864" s="816" t="s">
        <v>198</v>
      </c>
      <c r="W864" s="816" t="s">
        <v>198</v>
      </c>
      <c r="X864" s="816" t="s">
        <v>198</v>
      </c>
      <c r="Y864" s="816" t="s">
        <v>198</v>
      </c>
      <c r="Z864" s="816"/>
      <c r="AC864" s="816"/>
      <c r="AD864" s="816"/>
      <c r="AE864" s="816"/>
      <c r="AF864" s="816"/>
      <c r="AG864" s="816" t="s">
        <v>198</v>
      </c>
      <c r="AI864" s="816" t="s">
        <v>198</v>
      </c>
      <c r="AJ864" s="816"/>
      <c r="AK864" s="816" t="s">
        <v>198</v>
      </c>
      <c r="AL864" s="816" t="s">
        <v>198</v>
      </c>
      <c r="AM864" s="816" t="s">
        <v>198</v>
      </c>
      <c r="AN864" s="816"/>
      <c r="AO864" s="816" t="s">
        <v>198</v>
      </c>
      <c r="AP864" s="816" t="s">
        <v>198</v>
      </c>
      <c r="AQ864" s="816"/>
      <c r="AR864" s="816" t="s">
        <v>198</v>
      </c>
      <c r="AS864" s="816"/>
      <c r="AT864" s="816" t="s">
        <v>198</v>
      </c>
      <c r="AU864" s="816" t="s">
        <v>198</v>
      </c>
      <c r="AV864" s="816" t="s">
        <v>198</v>
      </c>
      <c r="AW864" s="816"/>
      <c r="AX864" s="816"/>
      <c r="AY864" s="816" t="s">
        <v>198</v>
      </c>
      <c r="AZ864" s="816" t="s">
        <v>198</v>
      </c>
      <c r="BA864" s="816"/>
      <c r="BB864" s="816" t="s">
        <v>198</v>
      </c>
      <c r="BC864" s="816"/>
      <c r="BD864" s="816"/>
      <c r="BE864" s="816" t="s">
        <v>198</v>
      </c>
      <c r="BF864" s="816"/>
      <c r="BG864" s="816" t="s">
        <v>198</v>
      </c>
      <c r="BH864" s="816" t="s">
        <v>198</v>
      </c>
      <c r="BI864" s="816"/>
      <c r="BJ864" s="816"/>
      <c r="BM864" s="816" t="s">
        <v>198</v>
      </c>
      <c r="BN864" s="816"/>
      <c r="BO864" s="816" t="s">
        <v>198</v>
      </c>
      <c r="BP864" s="816" t="s">
        <v>198</v>
      </c>
      <c r="BQ864" s="816"/>
      <c r="BR864" s="816"/>
      <c r="BS864" s="816" t="s">
        <v>198</v>
      </c>
      <c r="BT864" s="816" t="s">
        <v>198</v>
      </c>
      <c r="BU864" s="816"/>
    </row>
    <row r="865" spans="1:73" x14ac:dyDescent="0.35">
      <c r="A865" s="806" t="s">
        <v>1386</v>
      </c>
      <c r="B865" s="806" t="s">
        <v>1399</v>
      </c>
      <c r="C865" s="806"/>
      <c r="D865" s="806"/>
      <c r="E865" s="806"/>
      <c r="F865" s="806"/>
      <c r="I865" s="816"/>
      <c r="J865" s="816"/>
      <c r="K865" s="816"/>
      <c r="M865" s="816"/>
      <c r="N865" s="816"/>
      <c r="O865" s="816"/>
      <c r="P865" s="816"/>
      <c r="Q865" s="816"/>
      <c r="R865" s="816"/>
      <c r="S865" s="816"/>
      <c r="T865" s="816"/>
      <c r="U865" s="816"/>
      <c r="V865" s="816"/>
      <c r="W865" s="816"/>
      <c r="X865" s="816"/>
      <c r="Y865" s="816"/>
      <c r="Z865" s="816"/>
      <c r="AC865" s="816"/>
      <c r="AD865" s="816"/>
      <c r="AE865" s="816"/>
      <c r="AF865" s="816"/>
      <c r="AG865" s="816"/>
      <c r="AI865" s="816"/>
      <c r="AJ865" s="816"/>
      <c r="AL865" s="816"/>
      <c r="AM865" s="816"/>
      <c r="AN865" s="816"/>
      <c r="AO865" s="816"/>
      <c r="AP865" s="816"/>
      <c r="AQ865" s="816"/>
      <c r="AR865" s="816"/>
      <c r="AS865" s="816"/>
      <c r="AT865" s="816"/>
      <c r="AU865" s="816"/>
      <c r="AV865" s="816"/>
      <c r="AW865" s="816"/>
      <c r="AX865" s="816"/>
      <c r="AY865" s="816"/>
      <c r="AZ865" s="816"/>
      <c r="BA865" s="816"/>
      <c r="BC865" s="816"/>
      <c r="BD865" s="816"/>
      <c r="BE865" s="816"/>
      <c r="BF865" s="816"/>
      <c r="BG865" s="816" t="s">
        <v>198</v>
      </c>
      <c r="BH865" s="816"/>
      <c r="BI865" s="816"/>
      <c r="BJ865" s="816"/>
      <c r="BM865" s="816"/>
      <c r="BN865" s="816"/>
      <c r="BO865" s="816"/>
      <c r="BQ865" s="816"/>
      <c r="BR865" s="816"/>
      <c r="BS865" s="816"/>
      <c r="BT865" s="816"/>
      <c r="BU865" s="816"/>
    </row>
    <row r="866" spans="1:73" x14ac:dyDescent="0.35">
      <c r="A866" s="806" t="s">
        <v>850</v>
      </c>
      <c r="B866" s="806" t="s">
        <v>1402</v>
      </c>
      <c r="C866" s="806"/>
      <c r="D866" s="806"/>
      <c r="E866" s="806"/>
      <c r="F866" s="806"/>
      <c r="H866" s="816" t="s">
        <v>503</v>
      </c>
      <c r="I866" s="816"/>
      <c r="J866" s="816"/>
      <c r="K866" s="816"/>
      <c r="M866" s="816"/>
      <c r="N866" s="816"/>
      <c r="O866" s="816" t="s">
        <v>503</v>
      </c>
      <c r="P866" s="816" t="s">
        <v>503</v>
      </c>
      <c r="Q866" s="816"/>
      <c r="R866" s="816" t="s">
        <v>503</v>
      </c>
      <c r="S866" s="816" t="s">
        <v>503</v>
      </c>
      <c r="T866" s="816" t="s">
        <v>503</v>
      </c>
      <c r="U866" s="816"/>
      <c r="V866" s="816" t="s">
        <v>503</v>
      </c>
      <c r="W866" s="816" t="s">
        <v>503</v>
      </c>
      <c r="X866" s="816" t="s">
        <v>503</v>
      </c>
      <c r="Y866" s="816" t="s">
        <v>503</v>
      </c>
      <c r="Z866" s="816"/>
      <c r="AC866" s="816"/>
      <c r="AD866" s="816"/>
      <c r="AE866" s="816"/>
      <c r="AF866" s="816"/>
      <c r="AG866" s="816" t="s">
        <v>503</v>
      </c>
      <c r="AI866" s="816" t="s">
        <v>503</v>
      </c>
      <c r="AJ866" s="816"/>
      <c r="AK866" s="816" t="s">
        <v>503</v>
      </c>
      <c r="AL866" s="816" t="s">
        <v>503</v>
      </c>
      <c r="AM866" s="816"/>
      <c r="AN866" s="816"/>
      <c r="AO866" s="816" t="s">
        <v>198</v>
      </c>
      <c r="AP866" s="816" t="s">
        <v>503</v>
      </c>
      <c r="AQ866" s="816"/>
      <c r="AR866" s="816" t="s">
        <v>503</v>
      </c>
      <c r="AS866" s="816"/>
      <c r="AT866" s="816"/>
      <c r="AU866" s="816"/>
      <c r="AV866" s="816" t="s">
        <v>503</v>
      </c>
      <c r="AW866" s="816"/>
      <c r="AX866" s="816"/>
      <c r="AY866" s="816" t="s">
        <v>503</v>
      </c>
      <c r="AZ866" s="816" t="s">
        <v>503</v>
      </c>
      <c r="BA866" s="816"/>
      <c r="BB866" s="816" t="s">
        <v>198</v>
      </c>
      <c r="BC866" s="816"/>
      <c r="BD866" s="816"/>
      <c r="BE866" s="816" t="s">
        <v>198</v>
      </c>
      <c r="BF866" s="816"/>
      <c r="BG866" s="816" t="s">
        <v>503</v>
      </c>
      <c r="BH866" s="816" t="s">
        <v>503</v>
      </c>
      <c r="BI866" s="816"/>
      <c r="BJ866" s="816"/>
      <c r="BM866" s="816" t="s">
        <v>503</v>
      </c>
      <c r="BN866" s="816"/>
      <c r="BO866" s="816" t="s">
        <v>503</v>
      </c>
      <c r="BP866" s="816" t="s">
        <v>503</v>
      </c>
      <c r="BQ866" s="816"/>
      <c r="BR866" s="816"/>
      <c r="BS866" s="816" t="s">
        <v>503</v>
      </c>
      <c r="BT866" s="816" t="s">
        <v>503</v>
      </c>
      <c r="BU866" s="816"/>
    </row>
    <row r="867" spans="1:73" x14ac:dyDescent="0.35">
      <c r="A867" s="806" t="s">
        <v>1386</v>
      </c>
      <c r="B867" s="806" t="s">
        <v>1401</v>
      </c>
      <c r="C867" s="806"/>
      <c r="D867" s="806"/>
      <c r="E867" s="806"/>
      <c r="F867" s="806"/>
      <c r="I867" s="816"/>
      <c r="J867" s="816"/>
      <c r="K867" s="816"/>
      <c r="M867" s="816"/>
      <c r="N867" s="816"/>
      <c r="O867" s="816"/>
      <c r="P867" s="816"/>
      <c r="Q867" s="816"/>
      <c r="R867" s="816"/>
      <c r="S867" s="816"/>
      <c r="T867" s="816"/>
      <c r="U867" s="816"/>
      <c r="V867" s="816"/>
      <c r="W867" s="816"/>
      <c r="X867" s="816"/>
      <c r="Y867" s="816"/>
      <c r="Z867" s="816"/>
      <c r="AC867" s="816"/>
      <c r="AD867" s="816"/>
      <c r="AE867" s="816"/>
      <c r="AF867" s="816"/>
      <c r="AG867" s="816"/>
      <c r="AI867" s="816"/>
      <c r="AJ867" s="816"/>
      <c r="AL867" s="816"/>
      <c r="AM867" s="816"/>
      <c r="AN867" s="816"/>
      <c r="AO867" s="816"/>
      <c r="AP867" s="816"/>
      <c r="AQ867" s="816"/>
      <c r="AR867" s="816"/>
      <c r="AS867" s="816"/>
      <c r="AT867" s="816"/>
      <c r="AU867" s="816"/>
      <c r="AV867" s="816"/>
      <c r="AW867" s="816"/>
      <c r="AX867" s="816"/>
      <c r="AY867" s="816"/>
      <c r="AZ867" s="816"/>
      <c r="BA867" s="816"/>
      <c r="BC867" s="816"/>
      <c r="BD867" s="816"/>
      <c r="BE867" s="816"/>
      <c r="BF867" s="816"/>
      <c r="BG867" s="816" t="s">
        <v>503</v>
      </c>
      <c r="BH867" s="816"/>
      <c r="BI867" s="816"/>
      <c r="BJ867" s="816"/>
      <c r="BM867" s="816"/>
      <c r="BN867" s="816"/>
      <c r="BO867" s="816"/>
      <c r="BQ867" s="816"/>
      <c r="BR867" s="816"/>
      <c r="BS867" s="816"/>
      <c r="BT867" s="816"/>
      <c r="BU867" s="816"/>
    </row>
    <row r="868" spans="1:73" x14ac:dyDescent="0.35">
      <c r="A868" s="806" t="s">
        <v>850</v>
      </c>
      <c r="B868" s="806" t="s">
        <v>1943</v>
      </c>
      <c r="C868" s="816" t="s">
        <v>198</v>
      </c>
      <c r="D868" s="816" t="s">
        <v>198</v>
      </c>
      <c r="E868" s="816" t="s">
        <v>198</v>
      </c>
      <c r="F868" s="816" t="s">
        <v>198</v>
      </c>
      <c r="G868" s="816" t="s">
        <v>198</v>
      </c>
      <c r="I868" s="816" t="s">
        <v>198</v>
      </c>
      <c r="J868" s="816" t="s">
        <v>198</v>
      </c>
      <c r="K868" s="816" t="s">
        <v>198</v>
      </c>
      <c r="L868" s="816" t="s">
        <v>198</v>
      </c>
      <c r="N868" s="816" t="s">
        <v>198</v>
      </c>
      <c r="Q868" s="816" t="s">
        <v>198</v>
      </c>
      <c r="U868" s="816" t="s">
        <v>198</v>
      </c>
      <c r="Z868" s="816" t="s">
        <v>198</v>
      </c>
      <c r="AA868" s="816" t="s">
        <v>198</v>
      </c>
      <c r="AD868" s="816" t="s">
        <v>198</v>
      </c>
      <c r="AE868" s="816" t="s">
        <v>198</v>
      </c>
      <c r="AF868" s="816" t="s">
        <v>198</v>
      </c>
      <c r="AH868" s="816" t="s">
        <v>198</v>
      </c>
      <c r="AJ868" s="816" t="s">
        <v>198</v>
      </c>
      <c r="AN868" s="816" t="s">
        <v>198</v>
      </c>
      <c r="AQ868" s="816" t="s">
        <v>198</v>
      </c>
      <c r="AW868" s="816" t="s">
        <v>198</v>
      </c>
      <c r="AX868" s="816" t="s">
        <v>198</v>
      </c>
      <c r="BA868" s="816" t="s">
        <v>198</v>
      </c>
      <c r="BD868" s="816" t="s">
        <v>198</v>
      </c>
      <c r="BF868" s="816" t="s">
        <v>198</v>
      </c>
      <c r="BI868" s="816" t="s">
        <v>198</v>
      </c>
      <c r="BJ868" s="816" t="s">
        <v>198</v>
      </c>
      <c r="BK868" s="816" t="s">
        <v>198</v>
      </c>
      <c r="BL868" s="816" t="s">
        <v>198</v>
      </c>
      <c r="BN868" s="816" t="s">
        <v>198</v>
      </c>
      <c r="BP868" s="816" t="s">
        <v>198</v>
      </c>
      <c r="BQ868" s="816" t="s">
        <v>198</v>
      </c>
      <c r="BR868" s="816" t="s">
        <v>198</v>
      </c>
      <c r="BU868" s="816" t="s">
        <v>198</v>
      </c>
    </row>
    <row r="869" spans="1:73" x14ac:dyDescent="0.35">
      <c r="A869" s="806" t="s">
        <v>1386</v>
      </c>
      <c r="B869" s="806" t="s">
        <v>3795</v>
      </c>
      <c r="C869" s="806"/>
      <c r="D869" s="806"/>
      <c r="E869" s="806"/>
      <c r="F869" s="806"/>
      <c r="AH869" s="816" t="s">
        <v>198</v>
      </c>
      <c r="BK869" s="816" t="s">
        <v>198</v>
      </c>
      <c r="BL869" s="816" t="s">
        <v>198</v>
      </c>
      <c r="BU869" s="816" t="s">
        <v>198</v>
      </c>
    </row>
    <row r="870" spans="1:73" x14ac:dyDescent="0.35">
      <c r="A870" s="806" t="s">
        <v>850</v>
      </c>
      <c r="B870" s="806" t="s">
        <v>1944</v>
      </c>
      <c r="C870" s="816" t="s">
        <v>198</v>
      </c>
      <c r="D870" s="816" t="s">
        <v>198</v>
      </c>
      <c r="E870" s="816" t="s">
        <v>198</v>
      </c>
      <c r="F870" s="816" t="s">
        <v>198</v>
      </c>
      <c r="G870" s="816" t="s">
        <v>198</v>
      </c>
      <c r="I870" s="816" t="s">
        <v>198</v>
      </c>
      <c r="J870" s="816" t="s">
        <v>198</v>
      </c>
      <c r="K870" s="816" t="s">
        <v>198</v>
      </c>
      <c r="L870" s="816" t="s">
        <v>198</v>
      </c>
      <c r="N870" s="816" t="s">
        <v>198</v>
      </c>
      <c r="Q870" s="816" t="s">
        <v>198</v>
      </c>
      <c r="U870" s="816" t="s">
        <v>198</v>
      </c>
      <c r="Z870" s="816" t="s">
        <v>198</v>
      </c>
      <c r="AA870" s="816" t="s">
        <v>198</v>
      </c>
      <c r="AD870" s="816" t="s">
        <v>198</v>
      </c>
      <c r="AE870" s="816" t="s">
        <v>198</v>
      </c>
      <c r="AF870" s="816" t="s">
        <v>198</v>
      </c>
      <c r="AH870" s="816" t="s">
        <v>198</v>
      </c>
      <c r="AJ870" s="816" t="s">
        <v>198</v>
      </c>
      <c r="AN870" s="816" t="s">
        <v>198</v>
      </c>
      <c r="AQ870" s="816" t="s">
        <v>198</v>
      </c>
      <c r="AW870" s="816" t="s">
        <v>198</v>
      </c>
      <c r="AX870" s="816" t="s">
        <v>198</v>
      </c>
      <c r="BA870" s="816" t="s">
        <v>198</v>
      </c>
      <c r="BD870" s="816" t="s">
        <v>198</v>
      </c>
      <c r="BF870" s="816" t="s">
        <v>198</v>
      </c>
      <c r="BI870" s="816" t="s">
        <v>198</v>
      </c>
      <c r="BJ870" s="816" t="s">
        <v>198</v>
      </c>
      <c r="BK870" s="816" t="s">
        <v>198</v>
      </c>
      <c r="BL870" s="816" t="s">
        <v>198</v>
      </c>
      <c r="BN870" s="816" t="s">
        <v>198</v>
      </c>
      <c r="BP870" s="816" t="s">
        <v>198</v>
      </c>
      <c r="BQ870" s="816" t="s">
        <v>198</v>
      </c>
      <c r="BR870" s="816" t="s">
        <v>198</v>
      </c>
      <c r="BU870" s="816" t="s">
        <v>198</v>
      </c>
    </row>
    <row r="871" spans="1:73" x14ac:dyDescent="0.35">
      <c r="A871" s="806" t="s">
        <v>1386</v>
      </c>
      <c r="B871" s="806" t="s">
        <v>3796</v>
      </c>
      <c r="C871" s="806"/>
      <c r="D871" s="806"/>
      <c r="E871" s="806"/>
      <c r="F871" s="806"/>
      <c r="AH871" s="816" t="s">
        <v>198</v>
      </c>
      <c r="BK871" s="816" t="s">
        <v>198</v>
      </c>
      <c r="BL871" s="816" t="s">
        <v>198</v>
      </c>
      <c r="BU871" s="816" t="s">
        <v>198</v>
      </c>
    </row>
    <row r="872" spans="1:73" x14ac:dyDescent="0.35">
      <c r="A872" s="806" t="s">
        <v>850</v>
      </c>
      <c r="B872" s="806" t="s">
        <v>1945</v>
      </c>
      <c r="C872" s="816" t="s">
        <v>198</v>
      </c>
      <c r="D872" s="816" t="s">
        <v>198</v>
      </c>
      <c r="E872" s="816" t="s">
        <v>198</v>
      </c>
      <c r="F872" s="816" t="s">
        <v>198</v>
      </c>
      <c r="G872" s="816" t="s">
        <v>198</v>
      </c>
      <c r="I872" s="816" t="s">
        <v>198</v>
      </c>
      <c r="J872" s="816" t="s">
        <v>198</v>
      </c>
      <c r="K872" s="816" t="s">
        <v>198</v>
      </c>
      <c r="L872" s="816" t="s">
        <v>198</v>
      </c>
      <c r="N872" s="816" t="s">
        <v>198</v>
      </c>
      <c r="Q872" s="816" t="s">
        <v>198</v>
      </c>
      <c r="U872" s="816" t="s">
        <v>198</v>
      </c>
      <c r="Z872" s="816" t="s">
        <v>198</v>
      </c>
      <c r="AA872" s="816" t="s">
        <v>198</v>
      </c>
      <c r="AD872" s="816" t="s">
        <v>198</v>
      </c>
      <c r="AE872" s="816" t="s">
        <v>198</v>
      </c>
      <c r="AF872" s="816" t="s">
        <v>198</v>
      </c>
      <c r="AH872" s="816" t="s">
        <v>198</v>
      </c>
      <c r="AJ872" s="816" t="s">
        <v>198</v>
      </c>
      <c r="AN872" s="816" t="s">
        <v>198</v>
      </c>
      <c r="AQ872" s="816" t="s">
        <v>198</v>
      </c>
      <c r="AW872" s="816" t="s">
        <v>198</v>
      </c>
      <c r="AX872" s="816" t="s">
        <v>198</v>
      </c>
      <c r="BA872" s="816" t="s">
        <v>198</v>
      </c>
      <c r="BD872" s="816" t="s">
        <v>198</v>
      </c>
      <c r="BF872" s="816" t="s">
        <v>198</v>
      </c>
      <c r="BI872" s="816" t="s">
        <v>198</v>
      </c>
      <c r="BJ872" s="816" t="s">
        <v>198</v>
      </c>
      <c r="BK872" s="816" t="s">
        <v>198</v>
      </c>
      <c r="BL872" s="816" t="s">
        <v>198</v>
      </c>
      <c r="BN872" s="816" t="s">
        <v>198</v>
      </c>
      <c r="BP872" s="816" t="s">
        <v>198</v>
      </c>
      <c r="BQ872" s="816" t="s">
        <v>198</v>
      </c>
      <c r="BR872" s="816" t="s">
        <v>198</v>
      </c>
      <c r="BU872" s="816" t="s">
        <v>198</v>
      </c>
    </row>
    <row r="873" spans="1:73" x14ac:dyDescent="0.35">
      <c r="A873" s="806" t="s">
        <v>1386</v>
      </c>
      <c r="B873" s="806" t="s">
        <v>3797</v>
      </c>
      <c r="C873" s="806"/>
      <c r="D873" s="806"/>
      <c r="E873" s="806"/>
      <c r="F873" s="806"/>
      <c r="AH873" s="816" t="s">
        <v>198</v>
      </c>
      <c r="BK873" s="816" t="s">
        <v>198</v>
      </c>
      <c r="BL873" s="816" t="s">
        <v>198</v>
      </c>
      <c r="BU873" s="816" t="s">
        <v>198</v>
      </c>
    </row>
    <row r="874" spans="1:73" x14ac:dyDescent="0.35">
      <c r="A874" s="806" t="s">
        <v>850</v>
      </c>
      <c r="B874" s="806" t="s">
        <v>1946</v>
      </c>
      <c r="C874" s="816" t="s">
        <v>198</v>
      </c>
      <c r="D874" s="816" t="s">
        <v>198</v>
      </c>
      <c r="E874" s="816" t="s">
        <v>198</v>
      </c>
      <c r="F874" s="816" t="s">
        <v>198</v>
      </c>
      <c r="G874" s="816" t="s">
        <v>198</v>
      </c>
      <c r="I874" s="816" t="s">
        <v>198</v>
      </c>
      <c r="J874" s="816" t="s">
        <v>198</v>
      </c>
      <c r="K874" s="816" t="s">
        <v>198</v>
      </c>
      <c r="L874" s="816" t="s">
        <v>198</v>
      </c>
      <c r="N874" s="816" t="s">
        <v>198</v>
      </c>
      <c r="Q874" s="816" t="s">
        <v>198</v>
      </c>
      <c r="U874" s="816" t="s">
        <v>198</v>
      </c>
      <c r="Z874" s="816" t="s">
        <v>198</v>
      </c>
      <c r="AA874" s="816" t="s">
        <v>198</v>
      </c>
      <c r="AD874" s="816" t="s">
        <v>198</v>
      </c>
      <c r="AE874" s="816" t="s">
        <v>198</v>
      </c>
      <c r="AF874" s="816" t="s">
        <v>198</v>
      </c>
      <c r="AH874" s="816" t="s">
        <v>198</v>
      </c>
      <c r="AJ874" s="816" t="s">
        <v>198</v>
      </c>
      <c r="AN874" s="816" t="s">
        <v>198</v>
      </c>
      <c r="AQ874" s="816" t="s">
        <v>198</v>
      </c>
      <c r="AW874" s="816" t="s">
        <v>198</v>
      </c>
      <c r="AX874" s="816" t="s">
        <v>198</v>
      </c>
      <c r="BA874" s="816" t="s">
        <v>198</v>
      </c>
      <c r="BD874" s="816" t="s">
        <v>198</v>
      </c>
      <c r="BF874" s="816" t="s">
        <v>198</v>
      </c>
      <c r="BI874" s="816" t="s">
        <v>198</v>
      </c>
      <c r="BJ874" s="816" t="s">
        <v>198</v>
      </c>
      <c r="BK874" s="816" t="s">
        <v>198</v>
      </c>
      <c r="BL874" s="816" t="s">
        <v>198</v>
      </c>
      <c r="BN874" s="816" t="s">
        <v>198</v>
      </c>
      <c r="BP874" s="816" t="s">
        <v>198</v>
      </c>
      <c r="BQ874" s="816" t="s">
        <v>198</v>
      </c>
      <c r="BR874" s="816" t="s">
        <v>198</v>
      </c>
      <c r="BU874" s="816" t="s">
        <v>198</v>
      </c>
    </row>
    <row r="875" spans="1:73" x14ac:dyDescent="0.35">
      <c r="A875" s="806" t="s">
        <v>1386</v>
      </c>
      <c r="B875" s="806" t="s">
        <v>3798</v>
      </c>
      <c r="C875" s="806"/>
      <c r="D875" s="806"/>
      <c r="E875" s="806"/>
      <c r="F875" s="806"/>
      <c r="AH875" s="816" t="s">
        <v>198</v>
      </c>
      <c r="BK875" s="816" t="s">
        <v>198</v>
      </c>
      <c r="BL875" s="816" t="s">
        <v>198</v>
      </c>
      <c r="BU875" s="816" t="s">
        <v>198</v>
      </c>
    </row>
    <row r="876" spans="1:73" x14ac:dyDescent="0.35">
      <c r="A876" s="806" t="s">
        <v>850</v>
      </c>
      <c r="B876" s="806" t="s">
        <v>1951</v>
      </c>
      <c r="C876" s="816" t="s">
        <v>198</v>
      </c>
      <c r="D876" s="816" t="s">
        <v>198</v>
      </c>
      <c r="E876" s="816" t="s">
        <v>198</v>
      </c>
      <c r="F876" s="816" t="s">
        <v>198</v>
      </c>
      <c r="G876" s="816" t="s">
        <v>198</v>
      </c>
      <c r="I876" s="816" t="s">
        <v>503</v>
      </c>
      <c r="J876" s="816" t="s">
        <v>503</v>
      </c>
      <c r="K876" s="816" t="s">
        <v>503</v>
      </c>
      <c r="L876" s="816" t="s">
        <v>503</v>
      </c>
      <c r="N876" s="816" t="s">
        <v>503</v>
      </c>
      <c r="Q876" s="816" t="s">
        <v>503</v>
      </c>
      <c r="U876" s="816" t="s">
        <v>503</v>
      </c>
      <c r="Z876" s="816" t="s">
        <v>503</v>
      </c>
      <c r="AA876" s="816" t="s">
        <v>503</v>
      </c>
      <c r="AD876" s="816" t="s">
        <v>198</v>
      </c>
      <c r="AE876" s="816" t="s">
        <v>198</v>
      </c>
      <c r="AF876" s="816" t="s">
        <v>198</v>
      </c>
      <c r="AH876" s="816" t="s">
        <v>198</v>
      </c>
      <c r="AJ876" s="816" t="s">
        <v>198</v>
      </c>
      <c r="AN876" s="816" t="s">
        <v>198</v>
      </c>
      <c r="AQ876" s="816" t="s">
        <v>503</v>
      </c>
      <c r="AW876" s="816" t="s">
        <v>198</v>
      </c>
      <c r="AX876" s="816" t="s">
        <v>198</v>
      </c>
      <c r="BA876" s="816" t="s">
        <v>198</v>
      </c>
      <c r="BD876" s="816" t="s">
        <v>503</v>
      </c>
      <c r="BF876" s="816" t="s">
        <v>503</v>
      </c>
      <c r="BI876" s="816" t="s">
        <v>198</v>
      </c>
      <c r="BJ876" s="816" t="s">
        <v>503</v>
      </c>
      <c r="BK876" s="816" t="s">
        <v>198</v>
      </c>
      <c r="BL876" s="816" t="s">
        <v>503</v>
      </c>
      <c r="BQ876" s="816" t="s">
        <v>503</v>
      </c>
      <c r="BR876" s="816" t="s">
        <v>198</v>
      </c>
      <c r="BU876" s="816" t="s">
        <v>198</v>
      </c>
    </row>
    <row r="877" spans="1:73" x14ac:dyDescent="0.35">
      <c r="A877" s="806" t="s">
        <v>1386</v>
      </c>
      <c r="B877" s="806" t="s">
        <v>3799</v>
      </c>
      <c r="C877" s="806"/>
      <c r="D877" s="806"/>
      <c r="E877" s="806"/>
      <c r="F877" s="806"/>
      <c r="AH877" s="816" t="s">
        <v>198</v>
      </c>
      <c r="BK877" s="816" t="s">
        <v>503</v>
      </c>
      <c r="BL877" s="816" t="s">
        <v>503</v>
      </c>
      <c r="BU877" s="816" t="s">
        <v>198</v>
      </c>
    </row>
    <row r="878" spans="1:73" x14ac:dyDescent="0.35">
      <c r="A878" s="806" t="s">
        <v>850</v>
      </c>
      <c r="B878" s="806" t="s">
        <v>1948</v>
      </c>
      <c r="C878" s="816" t="s">
        <v>198</v>
      </c>
      <c r="D878" s="816" t="s">
        <v>198</v>
      </c>
      <c r="E878" s="816" t="s">
        <v>198</v>
      </c>
      <c r="F878" s="816" t="s">
        <v>198</v>
      </c>
      <c r="G878" s="816" t="s">
        <v>198</v>
      </c>
      <c r="I878" s="816" t="s">
        <v>198</v>
      </c>
      <c r="J878" s="816" t="s">
        <v>198</v>
      </c>
      <c r="K878" s="816" t="s">
        <v>198</v>
      </c>
      <c r="L878" s="816" t="s">
        <v>198</v>
      </c>
      <c r="N878" s="816" t="s">
        <v>198</v>
      </c>
      <c r="Q878" s="816" t="s">
        <v>198</v>
      </c>
      <c r="Z878" s="816" t="s">
        <v>198</v>
      </c>
      <c r="AA878" s="816" t="s">
        <v>198</v>
      </c>
      <c r="AD878" s="816" t="s">
        <v>198</v>
      </c>
      <c r="AE878" s="816" t="s">
        <v>198</v>
      </c>
      <c r="AF878" s="816" t="s">
        <v>198</v>
      </c>
      <c r="AH878" s="816" t="s">
        <v>198</v>
      </c>
      <c r="AJ878" s="816" t="s">
        <v>198</v>
      </c>
      <c r="AN878" s="816" t="s">
        <v>198</v>
      </c>
      <c r="AQ878" s="816" t="s">
        <v>198</v>
      </c>
      <c r="AW878" s="816" t="s">
        <v>198</v>
      </c>
      <c r="AX878" s="816" t="s">
        <v>198</v>
      </c>
      <c r="BA878" s="816" t="s">
        <v>198</v>
      </c>
      <c r="BD878" s="816" t="s">
        <v>198</v>
      </c>
      <c r="BF878" s="816" t="s">
        <v>198</v>
      </c>
      <c r="BI878" s="816" t="s">
        <v>198</v>
      </c>
      <c r="BJ878" s="816" t="s">
        <v>198</v>
      </c>
      <c r="BK878" s="816" t="s">
        <v>198</v>
      </c>
      <c r="BL878" s="816" t="s">
        <v>198</v>
      </c>
      <c r="BN878" s="816" t="s">
        <v>198</v>
      </c>
      <c r="BP878" s="816" t="s">
        <v>198</v>
      </c>
      <c r="BQ878" s="816" t="s">
        <v>198</v>
      </c>
      <c r="BR878" s="816" t="s">
        <v>198</v>
      </c>
      <c r="BU878" s="816" t="s">
        <v>198</v>
      </c>
    </row>
    <row r="879" spans="1:73" x14ac:dyDescent="0.35">
      <c r="A879" s="806" t="s">
        <v>1386</v>
      </c>
      <c r="B879" s="806" t="s">
        <v>3801</v>
      </c>
      <c r="C879" s="806"/>
      <c r="D879" s="806"/>
      <c r="E879" s="806"/>
      <c r="F879" s="806"/>
      <c r="AH879" s="816" t="s">
        <v>198</v>
      </c>
      <c r="BK879" s="816" t="s">
        <v>198</v>
      </c>
      <c r="BL879" s="816" t="s">
        <v>198</v>
      </c>
      <c r="BU879" s="816" t="s">
        <v>198</v>
      </c>
    </row>
    <row r="880" spans="1:73" x14ac:dyDescent="0.35">
      <c r="A880" s="806" t="s">
        <v>850</v>
      </c>
      <c r="B880" s="806" t="s">
        <v>1942</v>
      </c>
      <c r="C880" s="816" t="s">
        <v>198</v>
      </c>
      <c r="D880" s="816" t="s">
        <v>198</v>
      </c>
      <c r="E880" s="816" t="s">
        <v>198</v>
      </c>
      <c r="F880" s="816" t="s">
        <v>198</v>
      </c>
      <c r="G880" s="816" t="s">
        <v>198</v>
      </c>
      <c r="I880" s="816" t="s">
        <v>198</v>
      </c>
      <c r="J880" s="816" t="s">
        <v>198</v>
      </c>
      <c r="K880" s="816" t="s">
        <v>198</v>
      </c>
      <c r="L880" s="816" t="s">
        <v>198</v>
      </c>
      <c r="N880" s="816" t="s">
        <v>198</v>
      </c>
      <c r="Q880" s="816" t="s">
        <v>198</v>
      </c>
      <c r="U880" s="816" t="s">
        <v>198</v>
      </c>
      <c r="Z880" s="816" t="s">
        <v>198</v>
      </c>
      <c r="AA880" s="816" t="s">
        <v>198</v>
      </c>
      <c r="AB880" s="816"/>
      <c r="AD880" s="816" t="s">
        <v>198</v>
      </c>
      <c r="AE880" s="816" t="s">
        <v>198</v>
      </c>
      <c r="AF880" s="816" t="s">
        <v>198</v>
      </c>
      <c r="AH880" s="816" t="s">
        <v>198</v>
      </c>
      <c r="AJ880" s="816" t="s">
        <v>198</v>
      </c>
      <c r="AN880" s="816" t="s">
        <v>198</v>
      </c>
      <c r="AQ880" s="816" t="s">
        <v>198</v>
      </c>
      <c r="AW880" s="816" t="s">
        <v>198</v>
      </c>
      <c r="AX880" s="816" t="s">
        <v>198</v>
      </c>
      <c r="BA880" s="816" t="s">
        <v>198</v>
      </c>
      <c r="BD880" s="816" t="s">
        <v>198</v>
      </c>
      <c r="BF880" s="816" t="s">
        <v>198</v>
      </c>
      <c r="BI880" s="816" t="s">
        <v>198</v>
      </c>
      <c r="BJ880" s="816" t="s">
        <v>198</v>
      </c>
      <c r="BK880" s="816" t="s">
        <v>198</v>
      </c>
      <c r="BL880" s="816" t="s">
        <v>198</v>
      </c>
      <c r="BN880" s="816" t="s">
        <v>198</v>
      </c>
      <c r="BP880" s="816" t="s">
        <v>198</v>
      </c>
      <c r="BQ880" s="816" t="s">
        <v>198</v>
      </c>
      <c r="BR880" s="816" t="s">
        <v>198</v>
      </c>
      <c r="BU880" s="816" t="s">
        <v>198</v>
      </c>
    </row>
    <row r="881" spans="1:73" x14ac:dyDescent="0.35">
      <c r="A881" s="806" t="s">
        <v>1386</v>
      </c>
      <c r="B881" s="806" t="s">
        <v>3794</v>
      </c>
      <c r="C881" s="806"/>
      <c r="D881" s="806"/>
      <c r="E881" s="806"/>
      <c r="F881" s="806"/>
      <c r="AH881" s="816" t="s">
        <v>198</v>
      </c>
      <c r="BK881" s="816" t="s">
        <v>198</v>
      </c>
      <c r="BL881" s="816" t="s">
        <v>198</v>
      </c>
      <c r="BU881" s="816" t="s">
        <v>198</v>
      </c>
    </row>
    <row r="882" spans="1:73" x14ac:dyDescent="0.35">
      <c r="A882" s="806" t="s">
        <v>850</v>
      </c>
      <c r="B882" s="806" t="s">
        <v>1949</v>
      </c>
      <c r="C882" s="816" t="s">
        <v>198</v>
      </c>
      <c r="D882" s="816" t="s">
        <v>198</v>
      </c>
      <c r="E882" s="816" t="s">
        <v>198</v>
      </c>
      <c r="F882" s="816" t="s">
        <v>198</v>
      </c>
      <c r="G882" s="816" t="s">
        <v>198</v>
      </c>
      <c r="I882" s="816" t="s">
        <v>198</v>
      </c>
      <c r="J882" s="816" t="s">
        <v>198</v>
      </c>
      <c r="K882" s="816" t="s">
        <v>198</v>
      </c>
      <c r="L882" s="816" t="s">
        <v>198</v>
      </c>
      <c r="N882" s="816" t="s">
        <v>198</v>
      </c>
      <c r="Q882" s="816" t="s">
        <v>198</v>
      </c>
      <c r="Z882" s="816" t="s">
        <v>198</v>
      </c>
      <c r="AA882" s="816" t="s">
        <v>198</v>
      </c>
      <c r="AD882" s="816" t="s">
        <v>198</v>
      </c>
      <c r="AE882" s="816" t="s">
        <v>198</v>
      </c>
      <c r="AF882" s="816" t="s">
        <v>198</v>
      </c>
      <c r="AH882" s="816" t="s">
        <v>198</v>
      </c>
      <c r="AJ882" s="816" t="s">
        <v>198</v>
      </c>
      <c r="AN882" s="816" t="s">
        <v>198</v>
      </c>
      <c r="AQ882" s="816" t="s">
        <v>198</v>
      </c>
      <c r="AW882" s="816" t="s">
        <v>198</v>
      </c>
      <c r="AX882" s="816" t="s">
        <v>198</v>
      </c>
      <c r="BA882" s="816" t="s">
        <v>198</v>
      </c>
      <c r="BD882" s="816" t="s">
        <v>198</v>
      </c>
      <c r="BF882" s="816" t="s">
        <v>198</v>
      </c>
      <c r="BI882" s="816" t="s">
        <v>198</v>
      </c>
      <c r="BJ882" s="816" t="s">
        <v>198</v>
      </c>
      <c r="BK882" s="816" t="s">
        <v>198</v>
      </c>
      <c r="BL882" s="816" t="s">
        <v>198</v>
      </c>
      <c r="BN882" s="816" t="s">
        <v>198</v>
      </c>
      <c r="BP882" s="816" t="s">
        <v>198</v>
      </c>
      <c r="BQ882" s="816" t="s">
        <v>198</v>
      </c>
      <c r="BR882" s="816" t="s">
        <v>198</v>
      </c>
      <c r="BU882" s="816" t="s">
        <v>198</v>
      </c>
    </row>
    <row r="883" spans="1:73" x14ac:dyDescent="0.35">
      <c r="A883" s="806" t="s">
        <v>1386</v>
      </c>
      <c r="B883" s="806" t="s">
        <v>3802</v>
      </c>
      <c r="C883" s="806"/>
      <c r="D883" s="806"/>
      <c r="E883" s="806"/>
      <c r="F883" s="806"/>
      <c r="AH883" s="816" t="s">
        <v>198</v>
      </c>
      <c r="BK883" s="816" t="s">
        <v>198</v>
      </c>
      <c r="BL883" s="816" t="s">
        <v>198</v>
      </c>
      <c r="BU883" s="816" t="s">
        <v>198</v>
      </c>
    </row>
    <row r="884" spans="1:73" x14ac:dyDescent="0.35">
      <c r="A884" s="806" t="s">
        <v>850</v>
      </c>
      <c r="B884" s="806" t="s">
        <v>1950</v>
      </c>
      <c r="C884" s="816" t="s">
        <v>198</v>
      </c>
      <c r="D884" s="816" t="s">
        <v>198</v>
      </c>
      <c r="E884" s="816" t="s">
        <v>198</v>
      </c>
      <c r="F884" s="816" t="s">
        <v>198</v>
      </c>
      <c r="G884" s="816" t="s">
        <v>198</v>
      </c>
      <c r="I884" s="816" t="s">
        <v>198</v>
      </c>
      <c r="J884" s="816" t="s">
        <v>198</v>
      </c>
      <c r="K884" s="816" t="s">
        <v>198</v>
      </c>
      <c r="L884" s="816" t="s">
        <v>198</v>
      </c>
      <c r="N884" s="816" t="s">
        <v>198</v>
      </c>
      <c r="Q884" s="816" t="s">
        <v>198</v>
      </c>
      <c r="U884" s="816" t="s">
        <v>198</v>
      </c>
      <c r="Z884" s="816" t="s">
        <v>198</v>
      </c>
      <c r="AA884" s="816" t="s">
        <v>198</v>
      </c>
      <c r="AD884" s="816" t="s">
        <v>198</v>
      </c>
      <c r="AE884" s="816" t="s">
        <v>198</v>
      </c>
      <c r="AF884" s="816" t="s">
        <v>198</v>
      </c>
      <c r="AH884" s="816" t="s">
        <v>198</v>
      </c>
      <c r="AJ884" s="816" t="s">
        <v>198</v>
      </c>
      <c r="AN884" s="816" t="s">
        <v>198</v>
      </c>
      <c r="AQ884" s="816" t="s">
        <v>198</v>
      </c>
      <c r="AW884" s="816" t="s">
        <v>198</v>
      </c>
      <c r="AX884" s="816" t="s">
        <v>198</v>
      </c>
      <c r="BA884" s="816" t="s">
        <v>198</v>
      </c>
      <c r="BD884" s="816" t="s">
        <v>198</v>
      </c>
      <c r="BF884" s="816" t="s">
        <v>198</v>
      </c>
      <c r="BI884" s="816" t="s">
        <v>198</v>
      </c>
      <c r="BJ884" s="816" t="s">
        <v>198</v>
      </c>
      <c r="BK884" s="816" t="s">
        <v>198</v>
      </c>
      <c r="BN884" s="816" t="s">
        <v>198</v>
      </c>
      <c r="BP884" s="816" t="s">
        <v>198</v>
      </c>
      <c r="BQ884" s="816" t="s">
        <v>198</v>
      </c>
      <c r="BR884" s="816" t="s">
        <v>198</v>
      </c>
      <c r="BU884" s="816" t="s">
        <v>198</v>
      </c>
    </row>
    <row r="885" spans="1:73" x14ac:dyDescent="0.35">
      <c r="A885" s="806" t="s">
        <v>1386</v>
      </c>
      <c r="B885" s="806" t="s">
        <v>3803</v>
      </c>
      <c r="C885" s="806"/>
      <c r="D885" s="806"/>
      <c r="E885" s="806"/>
      <c r="F885" s="806"/>
      <c r="AH885" s="816" t="s">
        <v>198</v>
      </c>
      <c r="BK885" s="816" t="s">
        <v>198</v>
      </c>
      <c r="BL885" s="816" t="s">
        <v>198</v>
      </c>
      <c r="BU885" s="816" t="s">
        <v>198</v>
      </c>
    </row>
    <row r="886" spans="1:73" x14ac:dyDescent="0.35">
      <c r="A886" s="806" t="s">
        <v>850</v>
      </c>
      <c r="B886" s="806" t="s">
        <v>1952</v>
      </c>
      <c r="C886" s="806"/>
      <c r="D886" s="816"/>
      <c r="E886" s="806"/>
      <c r="F886" s="806"/>
      <c r="G886" s="816" t="s">
        <v>503</v>
      </c>
      <c r="I886" s="816" t="s">
        <v>503</v>
      </c>
      <c r="J886" s="816" t="s">
        <v>503</v>
      </c>
      <c r="K886" s="816" t="s">
        <v>503</v>
      </c>
      <c r="L886" s="816" t="s">
        <v>503</v>
      </c>
      <c r="N886" s="816" t="s">
        <v>503</v>
      </c>
      <c r="Q886" s="816" t="s">
        <v>503</v>
      </c>
      <c r="U886" s="816" t="s">
        <v>503</v>
      </c>
      <c r="Z886" s="816" t="s">
        <v>198</v>
      </c>
      <c r="AA886" s="816" t="s">
        <v>503</v>
      </c>
      <c r="AD886" s="816" t="s">
        <v>198</v>
      </c>
      <c r="AE886" s="816" t="s">
        <v>198</v>
      </c>
      <c r="AF886" s="816" t="s">
        <v>198</v>
      </c>
      <c r="AH886" s="816" t="s">
        <v>198</v>
      </c>
      <c r="AJ886" s="816" t="s">
        <v>503</v>
      </c>
      <c r="AN886" s="816" t="s">
        <v>503</v>
      </c>
      <c r="AQ886" s="816" t="s">
        <v>503</v>
      </c>
      <c r="AW886" s="816" t="s">
        <v>503</v>
      </c>
      <c r="AX886" s="816" t="s">
        <v>198</v>
      </c>
      <c r="BA886" s="816" t="s">
        <v>198</v>
      </c>
      <c r="BD886" s="816" t="s">
        <v>503</v>
      </c>
      <c r="BF886" s="816" t="s">
        <v>503</v>
      </c>
      <c r="BI886" s="816" t="s">
        <v>503</v>
      </c>
      <c r="BJ886" s="816" t="s">
        <v>198</v>
      </c>
      <c r="BK886" s="816" t="s">
        <v>503</v>
      </c>
      <c r="BL886" s="816" t="s">
        <v>503</v>
      </c>
      <c r="BQ886" s="816" t="s">
        <v>503</v>
      </c>
      <c r="BR886" s="816" t="s">
        <v>503</v>
      </c>
      <c r="BU886" s="816" t="s">
        <v>198</v>
      </c>
    </row>
    <row r="887" spans="1:73" x14ac:dyDescent="0.35">
      <c r="A887" s="806" t="s">
        <v>1386</v>
      </c>
      <c r="B887" s="806" t="s">
        <v>3804</v>
      </c>
      <c r="C887" s="806"/>
      <c r="D887" s="806"/>
      <c r="E887" s="806"/>
      <c r="F887" s="806"/>
      <c r="AH887" s="816" t="s">
        <v>198</v>
      </c>
      <c r="BK887" s="816" t="s">
        <v>503</v>
      </c>
      <c r="BL887" s="816" t="s">
        <v>503</v>
      </c>
      <c r="BU887" s="816" t="s">
        <v>198</v>
      </c>
    </row>
    <row r="888" spans="1:73" x14ac:dyDescent="0.35">
      <c r="A888" s="806" t="s">
        <v>850</v>
      </c>
      <c r="B888" s="806" t="s">
        <v>1947</v>
      </c>
      <c r="C888" s="816" t="s">
        <v>198</v>
      </c>
      <c r="D888" s="816" t="s">
        <v>198</v>
      </c>
      <c r="E888" s="816" t="s">
        <v>198</v>
      </c>
      <c r="F888" s="816" t="s">
        <v>198</v>
      </c>
      <c r="G888" s="816" t="s">
        <v>198</v>
      </c>
      <c r="I888" s="816" t="s">
        <v>198</v>
      </c>
      <c r="J888" s="816" t="s">
        <v>198</v>
      </c>
      <c r="K888" s="816" t="s">
        <v>198</v>
      </c>
      <c r="L888" s="816" t="s">
        <v>198</v>
      </c>
      <c r="N888" s="816" t="s">
        <v>198</v>
      </c>
      <c r="Q888" s="816" t="s">
        <v>198</v>
      </c>
      <c r="U888" s="816" t="s">
        <v>198</v>
      </c>
      <c r="Z888" s="816" t="s">
        <v>198</v>
      </c>
      <c r="AA888" s="816" t="s">
        <v>198</v>
      </c>
      <c r="AD888" s="816" t="s">
        <v>198</v>
      </c>
      <c r="AE888" s="816" t="s">
        <v>198</v>
      </c>
      <c r="AF888" s="816" t="s">
        <v>198</v>
      </c>
      <c r="AH888" s="816" t="s">
        <v>198</v>
      </c>
      <c r="AJ888" s="816" t="s">
        <v>198</v>
      </c>
      <c r="AN888" s="816" t="s">
        <v>198</v>
      </c>
      <c r="AQ888" s="816" t="s">
        <v>198</v>
      </c>
      <c r="AW888" s="816" t="s">
        <v>198</v>
      </c>
      <c r="AX888" s="816" t="s">
        <v>198</v>
      </c>
      <c r="BA888" s="816" t="s">
        <v>198</v>
      </c>
      <c r="BD888" s="816" t="s">
        <v>198</v>
      </c>
      <c r="BF888" s="816" t="s">
        <v>198</v>
      </c>
      <c r="BI888" s="816" t="s">
        <v>198</v>
      </c>
      <c r="BJ888" s="816" t="s">
        <v>198</v>
      </c>
      <c r="BK888" s="816" t="s">
        <v>198</v>
      </c>
      <c r="BL888" s="816" t="s">
        <v>198</v>
      </c>
      <c r="BN888" s="816" t="s">
        <v>198</v>
      </c>
      <c r="BP888" s="816" t="s">
        <v>198</v>
      </c>
      <c r="BQ888" s="816" t="s">
        <v>198</v>
      </c>
      <c r="BR888" s="816" t="s">
        <v>198</v>
      </c>
      <c r="BU888" s="816" t="s">
        <v>198</v>
      </c>
    </row>
    <row r="889" spans="1:73" x14ac:dyDescent="0.35">
      <c r="A889" s="806" t="s">
        <v>1386</v>
      </c>
      <c r="B889" s="806" t="s">
        <v>3800</v>
      </c>
      <c r="C889" s="806"/>
      <c r="D889" s="806"/>
      <c r="E889" s="806"/>
      <c r="F889" s="806"/>
      <c r="AH889" s="816" t="s">
        <v>198</v>
      </c>
      <c r="BK889" s="816" t="s">
        <v>198</v>
      </c>
      <c r="BL889" s="816" t="s">
        <v>198</v>
      </c>
      <c r="BU889" s="816" t="s">
        <v>198</v>
      </c>
    </row>
    <row r="890" spans="1:73" ht="29" x14ac:dyDescent="0.35">
      <c r="A890" s="806" t="s">
        <v>856</v>
      </c>
      <c r="B890" s="806" t="s">
        <v>1371</v>
      </c>
      <c r="C890" s="806"/>
      <c r="D890" s="806"/>
      <c r="E890" s="806"/>
      <c r="F890" s="806"/>
      <c r="I890" s="816"/>
      <c r="J890" s="816"/>
      <c r="K890" s="816"/>
      <c r="M890" s="816"/>
      <c r="N890" s="816"/>
      <c r="O890" s="816"/>
      <c r="P890" s="816"/>
      <c r="Q890" s="816"/>
      <c r="S890" s="816"/>
      <c r="T890" s="816"/>
      <c r="U890" s="816"/>
      <c r="V890" s="816"/>
      <c r="W890" s="816"/>
      <c r="X890" s="816"/>
      <c r="Z890" s="816"/>
      <c r="AC890" s="816"/>
      <c r="AD890" s="816"/>
      <c r="AE890" s="816"/>
      <c r="AF890" s="816"/>
      <c r="AG890" s="816"/>
      <c r="AI890" s="816"/>
      <c r="AJ890" s="816"/>
      <c r="AL890" s="816"/>
      <c r="AN890" s="816"/>
      <c r="AP890" s="816"/>
      <c r="AQ890" s="816"/>
      <c r="AR890" s="816"/>
      <c r="AS890" s="816"/>
      <c r="AT890" s="816"/>
      <c r="AU890" s="816"/>
      <c r="AV890" s="816"/>
      <c r="AW890" s="816"/>
      <c r="AX890" s="816"/>
      <c r="AY890" s="816"/>
      <c r="AZ890" s="816"/>
      <c r="BA890" s="816"/>
      <c r="BC890" s="816"/>
      <c r="BD890" s="816"/>
      <c r="BE890" s="816"/>
      <c r="BF890" s="816"/>
      <c r="BG890" s="816" t="s">
        <v>198</v>
      </c>
      <c r="BH890" s="816"/>
      <c r="BI890" s="816"/>
      <c r="BJ890" s="816"/>
      <c r="BL890" s="816" t="s">
        <v>198</v>
      </c>
      <c r="BM890" s="816"/>
      <c r="BN890" s="816"/>
      <c r="BO890" s="816"/>
      <c r="BQ890" s="816"/>
      <c r="BR890" s="816"/>
      <c r="BS890" s="816"/>
      <c r="BT890" s="816"/>
      <c r="BU890" s="816"/>
    </row>
    <row r="891" spans="1:73" ht="409.5" x14ac:dyDescent="0.35">
      <c r="A891" s="806" t="s">
        <v>856</v>
      </c>
      <c r="B891" s="806" t="s">
        <v>1380</v>
      </c>
      <c r="C891" s="806"/>
      <c r="D891" s="806"/>
      <c r="E891" s="806"/>
      <c r="F891" s="806"/>
      <c r="I891" s="816"/>
      <c r="J891" s="816"/>
      <c r="K891" s="816"/>
      <c r="M891" s="816"/>
      <c r="N891" s="816"/>
      <c r="O891" s="816"/>
      <c r="P891" s="816"/>
      <c r="Q891" s="816"/>
      <c r="S891" s="816"/>
      <c r="T891" s="816"/>
      <c r="U891" s="816"/>
      <c r="V891" s="816"/>
      <c r="W891" s="816"/>
      <c r="X891" s="816"/>
      <c r="Z891" s="816"/>
      <c r="AC891" s="816"/>
      <c r="AD891" s="816"/>
      <c r="AE891" s="816"/>
      <c r="AF891" s="816"/>
      <c r="AG891" s="816"/>
      <c r="AI891" s="816"/>
      <c r="AJ891" s="816"/>
      <c r="AL891" s="816"/>
      <c r="AN891" s="816"/>
      <c r="AP891" s="816"/>
      <c r="AQ891" s="816"/>
      <c r="AR891" s="816"/>
      <c r="AS891" s="816"/>
      <c r="AT891" s="816"/>
      <c r="AU891" s="816"/>
      <c r="AV891" s="816"/>
      <c r="AW891" s="816"/>
      <c r="AX891" s="816"/>
      <c r="AY891" s="816"/>
      <c r="AZ891" s="816"/>
      <c r="BA891" s="816"/>
      <c r="BC891" s="816"/>
      <c r="BD891" s="816"/>
      <c r="BE891" s="816"/>
      <c r="BF891" s="816"/>
      <c r="BG891" s="816" t="s">
        <v>3908</v>
      </c>
      <c r="BH891" s="816"/>
      <c r="BI891" s="816"/>
      <c r="BJ891" s="816"/>
      <c r="BL891" s="816" t="s">
        <v>4211</v>
      </c>
      <c r="BM891" s="816"/>
      <c r="BN891" s="816"/>
      <c r="BO891" s="816"/>
      <c r="BQ891" s="816"/>
      <c r="BR891" s="816"/>
      <c r="BS891" s="816"/>
      <c r="BT891" s="816"/>
      <c r="BU891" s="816"/>
    </row>
    <row r="892" spans="1:73" x14ac:dyDescent="0.35">
      <c r="A892" s="806" t="s">
        <v>856</v>
      </c>
      <c r="B892" s="806" t="s">
        <v>1377</v>
      </c>
      <c r="C892" s="806"/>
      <c r="D892" s="806"/>
      <c r="E892" s="806"/>
      <c r="F892" s="806"/>
      <c r="I892" s="816"/>
      <c r="J892" s="816"/>
      <c r="K892" s="816"/>
      <c r="M892" s="816"/>
      <c r="N892" s="816"/>
      <c r="O892" s="816"/>
      <c r="P892" s="816"/>
      <c r="Q892" s="816"/>
      <c r="S892" s="816"/>
      <c r="T892" s="816"/>
      <c r="U892" s="816"/>
      <c r="V892" s="816"/>
      <c r="W892" s="816"/>
      <c r="X892" s="816"/>
      <c r="Z892" s="816"/>
      <c r="AC892" s="816"/>
      <c r="AD892" s="816"/>
      <c r="AE892" s="816"/>
      <c r="AF892" s="816"/>
      <c r="AG892" s="816"/>
      <c r="AI892" s="816"/>
      <c r="AJ892" s="816"/>
      <c r="AL892" s="816"/>
      <c r="AN892" s="816"/>
      <c r="AP892" s="816"/>
      <c r="AQ892" s="816"/>
      <c r="AR892" s="816"/>
      <c r="AS892" s="816"/>
      <c r="AT892" s="816"/>
      <c r="AU892" s="816"/>
      <c r="AV892" s="816"/>
      <c r="AW892" s="816"/>
      <c r="AX892" s="816"/>
      <c r="AY892" s="816"/>
      <c r="AZ892" s="816"/>
      <c r="BA892" s="816"/>
      <c r="BC892" s="816"/>
      <c r="BD892" s="816"/>
      <c r="BE892" s="816"/>
      <c r="BF892" s="816"/>
      <c r="BG892" s="816" t="s">
        <v>198</v>
      </c>
      <c r="BH892" s="816"/>
      <c r="BI892" s="816"/>
      <c r="BJ892" s="816"/>
      <c r="BL892" s="816" t="s">
        <v>198</v>
      </c>
      <c r="BM892" s="816"/>
      <c r="BN892" s="816"/>
      <c r="BO892" s="816"/>
      <c r="BQ892" s="816"/>
      <c r="BR892" s="816"/>
      <c r="BS892" s="816"/>
      <c r="BT892" s="816"/>
      <c r="BU892" s="816"/>
    </row>
    <row r="893" spans="1:73" x14ac:dyDescent="0.35">
      <c r="A893" s="806" t="s">
        <v>882</v>
      </c>
      <c r="B893" s="806" t="s">
        <v>883</v>
      </c>
      <c r="C893" s="806"/>
      <c r="D893" s="806"/>
      <c r="E893" s="806"/>
      <c r="F893" s="806"/>
      <c r="G893" s="816" t="s">
        <v>1958</v>
      </c>
      <c r="I893" s="816"/>
      <c r="J893" s="816"/>
      <c r="K893" s="816"/>
      <c r="M893" s="816"/>
      <c r="N893" s="816"/>
      <c r="O893" s="816"/>
      <c r="P893" s="816"/>
      <c r="Q893" s="816"/>
      <c r="R893" s="816"/>
      <c r="S893" s="816"/>
      <c r="T893" s="816"/>
      <c r="U893" s="816"/>
      <c r="V893" s="816"/>
      <c r="W893" s="816"/>
      <c r="X893" s="816"/>
      <c r="Y893" s="816"/>
      <c r="Z893" s="816"/>
      <c r="AA893" s="816" t="s">
        <v>1958</v>
      </c>
      <c r="AC893" s="816"/>
      <c r="AD893" s="816"/>
      <c r="AE893" s="816"/>
      <c r="AF893" s="816"/>
      <c r="AG893" s="816"/>
      <c r="AH893" s="816"/>
      <c r="AI893" s="816"/>
      <c r="AJ893" s="816"/>
      <c r="AL893" s="816"/>
      <c r="AM893" s="816"/>
      <c r="AN893" s="816"/>
      <c r="AO893" s="816"/>
      <c r="AP893" s="816"/>
      <c r="AQ893" s="816"/>
      <c r="AR893" s="816"/>
      <c r="AS893" s="816"/>
      <c r="AT893" s="816"/>
      <c r="AU893" s="816"/>
      <c r="AV893" s="816"/>
      <c r="AW893" s="816"/>
      <c r="AX893" s="816"/>
      <c r="AY893" s="816"/>
      <c r="AZ893" s="816"/>
      <c r="BA893" s="816"/>
      <c r="BC893" s="816"/>
      <c r="BD893" s="816"/>
      <c r="BE893" s="816"/>
      <c r="BF893" s="816"/>
      <c r="BG893" s="816" t="s">
        <v>2476</v>
      </c>
      <c r="BH893" s="816"/>
      <c r="BI893" s="816"/>
      <c r="BJ893" s="816"/>
      <c r="BK893" s="816" t="s">
        <v>1958</v>
      </c>
      <c r="BL893" s="816" t="s">
        <v>2476</v>
      </c>
      <c r="BM893" s="816"/>
      <c r="BN893" s="816"/>
      <c r="BO893" s="816"/>
      <c r="BQ893" s="816"/>
      <c r="BR893" s="816"/>
      <c r="BS893" s="816"/>
      <c r="BT893" s="816"/>
      <c r="BU893" s="816"/>
    </row>
    <row r="894" spans="1:73" ht="29" x14ac:dyDescent="0.35">
      <c r="A894" s="806" t="s">
        <v>856</v>
      </c>
      <c r="B894" s="806" t="s">
        <v>1349</v>
      </c>
      <c r="C894" s="806"/>
      <c r="D894" s="806"/>
      <c r="E894" s="806"/>
      <c r="F894" s="806"/>
      <c r="I894" s="816"/>
      <c r="J894" s="816"/>
      <c r="K894" s="816"/>
      <c r="M894" s="816"/>
      <c r="N894" s="816"/>
      <c r="O894" s="816"/>
      <c r="P894" s="816"/>
      <c r="Q894" s="816"/>
      <c r="R894" s="816"/>
      <c r="S894" s="816"/>
      <c r="T894" s="816"/>
      <c r="U894" s="816"/>
      <c r="V894" s="816"/>
      <c r="W894" s="816"/>
      <c r="X894" s="816"/>
      <c r="Y894" s="816"/>
      <c r="Z894" s="816"/>
      <c r="AC894" s="816"/>
      <c r="AD894" s="816"/>
      <c r="AE894" s="816"/>
      <c r="AF894" s="816"/>
      <c r="AG894" s="816"/>
      <c r="AI894" s="816"/>
      <c r="AJ894" s="816"/>
      <c r="AL894" s="816"/>
      <c r="AM894" s="816"/>
      <c r="AN894" s="816"/>
      <c r="AO894" s="816"/>
      <c r="AP894" s="816"/>
      <c r="AQ894" s="816"/>
      <c r="AR894" s="816"/>
      <c r="AS894" s="816"/>
      <c r="AT894" s="816"/>
      <c r="AU894" s="816"/>
      <c r="AV894" s="816"/>
      <c r="AW894" s="816"/>
      <c r="AX894" s="816"/>
      <c r="AY894" s="816"/>
      <c r="AZ894" s="816"/>
      <c r="BA894" s="816"/>
      <c r="BC894" s="816"/>
      <c r="BD894" s="816"/>
      <c r="BE894" s="816"/>
      <c r="BF894" s="816"/>
      <c r="BG894" s="816" t="b">
        <v>1</v>
      </c>
      <c r="BH894" s="816"/>
      <c r="BI894" s="816"/>
      <c r="BJ894" s="816"/>
      <c r="BL894" s="816" t="b">
        <v>1</v>
      </c>
      <c r="BM894" s="816"/>
      <c r="BN894" s="816"/>
      <c r="BO894" s="816"/>
      <c r="BQ894" s="816"/>
      <c r="BR894" s="816"/>
      <c r="BS894" s="816"/>
      <c r="BT894" s="816"/>
      <c r="BU894" s="816"/>
    </row>
    <row r="895" spans="1:73" ht="409.5" x14ac:dyDescent="0.35">
      <c r="A895" s="806" t="s">
        <v>856</v>
      </c>
      <c r="B895" s="806" t="s">
        <v>1695</v>
      </c>
      <c r="C895" s="806"/>
      <c r="D895" s="806"/>
      <c r="E895" s="806"/>
      <c r="F895" s="806"/>
      <c r="I895" s="816"/>
      <c r="K895" s="816"/>
      <c r="M895" s="816"/>
      <c r="Q895" s="816"/>
      <c r="S895" s="816"/>
      <c r="U895" s="816"/>
      <c r="V895" s="816"/>
      <c r="W895" s="816"/>
      <c r="AD895" s="816"/>
      <c r="AG895" s="816"/>
      <c r="AJ895" s="816"/>
      <c r="AL895" s="816"/>
      <c r="AR895" s="816"/>
      <c r="AT895" s="816"/>
      <c r="AU895" s="816"/>
      <c r="AV895" s="816"/>
      <c r="AX895" s="816"/>
      <c r="AY895" s="816"/>
      <c r="AZ895" s="816"/>
      <c r="BC895" s="816"/>
      <c r="BD895" s="816"/>
      <c r="BE895" s="816"/>
      <c r="BG895" s="816" t="s">
        <v>3909</v>
      </c>
      <c r="BH895" s="816"/>
      <c r="BI895" s="816"/>
      <c r="BL895" s="816" t="s">
        <v>4212</v>
      </c>
      <c r="BS895" s="816"/>
      <c r="BT895" s="816"/>
      <c r="BU895" s="816"/>
    </row>
    <row r="896" spans="1:73" ht="29" x14ac:dyDescent="0.35">
      <c r="A896" s="806" t="s">
        <v>856</v>
      </c>
      <c r="B896" s="806" t="s">
        <v>1378</v>
      </c>
      <c r="C896" s="806"/>
      <c r="D896" s="806"/>
      <c r="E896" s="806"/>
      <c r="F896" s="806"/>
      <c r="I896" s="816"/>
      <c r="J896" s="816"/>
      <c r="K896" s="816"/>
      <c r="M896" s="816"/>
      <c r="N896" s="816"/>
      <c r="O896" s="816"/>
      <c r="P896" s="816"/>
      <c r="Q896" s="816"/>
      <c r="S896" s="816"/>
      <c r="T896" s="816"/>
      <c r="U896" s="816"/>
      <c r="V896" s="816"/>
      <c r="W896" s="816"/>
      <c r="X896" s="816"/>
      <c r="Z896" s="816"/>
      <c r="AC896" s="816"/>
      <c r="AD896" s="816"/>
      <c r="AE896" s="816"/>
      <c r="AF896" s="816"/>
      <c r="AG896" s="816"/>
      <c r="AI896" s="816"/>
      <c r="AJ896" s="816"/>
      <c r="AL896" s="816"/>
      <c r="AN896" s="816"/>
      <c r="AP896" s="816"/>
      <c r="AQ896" s="816"/>
      <c r="AR896" s="816"/>
      <c r="AS896" s="816"/>
      <c r="AT896" s="816"/>
      <c r="AU896" s="816"/>
      <c r="AV896" s="816"/>
      <c r="AW896" s="816"/>
      <c r="AX896" s="816"/>
      <c r="AY896" s="816"/>
      <c r="AZ896" s="816"/>
      <c r="BA896" s="816"/>
      <c r="BC896" s="816"/>
      <c r="BD896" s="816"/>
      <c r="BE896" s="816"/>
      <c r="BF896" s="816"/>
      <c r="BG896" s="816" t="s">
        <v>198</v>
      </c>
      <c r="BH896" s="816"/>
      <c r="BI896" s="816"/>
      <c r="BJ896" s="816"/>
      <c r="BL896" s="816" t="s">
        <v>198</v>
      </c>
      <c r="BM896" s="816"/>
      <c r="BN896" s="816"/>
      <c r="BO896" s="816"/>
      <c r="BQ896" s="816"/>
      <c r="BR896" s="816"/>
      <c r="BS896" s="816"/>
      <c r="BT896" s="816"/>
      <c r="BU896" s="816"/>
    </row>
    <row r="897" spans="1:73" ht="29" x14ac:dyDescent="0.35">
      <c r="A897" s="806" t="s">
        <v>856</v>
      </c>
      <c r="B897" s="806" t="s">
        <v>1376</v>
      </c>
      <c r="C897" s="806"/>
      <c r="D897" s="806"/>
      <c r="E897" s="806"/>
      <c r="F897" s="806"/>
      <c r="I897" s="816"/>
      <c r="J897" s="816"/>
      <c r="K897" s="816"/>
      <c r="M897" s="816"/>
      <c r="N897" s="816"/>
      <c r="O897" s="816"/>
      <c r="P897" s="816"/>
      <c r="Q897" s="816"/>
      <c r="S897" s="816"/>
      <c r="T897" s="816"/>
      <c r="U897" s="816"/>
      <c r="V897" s="816"/>
      <c r="W897" s="816"/>
      <c r="X897" s="816"/>
      <c r="Z897" s="816"/>
      <c r="AC897" s="816"/>
      <c r="AD897" s="816"/>
      <c r="AE897" s="816"/>
      <c r="AF897" s="816"/>
      <c r="AG897" s="816"/>
      <c r="AI897" s="816"/>
      <c r="AJ897" s="816"/>
      <c r="AL897" s="816"/>
      <c r="AN897" s="816"/>
      <c r="AP897" s="816"/>
      <c r="AQ897" s="816"/>
      <c r="AR897" s="816"/>
      <c r="AS897" s="816"/>
      <c r="AT897" s="816"/>
      <c r="AU897" s="816"/>
      <c r="AV897" s="816"/>
      <c r="AW897" s="816"/>
      <c r="AX897" s="816"/>
      <c r="AY897" s="816"/>
      <c r="AZ897" s="816"/>
      <c r="BA897" s="816"/>
      <c r="BC897" s="816"/>
      <c r="BD897" s="816"/>
      <c r="BE897" s="816"/>
      <c r="BF897" s="816"/>
      <c r="BG897" s="816" t="s">
        <v>198</v>
      </c>
      <c r="BH897" s="816"/>
      <c r="BI897" s="816"/>
      <c r="BJ897" s="816"/>
      <c r="BL897" s="816" t="s">
        <v>198</v>
      </c>
      <c r="BM897" s="816"/>
      <c r="BN897" s="816"/>
      <c r="BO897" s="816"/>
      <c r="BQ897" s="816"/>
      <c r="BR897" s="816"/>
      <c r="BS897" s="816"/>
      <c r="BT897" s="816"/>
      <c r="BU897" s="816"/>
    </row>
    <row r="898" spans="1:73" ht="159.5" x14ac:dyDescent="0.35">
      <c r="A898" s="806" t="s">
        <v>856</v>
      </c>
      <c r="B898" s="806" t="s">
        <v>1372</v>
      </c>
      <c r="C898" s="806"/>
      <c r="D898" s="806"/>
      <c r="E898" s="806"/>
      <c r="F898" s="806"/>
      <c r="I898" s="816"/>
      <c r="J898" s="816"/>
      <c r="K898" s="816"/>
      <c r="M898" s="816"/>
      <c r="N898" s="816"/>
      <c r="O898" s="816"/>
      <c r="P898" s="816"/>
      <c r="Q898" s="816"/>
      <c r="S898" s="816"/>
      <c r="T898" s="816"/>
      <c r="U898" s="816"/>
      <c r="V898" s="816"/>
      <c r="W898" s="816"/>
      <c r="X898" s="816"/>
      <c r="Z898" s="816"/>
      <c r="AC898" s="816"/>
      <c r="AD898" s="816"/>
      <c r="AE898" s="816"/>
      <c r="AF898" s="816"/>
      <c r="AG898" s="816"/>
      <c r="AI898" s="816"/>
      <c r="AJ898" s="816"/>
      <c r="AL898" s="816"/>
      <c r="AN898" s="816"/>
      <c r="AP898" s="816"/>
      <c r="AQ898" s="816"/>
      <c r="AR898" s="816"/>
      <c r="AS898" s="816"/>
      <c r="AT898" s="816"/>
      <c r="AU898" s="816"/>
      <c r="AV898" s="816"/>
      <c r="AW898" s="816"/>
      <c r="AX898" s="816"/>
      <c r="AY898" s="816"/>
      <c r="AZ898" s="816"/>
      <c r="BA898" s="816"/>
      <c r="BC898" s="816"/>
      <c r="BD898" s="816"/>
      <c r="BE898" s="816"/>
      <c r="BF898" s="816"/>
      <c r="BG898" s="816" t="s">
        <v>3906</v>
      </c>
      <c r="BH898" s="816"/>
      <c r="BI898" s="816"/>
      <c r="BJ898" s="816"/>
      <c r="BL898" s="816" t="s">
        <v>4194</v>
      </c>
      <c r="BM898" s="816"/>
      <c r="BN898" s="816"/>
      <c r="BO898" s="816"/>
      <c r="BQ898" s="816"/>
      <c r="BR898" s="816"/>
      <c r="BS898" s="816"/>
      <c r="BT898" s="816"/>
      <c r="BU898" s="816"/>
    </row>
    <row r="899" spans="1:73" ht="261" x14ac:dyDescent="0.35">
      <c r="A899" s="806" t="s">
        <v>856</v>
      </c>
      <c r="B899" s="806" t="s">
        <v>4195</v>
      </c>
      <c r="C899" s="806"/>
      <c r="D899" s="806"/>
      <c r="E899" s="806"/>
      <c r="F899" s="806"/>
      <c r="BL899" s="816" t="s">
        <v>4196</v>
      </c>
    </row>
    <row r="900" spans="1:73" ht="174" x14ac:dyDescent="0.35">
      <c r="A900" s="806" t="s">
        <v>856</v>
      </c>
      <c r="B900" s="806" t="s">
        <v>4200</v>
      </c>
      <c r="C900" s="806"/>
      <c r="D900" s="806"/>
      <c r="E900" s="806"/>
      <c r="F900" s="806"/>
      <c r="BL900" s="816" t="s">
        <v>4201</v>
      </c>
    </row>
    <row r="901" spans="1:73" ht="377" x14ac:dyDescent="0.35">
      <c r="A901" s="806" t="s">
        <v>856</v>
      </c>
      <c r="B901" s="806" t="s">
        <v>4205</v>
      </c>
      <c r="C901" s="806"/>
      <c r="D901" s="806"/>
      <c r="E901" s="806"/>
      <c r="F901" s="806"/>
      <c r="BL901" s="816" t="s">
        <v>4206</v>
      </c>
    </row>
    <row r="902" spans="1:73" x14ac:dyDescent="0.35">
      <c r="A902" s="806" t="s">
        <v>856</v>
      </c>
      <c r="B902" s="806" t="s">
        <v>1375</v>
      </c>
      <c r="C902" s="806"/>
      <c r="D902" s="806"/>
      <c r="E902" s="806"/>
      <c r="F902" s="806"/>
      <c r="I902" s="811"/>
      <c r="J902" s="811"/>
      <c r="K902" s="811"/>
      <c r="M902" s="811"/>
      <c r="N902" s="811"/>
      <c r="O902" s="811"/>
      <c r="P902" s="811"/>
      <c r="Q902" s="811"/>
      <c r="S902" s="811"/>
      <c r="T902" s="811"/>
      <c r="U902" s="811"/>
      <c r="V902" s="811"/>
      <c r="W902" s="811"/>
      <c r="X902" s="811"/>
      <c r="Z902" s="811"/>
      <c r="AC902" s="811"/>
      <c r="AD902" s="811"/>
      <c r="AE902" s="811"/>
      <c r="AF902" s="811"/>
      <c r="AG902" s="811"/>
      <c r="AI902" s="811"/>
      <c r="AJ902" s="811"/>
      <c r="AL902" s="811"/>
      <c r="AN902" s="811"/>
      <c r="AP902" s="811"/>
      <c r="AQ902" s="811"/>
      <c r="AR902" s="811"/>
      <c r="AS902" s="811"/>
      <c r="AT902" s="811"/>
      <c r="AU902" s="811"/>
      <c r="AV902" s="811"/>
      <c r="AW902" s="811"/>
      <c r="AX902" s="811"/>
      <c r="AY902" s="811"/>
      <c r="AZ902" s="811"/>
      <c r="BA902" s="811"/>
      <c r="BC902" s="811"/>
      <c r="BD902" s="811"/>
      <c r="BE902" s="811"/>
      <c r="BF902" s="811"/>
      <c r="BG902" s="811">
        <v>44982</v>
      </c>
      <c r="BH902" s="811"/>
      <c r="BI902" s="811"/>
      <c r="BJ902" s="811"/>
      <c r="BL902" s="811">
        <v>44984</v>
      </c>
      <c r="BM902" s="811"/>
      <c r="BN902" s="811"/>
      <c r="BO902" s="811"/>
      <c r="BQ902" s="811"/>
      <c r="BR902" s="811"/>
      <c r="BS902" s="811"/>
      <c r="BT902" s="811"/>
      <c r="BU902" s="811"/>
    </row>
    <row r="903" spans="1:73" x14ac:dyDescent="0.35">
      <c r="A903" s="806" t="s">
        <v>856</v>
      </c>
      <c r="B903" s="806" t="s">
        <v>4199</v>
      </c>
      <c r="C903" s="806"/>
      <c r="D903" s="806"/>
      <c r="E903" s="806"/>
      <c r="F903" s="806"/>
      <c r="BL903" s="811">
        <v>44984</v>
      </c>
    </row>
    <row r="904" spans="1:73" x14ac:dyDescent="0.35">
      <c r="A904" s="806" t="s">
        <v>856</v>
      </c>
      <c r="B904" s="806" t="s">
        <v>4204</v>
      </c>
      <c r="C904" s="806"/>
      <c r="D904" s="806"/>
      <c r="E904" s="806"/>
      <c r="F904" s="806"/>
      <c r="BL904" s="811">
        <v>44984</v>
      </c>
    </row>
    <row r="905" spans="1:73" x14ac:dyDescent="0.35">
      <c r="A905" s="806" t="s">
        <v>856</v>
      </c>
      <c r="B905" s="806" t="s">
        <v>4209</v>
      </c>
      <c r="C905" s="806"/>
      <c r="D905" s="806"/>
      <c r="E905" s="806"/>
      <c r="F905" s="806"/>
      <c r="BL905" s="811">
        <v>44984</v>
      </c>
    </row>
    <row r="906" spans="1:73" ht="29" x14ac:dyDescent="0.35">
      <c r="A906" s="806" t="s">
        <v>856</v>
      </c>
      <c r="B906" s="806" t="s">
        <v>1374</v>
      </c>
      <c r="C906" s="806"/>
      <c r="D906" s="806"/>
      <c r="E906" s="806"/>
      <c r="F906" s="806"/>
      <c r="I906" s="811"/>
      <c r="J906" s="811"/>
      <c r="K906" s="811"/>
      <c r="M906" s="811"/>
      <c r="N906" s="811"/>
      <c r="O906" s="811"/>
      <c r="P906" s="811"/>
      <c r="Q906" s="811"/>
      <c r="S906" s="811"/>
      <c r="T906" s="811"/>
      <c r="U906" s="811"/>
      <c r="V906" s="811"/>
      <c r="W906" s="811"/>
      <c r="X906" s="811"/>
      <c r="Z906" s="811"/>
      <c r="AC906" s="811"/>
      <c r="AD906" s="811"/>
      <c r="AE906" s="811"/>
      <c r="AF906" s="811"/>
      <c r="AG906" s="811"/>
      <c r="AI906" s="811"/>
      <c r="AJ906" s="811"/>
      <c r="AL906" s="811"/>
      <c r="AN906" s="811"/>
      <c r="AP906" s="811"/>
      <c r="AQ906" s="811"/>
      <c r="AR906" s="811"/>
      <c r="AS906" s="811"/>
      <c r="AT906" s="811"/>
      <c r="AU906" s="811"/>
      <c r="AV906" s="811"/>
      <c r="AW906" s="811"/>
      <c r="AX906" s="811"/>
      <c r="AY906" s="811"/>
      <c r="AZ906" s="811"/>
      <c r="BA906" s="811"/>
      <c r="BC906" s="811"/>
      <c r="BD906" s="811"/>
      <c r="BE906" s="811"/>
      <c r="BF906" s="811"/>
      <c r="BG906" s="811">
        <v>43471</v>
      </c>
      <c r="BH906" s="811"/>
      <c r="BI906" s="811"/>
      <c r="BJ906" s="811"/>
      <c r="BL906" s="811">
        <v>43899</v>
      </c>
      <c r="BM906" s="811"/>
      <c r="BN906" s="811"/>
      <c r="BO906" s="811"/>
      <c r="BQ906" s="811"/>
      <c r="BR906" s="811"/>
      <c r="BS906" s="811"/>
      <c r="BT906" s="811"/>
      <c r="BU906" s="811"/>
    </row>
    <row r="907" spans="1:73" ht="29" x14ac:dyDescent="0.35">
      <c r="A907" s="806" t="s">
        <v>856</v>
      </c>
      <c r="B907" s="806" t="s">
        <v>4198</v>
      </c>
      <c r="C907" s="806"/>
      <c r="D907" s="806"/>
      <c r="E907" s="806"/>
      <c r="F907" s="806"/>
      <c r="BL907" s="811">
        <v>43471</v>
      </c>
    </row>
    <row r="908" spans="1:73" ht="29" x14ac:dyDescent="0.35">
      <c r="A908" s="806" t="s">
        <v>856</v>
      </c>
      <c r="B908" s="806" t="s">
        <v>4203</v>
      </c>
      <c r="C908" s="806"/>
      <c r="D908" s="806"/>
      <c r="E908" s="806"/>
      <c r="F908" s="806"/>
      <c r="BL908" s="811">
        <v>43471</v>
      </c>
    </row>
    <row r="909" spans="1:73" ht="29" x14ac:dyDescent="0.35">
      <c r="A909" s="806" t="s">
        <v>856</v>
      </c>
      <c r="B909" s="806" t="s">
        <v>4208</v>
      </c>
      <c r="C909" s="806"/>
      <c r="D909" s="806"/>
      <c r="E909" s="806"/>
      <c r="F909" s="806"/>
      <c r="BL909" s="811">
        <v>43471</v>
      </c>
    </row>
    <row r="910" spans="1:73" ht="29" x14ac:dyDescent="0.35">
      <c r="A910" s="806" t="s">
        <v>856</v>
      </c>
      <c r="B910" s="806" t="s">
        <v>1373</v>
      </c>
      <c r="C910" s="806"/>
      <c r="D910" s="806"/>
      <c r="E910" s="806"/>
      <c r="F910" s="806"/>
      <c r="I910" s="817"/>
      <c r="J910" s="817"/>
      <c r="K910" s="817"/>
      <c r="M910" s="817"/>
      <c r="N910" s="817"/>
      <c r="O910" s="817"/>
      <c r="P910" s="817"/>
      <c r="Q910" s="817"/>
      <c r="S910" s="817"/>
      <c r="T910" s="817"/>
      <c r="U910" s="817"/>
      <c r="V910" s="817"/>
      <c r="W910" s="817"/>
      <c r="X910" s="817"/>
      <c r="Z910" s="817"/>
      <c r="AC910" s="817"/>
      <c r="AD910" s="817"/>
      <c r="AE910" s="817"/>
      <c r="AF910" s="817"/>
      <c r="AG910" s="817"/>
      <c r="AI910" s="817"/>
      <c r="AJ910" s="817"/>
      <c r="AL910" s="817"/>
      <c r="AN910" s="817"/>
      <c r="AP910" s="817"/>
      <c r="AQ910" s="817"/>
      <c r="AR910" s="817"/>
      <c r="AS910" s="817"/>
      <c r="AT910" s="817"/>
      <c r="AU910" s="817"/>
      <c r="AV910" s="817"/>
      <c r="AW910" s="817"/>
      <c r="AX910" s="817"/>
      <c r="AY910" s="817"/>
      <c r="AZ910" s="817"/>
      <c r="BA910" s="817"/>
      <c r="BC910" s="817"/>
      <c r="BD910" s="817"/>
      <c r="BE910" s="817"/>
      <c r="BF910" s="817"/>
      <c r="BG910" s="817">
        <v>12</v>
      </c>
      <c r="BH910" s="817"/>
      <c r="BI910" s="817"/>
      <c r="BJ910" s="817"/>
      <c r="BL910" s="817">
        <v>61</v>
      </c>
      <c r="BM910" s="817"/>
      <c r="BN910" s="817"/>
      <c r="BO910" s="817"/>
      <c r="BQ910" s="817"/>
      <c r="BR910" s="817"/>
      <c r="BS910" s="817"/>
      <c r="BT910" s="817"/>
      <c r="BU910" s="817"/>
    </row>
    <row r="911" spans="1:73" ht="29" x14ac:dyDescent="0.35">
      <c r="A911" s="806" t="s">
        <v>856</v>
      </c>
      <c r="B911" s="806" t="s">
        <v>4197</v>
      </c>
      <c r="C911" s="806"/>
      <c r="D911" s="806"/>
      <c r="E911" s="806"/>
      <c r="F911" s="806"/>
      <c r="BL911" s="817">
        <v>40</v>
      </c>
    </row>
    <row r="912" spans="1:73" ht="29" x14ac:dyDescent="0.35">
      <c r="A912" s="806" t="s">
        <v>856</v>
      </c>
      <c r="B912" s="806" t="s">
        <v>4202</v>
      </c>
      <c r="C912" s="806"/>
      <c r="D912" s="806"/>
      <c r="E912" s="806"/>
      <c r="F912" s="806"/>
      <c r="BL912" s="817">
        <v>100</v>
      </c>
    </row>
    <row r="913" spans="1:73" ht="29" x14ac:dyDescent="0.35">
      <c r="A913" s="806" t="s">
        <v>856</v>
      </c>
      <c r="B913" s="806" t="s">
        <v>4207</v>
      </c>
      <c r="C913" s="806"/>
      <c r="D913" s="806"/>
      <c r="E913" s="806"/>
      <c r="F913" s="806"/>
      <c r="BL913" s="817">
        <v>60</v>
      </c>
    </row>
    <row r="914" spans="1:73" ht="409.5" x14ac:dyDescent="0.35">
      <c r="A914" s="806" t="s">
        <v>856</v>
      </c>
      <c r="B914" s="806" t="s">
        <v>1379</v>
      </c>
      <c r="C914" s="806"/>
      <c r="D914" s="806"/>
      <c r="E914" s="806"/>
      <c r="F914" s="806"/>
      <c r="I914" s="816"/>
      <c r="J914" s="816"/>
      <c r="K914" s="816"/>
      <c r="M914" s="816"/>
      <c r="N914" s="816"/>
      <c r="O914" s="816"/>
      <c r="P914" s="816"/>
      <c r="Q914" s="816"/>
      <c r="S914" s="816"/>
      <c r="T914" s="816"/>
      <c r="U914" s="816"/>
      <c r="V914" s="816"/>
      <c r="W914" s="816"/>
      <c r="X914" s="816"/>
      <c r="Z914" s="816"/>
      <c r="AC914" s="816"/>
      <c r="AD914" s="816"/>
      <c r="AE914" s="816"/>
      <c r="AF914" s="816"/>
      <c r="AG914" s="816"/>
      <c r="AI914" s="816"/>
      <c r="AJ914" s="816"/>
      <c r="AL914" s="816"/>
      <c r="AN914" s="816"/>
      <c r="AP914" s="816"/>
      <c r="AQ914" s="816"/>
      <c r="AR914" s="816"/>
      <c r="AS914" s="816"/>
      <c r="AT914" s="816"/>
      <c r="AU914" s="816"/>
      <c r="AV914" s="816"/>
      <c r="AW914" s="816"/>
      <c r="AX914" s="816"/>
      <c r="AY914" s="816"/>
      <c r="AZ914" s="816"/>
      <c r="BA914" s="816"/>
      <c r="BC914" s="816"/>
      <c r="BD914" s="816"/>
      <c r="BE914" s="816"/>
      <c r="BF914" s="816"/>
      <c r="BG914" s="816" t="s">
        <v>3907</v>
      </c>
      <c r="BH914" s="816"/>
      <c r="BI914" s="816"/>
      <c r="BJ914" s="816"/>
      <c r="BL914" s="816" t="s">
        <v>4210</v>
      </c>
      <c r="BM914" s="816"/>
      <c r="BN914" s="816"/>
      <c r="BO914" s="816"/>
      <c r="BQ914" s="816"/>
      <c r="BR914" s="816"/>
      <c r="BS914" s="816"/>
      <c r="BT914" s="816"/>
      <c r="BU914" s="816"/>
    </row>
    <row r="915" spans="1:73" ht="29" x14ac:dyDescent="0.35">
      <c r="A915" s="806" t="s">
        <v>856</v>
      </c>
      <c r="B915" s="806" t="s">
        <v>858</v>
      </c>
      <c r="C915" s="806"/>
      <c r="D915" s="806"/>
      <c r="E915" s="806"/>
      <c r="F915" s="806"/>
      <c r="G915" s="817"/>
      <c r="I915" s="816"/>
      <c r="J915" s="816"/>
      <c r="K915" s="816"/>
      <c r="M915" s="816"/>
      <c r="N915" s="816"/>
      <c r="O915" s="816"/>
      <c r="P915" s="816"/>
      <c r="Q915" s="816"/>
      <c r="R915" s="816"/>
      <c r="S915" s="816"/>
      <c r="T915" s="816"/>
      <c r="U915" s="816"/>
      <c r="V915" s="816"/>
      <c r="W915" s="816"/>
      <c r="X915" s="816"/>
      <c r="Y915" s="816"/>
      <c r="Z915" s="816"/>
      <c r="AA915" s="817"/>
      <c r="AC915" s="816"/>
      <c r="AD915" s="816"/>
      <c r="AE915" s="816"/>
      <c r="AF915" s="816"/>
      <c r="AG915" s="816"/>
      <c r="AH915" s="817"/>
      <c r="AI915" s="816"/>
      <c r="AJ915" s="816"/>
      <c r="AL915" s="816"/>
      <c r="AM915" s="816"/>
      <c r="AN915" s="816"/>
      <c r="AO915" s="816"/>
      <c r="AP915" s="816"/>
      <c r="AQ915" s="816"/>
      <c r="AR915" s="816"/>
      <c r="AS915" s="816"/>
      <c r="AT915" s="816"/>
      <c r="AU915" s="816"/>
      <c r="AV915" s="816"/>
      <c r="AW915" s="816"/>
      <c r="AX915" s="816"/>
      <c r="AY915" s="816"/>
      <c r="AZ915" s="816"/>
      <c r="BA915" s="816"/>
      <c r="BC915" s="816"/>
      <c r="BD915" s="816"/>
      <c r="BE915" s="816"/>
      <c r="BF915" s="816"/>
      <c r="BG915" s="816" t="s">
        <v>2475</v>
      </c>
      <c r="BH915" s="816"/>
      <c r="BI915" s="816"/>
      <c r="BJ915" s="816"/>
      <c r="BK915" s="818"/>
      <c r="BL915" s="816" t="s">
        <v>2475</v>
      </c>
      <c r="BM915" s="816"/>
      <c r="BN915" s="816"/>
      <c r="BO915" s="816"/>
      <c r="BQ915" s="816"/>
      <c r="BR915" s="816"/>
      <c r="BS915" s="816"/>
      <c r="BT915" s="816"/>
      <c r="BU915" s="816"/>
    </row>
    <row r="916" spans="1:73" x14ac:dyDescent="0.35">
      <c r="A916" s="806" t="s">
        <v>856</v>
      </c>
      <c r="B916" s="806" t="s">
        <v>1369</v>
      </c>
      <c r="C916" s="806"/>
      <c r="D916" s="806"/>
      <c r="E916" s="806"/>
      <c r="F916" s="806"/>
      <c r="I916" s="817"/>
      <c r="J916" s="817"/>
      <c r="K916" s="817"/>
      <c r="M916" s="817"/>
      <c r="N916" s="817"/>
      <c r="O916" s="817"/>
      <c r="P916" s="817"/>
      <c r="Q916" s="817"/>
      <c r="R916" s="817"/>
      <c r="S916" s="817"/>
      <c r="T916" s="817"/>
      <c r="U916" s="817"/>
      <c r="V916" s="817"/>
      <c r="W916" s="817"/>
      <c r="X916" s="817"/>
      <c r="Y916" s="817"/>
      <c r="Z916" s="817"/>
      <c r="AC916" s="817"/>
      <c r="AD916" s="817"/>
      <c r="AE916" s="817"/>
      <c r="AF916" s="817"/>
      <c r="AG916" s="817"/>
      <c r="AI916" s="817"/>
      <c r="AJ916" s="817"/>
      <c r="AL916" s="817"/>
      <c r="AM916" s="817"/>
      <c r="AN916" s="817"/>
      <c r="AO916" s="817"/>
      <c r="AP916" s="817"/>
      <c r="AQ916" s="817"/>
      <c r="AR916" s="817"/>
      <c r="AS916" s="817"/>
      <c r="AT916" s="817"/>
      <c r="AU916" s="817"/>
      <c r="AV916" s="817"/>
      <c r="AW916" s="817"/>
      <c r="AX916" s="817"/>
      <c r="AY916" s="817"/>
      <c r="AZ916" s="817"/>
      <c r="BA916" s="817"/>
      <c r="BC916" s="817"/>
      <c r="BD916" s="817"/>
      <c r="BE916" s="817"/>
      <c r="BF916" s="817"/>
      <c r="BG916" s="817">
        <v>40</v>
      </c>
      <c r="BH916" s="817"/>
      <c r="BI916" s="817"/>
      <c r="BJ916" s="817"/>
      <c r="BL916" s="817">
        <v>40</v>
      </c>
      <c r="BM916" s="817"/>
      <c r="BN916" s="817"/>
      <c r="BO916" s="817"/>
      <c r="BQ916" s="817"/>
      <c r="BR916" s="817"/>
      <c r="BS916" s="817"/>
      <c r="BT916" s="817"/>
      <c r="BU916" s="817"/>
    </row>
    <row r="917" spans="1:73" ht="29" x14ac:dyDescent="0.35">
      <c r="A917" s="806" t="s">
        <v>856</v>
      </c>
      <c r="B917" s="806" t="s">
        <v>1365</v>
      </c>
      <c r="C917" s="806"/>
      <c r="D917" s="806"/>
      <c r="E917" s="806"/>
      <c r="F917" s="806"/>
      <c r="I917" s="817"/>
      <c r="J917" s="817"/>
      <c r="K917" s="817"/>
      <c r="M917" s="817"/>
      <c r="N917" s="817"/>
      <c r="O917" s="817"/>
      <c r="P917" s="817"/>
      <c r="Q917" s="817"/>
      <c r="R917" s="817"/>
      <c r="S917" s="817"/>
      <c r="T917" s="817"/>
      <c r="U917" s="817"/>
      <c r="V917" s="817"/>
      <c r="W917" s="817"/>
      <c r="X917" s="817"/>
      <c r="Y917" s="817"/>
      <c r="Z917" s="817"/>
      <c r="AC917" s="817"/>
      <c r="AD917" s="817"/>
      <c r="AE917" s="817"/>
      <c r="AF917" s="817"/>
      <c r="AG917" s="817"/>
      <c r="AI917" s="817"/>
      <c r="AJ917" s="817"/>
      <c r="AL917" s="817"/>
      <c r="AM917" s="817"/>
      <c r="AN917" s="817"/>
      <c r="AO917" s="817"/>
      <c r="AP917" s="817"/>
      <c r="AQ917" s="817"/>
      <c r="AR917" s="817"/>
      <c r="AS917" s="817"/>
      <c r="AT917" s="817"/>
      <c r="AU917" s="817"/>
      <c r="AV917" s="817"/>
      <c r="AW917" s="817"/>
      <c r="AX917" s="817"/>
      <c r="AY917" s="817"/>
      <c r="AZ917" s="817"/>
      <c r="BA917" s="817"/>
      <c r="BC917" s="817"/>
      <c r="BD917" s="817"/>
      <c r="BE917" s="817"/>
      <c r="BF917" s="817"/>
      <c r="BG917" s="817">
        <v>12</v>
      </c>
      <c r="BH917" s="817"/>
      <c r="BI917" s="817"/>
      <c r="BJ917" s="817"/>
      <c r="BL917" s="817">
        <v>12</v>
      </c>
      <c r="BM917" s="817"/>
      <c r="BN917" s="817"/>
      <c r="BO917" s="817"/>
      <c r="BQ917" s="817"/>
      <c r="BR917" s="817"/>
      <c r="BS917" s="817"/>
      <c r="BT917" s="817"/>
      <c r="BU917" s="817"/>
    </row>
    <row r="918" spans="1:73" ht="29" x14ac:dyDescent="0.35">
      <c r="A918" s="806" t="s">
        <v>856</v>
      </c>
      <c r="B918" s="806" t="s">
        <v>1659</v>
      </c>
      <c r="C918" s="806"/>
      <c r="D918" s="806"/>
      <c r="E918" s="806"/>
      <c r="F918" s="806"/>
      <c r="I918" s="817"/>
      <c r="K918" s="817"/>
      <c r="M918" s="817"/>
      <c r="Q918" s="817"/>
      <c r="S918" s="817"/>
      <c r="U918" s="817"/>
      <c r="V918" s="817"/>
      <c r="W918" s="817"/>
      <c r="AD918" s="817"/>
      <c r="AG918" s="817"/>
      <c r="AJ918" s="817"/>
      <c r="AL918" s="817"/>
      <c r="AR918" s="817"/>
      <c r="AT918" s="817"/>
      <c r="AU918" s="817"/>
      <c r="AV918" s="817"/>
      <c r="AX918" s="817"/>
      <c r="AY918" s="817"/>
      <c r="AZ918" s="817"/>
      <c r="BC918" s="817"/>
      <c r="BD918" s="817"/>
      <c r="BE918" s="817"/>
      <c r="BG918" s="817">
        <v>0</v>
      </c>
      <c r="BH918" s="817"/>
      <c r="BI918" s="817"/>
      <c r="BL918" s="817">
        <v>10</v>
      </c>
      <c r="BS918" s="817"/>
      <c r="BT918" s="817"/>
      <c r="BU918" s="817"/>
    </row>
    <row r="919" spans="1:73" x14ac:dyDescent="0.35">
      <c r="A919" s="806" t="s">
        <v>856</v>
      </c>
      <c r="B919" s="806" t="s">
        <v>1366</v>
      </c>
      <c r="C919" s="806"/>
      <c r="D919" s="806"/>
      <c r="E919" s="806"/>
      <c r="F919" s="806"/>
      <c r="I919" s="817"/>
      <c r="J919" s="817"/>
      <c r="K919" s="817"/>
      <c r="M919" s="817"/>
      <c r="N919" s="817"/>
      <c r="O919" s="817"/>
      <c r="P919" s="817"/>
      <c r="Q919" s="817"/>
      <c r="R919" s="817"/>
      <c r="S919" s="817"/>
      <c r="T919" s="817"/>
      <c r="U919" s="817"/>
      <c r="V919" s="817"/>
      <c r="W919" s="817"/>
      <c r="X919" s="817"/>
      <c r="Y919" s="817"/>
      <c r="Z919" s="817"/>
      <c r="AC919" s="817"/>
      <c r="AD919" s="817"/>
      <c r="AE919" s="817"/>
      <c r="AF919" s="817"/>
      <c r="AG919" s="817"/>
      <c r="AI919" s="817"/>
      <c r="AJ919" s="817"/>
      <c r="AL919" s="817"/>
      <c r="AM919" s="817"/>
      <c r="AN919" s="817"/>
      <c r="AO919" s="817"/>
      <c r="AP919" s="817"/>
      <c r="AQ919" s="817"/>
      <c r="AR919" s="817"/>
      <c r="AS919" s="817"/>
      <c r="AT919" s="817"/>
      <c r="AU919" s="817"/>
      <c r="AV919" s="817"/>
      <c r="AW919" s="817"/>
      <c r="AX919" s="817"/>
      <c r="AY919" s="817"/>
      <c r="AZ919" s="817"/>
      <c r="BA919" s="817"/>
      <c r="BC919" s="817"/>
      <c r="BD919" s="817"/>
      <c r="BE919" s="817"/>
      <c r="BF919" s="817"/>
      <c r="BG919" s="817">
        <v>10</v>
      </c>
      <c r="BH919" s="817"/>
      <c r="BI919" s="817"/>
      <c r="BJ919" s="817"/>
      <c r="BL919" s="817">
        <v>10</v>
      </c>
      <c r="BM919" s="817"/>
      <c r="BN919" s="817"/>
      <c r="BO919" s="817"/>
      <c r="BQ919" s="817"/>
      <c r="BR919" s="817"/>
      <c r="BS919" s="817"/>
      <c r="BT919" s="817"/>
      <c r="BU919" s="817"/>
    </row>
    <row r="920" spans="1:73" ht="29" x14ac:dyDescent="0.35">
      <c r="A920" s="806" t="s">
        <v>856</v>
      </c>
      <c r="B920" s="806" t="s">
        <v>1364</v>
      </c>
      <c r="C920" s="806"/>
      <c r="D920" s="806"/>
      <c r="E920" s="806"/>
      <c r="F920" s="806"/>
      <c r="I920" s="817"/>
      <c r="J920" s="817"/>
      <c r="K920" s="817"/>
      <c r="M920" s="817"/>
      <c r="N920" s="817"/>
      <c r="O920" s="817"/>
      <c r="P920" s="817"/>
      <c r="Q920" s="817"/>
      <c r="R920" s="817"/>
      <c r="S920" s="817"/>
      <c r="T920" s="817"/>
      <c r="U920" s="817"/>
      <c r="V920" s="817"/>
      <c r="W920" s="817"/>
      <c r="X920" s="817"/>
      <c r="Y920" s="817"/>
      <c r="Z920" s="817"/>
      <c r="AC920" s="817"/>
      <c r="AD920" s="817"/>
      <c r="AE920" s="817"/>
      <c r="AF920" s="817"/>
      <c r="AG920" s="817"/>
      <c r="AI920" s="817"/>
      <c r="AJ920" s="817"/>
      <c r="AL920" s="817"/>
      <c r="AM920" s="817"/>
      <c r="AN920" s="817"/>
      <c r="AO920" s="817"/>
      <c r="AP920" s="817"/>
      <c r="AQ920" s="817"/>
      <c r="AR920" s="817"/>
      <c r="AS920" s="817"/>
      <c r="AT920" s="817"/>
      <c r="AU920" s="817"/>
      <c r="AV920" s="817"/>
      <c r="AW920" s="817"/>
      <c r="AX920" s="817"/>
      <c r="AY920" s="817"/>
      <c r="AZ920" s="817"/>
      <c r="BA920" s="817"/>
      <c r="BC920" s="817"/>
      <c r="BD920" s="817"/>
      <c r="BE920" s="817"/>
      <c r="BF920" s="817"/>
      <c r="BG920" s="817">
        <v>3</v>
      </c>
      <c r="BH920" s="817"/>
      <c r="BI920" s="817"/>
      <c r="BJ920" s="817"/>
      <c r="BL920" s="817">
        <v>3</v>
      </c>
      <c r="BM920" s="817"/>
      <c r="BN920" s="817"/>
      <c r="BO920" s="817"/>
      <c r="BQ920" s="817"/>
      <c r="BR920" s="817"/>
      <c r="BS920" s="817"/>
      <c r="BT920" s="817"/>
      <c r="BU920" s="817"/>
    </row>
    <row r="921" spans="1:73" ht="29" x14ac:dyDescent="0.35">
      <c r="A921" s="806" t="s">
        <v>856</v>
      </c>
      <c r="B921" s="806" t="s">
        <v>1368</v>
      </c>
      <c r="C921" s="806"/>
      <c r="D921" s="806"/>
      <c r="E921" s="806"/>
      <c r="F921" s="806"/>
      <c r="I921" s="817"/>
      <c r="J921" s="817"/>
      <c r="K921" s="817"/>
      <c r="M921" s="817"/>
      <c r="N921" s="817"/>
      <c r="O921" s="817"/>
      <c r="P921" s="817"/>
      <c r="Q921" s="817"/>
      <c r="R921" s="817"/>
      <c r="S921" s="817"/>
      <c r="T921" s="817"/>
      <c r="U921" s="817"/>
      <c r="V921" s="817"/>
      <c r="W921" s="817"/>
      <c r="X921" s="817"/>
      <c r="Y921" s="817"/>
      <c r="Z921" s="817"/>
      <c r="AC921" s="817"/>
      <c r="AD921" s="817"/>
      <c r="AE921" s="817"/>
      <c r="AF921" s="817"/>
      <c r="AG921" s="817"/>
      <c r="AI921" s="817"/>
      <c r="AJ921" s="817"/>
      <c r="AL921" s="817"/>
      <c r="AM921" s="817"/>
      <c r="AN921" s="817"/>
      <c r="AO921" s="817"/>
      <c r="AP921" s="817"/>
      <c r="AQ921" s="817"/>
      <c r="AR921" s="817"/>
      <c r="AS921" s="817"/>
      <c r="AT921" s="817"/>
      <c r="AU921" s="817"/>
      <c r="AV921" s="817"/>
      <c r="AW921" s="817"/>
      <c r="AX921" s="817"/>
      <c r="AY921" s="817"/>
      <c r="AZ921" s="817"/>
      <c r="BA921" s="817"/>
      <c r="BC921" s="817"/>
      <c r="BD921" s="817"/>
      <c r="BE921" s="817"/>
      <c r="BF921" s="817"/>
      <c r="BG921" s="817">
        <v>0</v>
      </c>
      <c r="BH921" s="817"/>
      <c r="BI921" s="817"/>
      <c r="BJ921" s="817"/>
      <c r="BL921" s="817">
        <v>0</v>
      </c>
      <c r="BM921" s="817"/>
      <c r="BN921" s="817"/>
      <c r="BO921" s="817"/>
      <c r="BQ921" s="817"/>
      <c r="BR921" s="817"/>
      <c r="BS921" s="817"/>
      <c r="BT921" s="817"/>
      <c r="BU921" s="817"/>
    </row>
    <row r="922" spans="1:73" ht="29" x14ac:dyDescent="0.35">
      <c r="A922" s="806" t="s">
        <v>856</v>
      </c>
      <c r="B922" s="806" t="s">
        <v>1367</v>
      </c>
      <c r="C922" s="806"/>
      <c r="D922" s="806"/>
      <c r="E922" s="806"/>
      <c r="F922" s="806"/>
      <c r="I922" s="817"/>
      <c r="J922" s="817"/>
      <c r="K922" s="817"/>
      <c r="M922" s="817"/>
      <c r="N922" s="817"/>
      <c r="O922" s="817"/>
      <c r="P922" s="817"/>
      <c r="Q922" s="817"/>
      <c r="R922" s="817"/>
      <c r="S922" s="817"/>
      <c r="T922" s="817"/>
      <c r="U922" s="817"/>
      <c r="V922" s="817"/>
      <c r="W922" s="817"/>
      <c r="X922" s="817"/>
      <c r="Y922" s="817"/>
      <c r="Z922" s="817"/>
      <c r="AC922" s="817"/>
      <c r="AD922" s="817"/>
      <c r="AE922" s="817"/>
      <c r="AF922" s="817"/>
      <c r="AG922" s="817"/>
      <c r="AI922" s="817"/>
      <c r="AJ922" s="817"/>
      <c r="AL922" s="817"/>
      <c r="AM922" s="817"/>
      <c r="AN922" s="817"/>
      <c r="AO922" s="817"/>
      <c r="AP922" s="817"/>
      <c r="AQ922" s="817"/>
      <c r="AR922" s="817"/>
      <c r="AS922" s="817"/>
      <c r="AT922" s="817"/>
      <c r="AU922" s="817"/>
      <c r="AV922" s="817"/>
      <c r="AW922" s="817"/>
      <c r="AX922" s="817"/>
      <c r="AY922" s="817"/>
      <c r="AZ922" s="817"/>
      <c r="BA922" s="817"/>
      <c r="BC922" s="817"/>
      <c r="BD922" s="817"/>
      <c r="BE922" s="817"/>
      <c r="BF922" s="817"/>
      <c r="BG922" s="817">
        <v>0</v>
      </c>
      <c r="BH922" s="817"/>
      <c r="BI922" s="817"/>
      <c r="BJ922" s="817"/>
      <c r="BL922" s="817">
        <v>10</v>
      </c>
      <c r="BM922" s="817"/>
      <c r="BN922" s="817"/>
      <c r="BO922" s="817"/>
      <c r="BQ922" s="817"/>
      <c r="BR922" s="817"/>
      <c r="BS922" s="817"/>
      <c r="BT922" s="817"/>
      <c r="BU922" s="817"/>
    </row>
    <row r="923" spans="1:73" x14ac:dyDescent="0.35">
      <c r="A923" s="806" t="s">
        <v>856</v>
      </c>
      <c r="B923" s="806" t="s">
        <v>859</v>
      </c>
      <c r="C923" s="806"/>
      <c r="D923" s="806"/>
      <c r="E923" s="806"/>
      <c r="F923" s="806"/>
      <c r="G923" s="817"/>
      <c r="I923" s="817"/>
      <c r="J923" s="817"/>
      <c r="K923" s="817"/>
      <c r="M923" s="817"/>
      <c r="N923" s="817"/>
      <c r="O923" s="817"/>
      <c r="P923" s="817"/>
      <c r="Q923" s="817"/>
      <c r="R923" s="817"/>
      <c r="S923" s="817"/>
      <c r="T923" s="817"/>
      <c r="U923" s="817"/>
      <c r="V923" s="817"/>
      <c r="W923" s="817"/>
      <c r="X923" s="817"/>
      <c r="Y923" s="817"/>
      <c r="Z923" s="817"/>
      <c r="AA923" s="817"/>
      <c r="AC923" s="817"/>
      <c r="AD923" s="817"/>
      <c r="AE923" s="817"/>
      <c r="AF923" s="817"/>
      <c r="AG923" s="817"/>
      <c r="AH923" s="817"/>
      <c r="AI923" s="817"/>
      <c r="AJ923" s="817"/>
      <c r="AL923" s="817"/>
      <c r="AM923" s="817"/>
      <c r="AN923" s="817"/>
      <c r="AO923" s="817"/>
      <c r="AP923" s="817"/>
      <c r="AQ923" s="817"/>
      <c r="AR923" s="817"/>
      <c r="AS923" s="817"/>
      <c r="AT923" s="817"/>
      <c r="AU923" s="817"/>
      <c r="AV923" s="817"/>
      <c r="AW923" s="817"/>
      <c r="AX923" s="817"/>
      <c r="AY923" s="817"/>
      <c r="AZ923" s="817"/>
      <c r="BA923" s="817"/>
      <c r="BC923" s="817"/>
      <c r="BD923" s="817"/>
      <c r="BE923" s="817"/>
      <c r="BF923" s="817"/>
      <c r="BG923" s="817">
        <v>65</v>
      </c>
      <c r="BH923" s="817"/>
      <c r="BI923" s="817"/>
      <c r="BJ923" s="817"/>
      <c r="BK923" s="817"/>
      <c r="BL923" s="817">
        <v>75</v>
      </c>
      <c r="BM923" s="817"/>
      <c r="BN923" s="817"/>
      <c r="BO923" s="817"/>
      <c r="BQ923" s="817"/>
      <c r="BR923" s="817"/>
      <c r="BS923" s="817"/>
      <c r="BT923" s="817"/>
      <c r="BU923" s="817"/>
    </row>
    <row r="924" spans="1:73" x14ac:dyDescent="0.35">
      <c r="A924" s="806" t="s">
        <v>856</v>
      </c>
      <c r="B924" s="806" t="s">
        <v>860</v>
      </c>
      <c r="C924" s="806"/>
      <c r="D924" s="806"/>
      <c r="E924" s="806"/>
      <c r="F924" s="806"/>
      <c r="G924" s="816"/>
      <c r="I924" s="818"/>
      <c r="J924" s="818"/>
      <c r="K924" s="818"/>
      <c r="M924" s="818"/>
      <c r="N924" s="818"/>
      <c r="O924" s="818"/>
      <c r="P924" s="818"/>
      <c r="Q924" s="818"/>
      <c r="R924" s="818"/>
      <c r="S924" s="818"/>
      <c r="T924" s="818"/>
      <c r="U924" s="818"/>
      <c r="V924" s="818"/>
      <c r="W924" s="818"/>
      <c r="X924" s="818"/>
      <c r="Y924" s="818"/>
      <c r="Z924" s="818"/>
      <c r="AA924" s="817"/>
      <c r="AC924" s="818"/>
      <c r="AD924" s="818"/>
      <c r="AE924" s="818"/>
      <c r="AF924" s="818"/>
      <c r="AG924" s="818"/>
      <c r="AH924" s="817"/>
      <c r="AI924" s="818"/>
      <c r="AJ924" s="818"/>
      <c r="AL924" s="818"/>
      <c r="AM924" s="818"/>
      <c r="AN924" s="818"/>
      <c r="AO924" s="818"/>
      <c r="AP924" s="818"/>
      <c r="AQ924" s="818"/>
      <c r="AR924" s="818"/>
      <c r="AS924" s="818"/>
      <c r="AT924" s="818"/>
      <c r="AU924" s="818"/>
      <c r="AV924" s="818"/>
      <c r="AW924" s="818"/>
      <c r="AX924" s="818"/>
      <c r="AY924" s="818"/>
      <c r="AZ924" s="818"/>
      <c r="BA924" s="818"/>
      <c r="BC924" s="818"/>
      <c r="BD924" s="818"/>
      <c r="BE924" s="818"/>
      <c r="BF924" s="818"/>
      <c r="BG924" s="818">
        <v>5000000</v>
      </c>
      <c r="BH924" s="818"/>
      <c r="BI924" s="818"/>
      <c r="BJ924" s="818"/>
      <c r="BK924" s="818"/>
      <c r="BL924" s="818">
        <v>5000000</v>
      </c>
      <c r="BM924" s="818"/>
      <c r="BN924" s="818"/>
      <c r="BO924" s="818"/>
      <c r="BQ924" s="818"/>
      <c r="BR924" s="818"/>
      <c r="BS924" s="818"/>
      <c r="BT924" s="818"/>
      <c r="BU924" s="818"/>
    </row>
    <row r="925" spans="1:73" ht="29" x14ac:dyDescent="0.35">
      <c r="A925" s="806" t="s">
        <v>856</v>
      </c>
      <c r="B925" s="806" t="s">
        <v>1370</v>
      </c>
      <c r="C925" s="806"/>
      <c r="D925" s="806"/>
      <c r="E925" s="806"/>
      <c r="F925" s="806"/>
      <c r="I925" s="817"/>
      <c r="J925" s="817"/>
      <c r="K925" s="817"/>
      <c r="M925" s="817"/>
      <c r="N925" s="817"/>
      <c r="O925" s="817"/>
      <c r="P925" s="817"/>
      <c r="Q925" s="817"/>
      <c r="R925" s="817"/>
      <c r="S925" s="817"/>
      <c r="T925" s="817"/>
      <c r="U925" s="817"/>
      <c r="V925" s="817"/>
      <c r="W925" s="817"/>
      <c r="X925" s="817"/>
      <c r="Y925" s="817"/>
      <c r="Z925" s="817"/>
      <c r="AC925" s="817"/>
      <c r="AD925" s="817"/>
      <c r="AE925" s="817"/>
      <c r="AF925" s="817"/>
      <c r="AG925" s="817"/>
      <c r="AI925" s="817"/>
      <c r="AJ925" s="817"/>
      <c r="AL925" s="817"/>
      <c r="AM925" s="817"/>
      <c r="AN925" s="817"/>
      <c r="AO925" s="817"/>
      <c r="AP925" s="817"/>
      <c r="AQ925" s="817"/>
      <c r="AR925" s="817"/>
      <c r="AS925" s="817"/>
      <c r="AT925" s="817"/>
      <c r="AU925" s="817"/>
      <c r="AV925" s="817"/>
      <c r="AW925" s="817"/>
      <c r="AX925" s="817"/>
      <c r="AY925" s="817"/>
      <c r="AZ925" s="817"/>
      <c r="BA925" s="817"/>
      <c r="BC925" s="817"/>
      <c r="BD925" s="817"/>
      <c r="BE925" s="817"/>
      <c r="BF925" s="817"/>
      <c r="BG925" s="817">
        <v>0</v>
      </c>
      <c r="BH925" s="817"/>
      <c r="BI925" s="817"/>
      <c r="BJ925" s="817"/>
      <c r="BL925" s="817">
        <v>0</v>
      </c>
      <c r="BM925" s="817"/>
      <c r="BN925" s="817"/>
      <c r="BO925" s="817"/>
      <c r="BQ925" s="817"/>
      <c r="BR925" s="817"/>
      <c r="BS925" s="817"/>
      <c r="BT925" s="817"/>
      <c r="BU925" s="817"/>
    </row>
    <row r="926" spans="1:73" ht="29" x14ac:dyDescent="0.35">
      <c r="A926" s="806" t="s">
        <v>856</v>
      </c>
      <c r="B926" s="806" t="s">
        <v>861</v>
      </c>
      <c r="C926" s="806"/>
      <c r="D926" s="806"/>
      <c r="E926" s="806"/>
      <c r="F926" s="806"/>
      <c r="G926" s="817"/>
      <c r="I926" s="816"/>
      <c r="J926" s="816"/>
      <c r="K926" s="816"/>
      <c r="M926" s="816"/>
      <c r="N926" s="816"/>
      <c r="O926" s="816"/>
      <c r="P926" s="816"/>
      <c r="Q926" s="816"/>
      <c r="R926" s="816"/>
      <c r="S926" s="816"/>
      <c r="T926" s="816"/>
      <c r="U926" s="816"/>
      <c r="V926" s="816"/>
      <c r="W926" s="816"/>
      <c r="X926" s="816"/>
      <c r="Y926" s="816"/>
      <c r="Z926" s="816"/>
      <c r="AA926" s="817"/>
      <c r="AC926" s="816"/>
      <c r="AD926" s="816"/>
      <c r="AE926" s="816"/>
      <c r="AF926" s="816"/>
      <c r="AG926" s="816"/>
      <c r="AH926" s="816"/>
      <c r="AI926" s="816"/>
      <c r="AJ926" s="816"/>
      <c r="AL926" s="816"/>
      <c r="AM926" s="816"/>
      <c r="AN926" s="816"/>
      <c r="AO926" s="816"/>
      <c r="AP926" s="816"/>
      <c r="AQ926" s="816"/>
      <c r="AR926" s="816"/>
      <c r="AS926" s="816"/>
      <c r="AT926" s="816"/>
      <c r="AU926" s="816"/>
      <c r="AV926" s="816"/>
      <c r="AW926" s="816"/>
      <c r="AX926" s="816"/>
      <c r="AY926" s="816"/>
      <c r="AZ926" s="816"/>
      <c r="BA926" s="816"/>
      <c r="BC926" s="816"/>
      <c r="BD926" s="816"/>
      <c r="BE926" s="816"/>
      <c r="BF926" s="816"/>
      <c r="BG926" s="816" t="s">
        <v>1959</v>
      </c>
      <c r="BH926" s="816"/>
      <c r="BI926" s="816"/>
      <c r="BJ926" s="816"/>
      <c r="BK926" s="818"/>
      <c r="BL926" s="816" t="s">
        <v>1959</v>
      </c>
      <c r="BM926" s="816"/>
      <c r="BN926" s="816"/>
      <c r="BO926" s="816"/>
      <c r="BQ926" s="816"/>
      <c r="BR926" s="816"/>
      <c r="BS926" s="816"/>
      <c r="BT926" s="816"/>
      <c r="BU926" s="816"/>
    </row>
    <row r="927" spans="1:73" ht="29" x14ac:dyDescent="0.35">
      <c r="A927" s="806" t="s">
        <v>856</v>
      </c>
      <c r="B927" s="806" t="s">
        <v>1350</v>
      </c>
      <c r="C927" s="806"/>
      <c r="D927" s="806"/>
      <c r="E927" s="806"/>
      <c r="F927" s="806"/>
      <c r="I927" s="817"/>
      <c r="J927" s="817"/>
      <c r="K927" s="817"/>
      <c r="M927" s="817"/>
      <c r="N927" s="817"/>
      <c r="O927" s="817"/>
      <c r="P927" s="817"/>
      <c r="Q927" s="817"/>
      <c r="R927" s="817"/>
      <c r="S927" s="817"/>
      <c r="T927" s="817"/>
      <c r="U927" s="817"/>
      <c r="V927" s="817"/>
      <c r="W927" s="817"/>
      <c r="X927" s="817"/>
      <c r="Y927" s="817"/>
      <c r="Z927" s="817"/>
      <c r="AC927" s="817"/>
      <c r="AD927" s="817"/>
      <c r="AE927" s="817"/>
      <c r="AF927" s="817"/>
      <c r="AG927" s="817"/>
      <c r="AI927" s="817"/>
      <c r="AJ927" s="817"/>
      <c r="AL927" s="817"/>
      <c r="AM927" s="817"/>
      <c r="AN927" s="817"/>
      <c r="AO927" s="817"/>
      <c r="AP927" s="817"/>
      <c r="AQ927" s="817"/>
      <c r="AR927" s="817"/>
      <c r="AS927" s="817"/>
      <c r="AT927" s="817"/>
      <c r="AU927" s="817"/>
      <c r="AV927" s="817"/>
      <c r="AW927" s="817"/>
      <c r="AX927" s="817"/>
      <c r="AY927" s="817"/>
      <c r="AZ927" s="817"/>
      <c r="BA927" s="817"/>
      <c r="BC927" s="817"/>
      <c r="BD927" s="817"/>
      <c r="BE927" s="817"/>
      <c r="BF927" s="817"/>
      <c r="BG927" s="817">
        <v>0</v>
      </c>
      <c r="BH927" s="817"/>
      <c r="BI927" s="817"/>
      <c r="BJ927" s="817"/>
      <c r="BL927" s="817">
        <v>0</v>
      </c>
      <c r="BM927" s="817"/>
      <c r="BN927" s="817"/>
      <c r="BO927" s="817"/>
      <c r="BQ927" s="817"/>
      <c r="BR927" s="817"/>
      <c r="BS927" s="817"/>
      <c r="BT927" s="817"/>
      <c r="BU927" s="817"/>
    </row>
    <row r="928" spans="1:73" ht="29" x14ac:dyDescent="0.35">
      <c r="A928" s="806" t="s">
        <v>856</v>
      </c>
      <c r="B928" s="806" t="s">
        <v>1356</v>
      </c>
      <c r="C928" s="806"/>
      <c r="D928" s="806"/>
      <c r="E928" s="806"/>
      <c r="F928" s="806"/>
      <c r="I928" s="816"/>
      <c r="J928" s="816"/>
      <c r="K928" s="816"/>
      <c r="M928" s="816"/>
      <c r="N928" s="816"/>
      <c r="O928" s="816"/>
      <c r="P928" s="816"/>
      <c r="Q928" s="816"/>
      <c r="R928" s="816"/>
      <c r="S928" s="816"/>
      <c r="T928" s="816"/>
      <c r="U928" s="816"/>
      <c r="V928" s="816"/>
      <c r="W928" s="816"/>
      <c r="X928" s="816"/>
      <c r="Y928" s="816"/>
      <c r="Z928" s="816"/>
      <c r="AC928" s="816"/>
      <c r="AD928" s="816"/>
      <c r="AE928" s="816"/>
      <c r="AF928" s="816"/>
      <c r="AG928" s="816"/>
      <c r="AI928" s="816"/>
      <c r="AJ928" s="816"/>
      <c r="AL928" s="816"/>
      <c r="AM928" s="816"/>
      <c r="AN928" s="816"/>
      <c r="AO928" s="816"/>
      <c r="AP928" s="816"/>
      <c r="AQ928" s="816"/>
      <c r="AR928" s="816"/>
      <c r="AS928" s="816"/>
      <c r="AT928" s="816"/>
      <c r="AU928" s="816"/>
      <c r="AV928" s="816"/>
      <c r="AW928" s="816"/>
      <c r="AX928" s="816"/>
      <c r="AY928" s="816"/>
      <c r="AZ928" s="816"/>
      <c r="BA928" s="816"/>
      <c r="BC928" s="816"/>
      <c r="BD928" s="816"/>
      <c r="BE928" s="816"/>
      <c r="BF928" s="816"/>
      <c r="BG928" s="816"/>
      <c r="BH928" s="816"/>
      <c r="BI928" s="816"/>
      <c r="BJ928" s="816"/>
      <c r="BL928" s="816" t="s">
        <v>198</v>
      </c>
      <c r="BM928" s="816"/>
      <c r="BN928" s="816"/>
      <c r="BO928" s="816"/>
      <c r="BQ928" s="816"/>
      <c r="BR928" s="816"/>
      <c r="BS928" s="816"/>
      <c r="BT928" s="816"/>
      <c r="BU928" s="816"/>
    </row>
    <row r="929" spans="1:73" x14ac:dyDescent="0.35">
      <c r="A929" s="806" t="s">
        <v>856</v>
      </c>
      <c r="B929" s="806" t="s">
        <v>1621</v>
      </c>
      <c r="C929" s="806"/>
      <c r="D929" s="806"/>
      <c r="E929" s="806"/>
      <c r="F929" s="806"/>
      <c r="I929" s="816"/>
      <c r="K929" s="816"/>
      <c r="M929" s="816"/>
      <c r="N929" s="816"/>
      <c r="O929" s="816"/>
      <c r="P929" s="816"/>
      <c r="Q929" s="816"/>
      <c r="S929" s="816"/>
      <c r="T929" s="816"/>
      <c r="U929" s="816"/>
      <c r="V929" s="816"/>
      <c r="W929" s="816"/>
      <c r="X929" s="816"/>
      <c r="Z929" s="816"/>
      <c r="AC929" s="816"/>
      <c r="AD929" s="816"/>
      <c r="AE929" s="816"/>
      <c r="AF929" s="816"/>
      <c r="AG929" s="816"/>
      <c r="AI929" s="816"/>
      <c r="AJ929" s="816"/>
      <c r="AL929" s="816"/>
      <c r="AP929" s="816"/>
      <c r="AQ929" s="816"/>
      <c r="AR929" s="816"/>
      <c r="AS929" s="816"/>
      <c r="AT929" s="816"/>
      <c r="AU929" s="816"/>
      <c r="AV929" s="816"/>
      <c r="AX929" s="816"/>
      <c r="AY929" s="816"/>
      <c r="AZ929" s="816"/>
      <c r="BA929" s="816"/>
      <c r="BC929" s="816"/>
      <c r="BD929" s="816"/>
      <c r="BE929" s="816"/>
      <c r="BG929" s="816" t="s">
        <v>503</v>
      </c>
      <c r="BH929" s="816"/>
      <c r="BI929" s="816"/>
      <c r="BJ929" s="816"/>
      <c r="BL929" s="816" t="s">
        <v>503</v>
      </c>
      <c r="BM929" s="816"/>
      <c r="BN929" s="816"/>
      <c r="BO929" s="816"/>
      <c r="BQ929" s="816"/>
      <c r="BR929" s="816"/>
      <c r="BS929" s="816"/>
      <c r="BT929" s="816"/>
      <c r="BU929" s="816"/>
    </row>
    <row r="930" spans="1:73" x14ac:dyDescent="0.35">
      <c r="A930" s="806" t="s">
        <v>1386</v>
      </c>
      <c r="B930" s="806" t="s">
        <v>1389</v>
      </c>
      <c r="C930" s="806"/>
      <c r="D930" s="806"/>
      <c r="E930" s="806"/>
      <c r="F930" s="806"/>
      <c r="I930" s="816"/>
      <c r="J930" s="816"/>
      <c r="K930" s="816"/>
      <c r="M930" s="816"/>
      <c r="N930" s="816"/>
      <c r="O930" s="816"/>
      <c r="P930" s="816"/>
      <c r="Q930" s="816"/>
      <c r="R930" s="816"/>
      <c r="S930" s="816"/>
      <c r="T930" s="816"/>
      <c r="U930" s="816"/>
      <c r="V930" s="816"/>
      <c r="W930" s="816"/>
      <c r="X930" s="816"/>
      <c r="Y930" s="816"/>
      <c r="Z930" s="816"/>
      <c r="AC930" s="816"/>
      <c r="AD930" s="816"/>
      <c r="AE930" s="816"/>
      <c r="AF930" s="816"/>
      <c r="AG930" s="816"/>
      <c r="AH930" s="816" t="s">
        <v>503</v>
      </c>
      <c r="AI930" s="816"/>
      <c r="AJ930" s="816"/>
      <c r="AL930" s="816"/>
      <c r="AM930" s="816"/>
      <c r="AN930" s="816"/>
      <c r="AO930" s="816"/>
      <c r="AP930" s="816"/>
      <c r="AQ930" s="816"/>
      <c r="AR930" s="816"/>
      <c r="AS930" s="816"/>
      <c r="AT930" s="816"/>
      <c r="AU930" s="816"/>
      <c r="AV930" s="816"/>
      <c r="AW930" s="816"/>
      <c r="AX930" s="816"/>
      <c r="AY930" s="816"/>
      <c r="AZ930" s="816"/>
      <c r="BA930" s="816"/>
      <c r="BC930" s="816"/>
      <c r="BD930" s="816"/>
      <c r="BE930" s="816"/>
      <c r="BF930" s="816"/>
      <c r="BG930" s="816" t="s">
        <v>503</v>
      </c>
      <c r="BH930" s="816"/>
      <c r="BI930" s="816"/>
      <c r="BJ930" s="816"/>
      <c r="BK930" s="816" t="s">
        <v>198</v>
      </c>
      <c r="BL930" s="816" t="s">
        <v>503</v>
      </c>
      <c r="BM930" s="816"/>
      <c r="BN930" s="816"/>
      <c r="BO930" s="816"/>
      <c r="BQ930" s="816"/>
      <c r="BR930" s="816"/>
      <c r="BS930" s="816"/>
      <c r="BT930" s="816"/>
      <c r="BU930" s="816" t="s">
        <v>198</v>
      </c>
    </row>
    <row r="931" spans="1:73" x14ac:dyDescent="0.35">
      <c r="A931" s="806" t="s">
        <v>1386</v>
      </c>
      <c r="B931" s="806" t="s">
        <v>1387</v>
      </c>
      <c r="C931" s="806"/>
      <c r="D931" s="806"/>
      <c r="E931" s="806"/>
      <c r="F931" s="806"/>
      <c r="I931" s="816"/>
      <c r="J931" s="816"/>
      <c r="K931" s="816"/>
      <c r="M931" s="816"/>
      <c r="N931" s="816"/>
      <c r="O931" s="816"/>
      <c r="P931" s="816"/>
      <c r="Q931" s="816"/>
      <c r="R931" s="816"/>
      <c r="S931" s="816"/>
      <c r="T931" s="816"/>
      <c r="U931" s="816"/>
      <c r="V931" s="816"/>
      <c r="W931" s="816"/>
      <c r="X931" s="816"/>
      <c r="Y931" s="816"/>
      <c r="Z931" s="816"/>
      <c r="AC931" s="816"/>
      <c r="AD931" s="816"/>
      <c r="AE931" s="816"/>
      <c r="AF931" s="816"/>
      <c r="AG931" s="816"/>
      <c r="AH931" s="816" t="s">
        <v>198</v>
      </c>
      <c r="AI931" s="816"/>
      <c r="AJ931" s="816"/>
      <c r="AL931" s="816"/>
      <c r="AM931" s="816"/>
      <c r="AN931" s="816"/>
      <c r="AO931" s="816"/>
      <c r="AP931" s="816"/>
      <c r="AQ931" s="816"/>
      <c r="AR931" s="816"/>
      <c r="AS931" s="816"/>
      <c r="AT931" s="816"/>
      <c r="AU931" s="816"/>
      <c r="AV931" s="816"/>
      <c r="AW931" s="816"/>
      <c r="AX931" s="816"/>
      <c r="AY931" s="816"/>
      <c r="AZ931" s="816"/>
      <c r="BA931" s="816"/>
      <c r="BC931" s="816"/>
      <c r="BD931" s="816"/>
      <c r="BE931" s="816"/>
      <c r="BF931" s="816"/>
      <c r="BG931" s="816" t="s">
        <v>198</v>
      </c>
      <c r="BH931" s="816"/>
      <c r="BI931" s="816"/>
      <c r="BJ931" s="816"/>
      <c r="BK931" s="816" t="s">
        <v>198</v>
      </c>
      <c r="BL931" s="816" t="s">
        <v>198</v>
      </c>
      <c r="BM931" s="816"/>
      <c r="BN931" s="816"/>
      <c r="BO931" s="816"/>
      <c r="BQ931" s="816"/>
      <c r="BR931" s="816"/>
      <c r="BS931" s="816"/>
      <c r="BT931" s="816"/>
      <c r="BU931" s="816" t="s">
        <v>198</v>
      </c>
    </row>
    <row r="932" spans="1:73" x14ac:dyDescent="0.35">
      <c r="A932" s="806" t="s">
        <v>901</v>
      </c>
      <c r="B932" s="806" t="s">
        <v>915</v>
      </c>
      <c r="C932" s="806"/>
      <c r="D932" s="806"/>
      <c r="E932" s="806"/>
      <c r="F932" s="806"/>
      <c r="I932" s="816"/>
      <c r="J932" s="816"/>
      <c r="K932" s="816"/>
      <c r="M932" s="816"/>
      <c r="N932" s="816"/>
      <c r="O932" s="816"/>
      <c r="P932" s="816"/>
      <c r="Q932" s="816"/>
      <c r="R932" s="816"/>
      <c r="S932" s="816"/>
      <c r="T932" s="816"/>
      <c r="U932" s="816"/>
      <c r="V932" s="816"/>
      <c r="W932" s="816"/>
      <c r="X932" s="816"/>
      <c r="Y932" s="816"/>
      <c r="Z932" s="816"/>
      <c r="AA932" s="816" t="s">
        <v>198</v>
      </c>
      <c r="AC932" s="816"/>
      <c r="AD932" s="816"/>
      <c r="AE932" s="816"/>
      <c r="AF932" s="816"/>
      <c r="AG932" s="816"/>
      <c r="AH932" s="816" t="s">
        <v>198</v>
      </c>
      <c r="AI932" s="816"/>
      <c r="AJ932" s="816"/>
      <c r="AL932" s="816"/>
      <c r="AM932" s="816" t="s">
        <v>198</v>
      </c>
      <c r="AN932" s="816"/>
      <c r="AO932" s="816"/>
      <c r="AP932" s="816"/>
      <c r="AQ932" s="816"/>
      <c r="AR932" s="816"/>
      <c r="AS932" s="816"/>
      <c r="AT932" s="816"/>
      <c r="AU932" s="816"/>
      <c r="AV932" s="816"/>
      <c r="AW932" s="816"/>
      <c r="AX932" s="816"/>
      <c r="AY932" s="816"/>
      <c r="AZ932" s="816"/>
      <c r="BA932" s="816"/>
      <c r="BC932" s="816"/>
      <c r="BD932" s="816"/>
      <c r="BE932" s="816"/>
      <c r="BF932" s="816"/>
      <c r="BG932" s="816" t="s">
        <v>198</v>
      </c>
      <c r="BH932" s="816"/>
      <c r="BI932" s="816" t="s">
        <v>198</v>
      </c>
      <c r="BJ932" s="816"/>
      <c r="BK932" s="816" t="s">
        <v>198</v>
      </c>
      <c r="BL932" s="816" t="s">
        <v>198</v>
      </c>
      <c r="BM932" s="816"/>
      <c r="BN932" s="816"/>
      <c r="BO932" s="816"/>
      <c r="BQ932" s="816"/>
      <c r="BR932" s="816"/>
      <c r="BS932" s="816"/>
      <c r="BT932" s="816"/>
      <c r="BU932" s="816" t="s">
        <v>198</v>
      </c>
    </row>
    <row r="933" spans="1:73" ht="29" x14ac:dyDescent="0.35">
      <c r="A933" s="806" t="s">
        <v>901</v>
      </c>
      <c r="B933" s="806" t="s">
        <v>912</v>
      </c>
      <c r="C933" s="806"/>
      <c r="D933" s="806"/>
      <c r="E933" s="806"/>
      <c r="F933" s="806"/>
      <c r="I933" s="816"/>
      <c r="J933" s="816"/>
      <c r="K933" s="816"/>
      <c r="M933" s="816"/>
      <c r="N933" s="816"/>
      <c r="O933" s="816"/>
      <c r="P933" s="816"/>
      <c r="Q933" s="816"/>
      <c r="R933" s="816"/>
      <c r="S933" s="816"/>
      <c r="T933" s="816"/>
      <c r="U933" s="816"/>
      <c r="V933" s="816"/>
      <c r="W933" s="816"/>
      <c r="X933" s="816"/>
      <c r="Y933" s="816"/>
      <c r="Z933" s="816"/>
      <c r="AA933" s="816" t="s">
        <v>198</v>
      </c>
      <c r="AC933" s="816"/>
      <c r="AD933" s="816"/>
      <c r="AE933" s="816"/>
      <c r="AF933" s="816"/>
      <c r="AG933" s="816"/>
      <c r="AH933" s="816" t="s">
        <v>198</v>
      </c>
      <c r="AI933" s="816"/>
      <c r="AJ933" s="816"/>
      <c r="AL933" s="816"/>
      <c r="AM933" s="816" t="s">
        <v>198</v>
      </c>
      <c r="AN933" s="816"/>
      <c r="AO933" s="816"/>
      <c r="AP933" s="816"/>
      <c r="AQ933" s="816"/>
      <c r="AR933" s="816"/>
      <c r="AS933" s="816"/>
      <c r="AT933" s="816"/>
      <c r="AU933" s="816"/>
      <c r="AV933" s="816"/>
      <c r="AW933" s="816"/>
      <c r="AX933" s="816"/>
      <c r="AY933" s="816"/>
      <c r="AZ933" s="816"/>
      <c r="BA933" s="816"/>
      <c r="BC933" s="816"/>
      <c r="BD933" s="816"/>
      <c r="BE933" s="816"/>
      <c r="BF933" s="816"/>
      <c r="BG933" s="816" t="s">
        <v>198</v>
      </c>
      <c r="BH933" s="816"/>
      <c r="BI933" s="816" t="s">
        <v>198</v>
      </c>
      <c r="BJ933" s="816"/>
      <c r="BK933" s="816" t="s">
        <v>198</v>
      </c>
      <c r="BL933" s="816" t="s">
        <v>198</v>
      </c>
      <c r="BM933" s="816"/>
      <c r="BN933" s="816"/>
      <c r="BO933" s="816"/>
      <c r="BQ933" s="816"/>
      <c r="BR933" s="816"/>
      <c r="BS933" s="816"/>
      <c r="BT933" s="816"/>
      <c r="BU933" s="816" t="s">
        <v>198</v>
      </c>
    </row>
    <row r="934" spans="1:73" x14ac:dyDescent="0.35">
      <c r="A934" s="806" t="s">
        <v>901</v>
      </c>
      <c r="B934" s="806" t="s">
        <v>911</v>
      </c>
      <c r="C934" s="806"/>
      <c r="D934" s="806"/>
      <c r="E934" s="806"/>
      <c r="F934" s="806"/>
      <c r="I934" s="816"/>
      <c r="J934" s="816"/>
      <c r="K934" s="816"/>
      <c r="M934" s="816"/>
      <c r="N934" s="816"/>
      <c r="O934" s="816"/>
      <c r="P934" s="816"/>
      <c r="Q934" s="816"/>
      <c r="R934" s="816"/>
      <c r="S934" s="816"/>
      <c r="T934" s="816"/>
      <c r="U934" s="816"/>
      <c r="V934" s="816"/>
      <c r="W934" s="816"/>
      <c r="X934" s="816"/>
      <c r="Y934" s="816"/>
      <c r="Z934" s="816"/>
      <c r="AA934" s="816" t="s">
        <v>198</v>
      </c>
      <c r="AC934" s="816"/>
      <c r="AD934" s="816"/>
      <c r="AE934" s="816"/>
      <c r="AF934" s="816"/>
      <c r="AG934" s="816"/>
      <c r="AH934" s="816" t="s">
        <v>198</v>
      </c>
      <c r="AI934" s="816"/>
      <c r="AJ934" s="816"/>
      <c r="AL934" s="816"/>
      <c r="AM934" s="816" t="s">
        <v>198</v>
      </c>
      <c r="AN934" s="816"/>
      <c r="AO934" s="816"/>
      <c r="AP934" s="816"/>
      <c r="AQ934" s="816"/>
      <c r="AR934" s="816"/>
      <c r="AS934" s="816"/>
      <c r="AT934" s="816"/>
      <c r="AU934" s="816"/>
      <c r="AV934" s="816"/>
      <c r="AW934" s="816"/>
      <c r="AX934" s="816"/>
      <c r="AY934" s="816"/>
      <c r="AZ934" s="816"/>
      <c r="BA934" s="816"/>
      <c r="BC934" s="816"/>
      <c r="BD934" s="816"/>
      <c r="BE934" s="816"/>
      <c r="BF934" s="816"/>
      <c r="BG934" s="816" t="s">
        <v>198</v>
      </c>
      <c r="BH934" s="816"/>
      <c r="BI934" s="816" t="s">
        <v>198</v>
      </c>
      <c r="BJ934" s="816"/>
      <c r="BK934" s="816" t="s">
        <v>198</v>
      </c>
      <c r="BL934" s="816" t="s">
        <v>198</v>
      </c>
      <c r="BM934" s="816"/>
      <c r="BN934" s="816"/>
      <c r="BO934" s="816"/>
      <c r="BQ934" s="816"/>
      <c r="BR934" s="816"/>
      <c r="BS934" s="816"/>
      <c r="BT934" s="816"/>
      <c r="BU934" s="816" t="s">
        <v>198</v>
      </c>
    </row>
    <row r="935" spans="1:73" x14ac:dyDescent="0.35">
      <c r="A935" s="806" t="s">
        <v>901</v>
      </c>
      <c r="B935" s="806" t="s">
        <v>902</v>
      </c>
      <c r="C935" s="806"/>
      <c r="D935" s="806"/>
      <c r="E935" s="806"/>
      <c r="F935" s="806"/>
      <c r="I935" s="816"/>
      <c r="J935" s="816"/>
      <c r="K935" s="816"/>
      <c r="M935" s="816"/>
      <c r="N935" s="816"/>
      <c r="O935" s="816"/>
      <c r="P935" s="816"/>
      <c r="Q935" s="816"/>
      <c r="R935" s="816"/>
      <c r="S935" s="816"/>
      <c r="T935" s="816"/>
      <c r="U935" s="816"/>
      <c r="V935" s="816"/>
      <c r="W935" s="816"/>
      <c r="X935" s="816"/>
      <c r="Y935" s="816"/>
      <c r="Z935" s="816"/>
      <c r="AC935" s="816"/>
      <c r="AD935" s="816"/>
      <c r="AE935" s="816"/>
      <c r="AF935" s="816"/>
      <c r="AG935" s="816"/>
      <c r="AH935" s="816" t="b">
        <v>1</v>
      </c>
      <c r="AI935" s="816"/>
      <c r="AJ935" s="816"/>
      <c r="AL935" s="816"/>
      <c r="AM935" s="816" t="b">
        <v>1</v>
      </c>
      <c r="AN935" s="816"/>
      <c r="AO935" s="816"/>
      <c r="AP935" s="816"/>
      <c r="AQ935" s="816"/>
      <c r="AR935" s="816"/>
      <c r="AS935" s="816"/>
      <c r="AT935" s="816"/>
      <c r="AU935" s="816"/>
      <c r="AV935" s="816"/>
      <c r="AW935" s="816"/>
      <c r="AX935" s="816"/>
      <c r="AY935" s="816"/>
      <c r="AZ935" s="816"/>
      <c r="BA935" s="816"/>
      <c r="BC935" s="816"/>
      <c r="BD935" s="816"/>
      <c r="BE935" s="816"/>
      <c r="BF935" s="816"/>
      <c r="BG935" s="816" t="b">
        <v>1</v>
      </c>
      <c r="BH935" s="816"/>
      <c r="BI935" s="816" t="b">
        <v>1</v>
      </c>
      <c r="BJ935" s="816"/>
      <c r="BK935" s="816" t="b">
        <v>1</v>
      </c>
      <c r="BL935" s="816" t="b">
        <v>1</v>
      </c>
      <c r="BM935" s="816"/>
      <c r="BN935" s="816"/>
      <c r="BO935" s="816"/>
      <c r="BQ935" s="816"/>
      <c r="BR935" s="816"/>
      <c r="BS935" s="816"/>
      <c r="BT935" s="816"/>
      <c r="BU935" s="816" t="b">
        <v>1</v>
      </c>
    </row>
    <row r="936" spans="1:73" ht="29" x14ac:dyDescent="0.35">
      <c r="A936" s="806" t="s">
        <v>901</v>
      </c>
      <c r="B936" s="806" t="s">
        <v>903</v>
      </c>
      <c r="C936" s="806"/>
      <c r="D936" s="806"/>
      <c r="E936" s="806"/>
      <c r="F936" s="806"/>
      <c r="I936" s="816"/>
      <c r="J936" s="816"/>
      <c r="K936" s="816"/>
      <c r="M936" s="816"/>
      <c r="N936" s="816"/>
      <c r="O936" s="816"/>
      <c r="P936" s="816"/>
      <c r="Q936" s="816"/>
      <c r="R936" s="816"/>
      <c r="S936" s="816"/>
      <c r="T936" s="816"/>
      <c r="U936" s="816"/>
      <c r="V936" s="816"/>
      <c r="W936" s="816"/>
      <c r="X936" s="816"/>
      <c r="Y936" s="816"/>
      <c r="Z936" s="816"/>
      <c r="AA936" s="816" t="s">
        <v>198</v>
      </c>
      <c r="AC936" s="816"/>
      <c r="AD936" s="816"/>
      <c r="AE936" s="816"/>
      <c r="AF936" s="816"/>
      <c r="AG936" s="816"/>
      <c r="AH936" s="816" t="s">
        <v>198</v>
      </c>
      <c r="AI936" s="816"/>
      <c r="AJ936" s="816"/>
      <c r="AL936" s="816"/>
      <c r="AM936" s="816" t="s">
        <v>198</v>
      </c>
      <c r="AN936" s="816"/>
      <c r="AO936" s="816"/>
      <c r="AP936" s="816"/>
      <c r="AQ936" s="816"/>
      <c r="AR936" s="816"/>
      <c r="AS936" s="816"/>
      <c r="AT936" s="816"/>
      <c r="AU936" s="816"/>
      <c r="AV936" s="816"/>
      <c r="AW936" s="816"/>
      <c r="AX936" s="816"/>
      <c r="AY936" s="816"/>
      <c r="AZ936" s="816"/>
      <c r="BA936" s="816"/>
      <c r="BC936" s="816"/>
      <c r="BD936" s="816"/>
      <c r="BE936" s="816"/>
      <c r="BF936" s="816"/>
      <c r="BG936" s="816" t="s">
        <v>198</v>
      </c>
      <c r="BH936" s="816"/>
      <c r="BI936" s="816" t="s">
        <v>198</v>
      </c>
      <c r="BJ936" s="816"/>
      <c r="BK936" s="816" t="s">
        <v>198</v>
      </c>
      <c r="BL936" s="816" t="s">
        <v>198</v>
      </c>
      <c r="BM936" s="816"/>
      <c r="BN936" s="816"/>
      <c r="BO936" s="816"/>
      <c r="BQ936" s="816"/>
      <c r="BR936" s="816"/>
      <c r="BS936" s="816"/>
      <c r="BT936" s="816"/>
      <c r="BU936" s="816" t="s">
        <v>198</v>
      </c>
    </row>
    <row r="937" spans="1:73" x14ac:dyDescent="0.35">
      <c r="A937" s="806" t="s">
        <v>901</v>
      </c>
      <c r="B937" s="806" t="s">
        <v>916</v>
      </c>
      <c r="C937" s="806"/>
      <c r="D937" s="806"/>
      <c r="E937" s="806"/>
      <c r="F937" s="806"/>
      <c r="I937" s="816"/>
      <c r="J937" s="816"/>
      <c r="K937" s="816"/>
      <c r="M937" s="816"/>
      <c r="N937" s="816"/>
      <c r="O937" s="816"/>
      <c r="P937" s="816"/>
      <c r="Q937" s="816"/>
      <c r="R937" s="816"/>
      <c r="S937" s="816"/>
      <c r="T937" s="816"/>
      <c r="U937" s="816"/>
      <c r="V937" s="816"/>
      <c r="W937" s="816"/>
      <c r="X937" s="816"/>
      <c r="Y937" s="816"/>
      <c r="Z937" s="816"/>
      <c r="AA937" s="816" t="s">
        <v>198</v>
      </c>
      <c r="AC937" s="816"/>
      <c r="AD937" s="816"/>
      <c r="AE937" s="816"/>
      <c r="AF937" s="816"/>
      <c r="AG937" s="816"/>
      <c r="AH937" s="816" t="s">
        <v>198</v>
      </c>
      <c r="AI937" s="816"/>
      <c r="AJ937" s="816"/>
      <c r="AL937" s="816"/>
      <c r="AM937" s="816" t="s">
        <v>198</v>
      </c>
      <c r="AN937" s="816"/>
      <c r="AO937" s="816"/>
      <c r="AP937" s="816"/>
      <c r="AQ937" s="816"/>
      <c r="AR937" s="816"/>
      <c r="AS937" s="816"/>
      <c r="AT937" s="816"/>
      <c r="AU937" s="816"/>
      <c r="AV937" s="816"/>
      <c r="AW937" s="816"/>
      <c r="AX937" s="816"/>
      <c r="AY937" s="816"/>
      <c r="AZ937" s="816"/>
      <c r="BA937" s="816"/>
      <c r="BC937" s="816"/>
      <c r="BD937" s="816"/>
      <c r="BE937" s="816"/>
      <c r="BF937" s="816"/>
      <c r="BG937" s="816" t="s">
        <v>198</v>
      </c>
      <c r="BH937" s="816"/>
      <c r="BI937" s="816" t="s">
        <v>198</v>
      </c>
      <c r="BJ937" s="816"/>
      <c r="BK937" s="816" t="s">
        <v>198</v>
      </c>
      <c r="BL937" s="816" t="s">
        <v>198</v>
      </c>
      <c r="BM937" s="816"/>
      <c r="BN937" s="816"/>
      <c r="BO937" s="816"/>
      <c r="BQ937" s="816"/>
      <c r="BR937" s="816"/>
      <c r="BS937" s="816"/>
      <c r="BT937" s="816"/>
      <c r="BU937" s="816" t="s">
        <v>198</v>
      </c>
    </row>
    <row r="938" spans="1:73" x14ac:dyDescent="0.35">
      <c r="A938" s="806" t="s">
        <v>901</v>
      </c>
      <c r="B938" s="806" t="s">
        <v>914</v>
      </c>
      <c r="C938" s="806"/>
      <c r="D938" s="806"/>
      <c r="E938" s="806"/>
      <c r="F938" s="806"/>
      <c r="I938" s="816"/>
      <c r="J938" s="816"/>
      <c r="K938" s="816"/>
      <c r="M938" s="816"/>
      <c r="N938" s="816"/>
      <c r="O938" s="816"/>
      <c r="P938" s="816"/>
      <c r="Q938" s="816"/>
      <c r="R938" s="816"/>
      <c r="S938" s="816"/>
      <c r="T938" s="816"/>
      <c r="U938" s="816"/>
      <c r="V938" s="816"/>
      <c r="W938" s="816"/>
      <c r="X938" s="816"/>
      <c r="Y938" s="816"/>
      <c r="Z938" s="816"/>
      <c r="AA938" s="816" t="s">
        <v>198</v>
      </c>
      <c r="AC938" s="816"/>
      <c r="AD938" s="816"/>
      <c r="AE938" s="816"/>
      <c r="AF938" s="816"/>
      <c r="AG938" s="816"/>
      <c r="AH938" s="816" t="s">
        <v>198</v>
      </c>
      <c r="AI938" s="816"/>
      <c r="AJ938" s="816"/>
      <c r="AL938" s="816"/>
      <c r="AM938" s="816" t="s">
        <v>198</v>
      </c>
      <c r="AN938" s="816"/>
      <c r="AO938" s="816"/>
      <c r="AP938" s="816"/>
      <c r="AQ938" s="816"/>
      <c r="AR938" s="816"/>
      <c r="AS938" s="816"/>
      <c r="AT938" s="816"/>
      <c r="AU938" s="816"/>
      <c r="AV938" s="816"/>
      <c r="AW938" s="816"/>
      <c r="AX938" s="816"/>
      <c r="AY938" s="816"/>
      <c r="AZ938" s="816"/>
      <c r="BA938" s="816"/>
      <c r="BC938" s="816"/>
      <c r="BD938" s="816"/>
      <c r="BE938" s="816"/>
      <c r="BF938" s="816"/>
      <c r="BG938" s="816" t="s">
        <v>198</v>
      </c>
      <c r="BH938" s="816"/>
      <c r="BI938" s="816" t="s">
        <v>198</v>
      </c>
      <c r="BJ938" s="816"/>
      <c r="BK938" s="816" t="s">
        <v>198</v>
      </c>
      <c r="BL938" s="816" t="s">
        <v>198</v>
      </c>
      <c r="BM938" s="816"/>
      <c r="BN938" s="816"/>
      <c r="BO938" s="816"/>
      <c r="BQ938" s="816"/>
      <c r="BR938" s="816"/>
      <c r="BS938" s="816"/>
      <c r="BT938" s="816"/>
      <c r="BU938" s="816" t="s">
        <v>198</v>
      </c>
    </row>
    <row r="939" spans="1:73" x14ac:dyDescent="0.35">
      <c r="A939" s="806" t="s">
        <v>901</v>
      </c>
      <c r="B939" s="806" t="s">
        <v>1395</v>
      </c>
      <c r="C939" s="806"/>
      <c r="D939" s="806"/>
      <c r="E939" s="806"/>
      <c r="F939" s="806"/>
      <c r="I939" s="816"/>
      <c r="J939" s="816"/>
      <c r="K939" s="816"/>
      <c r="M939" s="816"/>
      <c r="N939" s="816"/>
      <c r="O939" s="816"/>
      <c r="P939" s="816"/>
      <c r="Q939" s="816"/>
      <c r="R939" s="816"/>
      <c r="S939" s="816"/>
      <c r="T939" s="816"/>
      <c r="U939" s="816"/>
      <c r="V939" s="816"/>
      <c r="W939" s="816"/>
      <c r="X939" s="816"/>
      <c r="Y939" s="816"/>
      <c r="Z939" s="816"/>
      <c r="AC939" s="816"/>
      <c r="AD939" s="816"/>
      <c r="AE939" s="816"/>
      <c r="AF939" s="816"/>
      <c r="AG939" s="816"/>
      <c r="AI939" s="816"/>
      <c r="AJ939" s="816"/>
      <c r="AL939" s="816"/>
      <c r="AM939" s="816" t="s">
        <v>198</v>
      </c>
      <c r="AN939" s="816"/>
      <c r="AO939" s="816"/>
      <c r="AP939" s="816"/>
      <c r="AQ939" s="816"/>
      <c r="AR939" s="816"/>
      <c r="AS939" s="816"/>
      <c r="AT939" s="816"/>
      <c r="AU939" s="816"/>
      <c r="AV939" s="816"/>
      <c r="AW939" s="816"/>
      <c r="AX939" s="816"/>
      <c r="AY939" s="816"/>
      <c r="AZ939" s="816"/>
      <c r="BA939" s="816"/>
      <c r="BC939" s="816"/>
      <c r="BD939" s="816"/>
      <c r="BE939" s="816"/>
      <c r="BF939" s="816"/>
      <c r="BG939" s="816" t="s">
        <v>198</v>
      </c>
      <c r="BH939" s="816"/>
      <c r="BI939" s="816"/>
      <c r="BJ939" s="816"/>
      <c r="BM939" s="816"/>
      <c r="BN939" s="816"/>
      <c r="BO939" s="816"/>
      <c r="BQ939" s="816"/>
      <c r="BR939" s="816"/>
      <c r="BS939" s="816"/>
      <c r="BT939" s="816"/>
      <c r="BU939" s="816"/>
    </row>
    <row r="940" spans="1:73" ht="29" x14ac:dyDescent="0.35">
      <c r="A940" s="806" t="s">
        <v>901</v>
      </c>
      <c r="B940" s="806" t="s">
        <v>1296</v>
      </c>
      <c r="C940" s="806"/>
      <c r="D940" s="806"/>
      <c r="E940" s="806"/>
      <c r="F940" s="806"/>
      <c r="I940" s="816"/>
      <c r="J940" s="816"/>
      <c r="K940" s="816"/>
      <c r="M940" s="816"/>
      <c r="N940" s="816"/>
      <c r="O940" s="816"/>
      <c r="P940" s="816"/>
      <c r="Q940" s="816"/>
      <c r="R940" s="816"/>
      <c r="S940" s="816"/>
      <c r="T940" s="816"/>
      <c r="U940" s="816"/>
      <c r="V940" s="816"/>
      <c r="W940" s="816"/>
      <c r="X940" s="816"/>
      <c r="Y940" s="816"/>
      <c r="Z940" s="816"/>
      <c r="AC940" s="816"/>
      <c r="AD940" s="816"/>
      <c r="AE940" s="816"/>
      <c r="AF940" s="816"/>
      <c r="AG940" s="816"/>
      <c r="AH940" s="817"/>
      <c r="AI940" s="816"/>
      <c r="AJ940" s="816"/>
      <c r="AL940" s="816"/>
      <c r="AM940" s="816"/>
      <c r="AN940" s="816"/>
      <c r="AO940" s="816"/>
      <c r="AP940" s="816"/>
      <c r="AQ940" s="816"/>
      <c r="AR940" s="816"/>
      <c r="AS940" s="816"/>
      <c r="AT940" s="816"/>
      <c r="AU940" s="816"/>
      <c r="AV940" s="816"/>
      <c r="AW940" s="816"/>
      <c r="AX940" s="816"/>
      <c r="AY940" s="816"/>
      <c r="AZ940" s="816"/>
      <c r="BA940" s="816"/>
      <c r="BC940" s="816"/>
      <c r="BD940" s="816"/>
      <c r="BE940" s="816"/>
      <c r="BF940" s="816"/>
      <c r="BG940" s="816" t="s">
        <v>503</v>
      </c>
      <c r="BH940" s="816"/>
      <c r="BI940" s="816"/>
      <c r="BJ940" s="816"/>
      <c r="BK940" s="817"/>
      <c r="BL940" s="816"/>
      <c r="BM940" s="816"/>
      <c r="BN940" s="816"/>
      <c r="BO940" s="816"/>
      <c r="BQ940" s="816"/>
      <c r="BR940" s="816"/>
      <c r="BS940" s="816"/>
      <c r="BT940" s="816"/>
      <c r="BU940" s="816"/>
    </row>
    <row r="941" spans="1:73" x14ac:dyDescent="0.35">
      <c r="A941" s="806" t="s">
        <v>901</v>
      </c>
      <c r="B941" s="806" t="s">
        <v>1394</v>
      </c>
      <c r="C941" s="806"/>
      <c r="D941" s="806"/>
      <c r="E941" s="806"/>
      <c r="F941" s="806"/>
      <c r="I941" s="816"/>
      <c r="J941" s="816"/>
      <c r="K941" s="816"/>
      <c r="M941" s="816"/>
      <c r="N941" s="816"/>
      <c r="O941" s="816"/>
      <c r="P941" s="816"/>
      <c r="Q941" s="816"/>
      <c r="R941" s="816"/>
      <c r="S941" s="816"/>
      <c r="T941" s="816"/>
      <c r="U941" s="816"/>
      <c r="V941" s="816"/>
      <c r="W941" s="816"/>
      <c r="X941" s="816"/>
      <c r="Y941" s="816"/>
      <c r="Z941" s="816"/>
      <c r="AC941" s="816"/>
      <c r="AD941" s="816"/>
      <c r="AE941" s="816"/>
      <c r="AF941" s="816"/>
      <c r="AG941" s="816"/>
      <c r="AI941" s="816"/>
      <c r="AJ941" s="816"/>
      <c r="AL941" s="816"/>
      <c r="AM941" s="816" t="s">
        <v>198</v>
      </c>
      <c r="AN941" s="816"/>
      <c r="AO941" s="816"/>
      <c r="AP941" s="816"/>
      <c r="AQ941" s="816"/>
      <c r="AR941" s="816"/>
      <c r="AS941" s="816"/>
      <c r="AT941" s="816"/>
      <c r="AU941" s="816"/>
      <c r="AV941" s="816"/>
      <c r="AW941" s="816"/>
      <c r="AX941" s="816"/>
      <c r="AY941" s="816"/>
      <c r="AZ941" s="816"/>
      <c r="BA941" s="816"/>
      <c r="BC941" s="816"/>
      <c r="BD941" s="816"/>
      <c r="BE941" s="816"/>
      <c r="BF941" s="816"/>
      <c r="BG941" s="816" t="s">
        <v>198</v>
      </c>
      <c r="BH941" s="816"/>
      <c r="BI941" s="816"/>
      <c r="BJ941" s="816"/>
      <c r="BM941" s="816"/>
      <c r="BN941" s="816"/>
      <c r="BO941" s="816"/>
      <c r="BQ941" s="816"/>
      <c r="BR941" s="816"/>
      <c r="BS941" s="816"/>
      <c r="BT941" s="816"/>
      <c r="BU941" s="816"/>
    </row>
    <row r="942" spans="1:73" x14ac:dyDescent="0.35">
      <c r="A942" s="806" t="s">
        <v>901</v>
      </c>
      <c r="B942" s="806" t="s">
        <v>1396</v>
      </c>
      <c r="C942" s="806"/>
      <c r="D942" s="806"/>
      <c r="E942" s="806"/>
      <c r="F942" s="806"/>
      <c r="I942" s="816"/>
      <c r="J942" s="816"/>
      <c r="K942" s="816"/>
      <c r="M942" s="816"/>
      <c r="N942" s="816"/>
      <c r="O942" s="816"/>
      <c r="P942" s="816"/>
      <c r="Q942" s="816"/>
      <c r="R942" s="816"/>
      <c r="S942" s="816"/>
      <c r="T942" s="816"/>
      <c r="U942" s="816"/>
      <c r="V942" s="816"/>
      <c r="W942" s="816"/>
      <c r="X942" s="816"/>
      <c r="Y942" s="816"/>
      <c r="Z942" s="816"/>
      <c r="AC942" s="816"/>
      <c r="AD942" s="816"/>
      <c r="AE942" s="816"/>
      <c r="AF942" s="816"/>
      <c r="AG942" s="816"/>
      <c r="AI942" s="816"/>
      <c r="AJ942" s="816"/>
      <c r="AL942" s="816"/>
      <c r="AM942" s="816"/>
      <c r="AN942" s="816"/>
      <c r="AO942" s="816"/>
      <c r="AP942" s="816"/>
      <c r="AQ942" s="816"/>
      <c r="AR942" s="816"/>
      <c r="AS942" s="816"/>
      <c r="AT942" s="816"/>
      <c r="AU942" s="816"/>
      <c r="AV942" s="816"/>
      <c r="AW942" s="816"/>
      <c r="AX942" s="816"/>
      <c r="AY942" s="816"/>
      <c r="AZ942" s="816"/>
      <c r="BA942" s="816"/>
      <c r="BC942" s="816"/>
      <c r="BD942" s="816"/>
      <c r="BE942" s="816"/>
      <c r="BF942" s="816"/>
      <c r="BG942" s="816" t="s">
        <v>503</v>
      </c>
      <c r="BH942" s="816"/>
      <c r="BI942" s="816"/>
      <c r="BJ942" s="816"/>
      <c r="BM942" s="816"/>
      <c r="BN942" s="816"/>
      <c r="BO942" s="816"/>
      <c r="BQ942" s="816"/>
      <c r="BR942" s="816"/>
      <c r="BS942" s="816"/>
      <c r="BT942" s="816"/>
      <c r="BU942" s="816"/>
    </row>
    <row r="943" spans="1:73" ht="29" x14ac:dyDescent="0.35">
      <c r="A943" s="806" t="s">
        <v>901</v>
      </c>
      <c r="B943" s="806" t="s">
        <v>1669</v>
      </c>
      <c r="C943" s="806"/>
      <c r="D943" s="806"/>
      <c r="E943" s="806"/>
      <c r="F943" s="806"/>
      <c r="I943" s="816"/>
      <c r="K943" s="816"/>
      <c r="M943" s="816"/>
      <c r="Q943" s="816"/>
      <c r="S943" s="816"/>
      <c r="U943" s="816"/>
      <c r="V943" s="816"/>
      <c r="W943" s="816"/>
      <c r="AA943" s="816" t="s">
        <v>198</v>
      </c>
      <c r="AD943" s="816"/>
      <c r="AG943" s="816"/>
      <c r="AH943" s="816" t="s">
        <v>198</v>
      </c>
      <c r="AJ943" s="816"/>
      <c r="AL943" s="816"/>
      <c r="AR943" s="816"/>
      <c r="AT943" s="816"/>
      <c r="AU943" s="816"/>
      <c r="AV943" s="816"/>
      <c r="AX943" s="816"/>
      <c r="AY943" s="816"/>
      <c r="AZ943" s="816"/>
      <c r="BC943" s="816"/>
      <c r="BD943" s="816"/>
      <c r="BE943" s="816"/>
      <c r="BG943" s="816"/>
      <c r="BH943" s="816"/>
      <c r="BI943" s="816" t="s">
        <v>198</v>
      </c>
      <c r="BK943" s="816" t="s">
        <v>198</v>
      </c>
      <c r="BL943" s="816" t="s">
        <v>198</v>
      </c>
      <c r="BS943" s="816"/>
      <c r="BT943" s="816"/>
      <c r="BU943" s="816" t="s">
        <v>198</v>
      </c>
    </row>
    <row r="944" spans="1:73" ht="29" x14ac:dyDescent="0.35">
      <c r="A944" s="806" t="s">
        <v>901</v>
      </c>
      <c r="B944" s="806" t="s">
        <v>1670</v>
      </c>
      <c r="C944" s="806"/>
      <c r="D944" s="806"/>
      <c r="E944" s="806"/>
      <c r="F944" s="806"/>
      <c r="I944" s="816"/>
      <c r="K944" s="816"/>
      <c r="M944" s="816"/>
      <c r="Q944" s="816"/>
      <c r="S944" s="816"/>
      <c r="U944" s="816"/>
      <c r="V944" s="816"/>
      <c r="W944" s="816"/>
      <c r="AA944" s="816" t="s">
        <v>198</v>
      </c>
      <c r="AD944" s="816"/>
      <c r="AG944" s="816"/>
      <c r="AH944" s="816" t="s">
        <v>198</v>
      </c>
      <c r="AJ944" s="816"/>
      <c r="AL944" s="816"/>
      <c r="AR944" s="816"/>
      <c r="AT944" s="816"/>
      <c r="AU944" s="816"/>
      <c r="AV944" s="816"/>
      <c r="AX944" s="816"/>
      <c r="AY944" s="816"/>
      <c r="AZ944" s="816"/>
      <c r="BC944" s="816"/>
      <c r="BD944" s="816"/>
      <c r="BE944" s="816"/>
      <c r="BG944" s="816"/>
      <c r="BH944" s="816"/>
      <c r="BI944" s="816" t="s">
        <v>198</v>
      </c>
      <c r="BK944" s="816" t="s">
        <v>198</v>
      </c>
      <c r="BL944" s="816" t="s">
        <v>198</v>
      </c>
      <c r="BS944" s="816"/>
      <c r="BT944" s="816"/>
      <c r="BU944" s="816" t="s">
        <v>198</v>
      </c>
    </row>
    <row r="945" spans="1:73" ht="29" x14ac:dyDescent="0.35">
      <c r="A945" s="806" t="s">
        <v>901</v>
      </c>
      <c r="B945" s="806" t="s">
        <v>1673</v>
      </c>
      <c r="C945" s="806"/>
      <c r="D945" s="806"/>
      <c r="E945" s="806"/>
      <c r="F945" s="806"/>
      <c r="I945" s="816"/>
      <c r="K945" s="816"/>
      <c r="M945" s="816"/>
      <c r="Q945" s="816"/>
      <c r="S945" s="816"/>
      <c r="U945" s="816"/>
      <c r="V945" s="816"/>
      <c r="W945" s="816"/>
      <c r="AA945" s="816" t="s">
        <v>198</v>
      </c>
      <c r="AD945" s="816"/>
      <c r="AG945" s="816"/>
      <c r="AH945" s="816" t="s">
        <v>198</v>
      </c>
      <c r="AJ945" s="816"/>
      <c r="AL945" s="816"/>
      <c r="AR945" s="816"/>
      <c r="AT945" s="816"/>
      <c r="AU945" s="816"/>
      <c r="AV945" s="816"/>
      <c r="AX945" s="816"/>
      <c r="AY945" s="816"/>
      <c r="AZ945" s="816"/>
      <c r="BC945" s="816"/>
      <c r="BD945" s="816"/>
      <c r="BE945" s="816"/>
      <c r="BG945" s="816"/>
      <c r="BH945" s="816"/>
      <c r="BI945" s="816" t="s">
        <v>198</v>
      </c>
      <c r="BK945" s="816" t="s">
        <v>198</v>
      </c>
      <c r="BL945" s="816" t="s">
        <v>198</v>
      </c>
      <c r="BS945" s="816"/>
      <c r="BT945" s="816"/>
      <c r="BU945" s="816" t="s">
        <v>198</v>
      </c>
    </row>
    <row r="946" spans="1:73" x14ac:dyDescent="0.35">
      <c r="A946" s="806" t="s">
        <v>901</v>
      </c>
      <c r="B946" s="806" t="s">
        <v>1672</v>
      </c>
      <c r="C946" s="806"/>
      <c r="D946" s="806"/>
      <c r="E946" s="806"/>
      <c r="F946" s="806"/>
      <c r="I946" s="816"/>
      <c r="K946" s="816"/>
      <c r="M946" s="816"/>
      <c r="Q946" s="816"/>
      <c r="S946" s="816"/>
      <c r="U946" s="816"/>
      <c r="V946" s="816"/>
      <c r="W946" s="816"/>
      <c r="AA946" s="816" t="s">
        <v>198</v>
      </c>
      <c r="AD946" s="816"/>
      <c r="AG946" s="816"/>
      <c r="AH946" s="816" t="s">
        <v>198</v>
      </c>
      <c r="AJ946" s="816"/>
      <c r="AL946" s="816"/>
      <c r="AR946" s="816"/>
      <c r="AT946" s="816"/>
      <c r="AU946" s="816"/>
      <c r="AV946" s="816"/>
      <c r="AX946" s="816"/>
      <c r="AY946" s="816"/>
      <c r="AZ946" s="816"/>
      <c r="BC946" s="816"/>
      <c r="BD946" s="816"/>
      <c r="BE946" s="816"/>
      <c r="BG946" s="816"/>
      <c r="BH946" s="816"/>
      <c r="BI946" s="816" t="s">
        <v>198</v>
      </c>
      <c r="BK946" s="816" t="s">
        <v>198</v>
      </c>
      <c r="BL946" s="816" t="s">
        <v>198</v>
      </c>
      <c r="BS946" s="816"/>
      <c r="BT946" s="816"/>
      <c r="BU946" s="816" t="s">
        <v>198</v>
      </c>
    </row>
    <row r="947" spans="1:73" ht="29" x14ac:dyDescent="0.35">
      <c r="A947" s="806" t="s">
        <v>901</v>
      </c>
      <c r="B947" s="806" t="s">
        <v>1671</v>
      </c>
      <c r="C947" s="806"/>
      <c r="D947" s="806"/>
      <c r="E947" s="806"/>
      <c r="F947" s="806"/>
      <c r="I947" s="816"/>
      <c r="K947" s="816"/>
      <c r="M947" s="816"/>
      <c r="Q947" s="816"/>
      <c r="S947" s="816"/>
      <c r="U947" s="816"/>
      <c r="V947" s="816"/>
      <c r="W947" s="816"/>
      <c r="AA947" s="816" t="s">
        <v>198</v>
      </c>
      <c r="AD947" s="816"/>
      <c r="AG947" s="816"/>
      <c r="AH947" s="816" t="s">
        <v>198</v>
      </c>
      <c r="AJ947" s="816"/>
      <c r="AL947" s="816"/>
      <c r="AR947" s="816"/>
      <c r="AT947" s="816"/>
      <c r="AU947" s="816"/>
      <c r="AV947" s="816"/>
      <c r="AX947" s="816"/>
      <c r="AY947" s="816"/>
      <c r="AZ947" s="816"/>
      <c r="BC947" s="816"/>
      <c r="BD947" s="816"/>
      <c r="BE947" s="816"/>
      <c r="BG947" s="816"/>
      <c r="BH947" s="816"/>
      <c r="BI947" s="816" t="s">
        <v>198</v>
      </c>
      <c r="BK947" s="816" t="s">
        <v>198</v>
      </c>
      <c r="BL947" s="816" t="s">
        <v>198</v>
      </c>
      <c r="BS947" s="816"/>
      <c r="BT947" s="816"/>
      <c r="BU947" s="816" t="s">
        <v>198</v>
      </c>
    </row>
    <row r="948" spans="1:73" ht="29" x14ac:dyDescent="0.35">
      <c r="A948" s="806" t="s">
        <v>901</v>
      </c>
      <c r="B948" s="806" t="s">
        <v>904</v>
      </c>
      <c r="C948" s="806"/>
      <c r="D948" s="806"/>
      <c r="E948" s="806"/>
      <c r="F948" s="806"/>
      <c r="I948" s="816"/>
      <c r="J948" s="816"/>
      <c r="K948" s="816"/>
      <c r="M948" s="816"/>
      <c r="N948" s="816"/>
      <c r="O948" s="816"/>
      <c r="P948" s="816"/>
      <c r="Q948" s="816"/>
      <c r="R948" s="816"/>
      <c r="S948" s="816"/>
      <c r="T948" s="816"/>
      <c r="U948" s="816"/>
      <c r="V948" s="816"/>
      <c r="W948" s="816"/>
      <c r="X948" s="816"/>
      <c r="Y948" s="816"/>
      <c r="Z948" s="816"/>
      <c r="AA948" s="816" t="s">
        <v>198</v>
      </c>
      <c r="AC948" s="816"/>
      <c r="AD948" s="816"/>
      <c r="AE948" s="816"/>
      <c r="AF948" s="816"/>
      <c r="AG948" s="816"/>
      <c r="AH948" s="816" t="s">
        <v>198</v>
      </c>
      <c r="AI948" s="816"/>
      <c r="AJ948" s="816"/>
      <c r="AL948" s="816"/>
      <c r="AM948" s="816" t="s">
        <v>198</v>
      </c>
      <c r="AN948" s="816"/>
      <c r="AO948" s="816"/>
      <c r="AP948" s="816"/>
      <c r="AQ948" s="816"/>
      <c r="AR948" s="816"/>
      <c r="AS948" s="816"/>
      <c r="AT948" s="816"/>
      <c r="AU948" s="816"/>
      <c r="AV948" s="816"/>
      <c r="AW948" s="816"/>
      <c r="AX948" s="816"/>
      <c r="AY948" s="816"/>
      <c r="AZ948" s="816"/>
      <c r="BA948" s="816"/>
      <c r="BC948" s="816"/>
      <c r="BD948" s="816"/>
      <c r="BE948" s="816"/>
      <c r="BF948" s="816"/>
      <c r="BG948" s="816" t="s">
        <v>198</v>
      </c>
      <c r="BH948" s="816"/>
      <c r="BI948" s="816" t="s">
        <v>198</v>
      </c>
      <c r="BJ948" s="816"/>
      <c r="BK948" s="816" t="s">
        <v>198</v>
      </c>
      <c r="BL948" s="816" t="s">
        <v>198</v>
      </c>
      <c r="BM948" s="816"/>
      <c r="BN948" s="816"/>
      <c r="BO948" s="816"/>
      <c r="BQ948" s="816"/>
      <c r="BR948" s="816"/>
      <c r="BS948" s="816"/>
      <c r="BT948" s="816"/>
      <c r="BU948" s="816" t="s">
        <v>198</v>
      </c>
    </row>
    <row r="949" spans="1:73" x14ac:dyDescent="0.35">
      <c r="A949" s="806" t="s">
        <v>901</v>
      </c>
      <c r="B949" s="806" t="s">
        <v>905</v>
      </c>
      <c r="C949" s="806"/>
      <c r="D949" s="806"/>
      <c r="E949" s="806"/>
      <c r="F949" s="806"/>
      <c r="I949" s="816"/>
      <c r="J949" s="816"/>
      <c r="K949" s="816"/>
      <c r="M949" s="816"/>
      <c r="N949" s="816"/>
      <c r="O949" s="816"/>
      <c r="P949" s="816"/>
      <c r="Q949" s="816"/>
      <c r="R949" s="816"/>
      <c r="S949" s="816"/>
      <c r="T949" s="816"/>
      <c r="U949" s="816"/>
      <c r="V949" s="816"/>
      <c r="W949" s="816"/>
      <c r="X949" s="816"/>
      <c r="Y949" s="816"/>
      <c r="Z949" s="816"/>
      <c r="AA949" s="816" t="s">
        <v>198</v>
      </c>
      <c r="AC949" s="816"/>
      <c r="AD949" s="816"/>
      <c r="AE949" s="816"/>
      <c r="AF949" s="816"/>
      <c r="AG949" s="816"/>
      <c r="AH949" s="816" t="s">
        <v>198</v>
      </c>
      <c r="AI949" s="816"/>
      <c r="AJ949" s="816"/>
      <c r="AL949" s="816"/>
      <c r="AM949" s="816" t="s">
        <v>198</v>
      </c>
      <c r="AN949" s="816"/>
      <c r="AO949" s="816"/>
      <c r="AP949" s="816"/>
      <c r="AQ949" s="816"/>
      <c r="AR949" s="816"/>
      <c r="AS949" s="816"/>
      <c r="AT949" s="816"/>
      <c r="AU949" s="816"/>
      <c r="AV949" s="816"/>
      <c r="AW949" s="816"/>
      <c r="AX949" s="816"/>
      <c r="AY949" s="816"/>
      <c r="AZ949" s="816"/>
      <c r="BA949" s="816"/>
      <c r="BC949" s="816"/>
      <c r="BD949" s="816"/>
      <c r="BE949" s="816"/>
      <c r="BF949" s="816"/>
      <c r="BG949" s="816" t="s">
        <v>198</v>
      </c>
      <c r="BH949" s="816"/>
      <c r="BI949" s="816" t="s">
        <v>198</v>
      </c>
      <c r="BJ949" s="816"/>
      <c r="BK949" s="816" t="s">
        <v>198</v>
      </c>
      <c r="BL949" s="816" t="s">
        <v>198</v>
      </c>
      <c r="BM949" s="816"/>
      <c r="BN949" s="816"/>
      <c r="BO949" s="816"/>
      <c r="BQ949" s="816"/>
      <c r="BR949" s="816"/>
      <c r="BS949" s="816"/>
      <c r="BT949" s="816"/>
      <c r="BU949" s="816" t="s">
        <v>198</v>
      </c>
    </row>
    <row r="950" spans="1:73" x14ac:dyDescent="0.35">
      <c r="A950" s="806" t="s">
        <v>901</v>
      </c>
      <c r="B950" s="806" t="s">
        <v>908</v>
      </c>
      <c r="C950" s="806"/>
      <c r="D950" s="806"/>
      <c r="E950" s="806"/>
      <c r="F950" s="806"/>
      <c r="I950" s="816"/>
      <c r="J950" s="816"/>
      <c r="K950" s="816"/>
      <c r="M950" s="816"/>
      <c r="N950" s="816"/>
      <c r="O950" s="816"/>
      <c r="P950" s="816"/>
      <c r="Q950" s="816"/>
      <c r="R950" s="816"/>
      <c r="S950" s="816"/>
      <c r="T950" s="816"/>
      <c r="U950" s="816"/>
      <c r="V950" s="816"/>
      <c r="W950" s="816"/>
      <c r="X950" s="816"/>
      <c r="Y950" s="816"/>
      <c r="Z950" s="816"/>
      <c r="AA950" s="816" t="s">
        <v>198</v>
      </c>
      <c r="AC950" s="816"/>
      <c r="AD950" s="816"/>
      <c r="AE950" s="816"/>
      <c r="AF950" s="816"/>
      <c r="AG950" s="816"/>
      <c r="AH950" s="816" t="s">
        <v>198</v>
      </c>
      <c r="AI950" s="816"/>
      <c r="AJ950" s="816"/>
      <c r="AL950" s="816"/>
      <c r="AM950" s="816" t="s">
        <v>198</v>
      </c>
      <c r="AN950" s="816"/>
      <c r="AO950" s="816"/>
      <c r="AP950" s="816"/>
      <c r="AQ950" s="816"/>
      <c r="AR950" s="816"/>
      <c r="AS950" s="816"/>
      <c r="AT950" s="816"/>
      <c r="AU950" s="816"/>
      <c r="AV950" s="816"/>
      <c r="AW950" s="816"/>
      <c r="AX950" s="816"/>
      <c r="AY950" s="816"/>
      <c r="AZ950" s="816"/>
      <c r="BA950" s="816"/>
      <c r="BC950" s="816"/>
      <c r="BD950" s="816"/>
      <c r="BE950" s="816"/>
      <c r="BF950" s="816"/>
      <c r="BG950" s="816" t="s">
        <v>198</v>
      </c>
      <c r="BH950" s="816"/>
      <c r="BI950" s="816" t="s">
        <v>198</v>
      </c>
      <c r="BJ950" s="816"/>
      <c r="BK950" s="816" t="s">
        <v>198</v>
      </c>
      <c r="BL950" s="816" t="s">
        <v>198</v>
      </c>
      <c r="BM950" s="816"/>
      <c r="BN950" s="816"/>
      <c r="BO950" s="816"/>
      <c r="BQ950" s="816"/>
      <c r="BR950" s="816"/>
      <c r="BS950" s="816"/>
      <c r="BT950" s="816"/>
      <c r="BU950" s="816" t="s">
        <v>198</v>
      </c>
    </row>
    <row r="951" spans="1:73" x14ac:dyDescent="0.35">
      <c r="A951" s="806" t="s">
        <v>901</v>
      </c>
      <c r="B951" s="806" t="s">
        <v>917</v>
      </c>
      <c r="C951" s="806"/>
      <c r="D951" s="806"/>
      <c r="E951" s="806"/>
      <c r="F951" s="806"/>
      <c r="I951" s="816"/>
      <c r="J951" s="816"/>
      <c r="K951" s="816"/>
      <c r="M951" s="816"/>
      <c r="N951" s="816"/>
      <c r="O951" s="816"/>
      <c r="P951" s="816"/>
      <c r="Q951" s="816"/>
      <c r="R951" s="816"/>
      <c r="S951" s="816"/>
      <c r="T951" s="816"/>
      <c r="U951" s="816"/>
      <c r="V951" s="816"/>
      <c r="W951" s="816"/>
      <c r="X951" s="816"/>
      <c r="Y951" s="816"/>
      <c r="Z951" s="816"/>
      <c r="AA951" s="816" t="s">
        <v>198</v>
      </c>
      <c r="AC951" s="816"/>
      <c r="AD951" s="816"/>
      <c r="AE951" s="816"/>
      <c r="AF951" s="816"/>
      <c r="AG951" s="816"/>
      <c r="AH951" s="816" t="s">
        <v>198</v>
      </c>
      <c r="AI951" s="816"/>
      <c r="AJ951" s="816"/>
      <c r="AL951" s="816"/>
      <c r="AM951" s="816" t="s">
        <v>198</v>
      </c>
      <c r="AN951" s="816"/>
      <c r="AO951" s="816"/>
      <c r="AP951" s="816"/>
      <c r="AQ951" s="816"/>
      <c r="AR951" s="816"/>
      <c r="AS951" s="816"/>
      <c r="AT951" s="816"/>
      <c r="AU951" s="816"/>
      <c r="AV951" s="816"/>
      <c r="AW951" s="816"/>
      <c r="AX951" s="816"/>
      <c r="AY951" s="816"/>
      <c r="AZ951" s="816"/>
      <c r="BA951" s="816"/>
      <c r="BC951" s="816"/>
      <c r="BD951" s="816"/>
      <c r="BE951" s="816"/>
      <c r="BF951" s="816"/>
      <c r="BG951" s="816" t="s">
        <v>198</v>
      </c>
      <c r="BH951" s="816"/>
      <c r="BI951" s="816" t="s">
        <v>198</v>
      </c>
      <c r="BJ951" s="816"/>
      <c r="BK951" s="816" t="s">
        <v>198</v>
      </c>
      <c r="BL951" s="816" t="s">
        <v>198</v>
      </c>
      <c r="BM951" s="816"/>
      <c r="BN951" s="816"/>
      <c r="BO951" s="816"/>
      <c r="BQ951" s="816"/>
      <c r="BR951" s="816"/>
      <c r="BS951" s="816"/>
      <c r="BT951" s="816"/>
      <c r="BU951" s="816" t="s">
        <v>198</v>
      </c>
    </row>
    <row r="952" spans="1:73" ht="29" x14ac:dyDescent="0.35">
      <c r="A952" s="806" t="s">
        <v>901</v>
      </c>
      <c r="B952" s="806" t="s">
        <v>910</v>
      </c>
      <c r="C952" s="806"/>
      <c r="D952" s="806"/>
      <c r="E952" s="806"/>
      <c r="F952" s="806"/>
      <c r="I952" s="816"/>
      <c r="J952" s="816"/>
      <c r="K952" s="816"/>
      <c r="M952" s="816"/>
      <c r="N952" s="816"/>
      <c r="O952" s="816"/>
      <c r="P952" s="816"/>
      <c r="Q952" s="816"/>
      <c r="R952" s="816"/>
      <c r="S952" s="816"/>
      <c r="T952" s="816"/>
      <c r="U952" s="816"/>
      <c r="V952" s="816"/>
      <c r="W952" s="816"/>
      <c r="X952" s="816"/>
      <c r="Y952" s="816"/>
      <c r="Z952" s="816"/>
      <c r="AA952" s="816" t="s">
        <v>198</v>
      </c>
      <c r="AC952" s="816"/>
      <c r="AD952" s="816"/>
      <c r="AE952" s="816"/>
      <c r="AF952" s="816"/>
      <c r="AG952" s="816"/>
      <c r="AH952" s="816" t="s">
        <v>198</v>
      </c>
      <c r="AI952" s="816"/>
      <c r="AJ952" s="816"/>
      <c r="AL952" s="816"/>
      <c r="AM952" s="816" t="s">
        <v>198</v>
      </c>
      <c r="AN952" s="816"/>
      <c r="AO952" s="816"/>
      <c r="AP952" s="816"/>
      <c r="AQ952" s="816"/>
      <c r="AR952" s="816"/>
      <c r="AS952" s="816"/>
      <c r="AT952" s="816"/>
      <c r="AU952" s="816"/>
      <c r="AV952" s="816"/>
      <c r="AW952" s="816"/>
      <c r="AX952" s="816"/>
      <c r="AY952" s="816"/>
      <c r="AZ952" s="816"/>
      <c r="BA952" s="816"/>
      <c r="BC952" s="816"/>
      <c r="BD952" s="816"/>
      <c r="BE952" s="816"/>
      <c r="BF952" s="816"/>
      <c r="BG952" s="816" t="s">
        <v>198</v>
      </c>
      <c r="BH952" s="816"/>
      <c r="BI952" s="816" t="s">
        <v>198</v>
      </c>
      <c r="BJ952" s="816"/>
      <c r="BK952" s="816" t="s">
        <v>198</v>
      </c>
      <c r="BL952" s="816" t="s">
        <v>198</v>
      </c>
      <c r="BM952" s="816"/>
      <c r="BN952" s="816"/>
      <c r="BO952" s="816"/>
      <c r="BQ952" s="816"/>
      <c r="BR952" s="816"/>
      <c r="BS952" s="816"/>
      <c r="BT952" s="816"/>
      <c r="BU952" s="816" t="s">
        <v>198</v>
      </c>
    </row>
    <row r="953" spans="1:73" x14ac:dyDescent="0.35">
      <c r="A953" s="806" t="s">
        <v>901</v>
      </c>
      <c r="B953" s="806" t="s">
        <v>907</v>
      </c>
      <c r="C953" s="806"/>
      <c r="D953" s="806"/>
      <c r="E953" s="806"/>
      <c r="F953" s="806"/>
      <c r="I953" s="816"/>
      <c r="J953" s="816"/>
      <c r="K953" s="816"/>
      <c r="M953" s="816"/>
      <c r="N953" s="816"/>
      <c r="O953" s="816"/>
      <c r="P953" s="816"/>
      <c r="Q953" s="816"/>
      <c r="R953" s="816"/>
      <c r="S953" s="816"/>
      <c r="T953" s="816"/>
      <c r="U953" s="816"/>
      <c r="V953" s="816"/>
      <c r="W953" s="816"/>
      <c r="X953" s="816"/>
      <c r="Y953" s="816"/>
      <c r="Z953" s="816"/>
      <c r="AA953" s="816" t="s">
        <v>198</v>
      </c>
      <c r="AC953" s="816"/>
      <c r="AD953" s="816"/>
      <c r="AE953" s="816"/>
      <c r="AF953" s="816"/>
      <c r="AG953" s="816"/>
      <c r="AH953" s="816" t="s">
        <v>198</v>
      </c>
      <c r="AI953" s="816"/>
      <c r="AJ953" s="816"/>
      <c r="AL953" s="816"/>
      <c r="AM953" s="816" t="s">
        <v>198</v>
      </c>
      <c r="AN953" s="816"/>
      <c r="AO953" s="816"/>
      <c r="AP953" s="816"/>
      <c r="AQ953" s="816"/>
      <c r="AR953" s="816"/>
      <c r="AS953" s="816"/>
      <c r="AT953" s="816"/>
      <c r="AU953" s="816"/>
      <c r="AV953" s="816"/>
      <c r="AW953" s="816"/>
      <c r="AX953" s="816"/>
      <c r="AY953" s="816"/>
      <c r="AZ953" s="816"/>
      <c r="BA953" s="816"/>
      <c r="BC953" s="816"/>
      <c r="BD953" s="816"/>
      <c r="BE953" s="816"/>
      <c r="BF953" s="816"/>
      <c r="BG953" s="816" t="s">
        <v>198</v>
      </c>
      <c r="BH953" s="816"/>
      <c r="BI953" s="816" t="s">
        <v>198</v>
      </c>
      <c r="BJ953" s="816"/>
      <c r="BK953" s="816" t="s">
        <v>198</v>
      </c>
      <c r="BL953" s="816" t="s">
        <v>198</v>
      </c>
      <c r="BM953" s="816"/>
      <c r="BN953" s="816"/>
      <c r="BO953" s="816"/>
      <c r="BQ953" s="816"/>
      <c r="BR953" s="816"/>
      <c r="BS953" s="816"/>
      <c r="BT953" s="816"/>
      <c r="BU953" s="816" t="s">
        <v>198</v>
      </c>
    </row>
    <row r="954" spans="1:73" x14ac:dyDescent="0.35">
      <c r="A954" s="806" t="s">
        <v>901</v>
      </c>
      <c r="B954" s="806" t="s">
        <v>909</v>
      </c>
      <c r="C954" s="806"/>
      <c r="D954" s="806"/>
      <c r="E954" s="806"/>
      <c r="F954" s="806"/>
      <c r="I954" s="816"/>
      <c r="J954" s="816"/>
      <c r="K954" s="816"/>
      <c r="M954" s="816"/>
      <c r="N954" s="816"/>
      <c r="O954" s="816"/>
      <c r="P954" s="816"/>
      <c r="Q954" s="816"/>
      <c r="R954" s="816"/>
      <c r="S954" s="816"/>
      <c r="T954" s="816"/>
      <c r="U954" s="816"/>
      <c r="V954" s="816"/>
      <c r="W954" s="816"/>
      <c r="X954" s="816"/>
      <c r="Y954" s="816"/>
      <c r="Z954" s="816"/>
      <c r="AA954" s="816" t="s">
        <v>198</v>
      </c>
      <c r="AC954" s="816"/>
      <c r="AD954" s="816"/>
      <c r="AE954" s="816"/>
      <c r="AF954" s="816"/>
      <c r="AG954" s="816"/>
      <c r="AH954" s="816" t="s">
        <v>198</v>
      </c>
      <c r="AI954" s="816"/>
      <c r="AJ954" s="816"/>
      <c r="AL954" s="816"/>
      <c r="AM954" s="816" t="s">
        <v>198</v>
      </c>
      <c r="AN954" s="816"/>
      <c r="AO954" s="816"/>
      <c r="AP954" s="816"/>
      <c r="AQ954" s="816"/>
      <c r="AR954" s="816"/>
      <c r="AS954" s="816"/>
      <c r="AT954" s="816"/>
      <c r="AU954" s="816"/>
      <c r="AV954" s="816"/>
      <c r="AW954" s="816"/>
      <c r="AX954" s="816"/>
      <c r="AY954" s="816"/>
      <c r="AZ954" s="816"/>
      <c r="BA954" s="816"/>
      <c r="BC954" s="816"/>
      <c r="BD954" s="816"/>
      <c r="BE954" s="816"/>
      <c r="BF954" s="816"/>
      <c r="BG954" s="816" t="s">
        <v>198</v>
      </c>
      <c r="BH954" s="816"/>
      <c r="BI954" s="816" t="s">
        <v>198</v>
      </c>
      <c r="BJ954" s="816"/>
      <c r="BK954" s="816" t="s">
        <v>198</v>
      </c>
      <c r="BL954" s="816" t="s">
        <v>198</v>
      </c>
      <c r="BM954" s="816"/>
      <c r="BN954" s="816"/>
      <c r="BO954" s="816"/>
      <c r="BQ954" s="816"/>
      <c r="BR954" s="816"/>
      <c r="BS954" s="816"/>
      <c r="BT954" s="816"/>
      <c r="BU954" s="816" t="s">
        <v>198</v>
      </c>
    </row>
    <row r="955" spans="1:73" ht="29" x14ac:dyDescent="0.35">
      <c r="A955" s="806" t="s">
        <v>901</v>
      </c>
      <c r="B955" s="806" t="s">
        <v>913</v>
      </c>
      <c r="C955" s="806"/>
      <c r="D955" s="806"/>
      <c r="E955" s="806"/>
      <c r="F955" s="806"/>
      <c r="I955" s="816"/>
      <c r="J955" s="816"/>
      <c r="K955" s="816"/>
      <c r="M955" s="816"/>
      <c r="N955" s="816"/>
      <c r="O955" s="816"/>
      <c r="P955" s="816"/>
      <c r="Q955" s="816"/>
      <c r="R955" s="816"/>
      <c r="S955" s="816"/>
      <c r="T955" s="816"/>
      <c r="U955" s="816"/>
      <c r="V955" s="816"/>
      <c r="W955" s="816"/>
      <c r="X955" s="816"/>
      <c r="Y955" s="816"/>
      <c r="Z955" s="816"/>
      <c r="AA955" s="816" t="s">
        <v>198</v>
      </c>
      <c r="AC955" s="816"/>
      <c r="AD955" s="816"/>
      <c r="AE955" s="816"/>
      <c r="AF955" s="816"/>
      <c r="AG955" s="816"/>
      <c r="AH955" s="816" t="s">
        <v>198</v>
      </c>
      <c r="AI955" s="816"/>
      <c r="AJ955" s="816"/>
      <c r="AL955" s="816"/>
      <c r="AM955" s="816" t="s">
        <v>198</v>
      </c>
      <c r="AN955" s="816"/>
      <c r="AO955" s="816"/>
      <c r="AP955" s="816"/>
      <c r="AQ955" s="816"/>
      <c r="AR955" s="816"/>
      <c r="AS955" s="816"/>
      <c r="AT955" s="816"/>
      <c r="AU955" s="816"/>
      <c r="AV955" s="816"/>
      <c r="AW955" s="816"/>
      <c r="AX955" s="816"/>
      <c r="AY955" s="816"/>
      <c r="AZ955" s="816"/>
      <c r="BA955" s="816"/>
      <c r="BC955" s="816"/>
      <c r="BD955" s="816"/>
      <c r="BE955" s="816"/>
      <c r="BF955" s="816"/>
      <c r="BG955" s="816" t="s">
        <v>198</v>
      </c>
      <c r="BH955" s="816"/>
      <c r="BI955" s="816" t="s">
        <v>198</v>
      </c>
      <c r="BJ955" s="816"/>
      <c r="BK955" s="816" t="s">
        <v>198</v>
      </c>
      <c r="BL955" s="816" t="s">
        <v>198</v>
      </c>
      <c r="BM955" s="816"/>
      <c r="BN955" s="816"/>
      <c r="BO955" s="816"/>
      <c r="BQ955" s="816"/>
      <c r="BR955" s="816"/>
      <c r="BS955" s="816"/>
      <c r="BT955" s="816"/>
      <c r="BU955" s="816" t="s">
        <v>198</v>
      </c>
    </row>
    <row r="956" spans="1:73" x14ac:dyDescent="0.35">
      <c r="A956" s="806" t="s">
        <v>901</v>
      </c>
      <c r="B956" s="806" t="s">
        <v>906</v>
      </c>
      <c r="C956" s="806"/>
      <c r="D956" s="806"/>
      <c r="E956" s="806"/>
      <c r="F956" s="806"/>
      <c r="I956" s="816"/>
      <c r="J956" s="816"/>
      <c r="K956" s="816"/>
      <c r="M956" s="816"/>
      <c r="N956" s="816"/>
      <c r="O956" s="816"/>
      <c r="P956" s="816"/>
      <c r="Q956" s="816"/>
      <c r="R956" s="816"/>
      <c r="S956" s="816"/>
      <c r="T956" s="816"/>
      <c r="U956" s="816"/>
      <c r="V956" s="816"/>
      <c r="W956" s="816"/>
      <c r="X956" s="816"/>
      <c r="Y956" s="816"/>
      <c r="Z956" s="816"/>
      <c r="AA956" s="816" t="s">
        <v>198</v>
      </c>
      <c r="AC956" s="816"/>
      <c r="AD956" s="816"/>
      <c r="AE956" s="816"/>
      <c r="AF956" s="816"/>
      <c r="AG956" s="816"/>
      <c r="AH956" s="816" t="s">
        <v>198</v>
      </c>
      <c r="AI956" s="816"/>
      <c r="AJ956" s="816"/>
      <c r="AL956" s="816"/>
      <c r="AM956" s="816" t="s">
        <v>198</v>
      </c>
      <c r="AN956" s="816"/>
      <c r="AO956" s="816"/>
      <c r="AP956" s="816"/>
      <c r="AQ956" s="816"/>
      <c r="AR956" s="816"/>
      <c r="AS956" s="816"/>
      <c r="AT956" s="816"/>
      <c r="AU956" s="816"/>
      <c r="AV956" s="816"/>
      <c r="AW956" s="816"/>
      <c r="AX956" s="816"/>
      <c r="AY956" s="816"/>
      <c r="AZ956" s="816"/>
      <c r="BA956" s="816"/>
      <c r="BC956" s="816"/>
      <c r="BD956" s="816"/>
      <c r="BE956" s="816"/>
      <c r="BF956" s="816"/>
      <c r="BG956" s="816" t="s">
        <v>198</v>
      </c>
      <c r="BH956" s="816"/>
      <c r="BI956" s="816" t="s">
        <v>198</v>
      </c>
      <c r="BJ956" s="816"/>
      <c r="BK956" s="816" t="s">
        <v>198</v>
      </c>
      <c r="BL956" s="816" t="s">
        <v>198</v>
      </c>
      <c r="BM956" s="816"/>
      <c r="BN956" s="816"/>
      <c r="BO956" s="816"/>
      <c r="BQ956" s="816"/>
      <c r="BR956" s="816"/>
      <c r="BS956" s="816"/>
      <c r="BT956" s="816"/>
      <c r="BU956" s="816" t="s">
        <v>198</v>
      </c>
    </row>
    <row r="957" spans="1:73" x14ac:dyDescent="0.35">
      <c r="A957" s="806" t="s">
        <v>4373</v>
      </c>
      <c r="B957" s="806" t="s">
        <v>3889</v>
      </c>
      <c r="C957" s="806"/>
      <c r="D957" s="806"/>
      <c r="E957" s="806"/>
      <c r="F957" s="806"/>
      <c r="AH957" s="816" t="s">
        <v>198</v>
      </c>
      <c r="BK957" s="816" t="s">
        <v>198</v>
      </c>
      <c r="BU957" s="816" t="s">
        <v>198</v>
      </c>
    </row>
    <row r="958" spans="1:73" x14ac:dyDescent="0.35">
      <c r="A958" s="806" t="s">
        <v>1386</v>
      </c>
      <c r="B958" s="806" t="s">
        <v>1388</v>
      </c>
      <c r="C958" s="806"/>
      <c r="D958" s="806"/>
      <c r="E958" s="806"/>
      <c r="F958" s="806"/>
      <c r="I958" s="816"/>
      <c r="J958" s="816"/>
      <c r="K958" s="816"/>
      <c r="M958" s="816"/>
      <c r="N958" s="816"/>
      <c r="O958" s="816"/>
      <c r="P958" s="816"/>
      <c r="Q958" s="816"/>
      <c r="R958" s="816"/>
      <c r="S958" s="816"/>
      <c r="T958" s="816"/>
      <c r="U958" s="816"/>
      <c r="V958" s="816"/>
      <c r="W958" s="816"/>
      <c r="X958" s="816"/>
      <c r="Y958" s="816"/>
      <c r="Z958" s="816"/>
      <c r="AC958" s="816"/>
      <c r="AD958" s="816"/>
      <c r="AE958" s="816"/>
      <c r="AF958" s="816"/>
      <c r="AG958" s="816"/>
      <c r="AH958" s="816" t="s">
        <v>198</v>
      </c>
      <c r="AI958" s="816"/>
      <c r="AJ958" s="816"/>
      <c r="AL958" s="816"/>
      <c r="AM958" s="816"/>
      <c r="AN958" s="816"/>
      <c r="AO958" s="816"/>
      <c r="AP958" s="816"/>
      <c r="AQ958" s="816"/>
      <c r="AR958" s="816"/>
      <c r="AS958" s="816"/>
      <c r="AT958" s="816"/>
      <c r="AU958" s="816"/>
      <c r="AV958" s="816"/>
      <c r="AW958" s="816"/>
      <c r="AX958" s="816"/>
      <c r="AY958" s="816"/>
      <c r="AZ958" s="816"/>
      <c r="BA958" s="816"/>
      <c r="BC958" s="816"/>
      <c r="BD958" s="816"/>
      <c r="BE958" s="816"/>
      <c r="BF958" s="816"/>
      <c r="BG958" s="816" t="s">
        <v>198</v>
      </c>
      <c r="BH958" s="816"/>
      <c r="BI958" s="816"/>
      <c r="BJ958" s="816"/>
      <c r="BK958" s="816" t="s">
        <v>198</v>
      </c>
      <c r="BL958" s="816" t="s">
        <v>198</v>
      </c>
      <c r="BM958" s="816"/>
      <c r="BN958" s="816"/>
      <c r="BO958" s="816"/>
      <c r="BQ958" s="816"/>
      <c r="BR958" s="816"/>
      <c r="BS958" s="816"/>
      <c r="BT958" s="816"/>
      <c r="BU958" s="816" t="s">
        <v>198</v>
      </c>
    </row>
    <row r="959" spans="1:73" x14ac:dyDescent="0.35">
      <c r="A959" s="806" t="s">
        <v>1386</v>
      </c>
      <c r="B959" s="806" t="s">
        <v>1392</v>
      </c>
      <c r="C959" s="806"/>
      <c r="D959" s="806"/>
      <c r="E959" s="806"/>
      <c r="F959" s="806"/>
      <c r="I959" s="816"/>
      <c r="J959" s="816"/>
      <c r="K959" s="816"/>
      <c r="M959" s="816"/>
      <c r="N959" s="816"/>
      <c r="O959" s="816"/>
      <c r="P959" s="816"/>
      <c r="Q959" s="816"/>
      <c r="R959" s="816"/>
      <c r="S959" s="816"/>
      <c r="T959" s="816"/>
      <c r="U959" s="816"/>
      <c r="V959" s="816"/>
      <c r="W959" s="816"/>
      <c r="X959" s="816"/>
      <c r="Y959" s="816"/>
      <c r="Z959" s="816"/>
      <c r="AC959" s="816"/>
      <c r="AD959" s="816"/>
      <c r="AE959" s="816"/>
      <c r="AF959" s="816"/>
      <c r="AG959" s="816"/>
      <c r="AI959" s="816"/>
      <c r="AJ959" s="816"/>
      <c r="AL959" s="816"/>
      <c r="AM959" s="816"/>
      <c r="AN959" s="816"/>
      <c r="AO959" s="816"/>
      <c r="AP959" s="816"/>
      <c r="AQ959" s="816"/>
      <c r="AR959" s="816"/>
      <c r="AS959" s="816"/>
      <c r="AT959" s="816"/>
      <c r="AU959" s="816"/>
      <c r="AV959" s="816"/>
      <c r="AW959" s="816"/>
      <c r="AX959" s="816"/>
      <c r="AY959" s="816"/>
      <c r="AZ959" s="816"/>
      <c r="BA959" s="816"/>
      <c r="BC959" s="816"/>
      <c r="BD959" s="816"/>
      <c r="BE959" s="816"/>
      <c r="BF959" s="816"/>
      <c r="BG959" s="816" t="s">
        <v>503</v>
      </c>
      <c r="BH959" s="816"/>
      <c r="BI959" s="816"/>
      <c r="BJ959" s="816"/>
      <c r="BM959" s="816"/>
      <c r="BN959" s="816"/>
      <c r="BO959" s="816"/>
      <c r="BQ959" s="816"/>
      <c r="BR959" s="816"/>
      <c r="BS959" s="816"/>
      <c r="BT959" s="816"/>
      <c r="BU959" s="816"/>
    </row>
    <row r="960" spans="1:73" x14ac:dyDescent="0.35">
      <c r="A960" s="806" t="s">
        <v>1386</v>
      </c>
      <c r="B960" s="806" t="s">
        <v>1393</v>
      </c>
      <c r="C960" s="806"/>
      <c r="D960" s="806"/>
      <c r="E960" s="806"/>
      <c r="F960" s="806"/>
      <c r="I960" s="816"/>
      <c r="J960" s="816"/>
      <c r="K960" s="816"/>
      <c r="M960" s="816"/>
      <c r="N960" s="816"/>
      <c r="O960" s="816"/>
      <c r="P960" s="816"/>
      <c r="Q960" s="816"/>
      <c r="R960" s="816"/>
      <c r="S960" s="816"/>
      <c r="T960" s="816"/>
      <c r="U960" s="816"/>
      <c r="V960" s="816"/>
      <c r="W960" s="816"/>
      <c r="X960" s="816"/>
      <c r="Y960" s="816"/>
      <c r="Z960" s="816"/>
      <c r="AC960" s="816"/>
      <c r="AD960" s="816"/>
      <c r="AE960" s="816"/>
      <c r="AF960" s="816"/>
      <c r="AG960" s="816"/>
      <c r="AI960" s="816"/>
      <c r="AJ960" s="816"/>
      <c r="AL960" s="816"/>
      <c r="AM960" s="816"/>
      <c r="AN960" s="816"/>
      <c r="AO960" s="816"/>
      <c r="AP960" s="816"/>
      <c r="AQ960" s="816"/>
      <c r="AR960" s="816"/>
      <c r="AS960" s="816"/>
      <c r="AT960" s="816"/>
      <c r="AU960" s="816"/>
      <c r="AV960" s="816"/>
      <c r="AW960" s="816"/>
      <c r="AX960" s="816"/>
      <c r="AY960" s="816"/>
      <c r="AZ960" s="816"/>
      <c r="BA960" s="816"/>
      <c r="BC960" s="816"/>
      <c r="BD960" s="816"/>
      <c r="BE960" s="816"/>
      <c r="BF960" s="816"/>
      <c r="BG960" s="816" t="s">
        <v>198</v>
      </c>
      <c r="BH960" s="816"/>
      <c r="BI960" s="816"/>
      <c r="BJ960" s="816"/>
      <c r="BM960" s="816"/>
      <c r="BN960" s="816"/>
      <c r="BO960" s="816"/>
      <c r="BQ960" s="816"/>
      <c r="BR960" s="816"/>
      <c r="BS960" s="816"/>
      <c r="BT960" s="816"/>
      <c r="BU960" s="816"/>
    </row>
    <row r="961" spans="1:73" x14ac:dyDescent="0.35">
      <c r="A961" s="806" t="s">
        <v>1386</v>
      </c>
      <c r="B961" s="806" t="s">
        <v>1403</v>
      </c>
      <c r="C961" s="806"/>
      <c r="D961" s="806"/>
      <c r="E961" s="806"/>
      <c r="F961" s="806"/>
      <c r="I961" s="816"/>
      <c r="J961" s="816"/>
      <c r="K961" s="816"/>
      <c r="M961" s="816"/>
      <c r="N961" s="816"/>
      <c r="O961" s="816"/>
      <c r="P961" s="816"/>
      <c r="Q961" s="816"/>
      <c r="R961" s="816"/>
      <c r="S961" s="816"/>
      <c r="T961" s="816"/>
      <c r="U961" s="816"/>
      <c r="V961" s="816"/>
      <c r="W961" s="816"/>
      <c r="X961" s="816"/>
      <c r="Y961" s="816"/>
      <c r="Z961" s="816"/>
      <c r="AC961" s="816"/>
      <c r="AD961" s="816"/>
      <c r="AE961" s="816"/>
      <c r="AF961" s="816"/>
      <c r="AG961" s="816"/>
      <c r="AI961" s="816"/>
      <c r="AJ961" s="816"/>
      <c r="AL961" s="816"/>
      <c r="AM961" s="816"/>
      <c r="AN961" s="816"/>
      <c r="AO961" s="816"/>
      <c r="AP961" s="816"/>
      <c r="AQ961" s="816"/>
      <c r="AR961" s="816"/>
      <c r="AS961" s="816"/>
      <c r="AT961" s="816"/>
      <c r="AU961" s="816"/>
      <c r="AV961" s="816"/>
      <c r="AW961" s="816"/>
      <c r="AX961" s="816"/>
      <c r="AY961" s="816"/>
      <c r="AZ961" s="816"/>
      <c r="BA961" s="816"/>
      <c r="BC961" s="816"/>
      <c r="BD961" s="816"/>
      <c r="BE961" s="816"/>
      <c r="BF961" s="816"/>
      <c r="BG961" s="816" t="s">
        <v>503</v>
      </c>
      <c r="BH961" s="816"/>
      <c r="BI961" s="816"/>
      <c r="BJ961" s="816"/>
      <c r="BM961" s="816"/>
      <c r="BN961" s="816"/>
      <c r="BO961" s="816"/>
      <c r="BQ961" s="816"/>
      <c r="BR961" s="816"/>
      <c r="BS961" s="816"/>
      <c r="BT961" s="816"/>
      <c r="BU961" s="816"/>
    </row>
    <row r="962" spans="1:73" x14ac:dyDescent="0.35">
      <c r="A962" s="806" t="s">
        <v>864</v>
      </c>
      <c r="B962" s="806" t="s">
        <v>1318</v>
      </c>
      <c r="C962" s="806"/>
      <c r="D962" s="806"/>
      <c r="E962" s="806"/>
      <c r="F962" s="806"/>
      <c r="I962" s="816"/>
      <c r="J962" s="816"/>
      <c r="K962" s="816"/>
      <c r="M962" s="816"/>
      <c r="N962" s="816"/>
      <c r="O962" s="816"/>
      <c r="P962" s="816"/>
      <c r="Q962" s="816"/>
      <c r="S962" s="816"/>
      <c r="T962" s="816"/>
      <c r="U962" s="816"/>
      <c r="V962" s="816"/>
      <c r="W962" s="816"/>
      <c r="X962" s="816"/>
      <c r="Z962" s="816"/>
      <c r="AA962" s="816" t="s">
        <v>198</v>
      </c>
      <c r="AC962" s="816"/>
      <c r="AD962" s="816"/>
      <c r="AE962" s="816"/>
      <c r="AF962" s="816"/>
      <c r="AG962" s="816"/>
      <c r="AH962" s="816" t="s">
        <v>198</v>
      </c>
      <c r="AI962" s="816"/>
      <c r="AJ962" s="816"/>
      <c r="AL962" s="816"/>
      <c r="AN962" s="816"/>
      <c r="AP962" s="816"/>
      <c r="AQ962" s="816"/>
      <c r="AR962" s="816"/>
      <c r="AS962" s="816"/>
      <c r="AT962" s="816"/>
      <c r="AU962" s="816"/>
      <c r="AV962" s="816"/>
      <c r="AW962" s="816"/>
      <c r="AX962" s="816"/>
      <c r="AY962" s="816"/>
      <c r="AZ962" s="816"/>
      <c r="BA962" s="816"/>
      <c r="BC962" s="816"/>
      <c r="BD962" s="816"/>
      <c r="BE962" s="816"/>
      <c r="BF962" s="816"/>
      <c r="BG962" s="816"/>
      <c r="BH962" s="816"/>
      <c r="BI962" s="816"/>
      <c r="BJ962" s="816"/>
      <c r="BM962" s="816"/>
      <c r="BN962" s="816"/>
      <c r="BO962" s="816"/>
      <c r="BQ962" s="816"/>
      <c r="BR962" s="816"/>
      <c r="BS962" s="816"/>
      <c r="BT962" s="816"/>
      <c r="BU962" s="816" t="s">
        <v>198</v>
      </c>
    </row>
    <row r="963" spans="1:73" ht="409.5" x14ac:dyDescent="0.35">
      <c r="A963" s="806" t="s">
        <v>864</v>
      </c>
      <c r="B963" s="806" t="s">
        <v>1329</v>
      </c>
      <c r="C963" s="806"/>
      <c r="D963" s="806"/>
      <c r="E963" s="806"/>
      <c r="F963" s="806"/>
      <c r="I963" s="816"/>
      <c r="J963" s="816"/>
      <c r="K963" s="816"/>
      <c r="M963" s="816"/>
      <c r="N963" s="816"/>
      <c r="O963" s="816"/>
      <c r="P963" s="816"/>
      <c r="Q963" s="816"/>
      <c r="S963" s="816"/>
      <c r="T963" s="816"/>
      <c r="U963" s="816"/>
      <c r="V963" s="816"/>
      <c r="W963" s="816"/>
      <c r="X963" s="816"/>
      <c r="Z963" s="816"/>
      <c r="AA963" s="816" t="s">
        <v>3008</v>
      </c>
      <c r="AC963" s="816"/>
      <c r="AD963" s="816"/>
      <c r="AE963" s="816"/>
      <c r="AF963" s="816"/>
      <c r="AG963" s="816"/>
      <c r="AH963" s="816" t="s">
        <v>3192</v>
      </c>
      <c r="AI963" s="816"/>
      <c r="AJ963" s="816"/>
      <c r="AL963" s="816"/>
      <c r="AN963" s="816"/>
      <c r="AP963" s="816"/>
      <c r="AQ963" s="816"/>
      <c r="AR963" s="816"/>
      <c r="AS963" s="816"/>
      <c r="AT963" s="816"/>
      <c r="AU963" s="816"/>
      <c r="AV963" s="816"/>
      <c r="AW963" s="816"/>
      <c r="AX963" s="816"/>
      <c r="AY963" s="816"/>
      <c r="AZ963" s="816"/>
      <c r="BA963" s="816"/>
      <c r="BC963" s="816"/>
      <c r="BD963" s="816"/>
      <c r="BE963" s="816"/>
      <c r="BF963" s="816"/>
      <c r="BG963" s="816"/>
      <c r="BH963" s="816"/>
      <c r="BI963" s="816"/>
      <c r="BJ963" s="816"/>
      <c r="BM963" s="816"/>
      <c r="BN963" s="816"/>
      <c r="BO963" s="816"/>
      <c r="BQ963" s="816"/>
      <c r="BR963" s="816"/>
      <c r="BS963" s="816"/>
      <c r="BT963" s="816"/>
      <c r="BU963" s="816" t="s">
        <v>4367</v>
      </c>
    </row>
    <row r="964" spans="1:73" x14ac:dyDescent="0.35">
      <c r="A964" s="806" t="s">
        <v>882</v>
      </c>
      <c r="B964" s="806" t="s">
        <v>884</v>
      </c>
      <c r="C964" s="806"/>
      <c r="D964" s="806"/>
      <c r="E964" s="806"/>
      <c r="F964" s="806"/>
      <c r="G964" s="816" t="s">
        <v>1958</v>
      </c>
      <c r="I964" s="816"/>
      <c r="J964" s="816"/>
      <c r="K964" s="816"/>
      <c r="M964" s="816"/>
      <c r="N964" s="816"/>
      <c r="O964" s="816"/>
      <c r="P964" s="816"/>
      <c r="Q964" s="816"/>
      <c r="R964" s="816"/>
      <c r="S964" s="816"/>
      <c r="T964" s="816"/>
      <c r="U964" s="816"/>
      <c r="V964" s="816"/>
      <c r="W964" s="816"/>
      <c r="X964" s="816"/>
      <c r="Y964" s="816"/>
      <c r="Z964" s="816"/>
      <c r="AA964" s="816" t="s">
        <v>900</v>
      </c>
      <c r="AC964" s="816"/>
      <c r="AD964" s="816"/>
      <c r="AE964" s="816"/>
      <c r="AF964" s="816"/>
      <c r="AG964" s="816"/>
      <c r="AH964" s="816" t="s">
        <v>2476</v>
      </c>
      <c r="AI964" s="816"/>
      <c r="AJ964" s="816"/>
      <c r="AL964" s="816"/>
      <c r="AM964" s="816"/>
      <c r="AN964" s="816"/>
      <c r="AO964" s="816"/>
      <c r="AP964" s="816"/>
      <c r="AQ964" s="816"/>
      <c r="AR964" s="816"/>
      <c r="AS964" s="816"/>
      <c r="AT964" s="816"/>
      <c r="AU964" s="816"/>
      <c r="AV964" s="816"/>
      <c r="AW964" s="816"/>
      <c r="AX964" s="816"/>
      <c r="AY964" s="816"/>
      <c r="AZ964" s="816"/>
      <c r="BA964" s="816"/>
      <c r="BC964" s="816"/>
      <c r="BD964" s="816"/>
      <c r="BE964" s="816"/>
      <c r="BF964" s="816"/>
      <c r="BG964" s="816"/>
      <c r="BH964" s="816"/>
      <c r="BI964" s="816"/>
      <c r="BJ964" s="816"/>
      <c r="BK964" s="816" t="s">
        <v>1958</v>
      </c>
      <c r="BL964" s="816"/>
      <c r="BM964" s="816"/>
      <c r="BN964" s="816"/>
      <c r="BO964" s="816"/>
      <c r="BQ964" s="816"/>
      <c r="BR964" s="816"/>
      <c r="BS964" s="816"/>
      <c r="BT964" s="816"/>
      <c r="BU964" s="816" t="s">
        <v>2476</v>
      </c>
    </row>
    <row r="965" spans="1:73" ht="29" x14ac:dyDescent="0.35">
      <c r="A965" s="806" t="s">
        <v>864</v>
      </c>
      <c r="B965" s="806" t="s">
        <v>1327</v>
      </c>
      <c r="C965" s="806"/>
      <c r="D965" s="806"/>
      <c r="E965" s="806"/>
      <c r="F965" s="806"/>
      <c r="I965" s="816"/>
      <c r="J965" s="816"/>
      <c r="K965" s="816"/>
      <c r="M965" s="816"/>
      <c r="N965" s="816"/>
      <c r="O965" s="816"/>
      <c r="P965" s="816"/>
      <c r="Q965" s="816"/>
      <c r="S965" s="816"/>
      <c r="T965" s="816"/>
      <c r="U965" s="816"/>
      <c r="V965" s="816"/>
      <c r="W965" s="816"/>
      <c r="X965" s="816"/>
      <c r="Z965" s="816"/>
      <c r="AA965" s="816" t="s">
        <v>198</v>
      </c>
      <c r="AC965" s="816"/>
      <c r="AD965" s="816"/>
      <c r="AE965" s="816"/>
      <c r="AF965" s="816"/>
      <c r="AG965" s="816"/>
      <c r="AH965" s="816" t="s">
        <v>198</v>
      </c>
      <c r="AI965" s="816"/>
      <c r="AJ965" s="816"/>
      <c r="AL965" s="816"/>
      <c r="AN965" s="816"/>
      <c r="AP965" s="816"/>
      <c r="AQ965" s="816"/>
      <c r="AR965" s="816"/>
      <c r="AS965" s="816"/>
      <c r="AT965" s="816"/>
      <c r="AU965" s="816"/>
      <c r="AV965" s="816"/>
      <c r="AW965" s="816"/>
      <c r="AX965" s="816"/>
      <c r="AY965" s="816"/>
      <c r="AZ965" s="816"/>
      <c r="BA965" s="816"/>
      <c r="BC965" s="816"/>
      <c r="BD965" s="816"/>
      <c r="BE965" s="816"/>
      <c r="BF965" s="816"/>
      <c r="BG965" s="816"/>
      <c r="BH965" s="816"/>
      <c r="BI965" s="816"/>
      <c r="BJ965" s="816"/>
      <c r="BM965" s="816"/>
      <c r="BN965" s="816"/>
      <c r="BO965" s="816"/>
      <c r="BQ965" s="816"/>
      <c r="BR965" s="816"/>
      <c r="BS965" s="816"/>
      <c r="BT965" s="816"/>
      <c r="BU965" s="816" t="s">
        <v>198</v>
      </c>
    </row>
    <row r="966" spans="1:73" ht="29" x14ac:dyDescent="0.35">
      <c r="A966" s="806" t="s">
        <v>864</v>
      </c>
      <c r="B966" s="806" t="s">
        <v>1317</v>
      </c>
      <c r="C966" s="806"/>
      <c r="D966" s="806"/>
      <c r="E966" s="806"/>
      <c r="F966" s="806"/>
      <c r="I966" s="816"/>
      <c r="J966" s="816"/>
      <c r="K966" s="816"/>
      <c r="M966" s="816"/>
      <c r="N966" s="816"/>
      <c r="O966" s="816"/>
      <c r="P966" s="816"/>
      <c r="Q966" s="816"/>
      <c r="R966" s="816"/>
      <c r="S966" s="816"/>
      <c r="T966" s="816"/>
      <c r="U966" s="816"/>
      <c r="V966" s="816"/>
      <c r="W966" s="816"/>
      <c r="X966" s="816"/>
      <c r="Y966" s="816"/>
      <c r="Z966" s="816"/>
      <c r="AA966" s="816" t="b">
        <v>1</v>
      </c>
      <c r="AC966" s="816"/>
      <c r="AD966" s="816"/>
      <c r="AE966" s="816"/>
      <c r="AF966" s="816"/>
      <c r="AG966" s="816"/>
      <c r="AH966" s="816" t="b">
        <v>1</v>
      </c>
      <c r="AI966" s="816"/>
      <c r="AJ966" s="816"/>
      <c r="AL966" s="816"/>
      <c r="AM966" s="816"/>
      <c r="AN966" s="816"/>
      <c r="AO966" s="816"/>
      <c r="AP966" s="816"/>
      <c r="AQ966" s="816"/>
      <c r="AR966" s="816"/>
      <c r="AS966" s="816"/>
      <c r="AT966" s="816"/>
      <c r="AU966" s="816"/>
      <c r="AV966" s="816"/>
      <c r="AW966" s="816"/>
      <c r="AX966" s="816"/>
      <c r="AY966" s="816"/>
      <c r="AZ966" s="816"/>
      <c r="BA966" s="816"/>
      <c r="BC966" s="816"/>
      <c r="BD966" s="816"/>
      <c r="BE966" s="816"/>
      <c r="BF966" s="816"/>
      <c r="BG966" s="816"/>
      <c r="BH966" s="816"/>
      <c r="BI966" s="816"/>
      <c r="BJ966" s="816"/>
      <c r="BM966" s="816"/>
      <c r="BN966" s="816"/>
      <c r="BO966" s="816"/>
      <c r="BQ966" s="816"/>
      <c r="BR966" s="816"/>
      <c r="BS966" s="816"/>
      <c r="BT966" s="816"/>
      <c r="BU966" s="816" t="b">
        <v>1</v>
      </c>
    </row>
    <row r="967" spans="1:73" ht="29" x14ac:dyDescent="0.35">
      <c r="A967" s="806" t="s">
        <v>864</v>
      </c>
      <c r="B967" s="806" t="s">
        <v>1323</v>
      </c>
      <c r="C967" s="806"/>
      <c r="D967" s="806"/>
      <c r="E967" s="806"/>
      <c r="F967" s="806"/>
      <c r="I967" s="816"/>
      <c r="J967" s="816"/>
      <c r="K967" s="816"/>
      <c r="M967" s="816"/>
      <c r="N967" s="816"/>
      <c r="O967" s="816"/>
      <c r="P967" s="816"/>
      <c r="Q967" s="816"/>
      <c r="S967" s="816"/>
      <c r="T967" s="816"/>
      <c r="U967" s="816"/>
      <c r="V967" s="816"/>
      <c r="W967" s="816"/>
      <c r="X967" s="816"/>
      <c r="Z967" s="816"/>
      <c r="AA967" s="816" t="s">
        <v>198</v>
      </c>
      <c r="AC967" s="816"/>
      <c r="AD967" s="816"/>
      <c r="AE967" s="816"/>
      <c r="AF967" s="816"/>
      <c r="AG967" s="816"/>
      <c r="AH967" s="816" t="s">
        <v>198</v>
      </c>
      <c r="AI967" s="816"/>
      <c r="AJ967" s="816"/>
      <c r="AL967" s="816"/>
      <c r="AN967" s="816"/>
      <c r="AP967" s="816"/>
      <c r="AQ967" s="816"/>
      <c r="AR967" s="816"/>
      <c r="AS967" s="816"/>
      <c r="AT967" s="816"/>
      <c r="AU967" s="816"/>
      <c r="AV967" s="816"/>
      <c r="AW967" s="816"/>
      <c r="AX967" s="816"/>
      <c r="AY967" s="816"/>
      <c r="AZ967" s="816"/>
      <c r="BA967" s="816"/>
      <c r="BC967" s="816"/>
      <c r="BD967" s="816"/>
      <c r="BE967" s="816"/>
      <c r="BF967" s="816"/>
      <c r="BG967" s="816"/>
      <c r="BH967" s="816"/>
      <c r="BI967" s="816"/>
      <c r="BJ967" s="816"/>
      <c r="BM967" s="816"/>
      <c r="BN967" s="816"/>
      <c r="BO967" s="816"/>
      <c r="BQ967" s="816"/>
      <c r="BR967" s="816"/>
      <c r="BS967" s="816"/>
      <c r="BT967" s="816"/>
      <c r="BU967" s="816" t="s">
        <v>198</v>
      </c>
    </row>
    <row r="968" spans="1:73" ht="409.5" x14ac:dyDescent="0.35">
      <c r="A968" s="806" t="s">
        <v>864</v>
      </c>
      <c r="B968" s="806" t="s">
        <v>1679</v>
      </c>
      <c r="C968" s="806"/>
      <c r="D968" s="806"/>
      <c r="E968" s="806"/>
      <c r="F968" s="806"/>
      <c r="I968" s="816"/>
      <c r="K968" s="816"/>
      <c r="M968" s="816"/>
      <c r="Q968" s="816"/>
      <c r="S968" s="816"/>
      <c r="U968" s="816"/>
      <c r="V968" s="816"/>
      <c r="W968" s="816"/>
      <c r="AD968" s="816"/>
      <c r="AG968" s="816"/>
      <c r="AH968" s="816" t="s">
        <v>3193</v>
      </c>
      <c r="AJ968" s="816"/>
      <c r="AL968" s="816"/>
      <c r="AR968" s="816"/>
      <c r="AT968" s="816"/>
      <c r="AU968" s="816"/>
      <c r="AV968" s="816"/>
      <c r="AX968" s="816"/>
      <c r="AY968" s="816"/>
      <c r="AZ968" s="816"/>
      <c r="BC968" s="816"/>
      <c r="BD968" s="816"/>
      <c r="BE968" s="816"/>
      <c r="BG968" s="816"/>
      <c r="BH968" s="816"/>
      <c r="BI968" s="816"/>
      <c r="BS968" s="816"/>
      <c r="BT968" s="816"/>
      <c r="BU968" s="816" t="s">
        <v>4368</v>
      </c>
    </row>
    <row r="969" spans="1:73" ht="29" x14ac:dyDescent="0.35">
      <c r="A969" s="806" t="s">
        <v>864</v>
      </c>
      <c r="B969" s="806" t="s">
        <v>1326</v>
      </c>
      <c r="C969" s="806"/>
      <c r="D969" s="806"/>
      <c r="E969" s="806"/>
      <c r="F969" s="806"/>
      <c r="I969" s="816"/>
      <c r="J969" s="816"/>
      <c r="K969" s="816"/>
      <c r="M969" s="816"/>
      <c r="N969" s="816"/>
      <c r="O969" s="816"/>
      <c r="P969" s="816"/>
      <c r="Q969" s="816"/>
      <c r="S969" s="816"/>
      <c r="T969" s="816"/>
      <c r="U969" s="816"/>
      <c r="V969" s="816"/>
      <c r="W969" s="816"/>
      <c r="X969" s="816"/>
      <c r="Z969" s="816"/>
      <c r="AA969" s="816" t="s">
        <v>198</v>
      </c>
      <c r="AC969" s="816"/>
      <c r="AD969" s="816"/>
      <c r="AE969" s="816"/>
      <c r="AF969" s="816"/>
      <c r="AG969" s="816"/>
      <c r="AH969" s="816" t="s">
        <v>198</v>
      </c>
      <c r="AI969" s="816"/>
      <c r="AJ969" s="816"/>
      <c r="AL969" s="816"/>
      <c r="AN969" s="816"/>
      <c r="AP969" s="816"/>
      <c r="AQ969" s="816"/>
      <c r="AR969" s="816"/>
      <c r="AS969" s="816"/>
      <c r="AT969" s="816"/>
      <c r="AU969" s="816"/>
      <c r="AV969" s="816"/>
      <c r="AW969" s="816"/>
      <c r="AX969" s="816"/>
      <c r="AY969" s="816"/>
      <c r="AZ969" s="816"/>
      <c r="BA969" s="816"/>
      <c r="BC969" s="816"/>
      <c r="BD969" s="816"/>
      <c r="BE969" s="816"/>
      <c r="BF969" s="816"/>
      <c r="BG969" s="816"/>
      <c r="BH969" s="816"/>
      <c r="BI969" s="816"/>
      <c r="BJ969" s="816"/>
      <c r="BM969" s="816"/>
      <c r="BN969" s="816"/>
      <c r="BO969" s="816"/>
      <c r="BQ969" s="816"/>
      <c r="BR969" s="816"/>
      <c r="BS969" s="816"/>
      <c r="BT969" s="816"/>
      <c r="BU969" s="816" t="s">
        <v>198</v>
      </c>
    </row>
    <row r="970" spans="1:73" ht="29" x14ac:dyDescent="0.35">
      <c r="A970" s="806" t="s">
        <v>864</v>
      </c>
      <c r="B970" s="806" t="s">
        <v>1324</v>
      </c>
      <c r="C970" s="806"/>
      <c r="D970" s="806"/>
      <c r="E970" s="806"/>
      <c r="F970" s="806"/>
      <c r="I970" s="816"/>
      <c r="J970" s="816"/>
      <c r="K970" s="816"/>
      <c r="M970" s="816"/>
      <c r="N970" s="816"/>
      <c r="O970" s="816"/>
      <c r="P970" s="816"/>
      <c r="Q970" s="816"/>
      <c r="S970" s="816"/>
      <c r="T970" s="816"/>
      <c r="U970" s="816"/>
      <c r="V970" s="816"/>
      <c r="W970" s="816"/>
      <c r="X970" s="816"/>
      <c r="Z970" s="816"/>
      <c r="AA970" s="816" t="s">
        <v>198</v>
      </c>
      <c r="AC970" s="816"/>
      <c r="AD970" s="816"/>
      <c r="AE970" s="816"/>
      <c r="AF970" s="816"/>
      <c r="AG970" s="816"/>
      <c r="AH970" s="816" t="s">
        <v>198</v>
      </c>
      <c r="AI970" s="816"/>
      <c r="AJ970" s="816"/>
      <c r="AL970" s="816"/>
      <c r="AN970" s="816"/>
      <c r="AP970" s="816"/>
      <c r="AQ970" s="816"/>
      <c r="AR970" s="816"/>
      <c r="AS970" s="816"/>
      <c r="AT970" s="816"/>
      <c r="AU970" s="816"/>
      <c r="AV970" s="816"/>
      <c r="AW970" s="816"/>
      <c r="AX970" s="816"/>
      <c r="AY970" s="816"/>
      <c r="AZ970" s="816"/>
      <c r="BA970" s="816"/>
      <c r="BC970" s="816"/>
      <c r="BD970" s="816"/>
      <c r="BE970" s="816"/>
      <c r="BF970" s="816"/>
      <c r="BG970" s="816"/>
      <c r="BH970" s="816"/>
      <c r="BI970" s="816"/>
      <c r="BJ970" s="816"/>
      <c r="BM970" s="816"/>
      <c r="BN970" s="816"/>
      <c r="BO970" s="816"/>
      <c r="BQ970" s="816"/>
      <c r="BR970" s="816"/>
      <c r="BS970" s="816"/>
      <c r="BT970" s="816"/>
      <c r="BU970" s="816" t="s">
        <v>198</v>
      </c>
    </row>
    <row r="971" spans="1:73" ht="29" x14ac:dyDescent="0.35">
      <c r="A971" s="806" t="s">
        <v>864</v>
      </c>
      <c r="B971" s="806" t="s">
        <v>1319</v>
      </c>
      <c r="C971" s="806"/>
      <c r="D971" s="806"/>
      <c r="E971" s="806"/>
      <c r="F971" s="806"/>
      <c r="I971" s="816"/>
      <c r="J971" s="816"/>
      <c r="K971" s="816"/>
      <c r="M971" s="816"/>
      <c r="N971" s="816"/>
      <c r="O971" s="816"/>
      <c r="P971" s="816"/>
      <c r="Q971" s="816"/>
      <c r="S971" s="816"/>
      <c r="T971" s="816"/>
      <c r="U971" s="816"/>
      <c r="V971" s="816"/>
      <c r="W971" s="816"/>
      <c r="X971" s="816"/>
      <c r="Z971" s="816"/>
      <c r="AA971" s="816" t="s">
        <v>3006</v>
      </c>
      <c r="AC971" s="816"/>
      <c r="AD971" s="816"/>
      <c r="AE971" s="816"/>
      <c r="AF971" s="816"/>
      <c r="AG971" s="816"/>
      <c r="AH971" s="816" t="s">
        <v>3187</v>
      </c>
      <c r="AI971" s="816"/>
      <c r="AJ971" s="816"/>
      <c r="AL971" s="816"/>
      <c r="AN971" s="816"/>
      <c r="AP971" s="816"/>
      <c r="AQ971" s="816"/>
      <c r="AR971" s="816"/>
      <c r="AS971" s="816"/>
      <c r="AT971" s="816"/>
      <c r="AU971" s="816"/>
      <c r="AV971" s="816"/>
      <c r="AW971" s="816"/>
      <c r="AX971" s="816"/>
      <c r="AY971" s="816"/>
      <c r="AZ971" s="816"/>
      <c r="BA971" s="816"/>
      <c r="BC971" s="816"/>
      <c r="BD971" s="816"/>
      <c r="BE971" s="816"/>
      <c r="BF971" s="816"/>
      <c r="BG971" s="816"/>
      <c r="BH971" s="816"/>
      <c r="BI971" s="816"/>
      <c r="BJ971" s="816"/>
      <c r="BM971" s="816"/>
      <c r="BN971" s="816"/>
      <c r="BO971" s="816"/>
      <c r="BQ971" s="816"/>
      <c r="BR971" s="816"/>
      <c r="BS971" s="816"/>
      <c r="BT971" s="816"/>
      <c r="BU971" s="816" t="s">
        <v>4360</v>
      </c>
    </row>
    <row r="972" spans="1:73" ht="58" x14ac:dyDescent="0.35">
      <c r="A972" s="806" t="s">
        <v>864</v>
      </c>
      <c r="B972" s="806" t="s">
        <v>3574</v>
      </c>
      <c r="C972" s="806"/>
      <c r="D972" s="806"/>
      <c r="E972" s="806"/>
      <c r="F972" s="806"/>
      <c r="AA972" s="816" t="s">
        <v>3007</v>
      </c>
      <c r="AH972" s="816" t="s">
        <v>3188</v>
      </c>
      <c r="BU972" s="816" t="s">
        <v>4361</v>
      </c>
    </row>
    <row r="973" spans="1:73" ht="29" x14ac:dyDescent="0.35">
      <c r="A973" s="806" t="s">
        <v>864</v>
      </c>
      <c r="B973" s="806" t="s">
        <v>3865</v>
      </c>
      <c r="C973" s="806"/>
      <c r="D973" s="806"/>
      <c r="E973" s="806"/>
      <c r="F973" s="806"/>
      <c r="AH973" s="816" t="s">
        <v>3189</v>
      </c>
      <c r="BU973" s="816" t="s">
        <v>4362</v>
      </c>
    </row>
    <row r="974" spans="1:73" ht="29" x14ac:dyDescent="0.35">
      <c r="A974" s="806" t="s">
        <v>864</v>
      </c>
      <c r="B974" s="806" t="s">
        <v>3867</v>
      </c>
      <c r="C974" s="806"/>
      <c r="D974" s="806"/>
      <c r="E974" s="806"/>
      <c r="F974" s="806"/>
      <c r="AH974" s="816" t="s">
        <v>3190</v>
      </c>
      <c r="BU974" s="816" t="s">
        <v>4363</v>
      </c>
    </row>
    <row r="975" spans="1:73" x14ac:dyDescent="0.35">
      <c r="A975" s="806" t="s">
        <v>864</v>
      </c>
      <c r="B975" s="806" t="s">
        <v>3873</v>
      </c>
      <c r="C975" s="806"/>
      <c r="D975" s="806"/>
      <c r="E975" s="806"/>
      <c r="F975" s="806"/>
      <c r="AH975" s="816"/>
      <c r="BU975" s="816" t="s">
        <v>4369</v>
      </c>
    </row>
    <row r="976" spans="1:73" x14ac:dyDescent="0.35">
      <c r="A976" s="806" t="s">
        <v>864</v>
      </c>
      <c r="B976" s="806" t="s">
        <v>1322</v>
      </c>
      <c r="C976" s="806"/>
      <c r="D976" s="806"/>
      <c r="E976" s="806"/>
      <c r="F976" s="806"/>
      <c r="I976" s="811"/>
      <c r="J976" s="811"/>
      <c r="K976" s="811"/>
      <c r="M976" s="811"/>
      <c r="N976" s="811"/>
      <c r="O976" s="811"/>
      <c r="P976" s="811"/>
      <c r="Q976" s="811"/>
      <c r="S976" s="811"/>
      <c r="T976" s="811"/>
      <c r="U976" s="811"/>
      <c r="V976" s="811"/>
      <c r="W976" s="811"/>
      <c r="X976" s="811"/>
      <c r="Z976" s="811"/>
      <c r="AA976" s="811">
        <v>44713</v>
      </c>
      <c r="AC976" s="811"/>
      <c r="AD976" s="811"/>
      <c r="AE976" s="811"/>
      <c r="AF976" s="811"/>
      <c r="AG976" s="811"/>
      <c r="AH976" s="811">
        <v>43992</v>
      </c>
      <c r="AI976" s="811"/>
      <c r="AJ976" s="811"/>
      <c r="AL976" s="811"/>
      <c r="AN976" s="811"/>
      <c r="AP976" s="811"/>
      <c r="AQ976" s="811"/>
      <c r="AR976" s="811"/>
      <c r="AS976" s="811"/>
      <c r="AT976" s="811"/>
      <c r="AU976" s="811"/>
      <c r="AV976" s="811"/>
      <c r="AW976" s="811"/>
      <c r="AX976" s="811"/>
      <c r="AY976" s="811"/>
      <c r="AZ976" s="811"/>
      <c r="BA976" s="811"/>
      <c r="BC976" s="811"/>
      <c r="BD976" s="811"/>
      <c r="BE976" s="811"/>
      <c r="BF976" s="811"/>
      <c r="BG976" s="811"/>
      <c r="BH976" s="811"/>
      <c r="BI976" s="811"/>
      <c r="BJ976" s="811"/>
      <c r="BM976" s="811"/>
      <c r="BN976" s="811"/>
      <c r="BO976" s="811"/>
      <c r="BQ976" s="811"/>
      <c r="BR976" s="811"/>
      <c r="BS976" s="811"/>
      <c r="BT976" s="811"/>
      <c r="BU976" s="811">
        <v>44984</v>
      </c>
    </row>
    <row r="977" spans="1:73" x14ac:dyDescent="0.35">
      <c r="A977" s="806" t="s">
        <v>864</v>
      </c>
      <c r="B977" s="806" t="s">
        <v>3577</v>
      </c>
      <c r="C977" s="806"/>
      <c r="D977" s="806"/>
      <c r="E977" s="806"/>
      <c r="F977" s="806"/>
      <c r="AA977" s="811">
        <v>44805</v>
      </c>
      <c r="AH977" s="811">
        <v>44837</v>
      </c>
      <c r="BU977" s="811">
        <v>44984</v>
      </c>
    </row>
    <row r="978" spans="1:73" x14ac:dyDescent="0.35">
      <c r="A978" s="806" t="s">
        <v>864</v>
      </c>
      <c r="B978" s="806" t="s">
        <v>3871</v>
      </c>
      <c r="C978" s="806"/>
      <c r="D978" s="806"/>
      <c r="E978" s="806"/>
      <c r="F978" s="806"/>
      <c r="AH978" s="811">
        <v>44929</v>
      </c>
      <c r="BU978" s="811">
        <v>44984</v>
      </c>
    </row>
    <row r="979" spans="1:73" x14ac:dyDescent="0.35">
      <c r="A979" s="806" t="s">
        <v>864</v>
      </c>
      <c r="B979" s="806" t="s">
        <v>3872</v>
      </c>
      <c r="C979" s="806"/>
      <c r="D979" s="806"/>
      <c r="E979" s="806"/>
      <c r="F979" s="806"/>
      <c r="AH979" s="811">
        <v>44915</v>
      </c>
      <c r="BU979" s="811">
        <v>44984</v>
      </c>
    </row>
    <row r="980" spans="1:73" x14ac:dyDescent="0.35">
      <c r="A980" s="806" t="s">
        <v>864</v>
      </c>
      <c r="B980" s="806" t="s">
        <v>3875</v>
      </c>
      <c r="C980" s="806"/>
      <c r="D980" s="806"/>
      <c r="E980" s="806"/>
      <c r="F980" s="806"/>
      <c r="AH980" s="811"/>
      <c r="BU980" s="811">
        <v>44984</v>
      </c>
    </row>
    <row r="981" spans="1:73" x14ac:dyDescent="0.35">
      <c r="A981" s="806" t="s">
        <v>864</v>
      </c>
      <c r="B981" s="806" t="s">
        <v>1321</v>
      </c>
      <c r="C981" s="806"/>
      <c r="D981" s="806"/>
      <c r="E981" s="806"/>
      <c r="F981" s="806"/>
      <c r="I981" s="811"/>
      <c r="J981" s="811"/>
      <c r="K981" s="811"/>
      <c r="M981" s="811"/>
      <c r="N981" s="811"/>
      <c r="O981" s="811"/>
      <c r="P981" s="811"/>
      <c r="Q981" s="811"/>
      <c r="S981" s="811"/>
      <c r="T981" s="811"/>
      <c r="U981" s="811"/>
      <c r="V981" s="811"/>
      <c r="W981" s="811"/>
      <c r="X981" s="811"/>
      <c r="Z981" s="811"/>
      <c r="AA981" s="811">
        <v>44197</v>
      </c>
      <c r="AC981" s="811"/>
      <c r="AD981" s="811"/>
      <c r="AE981" s="811"/>
      <c r="AF981" s="811"/>
      <c r="AG981" s="811"/>
      <c r="AH981" s="811">
        <v>43471</v>
      </c>
      <c r="AI981" s="811"/>
      <c r="AJ981" s="811"/>
      <c r="AL981" s="811"/>
      <c r="AN981" s="811"/>
      <c r="AP981" s="811"/>
      <c r="AQ981" s="811"/>
      <c r="AR981" s="811"/>
      <c r="AS981" s="811"/>
      <c r="AT981" s="811"/>
      <c r="AU981" s="811"/>
      <c r="AV981" s="811"/>
      <c r="AW981" s="811"/>
      <c r="AX981" s="811"/>
      <c r="AY981" s="811"/>
      <c r="AZ981" s="811"/>
      <c r="BA981" s="811"/>
      <c r="BC981" s="811"/>
      <c r="BD981" s="811"/>
      <c r="BE981" s="811"/>
      <c r="BF981" s="811"/>
      <c r="BG981" s="811"/>
      <c r="BH981" s="811"/>
      <c r="BI981" s="811"/>
      <c r="BJ981" s="811"/>
      <c r="BM981" s="811"/>
      <c r="BN981" s="811"/>
      <c r="BO981" s="811"/>
      <c r="BQ981" s="811"/>
      <c r="BR981" s="811"/>
      <c r="BS981" s="811"/>
      <c r="BT981" s="811"/>
      <c r="BU981" s="811">
        <v>43993</v>
      </c>
    </row>
    <row r="982" spans="1:73" x14ac:dyDescent="0.35">
      <c r="A982" s="806" t="s">
        <v>864</v>
      </c>
      <c r="B982" s="806" t="s">
        <v>3576</v>
      </c>
      <c r="C982" s="806"/>
      <c r="D982" s="806"/>
      <c r="E982" s="806"/>
      <c r="F982" s="806"/>
      <c r="AA982" s="811">
        <v>44197</v>
      </c>
      <c r="AH982" s="811">
        <v>44063</v>
      </c>
      <c r="BU982" s="811">
        <v>44215</v>
      </c>
    </row>
    <row r="983" spans="1:73" x14ac:dyDescent="0.35">
      <c r="A983" s="806" t="s">
        <v>864</v>
      </c>
      <c r="B983" s="806" t="s">
        <v>3869</v>
      </c>
      <c r="C983" s="806"/>
      <c r="D983" s="806"/>
      <c r="E983" s="806"/>
      <c r="F983" s="806"/>
      <c r="AH983" s="811">
        <v>44680</v>
      </c>
      <c r="BU983" s="811">
        <v>44516</v>
      </c>
    </row>
    <row r="984" spans="1:73" x14ac:dyDescent="0.35">
      <c r="A984" s="806" t="s">
        <v>864</v>
      </c>
      <c r="B984" s="806" t="s">
        <v>3870</v>
      </c>
      <c r="C984" s="806"/>
      <c r="D984" s="806"/>
      <c r="E984" s="806"/>
      <c r="F984" s="806"/>
      <c r="AH984" s="811">
        <v>44201</v>
      </c>
      <c r="BU984" s="811">
        <v>44516</v>
      </c>
    </row>
    <row r="985" spans="1:73" x14ac:dyDescent="0.35">
      <c r="A985" s="806" t="s">
        <v>864</v>
      </c>
      <c r="B985" s="806" t="s">
        <v>3876</v>
      </c>
      <c r="C985" s="806"/>
      <c r="D985" s="806"/>
      <c r="E985" s="806"/>
      <c r="F985" s="806"/>
      <c r="AH985" s="811"/>
      <c r="BU985" s="811">
        <v>44482</v>
      </c>
    </row>
    <row r="986" spans="1:73" x14ac:dyDescent="0.35">
      <c r="A986" s="806" t="s">
        <v>864</v>
      </c>
      <c r="B986" s="806" t="s">
        <v>1320</v>
      </c>
      <c r="C986" s="806"/>
      <c r="D986" s="806"/>
      <c r="E986" s="806"/>
      <c r="F986" s="806"/>
      <c r="I986" s="817"/>
      <c r="J986" s="817"/>
      <c r="K986" s="817"/>
      <c r="M986" s="817"/>
      <c r="N986" s="817"/>
      <c r="O986" s="817"/>
      <c r="P986" s="817"/>
      <c r="Q986" s="817"/>
      <c r="S986" s="817"/>
      <c r="T986" s="817"/>
      <c r="U986" s="817"/>
      <c r="V986" s="817"/>
      <c r="W986" s="817"/>
      <c r="X986" s="817"/>
      <c r="Z986" s="817"/>
      <c r="AA986" s="817">
        <v>6</v>
      </c>
      <c r="AC986" s="817"/>
      <c r="AD986" s="817"/>
      <c r="AE986" s="817"/>
      <c r="AF986" s="817"/>
      <c r="AG986" s="817"/>
      <c r="AH986" s="817">
        <v>3</v>
      </c>
      <c r="AI986" s="817"/>
      <c r="AJ986" s="817"/>
      <c r="AL986" s="817"/>
      <c r="AN986" s="817"/>
      <c r="AP986" s="817"/>
      <c r="AQ986" s="817"/>
      <c r="AR986" s="817"/>
      <c r="AS986" s="817"/>
      <c r="AT986" s="817"/>
      <c r="AU986" s="817"/>
      <c r="AV986" s="817"/>
      <c r="AW986" s="817"/>
      <c r="AX986" s="817"/>
      <c r="AY986" s="817"/>
      <c r="AZ986" s="817"/>
      <c r="BA986" s="817"/>
      <c r="BC986" s="817"/>
      <c r="BD986" s="817"/>
      <c r="BE986" s="817"/>
      <c r="BF986" s="817"/>
      <c r="BG986" s="817"/>
      <c r="BH986" s="817"/>
      <c r="BI986" s="817"/>
      <c r="BJ986" s="817"/>
      <c r="BM986" s="817"/>
      <c r="BN986" s="817"/>
      <c r="BO986" s="817"/>
      <c r="BQ986" s="817"/>
      <c r="BR986" s="817"/>
      <c r="BS986" s="817"/>
      <c r="BT986" s="817"/>
      <c r="BU986" s="817">
        <v>22</v>
      </c>
    </row>
    <row r="987" spans="1:73" x14ac:dyDescent="0.35">
      <c r="A987" s="806" t="s">
        <v>864</v>
      </c>
      <c r="B987" s="806" t="s">
        <v>3575</v>
      </c>
      <c r="C987" s="806"/>
      <c r="D987" s="806"/>
      <c r="E987" s="806"/>
      <c r="F987" s="806"/>
      <c r="AA987" s="817">
        <v>20</v>
      </c>
      <c r="AH987" s="817">
        <v>6</v>
      </c>
      <c r="BU987" s="817">
        <v>21</v>
      </c>
    </row>
    <row r="988" spans="1:73" x14ac:dyDescent="0.35">
      <c r="A988" s="806" t="s">
        <v>864</v>
      </c>
      <c r="B988" s="806" t="s">
        <v>3866</v>
      </c>
      <c r="C988" s="806"/>
      <c r="D988" s="806"/>
      <c r="E988" s="806"/>
      <c r="F988" s="806"/>
      <c r="AH988" s="817">
        <v>1</v>
      </c>
      <c r="BU988" s="817">
        <v>6</v>
      </c>
    </row>
    <row r="989" spans="1:73" x14ac:dyDescent="0.35">
      <c r="A989" s="806" t="s">
        <v>864</v>
      </c>
      <c r="B989" s="806" t="s">
        <v>3868</v>
      </c>
      <c r="C989" s="806"/>
      <c r="D989" s="806"/>
      <c r="E989" s="806"/>
      <c r="F989" s="806"/>
      <c r="AH989" s="817">
        <v>1</v>
      </c>
      <c r="BU989" s="817">
        <v>14</v>
      </c>
    </row>
    <row r="990" spans="1:73" x14ac:dyDescent="0.35">
      <c r="A990" s="806" t="s">
        <v>864</v>
      </c>
      <c r="B990" s="806" t="s">
        <v>3874</v>
      </c>
      <c r="C990" s="806"/>
      <c r="D990" s="806"/>
      <c r="E990" s="806"/>
      <c r="F990" s="806"/>
      <c r="AH990" s="817"/>
      <c r="BU990" s="817">
        <v>16</v>
      </c>
    </row>
    <row r="991" spans="1:73" ht="409.5" x14ac:dyDescent="0.35">
      <c r="A991" s="806" t="s">
        <v>864</v>
      </c>
      <c r="B991" s="806" t="s">
        <v>1328</v>
      </c>
      <c r="C991" s="806"/>
      <c r="D991" s="806"/>
      <c r="E991" s="806"/>
      <c r="F991" s="806"/>
      <c r="I991" s="816"/>
      <c r="J991" s="816"/>
      <c r="K991" s="816"/>
      <c r="M991" s="816"/>
      <c r="N991" s="816"/>
      <c r="O991" s="816"/>
      <c r="P991" s="816"/>
      <c r="Q991" s="816"/>
      <c r="S991" s="816"/>
      <c r="T991" s="816"/>
      <c r="U991" s="816"/>
      <c r="V991" s="816"/>
      <c r="W991" s="816"/>
      <c r="X991" s="816"/>
      <c r="Z991" s="816"/>
      <c r="AA991" s="816" t="s">
        <v>3008</v>
      </c>
      <c r="AC991" s="816"/>
      <c r="AD991" s="816"/>
      <c r="AE991" s="816"/>
      <c r="AF991" s="816"/>
      <c r="AG991" s="816"/>
      <c r="AH991" s="816" t="s">
        <v>3191</v>
      </c>
      <c r="AI991" s="816"/>
      <c r="AJ991" s="816"/>
      <c r="AL991" s="816"/>
      <c r="AN991" s="816"/>
      <c r="AP991" s="816"/>
      <c r="AQ991" s="816"/>
      <c r="AR991" s="816"/>
      <c r="AS991" s="816"/>
      <c r="AT991" s="816"/>
      <c r="AU991" s="816"/>
      <c r="AV991" s="816"/>
      <c r="AW991" s="816"/>
      <c r="AX991" s="816"/>
      <c r="AY991" s="816"/>
      <c r="AZ991" s="816"/>
      <c r="BA991" s="816"/>
      <c r="BC991" s="816"/>
      <c r="BD991" s="816"/>
      <c r="BE991" s="816"/>
      <c r="BF991" s="816"/>
      <c r="BG991" s="816"/>
      <c r="BH991" s="816"/>
      <c r="BI991" s="816"/>
      <c r="BJ991" s="816"/>
      <c r="BM991" s="816"/>
      <c r="BN991" s="816"/>
      <c r="BO991" s="816"/>
      <c r="BQ991" s="816"/>
      <c r="BR991" s="816"/>
      <c r="BS991" s="816"/>
      <c r="BT991" s="816"/>
      <c r="BU991" s="816" t="s">
        <v>4366</v>
      </c>
    </row>
    <row r="992" spans="1:73" ht="29" x14ac:dyDescent="0.35">
      <c r="A992" s="806" t="s">
        <v>864</v>
      </c>
      <c r="B992" s="806" t="s">
        <v>1325</v>
      </c>
      <c r="C992" s="806"/>
      <c r="D992" s="806"/>
      <c r="E992" s="806"/>
      <c r="F992" s="806"/>
      <c r="I992" s="816"/>
      <c r="J992" s="816"/>
      <c r="K992" s="816"/>
      <c r="M992" s="816"/>
      <c r="N992" s="816"/>
      <c r="O992" s="816"/>
      <c r="P992" s="816"/>
      <c r="Q992" s="816"/>
      <c r="S992" s="816"/>
      <c r="T992" s="816"/>
      <c r="U992" s="816"/>
      <c r="V992" s="816"/>
      <c r="W992" s="816"/>
      <c r="X992" s="816"/>
      <c r="Z992" s="816"/>
      <c r="AA992" s="816" t="s">
        <v>198</v>
      </c>
      <c r="AC992" s="816"/>
      <c r="AD992" s="816"/>
      <c r="AE992" s="816"/>
      <c r="AF992" s="816"/>
      <c r="AG992" s="816"/>
      <c r="AH992" s="816" t="s">
        <v>198</v>
      </c>
      <c r="AI992" s="816"/>
      <c r="AJ992" s="816"/>
      <c r="AL992" s="816"/>
      <c r="AN992" s="816"/>
      <c r="AP992" s="816"/>
      <c r="AQ992" s="816"/>
      <c r="AR992" s="816"/>
      <c r="AS992" s="816"/>
      <c r="AT992" s="816"/>
      <c r="AU992" s="816"/>
      <c r="AV992" s="816"/>
      <c r="AW992" s="816"/>
      <c r="AX992" s="816"/>
      <c r="AY992" s="816"/>
      <c r="AZ992" s="816"/>
      <c r="BA992" s="816"/>
      <c r="BC992" s="816"/>
      <c r="BD992" s="816"/>
      <c r="BE992" s="816"/>
      <c r="BF992" s="816"/>
      <c r="BG992" s="816"/>
      <c r="BH992" s="816"/>
      <c r="BI992" s="816"/>
      <c r="BJ992" s="816"/>
      <c r="BM992" s="816"/>
      <c r="BN992" s="816"/>
      <c r="BO992" s="816"/>
      <c r="BQ992" s="816"/>
      <c r="BR992" s="816"/>
      <c r="BS992" s="816"/>
      <c r="BT992" s="816"/>
      <c r="BU992" s="816" t="s">
        <v>198</v>
      </c>
    </row>
    <row r="993" spans="1:73" x14ac:dyDescent="0.35">
      <c r="A993" s="806" t="s">
        <v>864</v>
      </c>
      <c r="B993" s="806" t="s">
        <v>866</v>
      </c>
      <c r="C993" s="806"/>
      <c r="D993" s="806"/>
      <c r="E993" s="806"/>
      <c r="F993" s="806"/>
      <c r="G993" s="817"/>
      <c r="I993" s="816"/>
      <c r="J993" s="816"/>
      <c r="K993" s="816"/>
      <c r="M993" s="816"/>
      <c r="N993" s="816"/>
      <c r="O993" s="816"/>
      <c r="P993" s="816"/>
      <c r="Q993" s="816"/>
      <c r="R993" s="816"/>
      <c r="S993" s="816"/>
      <c r="T993" s="816"/>
      <c r="U993" s="816"/>
      <c r="V993" s="816"/>
      <c r="W993" s="816"/>
      <c r="X993" s="816"/>
      <c r="Y993" s="816"/>
      <c r="Z993" s="816"/>
      <c r="AA993" s="816" t="s">
        <v>1959</v>
      </c>
      <c r="AC993" s="816"/>
      <c r="AD993" s="816"/>
      <c r="AE993" s="816"/>
      <c r="AF993" s="816"/>
      <c r="AG993" s="816"/>
      <c r="AH993" s="816" t="s">
        <v>1959</v>
      </c>
      <c r="AI993" s="816"/>
      <c r="AJ993" s="816"/>
      <c r="AL993" s="816"/>
      <c r="AM993" s="816"/>
      <c r="AN993" s="816"/>
      <c r="AO993" s="816"/>
      <c r="AP993" s="816"/>
      <c r="AQ993" s="816"/>
      <c r="AR993" s="816"/>
      <c r="AS993" s="816"/>
      <c r="AT993" s="816"/>
      <c r="AU993" s="816"/>
      <c r="AV993" s="816"/>
      <c r="AW993" s="816"/>
      <c r="AX993" s="816"/>
      <c r="AY993" s="816"/>
      <c r="AZ993" s="816"/>
      <c r="BA993" s="816"/>
      <c r="BC993" s="816"/>
      <c r="BD993" s="816"/>
      <c r="BE993" s="816"/>
      <c r="BF993" s="816"/>
      <c r="BG993" s="816"/>
      <c r="BH993" s="816"/>
      <c r="BI993" s="816"/>
      <c r="BJ993" s="816"/>
      <c r="BK993" s="817"/>
      <c r="BL993" s="816"/>
      <c r="BM993" s="816"/>
      <c r="BN993" s="816"/>
      <c r="BO993" s="816"/>
      <c r="BQ993" s="816"/>
      <c r="BR993" s="816"/>
      <c r="BS993" s="816"/>
      <c r="BT993" s="816"/>
      <c r="BU993" s="816" t="s">
        <v>2475</v>
      </c>
    </row>
    <row r="994" spans="1:73" x14ac:dyDescent="0.35">
      <c r="A994" s="806" t="s">
        <v>864</v>
      </c>
      <c r="B994" s="806" t="s">
        <v>1315</v>
      </c>
      <c r="C994" s="806"/>
      <c r="D994" s="806"/>
      <c r="E994" s="806"/>
      <c r="F994" s="806"/>
      <c r="I994" s="817"/>
      <c r="J994" s="817"/>
      <c r="K994" s="817"/>
      <c r="M994" s="817"/>
      <c r="N994" s="817"/>
      <c r="O994" s="817"/>
      <c r="P994" s="817"/>
      <c r="Q994" s="817"/>
      <c r="R994" s="817"/>
      <c r="S994" s="817"/>
      <c r="T994" s="817"/>
      <c r="U994" s="817"/>
      <c r="V994" s="817"/>
      <c r="W994" s="817"/>
      <c r="X994" s="817"/>
      <c r="Y994" s="817"/>
      <c r="Z994" s="817"/>
      <c r="AA994" s="817"/>
      <c r="AC994" s="817"/>
      <c r="AD994" s="817"/>
      <c r="AE994" s="817"/>
      <c r="AF994" s="817"/>
      <c r="AG994" s="817"/>
      <c r="AH994" s="817"/>
      <c r="AI994" s="817"/>
      <c r="AJ994" s="817"/>
      <c r="AL994" s="817"/>
      <c r="AM994" s="817"/>
      <c r="AN994" s="817"/>
      <c r="AO994" s="817"/>
      <c r="AP994" s="817"/>
      <c r="AQ994" s="817"/>
      <c r="AR994" s="817"/>
      <c r="AS994" s="817"/>
      <c r="AT994" s="817"/>
      <c r="AU994" s="817"/>
      <c r="AV994" s="817"/>
      <c r="AW994" s="817"/>
      <c r="AX994" s="817"/>
      <c r="AY994" s="817"/>
      <c r="AZ994" s="817"/>
      <c r="BA994" s="817"/>
      <c r="BC994" s="817"/>
      <c r="BD994" s="817"/>
      <c r="BE994" s="817"/>
      <c r="BF994" s="817"/>
      <c r="BG994" s="817"/>
      <c r="BH994" s="817"/>
      <c r="BI994" s="817"/>
      <c r="BJ994" s="817"/>
      <c r="BM994" s="817"/>
      <c r="BN994" s="817"/>
      <c r="BO994" s="817"/>
      <c r="BQ994" s="817"/>
      <c r="BR994" s="817"/>
      <c r="BS994" s="817"/>
      <c r="BT994" s="817"/>
      <c r="BU994" s="817">
        <v>40</v>
      </c>
    </row>
    <row r="995" spans="1:73" ht="29" x14ac:dyDescent="0.35">
      <c r="A995" s="806" t="s">
        <v>864</v>
      </c>
      <c r="B995" s="806" t="s">
        <v>1311</v>
      </c>
      <c r="C995" s="806"/>
      <c r="D995" s="806"/>
      <c r="E995" s="806"/>
      <c r="F995" s="806"/>
      <c r="I995" s="817"/>
      <c r="J995" s="817"/>
      <c r="K995" s="817"/>
      <c r="M995" s="817"/>
      <c r="N995" s="817"/>
      <c r="O995" s="817"/>
      <c r="P995" s="817"/>
      <c r="Q995" s="817"/>
      <c r="R995" s="817"/>
      <c r="S995" s="817"/>
      <c r="T995" s="817"/>
      <c r="U995" s="817"/>
      <c r="V995" s="817"/>
      <c r="W995" s="817"/>
      <c r="X995" s="817"/>
      <c r="Y995" s="817"/>
      <c r="Z995" s="817"/>
      <c r="AA995" s="817"/>
      <c r="AC995" s="817"/>
      <c r="AD995" s="817"/>
      <c r="AE995" s="817"/>
      <c r="AF995" s="817"/>
      <c r="AG995" s="817"/>
      <c r="AH995" s="817"/>
      <c r="AI995" s="817"/>
      <c r="AJ995" s="817"/>
      <c r="AL995" s="817"/>
      <c r="AM995" s="817"/>
      <c r="AN995" s="817"/>
      <c r="AO995" s="817"/>
      <c r="AP995" s="817"/>
      <c r="AQ995" s="817"/>
      <c r="AR995" s="817"/>
      <c r="AS995" s="817"/>
      <c r="AT995" s="817"/>
      <c r="AU995" s="817"/>
      <c r="AV995" s="817"/>
      <c r="AW995" s="817"/>
      <c r="AX995" s="817"/>
      <c r="AY995" s="817"/>
      <c r="AZ995" s="817"/>
      <c r="BA995" s="817"/>
      <c r="BC995" s="817"/>
      <c r="BD995" s="817"/>
      <c r="BE995" s="817"/>
      <c r="BF995" s="817"/>
      <c r="BG995" s="817"/>
      <c r="BH995" s="817"/>
      <c r="BI995" s="817"/>
      <c r="BJ995" s="817"/>
      <c r="BM995" s="817"/>
      <c r="BN995" s="817"/>
      <c r="BO995" s="817"/>
      <c r="BQ995" s="817"/>
      <c r="BR995" s="817"/>
      <c r="BS995" s="817"/>
      <c r="BT995" s="817"/>
      <c r="BU995" s="821">
        <v>10.78</v>
      </c>
    </row>
    <row r="996" spans="1:73" ht="29" x14ac:dyDescent="0.35">
      <c r="A996" s="806" t="s">
        <v>864</v>
      </c>
      <c r="B996" s="806" t="s">
        <v>1657</v>
      </c>
      <c r="C996" s="806"/>
      <c r="D996" s="806"/>
      <c r="E996" s="806"/>
      <c r="F996" s="806"/>
      <c r="I996" s="817"/>
      <c r="K996" s="817"/>
      <c r="M996" s="817"/>
      <c r="Q996" s="817"/>
      <c r="S996" s="817"/>
      <c r="U996" s="817"/>
      <c r="V996" s="817"/>
      <c r="W996" s="817"/>
      <c r="AD996" s="817"/>
      <c r="AG996" s="817"/>
      <c r="AH996" s="817"/>
      <c r="AJ996" s="817"/>
      <c r="AL996" s="817"/>
      <c r="AR996" s="817"/>
      <c r="AT996" s="817"/>
      <c r="AU996" s="817"/>
      <c r="AV996" s="817"/>
      <c r="AX996" s="817"/>
      <c r="AY996" s="817"/>
      <c r="AZ996" s="817"/>
      <c r="BC996" s="817"/>
      <c r="BD996" s="817"/>
      <c r="BE996" s="817"/>
      <c r="BG996" s="817"/>
      <c r="BH996" s="817"/>
      <c r="BI996" s="817"/>
      <c r="BS996" s="817"/>
      <c r="BT996" s="817"/>
      <c r="BU996" s="821">
        <v>17.309999999999999</v>
      </c>
    </row>
    <row r="997" spans="1:73" x14ac:dyDescent="0.35">
      <c r="A997" s="806" t="s">
        <v>864</v>
      </c>
      <c r="B997" s="806" t="s">
        <v>1312</v>
      </c>
      <c r="C997" s="806"/>
      <c r="D997" s="806"/>
      <c r="E997" s="806"/>
      <c r="F997" s="806"/>
      <c r="I997" s="817"/>
      <c r="J997" s="817"/>
      <c r="K997" s="817"/>
      <c r="M997" s="817"/>
      <c r="N997" s="817"/>
      <c r="O997" s="817"/>
      <c r="P997" s="817"/>
      <c r="Q997" s="817"/>
      <c r="R997" s="817"/>
      <c r="S997" s="817"/>
      <c r="T997" s="817"/>
      <c r="U997" s="817"/>
      <c r="V997" s="817"/>
      <c r="W997" s="817"/>
      <c r="X997" s="817"/>
      <c r="Y997" s="817"/>
      <c r="Z997" s="817"/>
      <c r="AA997" s="817"/>
      <c r="AC997" s="817"/>
      <c r="AD997" s="817"/>
      <c r="AE997" s="817"/>
      <c r="AF997" s="817"/>
      <c r="AG997" s="817"/>
      <c r="AH997" s="817"/>
      <c r="AI997" s="817"/>
      <c r="AJ997" s="817"/>
      <c r="AL997" s="817"/>
      <c r="AM997" s="817"/>
      <c r="AN997" s="817"/>
      <c r="AO997" s="817"/>
      <c r="AP997" s="817"/>
      <c r="AQ997" s="817"/>
      <c r="AR997" s="817"/>
      <c r="AS997" s="817"/>
      <c r="AT997" s="817"/>
      <c r="AU997" s="817"/>
      <c r="AV997" s="817"/>
      <c r="AW997" s="817"/>
      <c r="AX997" s="817"/>
      <c r="AY997" s="817"/>
      <c r="AZ997" s="817"/>
      <c r="BA997" s="817"/>
      <c r="BC997" s="817"/>
      <c r="BD997" s="817"/>
      <c r="BE997" s="817"/>
      <c r="BF997" s="817"/>
      <c r="BG997" s="817"/>
      <c r="BH997" s="817"/>
      <c r="BI997" s="817"/>
      <c r="BJ997" s="817"/>
      <c r="BM997" s="817"/>
      <c r="BN997" s="817"/>
      <c r="BO997" s="817"/>
      <c r="BQ997" s="817"/>
      <c r="BR997" s="817"/>
      <c r="BS997" s="817"/>
      <c r="BT997" s="817"/>
      <c r="BU997" s="821">
        <v>14.91</v>
      </c>
    </row>
    <row r="998" spans="1:73" ht="29" x14ac:dyDescent="0.35">
      <c r="A998" s="806" t="s">
        <v>864</v>
      </c>
      <c r="B998" s="806" t="s">
        <v>1310</v>
      </c>
      <c r="C998" s="806"/>
      <c r="D998" s="806"/>
      <c r="E998" s="806"/>
      <c r="F998" s="806"/>
      <c r="I998" s="817"/>
      <c r="J998" s="817"/>
      <c r="K998" s="817"/>
      <c r="M998" s="817"/>
      <c r="N998" s="817"/>
      <c r="O998" s="817"/>
      <c r="P998" s="817"/>
      <c r="Q998" s="817"/>
      <c r="R998" s="817"/>
      <c r="S998" s="817"/>
      <c r="T998" s="817"/>
      <c r="U998" s="817"/>
      <c r="V998" s="817"/>
      <c r="W998" s="817"/>
      <c r="X998" s="817"/>
      <c r="Y998" s="817"/>
      <c r="Z998" s="817"/>
      <c r="AA998" s="817"/>
      <c r="AC998" s="817"/>
      <c r="AD998" s="817"/>
      <c r="AE998" s="817"/>
      <c r="AF998" s="817"/>
      <c r="AG998" s="817"/>
      <c r="AH998" s="817"/>
      <c r="AI998" s="817"/>
      <c r="AJ998" s="817"/>
      <c r="AL998" s="817"/>
      <c r="AM998" s="817"/>
      <c r="AN998" s="817"/>
      <c r="AO998" s="817"/>
      <c r="AP998" s="817"/>
      <c r="AQ998" s="817"/>
      <c r="AR998" s="817"/>
      <c r="AS998" s="817"/>
      <c r="AT998" s="817"/>
      <c r="AU998" s="817"/>
      <c r="AV998" s="817"/>
      <c r="AW998" s="817"/>
      <c r="AX998" s="817"/>
      <c r="AY998" s="817"/>
      <c r="AZ998" s="817"/>
      <c r="BA998" s="817"/>
      <c r="BC998" s="817"/>
      <c r="BD998" s="817"/>
      <c r="BE998" s="817"/>
      <c r="BF998" s="817"/>
      <c r="BG998" s="817"/>
      <c r="BH998" s="817"/>
      <c r="BI998" s="817"/>
      <c r="BJ998" s="817"/>
      <c r="BM998" s="817"/>
      <c r="BN998" s="817"/>
      <c r="BO998" s="817"/>
      <c r="BQ998" s="817"/>
      <c r="BR998" s="817"/>
      <c r="BS998" s="817"/>
      <c r="BT998" s="817"/>
      <c r="BU998" s="817">
        <v>3</v>
      </c>
    </row>
    <row r="999" spans="1:73" x14ac:dyDescent="0.35">
      <c r="A999" s="806" t="s">
        <v>864</v>
      </c>
      <c r="B999" s="806" t="s">
        <v>1314</v>
      </c>
      <c r="C999" s="806"/>
      <c r="D999" s="806"/>
      <c r="E999" s="806"/>
      <c r="F999" s="806"/>
      <c r="I999" s="817"/>
      <c r="J999" s="817"/>
      <c r="K999" s="817"/>
      <c r="M999" s="817"/>
      <c r="N999" s="817"/>
      <c r="O999" s="817"/>
      <c r="P999" s="817"/>
      <c r="Q999" s="817"/>
      <c r="R999" s="817"/>
      <c r="S999" s="817"/>
      <c r="T999" s="817"/>
      <c r="U999" s="817"/>
      <c r="V999" s="817"/>
      <c r="W999" s="817"/>
      <c r="X999" s="817"/>
      <c r="Y999" s="817"/>
      <c r="Z999" s="817"/>
      <c r="AA999" s="817"/>
      <c r="AC999" s="817"/>
      <c r="AD999" s="817"/>
      <c r="AE999" s="817"/>
      <c r="AF999" s="817"/>
      <c r="AG999" s="817"/>
      <c r="AH999" s="817"/>
      <c r="AI999" s="817"/>
      <c r="AJ999" s="817"/>
      <c r="AL999" s="817"/>
      <c r="AM999" s="817"/>
      <c r="AN999" s="817"/>
      <c r="AO999" s="817"/>
      <c r="AP999" s="817"/>
      <c r="AQ999" s="817"/>
      <c r="AR999" s="817"/>
      <c r="AS999" s="817"/>
      <c r="AT999" s="817"/>
      <c r="AU999" s="817"/>
      <c r="AV999" s="817"/>
      <c r="AW999" s="817"/>
      <c r="AX999" s="817"/>
      <c r="AY999" s="817"/>
      <c r="AZ999" s="817"/>
      <c r="BA999" s="817"/>
      <c r="BC999" s="817"/>
      <c r="BD999" s="817"/>
      <c r="BE999" s="817"/>
      <c r="BF999" s="817"/>
      <c r="BG999" s="817"/>
      <c r="BH999" s="817"/>
      <c r="BI999" s="817"/>
      <c r="BJ999" s="817"/>
      <c r="BM999" s="817"/>
      <c r="BN999" s="817"/>
      <c r="BO999" s="817"/>
      <c r="BQ999" s="817"/>
      <c r="BR999" s="817"/>
      <c r="BS999" s="817"/>
      <c r="BT999" s="817"/>
      <c r="BU999" s="817">
        <v>0</v>
      </c>
    </row>
    <row r="1000" spans="1:73" ht="29" x14ac:dyDescent="0.35">
      <c r="A1000" s="806" t="s">
        <v>864</v>
      </c>
      <c r="B1000" s="806" t="s">
        <v>1313</v>
      </c>
      <c r="C1000" s="806"/>
      <c r="D1000" s="806"/>
      <c r="E1000" s="806"/>
      <c r="F1000" s="806"/>
      <c r="I1000" s="817"/>
      <c r="J1000" s="817"/>
      <c r="K1000" s="817"/>
      <c r="M1000" s="817"/>
      <c r="N1000" s="817"/>
      <c r="O1000" s="817"/>
      <c r="P1000" s="817"/>
      <c r="Q1000" s="817"/>
      <c r="R1000" s="817"/>
      <c r="S1000" s="817"/>
      <c r="T1000" s="817"/>
      <c r="U1000" s="817"/>
      <c r="V1000" s="817"/>
      <c r="W1000" s="817"/>
      <c r="X1000" s="817"/>
      <c r="Y1000" s="817"/>
      <c r="Z1000" s="817"/>
      <c r="AA1000" s="817"/>
      <c r="AC1000" s="817"/>
      <c r="AD1000" s="817"/>
      <c r="AE1000" s="817"/>
      <c r="AF1000" s="817"/>
      <c r="AG1000" s="817"/>
      <c r="AH1000" s="817"/>
      <c r="AI1000" s="817"/>
      <c r="AJ1000" s="817"/>
      <c r="AL1000" s="817"/>
      <c r="AM1000" s="817"/>
      <c r="AN1000" s="817"/>
      <c r="AO1000" s="817"/>
      <c r="AP1000" s="817"/>
      <c r="AQ1000" s="817"/>
      <c r="AR1000" s="817"/>
      <c r="AS1000" s="817"/>
      <c r="AT1000" s="817"/>
      <c r="AU1000" s="817"/>
      <c r="AV1000" s="817"/>
      <c r="AW1000" s="817"/>
      <c r="AX1000" s="817"/>
      <c r="AY1000" s="817"/>
      <c r="AZ1000" s="817"/>
      <c r="BA1000" s="817"/>
      <c r="BC1000" s="817"/>
      <c r="BD1000" s="817"/>
      <c r="BE1000" s="817"/>
      <c r="BF1000" s="817"/>
      <c r="BG1000" s="817"/>
      <c r="BH1000" s="817"/>
      <c r="BI1000" s="817"/>
      <c r="BJ1000" s="817"/>
      <c r="BM1000" s="817"/>
      <c r="BN1000" s="817"/>
      <c r="BO1000" s="817"/>
      <c r="BQ1000" s="817"/>
      <c r="BR1000" s="817"/>
      <c r="BS1000" s="817"/>
      <c r="BT1000" s="817"/>
      <c r="BU1000" s="817">
        <v>0</v>
      </c>
    </row>
    <row r="1001" spans="1:73" x14ac:dyDescent="0.35">
      <c r="A1001" s="806" t="s">
        <v>864</v>
      </c>
      <c r="B1001" s="806" t="s">
        <v>867</v>
      </c>
      <c r="C1001" s="806"/>
      <c r="D1001" s="806"/>
      <c r="E1001" s="806"/>
      <c r="F1001" s="806"/>
      <c r="G1001" s="817"/>
      <c r="I1001" s="817"/>
      <c r="J1001" s="817"/>
      <c r="K1001" s="817"/>
      <c r="M1001" s="817"/>
      <c r="N1001" s="817"/>
      <c r="O1001" s="817"/>
      <c r="P1001" s="817"/>
      <c r="Q1001" s="817"/>
      <c r="R1001" s="817"/>
      <c r="S1001" s="817"/>
      <c r="T1001" s="817"/>
      <c r="U1001" s="817"/>
      <c r="V1001" s="817"/>
      <c r="W1001" s="817"/>
      <c r="X1001" s="817"/>
      <c r="Y1001" s="817"/>
      <c r="Z1001" s="817"/>
      <c r="AA1001" s="817"/>
      <c r="AC1001" s="817"/>
      <c r="AD1001" s="817"/>
      <c r="AE1001" s="817"/>
      <c r="AF1001" s="817"/>
      <c r="AG1001" s="817"/>
      <c r="AH1001" s="817"/>
      <c r="AI1001" s="817"/>
      <c r="AJ1001" s="817"/>
      <c r="AL1001" s="817"/>
      <c r="AM1001" s="817"/>
      <c r="AN1001" s="817"/>
      <c r="AO1001" s="817"/>
      <c r="AP1001" s="817"/>
      <c r="AQ1001" s="817"/>
      <c r="AR1001" s="817"/>
      <c r="AS1001" s="817"/>
      <c r="AT1001" s="817"/>
      <c r="AU1001" s="817"/>
      <c r="AV1001" s="817"/>
      <c r="AW1001" s="817"/>
      <c r="AX1001" s="817"/>
      <c r="AY1001" s="817"/>
      <c r="AZ1001" s="817"/>
      <c r="BA1001" s="817"/>
      <c r="BC1001" s="817"/>
      <c r="BD1001" s="817"/>
      <c r="BE1001" s="817"/>
      <c r="BF1001" s="817"/>
      <c r="BG1001" s="817"/>
      <c r="BH1001" s="817"/>
      <c r="BI1001" s="817"/>
      <c r="BJ1001" s="817"/>
      <c r="BK1001" s="817"/>
      <c r="BL1001" s="816"/>
      <c r="BM1001" s="817"/>
      <c r="BN1001" s="817"/>
      <c r="BO1001" s="817"/>
      <c r="BQ1001" s="817"/>
      <c r="BR1001" s="817"/>
      <c r="BS1001" s="817"/>
      <c r="BT1001" s="817"/>
      <c r="BU1001" s="817">
        <v>91</v>
      </c>
    </row>
    <row r="1002" spans="1:73" x14ac:dyDescent="0.35">
      <c r="A1002" s="806" t="s">
        <v>864</v>
      </c>
      <c r="B1002" s="806" t="s">
        <v>868</v>
      </c>
      <c r="C1002" s="806"/>
      <c r="D1002" s="806"/>
      <c r="E1002" s="806"/>
      <c r="F1002" s="806"/>
      <c r="G1002" s="817"/>
      <c r="I1002" s="818"/>
      <c r="J1002" s="818"/>
      <c r="K1002" s="818"/>
      <c r="M1002" s="818"/>
      <c r="N1002" s="818"/>
      <c r="O1002" s="818"/>
      <c r="P1002" s="818"/>
      <c r="Q1002" s="818"/>
      <c r="R1002" s="818"/>
      <c r="S1002" s="818"/>
      <c r="T1002" s="818"/>
      <c r="U1002" s="818"/>
      <c r="V1002" s="818"/>
      <c r="W1002" s="818"/>
      <c r="X1002" s="818"/>
      <c r="Y1002" s="818"/>
      <c r="Z1002" s="818"/>
      <c r="AA1002" s="818"/>
      <c r="AC1002" s="818"/>
      <c r="AD1002" s="818"/>
      <c r="AE1002" s="818"/>
      <c r="AF1002" s="818"/>
      <c r="AG1002" s="818"/>
      <c r="AH1002" s="818"/>
      <c r="AI1002" s="818"/>
      <c r="AJ1002" s="818"/>
      <c r="AL1002" s="818"/>
      <c r="AM1002" s="818"/>
      <c r="AN1002" s="818"/>
      <c r="AO1002" s="818"/>
      <c r="AP1002" s="818"/>
      <c r="AQ1002" s="818"/>
      <c r="AR1002" s="818"/>
      <c r="AS1002" s="818"/>
      <c r="AT1002" s="818"/>
      <c r="AU1002" s="818"/>
      <c r="AV1002" s="818"/>
      <c r="AW1002" s="818"/>
      <c r="AX1002" s="818"/>
      <c r="AY1002" s="818"/>
      <c r="AZ1002" s="818"/>
      <c r="BA1002" s="818"/>
      <c r="BC1002" s="818"/>
      <c r="BD1002" s="818"/>
      <c r="BE1002" s="818"/>
      <c r="BF1002" s="818"/>
      <c r="BG1002" s="818"/>
      <c r="BH1002" s="818"/>
      <c r="BI1002" s="818"/>
      <c r="BJ1002" s="818"/>
      <c r="BK1002" s="818"/>
      <c r="BL1002" s="816"/>
      <c r="BM1002" s="818"/>
      <c r="BN1002" s="818"/>
      <c r="BO1002" s="818"/>
      <c r="BQ1002" s="818"/>
      <c r="BR1002" s="818"/>
      <c r="BS1002" s="818"/>
      <c r="BT1002" s="818"/>
      <c r="BU1002" s="818">
        <v>999370</v>
      </c>
    </row>
    <row r="1003" spans="1:73" ht="29" x14ac:dyDescent="0.35">
      <c r="A1003" s="806" t="s">
        <v>864</v>
      </c>
      <c r="B1003" s="806" t="s">
        <v>1316</v>
      </c>
      <c r="C1003" s="806"/>
      <c r="D1003" s="806"/>
      <c r="E1003" s="806"/>
      <c r="F1003" s="806"/>
      <c r="I1003" s="817"/>
      <c r="J1003" s="817"/>
      <c r="K1003" s="817"/>
      <c r="M1003" s="817"/>
      <c r="N1003" s="817"/>
      <c r="O1003" s="817"/>
      <c r="P1003" s="817"/>
      <c r="Q1003" s="817"/>
      <c r="R1003" s="817"/>
      <c r="S1003" s="817"/>
      <c r="T1003" s="817"/>
      <c r="U1003" s="817"/>
      <c r="V1003" s="817"/>
      <c r="W1003" s="817"/>
      <c r="X1003" s="817"/>
      <c r="Y1003" s="817"/>
      <c r="Z1003" s="817"/>
      <c r="AA1003" s="817"/>
      <c r="AC1003" s="817"/>
      <c r="AD1003" s="817"/>
      <c r="AE1003" s="817"/>
      <c r="AF1003" s="817"/>
      <c r="AG1003" s="817"/>
      <c r="AH1003" s="817"/>
      <c r="AI1003" s="817"/>
      <c r="AJ1003" s="817"/>
      <c r="AL1003" s="817"/>
      <c r="AM1003" s="817"/>
      <c r="AN1003" s="817"/>
      <c r="AO1003" s="817"/>
      <c r="AP1003" s="817"/>
      <c r="AQ1003" s="817"/>
      <c r="AR1003" s="817"/>
      <c r="AS1003" s="817"/>
      <c r="AT1003" s="817"/>
      <c r="AU1003" s="817"/>
      <c r="AV1003" s="817"/>
      <c r="AW1003" s="817"/>
      <c r="AX1003" s="817"/>
      <c r="AY1003" s="817"/>
      <c r="AZ1003" s="817"/>
      <c r="BA1003" s="817"/>
      <c r="BC1003" s="817"/>
      <c r="BD1003" s="817"/>
      <c r="BE1003" s="817"/>
      <c r="BF1003" s="817"/>
      <c r="BG1003" s="817"/>
      <c r="BH1003" s="817"/>
      <c r="BI1003" s="817"/>
      <c r="BJ1003" s="817"/>
      <c r="BM1003" s="817"/>
      <c r="BN1003" s="817"/>
      <c r="BO1003" s="817"/>
      <c r="BQ1003" s="817"/>
      <c r="BR1003" s="817"/>
      <c r="BS1003" s="817"/>
      <c r="BT1003" s="817"/>
      <c r="BU1003" s="817">
        <v>5</v>
      </c>
    </row>
    <row r="1004" spans="1:73" x14ac:dyDescent="0.35">
      <c r="A1004" s="806" t="s">
        <v>864</v>
      </c>
      <c r="B1004" s="806" t="s">
        <v>1331</v>
      </c>
      <c r="C1004" s="806"/>
      <c r="D1004" s="806"/>
      <c r="E1004" s="806"/>
      <c r="F1004" s="806"/>
      <c r="I1004" s="817"/>
      <c r="J1004" s="817"/>
      <c r="K1004" s="817"/>
      <c r="M1004" s="817"/>
      <c r="N1004" s="817"/>
      <c r="O1004" s="817"/>
      <c r="P1004" s="817"/>
      <c r="Q1004" s="817"/>
      <c r="S1004" s="817"/>
      <c r="T1004" s="817"/>
      <c r="U1004" s="817"/>
      <c r="V1004" s="817"/>
      <c r="W1004" s="817"/>
      <c r="X1004" s="817"/>
      <c r="Z1004" s="817"/>
      <c r="AA1004" s="817">
        <v>100</v>
      </c>
      <c r="AC1004" s="817"/>
      <c r="AD1004" s="817"/>
      <c r="AE1004" s="817"/>
      <c r="AF1004" s="817"/>
      <c r="AG1004" s="817"/>
      <c r="AH1004" s="817">
        <v>500</v>
      </c>
      <c r="AI1004" s="817"/>
      <c r="AJ1004" s="817"/>
      <c r="AL1004" s="817"/>
      <c r="AN1004" s="817"/>
      <c r="AP1004" s="817"/>
      <c r="AQ1004" s="817"/>
      <c r="AR1004" s="817"/>
      <c r="AS1004" s="817"/>
      <c r="AT1004" s="817"/>
      <c r="AU1004" s="817"/>
      <c r="AV1004" s="817"/>
      <c r="AW1004" s="817"/>
      <c r="AX1004" s="817"/>
      <c r="AY1004" s="817"/>
      <c r="AZ1004" s="817"/>
      <c r="BA1004" s="817"/>
      <c r="BC1004" s="817"/>
      <c r="BD1004" s="817"/>
      <c r="BE1004" s="817"/>
      <c r="BF1004" s="817"/>
      <c r="BG1004" s="817"/>
      <c r="BH1004" s="817"/>
      <c r="BI1004" s="817"/>
      <c r="BJ1004" s="817"/>
      <c r="BM1004" s="817"/>
      <c r="BN1004" s="817"/>
      <c r="BO1004" s="817"/>
      <c r="BQ1004" s="817"/>
      <c r="BR1004" s="817"/>
      <c r="BS1004" s="817"/>
      <c r="BT1004" s="817"/>
      <c r="BU1004" s="817">
        <v>1600</v>
      </c>
    </row>
    <row r="1005" spans="1:73" ht="29" x14ac:dyDescent="0.35">
      <c r="A1005" s="806" t="s">
        <v>864</v>
      </c>
      <c r="B1005" s="806" t="s">
        <v>869</v>
      </c>
      <c r="C1005" s="806"/>
      <c r="D1005" s="806"/>
      <c r="E1005" s="806"/>
      <c r="F1005" s="806"/>
      <c r="G1005" s="817"/>
      <c r="I1005" s="816"/>
      <c r="J1005" s="816"/>
      <c r="K1005" s="816"/>
      <c r="M1005" s="816"/>
      <c r="N1005" s="816"/>
      <c r="O1005" s="816"/>
      <c r="P1005" s="816"/>
      <c r="Q1005" s="816"/>
      <c r="R1005" s="816"/>
      <c r="S1005" s="816"/>
      <c r="T1005" s="816"/>
      <c r="U1005" s="816"/>
      <c r="V1005" s="816"/>
      <c r="W1005" s="816"/>
      <c r="X1005" s="816"/>
      <c r="Y1005" s="816"/>
      <c r="Z1005" s="816"/>
      <c r="AA1005" s="816" t="s">
        <v>2475</v>
      </c>
      <c r="AC1005" s="816"/>
      <c r="AD1005" s="816"/>
      <c r="AE1005" s="816"/>
      <c r="AF1005" s="816"/>
      <c r="AG1005" s="816"/>
      <c r="AH1005" s="816" t="s">
        <v>2475</v>
      </c>
      <c r="AI1005" s="816"/>
      <c r="AJ1005" s="816"/>
      <c r="AL1005" s="816"/>
      <c r="AM1005" s="816"/>
      <c r="AN1005" s="816"/>
      <c r="AO1005" s="816"/>
      <c r="AP1005" s="816"/>
      <c r="AQ1005" s="816"/>
      <c r="AR1005" s="816"/>
      <c r="AS1005" s="816"/>
      <c r="AT1005" s="816"/>
      <c r="AU1005" s="816"/>
      <c r="AV1005" s="816"/>
      <c r="AW1005" s="816"/>
      <c r="AX1005" s="816"/>
      <c r="AY1005" s="816"/>
      <c r="AZ1005" s="816"/>
      <c r="BA1005" s="816"/>
      <c r="BC1005" s="816"/>
      <c r="BD1005" s="816"/>
      <c r="BE1005" s="816"/>
      <c r="BF1005" s="816"/>
      <c r="BG1005" s="816"/>
      <c r="BH1005" s="816"/>
      <c r="BI1005" s="816"/>
      <c r="BJ1005" s="816"/>
      <c r="BK1005" s="816"/>
      <c r="BL1005" s="816"/>
      <c r="BM1005" s="816"/>
      <c r="BN1005" s="816"/>
      <c r="BO1005" s="816"/>
      <c r="BQ1005" s="816"/>
      <c r="BR1005" s="816"/>
      <c r="BS1005" s="816"/>
      <c r="BT1005" s="816"/>
      <c r="BU1005" s="816" t="s">
        <v>1959</v>
      </c>
    </row>
    <row r="1006" spans="1:73" ht="29" x14ac:dyDescent="0.35">
      <c r="A1006" s="806" t="s">
        <v>864</v>
      </c>
      <c r="B1006" s="806" t="s">
        <v>1308</v>
      </c>
      <c r="C1006" s="806"/>
      <c r="D1006" s="806"/>
      <c r="E1006" s="806"/>
      <c r="F1006" s="806"/>
      <c r="I1006" s="817"/>
      <c r="J1006" s="817"/>
      <c r="K1006" s="817"/>
      <c r="M1006" s="817"/>
      <c r="N1006" s="817"/>
      <c r="O1006" s="817"/>
      <c r="P1006" s="817"/>
      <c r="Q1006" s="817"/>
      <c r="R1006" s="817"/>
      <c r="S1006" s="817"/>
      <c r="T1006" s="817"/>
      <c r="U1006" s="817"/>
      <c r="V1006" s="817"/>
      <c r="W1006" s="817"/>
      <c r="X1006" s="817"/>
      <c r="Y1006" s="817"/>
      <c r="Z1006" s="817"/>
      <c r="AA1006" s="817">
        <v>40</v>
      </c>
      <c r="AC1006" s="817"/>
      <c r="AD1006" s="817"/>
      <c r="AE1006" s="817"/>
      <c r="AF1006" s="817"/>
      <c r="AG1006" s="817"/>
      <c r="AH1006" s="817">
        <v>40</v>
      </c>
      <c r="AI1006" s="817"/>
      <c r="AJ1006" s="817"/>
      <c r="AL1006" s="817"/>
      <c r="AM1006" s="817"/>
      <c r="AN1006" s="817"/>
      <c r="AO1006" s="817"/>
      <c r="AP1006" s="817"/>
      <c r="AQ1006" s="817"/>
      <c r="AR1006" s="817"/>
      <c r="AS1006" s="817"/>
      <c r="AT1006" s="817"/>
      <c r="AU1006" s="817"/>
      <c r="AV1006" s="817"/>
      <c r="AW1006" s="817"/>
      <c r="AX1006" s="817"/>
      <c r="AY1006" s="817"/>
      <c r="AZ1006" s="817"/>
      <c r="BA1006" s="817"/>
      <c r="BC1006" s="817"/>
      <c r="BD1006" s="817"/>
      <c r="BE1006" s="817"/>
      <c r="BF1006" s="817"/>
      <c r="BG1006" s="817"/>
      <c r="BH1006" s="817"/>
      <c r="BI1006" s="817"/>
      <c r="BJ1006" s="817"/>
      <c r="BM1006" s="817"/>
      <c r="BN1006" s="817"/>
      <c r="BO1006" s="817"/>
      <c r="BQ1006" s="817"/>
      <c r="BR1006" s="817"/>
      <c r="BS1006" s="817"/>
      <c r="BT1006" s="817"/>
      <c r="BU1006" s="817"/>
    </row>
    <row r="1007" spans="1:73" ht="29" x14ac:dyDescent="0.35">
      <c r="A1007" s="806" t="s">
        <v>864</v>
      </c>
      <c r="B1007" s="806" t="s">
        <v>1304</v>
      </c>
      <c r="C1007" s="806"/>
      <c r="D1007" s="806"/>
      <c r="E1007" s="806"/>
      <c r="F1007" s="806"/>
      <c r="I1007" s="817"/>
      <c r="J1007" s="817"/>
      <c r="K1007" s="817"/>
      <c r="M1007" s="817"/>
      <c r="N1007" s="817"/>
      <c r="O1007" s="817"/>
      <c r="P1007" s="817"/>
      <c r="Q1007" s="817"/>
      <c r="R1007" s="817"/>
      <c r="S1007" s="817"/>
      <c r="T1007" s="817"/>
      <c r="U1007" s="817"/>
      <c r="V1007" s="817"/>
      <c r="W1007" s="817"/>
      <c r="X1007" s="817"/>
      <c r="Y1007" s="817"/>
      <c r="Z1007" s="817"/>
      <c r="AA1007" s="817">
        <v>14</v>
      </c>
      <c r="AC1007" s="817"/>
      <c r="AD1007" s="817"/>
      <c r="AE1007" s="817"/>
      <c r="AF1007" s="817"/>
      <c r="AG1007" s="817"/>
      <c r="AH1007" s="817">
        <v>15</v>
      </c>
      <c r="AI1007" s="817"/>
      <c r="AJ1007" s="817"/>
      <c r="AL1007" s="817"/>
      <c r="AM1007" s="817"/>
      <c r="AN1007" s="817"/>
      <c r="AO1007" s="817"/>
      <c r="AP1007" s="817"/>
      <c r="AQ1007" s="817"/>
      <c r="AR1007" s="817"/>
      <c r="AS1007" s="817"/>
      <c r="AT1007" s="817"/>
      <c r="AU1007" s="817"/>
      <c r="AV1007" s="817"/>
      <c r="AW1007" s="817"/>
      <c r="AX1007" s="817"/>
      <c r="AY1007" s="817"/>
      <c r="AZ1007" s="817"/>
      <c r="BA1007" s="817"/>
      <c r="BC1007" s="817"/>
      <c r="BD1007" s="817"/>
      <c r="BE1007" s="817"/>
      <c r="BF1007" s="817"/>
      <c r="BG1007" s="817"/>
      <c r="BH1007" s="817"/>
      <c r="BI1007" s="817"/>
      <c r="BJ1007" s="817"/>
      <c r="BM1007" s="817"/>
      <c r="BN1007" s="817"/>
      <c r="BO1007" s="817"/>
      <c r="BQ1007" s="817"/>
      <c r="BR1007" s="817"/>
      <c r="BS1007" s="817"/>
      <c r="BT1007" s="817"/>
      <c r="BU1007" s="817"/>
    </row>
    <row r="1008" spans="1:73" ht="29" x14ac:dyDescent="0.35">
      <c r="A1008" s="806" t="s">
        <v>864</v>
      </c>
      <c r="B1008" s="806" t="s">
        <v>1656</v>
      </c>
      <c r="C1008" s="806"/>
      <c r="D1008" s="806"/>
      <c r="E1008" s="806"/>
      <c r="F1008" s="806"/>
      <c r="I1008" s="817"/>
      <c r="K1008" s="817"/>
      <c r="M1008" s="817"/>
      <c r="Q1008" s="817"/>
      <c r="S1008" s="817"/>
      <c r="U1008" s="817"/>
      <c r="V1008" s="817"/>
      <c r="W1008" s="817"/>
      <c r="AD1008" s="817"/>
      <c r="AG1008" s="817"/>
      <c r="AH1008" s="817">
        <v>10</v>
      </c>
      <c r="AJ1008" s="817"/>
      <c r="AL1008" s="817"/>
      <c r="AR1008" s="817"/>
      <c r="AT1008" s="817"/>
      <c r="AU1008" s="817"/>
      <c r="AV1008" s="817"/>
      <c r="AX1008" s="817"/>
      <c r="AY1008" s="817"/>
      <c r="AZ1008" s="817"/>
      <c r="BC1008" s="817"/>
      <c r="BD1008" s="817"/>
      <c r="BE1008" s="817"/>
      <c r="BG1008" s="817"/>
      <c r="BH1008" s="817"/>
      <c r="BI1008" s="817"/>
      <c r="BS1008" s="817"/>
      <c r="BT1008" s="817"/>
      <c r="BU1008" s="817"/>
    </row>
    <row r="1009" spans="1:73" ht="29" x14ac:dyDescent="0.35">
      <c r="A1009" s="806" t="s">
        <v>864</v>
      </c>
      <c r="B1009" s="806" t="s">
        <v>1305</v>
      </c>
      <c r="C1009" s="806"/>
      <c r="D1009" s="806"/>
      <c r="E1009" s="806"/>
      <c r="F1009" s="806"/>
      <c r="I1009" s="817"/>
      <c r="J1009" s="817"/>
      <c r="K1009" s="817"/>
      <c r="M1009" s="817"/>
      <c r="N1009" s="817"/>
      <c r="O1009" s="817"/>
      <c r="P1009" s="817"/>
      <c r="Q1009" s="817"/>
      <c r="R1009" s="817"/>
      <c r="S1009" s="817"/>
      <c r="T1009" s="817"/>
      <c r="U1009" s="817"/>
      <c r="V1009" s="817"/>
      <c r="W1009" s="817"/>
      <c r="X1009" s="817"/>
      <c r="Y1009" s="817"/>
      <c r="Z1009" s="817"/>
      <c r="AA1009" s="817">
        <v>20</v>
      </c>
      <c r="AC1009" s="817"/>
      <c r="AD1009" s="817"/>
      <c r="AE1009" s="817"/>
      <c r="AF1009" s="817"/>
      <c r="AG1009" s="817"/>
      <c r="AH1009" s="817">
        <v>20</v>
      </c>
      <c r="AI1009" s="817"/>
      <c r="AJ1009" s="817"/>
      <c r="AL1009" s="817"/>
      <c r="AM1009" s="817"/>
      <c r="AN1009" s="817"/>
      <c r="AO1009" s="817"/>
      <c r="AP1009" s="817"/>
      <c r="AQ1009" s="817"/>
      <c r="AR1009" s="817"/>
      <c r="AS1009" s="817"/>
      <c r="AT1009" s="817"/>
      <c r="AU1009" s="817"/>
      <c r="AV1009" s="817"/>
      <c r="AW1009" s="817"/>
      <c r="AX1009" s="817"/>
      <c r="AY1009" s="817"/>
      <c r="AZ1009" s="817"/>
      <c r="BA1009" s="817"/>
      <c r="BC1009" s="817"/>
      <c r="BD1009" s="817"/>
      <c r="BE1009" s="817"/>
      <c r="BF1009" s="817"/>
      <c r="BG1009" s="817"/>
      <c r="BH1009" s="817"/>
      <c r="BI1009" s="817"/>
      <c r="BJ1009" s="817"/>
      <c r="BM1009" s="817"/>
      <c r="BN1009" s="817"/>
      <c r="BO1009" s="817"/>
      <c r="BQ1009" s="817"/>
      <c r="BR1009" s="817"/>
      <c r="BS1009" s="817"/>
      <c r="BT1009" s="817"/>
      <c r="BU1009" s="817"/>
    </row>
    <row r="1010" spans="1:73" ht="29" x14ac:dyDescent="0.35">
      <c r="A1010" s="806" t="s">
        <v>864</v>
      </c>
      <c r="B1010" s="806" t="s">
        <v>1303</v>
      </c>
      <c r="C1010" s="806"/>
      <c r="D1010" s="806"/>
      <c r="E1010" s="806"/>
      <c r="F1010" s="806"/>
      <c r="I1010" s="817"/>
      <c r="J1010" s="817"/>
      <c r="K1010" s="817"/>
      <c r="M1010" s="817"/>
      <c r="N1010" s="817"/>
      <c r="O1010" s="817"/>
      <c r="P1010" s="817"/>
      <c r="Q1010" s="817"/>
      <c r="R1010" s="817"/>
      <c r="S1010" s="817"/>
      <c r="T1010" s="817"/>
      <c r="U1010" s="817"/>
      <c r="V1010" s="817"/>
      <c r="W1010" s="817"/>
      <c r="X1010" s="817"/>
      <c r="Y1010" s="817"/>
      <c r="Z1010" s="817"/>
      <c r="AA1010" s="817">
        <v>5</v>
      </c>
      <c r="AC1010" s="817"/>
      <c r="AD1010" s="817"/>
      <c r="AE1010" s="817"/>
      <c r="AF1010" s="817"/>
      <c r="AG1010" s="817"/>
      <c r="AH1010" s="817">
        <v>5</v>
      </c>
      <c r="AI1010" s="817"/>
      <c r="AJ1010" s="817"/>
      <c r="AL1010" s="817"/>
      <c r="AM1010" s="817"/>
      <c r="AN1010" s="817"/>
      <c r="AO1010" s="817"/>
      <c r="AP1010" s="817"/>
      <c r="AQ1010" s="817"/>
      <c r="AR1010" s="817"/>
      <c r="AS1010" s="817"/>
      <c r="AT1010" s="817"/>
      <c r="AU1010" s="817"/>
      <c r="AV1010" s="817"/>
      <c r="AW1010" s="817"/>
      <c r="AX1010" s="817"/>
      <c r="AY1010" s="817"/>
      <c r="AZ1010" s="817"/>
      <c r="BA1010" s="817"/>
      <c r="BC1010" s="817"/>
      <c r="BD1010" s="817"/>
      <c r="BE1010" s="817"/>
      <c r="BF1010" s="817"/>
      <c r="BG1010" s="817"/>
      <c r="BH1010" s="817"/>
      <c r="BI1010" s="817"/>
      <c r="BJ1010" s="817"/>
      <c r="BM1010" s="817"/>
      <c r="BN1010" s="817"/>
      <c r="BO1010" s="817"/>
      <c r="BQ1010" s="817"/>
      <c r="BR1010" s="817"/>
      <c r="BS1010" s="817"/>
      <c r="BT1010" s="817"/>
      <c r="BU1010" s="817"/>
    </row>
    <row r="1011" spans="1:73" ht="29" x14ac:dyDescent="0.35">
      <c r="A1011" s="806" t="s">
        <v>864</v>
      </c>
      <c r="B1011" s="806" t="s">
        <v>1307</v>
      </c>
      <c r="C1011" s="806"/>
      <c r="D1011" s="806"/>
      <c r="E1011" s="806"/>
      <c r="F1011" s="806"/>
      <c r="I1011" s="817"/>
      <c r="J1011" s="817"/>
      <c r="K1011" s="817"/>
      <c r="M1011" s="817"/>
      <c r="N1011" s="817"/>
      <c r="O1011" s="817"/>
      <c r="P1011" s="817"/>
      <c r="Q1011" s="817"/>
      <c r="R1011" s="817"/>
      <c r="S1011" s="817"/>
      <c r="T1011" s="817"/>
      <c r="U1011" s="817"/>
      <c r="V1011" s="817"/>
      <c r="W1011" s="817"/>
      <c r="X1011" s="817"/>
      <c r="Y1011" s="817"/>
      <c r="Z1011" s="817"/>
      <c r="AA1011" s="817">
        <v>0</v>
      </c>
      <c r="AC1011" s="817"/>
      <c r="AD1011" s="817"/>
      <c r="AE1011" s="817"/>
      <c r="AF1011" s="817"/>
      <c r="AG1011" s="817"/>
      <c r="AH1011" s="817">
        <v>0</v>
      </c>
      <c r="AI1011" s="817"/>
      <c r="AJ1011" s="817"/>
      <c r="AL1011" s="817"/>
      <c r="AM1011" s="817"/>
      <c r="AN1011" s="817"/>
      <c r="AO1011" s="817"/>
      <c r="AP1011" s="817"/>
      <c r="AQ1011" s="817"/>
      <c r="AR1011" s="817"/>
      <c r="AS1011" s="817"/>
      <c r="AT1011" s="817"/>
      <c r="AU1011" s="817"/>
      <c r="AV1011" s="817"/>
      <c r="AW1011" s="817"/>
      <c r="AX1011" s="817"/>
      <c r="AY1011" s="817"/>
      <c r="AZ1011" s="817"/>
      <c r="BA1011" s="817"/>
      <c r="BC1011" s="817"/>
      <c r="BD1011" s="817"/>
      <c r="BE1011" s="817"/>
      <c r="BF1011" s="817"/>
      <c r="BG1011" s="817"/>
      <c r="BH1011" s="817"/>
      <c r="BI1011" s="817"/>
      <c r="BJ1011" s="817"/>
      <c r="BM1011" s="817"/>
      <c r="BN1011" s="817"/>
      <c r="BO1011" s="817"/>
      <c r="BQ1011" s="817"/>
      <c r="BR1011" s="817"/>
      <c r="BS1011" s="817"/>
      <c r="BT1011" s="817"/>
      <c r="BU1011" s="817"/>
    </row>
    <row r="1012" spans="1:73" ht="29" x14ac:dyDescent="0.35">
      <c r="A1012" s="806" t="s">
        <v>864</v>
      </c>
      <c r="B1012" s="806" t="s">
        <v>1306</v>
      </c>
      <c r="C1012" s="806"/>
      <c r="D1012" s="806"/>
      <c r="E1012" s="806"/>
      <c r="F1012" s="806"/>
      <c r="I1012" s="817"/>
      <c r="J1012" s="817"/>
      <c r="K1012" s="817"/>
      <c r="M1012" s="817"/>
      <c r="N1012" s="817"/>
      <c r="O1012" s="817"/>
      <c r="P1012" s="817"/>
      <c r="Q1012" s="817"/>
      <c r="R1012" s="817"/>
      <c r="S1012" s="817"/>
      <c r="T1012" s="817"/>
      <c r="U1012" s="817"/>
      <c r="V1012" s="817"/>
      <c r="W1012" s="817"/>
      <c r="X1012" s="817"/>
      <c r="Y1012" s="817"/>
      <c r="Z1012" s="817"/>
      <c r="AA1012" s="817">
        <v>0</v>
      </c>
      <c r="AC1012" s="817"/>
      <c r="AD1012" s="817"/>
      <c r="AE1012" s="817"/>
      <c r="AF1012" s="817"/>
      <c r="AG1012" s="817"/>
      <c r="AH1012" s="817">
        <v>0</v>
      </c>
      <c r="AI1012" s="817"/>
      <c r="AJ1012" s="817"/>
      <c r="AL1012" s="817"/>
      <c r="AM1012" s="817"/>
      <c r="AN1012" s="817"/>
      <c r="AO1012" s="817"/>
      <c r="AP1012" s="817"/>
      <c r="AQ1012" s="817"/>
      <c r="AR1012" s="817"/>
      <c r="AS1012" s="817"/>
      <c r="AT1012" s="817"/>
      <c r="AU1012" s="817"/>
      <c r="AV1012" s="817"/>
      <c r="AW1012" s="817"/>
      <c r="AX1012" s="817"/>
      <c r="AY1012" s="817"/>
      <c r="AZ1012" s="817"/>
      <c r="BA1012" s="817"/>
      <c r="BC1012" s="817"/>
      <c r="BD1012" s="817"/>
      <c r="BE1012" s="817"/>
      <c r="BF1012" s="817"/>
      <c r="BG1012" s="817"/>
      <c r="BH1012" s="817"/>
      <c r="BI1012" s="817"/>
      <c r="BJ1012" s="817"/>
      <c r="BM1012" s="817"/>
      <c r="BN1012" s="817"/>
      <c r="BO1012" s="817"/>
      <c r="BQ1012" s="817"/>
      <c r="BR1012" s="817"/>
      <c r="BS1012" s="817"/>
      <c r="BT1012" s="817"/>
      <c r="BU1012" s="817"/>
    </row>
    <row r="1013" spans="1:73" x14ac:dyDescent="0.35">
      <c r="A1013" s="806" t="s">
        <v>864</v>
      </c>
      <c r="B1013" s="806" t="s">
        <v>870</v>
      </c>
      <c r="C1013" s="806"/>
      <c r="D1013" s="806"/>
      <c r="E1013" s="806"/>
      <c r="F1013" s="806"/>
      <c r="G1013" s="817"/>
      <c r="I1013" s="817"/>
      <c r="J1013" s="817"/>
      <c r="K1013" s="817"/>
      <c r="M1013" s="817"/>
      <c r="N1013" s="817"/>
      <c r="O1013" s="817"/>
      <c r="P1013" s="817"/>
      <c r="Q1013" s="817"/>
      <c r="R1013" s="817"/>
      <c r="S1013" s="817"/>
      <c r="T1013" s="817"/>
      <c r="U1013" s="817"/>
      <c r="V1013" s="817"/>
      <c r="W1013" s="817"/>
      <c r="X1013" s="817"/>
      <c r="Y1013" s="817"/>
      <c r="Z1013" s="817"/>
      <c r="AA1013" s="817">
        <v>79</v>
      </c>
      <c r="AC1013" s="817"/>
      <c r="AD1013" s="817"/>
      <c r="AE1013" s="817"/>
      <c r="AF1013" s="817"/>
      <c r="AG1013" s="817"/>
      <c r="AH1013" s="817">
        <v>95</v>
      </c>
      <c r="AI1013" s="817"/>
      <c r="AJ1013" s="817"/>
      <c r="AL1013" s="817"/>
      <c r="AM1013" s="817"/>
      <c r="AN1013" s="817"/>
      <c r="AO1013" s="817"/>
      <c r="AP1013" s="817"/>
      <c r="AQ1013" s="817"/>
      <c r="AR1013" s="817"/>
      <c r="AS1013" s="817"/>
      <c r="AT1013" s="817"/>
      <c r="AU1013" s="817"/>
      <c r="AV1013" s="817"/>
      <c r="AW1013" s="817"/>
      <c r="AX1013" s="817"/>
      <c r="AY1013" s="817"/>
      <c r="AZ1013" s="817"/>
      <c r="BA1013" s="817"/>
      <c r="BC1013" s="817"/>
      <c r="BD1013" s="817"/>
      <c r="BE1013" s="817"/>
      <c r="BF1013" s="817"/>
      <c r="BG1013" s="817"/>
      <c r="BH1013" s="817"/>
      <c r="BI1013" s="817"/>
      <c r="BJ1013" s="817"/>
      <c r="BK1013" s="817"/>
      <c r="BL1013" s="816"/>
      <c r="BM1013" s="817"/>
      <c r="BN1013" s="817"/>
      <c r="BO1013" s="817"/>
      <c r="BQ1013" s="817"/>
      <c r="BR1013" s="817"/>
      <c r="BS1013" s="817"/>
      <c r="BT1013" s="817"/>
      <c r="BU1013" s="817"/>
    </row>
    <row r="1014" spans="1:73" ht="29" x14ac:dyDescent="0.35">
      <c r="A1014" s="806" t="s">
        <v>864</v>
      </c>
      <c r="B1014" s="806" t="s">
        <v>871</v>
      </c>
      <c r="C1014" s="806"/>
      <c r="D1014" s="806"/>
      <c r="E1014" s="806"/>
      <c r="F1014" s="806"/>
      <c r="G1014" s="817"/>
      <c r="I1014" s="818"/>
      <c r="J1014" s="818"/>
      <c r="K1014" s="818"/>
      <c r="M1014" s="818"/>
      <c r="N1014" s="818"/>
      <c r="O1014" s="818"/>
      <c r="P1014" s="818"/>
      <c r="Q1014" s="818"/>
      <c r="R1014" s="818"/>
      <c r="S1014" s="818"/>
      <c r="T1014" s="818"/>
      <c r="U1014" s="818"/>
      <c r="V1014" s="818"/>
      <c r="W1014" s="818"/>
      <c r="X1014" s="818"/>
      <c r="Y1014" s="818"/>
      <c r="Z1014" s="818"/>
      <c r="AA1014" s="818">
        <v>400000</v>
      </c>
      <c r="AC1014" s="818"/>
      <c r="AD1014" s="818"/>
      <c r="AE1014" s="818"/>
      <c r="AF1014" s="818"/>
      <c r="AG1014" s="818"/>
      <c r="AH1014" s="818">
        <v>1101250</v>
      </c>
      <c r="AI1014" s="818"/>
      <c r="AJ1014" s="818"/>
      <c r="AL1014" s="818"/>
      <c r="AM1014" s="818"/>
      <c r="AN1014" s="818"/>
      <c r="AO1014" s="818"/>
      <c r="AP1014" s="818"/>
      <c r="AQ1014" s="818"/>
      <c r="AR1014" s="818"/>
      <c r="AS1014" s="818"/>
      <c r="AT1014" s="818"/>
      <c r="AU1014" s="818"/>
      <c r="AV1014" s="818"/>
      <c r="AW1014" s="818"/>
      <c r="AX1014" s="818"/>
      <c r="AY1014" s="818"/>
      <c r="AZ1014" s="818"/>
      <c r="BA1014" s="818"/>
      <c r="BC1014" s="818"/>
      <c r="BD1014" s="818"/>
      <c r="BE1014" s="818"/>
      <c r="BF1014" s="818"/>
      <c r="BG1014" s="818"/>
      <c r="BH1014" s="818"/>
      <c r="BI1014" s="818"/>
      <c r="BJ1014" s="818"/>
      <c r="BK1014" s="818"/>
      <c r="BL1014" s="816"/>
      <c r="BM1014" s="818"/>
      <c r="BN1014" s="818"/>
      <c r="BO1014" s="818"/>
      <c r="BQ1014" s="818"/>
      <c r="BR1014" s="818"/>
      <c r="BS1014" s="818"/>
      <c r="BT1014" s="818"/>
      <c r="BU1014" s="818"/>
    </row>
    <row r="1015" spans="1:73" ht="29" x14ac:dyDescent="0.35">
      <c r="A1015" s="806" t="s">
        <v>864</v>
      </c>
      <c r="B1015" s="806" t="s">
        <v>1309</v>
      </c>
      <c r="C1015" s="806"/>
      <c r="D1015" s="806"/>
      <c r="E1015" s="806"/>
      <c r="F1015" s="806"/>
      <c r="I1015" s="817"/>
      <c r="J1015" s="817"/>
      <c r="K1015" s="817"/>
      <c r="M1015" s="817"/>
      <c r="N1015" s="817"/>
      <c r="O1015" s="817"/>
      <c r="P1015" s="817"/>
      <c r="Q1015" s="817"/>
      <c r="R1015" s="817"/>
      <c r="S1015" s="817"/>
      <c r="T1015" s="817"/>
      <c r="U1015" s="817"/>
      <c r="V1015" s="817"/>
      <c r="W1015" s="817"/>
      <c r="X1015" s="817"/>
      <c r="Y1015" s="817"/>
      <c r="Z1015" s="817"/>
      <c r="AA1015" s="817">
        <v>0</v>
      </c>
      <c r="AC1015" s="817"/>
      <c r="AD1015" s="817"/>
      <c r="AE1015" s="817"/>
      <c r="AF1015" s="817"/>
      <c r="AG1015" s="817"/>
      <c r="AH1015" s="817">
        <v>5</v>
      </c>
      <c r="AI1015" s="817"/>
      <c r="AJ1015" s="817"/>
      <c r="AL1015" s="817"/>
      <c r="AM1015" s="817"/>
      <c r="AN1015" s="817"/>
      <c r="AO1015" s="817"/>
      <c r="AP1015" s="817"/>
      <c r="AQ1015" s="817"/>
      <c r="AR1015" s="817"/>
      <c r="AS1015" s="817"/>
      <c r="AT1015" s="817"/>
      <c r="AU1015" s="817"/>
      <c r="AV1015" s="817"/>
      <c r="AW1015" s="817"/>
      <c r="AX1015" s="817"/>
      <c r="AY1015" s="817"/>
      <c r="AZ1015" s="817"/>
      <c r="BA1015" s="817"/>
      <c r="BC1015" s="817"/>
      <c r="BD1015" s="817"/>
      <c r="BE1015" s="817"/>
      <c r="BF1015" s="817"/>
      <c r="BG1015" s="817"/>
      <c r="BH1015" s="817"/>
      <c r="BI1015" s="817"/>
      <c r="BJ1015" s="817"/>
      <c r="BM1015" s="817"/>
      <c r="BN1015" s="817"/>
      <c r="BO1015" s="817"/>
      <c r="BQ1015" s="817"/>
      <c r="BR1015" s="817"/>
      <c r="BS1015" s="817"/>
      <c r="BT1015" s="817"/>
      <c r="BU1015" s="817"/>
    </row>
    <row r="1016" spans="1:73" x14ac:dyDescent="0.35">
      <c r="A1016" s="806" t="s">
        <v>864</v>
      </c>
      <c r="B1016" s="806" t="s">
        <v>1330</v>
      </c>
      <c r="C1016" s="806"/>
      <c r="D1016" s="806"/>
      <c r="E1016" s="806"/>
      <c r="F1016" s="806"/>
      <c r="I1016" s="817"/>
      <c r="J1016" s="817"/>
      <c r="K1016" s="817"/>
      <c r="M1016" s="817"/>
      <c r="N1016" s="817"/>
      <c r="O1016" s="817"/>
      <c r="P1016" s="817"/>
      <c r="Q1016" s="817"/>
      <c r="S1016" s="817"/>
      <c r="T1016" s="817"/>
      <c r="U1016" s="817"/>
      <c r="V1016" s="817"/>
      <c r="W1016" s="817"/>
      <c r="X1016" s="817"/>
      <c r="Z1016" s="817"/>
      <c r="AA1016" s="817">
        <v>100</v>
      </c>
      <c r="AC1016" s="817"/>
      <c r="AD1016" s="817"/>
      <c r="AE1016" s="817"/>
      <c r="AF1016" s="817"/>
      <c r="AG1016" s="817"/>
      <c r="AH1016" s="817">
        <v>2000</v>
      </c>
      <c r="AI1016" s="817"/>
      <c r="AJ1016" s="817"/>
      <c r="AL1016" s="817"/>
      <c r="AN1016" s="817"/>
      <c r="AP1016" s="817"/>
      <c r="AQ1016" s="817"/>
      <c r="AR1016" s="817"/>
      <c r="AS1016" s="817"/>
      <c r="AT1016" s="817"/>
      <c r="AU1016" s="817"/>
      <c r="AV1016" s="817"/>
      <c r="AW1016" s="817"/>
      <c r="AX1016" s="817"/>
      <c r="AY1016" s="817"/>
      <c r="AZ1016" s="817"/>
      <c r="BA1016" s="817"/>
      <c r="BC1016" s="817"/>
      <c r="BD1016" s="817"/>
      <c r="BE1016" s="817"/>
      <c r="BF1016" s="817"/>
      <c r="BG1016" s="817"/>
      <c r="BH1016" s="817"/>
      <c r="BI1016" s="817"/>
      <c r="BJ1016" s="817"/>
      <c r="BM1016" s="817"/>
      <c r="BN1016" s="817"/>
      <c r="BO1016" s="817"/>
      <c r="BQ1016" s="817"/>
      <c r="BR1016" s="817"/>
      <c r="BS1016" s="817"/>
      <c r="BT1016" s="817"/>
      <c r="BU1016" s="817">
        <v>0</v>
      </c>
    </row>
    <row r="1017" spans="1:73" x14ac:dyDescent="0.35">
      <c r="A1017" s="806" t="s">
        <v>864</v>
      </c>
      <c r="B1017" s="806" t="s">
        <v>1332</v>
      </c>
      <c r="C1017" s="806"/>
      <c r="D1017" s="806"/>
      <c r="E1017" s="806"/>
      <c r="F1017" s="806"/>
      <c r="I1017" s="817"/>
      <c r="J1017" s="817"/>
      <c r="K1017" s="817"/>
      <c r="M1017" s="817"/>
      <c r="N1017" s="817"/>
      <c r="O1017" s="817"/>
      <c r="P1017" s="817"/>
      <c r="Q1017" s="817"/>
      <c r="S1017" s="817"/>
      <c r="T1017" s="817"/>
      <c r="U1017" s="817"/>
      <c r="V1017" s="817"/>
      <c r="W1017" s="817"/>
      <c r="X1017" s="817"/>
      <c r="Z1017" s="817"/>
      <c r="AA1017" s="817">
        <v>100</v>
      </c>
      <c r="AC1017" s="817"/>
      <c r="AD1017" s="817"/>
      <c r="AE1017" s="817"/>
      <c r="AF1017" s="817"/>
      <c r="AG1017" s="817"/>
      <c r="AI1017" s="817"/>
      <c r="AJ1017" s="817"/>
      <c r="AL1017" s="817"/>
      <c r="AN1017" s="817"/>
      <c r="AP1017" s="817"/>
      <c r="AQ1017" s="817"/>
      <c r="AR1017" s="817"/>
      <c r="AS1017" s="817"/>
      <c r="AT1017" s="817"/>
      <c r="AU1017" s="817"/>
      <c r="AV1017" s="817"/>
      <c r="AW1017" s="817"/>
      <c r="AX1017" s="817"/>
      <c r="AY1017" s="817"/>
      <c r="AZ1017" s="817"/>
      <c r="BA1017" s="817"/>
      <c r="BC1017" s="817"/>
      <c r="BD1017" s="817"/>
      <c r="BE1017" s="817"/>
      <c r="BF1017" s="817"/>
      <c r="BG1017" s="817"/>
      <c r="BH1017" s="817"/>
      <c r="BI1017" s="817"/>
      <c r="BJ1017" s="817"/>
      <c r="BM1017" s="817"/>
      <c r="BN1017" s="817"/>
      <c r="BO1017" s="817"/>
      <c r="BQ1017" s="817"/>
      <c r="BR1017" s="817"/>
      <c r="BS1017" s="817"/>
      <c r="BT1017" s="817"/>
      <c r="BU1017" s="817">
        <v>480</v>
      </c>
    </row>
    <row r="1018" spans="1:73" ht="29" x14ac:dyDescent="0.35">
      <c r="A1018" s="806" t="s">
        <v>864</v>
      </c>
      <c r="B1018" s="806" t="s">
        <v>1297</v>
      </c>
      <c r="C1018" s="806"/>
      <c r="D1018" s="806"/>
      <c r="E1018" s="806"/>
      <c r="F1018" s="806"/>
      <c r="I1018" s="816"/>
      <c r="J1018" s="816"/>
      <c r="K1018" s="816"/>
      <c r="M1018" s="816"/>
      <c r="N1018" s="816"/>
      <c r="O1018" s="816"/>
      <c r="P1018" s="816"/>
      <c r="Q1018" s="816"/>
      <c r="R1018" s="816"/>
      <c r="S1018" s="816"/>
      <c r="T1018" s="816"/>
      <c r="U1018" s="816"/>
      <c r="V1018" s="816"/>
      <c r="W1018" s="816"/>
      <c r="X1018" s="816"/>
      <c r="Y1018" s="816"/>
      <c r="Z1018" s="816"/>
      <c r="AA1018" s="816"/>
      <c r="AC1018" s="816"/>
      <c r="AD1018" s="816"/>
      <c r="AE1018" s="816"/>
      <c r="AF1018" s="816"/>
      <c r="AG1018" s="816"/>
      <c r="AH1018" s="816" t="s">
        <v>198</v>
      </c>
      <c r="AI1018" s="816"/>
      <c r="AJ1018" s="816"/>
      <c r="AL1018" s="816"/>
      <c r="AM1018" s="816"/>
      <c r="AN1018" s="816"/>
      <c r="AO1018" s="816"/>
      <c r="AP1018" s="816"/>
      <c r="AQ1018" s="816"/>
      <c r="AR1018" s="816"/>
      <c r="AS1018" s="816"/>
      <c r="AT1018" s="816"/>
      <c r="AU1018" s="816"/>
      <c r="AV1018" s="816"/>
      <c r="AW1018" s="816"/>
      <c r="AX1018" s="816"/>
      <c r="AY1018" s="816"/>
      <c r="AZ1018" s="816"/>
      <c r="BA1018" s="816"/>
      <c r="BC1018" s="816"/>
      <c r="BD1018" s="816"/>
      <c r="BE1018" s="816"/>
      <c r="BF1018" s="816"/>
      <c r="BG1018" s="816"/>
      <c r="BH1018" s="816"/>
      <c r="BI1018" s="816"/>
      <c r="BJ1018" s="816"/>
      <c r="BM1018" s="816"/>
      <c r="BN1018" s="816"/>
      <c r="BO1018" s="816"/>
      <c r="BQ1018" s="816"/>
      <c r="BR1018" s="816"/>
      <c r="BS1018" s="816"/>
      <c r="BT1018" s="816"/>
      <c r="BU1018" s="816" t="s">
        <v>198</v>
      </c>
    </row>
    <row r="1019" spans="1:73" ht="29" x14ac:dyDescent="0.35">
      <c r="A1019" s="806" t="s">
        <v>864</v>
      </c>
      <c r="B1019" s="806" t="s">
        <v>1298</v>
      </c>
      <c r="C1019" s="806"/>
      <c r="D1019" s="806"/>
      <c r="E1019" s="806"/>
      <c r="F1019" s="806"/>
      <c r="I1019" s="816"/>
      <c r="J1019" s="816"/>
      <c r="K1019" s="816"/>
      <c r="M1019" s="816"/>
      <c r="N1019" s="816"/>
      <c r="O1019" s="816"/>
      <c r="P1019" s="816"/>
      <c r="Q1019" s="816"/>
      <c r="R1019" s="816"/>
      <c r="S1019" s="816"/>
      <c r="T1019" s="816"/>
      <c r="U1019" s="816"/>
      <c r="V1019" s="816"/>
      <c r="W1019" s="816"/>
      <c r="X1019" s="816"/>
      <c r="Y1019" s="816"/>
      <c r="Z1019" s="816"/>
      <c r="AA1019" s="816"/>
      <c r="AC1019" s="816"/>
      <c r="AD1019" s="816"/>
      <c r="AE1019" s="816"/>
      <c r="AF1019" s="816"/>
      <c r="AG1019" s="816"/>
      <c r="AH1019" s="816" t="s">
        <v>198</v>
      </c>
      <c r="AI1019" s="816"/>
      <c r="AJ1019" s="816"/>
      <c r="AL1019" s="816"/>
      <c r="AM1019" s="816"/>
      <c r="AN1019" s="816"/>
      <c r="AO1019" s="816"/>
      <c r="AP1019" s="816"/>
      <c r="AQ1019" s="816"/>
      <c r="AR1019" s="816"/>
      <c r="AS1019" s="816"/>
      <c r="AT1019" s="816"/>
      <c r="AU1019" s="816"/>
      <c r="AV1019" s="816"/>
      <c r="AW1019" s="816"/>
      <c r="AX1019" s="816"/>
      <c r="AY1019" s="816"/>
      <c r="AZ1019" s="816"/>
      <c r="BA1019" s="816"/>
      <c r="BC1019" s="816"/>
      <c r="BD1019" s="816"/>
      <c r="BE1019" s="816"/>
      <c r="BF1019" s="816"/>
      <c r="BG1019" s="816"/>
      <c r="BH1019" s="816"/>
      <c r="BI1019" s="816"/>
      <c r="BJ1019" s="816"/>
      <c r="BM1019" s="816"/>
      <c r="BN1019" s="816"/>
      <c r="BO1019" s="816"/>
      <c r="BQ1019" s="816"/>
      <c r="BR1019" s="816"/>
      <c r="BS1019" s="816"/>
      <c r="BT1019" s="816"/>
      <c r="BU1019" s="816" t="s">
        <v>198</v>
      </c>
    </row>
    <row r="1020" spans="1:73" x14ac:dyDescent="0.35">
      <c r="A1020" s="806" t="s">
        <v>864</v>
      </c>
      <c r="B1020" s="806" t="s">
        <v>1299</v>
      </c>
      <c r="C1020" s="806"/>
      <c r="D1020" s="806"/>
      <c r="E1020" s="806"/>
      <c r="F1020" s="806"/>
      <c r="I1020" s="816"/>
      <c r="J1020" s="816"/>
      <c r="K1020" s="816"/>
      <c r="M1020" s="816"/>
      <c r="N1020" s="816"/>
      <c r="O1020" s="816"/>
      <c r="P1020" s="816"/>
      <c r="Q1020" s="816"/>
      <c r="R1020" s="816"/>
      <c r="S1020" s="816"/>
      <c r="T1020" s="816"/>
      <c r="U1020" s="816"/>
      <c r="V1020" s="816"/>
      <c r="W1020" s="816"/>
      <c r="X1020" s="816"/>
      <c r="Y1020" s="816"/>
      <c r="Z1020" s="816"/>
      <c r="AA1020" s="816"/>
      <c r="AC1020" s="816"/>
      <c r="AD1020" s="816"/>
      <c r="AE1020" s="816"/>
      <c r="AF1020" s="816"/>
      <c r="AG1020" s="816"/>
      <c r="AH1020" s="816" t="s">
        <v>198</v>
      </c>
      <c r="AI1020" s="816"/>
      <c r="AJ1020" s="816"/>
      <c r="AL1020" s="816"/>
      <c r="AM1020" s="816"/>
      <c r="AN1020" s="816"/>
      <c r="AO1020" s="816"/>
      <c r="AP1020" s="816"/>
      <c r="AQ1020" s="816"/>
      <c r="AR1020" s="816"/>
      <c r="AS1020" s="816"/>
      <c r="AT1020" s="816"/>
      <c r="AU1020" s="816"/>
      <c r="AV1020" s="816"/>
      <c r="AW1020" s="816"/>
      <c r="AX1020" s="816"/>
      <c r="AY1020" s="816"/>
      <c r="AZ1020" s="816"/>
      <c r="BA1020" s="816"/>
      <c r="BC1020" s="816"/>
      <c r="BD1020" s="816"/>
      <c r="BE1020" s="816"/>
      <c r="BF1020" s="816"/>
      <c r="BG1020" s="816"/>
      <c r="BH1020" s="816"/>
      <c r="BI1020" s="816"/>
      <c r="BJ1020" s="816"/>
      <c r="BM1020" s="816"/>
      <c r="BN1020" s="816"/>
      <c r="BO1020" s="816"/>
      <c r="BQ1020" s="816"/>
      <c r="BR1020" s="816"/>
      <c r="BS1020" s="816"/>
      <c r="BT1020" s="816"/>
      <c r="BU1020" s="816" t="s">
        <v>198</v>
      </c>
    </row>
    <row r="1021" spans="1:73" ht="29" x14ac:dyDescent="0.35">
      <c r="A1021" s="806" t="s">
        <v>864</v>
      </c>
      <c r="B1021" s="806" t="s">
        <v>1300</v>
      </c>
      <c r="C1021" s="806"/>
      <c r="D1021" s="806"/>
      <c r="E1021" s="806"/>
      <c r="F1021" s="806"/>
      <c r="I1021" s="816"/>
      <c r="J1021" s="816"/>
      <c r="K1021" s="816"/>
      <c r="M1021" s="816"/>
      <c r="N1021" s="816"/>
      <c r="O1021" s="816"/>
      <c r="P1021" s="816"/>
      <c r="Q1021" s="816"/>
      <c r="R1021" s="816"/>
      <c r="S1021" s="816"/>
      <c r="T1021" s="816"/>
      <c r="U1021" s="816"/>
      <c r="V1021" s="816"/>
      <c r="W1021" s="816"/>
      <c r="X1021" s="816"/>
      <c r="Y1021" s="816"/>
      <c r="Z1021" s="816"/>
      <c r="AA1021" s="816"/>
      <c r="AC1021" s="816"/>
      <c r="AD1021" s="816"/>
      <c r="AE1021" s="816"/>
      <c r="AF1021" s="816"/>
      <c r="AG1021" s="816"/>
      <c r="AH1021" s="816" t="s">
        <v>198</v>
      </c>
      <c r="AI1021" s="816"/>
      <c r="AJ1021" s="816"/>
      <c r="AL1021" s="816"/>
      <c r="AM1021" s="816"/>
      <c r="AN1021" s="816"/>
      <c r="AO1021" s="816"/>
      <c r="AP1021" s="816"/>
      <c r="AQ1021" s="816"/>
      <c r="AR1021" s="816"/>
      <c r="AS1021" s="816"/>
      <c r="AT1021" s="816"/>
      <c r="AU1021" s="816"/>
      <c r="AV1021" s="816"/>
      <c r="AW1021" s="816"/>
      <c r="AX1021" s="816"/>
      <c r="AY1021" s="816"/>
      <c r="AZ1021" s="816"/>
      <c r="BA1021" s="816"/>
      <c r="BC1021" s="816"/>
      <c r="BD1021" s="816"/>
      <c r="BE1021" s="816"/>
      <c r="BF1021" s="816"/>
      <c r="BG1021" s="816"/>
      <c r="BH1021" s="816"/>
      <c r="BI1021" s="816"/>
      <c r="BJ1021" s="816"/>
      <c r="BM1021" s="816"/>
      <c r="BN1021" s="816"/>
      <c r="BO1021" s="816"/>
      <c r="BQ1021" s="816"/>
      <c r="BR1021" s="816"/>
      <c r="BS1021" s="816"/>
      <c r="BT1021" s="816"/>
      <c r="BU1021" s="816" t="s">
        <v>198</v>
      </c>
    </row>
    <row r="1022" spans="1:73" ht="29" x14ac:dyDescent="0.35">
      <c r="A1022" s="806" t="s">
        <v>864</v>
      </c>
      <c r="B1022" s="806" t="s">
        <v>1301</v>
      </c>
      <c r="C1022" s="806"/>
      <c r="D1022" s="806"/>
      <c r="E1022" s="806"/>
      <c r="F1022" s="806"/>
      <c r="I1022" s="816"/>
      <c r="J1022" s="816"/>
      <c r="K1022" s="816"/>
      <c r="M1022" s="816"/>
      <c r="N1022" s="816"/>
      <c r="O1022" s="816"/>
      <c r="P1022" s="816"/>
      <c r="Q1022" s="816"/>
      <c r="R1022" s="816"/>
      <c r="S1022" s="816"/>
      <c r="T1022" s="816"/>
      <c r="U1022" s="816"/>
      <c r="V1022" s="816"/>
      <c r="W1022" s="816"/>
      <c r="X1022" s="816"/>
      <c r="Y1022" s="816"/>
      <c r="Z1022" s="816"/>
      <c r="AA1022" s="816"/>
      <c r="AC1022" s="816"/>
      <c r="AD1022" s="816"/>
      <c r="AE1022" s="816"/>
      <c r="AF1022" s="816"/>
      <c r="AG1022" s="816"/>
      <c r="AH1022" s="816" t="s">
        <v>198</v>
      </c>
      <c r="AI1022" s="816"/>
      <c r="AJ1022" s="816"/>
      <c r="AL1022" s="816"/>
      <c r="AM1022" s="816"/>
      <c r="AN1022" s="816"/>
      <c r="AO1022" s="816"/>
      <c r="AP1022" s="816"/>
      <c r="AQ1022" s="816"/>
      <c r="AR1022" s="816"/>
      <c r="AS1022" s="816"/>
      <c r="AT1022" s="816"/>
      <c r="AU1022" s="816"/>
      <c r="AV1022" s="816"/>
      <c r="AW1022" s="816"/>
      <c r="AX1022" s="816"/>
      <c r="AY1022" s="816"/>
      <c r="AZ1022" s="816"/>
      <c r="BA1022" s="816"/>
      <c r="BC1022" s="816"/>
      <c r="BD1022" s="816"/>
      <c r="BE1022" s="816"/>
      <c r="BF1022" s="816"/>
      <c r="BG1022" s="816"/>
      <c r="BH1022" s="816"/>
      <c r="BI1022" s="816"/>
      <c r="BJ1022" s="816"/>
      <c r="BM1022" s="816"/>
      <c r="BN1022" s="816"/>
      <c r="BO1022" s="816"/>
      <c r="BQ1022" s="816"/>
      <c r="BR1022" s="816"/>
      <c r="BS1022" s="816"/>
      <c r="BT1022" s="816"/>
      <c r="BU1022" s="816" t="s">
        <v>198</v>
      </c>
    </row>
    <row r="1023" spans="1:73" x14ac:dyDescent="0.35">
      <c r="A1023" s="806" t="s">
        <v>864</v>
      </c>
      <c r="B1023" s="806" t="s">
        <v>1622</v>
      </c>
      <c r="C1023" s="806"/>
      <c r="D1023" s="806"/>
      <c r="E1023" s="806"/>
      <c r="F1023" s="806"/>
      <c r="I1023" s="816"/>
      <c r="K1023" s="816"/>
      <c r="M1023" s="816"/>
      <c r="N1023" s="816"/>
      <c r="O1023" s="816"/>
      <c r="P1023" s="816"/>
      <c r="Q1023" s="816"/>
      <c r="S1023" s="816"/>
      <c r="T1023" s="816"/>
      <c r="U1023" s="816"/>
      <c r="V1023" s="816"/>
      <c r="W1023" s="816"/>
      <c r="X1023" s="816"/>
      <c r="Z1023" s="816"/>
      <c r="AC1023" s="816"/>
      <c r="AD1023" s="816"/>
      <c r="AE1023" s="816"/>
      <c r="AF1023" s="816"/>
      <c r="AG1023" s="816"/>
      <c r="AH1023" s="816" t="s">
        <v>198</v>
      </c>
      <c r="AI1023" s="816"/>
      <c r="AJ1023" s="816"/>
      <c r="AL1023" s="816"/>
      <c r="AP1023" s="816"/>
      <c r="AQ1023" s="816"/>
      <c r="AR1023" s="816"/>
      <c r="AS1023" s="816"/>
      <c r="AT1023" s="816"/>
      <c r="AU1023" s="816"/>
      <c r="AV1023" s="816"/>
      <c r="AX1023" s="816"/>
      <c r="AY1023" s="816"/>
      <c r="AZ1023" s="816"/>
      <c r="BA1023" s="816"/>
      <c r="BC1023" s="816"/>
      <c r="BD1023" s="816"/>
      <c r="BE1023" s="816"/>
      <c r="BG1023" s="816"/>
      <c r="BH1023" s="816"/>
      <c r="BI1023" s="816"/>
      <c r="BJ1023" s="816"/>
      <c r="BM1023" s="816"/>
      <c r="BN1023" s="816"/>
      <c r="BO1023" s="816"/>
      <c r="BQ1023" s="816"/>
      <c r="BR1023" s="816"/>
      <c r="BS1023" s="816"/>
      <c r="BT1023" s="816"/>
      <c r="BU1023" s="816"/>
    </row>
    <row r="1024" spans="1:73" ht="29" x14ac:dyDescent="0.35">
      <c r="A1024" s="806" t="s">
        <v>872</v>
      </c>
      <c r="B1024" s="806" t="s">
        <v>1682</v>
      </c>
      <c r="C1024" s="806"/>
      <c r="D1024" s="806"/>
      <c r="E1024" s="806"/>
      <c r="F1024" s="806"/>
      <c r="I1024" s="816"/>
      <c r="K1024" s="816"/>
      <c r="M1024" s="816"/>
      <c r="Q1024" s="816"/>
      <c r="S1024" s="816"/>
      <c r="U1024" s="816"/>
      <c r="V1024" s="816"/>
      <c r="W1024" s="816"/>
      <c r="AD1024" s="816"/>
      <c r="AG1024" s="816"/>
      <c r="AJ1024" s="816"/>
      <c r="AL1024" s="816"/>
      <c r="AR1024" s="816"/>
      <c r="AT1024" s="816"/>
      <c r="AU1024" s="816"/>
      <c r="AV1024" s="816"/>
      <c r="AX1024" s="816"/>
      <c r="AY1024" s="816"/>
      <c r="AZ1024" s="816"/>
      <c r="BC1024" s="816"/>
      <c r="BD1024" s="816"/>
      <c r="BE1024" s="816"/>
      <c r="BG1024" s="816"/>
      <c r="BH1024" s="816"/>
      <c r="BI1024" s="816" t="s">
        <v>198</v>
      </c>
      <c r="BL1024" s="816" t="s">
        <v>198</v>
      </c>
      <c r="BS1024" s="816"/>
      <c r="BT1024" s="816"/>
      <c r="BU1024" s="816"/>
    </row>
    <row r="1025" spans="1:73" x14ac:dyDescent="0.35">
      <c r="A1025" s="806" t="s">
        <v>872</v>
      </c>
      <c r="B1025" s="806" t="s">
        <v>1693</v>
      </c>
      <c r="C1025" s="806"/>
      <c r="D1025" s="806"/>
      <c r="E1025" s="806"/>
      <c r="F1025" s="806"/>
      <c r="I1025" s="816"/>
      <c r="K1025" s="816"/>
      <c r="M1025" s="816"/>
      <c r="Q1025" s="816"/>
      <c r="S1025" s="816"/>
      <c r="U1025" s="816"/>
      <c r="V1025" s="816"/>
      <c r="W1025" s="816"/>
      <c r="AD1025" s="816"/>
      <c r="AG1025" s="816"/>
      <c r="AJ1025" s="816"/>
      <c r="AL1025" s="816"/>
      <c r="AR1025" s="816"/>
      <c r="AT1025" s="816"/>
      <c r="AU1025" s="816"/>
      <c r="AV1025" s="816"/>
      <c r="AX1025" s="816"/>
      <c r="AY1025" s="816"/>
      <c r="AZ1025" s="816"/>
      <c r="BC1025" s="816"/>
      <c r="BD1025" s="816"/>
      <c r="BE1025" s="816"/>
      <c r="BG1025" s="816"/>
      <c r="BH1025" s="816"/>
      <c r="BI1025" s="816" t="s">
        <v>70</v>
      </c>
      <c r="BS1025" s="816"/>
      <c r="BT1025" s="816"/>
      <c r="BU1025" s="816"/>
    </row>
    <row r="1026" spans="1:73" ht="29" x14ac:dyDescent="0.35">
      <c r="A1026" s="806" t="s">
        <v>872</v>
      </c>
      <c r="B1026" s="806" t="s">
        <v>1688</v>
      </c>
      <c r="C1026" s="806"/>
      <c r="D1026" s="806"/>
      <c r="E1026" s="806"/>
      <c r="F1026" s="806"/>
      <c r="I1026" s="816"/>
      <c r="K1026" s="816"/>
      <c r="M1026" s="816"/>
      <c r="Q1026" s="816"/>
      <c r="S1026" s="816"/>
      <c r="U1026" s="816"/>
      <c r="V1026" s="816"/>
      <c r="W1026" s="816"/>
      <c r="AD1026" s="816"/>
      <c r="AG1026" s="816"/>
      <c r="AJ1026" s="816"/>
      <c r="AL1026" s="816"/>
      <c r="AR1026" s="816"/>
      <c r="AT1026" s="816"/>
      <c r="AU1026" s="816"/>
      <c r="AV1026" s="816"/>
      <c r="AX1026" s="816"/>
      <c r="AY1026" s="816"/>
      <c r="AZ1026" s="816"/>
      <c r="BC1026" s="816"/>
      <c r="BD1026" s="816"/>
      <c r="BE1026" s="816"/>
      <c r="BG1026" s="816"/>
      <c r="BH1026" s="816"/>
      <c r="BI1026" s="816" t="s">
        <v>198</v>
      </c>
      <c r="BL1026" s="816" t="s">
        <v>198</v>
      </c>
      <c r="BS1026" s="816"/>
      <c r="BT1026" s="816"/>
      <c r="BU1026" s="816"/>
    </row>
    <row r="1027" spans="1:73" ht="29" x14ac:dyDescent="0.35">
      <c r="A1027" s="806" t="s">
        <v>872</v>
      </c>
      <c r="B1027" s="806" t="s">
        <v>1691</v>
      </c>
      <c r="C1027" s="806"/>
      <c r="D1027" s="806"/>
      <c r="E1027" s="806"/>
      <c r="F1027" s="806"/>
      <c r="I1027" s="816"/>
      <c r="K1027" s="816"/>
      <c r="M1027" s="816"/>
      <c r="Q1027" s="816"/>
      <c r="S1027" s="816"/>
      <c r="U1027" s="816"/>
      <c r="V1027" s="816"/>
      <c r="W1027" s="816"/>
      <c r="AD1027" s="816"/>
      <c r="AG1027" s="816"/>
      <c r="AJ1027" s="816"/>
      <c r="AL1027" s="816"/>
      <c r="AR1027" s="816"/>
      <c r="AT1027" s="816"/>
      <c r="AU1027" s="816"/>
      <c r="AV1027" s="816"/>
      <c r="AX1027" s="816"/>
      <c r="AY1027" s="816"/>
      <c r="AZ1027" s="816"/>
      <c r="BC1027" s="816"/>
      <c r="BD1027" s="816"/>
      <c r="BE1027" s="816"/>
      <c r="BG1027" s="816"/>
      <c r="BH1027" s="816"/>
      <c r="BI1027" s="816" t="s">
        <v>198</v>
      </c>
      <c r="BL1027" s="816" t="s">
        <v>198</v>
      </c>
      <c r="BS1027" s="816"/>
      <c r="BT1027" s="816"/>
      <c r="BU1027" s="816"/>
    </row>
    <row r="1028" spans="1:73" x14ac:dyDescent="0.35">
      <c r="A1028" s="806" t="s">
        <v>882</v>
      </c>
      <c r="B1028" s="806" t="s">
        <v>885</v>
      </c>
      <c r="C1028" s="806"/>
      <c r="D1028" s="806"/>
      <c r="E1028" s="806"/>
      <c r="F1028" s="806"/>
      <c r="G1028" s="816" t="s">
        <v>1958</v>
      </c>
      <c r="I1028" s="816"/>
      <c r="J1028" s="816"/>
      <c r="K1028" s="816"/>
      <c r="M1028" s="816"/>
      <c r="N1028" s="816"/>
      <c r="O1028" s="816"/>
      <c r="P1028" s="816"/>
      <c r="Q1028" s="816"/>
      <c r="R1028" s="816"/>
      <c r="S1028" s="816"/>
      <c r="T1028" s="816"/>
      <c r="U1028" s="816"/>
      <c r="V1028" s="816"/>
      <c r="W1028" s="816"/>
      <c r="X1028" s="816"/>
      <c r="Y1028" s="816"/>
      <c r="Z1028" s="816"/>
      <c r="AA1028" s="816" t="s">
        <v>1958</v>
      </c>
      <c r="AC1028" s="816"/>
      <c r="AD1028" s="816"/>
      <c r="AE1028" s="816"/>
      <c r="AF1028" s="816"/>
      <c r="AG1028" s="816"/>
      <c r="AH1028" s="816"/>
      <c r="AI1028" s="816"/>
      <c r="AJ1028" s="816"/>
      <c r="AL1028" s="816"/>
      <c r="AM1028" s="816"/>
      <c r="AN1028" s="816"/>
      <c r="AO1028" s="816"/>
      <c r="AP1028" s="816"/>
      <c r="AQ1028" s="816"/>
      <c r="AR1028" s="816"/>
      <c r="AS1028" s="816"/>
      <c r="AT1028" s="816"/>
      <c r="AU1028" s="816"/>
      <c r="AV1028" s="816"/>
      <c r="AW1028" s="816"/>
      <c r="AX1028" s="816"/>
      <c r="AY1028" s="816"/>
      <c r="AZ1028" s="816"/>
      <c r="BA1028" s="816"/>
      <c r="BC1028" s="816"/>
      <c r="BD1028" s="816"/>
      <c r="BE1028" s="816"/>
      <c r="BF1028" s="816"/>
      <c r="BG1028" s="816"/>
      <c r="BH1028" s="816"/>
      <c r="BI1028" s="816" t="s">
        <v>1958</v>
      </c>
      <c r="BJ1028" s="816"/>
      <c r="BK1028" s="816" t="s">
        <v>1958</v>
      </c>
      <c r="BL1028" s="816" t="s">
        <v>1958</v>
      </c>
      <c r="BM1028" s="816"/>
      <c r="BN1028" s="816"/>
      <c r="BO1028" s="816"/>
      <c r="BQ1028" s="816"/>
      <c r="BR1028" s="816"/>
      <c r="BS1028" s="816"/>
      <c r="BT1028" s="816"/>
      <c r="BU1028" s="816"/>
    </row>
    <row r="1029" spans="1:73" ht="29" x14ac:dyDescent="0.35">
      <c r="A1029" s="806" t="s">
        <v>872</v>
      </c>
      <c r="B1029" s="806" t="s">
        <v>1687</v>
      </c>
      <c r="C1029" s="806"/>
      <c r="D1029" s="806"/>
      <c r="E1029" s="806"/>
      <c r="F1029" s="806"/>
      <c r="I1029" s="816"/>
      <c r="K1029" s="816"/>
      <c r="M1029" s="816"/>
      <c r="Q1029" s="816"/>
      <c r="S1029" s="816"/>
      <c r="U1029" s="816"/>
      <c r="V1029" s="816"/>
      <c r="W1029" s="816"/>
      <c r="AD1029" s="816"/>
      <c r="AG1029" s="816"/>
      <c r="AJ1029" s="816"/>
      <c r="AL1029" s="816"/>
      <c r="AR1029" s="816"/>
      <c r="AT1029" s="816"/>
      <c r="AU1029" s="816"/>
      <c r="AV1029" s="816"/>
      <c r="AX1029" s="816"/>
      <c r="AY1029" s="816"/>
      <c r="AZ1029" s="816"/>
      <c r="BC1029" s="816"/>
      <c r="BD1029" s="816"/>
      <c r="BE1029" s="816"/>
      <c r="BG1029" s="816"/>
      <c r="BH1029" s="816"/>
      <c r="BI1029" s="816" t="s">
        <v>198</v>
      </c>
      <c r="BL1029" s="816" t="s">
        <v>198</v>
      </c>
      <c r="BS1029" s="816"/>
      <c r="BT1029" s="816"/>
      <c r="BU1029" s="816"/>
    </row>
    <row r="1030" spans="1:73" ht="29" x14ac:dyDescent="0.35">
      <c r="A1030" s="806" t="s">
        <v>872</v>
      </c>
      <c r="B1030" s="806" t="s">
        <v>1333</v>
      </c>
      <c r="C1030" s="806"/>
      <c r="D1030" s="806"/>
      <c r="E1030" s="806"/>
      <c r="F1030" s="806"/>
      <c r="I1030" s="816"/>
      <c r="J1030" s="816"/>
      <c r="K1030" s="816"/>
      <c r="M1030" s="816"/>
      <c r="N1030" s="816"/>
      <c r="O1030" s="816"/>
      <c r="P1030" s="816"/>
      <c r="Q1030" s="816"/>
      <c r="R1030" s="816"/>
      <c r="S1030" s="816"/>
      <c r="T1030" s="816"/>
      <c r="U1030" s="816"/>
      <c r="V1030" s="816"/>
      <c r="W1030" s="816"/>
      <c r="X1030" s="816"/>
      <c r="Y1030" s="816"/>
      <c r="Z1030" s="816"/>
      <c r="AC1030" s="816"/>
      <c r="AD1030" s="816"/>
      <c r="AE1030" s="816"/>
      <c r="AF1030" s="816"/>
      <c r="AG1030" s="816"/>
      <c r="AI1030" s="816"/>
      <c r="AJ1030" s="816"/>
      <c r="AL1030" s="816"/>
      <c r="AM1030" s="816"/>
      <c r="AN1030" s="816"/>
      <c r="AO1030" s="816"/>
      <c r="AP1030" s="816"/>
      <c r="AQ1030" s="816"/>
      <c r="AR1030" s="816"/>
      <c r="AS1030" s="816"/>
      <c r="AT1030" s="816"/>
      <c r="AU1030" s="816"/>
      <c r="AV1030" s="816"/>
      <c r="AW1030" s="816"/>
      <c r="AX1030" s="816"/>
      <c r="AY1030" s="816"/>
      <c r="AZ1030" s="816"/>
      <c r="BA1030" s="816"/>
      <c r="BC1030" s="816"/>
      <c r="BD1030" s="816"/>
      <c r="BE1030" s="816"/>
      <c r="BF1030" s="816"/>
      <c r="BG1030" s="816"/>
      <c r="BH1030" s="816"/>
      <c r="BI1030" s="816" t="b">
        <v>1</v>
      </c>
      <c r="BJ1030" s="816"/>
      <c r="BL1030" s="816" t="b">
        <v>1</v>
      </c>
      <c r="BM1030" s="816"/>
      <c r="BN1030" s="816"/>
      <c r="BO1030" s="816"/>
      <c r="BQ1030" s="816"/>
      <c r="BR1030" s="816"/>
      <c r="BS1030" s="816"/>
      <c r="BT1030" s="816"/>
      <c r="BU1030" s="816"/>
    </row>
    <row r="1031" spans="1:73" x14ac:dyDescent="0.35">
      <c r="A1031" s="806" t="s">
        <v>872</v>
      </c>
      <c r="B1031" s="806" t="s">
        <v>1694</v>
      </c>
      <c r="C1031" s="806"/>
      <c r="D1031" s="806"/>
      <c r="E1031" s="806"/>
      <c r="F1031" s="806"/>
      <c r="I1031" s="816"/>
      <c r="K1031" s="816"/>
      <c r="M1031" s="816"/>
      <c r="Q1031" s="816"/>
      <c r="S1031" s="816"/>
      <c r="U1031" s="816"/>
      <c r="V1031" s="816"/>
      <c r="W1031" s="816"/>
      <c r="AD1031" s="816"/>
      <c r="AG1031" s="816"/>
      <c r="AJ1031" s="816"/>
      <c r="AL1031" s="816"/>
      <c r="AR1031" s="816"/>
      <c r="AT1031" s="816"/>
      <c r="AU1031" s="816"/>
      <c r="AV1031" s="816"/>
      <c r="AX1031" s="816"/>
      <c r="AY1031" s="816"/>
      <c r="AZ1031" s="816"/>
      <c r="BC1031" s="816"/>
      <c r="BD1031" s="816"/>
      <c r="BE1031" s="816"/>
      <c r="BG1031" s="816"/>
      <c r="BH1031" s="816"/>
      <c r="BI1031" s="816" t="s">
        <v>70</v>
      </c>
      <c r="BS1031" s="816"/>
      <c r="BT1031" s="816"/>
      <c r="BU1031" s="816"/>
    </row>
    <row r="1032" spans="1:73" ht="29" x14ac:dyDescent="0.35">
      <c r="A1032" s="806" t="s">
        <v>872</v>
      </c>
      <c r="B1032" s="806" t="s">
        <v>1689</v>
      </c>
      <c r="C1032" s="806"/>
      <c r="D1032" s="806"/>
      <c r="E1032" s="806"/>
      <c r="F1032" s="806"/>
      <c r="I1032" s="816"/>
      <c r="K1032" s="816"/>
      <c r="M1032" s="816"/>
      <c r="Q1032" s="816"/>
      <c r="S1032" s="816"/>
      <c r="U1032" s="816"/>
      <c r="V1032" s="816"/>
      <c r="W1032" s="816"/>
      <c r="AD1032" s="816"/>
      <c r="AG1032" s="816"/>
      <c r="AJ1032" s="816"/>
      <c r="AL1032" s="816"/>
      <c r="AR1032" s="816"/>
      <c r="AT1032" s="816"/>
      <c r="AU1032" s="816"/>
      <c r="AV1032" s="816"/>
      <c r="AX1032" s="816"/>
      <c r="AY1032" s="816"/>
      <c r="AZ1032" s="816"/>
      <c r="BC1032" s="816"/>
      <c r="BD1032" s="816"/>
      <c r="BE1032" s="816"/>
      <c r="BG1032" s="816"/>
      <c r="BH1032" s="816"/>
      <c r="BI1032" s="816" t="s">
        <v>198</v>
      </c>
      <c r="BL1032" s="816" t="s">
        <v>198</v>
      </c>
      <c r="BS1032" s="816"/>
      <c r="BT1032" s="816"/>
      <c r="BU1032" s="816"/>
    </row>
    <row r="1033" spans="1:73" x14ac:dyDescent="0.35">
      <c r="A1033" s="806" t="s">
        <v>872</v>
      </c>
      <c r="B1033" s="806" t="s">
        <v>1690</v>
      </c>
      <c r="C1033" s="806"/>
      <c r="D1033" s="806"/>
      <c r="E1033" s="806"/>
      <c r="F1033" s="806"/>
      <c r="I1033" s="816"/>
      <c r="K1033" s="816"/>
      <c r="M1033" s="816"/>
      <c r="Q1033" s="816"/>
      <c r="S1033" s="816"/>
      <c r="U1033" s="816"/>
      <c r="V1033" s="816"/>
      <c r="W1033" s="816"/>
      <c r="AD1033" s="816"/>
      <c r="AG1033" s="816"/>
      <c r="AJ1033" s="816"/>
      <c r="AL1033" s="816"/>
      <c r="AR1033" s="816"/>
      <c r="AT1033" s="816"/>
      <c r="AU1033" s="816"/>
      <c r="AV1033" s="816"/>
      <c r="AX1033" s="816"/>
      <c r="AY1033" s="816"/>
      <c r="AZ1033" s="816"/>
      <c r="BC1033" s="816"/>
      <c r="BD1033" s="816"/>
      <c r="BE1033" s="816"/>
      <c r="BG1033" s="816"/>
      <c r="BH1033" s="816"/>
      <c r="BI1033" s="816" t="s">
        <v>198</v>
      </c>
      <c r="BL1033" s="816" t="s">
        <v>198</v>
      </c>
      <c r="BS1033" s="816"/>
      <c r="BT1033" s="816"/>
      <c r="BU1033" s="816"/>
    </row>
    <row r="1034" spans="1:73" x14ac:dyDescent="0.35">
      <c r="A1034" s="806" t="s">
        <v>872</v>
      </c>
      <c r="B1034" s="806" t="s">
        <v>1683</v>
      </c>
      <c r="C1034" s="806"/>
      <c r="D1034" s="806"/>
      <c r="E1034" s="806"/>
      <c r="F1034" s="806"/>
      <c r="I1034" s="816"/>
      <c r="K1034" s="816"/>
      <c r="M1034" s="816"/>
      <c r="Q1034" s="816"/>
      <c r="S1034" s="816"/>
      <c r="U1034" s="816"/>
      <c r="V1034" s="816"/>
      <c r="W1034" s="816"/>
      <c r="AD1034" s="816"/>
      <c r="AG1034" s="816"/>
      <c r="AJ1034" s="816"/>
      <c r="AL1034" s="816"/>
      <c r="AR1034" s="816"/>
      <c r="AT1034" s="816"/>
      <c r="AU1034" s="816"/>
      <c r="AV1034" s="816"/>
      <c r="AX1034" s="816"/>
      <c r="AY1034" s="816"/>
      <c r="AZ1034" s="816"/>
      <c r="BC1034" s="816"/>
      <c r="BD1034" s="816"/>
      <c r="BE1034" s="816"/>
      <c r="BG1034" s="816"/>
      <c r="BH1034" s="816"/>
      <c r="BI1034" s="816"/>
      <c r="BL1034" s="816" t="s">
        <v>4193</v>
      </c>
      <c r="BS1034" s="816"/>
      <c r="BT1034" s="816"/>
      <c r="BU1034" s="816"/>
    </row>
    <row r="1035" spans="1:73" x14ac:dyDescent="0.35">
      <c r="A1035" s="806" t="s">
        <v>872</v>
      </c>
      <c r="B1035" s="806" t="s">
        <v>1686</v>
      </c>
      <c r="C1035" s="806"/>
      <c r="D1035" s="806"/>
      <c r="E1035" s="806"/>
      <c r="F1035" s="806"/>
      <c r="I1035" s="811"/>
      <c r="K1035" s="811"/>
      <c r="M1035" s="811"/>
      <c r="Q1035" s="811"/>
      <c r="S1035" s="811"/>
      <c r="U1035" s="811"/>
      <c r="V1035" s="811"/>
      <c r="W1035" s="811"/>
      <c r="AD1035" s="811"/>
      <c r="AG1035" s="811"/>
      <c r="AJ1035" s="811"/>
      <c r="AL1035" s="811"/>
      <c r="AR1035" s="811"/>
      <c r="AT1035" s="811"/>
      <c r="AU1035" s="811"/>
      <c r="AV1035" s="811"/>
      <c r="AX1035" s="811"/>
      <c r="AY1035" s="811"/>
      <c r="AZ1035" s="811"/>
      <c r="BC1035" s="811"/>
      <c r="BD1035" s="811"/>
      <c r="BE1035" s="811"/>
      <c r="BG1035" s="811"/>
      <c r="BH1035" s="811"/>
      <c r="BI1035" s="811">
        <v>44981</v>
      </c>
      <c r="BL1035" s="811">
        <v>44926</v>
      </c>
      <c r="BS1035" s="811"/>
      <c r="BT1035" s="811"/>
      <c r="BU1035" s="811"/>
    </row>
    <row r="1036" spans="1:73" ht="29" x14ac:dyDescent="0.35">
      <c r="A1036" s="806" t="s">
        <v>872</v>
      </c>
      <c r="B1036" s="806" t="s">
        <v>1685</v>
      </c>
      <c r="C1036" s="806"/>
      <c r="D1036" s="806"/>
      <c r="E1036" s="806"/>
      <c r="F1036" s="806"/>
      <c r="I1036" s="811"/>
      <c r="K1036" s="811"/>
      <c r="M1036" s="811"/>
      <c r="Q1036" s="811"/>
      <c r="S1036" s="811"/>
      <c r="U1036" s="811"/>
      <c r="V1036" s="811"/>
      <c r="W1036" s="811"/>
      <c r="AD1036" s="811"/>
      <c r="AG1036" s="811"/>
      <c r="AJ1036" s="811"/>
      <c r="AL1036" s="811"/>
      <c r="AR1036" s="811"/>
      <c r="AT1036" s="811"/>
      <c r="AU1036" s="811"/>
      <c r="AV1036" s="811"/>
      <c r="AX1036" s="811"/>
      <c r="AY1036" s="811"/>
      <c r="AZ1036" s="811"/>
      <c r="BC1036" s="811"/>
      <c r="BD1036" s="811"/>
      <c r="BE1036" s="811"/>
      <c r="BG1036" s="811"/>
      <c r="BH1036" s="811"/>
      <c r="BI1036" s="811">
        <v>43471</v>
      </c>
      <c r="BL1036" s="811">
        <v>43832</v>
      </c>
      <c r="BS1036" s="811"/>
      <c r="BT1036" s="811"/>
      <c r="BU1036" s="811"/>
    </row>
    <row r="1037" spans="1:73" ht="29" x14ac:dyDescent="0.35">
      <c r="A1037" s="806" t="s">
        <v>872</v>
      </c>
      <c r="B1037" s="806" t="s">
        <v>1684</v>
      </c>
      <c r="C1037" s="806"/>
      <c r="D1037" s="806"/>
      <c r="E1037" s="806"/>
      <c r="F1037" s="806"/>
      <c r="I1037" s="817"/>
      <c r="K1037" s="817"/>
      <c r="M1037" s="817"/>
      <c r="Q1037" s="817"/>
      <c r="S1037" s="817"/>
      <c r="U1037" s="817"/>
      <c r="V1037" s="817"/>
      <c r="W1037" s="817"/>
      <c r="AD1037" s="817"/>
      <c r="AG1037" s="817"/>
      <c r="AJ1037" s="817"/>
      <c r="AL1037" s="817"/>
      <c r="AR1037" s="817"/>
      <c r="AT1037" s="817"/>
      <c r="AU1037" s="817"/>
      <c r="AV1037" s="817"/>
      <c r="AX1037" s="817"/>
      <c r="AY1037" s="817"/>
      <c r="AZ1037" s="817"/>
      <c r="BC1037" s="817"/>
      <c r="BD1037" s="817"/>
      <c r="BE1037" s="817"/>
      <c r="BG1037" s="817"/>
      <c r="BH1037" s="817"/>
      <c r="BI1037" s="817">
        <v>40</v>
      </c>
      <c r="BL1037" s="817">
        <v>6</v>
      </c>
      <c r="BS1037" s="817"/>
      <c r="BT1037" s="817"/>
      <c r="BU1037" s="817"/>
    </row>
    <row r="1038" spans="1:73" x14ac:dyDescent="0.35">
      <c r="A1038" s="806" t="s">
        <v>872</v>
      </c>
      <c r="B1038" s="806" t="s">
        <v>1692</v>
      </c>
      <c r="C1038" s="806"/>
      <c r="D1038" s="806"/>
      <c r="E1038" s="806"/>
      <c r="F1038" s="806"/>
      <c r="I1038" s="816"/>
      <c r="K1038" s="816"/>
      <c r="M1038" s="816"/>
      <c r="Q1038" s="816"/>
      <c r="S1038" s="816"/>
      <c r="U1038" s="816"/>
      <c r="V1038" s="816"/>
      <c r="W1038" s="816"/>
      <c r="AD1038" s="816"/>
      <c r="AG1038" s="816"/>
      <c r="AJ1038" s="816"/>
      <c r="AL1038" s="816"/>
      <c r="AR1038" s="816"/>
      <c r="AT1038" s="816"/>
      <c r="AU1038" s="816"/>
      <c r="AV1038" s="816"/>
      <c r="AX1038" s="816"/>
      <c r="AY1038" s="816"/>
      <c r="AZ1038" s="816"/>
      <c r="BC1038" s="816"/>
      <c r="BD1038" s="816"/>
      <c r="BE1038" s="816"/>
      <c r="BG1038" s="816"/>
      <c r="BH1038" s="816"/>
      <c r="BI1038" s="816" t="s">
        <v>70</v>
      </c>
      <c r="BS1038" s="816"/>
      <c r="BT1038" s="816"/>
      <c r="BU1038" s="816"/>
    </row>
    <row r="1039" spans="1:73" x14ac:dyDescent="0.35">
      <c r="A1039" s="806" t="s">
        <v>872</v>
      </c>
      <c r="B1039" s="806" t="s">
        <v>874</v>
      </c>
      <c r="C1039" s="806"/>
      <c r="D1039" s="806"/>
      <c r="E1039" s="806"/>
      <c r="F1039" s="806"/>
      <c r="G1039" s="817"/>
      <c r="I1039" s="816"/>
      <c r="J1039" s="816"/>
      <c r="K1039" s="816"/>
      <c r="M1039" s="816"/>
      <c r="N1039" s="816"/>
      <c r="O1039" s="816"/>
      <c r="P1039" s="816"/>
      <c r="Q1039" s="816"/>
      <c r="R1039" s="816"/>
      <c r="S1039" s="816"/>
      <c r="T1039" s="816"/>
      <c r="U1039" s="816"/>
      <c r="V1039" s="816"/>
      <c r="W1039" s="816"/>
      <c r="X1039" s="816"/>
      <c r="Y1039" s="816"/>
      <c r="Z1039" s="816"/>
      <c r="AA1039" s="817"/>
      <c r="AC1039" s="816"/>
      <c r="AD1039" s="816"/>
      <c r="AE1039" s="816"/>
      <c r="AF1039" s="816"/>
      <c r="AG1039" s="816"/>
      <c r="AH1039" s="816"/>
      <c r="AI1039" s="816"/>
      <c r="AJ1039" s="816"/>
      <c r="AL1039" s="816"/>
      <c r="AM1039" s="816"/>
      <c r="AN1039" s="816"/>
      <c r="AO1039" s="816"/>
      <c r="AP1039" s="816"/>
      <c r="AQ1039" s="816"/>
      <c r="AR1039" s="816"/>
      <c r="AS1039" s="816"/>
      <c r="AT1039" s="816"/>
      <c r="AU1039" s="816"/>
      <c r="AV1039" s="816"/>
      <c r="AW1039" s="816"/>
      <c r="AX1039" s="816"/>
      <c r="AY1039" s="816"/>
      <c r="AZ1039" s="816"/>
      <c r="BA1039" s="816"/>
      <c r="BC1039" s="816"/>
      <c r="BD1039" s="816"/>
      <c r="BE1039" s="816"/>
      <c r="BF1039" s="816"/>
      <c r="BG1039" s="816"/>
      <c r="BH1039" s="816"/>
      <c r="BI1039" s="816" t="s">
        <v>1959</v>
      </c>
      <c r="BJ1039" s="816"/>
      <c r="BK1039" s="818"/>
      <c r="BL1039" s="816" t="s">
        <v>1959</v>
      </c>
      <c r="BM1039" s="816"/>
      <c r="BN1039" s="816"/>
      <c r="BO1039" s="816"/>
      <c r="BQ1039" s="816"/>
      <c r="BR1039" s="816"/>
      <c r="BS1039" s="816"/>
      <c r="BT1039" s="816"/>
      <c r="BU1039" s="816"/>
    </row>
    <row r="1040" spans="1:73" ht="29" x14ac:dyDescent="0.35">
      <c r="A1040" s="806" t="s">
        <v>872</v>
      </c>
      <c r="B1040" s="806" t="s">
        <v>877</v>
      </c>
      <c r="C1040" s="806"/>
      <c r="D1040" s="806"/>
      <c r="E1040" s="806"/>
      <c r="F1040" s="806"/>
      <c r="G1040" s="817"/>
      <c r="I1040" s="816"/>
      <c r="J1040" s="816"/>
      <c r="K1040" s="816"/>
      <c r="M1040" s="816"/>
      <c r="N1040" s="816"/>
      <c r="O1040" s="816"/>
      <c r="P1040" s="816"/>
      <c r="Q1040" s="816"/>
      <c r="R1040" s="816"/>
      <c r="S1040" s="816"/>
      <c r="T1040" s="816"/>
      <c r="U1040" s="816"/>
      <c r="V1040" s="816"/>
      <c r="W1040" s="816"/>
      <c r="X1040" s="816"/>
      <c r="Y1040" s="816"/>
      <c r="Z1040" s="816"/>
      <c r="AA1040" s="817"/>
      <c r="AC1040" s="816"/>
      <c r="AD1040" s="816"/>
      <c r="AE1040" s="816"/>
      <c r="AF1040" s="816"/>
      <c r="AG1040" s="816"/>
      <c r="AH1040" s="816"/>
      <c r="AI1040" s="816"/>
      <c r="AJ1040" s="816"/>
      <c r="AL1040" s="816"/>
      <c r="AM1040" s="816"/>
      <c r="AN1040" s="816"/>
      <c r="AO1040" s="816"/>
      <c r="AP1040" s="816"/>
      <c r="AQ1040" s="816"/>
      <c r="AR1040" s="816"/>
      <c r="AS1040" s="816"/>
      <c r="AT1040" s="816"/>
      <c r="AU1040" s="816"/>
      <c r="AV1040" s="816"/>
      <c r="AW1040" s="816"/>
      <c r="AX1040" s="816"/>
      <c r="AY1040" s="816"/>
      <c r="AZ1040" s="816"/>
      <c r="BA1040" s="816"/>
      <c r="BC1040" s="816"/>
      <c r="BD1040" s="816"/>
      <c r="BE1040" s="816"/>
      <c r="BF1040" s="816"/>
      <c r="BG1040" s="816"/>
      <c r="BH1040" s="816"/>
      <c r="BI1040" s="816" t="s">
        <v>1959</v>
      </c>
      <c r="BJ1040" s="816"/>
      <c r="BK1040" s="816"/>
      <c r="BL1040" s="816" t="s">
        <v>1959</v>
      </c>
      <c r="BM1040" s="816"/>
      <c r="BN1040" s="816"/>
      <c r="BO1040" s="816"/>
      <c r="BQ1040" s="816"/>
      <c r="BR1040" s="816"/>
      <c r="BS1040" s="816"/>
      <c r="BT1040" s="816"/>
      <c r="BU1040" s="816"/>
    </row>
    <row r="1041" spans="1:73" ht="29" x14ac:dyDescent="0.35">
      <c r="A1041" s="806" t="s">
        <v>880</v>
      </c>
      <c r="B1041" s="806" t="s">
        <v>1696</v>
      </c>
      <c r="C1041" s="806"/>
      <c r="D1041" s="806"/>
      <c r="E1041" s="806"/>
      <c r="F1041" s="806"/>
      <c r="I1041" s="816"/>
      <c r="K1041" s="816"/>
      <c r="M1041" s="816"/>
      <c r="Q1041" s="816"/>
      <c r="S1041" s="816"/>
      <c r="U1041" s="816"/>
      <c r="V1041" s="816"/>
      <c r="W1041" s="816"/>
      <c r="AD1041" s="816"/>
      <c r="AG1041" s="816"/>
      <c r="AH1041" s="816" t="s">
        <v>198</v>
      </c>
      <c r="AJ1041" s="816"/>
      <c r="AL1041" s="816"/>
      <c r="AR1041" s="816"/>
      <c r="AT1041" s="816"/>
      <c r="AU1041" s="816"/>
      <c r="AV1041" s="816"/>
      <c r="AX1041" s="816"/>
      <c r="AY1041" s="816"/>
      <c r="AZ1041" s="816"/>
      <c r="BC1041" s="816"/>
      <c r="BD1041" s="816"/>
      <c r="BE1041" s="816"/>
      <c r="BG1041" s="816"/>
      <c r="BH1041" s="816"/>
      <c r="BI1041" s="816"/>
      <c r="BK1041" s="816" t="s">
        <v>198</v>
      </c>
      <c r="BS1041" s="816"/>
      <c r="BT1041" s="816"/>
      <c r="BU1041" s="816"/>
    </row>
    <row r="1042" spans="1:73" x14ac:dyDescent="0.35">
      <c r="A1042" s="806" t="s">
        <v>880</v>
      </c>
      <c r="B1042" s="806" t="s">
        <v>3821</v>
      </c>
      <c r="C1042" s="806"/>
      <c r="D1042" s="806"/>
      <c r="E1042" s="806"/>
      <c r="F1042" s="806"/>
      <c r="AH1042" s="816" t="s">
        <v>3160</v>
      </c>
      <c r="BK1042" s="816" t="s">
        <v>4001</v>
      </c>
    </row>
    <row r="1043" spans="1:73" ht="409.5" x14ac:dyDescent="0.35">
      <c r="A1043" s="806" t="s">
        <v>880</v>
      </c>
      <c r="B1043" s="806" t="s">
        <v>1705</v>
      </c>
      <c r="C1043" s="806"/>
      <c r="D1043" s="806"/>
      <c r="E1043" s="806"/>
      <c r="F1043" s="806"/>
      <c r="I1043" s="816"/>
      <c r="K1043" s="816"/>
      <c r="M1043" s="816"/>
      <c r="Q1043" s="816"/>
      <c r="S1043" s="816"/>
      <c r="U1043" s="816"/>
      <c r="V1043" s="816"/>
      <c r="W1043" s="816"/>
      <c r="AD1043" s="816"/>
      <c r="AG1043" s="816"/>
      <c r="AH1043" s="816" t="s">
        <v>3184</v>
      </c>
      <c r="AJ1043" s="816"/>
      <c r="AL1043" s="816"/>
      <c r="AR1043" s="816"/>
      <c r="AT1043" s="816"/>
      <c r="AU1043" s="816"/>
      <c r="AV1043" s="816"/>
      <c r="AX1043" s="816"/>
      <c r="AY1043" s="816"/>
      <c r="AZ1043" s="816"/>
      <c r="BC1043" s="816"/>
      <c r="BD1043" s="816"/>
      <c r="BE1043" s="816"/>
      <c r="BG1043" s="816"/>
      <c r="BH1043" s="816"/>
      <c r="BI1043" s="816"/>
      <c r="BK1043" s="816" t="s">
        <v>3987</v>
      </c>
      <c r="BS1043" s="816"/>
      <c r="BT1043" s="816"/>
      <c r="BU1043" s="816"/>
    </row>
    <row r="1044" spans="1:73" x14ac:dyDescent="0.35">
      <c r="A1044" s="806" t="s">
        <v>880</v>
      </c>
      <c r="B1044" s="806" t="s">
        <v>3835</v>
      </c>
      <c r="C1044" s="806"/>
      <c r="D1044" s="806"/>
      <c r="E1044" s="806"/>
      <c r="F1044" s="806"/>
      <c r="AH1044" s="816" t="s">
        <v>503</v>
      </c>
      <c r="BK1044" s="816" t="s">
        <v>198</v>
      </c>
    </row>
    <row r="1045" spans="1:73" ht="72.5" x14ac:dyDescent="0.35">
      <c r="A1045" s="806" t="s">
        <v>880</v>
      </c>
      <c r="B1045" s="806" t="s">
        <v>4012</v>
      </c>
      <c r="C1045" s="806"/>
      <c r="D1045" s="806"/>
      <c r="E1045" s="806"/>
      <c r="F1045" s="806"/>
      <c r="BK1045" s="816" t="s">
        <v>4004</v>
      </c>
    </row>
    <row r="1046" spans="1:73" x14ac:dyDescent="0.35">
      <c r="A1046" s="806" t="s">
        <v>880</v>
      </c>
      <c r="B1046" s="806" t="s">
        <v>3827</v>
      </c>
      <c r="C1046" s="806"/>
      <c r="D1046" s="806"/>
      <c r="E1046" s="806"/>
      <c r="F1046" s="806"/>
      <c r="AH1046" s="816" t="s">
        <v>503</v>
      </c>
      <c r="BK1046" s="816" t="s">
        <v>503</v>
      </c>
    </row>
    <row r="1047" spans="1:73" x14ac:dyDescent="0.35">
      <c r="A1047" s="806" t="s">
        <v>880</v>
      </c>
      <c r="B1047" s="806" t="s">
        <v>881</v>
      </c>
      <c r="C1047" s="806"/>
      <c r="D1047" s="806"/>
      <c r="E1047" s="806"/>
      <c r="F1047" s="806"/>
      <c r="G1047" s="816"/>
      <c r="I1047" s="816"/>
      <c r="J1047" s="816"/>
      <c r="K1047" s="816"/>
      <c r="M1047" s="816"/>
      <c r="N1047" s="816"/>
      <c r="O1047" s="816"/>
      <c r="P1047" s="816"/>
      <c r="Q1047" s="816"/>
      <c r="R1047" s="816"/>
      <c r="S1047" s="816"/>
      <c r="T1047" s="816"/>
      <c r="U1047" s="816"/>
      <c r="V1047" s="816"/>
      <c r="W1047" s="816"/>
      <c r="X1047" s="816"/>
      <c r="Y1047" s="816"/>
      <c r="Z1047" s="816"/>
      <c r="AA1047" s="816"/>
      <c r="AC1047" s="816"/>
      <c r="AD1047" s="816"/>
      <c r="AE1047" s="816"/>
      <c r="AF1047" s="816"/>
      <c r="AG1047" s="816"/>
      <c r="AH1047" s="816" t="s">
        <v>1972</v>
      </c>
      <c r="AI1047" s="816"/>
      <c r="AJ1047" s="816"/>
      <c r="AL1047" s="816"/>
      <c r="AM1047" s="816" t="s">
        <v>1959</v>
      </c>
      <c r="AN1047" s="816"/>
      <c r="AO1047" s="816"/>
      <c r="AP1047" s="816"/>
      <c r="AQ1047" s="816"/>
      <c r="AR1047" s="816"/>
      <c r="AS1047" s="816"/>
      <c r="AT1047" s="816"/>
      <c r="AU1047" s="816"/>
      <c r="AV1047" s="816"/>
      <c r="AW1047" s="816"/>
      <c r="AX1047" s="816"/>
      <c r="AY1047" s="816"/>
      <c r="AZ1047" s="816"/>
      <c r="BA1047" s="816"/>
      <c r="BC1047" s="816"/>
      <c r="BD1047" s="816"/>
      <c r="BE1047" s="816"/>
      <c r="BF1047" s="816"/>
      <c r="BG1047" s="816"/>
      <c r="BH1047" s="816"/>
      <c r="BI1047" s="816"/>
      <c r="BJ1047" s="816"/>
      <c r="BK1047" s="816" t="s">
        <v>2475</v>
      </c>
      <c r="BL1047" s="817"/>
      <c r="BM1047" s="816"/>
      <c r="BN1047" s="816"/>
      <c r="BO1047" s="816"/>
      <c r="BQ1047" s="816"/>
      <c r="BR1047" s="816"/>
      <c r="BS1047" s="816"/>
      <c r="BT1047" s="816"/>
      <c r="BU1047" s="816"/>
    </row>
    <row r="1048" spans="1:73" x14ac:dyDescent="0.35">
      <c r="A1048" s="806" t="s">
        <v>880</v>
      </c>
      <c r="B1048" s="806" t="s">
        <v>3830</v>
      </c>
      <c r="C1048" s="806"/>
      <c r="D1048" s="806"/>
      <c r="E1048" s="806"/>
      <c r="F1048" s="806"/>
      <c r="AH1048" s="818">
        <v>500000</v>
      </c>
      <c r="BK1048" s="818">
        <v>2900000</v>
      </c>
    </row>
    <row r="1049" spans="1:73" x14ac:dyDescent="0.35">
      <c r="A1049" s="806" t="s">
        <v>880</v>
      </c>
      <c r="B1049" s="806" t="s">
        <v>3818</v>
      </c>
      <c r="C1049" s="806"/>
      <c r="D1049" s="806"/>
      <c r="E1049" s="806"/>
      <c r="F1049" s="806"/>
      <c r="AH1049" s="818">
        <v>3250000</v>
      </c>
      <c r="BK1049" s="818">
        <v>3680000</v>
      </c>
    </row>
    <row r="1050" spans="1:73" x14ac:dyDescent="0.35">
      <c r="A1050" s="806" t="s">
        <v>880</v>
      </c>
      <c r="B1050" s="806" t="s">
        <v>1235</v>
      </c>
      <c r="C1050" s="806"/>
      <c r="D1050" s="806"/>
      <c r="E1050" s="806"/>
      <c r="F1050" s="806"/>
      <c r="I1050" s="817"/>
      <c r="J1050" s="817"/>
      <c r="K1050" s="817"/>
      <c r="M1050" s="817"/>
      <c r="N1050" s="817"/>
      <c r="O1050" s="817"/>
      <c r="P1050" s="817"/>
      <c r="Q1050" s="817"/>
      <c r="R1050" s="817"/>
      <c r="S1050" s="817"/>
      <c r="T1050" s="817"/>
      <c r="U1050" s="817"/>
      <c r="V1050" s="817"/>
      <c r="W1050" s="817"/>
      <c r="X1050" s="817"/>
      <c r="Y1050" s="817"/>
      <c r="Z1050" s="817"/>
      <c r="AC1050" s="817"/>
      <c r="AD1050" s="817"/>
      <c r="AE1050" s="817"/>
      <c r="AF1050" s="817"/>
      <c r="AG1050" s="817"/>
      <c r="AH1050" s="817"/>
      <c r="AI1050" s="817"/>
      <c r="AJ1050" s="817"/>
      <c r="AL1050" s="817"/>
      <c r="AM1050" s="817"/>
      <c r="AN1050" s="817"/>
      <c r="AO1050" s="817"/>
      <c r="AP1050" s="817"/>
      <c r="AQ1050" s="817"/>
      <c r="AR1050" s="817"/>
      <c r="AS1050" s="817"/>
      <c r="AT1050" s="817"/>
      <c r="AU1050" s="817"/>
      <c r="AV1050" s="817"/>
      <c r="AW1050" s="817"/>
      <c r="AX1050" s="817"/>
      <c r="AY1050" s="817"/>
      <c r="AZ1050" s="817"/>
      <c r="BA1050" s="817"/>
      <c r="BC1050" s="817"/>
      <c r="BD1050" s="817"/>
      <c r="BE1050" s="817"/>
      <c r="BF1050" s="817"/>
      <c r="BG1050" s="817"/>
      <c r="BH1050" s="817"/>
      <c r="BI1050" s="817"/>
      <c r="BJ1050" s="817"/>
      <c r="BK1050" s="817">
        <v>40</v>
      </c>
      <c r="BM1050" s="817"/>
      <c r="BN1050" s="817"/>
      <c r="BO1050" s="817"/>
      <c r="BQ1050" s="817"/>
      <c r="BR1050" s="817"/>
      <c r="BS1050" s="817"/>
      <c r="BT1050" s="817"/>
      <c r="BU1050" s="817"/>
    </row>
    <row r="1051" spans="1:73" x14ac:dyDescent="0.35">
      <c r="A1051" s="806" t="s">
        <v>880</v>
      </c>
      <c r="B1051" s="806" t="s">
        <v>3824</v>
      </c>
      <c r="C1051" s="806"/>
      <c r="D1051" s="806"/>
      <c r="E1051" s="806"/>
      <c r="F1051" s="806"/>
      <c r="AH1051" s="816">
        <v>1106.01</v>
      </c>
      <c r="BK1051" s="816">
        <v>20.100000000000001</v>
      </c>
    </row>
    <row r="1052" spans="1:73" x14ac:dyDescent="0.35">
      <c r="A1052" s="806" t="s">
        <v>880</v>
      </c>
      <c r="B1052" s="806" t="s">
        <v>3822</v>
      </c>
      <c r="C1052" s="806"/>
      <c r="D1052" s="806"/>
      <c r="E1052" s="806"/>
      <c r="F1052" s="806"/>
      <c r="AH1052" s="816" t="s">
        <v>3161</v>
      </c>
      <c r="BK1052" s="816" t="s">
        <v>4002</v>
      </c>
    </row>
    <row r="1053" spans="1:73" x14ac:dyDescent="0.35">
      <c r="A1053" s="806" t="s">
        <v>880</v>
      </c>
      <c r="B1053" s="806" t="s">
        <v>3819</v>
      </c>
      <c r="C1053" s="806"/>
      <c r="D1053" s="806"/>
      <c r="E1053" s="806"/>
      <c r="F1053" s="806"/>
      <c r="AH1053" s="818">
        <v>3250</v>
      </c>
      <c r="BK1053" s="818">
        <v>4000</v>
      </c>
    </row>
    <row r="1054" spans="1:73" x14ac:dyDescent="0.35">
      <c r="A1054" s="806" t="s">
        <v>880</v>
      </c>
      <c r="B1054" s="806" t="s">
        <v>1236</v>
      </c>
      <c r="C1054" s="806"/>
      <c r="D1054" s="806"/>
      <c r="E1054" s="806"/>
      <c r="F1054" s="806"/>
      <c r="I1054" s="817"/>
      <c r="J1054" s="817"/>
      <c r="K1054" s="817"/>
      <c r="M1054" s="817"/>
      <c r="N1054" s="817"/>
      <c r="O1054" s="817"/>
      <c r="P1054" s="817"/>
      <c r="Q1054" s="817"/>
      <c r="R1054" s="817"/>
      <c r="S1054" s="817"/>
      <c r="T1054" s="817"/>
      <c r="U1054" s="817"/>
      <c r="V1054" s="817"/>
      <c r="W1054" s="817"/>
      <c r="X1054" s="817"/>
      <c r="Y1054" s="817"/>
      <c r="Z1054" s="817"/>
      <c r="AC1054" s="817"/>
      <c r="AD1054" s="817"/>
      <c r="AE1054" s="817"/>
      <c r="AF1054" s="817"/>
      <c r="AG1054" s="817"/>
      <c r="AH1054" s="817"/>
      <c r="AI1054" s="817"/>
      <c r="AJ1054" s="817"/>
      <c r="AL1054" s="817"/>
      <c r="AM1054" s="817"/>
      <c r="AN1054" s="817"/>
      <c r="AO1054" s="817"/>
      <c r="AP1054" s="817"/>
      <c r="AQ1054" s="817"/>
      <c r="AR1054" s="817"/>
      <c r="AS1054" s="817"/>
      <c r="AT1054" s="817"/>
      <c r="AU1054" s="817"/>
      <c r="AV1054" s="817"/>
      <c r="AW1054" s="817"/>
      <c r="AX1054" s="817"/>
      <c r="AY1054" s="817"/>
      <c r="AZ1054" s="817"/>
      <c r="BA1054" s="817"/>
      <c r="BC1054" s="817"/>
      <c r="BD1054" s="817"/>
      <c r="BE1054" s="817"/>
      <c r="BF1054" s="817"/>
      <c r="BG1054" s="817"/>
      <c r="BH1054" s="817"/>
      <c r="BI1054" s="817"/>
      <c r="BJ1054" s="817"/>
      <c r="BK1054" s="817">
        <v>11</v>
      </c>
      <c r="BM1054" s="817"/>
      <c r="BN1054" s="817"/>
      <c r="BO1054" s="817"/>
      <c r="BQ1054" s="817"/>
      <c r="BR1054" s="817"/>
      <c r="BS1054" s="817"/>
      <c r="BT1054" s="817"/>
      <c r="BU1054" s="817"/>
    </row>
    <row r="1055" spans="1:73" x14ac:dyDescent="0.35">
      <c r="A1055" s="806" t="s">
        <v>882</v>
      </c>
      <c r="B1055" s="806" t="s">
        <v>886</v>
      </c>
      <c r="C1055" s="806"/>
      <c r="D1055" s="806"/>
      <c r="E1055" s="806"/>
      <c r="F1055" s="806"/>
      <c r="G1055" s="816" t="s">
        <v>1958</v>
      </c>
      <c r="I1055" s="816"/>
      <c r="J1055" s="816"/>
      <c r="K1055" s="816"/>
      <c r="M1055" s="816"/>
      <c r="N1055" s="816"/>
      <c r="O1055" s="816"/>
      <c r="P1055" s="816"/>
      <c r="Q1055" s="816"/>
      <c r="R1055" s="816"/>
      <c r="S1055" s="816"/>
      <c r="T1055" s="816"/>
      <c r="U1055" s="816"/>
      <c r="V1055" s="816"/>
      <c r="W1055" s="816"/>
      <c r="X1055" s="816"/>
      <c r="Y1055" s="816"/>
      <c r="Z1055" s="816"/>
      <c r="AA1055" s="816" t="s">
        <v>1958</v>
      </c>
      <c r="AC1055" s="816"/>
      <c r="AD1055" s="816"/>
      <c r="AE1055" s="816"/>
      <c r="AF1055" s="816"/>
      <c r="AG1055" s="816"/>
      <c r="AH1055" s="816" t="s">
        <v>1958</v>
      </c>
      <c r="AI1055" s="816"/>
      <c r="AJ1055" s="816"/>
      <c r="AL1055" s="816"/>
      <c r="AM1055" s="816" t="s">
        <v>900</v>
      </c>
      <c r="AN1055" s="816"/>
      <c r="AO1055" s="816"/>
      <c r="AP1055" s="816"/>
      <c r="AQ1055" s="816"/>
      <c r="AR1055" s="816"/>
      <c r="AS1055" s="816"/>
      <c r="AT1055" s="816"/>
      <c r="AU1055" s="816"/>
      <c r="AV1055" s="816"/>
      <c r="AW1055" s="816"/>
      <c r="AX1055" s="816"/>
      <c r="AY1055" s="816"/>
      <c r="AZ1055" s="816"/>
      <c r="BA1055" s="816"/>
      <c r="BC1055" s="816"/>
      <c r="BD1055" s="816"/>
      <c r="BE1055" s="816"/>
      <c r="BF1055" s="816"/>
      <c r="BG1055" s="816"/>
      <c r="BH1055" s="816"/>
      <c r="BI1055" s="816"/>
      <c r="BJ1055" s="816"/>
      <c r="BK1055" s="816" t="s">
        <v>2476</v>
      </c>
      <c r="BL1055" s="816"/>
      <c r="BM1055" s="816"/>
      <c r="BN1055" s="816"/>
      <c r="BO1055" s="816"/>
      <c r="BQ1055" s="816"/>
      <c r="BR1055" s="816"/>
      <c r="BS1055" s="816"/>
      <c r="BT1055" s="816"/>
      <c r="BU1055" s="816"/>
    </row>
    <row r="1056" spans="1:73" ht="29" x14ac:dyDescent="0.35">
      <c r="A1056" s="806" t="s">
        <v>880</v>
      </c>
      <c r="B1056" s="806" t="s">
        <v>3856</v>
      </c>
      <c r="C1056" s="806"/>
      <c r="D1056" s="806"/>
      <c r="E1056" s="806"/>
      <c r="F1056" s="806"/>
      <c r="AH1056" s="816" t="s">
        <v>2018</v>
      </c>
      <c r="BK1056" s="816" t="s">
        <v>2681</v>
      </c>
    </row>
    <row r="1057" spans="1:63" ht="29" x14ac:dyDescent="0.35">
      <c r="A1057" s="806" t="s">
        <v>880</v>
      </c>
      <c r="B1057" s="806" t="s">
        <v>3863</v>
      </c>
      <c r="C1057" s="806"/>
      <c r="D1057" s="806"/>
      <c r="E1057" s="806"/>
      <c r="F1057" s="806"/>
      <c r="AH1057" s="811">
        <v>44957</v>
      </c>
      <c r="BK1057" s="811">
        <v>44943</v>
      </c>
    </row>
    <row r="1058" spans="1:63" ht="29" x14ac:dyDescent="0.35">
      <c r="A1058" s="806" t="s">
        <v>880</v>
      </c>
      <c r="B1058" s="806" t="s">
        <v>3860</v>
      </c>
      <c r="C1058" s="806"/>
      <c r="D1058" s="806"/>
      <c r="E1058" s="806"/>
      <c r="F1058" s="806"/>
      <c r="AH1058" s="816" t="s">
        <v>3185</v>
      </c>
      <c r="BK1058" s="816" t="s">
        <v>4005</v>
      </c>
    </row>
    <row r="1059" spans="1:63" x14ac:dyDescent="0.35">
      <c r="A1059" s="806" t="s">
        <v>880</v>
      </c>
      <c r="B1059" s="806" t="s">
        <v>4097</v>
      </c>
      <c r="C1059" s="806"/>
      <c r="D1059" s="806"/>
      <c r="E1059" s="806"/>
      <c r="F1059" s="806"/>
      <c r="BK1059" s="816" t="s">
        <v>4098</v>
      </c>
    </row>
    <row r="1060" spans="1:63" ht="29" x14ac:dyDescent="0.35">
      <c r="A1060" s="806" t="s">
        <v>880</v>
      </c>
      <c r="B1060" s="806" t="s">
        <v>4099</v>
      </c>
      <c r="C1060" s="806"/>
      <c r="D1060" s="806"/>
      <c r="E1060" s="806"/>
      <c r="F1060" s="806"/>
      <c r="BK1060" s="818">
        <v>560368</v>
      </c>
    </row>
    <row r="1061" spans="1:63" ht="29" x14ac:dyDescent="0.35">
      <c r="A1061" s="806" t="s">
        <v>880</v>
      </c>
      <c r="B1061" s="806" t="s">
        <v>4100</v>
      </c>
      <c r="C1061" s="806"/>
      <c r="D1061" s="806"/>
      <c r="E1061" s="806"/>
      <c r="F1061" s="806"/>
      <c r="BK1061" s="816" t="s">
        <v>4081</v>
      </c>
    </row>
    <row r="1062" spans="1:63" ht="29" x14ac:dyDescent="0.35">
      <c r="A1062" s="806" t="s">
        <v>880</v>
      </c>
      <c r="B1062" s="806" t="s">
        <v>4102</v>
      </c>
      <c r="C1062" s="806"/>
      <c r="D1062" s="806"/>
      <c r="E1062" s="806"/>
      <c r="F1062" s="806"/>
      <c r="BK1062" s="818">
        <v>3391189</v>
      </c>
    </row>
    <row r="1063" spans="1:63" ht="29" x14ac:dyDescent="0.35">
      <c r="A1063" s="806" t="s">
        <v>880</v>
      </c>
      <c r="B1063" s="806" t="s">
        <v>4171</v>
      </c>
      <c r="C1063" s="806"/>
      <c r="D1063" s="806"/>
      <c r="E1063" s="806"/>
      <c r="F1063" s="806"/>
      <c r="BK1063" s="818">
        <v>293878</v>
      </c>
    </row>
    <row r="1064" spans="1:63" ht="29" x14ac:dyDescent="0.35">
      <c r="A1064" s="806" t="s">
        <v>880</v>
      </c>
      <c r="B1064" s="806" t="s">
        <v>4170</v>
      </c>
      <c r="C1064" s="806"/>
      <c r="D1064" s="806"/>
      <c r="E1064" s="806"/>
      <c r="F1064" s="806"/>
      <c r="BK1064" s="818">
        <v>28405</v>
      </c>
    </row>
    <row r="1065" spans="1:63" x14ac:dyDescent="0.35">
      <c r="A1065" s="806" t="s">
        <v>880</v>
      </c>
      <c r="B1065" s="806" t="s">
        <v>4101</v>
      </c>
      <c r="C1065" s="806"/>
      <c r="D1065" s="806"/>
      <c r="E1065" s="806"/>
      <c r="F1065" s="806"/>
      <c r="BK1065" s="816" t="s">
        <v>4078</v>
      </c>
    </row>
    <row r="1066" spans="1:63" ht="29" x14ac:dyDescent="0.35">
      <c r="A1066" s="806" t="s">
        <v>880</v>
      </c>
      <c r="B1066" s="806" t="s">
        <v>4179</v>
      </c>
      <c r="C1066" s="806"/>
      <c r="D1066" s="806"/>
      <c r="E1066" s="806"/>
      <c r="F1066" s="806"/>
      <c r="BK1066" s="818">
        <v>240000</v>
      </c>
    </row>
    <row r="1067" spans="1:63" ht="29" x14ac:dyDescent="0.35">
      <c r="A1067" s="806" t="s">
        <v>880</v>
      </c>
      <c r="B1067" s="806" t="s">
        <v>4174</v>
      </c>
      <c r="C1067" s="806"/>
      <c r="D1067" s="806"/>
      <c r="E1067" s="806"/>
      <c r="F1067" s="806"/>
      <c r="BK1067" s="818">
        <v>320000</v>
      </c>
    </row>
    <row r="1068" spans="1:63" x14ac:dyDescent="0.35">
      <c r="A1068" s="806" t="s">
        <v>880</v>
      </c>
      <c r="B1068" s="806" t="s">
        <v>4063</v>
      </c>
      <c r="C1068" s="806"/>
      <c r="D1068" s="806"/>
      <c r="E1068" s="806"/>
      <c r="F1068" s="806"/>
      <c r="BK1068" s="818">
        <v>3200934</v>
      </c>
    </row>
    <row r="1069" spans="1:63" x14ac:dyDescent="0.35">
      <c r="A1069" s="806" t="s">
        <v>880</v>
      </c>
      <c r="B1069" s="806" t="s">
        <v>4173</v>
      </c>
      <c r="C1069" s="806"/>
      <c r="D1069" s="806"/>
      <c r="E1069" s="806"/>
      <c r="F1069" s="806"/>
      <c r="BK1069" s="818">
        <v>3391189</v>
      </c>
    </row>
    <row r="1070" spans="1:63" x14ac:dyDescent="0.35">
      <c r="A1070" s="806" t="s">
        <v>880</v>
      </c>
      <c r="B1070" s="806" t="s">
        <v>4169</v>
      </c>
      <c r="C1070" s="806"/>
      <c r="D1070" s="806"/>
      <c r="E1070" s="806"/>
      <c r="F1070" s="806"/>
      <c r="BK1070" s="818">
        <v>293878</v>
      </c>
    </row>
    <row r="1071" spans="1:63" x14ac:dyDescent="0.35">
      <c r="A1071" s="806" t="s">
        <v>880</v>
      </c>
      <c r="B1071" s="806" t="s">
        <v>4172</v>
      </c>
      <c r="C1071" s="806"/>
      <c r="D1071" s="806"/>
      <c r="E1071" s="806"/>
      <c r="F1071" s="806"/>
      <c r="BK1071" s="818">
        <v>268405</v>
      </c>
    </row>
    <row r="1072" spans="1:63" x14ac:dyDescent="0.35">
      <c r="A1072" s="806" t="s">
        <v>880</v>
      </c>
      <c r="B1072" s="806" t="s">
        <v>4168</v>
      </c>
      <c r="C1072" s="806"/>
      <c r="D1072" s="806"/>
      <c r="E1072" s="806"/>
      <c r="F1072" s="806"/>
      <c r="BK1072" s="818">
        <v>320000</v>
      </c>
    </row>
    <row r="1073" spans="1:63" ht="29" x14ac:dyDescent="0.35">
      <c r="A1073" s="806" t="s">
        <v>880</v>
      </c>
      <c r="B1073" s="806" t="s">
        <v>4096</v>
      </c>
      <c r="C1073" s="806"/>
      <c r="D1073" s="806"/>
      <c r="E1073" s="806"/>
      <c r="F1073" s="806"/>
      <c r="BK1073" s="818">
        <v>909388</v>
      </c>
    </row>
    <row r="1074" spans="1:63" ht="29" x14ac:dyDescent="0.35">
      <c r="A1074" s="806" t="s">
        <v>880</v>
      </c>
      <c r="B1074" s="806" t="s">
        <v>4091</v>
      </c>
      <c r="C1074" s="806"/>
      <c r="D1074" s="806"/>
      <c r="E1074" s="806"/>
      <c r="F1074" s="806"/>
      <c r="BK1074" s="818">
        <v>311856</v>
      </c>
    </row>
    <row r="1075" spans="1:63" ht="29" x14ac:dyDescent="0.35">
      <c r="A1075" s="806" t="s">
        <v>880</v>
      </c>
      <c r="B1075" s="806" t="s">
        <v>4030</v>
      </c>
      <c r="C1075" s="806"/>
      <c r="D1075" s="806"/>
      <c r="E1075" s="806"/>
      <c r="F1075" s="806"/>
      <c r="BK1075" s="816" t="s">
        <v>503</v>
      </c>
    </row>
    <row r="1076" spans="1:63" ht="29" x14ac:dyDescent="0.35">
      <c r="A1076" s="806" t="s">
        <v>880</v>
      </c>
      <c r="B1076" s="806" t="s">
        <v>4031</v>
      </c>
      <c r="C1076" s="806"/>
      <c r="D1076" s="806"/>
      <c r="E1076" s="806"/>
      <c r="F1076" s="806"/>
      <c r="BK1076" s="816" t="s">
        <v>503</v>
      </c>
    </row>
    <row r="1077" spans="1:63" ht="29" x14ac:dyDescent="0.35">
      <c r="A1077" s="806" t="s">
        <v>880</v>
      </c>
      <c r="B1077" s="806" t="s">
        <v>4160</v>
      </c>
      <c r="C1077" s="806"/>
      <c r="D1077" s="806"/>
      <c r="E1077" s="806"/>
      <c r="F1077" s="806"/>
      <c r="BK1077" s="816" t="s">
        <v>198</v>
      </c>
    </row>
    <row r="1078" spans="1:63" ht="29" x14ac:dyDescent="0.35">
      <c r="A1078" s="806" t="s">
        <v>880</v>
      </c>
      <c r="B1078" s="806" t="s">
        <v>4161</v>
      </c>
      <c r="C1078" s="806"/>
      <c r="D1078" s="806"/>
      <c r="E1078" s="806"/>
      <c r="F1078" s="806"/>
      <c r="BK1078" s="816" t="s">
        <v>198</v>
      </c>
    </row>
    <row r="1079" spans="1:63" ht="29" x14ac:dyDescent="0.35">
      <c r="A1079" s="806" t="s">
        <v>880</v>
      </c>
      <c r="B1079" s="806" t="s">
        <v>4165</v>
      </c>
      <c r="C1079" s="806"/>
      <c r="D1079" s="806"/>
      <c r="E1079" s="806"/>
      <c r="F1079" s="806"/>
      <c r="BK1079" s="816" t="s">
        <v>503</v>
      </c>
    </row>
    <row r="1080" spans="1:63" ht="29" x14ac:dyDescent="0.35">
      <c r="A1080" s="806" t="s">
        <v>880</v>
      </c>
      <c r="B1080" s="806" t="s">
        <v>4095</v>
      </c>
      <c r="C1080" s="806"/>
      <c r="D1080" s="806"/>
      <c r="E1080" s="806"/>
      <c r="F1080" s="806"/>
      <c r="BK1080" s="818">
        <v>19200</v>
      </c>
    </row>
    <row r="1081" spans="1:63" ht="29" x14ac:dyDescent="0.35">
      <c r="A1081" s="806" t="s">
        <v>880</v>
      </c>
      <c r="B1081" s="806" t="s">
        <v>4094</v>
      </c>
      <c r="C1081" s="806"/>
      <c r="D1081" s="806"/>
      <c r="E1081" s="806"/>
      <c r="F1081" s="806"/>
      <c r="BK1081" s="818">
        <v>267755</v>
      </c>
    </row>
    <row r="1082" spans="1:63" ht="29" x14ac:dyDescent="0.35">
      <c r="A1082" s="806" t="s">
        <v>880</v>
      </c>
      <c r="B1082" s="806" t="s">
        <v>4093</v>
      </c>
      <c r="C1082" s="806"/>
      <c r="D1082" s="806"/>
      <c r="E1082" s="806"/>
      <c r="F1082" s="806"/>
      <c r="BK1082" s="818">
        <v>38400</v>
      </c>
    </row>
    <row r="1083" spans="1:63" ht="29" x14ac:dyDescent="0.35">
      <c r="A1083" s="806" t="s">
        <v>880</v>
      </c>
      <c r="B1083" s="806" t="s">
        <v>4032</v>
      </c>
      <c r="C1083" s="806"/>
      <c r="D1083" s="806"/>
      <c r="E1083" s="806"/>
      <c r="F1083" s="806"/>
      <c r="BK1083" s="816">
        <v>3</v>
      </c>
    </row>
    <row r="1084" spans="1:63" ht="29" x14ac:dyDescent="0.35">
      <c r="A1084" s="806" t="s">
        <v>880</v>
      </c>
      <c r="B1084" s="806" t="s">
        <v>4033</v>
      </c>
      <c r="C1084" s="806"/>
      <c r="D1084" s="806"/>
      <c r="E1084" s="806"/>
      <c r="F1084" s="806"/>
      <c r="BK1084" s="816">
        <v>1</v>
      </c>
    </row>
    <row r="1085" spans="1:63" ht="29" x14ac:dyDescent="0.35">
      <c r="A1085" s="806" t="s">
        <v>880</v>
      </c>
      <c r="B1085" s="806" t="s">
        <v>4089</v>
      </c>
      <c r="C1085" s="806"/>
      <c r="D1085" s="806"/>
      <c r="E1085" s="806"/>
      <c r="F1085" s="806"/>
      <c r="BK1085" s="816">
        <v>2</v>
      </c>
    </row>
    <row r="1086" spans="1:63" ht="29" x14ac:dyDescent="0.35">
      <c r="A1086" s="806" t="s">
        <v>880</v>
      </c>
      <c r="B1086" s="806" t="s">
        <v>4162</v>
      </c>
      <c r="C1086" s="806"/>
      <c r="D1086" s="806"/>
      <c r="E1086" s="806"/>
      <c r="F1086" s="806"/>
      <c r="BK1086" s="816" t="s">
        <v>683</v>
      </c>
    </row>
    <row r="1087" spans="1:63" ht="29" x14ac:dyDescent="0.35">
      <c r="A1087" s="806" t="s">
        <v>880</v>
      </c>
      <c r="B1087" s="806" t="s">
        <v>4164</v>
      </c>
      <c r="C1087" s="806"/>
      <c r="D1087" s="806"/>
      <c r="E1087" s="806"/>
      <c r="F1087" s="806"/>
      <c r="BK1087" s="816">
        <v>4</v>
      </c>
    </row>
    <row r="1088" spans="1:63" ht="29" x14ac:dyDescent="0.35">
      <c r="A1088" s="806" t="s">
        <v>880</v>
      </c>
      <c r="B1088" s="806" t="s">
        <v>4092</v>
      </c>
      <c r="C1088" s="806"/>
      <c r="D1088" s="806"/>
      <c r="E1088" s="806"/>
      <c r="F1088" s="806"/>
      <c r="BK1088" s="818">
        <v>1054367</v>
      </c>
    </row>
    <row r="1089" spans="1:73" ht="29" x14ac:dyDescent="0.35">
      <c r="A1089" s="806" t="s">
        <v>880</v>
      </c>
      <c r="B1089" s="806" t="s">
        <v>4036</v>
      </c>
      <c r="C1089" s="806"/>
      <c r="D1089" s="806"/>
      <c r="E1089" s="806"/>
      <c r="F1089" s="806"/>
      <c r="BK1089" s="817">
        <v>0</v>
      </c>
    </row>
    <row r="1090" spans="1:73" x14ac:dyDescent="0.35">
      <c r="A1090" s="806" t="s">
        <v>880</v>
      </c>
      <c r="B1090" s="806" t="s">
        <v>4034</v>
      </c>
      <c r="C1090" s="806"/>
      <c r="D1090" s="806"/>
      <c r="E1090" s="806"/>
      <c r="F1090" s="806"/>
      <c r="BK1090" s="823">
        <v>0.03</v>
      </c>
    </row>
    <row r="1091" spans="1:73" x14ac:dyDescent="0.35">
      <c r="A1091" s="806" t="s">
        <v>880</v>
      </c>
      <c r="B1091" s="806" t="s">
        <v>4035</v>
      </c>
      <c r="C1091" s="806"/>
      <c r="D1091" s="806"/>
      <c r="E1091" s="806"/>
      <c r="F1091" s="806"/>
      <c r="BK1091" s="823">
        <v>0.06</v>
      </c>
    </row>
    <row r="1092" spans="1:73" x14ac:dyDescent="0.35">
      <c r="A1092" s="806" t="s">
        <v>880</v>
      </c>
      <c r="B1092" s="806" t="s">
        <v>4163</v>
      </c>
      <c r="C1092" s="806"/>
      <c r="D1092" s="806"/>
      <c r="E1092" s="806"/>
      <c r="F1092" s="806"/>
      <c r="BK1092" s="823">
        <v>4.4999999999999998E-2</v>
      </c>
    </row>
    <row r="1093" spans="1:73" x14ac:dyDescent="0.35">
      <c r="A1093" s="806" t="s">
        <v>880</v>
      </c>
      <c r="B1093" s="806" t="s">
        <v>4166</v>
      </c>
      <c r="C1093" s="806"/>
      <c r="D1093" s="806"/>
      <c r="E1093" s="806"/>
      <c r="F1093" s="806"/>
      <c r="BK1093" s="823">
        <v>0</v>
      </c>
    </row>
    <row r="1094" spans="1:73" x14ac:dyDescent="0.35">
      <c r="A1094" s="806" t="s">
        <v>880</v>
      </c>
      <c r="B1094" s="806" t="s">
        <v>4167</v>
      </c>
      <c r="C1094" s="806"/>
      <c r="D1094" s="806"/>
      <c r="E1094" s="806"/>
      <c r="F1094" s="806"/>
      <c r="BK1094" s="823">
        <v>0</v>
      </c>
    </row>
    <row r="1095" spans="1:73" ht="29" x14ac:dyDescent="0.35">
      <c r="A1095" s="806" t="s">
        <v>880</v>
      </c>
      <c r="B1095" s="806" t="s">
        <v>4068</v>
      </c>
      <c r="C1095" s="806"/>
      <c r="D1095" s="806"/>
      <c r="E1095" s="806"/>
      <c r="F1095" s="806"/>
      <c r="BK1095" s="818">
        <v>0</v>
      </c>
    </row>
    <row r="1096" spans="1:73" x14ac:dyDescent="0.35">
      <c r="A1096" s="806" t="s">
        <v>880</v>
      </c>
      <c r="B1096" s="806" t="s">
        <v>1229</v>
      </c>
      <c r="C1096" s="806"/>
      <c r="D1096" s="806"/>
      <c r="E1096" s="806"/>
      <c r="F1096" s="806"/>
      <c r="I1096" s="816"/>
      <c r="J1096" s="816"/>
      <c r="K1096" s="816"/>
      <c r="M1096" s="816"/>
      <c r="N1096" s="816"/>
      <c r="O1096" s="816"/>
      <c r="P1096" s="816"/>
      <c r="Q1096" s="816"/>
      <c r="R1096" s="816"/>
      <c r="S1096" s="816"/>
      <c r="T1096" s="816"/>
      <c r="U1096" s="816"/>
      <c r="V1096" s="816"/>
      <c r="W1096" s="816"/>
      <c r="X1096" s="816"/>
      <c r="Y1096" s="816"/>
      <c r="Z1096" s="816"/>
      <c r="AC1096" s="816"/>
      <c r="AD1096" s="816"/>
      <c r="AE1096" s="816"/>
      <c r="AF1096" s="816"/>
      <c r="AG1096" s="816"/>
      <c r="AH1096" s="816" t="s">
        <v>1717</v>
      </c>
      <c r="AI1096" s="816"/>
      <c r="AJ1096" s="816"/>
      <c r="AL1096" s="816"/>
      <c r="AM1096" s="816" t="s">
        <v>1717</v>
      </c>
      <c r="AN1096" s="816"/>
      <c r="AO1096" s="816"/>
      <c r="AP1096" s="816"/>
      <c r="AQ1096" s="816"/>
      <c r="AR1096" s="816"/>
      <c r="AS1096" s="816"/>
      <c r="AT1096" s="816"/>
      <c r="AU1096" s="816"/>
      <c r="AV1096" s="816"/>
      <c r="AW1096" s="816"/>
      <c r="AX1096" s="816"/>
      <c r="AY1096" s="816"/>
      <c r="AZ1096" s="816"/>
      <c r="BA1096" s="816"/>
      <c r="BC1096" s="816"/>
      <c r="BD1096" s="816"/>
      <c r="BE1096" s="816"/>
      <c r="BF1096" s="816"/>
      <c r="BG1096" s="816"/>
      <c r="BH1096" s="816"/>
      <c r="BI1096" s="816"/>
      <c r="BJ1096" s="816"/>
      <c r="BK1096" s="816" t="s">
        <v>1717</v>
      </c>
      <c r="BM1096" s="816"/>
      <c r="BN1096" s="816"/>
      <c r="BO1096" s="816"/>
      <c r="BQ1096" s="816"/>
      <c r="BR1096" s="816"/>
      <c r="BS1096" s="816"/>
      <c r="BT1096" s="816"/>
      <c r="BU1096" s="816"/>
    </row>
    <row r="1097" spans="1:73" x14ac:dyDescent="0.35">
      <c r="A1097" s="806" t="s">
        <v>880</v>
      </c>
      <c r="B1097" s="806" t="s">
        <v>1253</v>
      </c>
      <c r="C1097" s="806"/>
      <c r="D1097" s="806"/>
      <c r="E1097" s="806"/>
      <c r="F1097" s="806"/>
      <c r="I1097" s="816"/>
      <c r="J1097" s="816"/>
      <c r="K1097" s="816"/>
      <c r="M1097" s="816"/>
      <c r="N1097" s="816"/>
      <c r="O1097" s="816"/>
      <c r="P1097" s="816"/>
      <c r="Q1097" s="816"/>
      <c r="R1097" s="816"/>
      <c r="S1097" s="816"/>
      <c r="T1097" s="816"/>
      <c r="U1097" s="816"/>
      <c r="V1097" s="816"/>
      <c r="W1097" s="816"/>
      <c r="X1097" s="816"/>
      <c r="Y1097" s="816"/>
      <c r="Z1097" s="816"/>
      <c r="AC1097" s="816"/>
      <c r="AD1097" s="816"/>
      <c r="AE1097" s="816"/>
      <c r="AF1097" s="816"/>
      <c r="AG1097" s="816"/>
      <c r="AH1097" s="816"/>
      <c r="AI1097" s="816"/>
      <c r="AJ1097" s="816"/>
      <c r="AL1097" s="816"/>
      <c r="AM1097" s="816"/>
      <c r="AN1097" s="816"/>
      <c r="AO1097" s="816"/>
      <c r="AP1097" s="816"/>
      <c r="AQ1097" s="816"/>
      <c r="AR1097" s="816"/>
      <c r="AS1097" s="816"/>
      <c r="AT1097" s="816"/>
      <c r="AU1097" s="816"/>
      <c r="AV1097" s="816"/>
      <c r="AW1097" s="816"/>
      <c r="AX1097" s="816"/>
      <c r="AY1097" s="816"/>
      <c r="AZ1097" s="816"/>
      <c r="BA1097" s="816"/>
      <c r="BC1097" s="816"/>
      <c r="BD1097" s="816"/>
      <c r="BE1097" s="816"/>
      <c r="BF1097" s="816"/>
      <c r="BG1097" s="816"/>
      <c r="BH1097" s="816"/>
      <c r="BI1097" s="816"/>
      <c r="BJ1097" s="816"/>
      <c r="BK1097" s="816" t="s">
        <v>3994</v>
      </c>
      <c r="BM1097" s="816"/>
      <c r="BN1097" s="816"/>
      <c r="BO1097" s="816"/>
      <c r="BQ1097" s="816"/>
      <c r="BR1097" s="816"/>
      <c r="BS1097" s="816"/>
      <c r="BT1097" s="816"/>
      <c r="BU1097" s="816"/>
    </row>
    <row r="1098" spans="1:73" ht="29" x14ac:dyDescent="0.35">
      <c r="A1098" s="806" t="s">
        <v>880</v>
      </c>
      <c r="B1098" s="806" t="s">
        <v>1254</v>
      </c>
      <c r="C1098" s="806"/>
      <c r="D1098" s="806"/>
      <c r="E1098" s="806"/>
      <c r="F1098" s="806"/>
      <c r="I1098" s="816"/>
      <c r="J1098" s="816"/>
      <c r="K1098" s="816"/>
      <c r="M1098" s="816"/>
      <c r="N1098" s="816"/>
      <c r="O1098" s="816"/>
      <c r="P1098" s="816"/>
      <c r="Q1098" s="816"/>
      <c r="R1098" s="816"/>
      <c r="S1098" s="816"/>
      <c r="T1098" s="816"/>
      <c r="U1098" s="816"/>
      <c r="V1098" s="816"/>
      <c r="W1098" s="816"/>
      <c r="X1098" s="816"/>
      <c r="Y1098" s="816"/>
      <c r="Z1098" s="816"/>
      <c r="AC1098" s="816"/>
      <c r="AD1098" s="816"/>
      <c r="AE1098" s="816"/>
      <c r="AF1098" s="816"/>
      <c r="AG1098" s="816"/>
      <c r="AH1098" s="816"/>
      <c r="AI1098" s="816"/>
      <c r="AJ1098" s="816"/>
      <c r="AL1098" s="816"/>
      <c r="AM1098" s="816"/>
      <c r="AN1098" s="816"/>
      <c r="AO1098" s="816"/>
      <c r="AP1098" s="816"/>
      <c r="AQ1098" s="816"/>
      <c r="AR1098" s="816"/>
      <c r="AS1098" s="816"/>
      <c r="AT1098" s="816"/>
      <c r="AU1098" s="816"/>
      <c r="AV1098" s="816"/>
      <c r="AW1098" s="816"/>
      <c r="AX1098" s="816"/>
      <c r="AY1098" s="816"/>
      <c r="AZ1098" s="816"/>
      <c r="BA1098" s="816"/>
      <c r="BC1098" s="816"/>
      <c r="BD1098" s="816"/>
      <c r="BE1098" s="816"/>
      <c r="BF1098" s="816"/>
      <c r="BG1098" s="816"/>
      <c r="BH1098" s="816"/>
      <c r="BI1098" s="816"/>
      <c r="BJ1098" s="816"/>
      <c r="BK1098" s="816" t="s">
        <v>3992</v>
      </c>
      <c r="BM1098" s="816"/>
      <c r="BN1098" s="816"/>
      <c r="BO1098" s="816"/>
      <c r="BQ1098" s="816"/>
      <c r="BR1098" s="816"/>
      <c r="BS1098" s="816"/>
      <c r="BT1098" s="816"/>
      <c r="BU1098" s="816"/>
    </row>
    <row r="1099" spans="1:73" x14ac:dyDescent="0.35">
      <c r="A1099" s="806" t="s">
        <v>880</v>
      </c>
      <c r="B1099" s="806" t="s">
        <v>1255</v>
      </c>
      <c r="C1099" s="806"/>
      <c r="D1099" s="806"/>
      <c r="E1099" s="806"/>
      <c r="F1099" s="806"/>
      <c r="I1099" s="816"/>
      <c r="J1099" s="816"/>
      <c r="K1099" s="816"/>
      <c r="M1099" s="816"/>
      <c r="N1099" s="816"/>
      <c r="O1099" s="816"/>
      <c r="P1099" s="816"/>
      <c r="Q1099" s="816"/>
      <c r="R1099" s="816"/>
      <c r="S1099" s="816"/>
      <c r="T1099" s="816"/>
      <c r="U1099" s="816"/>
      <c r="V1099" s="816"/>
      <c r="W1099" s="816"/>
      <c r="X1099" s="816"/>
      <c r="Y1099" s="816"/>
      <c r="Z1099" s="816"/>
      <c r="AC1099" s="816"/>
      <c r="AD1099" s="816"/>
      <c r="AE1099" s="816"/>
      <c r="AF1099" s="816"/>
      <c r="AG1099" s="816"/>
      <c r="AH1099" s="816"/>
      <c r="AI1099" s="816"/>
      <c r="AJ1099" s="816"/>
      <c r="AL1099" s="816"/>
      <c r="AM1099" s="816"/>
      <c r="AN1099" s="816"/>
      <c r="AO1099" s="816"/>
      <c r="AP1099" s="816"/>
      <c r="AQ1099" s="816"/>
      <c r="AR1099" s="816"/>
      <c r="AS1099" s="816"/>
      <c r="AT1099" s="816"/>
      <c r="AU1099" s="816"/>
      <c r="AV1099" s="816"/>
      <c r="AW1099" s="816"/>
      <c r="AX1099" s="816"/>
      <c r="AY1099" s="816"/>
      <c r="AZ1099" s="816"/>
      <c r="BA1099" s="816"/>
      <c r="BC1099" s="816"/>
      <c r="BD1099" s="816"/>
      <c r="BE1099" s="816"/>
      <c r="BF1099" s="816"/>
      <c r="BG1099" s="816"/>
      <c r="BH1099" s="816"/>
      <c r="BI1099" s="816"/>
      <c r="BJ1099" s="816"/>
      <c r="BK1099" s="816" t="s">
        <v>3993</v>
      </c>
      <c r="BM1099" s="816"/>
      <c r="BN1099" s="816"/>
      <c r="BO1099" s="816"/>
      <c r="BQ1099" s="816"/>
      <c r="BR1099" s="816"/>
      <c r="BS1099" s="816"/>
      <c r="BT1099" s="816"/>
      <c r="BU1099" s="816"/>
    </row>
    <row r="1100" spans="1:73" x14ac:dyDescent="0.35">
      <c r="A1100" s="806" t="s">
        <v>880</v>
      </c>
      <c r="B1100" s="806" t="s">
        <v>1256</v>
      </c>
      <c r="C1100" s="806"/>
      <c r="D1100" s="806"/>
      <c r="E1100" s="806"/>
      <c r="F1100" s="806"/>
      <c r="I1100" s="816"/>
      <c r="J1100" s="816"/>
      <c r="K1100" s="816"/>
      <c r="M1100" s="816"/>
      <c r="N1100" s="816"/>
      <c r="O1100" s="816"/>
      <c r="P1100" s="816"/>
      <c r="Q1100" s="816"/>
      <c r="R1100" s="816"/>
      <c r="S1100" s="816"/>
      <c r="T1100" s="816"/>
      <c r="U1100" s="816"/>
      <c r="V1100" s="816"/>
      <c r="W1100" s="816"/>
      <c r="X1100" s="816"/>
      <c r="Y1100" s="816"/>
      <c r="Z1100" s="816"/>
      <c r="AC1100" s="816"/>
      <c r="AD1100" s="816"/>
      <c r="AE1100" s="816"/>
      <c r="AF1100" s="816"/>
      <c r="AG1100" s="816"/>
      <c r="AH1100" s="816"/>
      <c r="AI1100" s="816"/>
      <c r="AJ1100" s="816"/>
      <c r="AL1100" s="816"/>
      <c r="AM1100" s="816"/>
      <c r="AN1100" s="816"/>
      <c r="AO1100" s="816"/>
      <c r="AP1100" s="816"/>
      <c r="AQ1100" s="816"/>
      <c r="AR1100" s="816"/>
      <c r="AS1100" s="816"/>
      <c r="AT1100" s="816"/>
      <c r="AU1100" s="816"/>
      <c r="AV1100" s="816"/>
      <c r="AW1100" s="816"/>
      <c r="AX1100" s="816"/>
      <c r="AY1100" s="816"/>
      <c r="AZ1100" s="816"/>
      <c r="BA1100" s="816"/>
      <c r="BC1100" s="816"/>
      <c r="BD1100" s="816"/>
      <c r="BE1100" s="816"/>
      <c r="BF1100" s="816"/>
      <c r="BG1100" s="816"/>
      <c r="BH1100" s="816"/>
      <c r="BI1100" s="816"/>
      <c r="BJ1100" s="816"/>
      <c r="BK1100" s="816" t="s">
        <v>4007</v>
      </c>
      <c r="BM1100" s="816"/>
      <c r="BN1100" s="816"/>
      <c r="BO1100" s="816"/>
      <c r="BQ1100" s="816"/>
      <c r="BR1100" s="816"/>
      <c r="BS1100" s="816"/>
      <c r="BT1100" s="816"/>
      <c r="BU1100" s="816"/>
    </row>
    <row r="1101" spans="1:73" x14ac:dyDescent="0.35">
      <c r="A1101" s="806" t="s">
        <v>880</v>
      </c>
      <c r="B1101" s="806" t="s">
        <v>4178</v>
      </c>
      <c r="C1101" s="806"/>
      <c r="D1101" s="806"/>
      <c r="E1101" s="806"/>
      <c r="F1101" s="806"/>
      <c r="BK1101" s="818">
        <v>39600</v>
      </c>
    </row>
    <row r="1102" spans="1:73" x14ac:dyDescent="0.35">
      <c r="A1102" s="806" t="s">
        <v>880</v>
      </c>
      <c r="B1102" s="806" t="s">
        <v>3814</v>
      </c>
      <c r="C1102" s="806"/>
      <c r="D1102" s="806"/>
      <c r="E1102" s="806"/>
      <c r="F1102" s="806"/>
      <c r="AH1102" s="816" t="s">
        <v>1760</v>
      </c>
      <c r="BK1102" s="816" t="s">
        <v>1758</v>
      </c>
    </row>
    <row r="1103" spans="1:73" ht="29" x14ac:dyDescent="0.35">
      <c r="A1103" s="806" t="s">
        <v>880</v>
      </c>
      <c r="B1103" s="806" t="s">
        <v>1704</v>
      </c>
      <c r="C1103" s="806"/>
      <c r="D1103" s="806"/>
      <c r="E1103" s="806"/>
      <c r="F1103" s="806"/>
      <c r="I1103" s="816"/>
      <c r="K1103" s="816"/>
      <c r="M1103" s="816"/>
      <c r="Q1103" s="816"/>
      <c r="S1103" s="816"/>
      <c r="U1103" s="816"/>
      <c r="V1103" s="816"/>
      <c r="W1103" s="816"/>
      <c r="AD1103" s="816"/>
      <c r="AG1103" s="816"/>
      <c r="AH1103" s="816" t="s">
        <v>198</v>
      </c>
      <c r="AJ1103" s="816"/>
      <c r="AL1103" s="816"/>
      <c r="AR1103" s="816"/>
      <c r="AT1103" s="816"/>
      <c r="AU1103" s="816"/>
      <c r="AV1103" s="816"/>
      <c r="AX1103" s="816"/>
      <c r="AY1103" s="816"/>
      <c r="AZ1103" s="816"/>
      <c r="BC1103" s="816"/>
      <c r="BD1103" s="816"/>
      <c r="BE1103" s="816"/>
      <c r="BG1103" s="816"/>
      <c r="BH1103" s="816"/>
      <c r="BI1103" s="816"/>
      <c r="BK1103" s="816" t="s">
        <v>198</v>
      </c>
      <c r="BS1103" s="816"/>
      <c r="BT1103" s="816"/>
      <c r="BU1103" s="816"/>
    </row>
    <row r="1104" spans="1:73" x14ac:dyDescent="0.35">
      <c r="A1104" s="806" t="s">
        <v>880</v>
      </c>
      <c r="B1104" s="806" t="s">
        <v>1940</v>
      </c>
      <c r="C1104" s="806"/>
      <c r="D1104" s="806"/>
      <c r="E1104" s="806"/>
      <c r="F1104" s="806"/>
      <c r="I1104" s="816"/>
      <c r="K1104" s="816"/>
      <c r="Q1104" s="816"/>
      <c r="V1104" s="816"/>
      <c r="AD1104" s="816"/>
      <c r="AH1104" s="816" t="b">
        <v>1</v>
      </c>
      <c r="AL1104" s="816"/>
      <c r="BE1104" s="816"/>
      <c r="BH1104" s="816"/>
      <c r="BK1104" s="816" t="b">
        <v>1</v>
      </c>
      <c r="BT1104" s="816"/>
    </row>
    <row r="1105" spans="1:73" ht="29" x14ac:dyDescent="0.35">
      <c r="A1105" s="806" t="s">
        <v>880</v>
      </c>
      <c r="B1105" s="806" t="s">
        <v>1234</v>
      </c>
      <c r="C1105" s="806"/>
      <c r="D1105" s="806"/>
      <c r="E1105" s="806"/>
      <c r="F1105" s="806"/>
      <c r="I1105" s="816"/>
      <c r="J1105" s="816"/>
      <c r="K1105" s="816"/>
      <c r="M1105" s="816"/>
      <c r="N1105" s="816"/>
      <c r="O1105" s="816"/>
      <c r="P1105" s="816"/>
      <c r="Q1105" s="816"/>
      <c r="R1105" s="816"/>
      <c r="S1105" s="816"/>
      <c r="T1105" s="816"/>
      <c r="U1105" s="816"/>
      <c r="V1105" s="816"/>
      <c r="W1105" s="816"/>
      <c r="X1105" s="816"/>
      <c r="Y1105" s="816"/>
      <c r="Z1105" s="816"/>
      <c r="AC1105" s="816"/>
      <c r="AD1105" s="816"/>
      <c r="AE1105" s="816"/>
      <c r="AF1105" s="816"/>
      <c r="AG1105" s="816"/>
      <c r="AH1105" s="816" t="b">
        <v>0</v>
      </c>
      <c r="AI1105" s="816"/>
      <c r="AJ1105" s="816"/>
      <c r="AL1105" s="816"/>
      <c r="AM1105" s="816" t="b">
        <v>0</v>
      </c>
      <c r="AN1105" s="816"/>
      <c r="AO1105" s="816"/>
      <c r="AP1105" s="816"/>
      <c r="AQ1105" s="816"/>
      <c r="AR1105" s="816"/>
      <c r="AS1105" s="816"/>
      <c r="AT1105" s="816"/>
      <c r="AU1105" s="816"/>
      <c r="AV1105" s="816"/>
      <c r="AW1105" s="816"/>
      <c r="AX1105" s="816"/>
      <c r="AY1105" s="816"/>
      <c r="AZ1105" s="816"/>
      <c r="BA1105" s="816"/>
      <c r="BC1105" s="816"/>
      <c r="BD1105" s="816"/>
      <c r="BE1105" s="816"/>
      <c r="BF1105" s="816"/>
      <c r="BG1105" s="816"/>
      <c r="BH1105" s="816"/>
      <c r="BI1105" s="816"/>
      <c r="BJ1105" s="816"/>
      <c r="BK1105" s="816" t="b">
        <v>1</v>
      </c>
      <c r="BM1105" s="816"/>
      <c r="BN1105" s="816"/>
      <c r="BO1105" s="816"/>
      <c r="BQ1105" s="816"/>
      <c r="BR1105" s="816"/>
      <c r="BS1105" s="816"/>
      <c r="BT1105" s="816"/>
      <c r="BU1105" s="816"/>
    </row>
    <row r="1106" spans="1:73" x14ac:dyDescent="0.35">
      <c r="A1106" s="806" t="s">
        <v>880</v>
      </c>
      <c r="B1106" s="806" t="s">
        <v>3850</v>
      </c>
      <c r="C1106" s="806"/>
      <c r="D1106" s="806"/>
      <c r="E1106" s="806"/>
      <c r="F1106" s="806"/>
      <c r="AH1106" s="818">
        <v>750000</v>
      </c>
      <c r="BK1106" s="818">
        <v>464000</v>
      </c>
    </row>
    <row r="1107" spans="1:73" x14ac:dyDescent="0.35">
      <c r="A1107" s="806" t="s">
        <v>880</v>
      </c>
      <c r="B1107" s="806" t="s">
        <v>3851</v>
      </c>
      <c r="C1107" s="806"/>
      <c r="D1107" s="806"/>
      <c r="E1107" s="806"/>
      <c r="F1107" s="806"/>
      <c r="AH1107" s="818">
        <v>650000</v>
      </c>
      <c r="BK1107" s="818">
        <v>480000</v>
      </c>
    </row>
    <row r="1108" spans="1:73" x14ac:dyDescent="0.35">
      <c r="A1108" s="806" t="s">
        <v>880</v>
      </c>
      <c r="B1108" s="806" t="s">
        <v>4141</v>
      </c>
      <c r="C1108" s="806"/>
      <c r="D1108" s="806"/>
      <c r="E1108" s="806"/>
      <c r="F1108" s="806"/>
      <c r="BK1108" s="818">
        <v>464000</v>
      </c>
    </row>
    <row r="1109" spans="1:73" x14ac:dyDescent="0.35">
      <c r="A1109" s="806" t="s">
        <v>880</v>
      </c>
      <c r="B1109" s="806" t="s">
        <v>4142</v>
      </c>
      <c r="C1109" s="806"/>
      <c r="D1109" s="806"/>
      <c r="E1109" s="806"/>
      <c r="F1109" s="806"/>
      <c r="BK1109" s="818">
        <v>480000</v>
      </c>
    </row>
    <row r="1110" spans="1:73" x14ac:dyDescent="0.35">
      <c r="A1110" s="806" t="s">
        <v>880</v>
      </c>
      <c r="B1110" s="806" t="s">
        <v>4143</v>
      </c>
      <c r="C1110" s="806"/>
      <c r="D1110" s="806"/>
      <c r="E1110" s="806"/>
      <c r="F1110" s="806"/>
      <c r="BK1110" s="818">
        <v>464000</v>
      </c>
    </row>
    <row r="1111" spans="1:73" x14ac:dyDescent="0.35">
      <c r="A1111" s="806" t="s">
        <v>880</v>
      </c>
      <c r="B1111" s="806" t="s">
        <v>4144</v>
      </c>
      <c r="C1111" s="806"/>
      <c r="D1111" s="806"/>
      <c r="E1111" s="806"/>
      <c r="F1111" s="806"/>
      <c r="BK1111" s="818">
        <v>480000</v>
      </c>
    </row>
    <row r="1112" spans="1:73" x14ac:dyDescent="0.35">
      <c r="A1112" s="806" t="s">
        <v>880</v>
      </c>
      <c r="B1112" s="806" t="s">
        <v>1242</v>
      </c>
      <c r="C1112" s="806"/>
      <c r="D1112" s="806"/>
      <c r="E1112" s="806"/>
      <c r="F1112" s="806"/>
      <c r="I1112" s="817"/>
      <c r="J1112" s="817"/>
      <c r="K1112" s="817"/>
      <c r="M1112" s="817"/>
      <c r="N1112" s="817"/>
      <c r="O1112" s="817"/>
      <c r="P1112" s="817"/>
      <c r="Q1112" s="817"/>
      <c r="R1112" s="817"/>
      <c r="S1112" s="817"/>
      <c r="T1112" s="817"/>
      <c r="U1112" s="817"/>
      <c r="V1112" s="817"/>
      <c r="W1112" s="817"/>
      <c r="X1112" s="817"/>
      <c r="Y1112" s="817"/>
      <c r="Z1112" s="817"/>
      <c r="AC1112" s="817"/>
      <c r="AD1112" s="817"/>
      <c r="AE1112" s="817"/>
      <c r="AF1112" s="817"/>
      <c r="AG1112" s="817"/>
      <c r="AH1112" s="817"/>
      <c r="AI1112" s="817"/>
      <c r="AJ1112" s="817"/>
      <c r="AL1112" s="817"/>
      <c r="AM1112" s="817"/>
      <c r="AN1112" s="817"/>
      <c r="AO1112" s="817"/>
      <c r="AP1112" s="817"/>
      <c r="AQ1112" s="817"/>
      <c r="AR1112" s="817"/>
      <c r="AS1112" s="817"/>
      <c r="AT1112" s="817"/>
      <c r="AU1112" s="817"/>
      <c r="AV1112" s="817"/>
      <c r="AW1112" s="817"/>
      <c r="AX1112" s="817"/>
      <c r="AY1112" s="817"/>
      <c r="AZ1112" s="817"/>
      <c r="BA1112" s="817"/>
      <c r="BC1112" s="817"/>
      <c r="BD1112" s="817"/>
      <c r="BE1112" s="817"/>
      <c r="BF1112" s="817"/>
      <c r="BG1112" s="817"/>
      <c r="BH1112" s="817"/>
      <c r="BI1112" s="817"/>
      <c r="BJ1112" s="817"/>
      <c r="BK1112" s="817">
        <v>0</v>
      </c>
      <c r="BM1112" s="817"/>
      <c r="BN1112" s="817"/>
      <c r="BO1112" s="817"/>
      <c r="BQ1112" s="817"/>
      <c r="BR1112" s="817"/>
      <c r="BS1112" s="817"/>
      <c r="BT1112" s="817"/>
      <c r="BU1112" s="817"/>
    </row>
    <row r="1113" spans="1:73" x14ac:dyDescent="0.35">
      <c r="A1113" s="806" t="s">
        <v>880</v>
      </c>
      <c r="B1113" s="806" t="s">
        <v>1237</v>
      </c>
      <c r="C1113" s="806"/>
      <c r="D1113" s="806"/>
      <c r="E1113" s="806"/>
      <c r="F1113" s="806"/>
      <c r="I1113" s="817"/>
      <c r="J1113" s="817"/>
      <c r="K1113" s="817"/>
      <c r="M1113" s="817"/>
      <c r="N1113" s="817"/>
      <c r="O1113" s="817"/>
      <c r="P1113" s="817"/>
      <c r="Q1113" s="817"/>
      <c r="R1113" s="817"/>
      <c r="S1113" s="817"/>
      <c r="T1113" s="817"/>
      <c r="U1113" s="817"/>
      <c r="V1113" s="817"/>
      <c r="W1113" s="817"/>
      <c r="X1113" s="817"/>
      <c r="Y1113" s="817"/>
      <c r="Z1113" s="817"/>
      <c r="AC1113" s="817"/>
      <c r="AD1113" s="817"/>
      <c r="AE1113" s="817"/>
      <c r="AF1113" s="817"/>
      <c r="AG1113" s="817"/>
      <c r="AH1113" s="817"/>
      <c r="AI1113" s="817"/>
      <c r="AJ1113" s="817"/>
      <c r="AL1113" s="817"/>
      <c r="AM1113" s="817"/>
      <c r="AN1113" s="817"/>
      <c r="AO1113" s="817"/>
      <c r="AP1113" s="817"/>
      <c r="AQ1113" s="817"/>
      <c r="AR1113" s="817"/>
      <c r="AS1113" s="817"/>
      <c r="AT1113" s="817"/>
      <c r="AU1113" s="817"/>
      <c r="AV1113" s="817"/>
      <c r="AW1113" s="817"/>
      <c r="AX1113" s="817"/>
      <c r="AY1113" s="817"/>
      <c r="AZ1113" s="817"/>
      <c r="BA1113" s="817"/>
      <c r="BC1113" s="817"/>
      <c r="BD1113" s="817"/>
      <c r="BE1113" s="817"/>
      <c r="BF1113" s="817"/>
      <c r="BG1113" s="817"/>
      <c r="BH1113" s="817"/>
      <c r="BI1113" s="817"/>
      <c r="BJ1113" s="817"/>
      <c r="BK1113" s="817">
        <v>20</v>
      </c>
      <c r="BM1113" s="817"/>
      <c r="BN1113" s="817"/>
      <c r="BO1113" s="817"/>
      <c r="BQ1113" s="817"/>
      <c r="BR1113" s="817"/>
      <c r="BS1113" s="817"/>
      <c r="BT1113" s="817"/>
      <c r="BU1113" s="817"/>
    </row>
    <row r="1114" spans="1:73" x14ac:dyDescent="0.35">
      <c r="A1114" s="806" t="s">
        <v>880</v>
      </c>
      <c r="B1114" s="806" t="s">
        <v>3832</v>
      </c>
      <c r="C1114" s="806"/>
      <c r="D1114" s="806"/>
      <c r="E1114" s="806"/>
      <c r="F1114" s="806"/>
      <c r="AH1114" s="816" t="s">
        <v>503</v>
      </c>
      <c r="BK1114" s="816" t="s">
        <v>503</v>
      </c>
    </row>
    <row r="1115" spans="1:73" x14ac:dyDescent="0.35">
      <c r="A1115" s="806" t="s">
        <v>880</v>
      </c>
      <c r="B1115" s="806" t="s">
        <v>3834</v>
      </c>
      <c r="C1115" s="806"/>
      <c r="D1115" s="806"/>
      <c r="E1115" s="806"/>
      <c r="F1115" s="806"/>
      <c r="AH1115" s="811">
        <v>45170</v>
      </c>
      <c r="BK1115" s="811">
        <v>45280</v>
      </c>
    </row>
    <row r="1116" spans="1:73" ht="29" x14ac:dyDescent="0.35">
      <c r="A1116" s="806" t="s">
        <v>880</v>
      </c>
      <c r="B1116" s="806" t="s">
        <v>1232</v>
      </c>
      <c r="C1116" s="806"/>
      <c r="D1116" s="806"/>
      <c r="E1116" s="806"/>
      <c r="F1116" s="806"/>
      <c r="I1116" s="816"/>
      <c r="J1116" s="816"/>
      <c r="K1116" s="816"/>
      <c r="M1116" s="816"/>
      <c r="N1116" s="816"/>
      <c r="O1116" s="816"/>
      <c r="P1116" s="816"/>
      <c r="Q1116" s="816"/>
      <c r="R1116" s="816"/>
      <c r="S1116" s="816"/>
      <c r="T1116" s="816"/>
      <c r="U1116" s="816"/>
      <c r="V1116" s="816"/>
      <c r="W1116" s="816"/>
      <c r="X1116" s="816"/>
      <c r="Y1116" s="816"/>
      <c r="Z1116" s="816"/>
      <c r="AC1116" s="816"/>
      <c r="AD1116" s="816"/>
      <c r="AE1116" s="816"/>
      <c r="AF1116" s="816"/>
      <c r="AG1116" s="816"/>
      <c r="AH1116" s="816" t="s">
        <v>683</v>
      </c>
      <c r="AI1116" s="816"/>
      <c r="AJ1116" s="816"/>
      <c r="AL1116" s="816"/>
      <c r="AM1116" s="816" t="s">
        <v>683</v>
      </c>
      <c r="AN1116" s="816"/>
      <c r="AO1116" s="816"/>
      <c r="AP1116" s="816"/>
      <c r="AQ1116" s="816"/>
      <c r="AR1116" s="816"/>
      <c r="AS1116" s="816"/>
      <c r="AT1116" s="816"/>
      <c r="AU1116" s="816"/>
      <c r="AV1116" s="816"/>
      <c r="AW1116" s="816"/>
      <c r="AX1116" s="816"/>
      <c r="AY1116" s="816"/>
      <c r="AZ1116" s="816"/>
      <c r="BA1116" s="816"/>
      <c r="BC1116" s="816"/>
      <c r="BD1116" s="816"/>
      <c r="BE1116" s="816"/>
      <c r="BF1116" s="816"/>
      <c r="BG1116" s="816"/>
      <c r="BH1116" s="816"/>
      <c r="BI1116" s="816"/>
      <c r="BJ1116" s="816"/>
      <c r="BK1116" s="816" t="s">
        <v>683</v>
      </c>
      <c r="BM1116" s="816"/>
      <c r="BN1116" s="816"/>
      <c r="BO1116" s="816"/>
      <c r="BQ1116" s="816"/>
      <c r="BR1116" s="816"/>
      <c r="BS1116" s="816"/>
      <c r="BT1116" s="816"/>
      <c r="BU1116" s="816"/>
    </row>
    <row r="1117" spans="1:73" x14ac:dyDescent="0.35">
      <c r="A1117" s="806" t="s">
        <v>880</v>
      </c>
      <c r="B1117" s="806" t="s">
        <v>1939</v>
      </c>
      <c r="C1117" s="806"/>
      <c r="D1117" s="806"/>
      <c r="E1117" s="806"/>
      <c r="F1117" s="806"/>
      <c r="I1117" s="816"/>
      <c r="K1117" s="816"/>
      <c r="Q1117" s="816"/>
      <c r="V1117" s="816"/>
      <c r="AD1117" s="816"/>
      <c r="AH1117" s="816" t="b">
        <v>1</v>
      </c>
      <c r="AL1117" s="816"/>
      <c r="BE1117" s="816"/>
      <c r="BH1117" s="816"/>
      <c r="BT1117" s="816"/>
    </row>
    <row r="1118" spans="1:73" x14ac:dyDescent="0.35">
      <c r="A1118" s="806" t="s">
        <v>880</v>
      </c>
      <c r="B1118" s="806" t="s">
        <v>3825</v>
      </c>
      <c r="C1118" s="806"/>
      <c r="D1118" s="806"/>
      <c r="E1118" s="806"/>
      <c r="F1118" s="806"/>
      <c r="AH1118" s="824">
        <v>36.932380000000002</v>
      </c>
      <c r="BK1118" s="824">
        <v>-120.42806</v>
      </c>
    </row>
    <row r="1119" spans="1:73" x14ac:dyDescent="0.35">
      <c r="A1119" s="806" t="s">
        <v>880</v>
      </c>
      <c r="B1119" s="806" t="s">
        <v>3826</v>
      </c>
      <c r="C1119" s="806"/>
      <c r="D1119" s="806"/>
      <c r="E1119" s="806"/>
      <c r="F1119" s="806"/>
      <c r="AH1119" s="824">
        <v>-121.78265</v>
      </c>
      <c r="BK1119" s="824">
        <v>34.902299999999997</v>
      </c>
    </row>
    <row r="1120" spans="1:73" x14ac:dyDescent="0.35">
      <c r="A1120" s="806" t="s">
        <v>880</v>
      </c>
      <c r="B1120" s="806" t="s">
        <v>1245</v>
      </c>
      <c r="C1120" s="806"/>
      <c r="D1120" s="806"/>
      <c r="E1120" s="806"/>
      <c r="F1120" s="806"/>
      <c r="I1120" s="816"/>
      <c r="J1120" s="816"/>
      <c r="K1120" s="816"/>
      <c r="M1120" s="816"/>
      <c r="N1120" s="816"/>
      <c r="O1120" s="816"/>
      <c r="P1120" s="816"/>
      <c r="Q1120" s="816"/>
      <c r="R1120" s="816"/>
      <c r="S1120" s="816"/>
      <c r="T1120" s="816"/>
      <c r="U1120" s="816"/>
      <c r="V1120" s="816"/>
      <c r="W1120" s="816"/>
      <c r="X1120" s="816"/>
      <c r="Y1120" s="816"/>
      <c r="Z1120" s="816"/>
      <c r="AC1120" s="816"/>
      <c r="AD1120" s="816"/>
      <c r="AE1120" s="816"/>
      <c r="AF1120" s="816"/>
      <c r="AG1120" s="816"/>
      <c r="AH1120" s="816" t="s">
        <v>503</v>
      </c>
      <c r="AI1120" s="816"/>
      <c r="AJ1120" s="816"/>
      <c r="AL1120" s="816"/>
      <c r="AM1120" s="816"/>
      <c r="AN1120" s="816"/>
      <c r="AO1120" s="816"/>
      <c r="AP1120" s="816"/>
      <c r="AQ1120" s="816"/>
      <c r="AR1120" s="816"/>
      <c r="AS1120" s="816"/>
      <c r="AT1120" s="816"/>
      <c r="AU1120" s="816"/>
      <c r="AV1120" s="816"/>
      <c r="AW1120" s="816"/>
      <c r="AX1120" s="816"/>
      <c r="AY1120" s="816"/>
      <c r="AZ1120" s="816"/>
      <c r="BA1120" s="816"/>
      <c r="BC1120" s="816"/>
      <c r="BD1120" s="816"/>
      <c r="BE1120" s="816"/>
      <c r="BF1120" s="816"/>
      <c r="BG1120" s="816"/>
      <c r="BH1120" s="816"/>
      <c r="BI1120" s="816"/>
      <c r="BJ1120" s="816"/>
      <c r="BK1120" s="816" t="s">
        <v>503</v>
      </c>
      <c r="BM1120" s="816"/>
      <c r="BN1120" s="816"/>
      <c r="BO1120" s="816"/>
      <c r="BQ1120" s="816"/>
      <c r="BR1120" s="816"/>
      <c r="BS1120" s="816"/>
      <c r="BT1120" s="816"/>
      <c r="BU1120" s="816"/>
    </row>
    <row r="1121" spans="1:73" x14ac:dyDescent="0.35">
      <c r="A1121" s="806" t="s">
        <v>880</v>
      </c>
      <c r="B1121" s="806" t="s">
        <v>1701</v>
      </c>
      <c r="C1121" s="806"/>
      <c r="D1121" s="806"/>
      <c r="E1121" s="806"/>
      <c r="F1121" s="806"/>
      <c r="I1121" s="816"/>
      <c r="K1121" s="816"/>
      <c r="M1121" s="816"/>
      <c r="Q1121" s="816"/>
      <c r="S1121" s="816"/>
      <c r="U1121" s="816"/>
      <c r="V1121" s="816"/>
      <c r="W1121" s="816"/>
      <c r="AD1121" s="816"/>
      <c r="AG1121" s="816"/>
      <c r="AH1121" s="816" t="s">
        <v>198</v>
      </c>
      <c r="AJ1121" s="816"/>
      <c r="AL1121" s="816"/>
      <c r="AR1121" s="816"/>
      <c r="AT1121" s="816"/>
      <c r="AU1121" s="816"/>
      <c r="AV1121" s="816"/>
      <c r="AX1121" s="816"/>
      <c r="AY1121" s="816"/>
      <c r="AZ1121" s="816"/>
      <c r="BC1121" s="816"/>
      <c r="BD1121" s="816"/>
      <c r="BE1121" s="816"/>
      <c r="BG1121" s="816"/>
      <c r="BH1121" s="816"/>
      <c r="BI1121" s="816"/>
      <c r="BK1121" s="816" t="s">
        <v>198</v>
      </c>
      <c r="BS1121" s="816"/>
      <c r="BT1121" s="816"/>
      <c r="BU1121" s="816"/>
    </row>
    <row r="1122" spans="1:73" x14ac:dyDescent="0.35">
      <c r="A1122" s="806" t="s">
        <v>880</v>
      </c>
      <c r="B1122" s="806" t="s">
        <v>3852</v>
      </c>
      <c r="C1122" s="806"/>
      <c r="D1122" s="806"/>
      <c r="E1122" s="806"/>
      <c r="F1122" s="806"/>
      <c r="AH1122" s="816" t="s">
        <v>3163</v>
      </c>
      <c r="BK1122" s="816" t="s">
        <v>2521</v>
      </c>
    </row>
    <row r="1123" spans="1:73" x14ac:dyDescent="0.35">
      <c r="A1123" s="806" t="s">
        <v>880</v>
      </c>
      <c r="B1123" s="806" t="s">
        <v>3853</v>
      </c>
      <c r="C1123" s="806"/>
      <c r="D1123" s="806"/>
      <c r="E1123" s="806"/>
      <c r="F1123" s="806"/>
      <c r="AH1123" s="816" t="s">
        <v>3163</v>
      </c>
      <c r="BK1123" s="816" t="s">
        <v>2521</v>
      </c>
    </row>
    <row r="1124" spans="1:73" x14ac:dyDescent="0.35">
      <c r="A1124" s="806" t="s">
        <v>880</v>
      </c>
      <c r="B1124" s="806" t="s">
        <v>4103</v>
      </c>
      <c r="C1124" s="806"/>
      <c r="D1124" s="806"/>
      <c r="E1124" s="806"/>
      <c r="F1124" s="806"/>
      <c r="BK1124" s="816" t="s">
        <v>4104</v>
      </c>
    </row>
    <row r="1125" spans="1:73" x14ac:dyDescent="0.35">
      <c r="A1125" s="806" t="s">
        <v>880</v>
      </c>
      <c r="B1125" s="806" t="s">
        <v>4105</v>
      </c>
      <c r="C1125" s="806"/>
      <c r="D1125" s="806"/>
      <c r="E1125" s="806"/>
      <c r="F1125" s="806"/>
      <c r="BK1125" s="816" t="s">
        <v>4104</v>
      </c>
    </row>
    <row r="1126" spans="1:73" x14ac:dyDescent="0.35">
      <c r="A1126" s="806" t="s">
        <v>880</v>
      </c>
      <c r="B1126" s="806" t="s">
        <v>4106</v>
      </c>
      <c r="C1126" s="806"/>
      <c r="D1126" s="806"/>
      <c r="E1126" s="806"/>
      <c r="F1126" s="806"/>
      <c r="BK1126" s="816" t="s">
        <v>4107</v>
      </c>
    </row>
    <row r="1127" spans="1:73" x14ac:dyDescent="0.35">
      <c r="A1127" s="806" t="s">
        <v>880</v>
      </c>
      <c r="B1127" s="806" t="s">
        <v>4108</v>
      </c>
      <c r="C1127" s="806"/>
      <c r="D1127" s="806"/>
      <c r="E1127" s="806"/>
      <c r="F1127" s="806"/>
      <c r="BK1127" s="816" t="s">
        <v>4107</v>
      </c>
    </row>
    <row r="1128" spans="1:73" x14ac:dyDescent="0.35">
      <c r="A1128" s="806" t="s">
        <v>880</v>
      </c>
      <c r="B1128" s="806" t="s">
        <v>1240</v>
      </c>
      <c r="C1128" s="806"/>
      <c r="D1128" s="806"/>
      <c r="E1128" s="806"/>
      <c r="F1128" s="806"/>
      <c r="I1128" s="817"/>
      <c r="J1128" s="817"/>
      <c r="K1128" s="817"/>
      <c r="M1128" s="817"/>
      <c r="N1128" s="817"/>
      <c r="O1128" s="817"/>
      <c r="P1128" s="817"/>
      <c r="Q1128" s="817"/>
      <c r="R1128" s="817"/>
      <c r="S1128" s="817"/>
      <c r="T1128" s="817"/>
      <c r="U1128" s="817"/>
      <c r="V1128" s="817"/>
      <c r="W1128" s="817"/>
      <c r="X1128" s="817"/>
      <c r="Y1128" s="817"/>
      <c r="Z1128" s="817"/>
      <c r="AC1128" s="817"/>
      <c r="AD1128" s="817"/>
      <c r="AE1128" s="817"/>
      <c r="AF1128" s="817"/>
      <c r="AG1128" s="817"/>
      <c r="AH1128" s="817"/>
      <c r="AI1128" s="817"/>
      <c r="AJ1128" s="817"/>
      <c r="AL1128" s="817"/>
      <c r="AM1128" s="817"/>
      <c r="AN1128" s="817"/>
      <c r="AO1128" s="817"/>
      <c r="AP1128" s="817"/>
      <c r="AQ1128" s="817"/>
      <c r="AR1128" s="817"/>
      <c r="AS1128" s="817"/>
      <c r="AT1128" s="817"/>
      <c r="AU1128" s="817"/>
      <c r="AV1128" s="817"/>
      <c r="AW1128" s="817"/>
      <c r="AX1128" s="817"/>
      <c r="AY1128" s="817"/>
      <c r="AZ1128" s="817"/>
      <c r="BA1128" s="817"/>
      <c r="BC1128" s="817"/>
      <c r="BD1128" s="817"/>
      <c r="BE1128" s="817"/>
      <c r="BF1128" s="817"/>
      <c r="BG1128" s="817"/>
      <c r="BH1128" s="817"/>
      <c r="BI1128" s="817"/>
      <c r="BJ1128" s="817"/>
      <c r="BK1128" s="817">
        <v>5</v>
      </c>
      <c r="BM1128" s="817"/>
      <c r="BN1128" s="817"/>
      <c r="BO1128" s="817"/>
      <c r="BQ1128" s="817"/>
      <c r="BR1128" s="817"/>
      <c r="BS1128" s="817"/>
      <c r="BT1128" s="817"/>
      <c r="BU1128" s="817"/>
    </row>
    <row r="1129" spans="1:73" ht="29" x14ac:dyDescent="0.35">
      <c r="A1129" s="806" t="s">
        <v>880</v>
      </c>
      <c r="B1129" s="806" t="s">
        <v>1247</v>
      </c>
      <c r="C1129" s="806"/>
      <c r="D1129" s="806"/>
      <c r="E1129" s="806"/>
      <c r="F1129" s="806"/>
      <c r="I1129" s="816"/>
      <c r="J1129" s="816"/>
      <c r="K1129" s="816"/>
      <c r="M1129" s="816"/>
      <c r="N1129" s="816"/>
      <c r="O1129" s="816"/>
      <c r="P1129" s="816"/>
      <c r="Q1129" s="816"/>
      <c r="R1129" s="816"/>
      <c r="S1129" s="816"/>
      <c r="T1129" s="816"/>
      <c r="U1129" s="816"/>
      <c r="V1129" s="816"/>
      <c r="W1129" s="816"/>
      <c r="X1129" s="816"/>
      <c r="Y1129" s="816"/>
      <c r="Z1129" s="816"/>
      <c r="AC1129" s="816"/>
      <c r="AD1129" s="816"/>
      <c r="AE1129" s="816"/>
      <c r="AF1129" s="816"/>
      <c r="AG1129" s="816"/>
      <c r="AH1129" s="816" t="s">
        <v>198</v>
      </c>
      <c r="AI1129" s="816"/>
      <c r="AJ1129" s="816"/>
      <c r="AL1129" s="816"/>
      <c r="AM1129" s="816"/>
      <c r="AN1129" s="816"/>
      <c r="AO1129" s="816"/>
      <c r="AP1129" s="816"/>
      <c r="AQ1129" s="816"/>
      <c r="AR1129" s="816"/>
      <c r="AS1129" s="816"/>
      <c r="AT1129" s="816"/>
      <c r="AU1129" s="816"/>
      <c r="AV1129" s="816"/>
      <c r="AW1129" s="816"/>
      <c r="AX1129" s="816"/>
      <c r="AY1129" s="816"/>
      <c r="AZ1129" s="816"/>
      <c r="BA1129" s="816"/>
      <c r="BC1129" s="816"/>
      <c r="BD1129" s="816"/>
      <c r="BE1129" s="816"/>
      <c r="BF1129" s="816"/>
      <c r="BG1129" s="816"/>
      <c r="BH1129" s="816"/>
      <c r="BI1129" s="816"/>
      <c r="BJ1129" s="816"/>
      <c r="BK1129" s="816" t="s">
        <v>503</v>
      </c>
      <c r="BM1129" s="816"/>
      <c r="BN1129" s="816"/>
      <c r="BO1129" s="816"/>
      <c r="BQ1129" s="816"/>
      <c r="BR1129" s="816"/>
      <c r="BS1129" s="816"/>
      <c r="BT1129" s="816"/>
      <c r="BU1129" s="816"/>
    </row>
    <row r="1130" spans="1:73" x14ac:dyDescent="0.35">
      <c r="A1130" s="806" t="s">
        <v>880</v>
      </c>
      <c r="B1130" s="806" t="s">
        <v>1677</v>
      </c>
      <c r="C1130" s="806"/>
      <c r="D1130" s="806"/>
      <c r="E1130" s="806"/>
      <c r="F1130" s="806"/>
      <c r="I1130" s="816"/>
      <c r="K1130" s="816"/>
      <c r="M1130" s="816"/>
      <c r="Q1130" s="816"/>
      <c r="S1130" s="816"/>
      <c r="U1130" s="816"/>
      <c r="V1130" s="816"/>
      <c r="W1130" s="816"/>
      <c r="AD1130" s="816"/>
      <c r="AG1130" s="816"/>
      <c r="AH1130" s="816" t="s">
        <v>503</v>
      </c>
      <c r="AJ1130" s="816"/>
      <c r="AL1130" s="816"/>
      <c r="AM1130" s="816"/>
      <c r="AR1130" s="816"/>
      <c r="AT1130" s="816"/>
      <c r="AU1130" s="816"/>
      <c r="AV1130" s="816"/>
      <c r="AX1130" s="816"/>
      <c r="AY1130" s="816"/>
      <c r="AZ1130" s="816"/>
      <c r="BC1130" s="816"/>
      <c r="BD1130" s="816"/>
      <c r="BE1130" s="816"/>
      <c r="BG1130" s="816"/>
      <c r="BH1130" s="816"/>
      <c r="BI1130" s="816"/>
      <c r="BK1130" s="816" t="s">
        <v>198</v>
      </c>
      <c r="BS1130" s="816"/>
      <c r="BT1130" s="816"/>
      <c r="BU1130" s="816"/>
    </row>
    <row r="1131" spans="1:73" ht="58" x14ac:dyDescent="0.35">
      <c r="A1131" s="806" t="s">
        <v>880</v>
      </c>
      <c r="B1131" s="806" t="s">
        <v>4075</v>
      </c>
      <c r="C1131" s="806"/>
      <c r="D1131" s="806"/>
      <c r="E1131" s="806"/>
      <c r="F1131" s="806"/>
      <c r="BK1131" s="816" t="s">
        <v>4076</v>
      </c>
    </row>
    <row r="1132" spans="1:73" ht="29" x14ac:dyDescent="0.35">
      <c r="A1132" s="806" t="s">
        <v>880</v>
      </c>
      <c r="B1132" s="806" t="s">
        <v>1675</v>
      </c>
      <c r="C1132" s="806"/>
      <c r="D1132" s="806"/>
      <c r="E1132" s="806"/>
      <c r="F1132" s="806"/>
      <c r="I1132" s="816"/>
      <c r="K1132" s="816"/>
      <c r="M1132" s="816"/>
      <c r="Q1132" s="816"/>
      <c r="S1132" s="816"/>
      <c r="U1132" s="816"/>
      <c r="V1132" s="816"/>
      <c r="W1132" s="816"/>
      <c r="AD1132" s="816"/>
      <c r="AG1132" s="816"/>
      <c r="AH1132" s="816" t="s">
        <v>503</v>
      </c>
      <c r="AJ1132" s="816"/>
      <c r="AL1132" s="816"/>
      <c r="AM1132" s="816"/>
      <c r="AR1132" s="816"/>
      <c r="AT1132" s="816"/>
      <c r="AU1132" s="816"/>
      <c r="AV1132" s="816"/>
      <c r="AX1132" s="816"/>
      <c r="AY1132" s="816"/>
      <c r="AZ1132" s="816"/>
      <c r="BC1132" s="816"/>
      <c r="BD1132" s="816"/>
      <c r="BE1132" s="816"/>
      <c r="BG1132" s="816"/>
      <c r="BH1132" s="816"/>
      <c r="BI1132" s="816"/>
      <c r="BK1132" s="816" t="s">
        <v>503</v>
      </c>
      <c r="BS1132" s="816"/>
      <c r="BT1132" s="816"/>
      <c r="BU1132" s="816"/>
    </row>
    <row r="1133" spans="1:73" ht="29" x14ac:dyDescent="0.35">
      <c r="A1133" s="806" t="s">
        <v>880</v>
      </c>
      <c r="B1133" s="806" t="s">
        <v>1233</v>
      </c>
      <c r="C1133" s="806"/>
      <c r="D1133" s="806"/>
      <c r="E1133" s="806"/>
      <c r="F1133" s="806"/>
      <c r="I1133" s="816"/>
      <c r="J1133" s="816"/>
      <c r="K1133" s="816"/>
      <c r="M1133" s="816"/>
      <c r="N1133" s="816"/>
      <c r="O1133" s="816"/>
      <c r="P1133" s="816"/>
      <c r="Q1133" s="816"/>
      <c r="R1133" s="816"/>
      <c r="S1133" s="816"/>
      <c r="T1133" s="816"/>
      <c r="U1133" s="816"/>
      <c r="V1133" s="816"/>
      <c r="W1133" s="816"/>
      <c r="X1133" s="816"/>
      <c r="Y1133" s="816"/>
      <c r="Z1133" s="816"/>
      <c r="AC1133" s="816"/>
      <c r="AD1133" s="816"/>
      <c r="AE1133" s="816"/>
      <c r="AF1133" s="816"/>
      <c r="AG1133" s="816"/>
      <c r="AH1133" s="816" t="s">
        <v>683</v>
      </c>
      <c r="AI1133" s="816"/>
      <c r="AJ1133" s="816"/>
      <c r="AL1133" s="816"/>
      <c r="AM1133" s="816" t="s">
        <v>683</v>
      </c>
      <c r="AN1133" s="816"/>
      <c r="AO1133" s="816"/>
      <c r="AP1133" s="816"/>
      <c r="AQ1133" s="816"/>
      <c r="AR1133" s="816"/>
      <c r="AS1133" s="816"/>
      <c r="AT1133" s="816"/>
      <c r="AU1133" s="816"/>
      <c r="AV1133" s="816"/>
      <c r="AW1133" s="816"/>
      <c r="AX1133" s="816"/>
      <c r="AY1133" s="816"/>
      <c r="AZ1133" s="816"/>
      <c r="BA1133" s="816"/>
      <c r="BC1133" s="816"/>
      <c r="BD1133" s="816"/>
      <c r="BE1133" s="816"/>
      <c r="BF1133" s="816"/>
      <c r="BG1133" s="816"/>
      <c r="BH1133" s="816"/>
      <c r="BI1133" s="816"/>
      <c r="BJ1133" s="816"/>
      <c r="BK1133" s="816" t="s">
        <v>683</v>
      </c>
      <c r="BM1133" s="816"/>
      <c r="BN1133" s="816"/>
      <c r="BO1133" s="816"/>
      <c r="BQ1133" s="816"/>
      <c r="BR1133" s="816"/>
      <c r="BS1133" s="816"/>
      <c r="BT1133" s="816"/>
      <c r="BU1133" s="816"/>
    </row>
    <row r="1134" spans="1:73" x14ac:dyDescent="0.35">
      <c r="A1134" s="806" t="s">
        <v>880</v>
      </c>
      <c r="B1134" s="806" t="s">
        <v>3848</v>
      </c>
      <c r="C1134" s="806"/>
      <c r="D1134" s="806"/>
      <c r="E1134" s="806"/>
      <c r="F1134" s="806"/>
      <c r="AH1134" s="818">
        <v>350000</v>
      </c>
      <c r="BK1134" s="818">
        <v>464000</v>
      </c>
    </row>
    <row r="1135" spans="1:73" x14ac:dyDescent="0.35">
      <c r="A1135" s="806" t="s">
        <v>880</v>
      </c>
      <c r="B1135" s="806" t="s">
        <v>3849</v>
      </c>
      <c r="C1135" s="806"/>
      <c r="D1135" s="806"/>
      <c r="E1135" s="806"/>
      <c r="F1135" s="806"/>
      <c r="AH1135" s="818">
        <v>300000</v>
      </c>
      <c r="BK1135" s="818">
        <v>480500</v>
      </c>
    </row>
    <row r="1136" spans="1:73" x14ac:dyDescent="0.35">
      <c r="A1136" s="806" t="s">
        <v>880</v>
      </c>
      <c r="B1136" s="806" t="s">
        <v>4137</v>
      </c>
      <c r="C1136" s="806"/>
      <c r="D1136" s="806"/>
      <c r="E1136" s="806"/>
      <c r="F1136" s="806"/>
      <c r="BK1136" s="818">
        <v>464000</v>
      </c>
    </row>
    <row r="1137" spans="1:73" x14ac:dyDescent="0.35">
      <c r="A1137" s="806" t="s">
        <v>880</v>
      </c>
      <c r="B1137" s="806" t="s">
        <v>4138</v>
      </c>
      <c r="C1137" s="806"/>
      <c r="D1137" s="806"/>
      <c r="E1137" s="806"/>
      <c r="F1137" s="806"/>
      <c r="BK1137" s="818">
        <v>480000</v>
      </c>
    </row>
    <row r="1138" spans="1:73" x14ac:dyDescent="0.35">
      <c r="A1138" s="806" t="s">
        <v>880</v>
      </c>
      <c r="B1138" s="806" t="s">
        <v>4139</v>
      </c>
      <c r="C1138" s="806"/>
      <c r="D1138" s="806"/>
      <c r="E1138" s="806"/>
      <c r="F1138" s="806"/>
      <c r="BK1138" s="818">
        <v>464000</v>
      </c>
    </row>
    <row r="1139" spans="1:73" x14ac:dyDescent="0.35">
      <c r="A1139" s="806" t="s">
        <v>880</v>
      </c>
      <c r="B1139" s="806" t="s">
        <v>4140</v>
      </c>
      <c r="C1139" s="806"/>
      <c r="D1139" s="806"/>
      <c r="E1139" s="806"/>
      <c r="F1139" s="806"/>
      <c r="BK1139" s="818">
        <v>480000</v>
      </c>
    </row>
    <row r="1140" spans="1:73" ht="29" x14ac:dyDescent="0.35">
      <c r="A1140" s="806" t="s">
        <v>880</v>
      </c>
      <c r="B1140" s="806" t="s">
        <v>4067</v>
      </c>
      <c r="C1140" s="806"/>
      <c r="D1140" s="806"/>
      <c r="E1140" s="806"/>
      <c r="F1140" s="806"/>
      <c r="BK1140" s="816" t="s">
        <v>503</v>
      </c>
    </row>
    <row r="1141" spans="1:73" x14ac:dyDescent="0.35">
      <c r="A1141" s="806" t="s">
        <v>880</v>
      </c>
      <c r="B1141" s="806" t="s">
        <v>1702</v>
      </c>
      <c r="C1141" s="806"/>
      <c r="D1141" s="806"/>
      <c r="E1141" s="806"/>
      <c r="F1141" s="806"/>
      <c r="I1141" s="816"/>
      <c r="K1141" s="816"/>
      <c r="M1141" s="816"/>
      <c r="Q1141" s="816"/>
      <c r="S1141" s="816"/>
      <c r="U1141" s="816"/>
      <c r="V1141" s="816"/>
      <c r="W1141" s="816"/>
      <c r="AD1141" s="816"/>
      <c r="AG1141" s="816"/>
      <c r="AH1141" s="816" t="s">
        <v>198</v>
      </c>
      <c r="AJ1141" s="816"/>
      <c r="AL1141" s="816"/>
      <c r="AR1141" s="816"/>
      <c r="AT1141" s="816"/>
      <c r="AU1141" s="816"/>
      <c r="AV1141" s="816"/>
      <c r="AX1141" s="816"/>
      <c r="AY1141" s="816"/>
      <c r="AZ1141" s="816"/>
      <c r="BC1141" s="816"/>
      <c r="BD1141" s="816"/>
      <c r="BE1141" s="816"/>
      <c r="BG1141" s="816"/>
      <c r="BH1141" s="816"/>
      <c r="BI1141" s="816"/>
      <c r="BK1141" s="816" t="s">
        <v>198</v>
      </c>
      <c r="BS1141" s="816"/>
      <c r="BT1141" s="816"/>
      <c r="BU1141" s="816"/>
    </row>
    <row r="1142" spans="1:73" ht="409.5" x14ac:dyDescent="0.35">
      <c r="A1142" s="806" t="s">
        <v>880</v>
      </c>
      <c r="B1142" s="806" t="s">
        <v>1707</v>
      </c>
      <c r="C1142" s="806"/>
      <c r="D1142" s="806"/>
      <c r="E1142" s="806"/>
      <c r="F1142" s="806"/>
      <c r="I1142" s="816"/>
      <c r="K1142" s="816"/>
      <c r="M1142" s="816"/>
      <c r="Q1142" s="816"/>
      <c r="S1142" s="816"/>
      <c r="U1142" s="816"/>
      <c r="V1142" s="816"/>
      <c r="W1142" s="816"/>
      <c r="AD1142" s="816"/>
      <c r="AG1142" s="816"/>
      <c r="AH1142" s="816" t="s">
        <v>3184</v>
      </c>
      <c r="AJ1142" s="816"/>
      <c r="AL1142" s="816"/>
      <c r="AR1142" s="816"/>
      <c r="AT1142" s="816"/>
      <c r="AU1142" s="816"/>
      <c r="AV1142" s="816"/>
      <c r="AX1142" s="816"/>
      <c r="AY1142" s="816"/>
      <c r="AZ1142" s="816"/>
      <c r="BC1142" s="816"/>
      <c r="BD1142" s="816"/>
      <c r="BE1142" s="816"/>
      <c r="BG1142" s="816"/>
      <c r="BH1142" s="816"/>
      <c r="BI1142" s="816"/>
      <c r="BK1142" s="816" t="s">
        <v>4066</v>
      </c>
      <c r="BS1142" s="816"/>
      <c r="BT1142" s="816"/>
      <c r="BU1142" s="816"/>
    </row>
    <row r="1143" spans="1:73" x14ac:dyDescent="0.35">
      <c r="A1143" s="806" t="s">
        <v>880</v>
      </c>
      <c r="B1143" s="806" t="s">
        <v>1703</v>
      </c>
      <c r="C1143" s="806"/>
      <c r="D1143" s="806"/>
      <c r="E1143" s="806"/>
      <c r="F1143" s="806"/>
      <c r="I1143" s="816"/>
      <c r="K1143" s="816"/>
      <c r="M1143" s="816"/>
      <c r="Q1143" s="816"/>
      <c r="S1143" s="816"/>
      <c r="U1143" s="816"/>
      <c r="V1143" s="816"/>
      <c r="W1143" s="816"/>
      <c r="AD1143" s="816"/>
      <c r="AG1143" s="816"/>
      <c r="AH1143" s="816" t="s">
        <v>198</v>
      </c>
      <c r="AJ1143" s="816"/>
      <c r="AL1143" s="816"/>
      <c r="AR1143" s="816"/>
      <c r="AT1143" s="816"/>
      <c r="AU1143" s="816"/>
      <c r="AV1143" s="816"/>
      <c r="AX1143" s="816"/>
      <c r="AY1143" s="816"/>
      <c r="AZ1143" s="816"/>
      <c r="BC1143" s="816"/>
      <c r="BD1143" s="816"/>
      <c r="BE1143" s="816"/>
      <c r="BG1143" s="816"/>
      <c r="BH1143" s="816"/>
      <c r="BI1143" s="816"/>
      <c r="BK1143" s="816" t="s">
        <v>198</v>
      </c>
      <c r="BS1143" s="816"/>
      <c r="BT1143" s="816"/>
      <c r="BU1143" s="816"/>
    </row>
    <row r="1144" spans="1:73" x14ac:dyDescent="0.35">
      <c r="A1144" s="806" t="s">
        <v>880</v>
      </c>
      <c r="B1144" s="806" t="s">
        <v>3815</v>
      </c>
      <c r="C1144" s="806"/>
      <c r="D1144" s="806"/>
      <c r="E1144" s="806"/>
      <c r="F1144" s="806"/>
      <c r="AH1144" s="817">
        <v>13</v>
      </c>
      <c r="BK1144" s="817">
        <v>16</v>
      </c>
    </row>
    <row r="1145" spans="1:73" x14ac:dyDescent="0.35">
      <c r="A1145" s="806" t="s">
        <v>880</v>
      </c>
      <c r="B1145" s="806" t="s">
        <v>3816</v>
      </c>
      <c r="C1145" s="806"/>
      <c r="D1145" s="806"/>
      <c r="E1145" s="806"/>
      <c r="F1145" s="806"/>
      <c r="AH1145" s="817"/>
      <c r="BK1145" s="817">
        <v>0</v>
      </c>
    </row>
    <row r="1146" spans="1:73" x14ac:dyDescent="0.35">
      <c r="A1146" s="806" t="s">
        <v>880</v>
      </c>
      <c r="B1146" s="806" t="s">
        <v>4082</v>
      </c>
      <c r="C1146" s="806"/>
      <c r="D1146" s="806"/>
      <c r="E1146" s="806"/>
      <c r="F1146" s="806"/>
      <c r="BK1146" s="816" t="s">
        <v>4079</v>
      </c>
    </row>
    <row r="1147" spans="1:73" x14ac:dyDescent="0.35">
      <c r="A1147" s="806" t="s">
        <v>880</v>
      </c>
      <c r="B1147" s="806" t="s">
        <v>4083</v>
      </c>
      <c r="C1147" s="806"/>
      <c r="D1147" s="806"/>
      <c r="E1147" s="806"/>
      <c r="F1147" s="806"/>
      <c r="BK1147" s="818">
        <v>3600000</v>
      </c>
    </row>
    <row r="1148" spans="1:73" x14ac:dyDescent="0.35">
      <c r="A1148" s="806" t="s">
        <v>880</v>
      </c>
      <c r="B1148" s="806" t="s">
        <v>4085</v>
      </c>
      <c r="C1148" s="806"/>
      <c r="D1148" s="806"/>
      <c r="E1148" s="806"/>
      <c r="F1148" s="806"/>
      <c r="BK1148" s="818">
        <v>3874406</v>
      </c>
    </row>
    <row r="1149" spans="1:73" x14ac:dyDescent="0.35">
      <c r="A1149" s="806" t="s">
        <v>880</v>
      </c>
      <c r="B1149" s="806" t="s">
        <v>4064</v>
      </c>
      <c r="C1149" s="806"/>
      <c r="D1149" s="806"/>
      <c r="E1149" s="806"/>
      <c r="F1149" s="806"/>
      <c r="BK1149" s="818">
        <v>3680000</v>
      </c>
    </row>
    <row r="1150" spans="1:73" x14ac:dyDescent="0.35">
      <c r="A1150" s="806" t="s">
        <v>880</v>
      </c>
      <c r="B1150" s="806" t="s">
        <v>4086</v>
      </c>
      <c r="C1150" s="806"/>
      <c r="D1150" s="806"/>
      <c r="E1150" s="806"/>
      <c r="F1150" s="806"/>
      <c r="BK1150" s="818">
        <v>3874406</v>
      </c>
    </row>
    <row r="1151" spans="1:73" x14ac:dyDescent="0.35">
      <c r="A1151" s="806" t="s">
        <v>880</v>
      </c>
      <c r="B1151" s="806" t="s">
        <v>4038</v>
      </c>
      <c r="C1151" s="806"/>
      <c r="D1151" s="806"/>
      <c r="E1151" s="806"/>
      <c r="F1151" s="806"/>
      <c r="BK1151" s="816" t="s">
        <v>503</v>
      </c>
    </row>
    <row r="1152" spans="1:73" x14ac:dyDescent="0.35">
      <c r="A1152" s="806" t="s">
        <v>880</v>
      </c>
      <c r="B1152" s="806" t="s">
        <v>4039</v>
      </c>
      <c r="C1152" s="806"/>
      <c r="D1152" s="806"/>
      <c r="E1152" s="806"/>
      <c r="F1152" s="806"/>
      <c r="BK1152" s="816" t="s">
        <v>503</v>
      </c>
    </row>
    <row r="1153" spans="1:73" ht="29" x14ac:dyDescent="0.35">
      <c r="A1153" s="806" t="s">
        <v>880</v>
      </c>
      <c r="B1153" s="806" t="s">
        <v>4084</v>
      </c>
      <c r="C1153" s="806"/>
      <c r="D1153" s="806"/>
      <c r="E1153" s="806"/>
      <c r="F1153" s="806"/>
      <c r="BK1153" s="818">
        <v>80000</v>
      </c>
    </row>
    <row r="1154" spans="1:73" ht="29" x14ac:dyDescent="0.35">
      <c r="A1154" s="806" t="s">
        <v>880</v>
      </c>
      <c r="B1154" s="806" t="s">
        <v>4040</v>
      </c>
      <c r="C1154" s="806"/>
      <c r="D1154" s="806"/>
      <c r="E1154" s="806"/>
      <c r="F1154" s="806"/>
      <c r="BK1154" s="816">
        <v>2</v>
      </c>
    </row>
    <row r="1155" spans="1:73" ht="29" x14ac:dyDescent="0.35">
      <c r="A1155" s="806" t="s">
        <v>880</v>
      </c>
      <c r="B1155" s="806" t="s">
        <v>4041</v>
      </c>
      <c r="C1155" s="806"/>
      <c r="D1155" s="806"/>
      <c r="E1155" s="806"/>
      <c r="F1155" s="806"/>
      <c r="BK1155" s="816">
        <v>1</v>
      </c>
    </row>
    <row r="1156" spans="1:73" ht="29" x14ac:dyDescent="0.35">
      <c r="A1156" s="806" t="s">
        <v>880</v>
      </c>
      <c r="B1156" s="806" t="s">
        <v>4048</v>
      </c>
      <c r="C1156" s="806"/>
      <c r="D1156" s="806"/>
      <c r="E1156" s="806"/>
      <c r="F1156" s="806"/>
      <c r="BK1156" s="817">
        <v>30</v>
      </c>
    </row>
    <row r="1157" spans="1:73" ht="29" x14ac:dyDescent="0.35">
      <c r="A1157" s="806" t="s">
        <v>880</v>
      </c>
      <c r="B1157" s="806" t="s">
        <v>4049</v>
      </c>
      <c r="C1157" s="806"/>
      <c r="D1157" s="806"/>
      <c r="E1157" s="806"/>
      <c r="F1157" s="806"/>
      <c r="BK1157" s="817">
        <v>30</v>
      </c>
    </row>
    <row r="1158" spans="1:73" x14ac:dyDescent="0.35">
      <c r="A1158" s="806" t="s">
        <v>880</v>
      </c>
      <c r="B1158" s="806" t="s">
        <v>4042</v>
      </c>
      <c r="C1158" s="806"/>
      <c r="D1158" s="806"/>
      <c r="E1158" s="806"/>
      <c r="F1158" s="806"/>
      <c r="BK1158" s="823">
        <v>0.03</v>
      </c>
    </row>
    <row r="1159" spans="1:73" x14ac:dyDescent="0.35">
      <c r="A1159" s="806" t="s">
        <v>880</v>
      </c>
      <c r="B1159" s="806" t="s">
        <v>4043</v>
      </c>
      <c r="C1159" s="806"/>
      <c r="D1159" s="806"/>
      <c r="E1159" s="806"/>
      <c r="F1159" s="806"/>
      <c r="BK1159" s="823">
        <v>6.5000000000000002E-2</v>
      </c>
    </row>
    <row r="1160" spans="1:73" x14ac:dyDescent="0.35">
      <c r="A1160" s="806" t="s">
        <v>880</v>
      </c>
      <c r="B1160" s="806" t="s">
        <v>4044</v>
      </c>
      <c r="C1160" s="806"/>
      <c r="D1160" s="806"/>
      <c r="E1160" s="806"/>
      <c r="F1160" s="806"/>
      <c r="BK1160" s="816" t="s">
        <v>2319</v>
      </c>
    </row>
    <row r="1161" spans="1:73" x14ac:dyDescent="0.35">
      <c r="A1161" s="806" t="s">
        <v>880</v>
      </c>
      <c r="B1161" s="806" t="s">
        <v>4045</v>
      </c>
      <c r="C1161" s="806"/>
      <c r="D1161" s="806"/>
      <c r="E1161" s="806"/>
      <c r="F1161" s="806"/>
      <c r="BK1161" s="816" t="s">
        <v>2319</v>
      </c>
    </row>
    <row r="1162" spans="1:73" x14ac:dyDescent="0.35">
      <c r="A1162" s="806" t="s">
        <v>880</v>
      </c>
      <c r="B1162" s="806" t="s">
        <v>4046</v>
      </c>
      <c r="C1162" s="806"/>
      <c r="D1162" s="806"/>
      <c r="E1162" s="806"/>
      <c r="F1162" s="806"/>
      <c r="BK1162" s="816" t="s">
        <v>2517</v>
      </c>
    </row>
    <row r="1163" spans="1:73" x14ac:dyDescent="0.35">
      <c r="A1163" s="806" t="s">
        <v>880</v>
      </c>
      <c r="B1163" s="806" t="s">
        <v>4047</v>
      </c>
      <c r="C1163" s="806"/>
      <c r="D1163" s="806"/>
      <c r="E1163" s="806"/>
      <c r="F1163" s="806"/>
      <c r="BK1163" s="816" t="s">
        <v>2321</v>
      </c>
    </row>
    <row r="1164" spans="1:73" ht="29" x14ac:dyDescent="0.35">
      <c r="A1164" s="806" t="s">
        <v>880</v>
      </c>
      <c r="B1164" s="806" t="s">
        <v>4087</v>
      </c>
      <c r="C1164" s="806"/>
      <c r="D1164" s="806"/>
      <c r="E1164" s="806"/>
      <c r="F1164" s="806"/>
      <c r="BK1164" s="818">
        <v>0</v>
      </c>
    </row>
    <row r="1165" spans="1:73" x14ac:dyDescent="0.35">
      <c r="A1165" s="806" t="s">
        <v>880</v>
      </c>
      <c r="B1165" s="806" t="s">
        <v>1230</v>
      </c>
      <c r="C1165" s="806"/>
      <c r="D1165" s="806"/>
      <c r="E1165" s="806"/>
      <c r="F1165" s="806"/>
      <c r="I1165" s="816"/>
      <c r="J1165" s="816"/>
      <c r="K1165" s="816"/>
      <c r="M1165" s="816"/>
      <c r="N1165" s="816"/>
      <c r="O1165" s="816"/>
      <c r="P1165" s="816"/>
      <c r="Q1165" s="816"/>
      <c r="R1165" s="816"/>
      <c r="S1165" s="816"/>
      <c r="T1165" s="816"/>
      <c r="U1165" s="816"/>
      <c r="V1165" s="816"/>
      <c r="W1165" s="816"/>
      <c r="X1165" s="816"/>
      <c r="Y1165" s="816"/>
      <c r="Z1165" s="816"/>
      <c r="AC1165" s="816"/>
      <c r="AD1165" s="816"/>
      <c r="AE1165" s="816"/>
      <c r="AF1165" s="816"/>
      <c r="AG1165" s="816"/>
      <c r="AH1165" s="816" t="s">
        <v>1717</v>
      </c>
      <c r="AI1165" s="816"/>
      <c r="AJ1165" s="816"/>
      <c r="AL1165" s="816"/>
      <c r="AM1165" s="816" t="s">
        <v>1717</v>
      </c>
      <c r="AN1165" s="816"/>
      <c r="AO1165" s="816"/>
      <c r="AP1165" s="816"/>
      <c r="AQ1165" s="816"/>
      <c r="AR1165" s="816"/>
      <c r="AS1165" s="816"/>
      <c r="AT1165" s="816"/>
      <c r="AU1165" s="816"/>
      <c r="AV1165" s="816"/>
      <c r="AW1165" s="816"/>
      <c r="AX1165" s="816"/>
      <c r="AY1165" s="816"/>
      <c r="AZ1165" s="816"/>
      <c r="BA1165" s="816"/>
      <c r="BC1165" s="816"/>
      <c r="BD1165" s="816"/>
      <c r="BE1165" s="816"/>
      <c r="BF1165" s="816"/>
      <c r="BG1165" s="816"/>
      <c r="BH1165" s="816"/>
      <c r="BI1165" s="816"/>
      <c r="BJ1165" s="816"/>
      <c r="BK1165" s="816" t="s">
        <v>1717</v>
      </c>
      <c r="BM1165" s="816"/>
      <c r="BN1165" s="816"/>
      <c r="BO1165" s="816"/>
      <c r="BQ1165" s="816"/>
      <c r="BR1165" s="816"/>
      <c r="BS1165" s="816"/>
      <c r="BT1165" s="816"/>
      <c r="BU1165" s="816"/>
    </row>
    <row r="1166" spans="1:73" x14ac:dyDescent="0.35">
      <c r="A1166" s="806" t="s">
        <v>880</v>
      </c>
      <c r="B1166" s="806" t="s">
        <v>1258</v>
      </c>
      <c r="C1166" s="806"/>
      <c r="D1166" s="806"/>
      <c r="E1166" s="806"/>
      <c r="F1166" s="806"/>
      <c r="I1166" s="816"/>
      <c r="J1166" s="816"/>
      <c r="K1166" s="816"/>
      <c r="M1166" s="816"/>
      <c r="N1166" s="816"/>
      <c r="O1166" s="816"/>
      <c r="P1166" s="816"/>
      <c r="Q1166" s="816"/>
      <c r="R1166" s="816"/>
      <c r="S1166" s="816"/>
      <c r="T1166" s="816"/>
      <c r="U1166" s="816"/>
      <c r="V1166" s="816"/>
      <c r="W1166" s="816"/>
      <c r="X1166" s="816"/>
      <c r="Y1166" s="816"/>
      <c r="Z1166" s="816"/>
      <c r="AC1166" s="816"/>
      <c r="AD1166" s="816"/>
      <c r="AE1166" s="816"/>
      <c r="AF1166" s="816"/>
      <c r="AG1166" s="816"/>
      <c r="AH1166" s="816"/>
      <c r="AI1166" s="816"/>
      <c r="AJ1166" s="816"/>
      <c r="AL1166" s="816"/>
      <c r="AM1166" s="816"/>
      <c r="AN1166" s="816"/>
      <c r="AO1166" s="816"/>
      <c r="AP1166" s="816"/>
      <c r="AQ1166" s="816"/>
      <c r="AR1166" s="816"/>
      <c r="AS1166" s="816"/>
      <c r="AT1166" s="816"/>
      <c r="AU1166" s="816"/>
      <c r="AV1166" s="816"/>
      <c r="AW1166" s="816"/>
      <c r="AX1166" s="816"/>
      <c r="AY1166" s="816"/>
      <c r="AZ1166" s="816"/>
      <c r="BA1166" s="816"/>
      <c r="BC1166" s="816"/>
      <c r="BD1166" s="816"/>
      <c r="BE1166" s="816"/>
      <c r="BF1166" s="816"/>
      <c r="BG1166" s="816"/>
      <c r="BH1166" s="816"/>
      <c r="BI1166" s="816"/>
      <c r="BJ1166" s="816"/>
      <c r="BK1166" s="816" t="s">
        <v>3996</v>
      </c>
      <c r="BM1166" s="816"/>
      <c r="BN1166" s="816"/>
      <c r="BO1166" s="816"/>
      <c r="BQ1166" s="816"/>
      <c r="BR1166" s="816"/>
      <c r="BS1166" s="816"/>
      <c r="BT1166" s="816"/>
      <c r="BU1166" s="816"/>
    </row>
    <row r="1167" spans="1:73" x14ac:dyDescent="0.35">
      <c r="A1167" s="806" t="s">
        <v>880</v>
      </c>
      <c r="B1167" s="806" t="s">
        <v>4155</v>
      </c>
      <c r="C1167" s="806"/>
      <c r="D1167" s="806"/>
      <c r="E1167" s="806"/>
      <c r="F1167" s="806"/>
      <c r="BK1167" s="816" t="s">
        <v>4156</v>
      </c>
    </row>
    <row r="1168" spans="1:73" x14ac:dyDescent="0.35">
      <c r="A1168" s="806" t="s">
        <v>880</v>
      </c>
      <c r="B1168" s="806" t="s">
        <v>4157</v>
      </c>
      <c r="C1168" s="806"/>
      <c r="D1168" s="806"/>
      <c r="E1168" s="806"/>
      <c r="F1168" s="806"/>
      <c r="BK1168" s="818">
        <v>13712</v>
      </c>
    </row>
    <row r="1169" spans="1:63" x14ac:dyDescent="0.35">
      <c r="A1169" s="806" t="s">
        <v>880</v>
      </c>
      <c r="B1169" s="806" t="s">
        <v>4147</v>
      </c>
      <c r="C1169" s="806"/>
      <c r="D1169" s="806"/>
      <c r="E1169" s="806"/>
      <c r="F1169" s="806"/>
      <c r="BK1169" s="818">
        <v>176724</v>
      </c>
    </row>
    <row r="1170" spans="1:63" x14ac:dyDescent="0.35">
      <c r="A1170" s="806" t="s">
        <v>880</v>
      </c>
      <c r="B1170" s="806" t="s">
        <v>4024</v>
      </c>
      <c r="C1170" s="806"/>
      <c r="D1170" s="806"/>
      <c r="E1170" s="806"/>
      <c r="F1170" s="806"/>
      <c r="BK1170" s="818">
        <v>615510</v>
      </c>
    </row>
    <row r="1171" spans="1:63" x14ac:dyDescent="0.35">
      <c r="A1171" s="806" t="s">
        <v>880</v>
      </c>
      <c r="B1171" s="806" t="s">
        <v>4025</v>
      </c>
      <c r="C1171" s="806"/>
      <c r="D1171" s="806"/>
      <c r="E1171" s="806"/>
      <c r="F1171" s="806"/>
      <c r="BK1171" s="818">
        <v>293878</v>
      </c>
    </row>
    <row r="1172" spans="1:63" x14ac:dyDescent="0.35">
      <c r="A1172" s="806" t="s">
        <v>880</v>
      </c>
      <c r="B1172" s="806" t="s">
        <v>4158</v>
      </c>
      <c r="C1172" s="806"/>
      <c r="D1172" s="806"/>
      <c r="E1172" s="806"/>
      <c r="F1172" s="806"/>
      <c r="BK1172" s="818">
        <v>51263</v>
      </c>
    </row>
    <row r="1173" spans="1:63" x14ac:dyDescent="0.35">
      <c r="A1173" s="806" t="s">
        <v>880</v>
      </c>
      <c r="B1173" s="806" t="s">
        <v>4145</v>
      </c>
      <c r="C1173" s="806"/>
      <c r="D1173" s="806"/>
      <c r="E1173" s="806"/>
      <c r="F1173" s="806"/>
      <c r="BK1173" s="818">
        <v>32000</v>
      </c>
    </row>
    <row r="1174" spans="1:63" x14ac:dyDescent="0.35">
      <c r="A1174" s="806" t="s">
        <v>880</v>
      </c>
      <c r="B1174" s="806" t="s">
        <v>4019</v>
      </c>
      <c r="C1174" s="806"/>
      <c r="D1174" s="806"/>
      <c r="E1174" s="806"/>
      <c r="F1174" s="806"/>
      <c r="BK1174" s="816" t="s">
        <v>503</v>
      </c>
    </row>
    <row r="1175" spans="1:63" x14ac:dyDescent="0.35">
      <c r="A1175" s="806" t="s">
        <v>880</v>
      </c>
      <c r="B1175" s="806" t="s">
        <v>4020</v>
      </c>
      <c r="C1175" s="806"/>
      <c r="D1175" s="806"/>
      <c r="E1175" s="806"/>
      <c r="F1175" s="806"/>
      <c r="BK1175" s="816" t="s">
        <v>198</v>
      </c>
    </row>
    <row r="1176" spans="1:63" x14ac:dyDescent="0.35">
      <c r="A1176" s="806" t="s">
        <v>880</v>
      </c>
      <c r="B1176" s="806" t="s">
        <v>4021</v>
      </c>
      <c r="C1176" s="806"/>
      <c r="D1176" s="806"/>
      <c r="E1176" s="806"/>
      <c r="F1176" s="806"/>
      <c r="BK1176" s="816" t="s">
        <v>198</v>
      </c>
    </row>
    <row r="1177" spans="1:63" x14ac:dyDescent="0.35">
      <c r="A1177" s="806" t="s">
        <v>880</v>
      </c>
      <c r="B1177" s="806" t="s">
        <v>4022</v>
      </c>
      <c r="C1177" s="806"/>
      <c r="D1177" s="806"/>
      <c r="E1177" s="806"/>
      <c r="F1177" s="806"/>
      <c r="BK1177" s="816" t="s">
        <v>198</v>
      </c>
    </row>
    <row r="1178" spans="1:63" x14ac:dyDescent="0.35">
      <c r="A1178" s="806" t="s">
        <v>880</v>
      </c>
      <c r="B1178" s="806" t="s">
        <v>4146</v>
      </c>
      <c r="C1178" s="806"/>
      <c r="D1178" s="806"/>
      <c r="E1178" s="806"/>
      <c r="F1178" s="806"/>
      <c r="BK1178" s="818">
        <v>64000</v>
      </c>
    </row>
    <row r="1179" spans="1:63" ht="29" x14ac:dyDescent="0.35">
      <c r="A1179" s="806" t="s">
        <v>880</v>
      </c>
      <c r="B1179" s="806" t="s">
        <v>4150</v>
      </c>
      <c r="C1179" s="806"/>
      <c r="D1179" s="806"/>
      <c r="E1179" s="806"/>
      <c r="F1179" s="806"/>
      <c r="BK1179" s="818">
        <v>7102</v>
      </c>
    </row>
    <row r="1180" spans="1:63" x14ac:dyDescent="0.35">
      <c r="A1180" s="806" t="s">
        <v>880</v>
      </c>
      <c r="B1180" s="806" t="s">
        <v>4153</v>
      </c>
      <c r="C1180" s="806"/>
      <c r="D1180" s="806"/>
      <c r="E1180" s="806"/>
      <c r="F1180" s="806"/>
      <c r="BK1180" s="818">
        <v>1422</v>
      </c>
    </row>
    <row r="1181" spans="1:63" ht="29" x14ac:dyDescent="0.35">
      <c r="A1181" s="806" t="s">
        <v>880</v>
      </c>
      <c r="B1181" s="806" t="s">
        <v>4149</v>
      </c>
      <c r="C1181" s="806"/>
      <c r="D1181" s="806"/>
      <c r="E1181" s="806"/>
      <c r="F1181" s="806"/>
      <c r="BK1181" s="818">
        <v>58486</v>
      </c>
    </row>
    <row r="1182" spans="1:63" ht="29" x14ac:dyDescent="0.35">
      <c r="A1182" s="806" t="s">
        <v>880</v>
      </c>
      <c r="B1182" s="806" t="s">
        <v>4028</v>
      </c>
      <c r="C1182" s="806"/>
      <c r="D1182" s="806"/>
      <c r="E1182" s="806"/>
      <c r="F1182" s="806"/>
      <c r="BK1182" s="818">
        <v>615510</v>
      </c>
    </row>
    <row r="1183" spans="1:63" ht="29" x14ac:dyDescent="0.35">
      <c r="A1183" s="806" t="s">
        <v>880</v>
      </c>
      <c r="B1183" s="806" t="s">
        <v>4029</v>
      </c>
      <c r="C1183" s="806"/>
      <c r="D1183" s="806"/>
      <c r="E1183" s="806"/>
      <c r="F1183" s="806"/>
      <c r="BK1183" s="818">
        <v>293878</v>
      </c>
    </row>
    <row r="1184" spans="1:63" ht="29" x14ac:dyDescent="0.35">
      <c r="A1184" s="806" t="s">
        <v>880</v>
      </c>
      <c r="B1184" s="806" t="s">
        <v>4148</v>
      </c>
      <c r="C1184" s="806"/>
      <c r="D1184" s="806"/>
      <c r="E1184" s="806"/>
      <c r="F1184" s="806"/>
      <c r="BK1184" s="818">
        <v>37551</v>
      </c>
    </row>
    <row r="1185" spans="1:73" x14ac:dyDescent="0.35">
      <c r="A1185" s="806" t="s">
        <v>880</v>
      </c>
      <c r="B1185" s="806" t="s">
        <v>4016</v>
      </c>
      <c r="C1185" s="806"/>
      <c r="D1185" s="806"/>
      <c r="E1185" s="806"/>
      <c r="F1185" s="806"/>
      <c r="BK1185" s="816">
        <v>3</v>
      </c>
    </row>
    <row r="1186" spans="1:73" x14ac:dyDescent="0.35">
      <c r="A1186" s="806" t="s">
        <v>880</v>
      </c>
      <c r="B1186" s="806" t="s">
        <v>4017</v>
      </c>
      <c r="C1186" s="806"/>
      <c r="D1186" s="806"/>
      <c r="E1186" s="806"/>
      <c r="F1186" s="806"/>
      <c r="BK1186" s="816">
        <v>1</v>
      </c>
    </row>
    <row r="1187" spans="1:73" x14ac:dyDescent="0.35">
      <c r="A1187" s="806" t="s">
        <v>880</v>
      </c>
      <c r="B1187" s="806" t="s">
        <v>4018</v>
      </c>
      <c r="C1187" s="806"/>
      <c r="D1187" s="806"/>
      <c r="E1187" s="806"/>
      <c r="F1187" s="806"/>
      <c r="BK1187" s="816">
        <v>2</v>
      </c>
    </row>
    <row r="1188" spans="1:73" x14ac:dyDescent="0.35">
      <c r="A1188" s="806" t="s">
        <v>880</v>
      </c>
      <c r="B1188" s="806" t="s">
        <v>4023</v>
      </c>
      <c r="C1188" s="806"/>
      <c r="D1188" s="806"/>
      <c r="E1188" s="806"/>
      <c r="F1188" s="806"/>
      <c r="BK1188" s="816" t="s">
        <v>683</v>
      </c>
    </row>
    <row r="1189" spans="1:73" x14ac:dyDescent="0.35">
      <c r="A1189" s="806" t="s">
        <v>880</v>
      </c>
      <c r="B1189" s="806" t="s">
        <v>4013</v>
      </c>
      <c r="C1189" s="806"/>
      <c r="D1189" s="806"/>
      <c r="E1189" s="806"/>
      <c r="F1189" s="806"/>
      <c r="BK1189" s="823">
        <v>0.03</v>
      </c>
    </row>
    <row r="1190" spans="1:73" x14ac:dyDescent="0.35">
      <c r="A1190" s="806" t="s">
        <v>880</v>
      </c>
      <c r="B1190" s="806" t="s">
        <v>4014</v>
      </c>
      <c r="C1190" s="806"/>
      <c r="D1190" s="806"/>
      <c r="E1190" s="806"/>
      <c r="F1190" s="806"/>
      <c r="BK1190" s="823">
        <v>0.08</v>
      </c>
    </row>
    <row r="1191" spans="1:73" x14ac:dyDescent="0.35">
      <c r="A1191" s="806" t="s">
        <v>880</v>
      </c>
      <c r="B1191" s="806" t="s">
        <v>4015</v>
      </c>
      <c r="C1191" s="806"/>
      <c r="D1191" s="806"/>
      <c r="E1191" s="806"/>
      <c r="F1191" s="806"/>
      <c r="BK1191" s="823">
        <v>4.4999999999999998E-2</v>
      </c>
    </row>
    <row r="1192" spans="1:73" ht="29" x14ac:dyDescent="0.35">
      <c r="A1192" s="806" t="s">
        <v>880</v>
      </c>
      <c r="B1192" s="806" t="s">
        <v>4026</v>
      </c>
      <c r="C1192" s="806"/>
      <c r="D1192" s="806"/>
      <c r="E1192" s="806"/>
      <c r="F1192" s="806"/>
      <c r="BK1192" s="818">
        <v>4103</v>
      </c>
    </row>
    <row r="1193" spans="1:73" ht="29" x14ac:dyDescent="0.35">
      <c r="A1193" s="806" t="s">
        <v>880</v>
      </c>
      <c r="B1193" s="806" t="s">
        <v>4027</v>
      </c>
      <c r="C1193" s="806"/>
      <c r="D1193" s="806"/>
      <c r="E1193" s="806"/>
      <c r="F1193" s="806"/>
      <c r="BK1193" s="818">
        <v>3375</v>
      </c>
    </row>
    <row r="1194" spans="1:73" x14ac:dyDescent="0.35">
      <c r="A1194" s="806" t="s">
        <v>880</v>
      </c>
      <c r="B1194" s="806" t="s">
        <v>1228</v>
      </c>
      <c r="C1194" s="806"/>
      <c r="D1194" s="806"/>
      <c r="E1194" s="806"/>
      <c r="F1194" s="806"/>
      <c r="I1194" s="816"/>
      <c r="J1194" s="816"/>
      <c r="K1194" s="816"/>
      <c r="M1194" s="816"/>
      <c r="N1194" s="816"/>
      <c r="O1194" s="816"/>
      <c r="P1194" s="816"/>
      <c r="Q1194" s="816"/>
      <c r="R1194" s="816"/>
      <c r="S1194" s="816"/>
      <c r="T1194" s="816"/>
      <c r="U1194" s="816"/>
      <c r="V1194" s="816"/>
      <c r="W1194" s="816"/>
      <c r="X1194" s="816"/>
      <c r="Y1194" s="816"/>
      <c r="Z1194" s="816"/>
      <c r="AC1194" s="816"/>
      <c r="AD1194" s="816"/>
      <c r="AE1194" s="816"/>
      <c r="AF1194" s="816"/>
      <c r="AG1194" s="816"/>
      <c r="AH1194" s="816" t="s">
        <v>1717</v>
      </c>
      <c r="AI1194" s="816"/>
      <c r="AJ1194" s="816"/>
      <c r="AL1194" s="816"/>
      <c r="AM1194" s="816" t="s">
        <v>1717</v>
      </c>
      <c r="AN1194" s="816"/>
      <c r="AO1194" s="816"/>
      <c r="AP1194" s="816"/>
      <c r="AQ1194" s="816"/>
      <c r="AR1194" s="816"/>
      <c r="AS1194" s="816"/>
      <c r="AT1194" s="816"/>
      <c r="AU1194" s="816"/>
      <c r="AV1194" s="816"/>
      <c r="AW1194" s="816"/>
      <c r="AX1194" s="816"/>
      <c r="AY1194" s="816"/>
      <c r="AZ1194" s="816"/>
      <c r="BA1194" s="816"/>
      <c r="BC1194" s="816"/>
      <c r="BD1194" s="816"/>
      <c r="BE1194" s="816"/>
      <c r="BF1194" s="816"/>
      <c r="BG1194" s="816"/>
      <c r="BH1194" s="816"/>
      <c r="BI1194" s="816"/>
      <c r="BJ1194" s="816"/>
      <c r="BK1194" s="816" t="s">
        <v>1717</v>
      </c>
      <c r="BM1194" s="816"/>
      <c r="BN1194" s="816"/>
      <c r="BO1194" s="816"/>
      <c r="BQ1194" s="816"/>
      <c r="BR1194" s="816"/>
      <c r="BS1194" s="816"/>
      <c r="BT1194" s="816"/>
      <c r="BU1194" s="816"/>
    </row>
    <row r="1195" spans="1:73" x14ac:dyDescent="0.35">
      <c r="A1195" s="806" t="s">
        <v>880</v>
      </c>
      <c r="B1195" s="806" t="s">
        <v>1248</v>
      </c>
      <c r="C1195" s="806"/>
      <c r="D1195" s="806"/>
      <c r="E1195" s="806"/>
      <c r="F1195" s="806"/>
      <c r="I1195" s="816"/>
      <c r="J1195" s="816"/>
      <c r="K1195" s="816"/>
      <c r="M1195" s="816"/>
      <c r="N1195" s="816"/>
      <c r="O1195" s="816"/>
      <c r="P1195" s="816"/>
      <c r="Q1195" s="816"/>
      <c r="R1195" s="816"/>
      <c r="S1195" s="816"/>
      <c r="T1195" s="816"/>
      <c r="U1195" s="816"/>
      <c r="V1195" s="816"/>
      <c r="W1195" s="816"/>
      <c r="X1195" s="816"/>
      <c r="Y1195" s="816"/>
      <c r="Z1195" s="816"/>
      <c r="AC1195" s="816"/>
      <c r="AD1195" s="816"/>
      <c r="AE1195" s="816"/>
      <c r="AF1195" s="816"/>
      <c r="AG1195" s="816"/>
      <c r="AH1195" s="816"/>
      <c r="AI1195" s="816"/>
      <c r="AJ1195" s="816"/>
      <c r="AL1195" s="816"/>
      <c r="AM1195" s="816"/>
      <c r="AN1195" s="816"/>
      <c r="AO1195" s="816"/>
      <c r="AP1195" s="816"/>
      <c r="AQ1195" s="816"/>
      <c r="AR1195" s="816"/>
      <c r="AS1195" s="816"/>
      <c r="AT1195" s="816"/>
      <c r="AU1195" s="816"/>
      <c r="AV1195" s="816"/>
      <c r="AW1195" s="816"/>
      <c r="AX1195" s="816"/>
      <c r="AY1195" s="816"/>
      <c r="AZ1195" s="816"/>
      <c r="BA1195" s="816"/>
      <c r="BC1195" s="816"/>
      <c r="BD1195" s="816"/>
      <c r="BE1195" s="816"/>
      <c r="BF1195" s="816"/>
      <c r="BG1195" s="816"/>
      <c r="BH1195" s="816"/>
      <c r="BI1195" s="816"/>
      <c r="BJ1195" s="816"/>
      <c r="BK1195" s="816" t="s">
        <v>4006</v>
      </c>
      <c r="BM1195" s="816"/>
      <c r="BN1195" s="816"/>
      <c r="BO1195" s="816"/>
      <c r="BQ1195" s="816"/>
      <c r="BR1195" s="816"/>
      <c r="BS1195" s="816"/>
      <c r="BT1195" s="816"/>
      <c r="BU1195" s="816"/>
    </row>
    <row r="1196" spans="1:73" ht="29" x14ac:dyDescent="0.35">
      <c r="A1196" s="806" t="s">
        <v>880</v>
      </c>
      <c r="B1196" s="806" t="s">
        <v>1249</v>
      </c>
      <c r="C1196" s="806"/>
      <c r="D1196" s="806"/>
      <c r="E1196" s="806"/>
      <c r="F1196" s="806"/>
      <c r="I1196" s="816"/>
      <c r="J1196" s="816"/>
      <c r="K1196" s="816"/>
      <c r="M1196" s="816"/>
      <c r="N1196" s="816"/>
      <c r="O1196" s="816"/>
      <c r="P1196" s="816"/>
      <c r="Q1196" s="816"/>
      <c r="R1196" s="816"/>
      <c r="S1196" s="816"/>
      <c r="T1196" s="816"/>
      <c r="U1196" s="816"/>
      <c r="V1196" s="816"/>
      <c r="W1196" s="816"/>
      <c r="X1196" s="816"/>
      <c r="Y1196" s="816"/>
      <c r="Z1196" s="816"/>
      <c r="AC1196" s="816"/>
      <c r="AD1196" s="816"/>
      <c r="AE1196" s="816"/>
      <c r="AF1196" s="816"/>
      <c r="AG1196" s="816"/>
      <c r="AH1196" s="816"/>
      <c r="AI1196" s="816"/>
      <c r="AJ1196" s="816"/>
      <c r="AL1196" s="816"/>
      <c r="AM1196" s="816"/>
      <c r="AN1196" s="816"/>
      <c r="AO1196" s="816"/>
      <c r="AP1196" s="816"/>
      <c r="AQ1196" s="816"/>
      <c r="AR1196" s="816"/>
      <c r="AS1196" s="816"/>
      <c r="AT1196" s="816"/>
      <c r="AU1196" s="816"/>
      <c r="AV1196" s="816"/>
      <c r="AW1196" s="816"/>
      <c r="AX1196" s="816"/>
      <c r="AY1196" s="816"/>
      <c r="AZ1196" s="816"/>
      <c r="BA1196" s="816"/>
      <c r="BC1196" s="816"/>
      <c r="BD1196" s="816"/>
      <c r="BE1196" s="816"/>
      <c r="BF1196" s="816"/>
      <c r="BG1196" s="816"/>
      <c r="BH1196" s="816"/>
      <c r="BI1196" s="816"/>
      <c r="BJ1196" s="816"/>
      <c r="BK1196" s="816" t="s">
        <v>3992</v>
      </c>
      <c r="BM1196" s="816"/>
      <c r="BN1196" s="816"/>
      <c r="BO1196" s="816"/>
      <c r="BQ1196" s="816"/>
      <c r="BR1196" s="816"/>
      <c r="BS1196" s="816"/>
      <c r="BT1196" s="816"/>
      <c r="BU1196" s="816"/>
    </row>
    <row r="1197" spans="1:73" x14ac:dyDescent="0.35">
      <c r="A1197" s="806" t="s">
        <v>880</v>
      </c>
      <c r="B1197" s="806" t="s">
        <v>1250</v>
      </c>
      <c r="C1197" s="806"/>
      <c r="D1197" s="806"/>
      <c r="E1197" s="806"/>
      <c r="F1197" s="806"/>
      <c r="I1197" s="816"/>
      <c r="J1197" s="816"/>
      <c r="K1197" s="816"/>
      <c r="M1197" s="816"/>
      <c r="N1197" s="816"/>
      <c r="O1197" s="816"/>
      <c r="P1197" s="816"/>
      <c r="Q1197" s="816"/>
      <c r="R1197" s="816"/>
      <c r="S1197" s="816"/>
      <c r="T1197" s="816"/>
      <c r="U1197" s="816"/>
      <c r="V1197" s="816"/>
      <c r="W1197" s="816"/>
      <c r="X1197" s="816"/>
      <c r="Y1197" s="816"/>
      <c r="Z1197" s="816"/>
      <c r="AC1197" s="816"/>
      <c r="AD1197" s="816"/>
      <c r="AE1197" s="816"/>
      <c r="AF1197" s="816"/>
      <c r="AG1197" s="816"/>
      <c r="AH1197" s="816"/>
      <c r="AI1197" s="816"/>
      <c r="AJ1197" s="816"/>
      <c r="AL1197" s="816"/>
      <c r="AM1197" s="816"/>
      <c r="AN1197" s="816"/>
      <c r="AO1197" s="816"/>
      <c r="AP1197" s="816"/>
      <c r="AQ1197" s="816"/>
      <c r="AR1197" s="816"/>
      <c r="AS1197" s="816"/>
      <c r="AT1197" s="816"/>
      <c r="AU1197" s="816"/>
      <c r="AV1197" s="816"/>
      <c r="AW1197" s="816"/>
      <c r="AX1197" s="816"/>
      <c r="AY1197" s="816"/>
      <c r="AZ1197" s="816"/>
      <c r="BA1197" s="816"/>
      <c r="BC1197" s="816"/>
      <c r="BD1197" s="816"/>
      <c r="BE1197" s="816"/>
      <c r="BF1197" s="816"/>
      <c r="BG1197" s="816"/>
      <c r="BH1197" s="816"/>
      <c r="BI1197" s="816"/>
      <c r="BJ1197" s="816"/>
      <c r="BK1197" s="816" t="s">
        <v>3993</v>
      </c>
      <c r="BM1197" s="816"/>
      <c r="BN1197" s="816"/>
      <c r="BO1197" s="816"/>
      <c r="BQ1197" s="816"/>
      <c r="BR1197" s="816"/>
      <c r="BS1197" s="816"/>
      <c r="BT1197" s="816"/>
      <c r="BU1197" s="816"/>
    </row>
    <row r="1198" spans="1:73" x14ac:dyDescent="0.35">
      <c r="A1198" s="806" t="s">
        <v>880</v>
      </c>
      <c r="B1198" s="806" t="s">
        <v>4152</v>
      </c>
      <c r="C1198" s="806"/>
      <c r="D1198" s="806"/>
      <c r="E1198" s="806"/>
      <c r="F1198" s="806"/>
      <c r="BK1198" s="818">
        <v>13714</v>
      </c>
    </row>
    <row r="1199" spans="1:73" x14ac:dyDescent="0.35">
      <c r="A1199" s="806" t="s">
        <v>880</v>
      </c>
      <c r="B1199" s="806" t="s">
        <v>1231</v>
      </c>
      <c r="C1199" s="806"/>
      <c r="D1199" s="806"/>
      <c r="E1199" s="806"/>
      <c r="F1199" s="806"/>
      <c r="I1199" s="816"/>
      <c r="J1199" s="816"/>
      <c r="K1199" s="816"/>
      <c r="M1199" s="816"/>
      <c r="N1199" s="816"/>
      <c r="O1199" s="816"/>
      <c r="P1199" s="816"/>
      <c r="Q1199" s="816"/>
      <c r="R1199" s="816"/>
      <c r="S1199" s="816"/>
      <c r="T1199" s="816"/>
      <c r="U1199" s="816"/>
      <c r="V1199" s="816"/>
      <c r="W1199" s="816"/>
      <c r="X1199" s="816"/>
      <c r="Y1199" s="816"/>
      <c r="Z1199" s="816"/>
      <c r="AC1199" s="816"/>
      <c r="AD1199" s="816"/>
      <c r="AE1199" s="816"/>
      <c r="AF1199" s="816"/>
      <c r="AG1199" s="816"/>
      <c r="AH1199" s="816" t="s">
        <v>683</v>
      </c>
      <c r="AI1199" s="816"/>
      <c r="AJ1199" s="816"/>
      <c r="AL1199" s="816"/>
      <c r="AM1199" s="816" t="s">
        <v>683</v>
      </c>
      <c r="AN1199" s="816"/>
      <c r="AO1199" s="816"/>
      <c r="AP1199" s="816"/>
      <c r="AQ1199" s="816"/>
      <c r="AR1199" s="816"/>
      <c r="AS1199" s="816"/>
      <c r="AT1199" s="816"/>
      <c r="AU1199" s="816"/>
      <c r="AV1199" s="816"/>
      <c r="AW1199" s="816"/>
      <c r="AX1199" s="816"/>
      <c r="AY1199" s="816"/>
      <c r="AZ1199" s="816"/>
      <c r="BA1199" s="816"/>
      <c r="BC1199" s="816"/>
      <c r="BD1199" s="816"/>
      <c r="BE1199" s="816"/>
      <c r="BF1199" s="816"/>
      <c r="BG1199" s="816"/>
      <c r="BH1199" s="816"/>
      <c r="BI1199" s="816"/>
      <c r="BJ1199" s="816"/>
      <c r="BK1199" s="816" t="s">
        <v>683</v>
      </c>
      <c r="BM1199" s="816"/>
      <c r="BN1199" s="816"/>
      <c r="BO1199" s="816"/>
      <c r="BQ1199" s="816"/>
      <c r="BR1199" s="816"/>
      <c r="BS1199" s="816"/>
      <c r="BT1199" s="816"/>
      <c r="BU1199" s="816"/>
    </row>
    <row r="1200" spans="1:73" x14ac:dyDescent="0.35">
      <c r="A1200" s="806" t="s">
        <v>880</v>
      </c>
      <c r="B1200" s="806" t="s">
        <v>1698</v>
      </c>
      <c r="C1200" s="806"/>
      <c r="D1200" s="806"/>
      <c r="E1200" s="806"/>
      <c r="F1200" s="806"/>
      <c r="I1200" s="817"/>
      <c r="K1200" s="817"/>
      <c r="M1200" s="817"/>
      <c r="Q1200" s="817"/>
      <c r="S1200" s="817"/>
      <c r="U1200" s="817"/>
      <c r="V1200" s="817"/>
      <c r="W1200" s="817"/>
      <c r="AD1200" s="817"/>
      <c r="AG1200" s="817"/>
      <c r="AH1200" s="817"/>
      <c r="AJ1200" s="817"/>
      <c r="AL1200" s="817"/>
      <c r="AR1200" s="817"/>
      <c r="AT1200" s="817"/>
      <c r="AU1200" s="817"/>
      <c r="AV1200" s="817"/>
      <c r="AX1200" s="817"/>
      <c r="AY1200" s="817"/>
      <c r="AZ1200" s="817"/>
      <c r="BC1200" s="817"/>
      <c r="BD1200" s="817"/>
      <c r="BE1200" s="817"/>
      <c r="BG1200" s="817"/>
      <c r="BH1200" s="817"/>
      <c r="BI1200" s="817"/>
      <c r="BK1200" s="817">
        <v>7</v>
      </c>
      <c r="BS1200" s="817"/>
      <c r="BT1200" s="817"/>
      <c r="BU1200" s="817"/>
    </row>
    <row r="1201" spans="1:73" x14ac:dyDescent="0.35">
      <c r="A1201" s="806" t="s">
        <v>880</v>
      </c>
      <c r="B1201" s="806" t="s">
        <v>3808</v>
      </c>
      <c r="C1201" s="806"/>
      <c r="D1201" s="806"/>
      <c r="E1201" s="806"/>
      <c r="F1201" s="806"/>
      <c r="AH1201" s="817"/>
      <c r="BK1201" s="817">
        <v>10</v>
      </c>
    </row>
    <row r="1202" spans="1:73" x14ac:dyDescent="0.35">
      <c r="A1202" s="806" t="s">
        <v>880</v>
      </c>
      <c r="B1202" s="806" t="s">
        <v>3809</v>
      </c>
      <c r="C1202" s="806"/>
      <c r="D1202" s="806"/>
      <c r="E1202" s="806"/>
      <c r="F1202" s="806"/>
      <c r="AH1202" s="817"/>
      <c r="BK1202" s="817">
        <v>10</v>
      </c>
    </row>
    <row r="1203" spans="1:73" x14ac:dyDescent="0.35">
      <c r="A1203" s="806" t="s">
        <v>880</v>
      </c>
      <c r="B1203" s="806" t="s">
        <v>3810</v>
      </c>
      <c r="C1203" s="806"/>
      <c r="D1203" s="806"/>
      <c r="E1203" s="806"/>
      <c r="F1203" s="806"/>
      <c r="AH1203" s="817"/>
      <c r="BK1203" s="817">
        <v>9</v>
      </c>
    </row>
    <row r="1204" spans="1:73" x14ac:dyDescent="0.35">
      <c r="A1204" s="806" t="s">
        <v>880</v>
      </c>
      <c r="B1204" s="806" t="s">
        <v>4009</v>
      </c>
      <c r="C1204" s="806"/>
      <c r="D1204" s="806"/>
      <c r="E1204" s="806"/>
      <c r="F1204" s="806"/>
      <c r="BK1204" s="817">
        <v>10</v>
      </c>
    </row>
    <row r="1205" spans="1:73" ht="29" x14ac:dyDescent="0.35">
      <c r="A1205" s="806" t="s">
        <v>880</v>
      </c>
      <c r="B1205" s="806" t="s">
        <v>1697</v>
      </c>
      <c r="C1205" s="806"/>
      <c r="D1205" s="806"/>
      <c r="E1205" s="806"/>
      <c r="F1205" s="806"/>
      <c r="I1205" s="816"/>
      <c r="K1205" s="816"/>
      <c r="M1205" s="816"/>
      <c r="Q1205" s="816"/>
      <c r="S1205" s="816"/>
      <c r="U1205" s="816"/>
      <c r="V1205" s="816"/>
      <c r="W1205" s="816"/>
      <c r="AD1205" s="816"/>
      <c r="AG1205" s="816"/>
      <c r="AH1205" s="816"/>
      <c r="AJ1205" s="816"/>
      <c r="AL1205" s="816"/>
      <c r="AR1205" s="816"/>
      <c r="AT1205" s="816"/>
      <c r="AU1205" s="816"/>
      <c r="AV1205" s="816"/>
      <c r="AX1205" s="816"/>
      <c r="AY1205" s="816"/>
      <c r="AZ1205" s="816"/>
      <c r="BC1205" s="816"/>
      <c r="BD1205" s="816"/>
      <c r="BE1205" s="816"/>
      <c r="BG1205" s="816"/>
      <c r="BH1205" s="816"/>
      <c r="BI1205" s="816"/>
      <c r="BK1205" s="816" t="s">
        <v>3984</v>
      </c>
      <c r="BS1205" s="816"/>
      <c r="BT1205" s="816"/>
      <c r="BU1205" s="816"/>
    </row>
    <row r="1206" spans="1:73" ht="43.5" x14ac:dyDescent="0.35">
      <c r="A1206" s="806" t="s">
        <v>880</v>
      </c>
      <c r="B1206" s="806" t="s">
        <v>3805</v>
      </c>
      <c r="C1206" s="806"/>
      <c r="D1206" s="806"/>
      <c r="E1206" s="806"/>
      <c r="F1206" s="806"/>
      <c r="AH1206" s="816"/>
      <c r="BK1206" s="816" t="s">
        <v>3985</v>
      </c>
    </row>
    <row r="1207" spans="1:73" ht="43.5" x14ac:dyDescent="0.35">
      <c r="A1207" s="806" t="s">
        <v>880</v>
      </c>
      <c r="B1207" s="806" t="s">
        <v>3806</v>
      </c>
      <c r="C1207" s="806"/>
      <c r="D1207" s="806"/>
      <c r="E1207" s="806"/>
      <c r="F1207" s="806"/>
      <c r="AH1207" s="816"/>
      <c r="BK1207" s="816" t="s">
        <v>3997</v>
      </c>
    </row>
    <row r="1208" spans="1:73" ht="43.5" x14ac:dyDescent="0.35">
      <c r="A1208" s="806" t="s">
        <v>880</v>
      </c>
      <c r="B1208" s="806" t="s">
        <v>3807</v>
      </c>
      <c r="C1208" s="806"/>
      <c r="D1208" s="806"/>
      <c r="E1208" s="806"/>
      <c r="F1208" s="806"/>
      <c r="AH1208" s="816"/>
      <c r="BK1208" s="816" t="s">
        <v>3998</v>
      </c>
    </row>
    <row r="1209" spans="1:73" ht="43.5" x14ac:dyDescent="0.35">
      <c r="A1209" s="806" t="s">
        <v>880</v>
      </c>
      <c r="B1209" s="806" t="s">
        <v>4008</v>
      </c>
      <c r="C1209" s="806"/>
      <c r="D1209" s="806"/>
      <c r="E1209" s="806"/>
      <c r="F1209" s="806"/>
      <c r="BK1209" s="816" t="s">
        <v>3999</v>
      </c>
    </row>
    <row r="1210" spans="1:73" x14ac:dyDescent="0.35">
      <c r="A1210" s="806" t="s">
        <v>880</v>
      </c>
      <c r="B1210" s="806" t="s">
        <v>1699</v>
      </c>
      <c r="C1210" s="806"/>
      <c r="D1210" s="806"/>
      <c r="E1210" s="806"/>
      <c r="F1210" s="806"/>
      <c r="I1210" s="811"/>
      <c r="K1210" s="811"/>
      <c r="M1210" s="811"/>
      <c r="Q1210" s="811"/>
      <c r="S1210" s="811"/>
      <c r="U1210" s="811"/>
      <c r="V1210" s="811"/>
      <c r="W1210" s="811"/>
      <c r="AD1210" s="811"/>
      <c r="AG1210" s="811"/>
      <c r="AH1210" s="811"/>
      <c r="AJ1210" s="811"/>
      <c r="AL1210" s="811"/>
      <c r="AR1210" s="811"/>
      <c r="AT1210" s="811"/>
      <c r="AU1210" s="811"/>
      <c r="AV1210" s="811"/>
      <c r="AX1210" s="811"/>
      <c r="AY1210" s="811"/>
      <c r="AZ1210" s="811"/>
      <c r="BC1210" s="811"/>
      <c r="BD1210" s="811"/>
      <c r="BE1210" s="811"/>
      <c r="BG1210" s="811"/>
      <c r="BH1210" s="811"/>
      <c r="BI1210" s="811"/>
      <c r="BK1210" s="811">
        <v>44498</v>
      </c>
      <c r="BS1210" s="811"/>
      <c r="BT1210" s="811"/>
      <c r="BU1210" s="811"/>
    </row>
    <row r="1211" spans="1:73" x14ac:dyDescent="0.35">
      <c r="A1211" s="806" t="s">
        <v>880</v>
      </c>
      <c r="B1211" s="806" t="s">
        <v>3811</v>
      </c>
      <c r="C1211" s="806"/>
      <c r="D1211" s="806"/>
      <c r="E1211" s="806"/>
      <c r="F1211" s="806"/>
      <c r="AH1211" s="811"/>
      <c r="BK1211" s="811">
        <v>43914</v>
      </c>
    </row>
    <row r="1212" spans="1:73" x14ac:dyDescent="0.35">
      <c r="A1212" s="806" t="s">
        <v>880</v>
      </c>
      <c r="B1212" s="806" t="s">
        <v>3812</v>
      </c>
      <c r="C1212" s="806"/>
      <c r="D1212" s="806"/>
      <c r="E1212" s="806"/>
      <c r="F1212" s="806"/>
      <c r="AH1212" s="811"/>
      <c r="BK1212" s="811">
        <v>43728</v>
      </c>
    </row>
    <row r="1213" spans="1:73" x14ac:dyDescent="0.35">
      <c r="A1213" s="806" t="s">
        <v>880</v>
      </c>
      <c r="B1213" s="806" t="s">
        <v>3813</v>
      </c>
      <c r="C1213" s="806"/>
      <c r="D1213" s="806"/>
      <c r="E1213" s="806"/>
      <c r="F1213" s="806"/>
      <c r="AH1213" s="811"/>
      <c r="BK1213" s="811">
        <v>43678</v>
      </c>
    </row>
    <row r="1214" spans="1:73" x14ac:dyDescent="0.35">
      <c r="A1214" s="806" t="s">
        <v>880</v>
      </c>
      <c r="B1214" s="806" t="s">
        <v>4010</v>
      </c>
      <c r="C1214" s="806"/>
      <c r="D1214" s="806"/>
      <c r="E1214" s="806"/>
      <c r="F1214" s="806"/>
      <c r="BK1214" s="811">
        <v>43539</v>
      </c>
    </row>
    <row r="1215" spans="1:73" ht="409.5" x14ac:dyDescent="0.35">
      <c r="A1215" s="806" t="s">
        <v>880</v>
      </c>
      <c r="B1215" s="806" t="s">
        <v>1706</v>
      </c>
      <c r="C1215" s="806"/>
      <c r="D1215" s="806"/>
      <c r="E1215" s="806"/>
      <c r="F1215" s="806"/>
      <c r="I1215" s="816"/>
      <c r="K1215" s="816"/>
      <c r="M1215" s="816"/>
      <c r="Q1215" s="816"/>
      <c r="S1215" s="816"/>
      <c r="U1215" s="816"/>
      <c r="V1215" s="816"/>
      <c r="W1215" s="816"/>
      <c r="AD1215" s="816"/>
      <c r="AG1215" s="816"/>
      <c r="AH1215" s="816" t="s">
        <v>3184</v>
      </c>
      <c r="AJ1215" s="816"/>
      <c r="AL1215" s="816"/>
      <c r="AR1215" s="816"/>
      <c r="AT1215" s="816"/>
      <c r="AU1215" s="816"/>
      <c r="AV1215" s="816"/>
      <c r="AX1215" s="816"/>
      <c r="AY1215" s="816"/>
      <c r="AZ1215" s="816"/>
      <c r="BC1215" s="816"/>
      <c r="BD1215" s="816"/>
      <c r="BE1215" s="816"/>
      <c r="BG1215" s="816"/>
      <c r="BH1215" s="816"/>
      <c r="BI1215" s="816"/>
      <c r="BK1215" s="816" t="s">
        <v>4060</v>
      </c>
      <c r="BS1215" s="816"/>
      <c r="BT1215" s="816"/>
      <c r="BU1215" s="816"/>
    </row>
    <row r="1216" spans="1:73" x14ac:dyDescent="0.35">
      <c r="A1216" s="806" t="s">
        <v>880</v>
      </c>
      <c r="B1216" s="806" t="s">
        <v>1241</v>
      </c>
      <c r="C1216" s="806"/>
      <c r="D1216" s="806"/>
      <c r="E1216" s="806"/>
      <c r="F1216" s="806"/>
      <c r="I1216" s="817"/>
      <c r="J1216" s="817"/>
      <c r="K1216" s="817"/>
      <c r="M1216" s="817"/>
      <c r="N1216" s="817"/>
      <c r="O1216" s="817"/>
      <c r="P1216" s="817"/>
      <c r="Q1216" s="817"/>
      <c r="R1216" s="817"/>
      <c r="S1216" s="817"/>
      <c r="T1216" s="817"/>
      <c r="U1216" s="817"/>
      <c r="V1216" s="817"/>
      <c r="W1216" s="817"/>
      <c r="X1216" s="817"/>
      <c r="Y1216" s="817"/>
      <c r="Z1216" s="817"/>
      <c r="AC1216" s="817"/>
      <c r="AD1216" s="817"/>
      <c r="AE1216" s="817"/>
      <c r="AF1216" s="817"/>
      <c r="AG1216" s="817"/>
      <c r="AH1216" s="817"/>
      <c r="AI1216" s="817"/>
      <c r="AJ1216" s="817"/>
      <c r="AL1216" s="817"/>
      <c r="AM1216" s="817"/>
      <c r="AN1216" s="817"/>
      <c r="AO1216" s="817"/>
      <c r="AP1216" s="817"/>
      <c r="AQ1216" s="817"/>
      <c r="AR1216" s="817"/>
      <c r="AS1216" s="817"/>
      <c r="AT1216" s="817"/>
      <c r="AU1216" s="817"/>
      <c r="AV1216" s="817"/>
      <c r="AW1216" s="817"/>
      <c r="AX1216" s="817"/>
      <c r="AY1216" s="817"/>
      <c r="AZ1216" s="817"/>
      <c r="BA1216" s="817"/>
      <c r="BC1216" s="817"/>
      <c r="BD1216" s="817"/>
      <c r="BE1216" s="817"/>
      <c r="BF1216" s="817"/>
      <c r="BG1216" s="817"/>
      <c r="BH1216" s="817"/>
      <c r="BI1216" s="817"/>
      <c r="BJ1216" s="817"/>
      <c r="BK1216" s="817">
        <v>0</v>
      </c>
      <c r="BM1216" s="817"/>
      <c r="BN1216" s="817"/>
      <c r="BO1216" s="817"/>
      <c r="BQ1216" s="817"/>
      <c r="BR1216" s="817"/>
      <c r="BS1216" s="817"/>
      <c r="BT1216" s="817"/>
      <c r="BU1216" s="817"/>
    </row>
    <row r="1217" spans="1:73" x14ac:dyDescent="0.35">
      <c r="A1217" s="806" t="s">
        <v>880</v>
      </c>
      <c r="B1217" s="806" t="s">
        <v>1936</v>
      </c>
      <c r="C1217" s="806"/>
      <c r="D1217" s="806"/>
      <c r="E1217" s="806"/>
      <c r="F1217" s="806"/>
      <c r="I1217" s="816"/>
      <c r="K1217" s="816"/>
      <c r="Q1217" s="816"/>
      <c r="V1217" s="816"/>
      <c r="AD1217" s="816"/>
      <c r="AH1217" s="816" t="s">
        <v>3158</v>
      </c>
      <c r="AL1217" s="816"/>
      <c r="BE1217" s="816"/>
      <c r="BH1217" s="816"/>
      <c r="BK1217" s="816" t="s">
        <v>4000</v>
      </c>
      <c r="BT1217" s="816"/>
    </row>
    <row r="1218" spans="1:73" x14ac:dyDescent="0.35">
      <c r="A1218" s="806" t="s">
        <v>880</v>
      </c>
      <c r="B1218" s="806" t="s">
        <v>3829</v>
      </c>
      <c r="C1218" s="806"/>
      <c r="D1218" s="806"/>
      <c r="E1218" s="806"/>
      <c r="F1218" s="806"/>
      <c r="AH1218" s="818">
        <v>1</v>
      </c>
      <c r="BK1218" s="818">
        <v>2900000</v>
      </c>
    </row>
    <row r="1219" spans="1:73" x14ac:dyDescent="0.35">
      <c r="A1219" s="806" t="s">
        <v>880</v>
      </c>
      <c r="B1219" s="806" t="s">
        <v>1238</v>
      </c>
      <c r="C1219" s="806"/>
      <c r="D1219" s="806"/>
      <c r="E1219" s="806"/>
      <c r="F1219" s="806"/>
      <c r="I1219" s="817"/>
      <c r="J1219" s="817"/>
      <c r="K1219" s="817"/>
      <c r="M1219" s="817"/>
      <c r="N1219" s="817"/>
      <c r="O1219" s="817"/>
      <c r="P1219" s="817"/>
      <c r="Q1219" s="817"/>
      <c r="R1219" s="817"/>
      <c r="S1219" s="817"/>
      <c r="T1219" s="817"/>
      <c r="U1219" s="817"/>
      <c r="V1219" s="817"/>
      <c r="W1219" s="817"/>
      <c r="X1219" s="817"/>
      <c r="Y1219" s="817"/>
      <c r="Z1219" s="817"/>
      <c r="AC1219" s="817"/>
      <c r="AD1219" s="817"/>
      <c r="AE1219" s="817"/>
      <c r="AF1219" s="817"/>
      <c r="AG1219" s="817"/>
      <c r="AH1219" s="817"/>
      <c r="AI1219" s="817"/>
      <c r="AJ1219" s="817"/>
      <c r="AL1219" s="817"/>
      <c r="AM1219" s="817"/>
      <c r="AN1219" s="817"/>
      <c r="AO1219" s="817"/>
      <c r="AP1219" s="817"/>
      <c r="AQ1219" s="817"/>
      <c r="AR1219" s="817"/>
      <c r="AS1219" s="817"/>
      <c r="AT1219" s="817"/>
      <c r="AU1219" s="817"/>
      <c r="AV1219" s="817"/>
      <c r="AW1219" s="817"/>
      <c r="AX1219" s="817"/>
      <c r="AY1219" s="817"/>
      <c r="AZ1219" s="817"/>
      <c r="BA1219" s="817"/>
      <c r="BC1219" s="817"/>
      <c r="BD1219" s="817"/>
      <c r="BE1219" s="817"/>
      <c r="BF1219" s="817"/>
      <c r="BG1219" s="817"/>
      <c r="BH1219" s="817"/>
      <c r="BI1219" s="817"/>
      <c r="BJ1219" s="817"/>
      <c r="BK1219" s="817">
        <v>0</v>
      </c>
      <c r="BM1219" s="817"/>
      <c r="BN1219" s="817"/>
      <c r="BO1219" s="817"/>
      <c r="BQ1219" s="817"/>
      <c r="BR1219" s="817"/>
      <c r="BS1219" s="817"/>
      <c r="BT1219" s="817"/>
      <c r="BU1219" s="817"/>
    </row>
    <row r="1220" spans="1:73" x14ac:dyDescent="0.35">
      <c r="A1220" s="806" t="s">
        <v>880</v>
      </c>
      <c r="B1220" s="806" t="s">
        <v>4129</v>
      </c>
      <c r="C1220" s="806"/>
      <c r="D1220" s="806"/>
      <c r="E1220" s="806"/>
      <c r="F1220" s="806"/>
      <c r="BK1220" s="816" t="s">
        <v>4130</v>
      </c>
    </row>
    <row r="1221" spans="1:73" x14ac:dyDescent="0.35">
      <c r="A1221" s="806" t="s">
        <v>880</v>
      </c>
      <c r="B1221" s="806" t="s">
        <v>4131</v>
      </c>
      <c r="C1221" s="806"/>
      <c r="D1221" s="806"/>
      <c r="E1221" s="806"/>
      <c r="F1221" s="806"/>
      <c r="BK1221" s="816" t="s">
        <v>4130</v>
      </c>
    </row>
    <row r="1222" spans="1:73" x14ac:dyDescent="0.35">
      <c r="A1222" s="806" t="s">
        <v>880</v>
      </c>
      <c r="B1222" s="806" t="s">
        <v>4132</v>
      </c>
      <c r="C1222" s="806"/>
      <c r="D1222" s="806"/>
      <c r="E1222" s="806"/>
      <c r="F1222" s="806"/>
      <c r="BK1222" s="816" t="s">
        <v>4130</v>
      </c>
    </row>
    <row r="1223" spans="1:73" x14ac:dyDescent="0.35">
      <c r="A1223" s="806" t="s">
        <v>880</v>
      </c>
      <c r="B1223" s="806" t="s">
        <v>4133</v>
      </c>
      <c r="C1223" s="806"/>
      <c r="D1223" s="806"/>
      <c r="E1223" s="806"/>
      <c r="F1223" s="806"/>
      <c r="BK1223" s="816" t="s">
        <v>4130</v>
      </c>
    </row>
    <row r="1224" spans="1:73" x14ac:dyDescent="0.35">
      <c r="A1224" s="806" t="s">
        <v>880</v>
      </c>
      <c r="B1224" s="806" t="s">
        <v>4134</v>
      </c>
      <c r="C1224" s="806"/>
      <c r="D1224" s="806"/>
      <c r="E1224" s="806"/>
      <c r="F1224" s="806"/>
      <c r="BK1224" s="816" t="s">
        <v>4130</v>
      </c>
    </row>
    <row r="1225" spans="1:73" x14ac:dyDescent="0.35">
      <c r="A1225" s="806" t="s">
        <v>880</v>
      </c>
      <c r="B1225" s="806" t="s">
        <v>4135</v>
      </c>
      <c r="C1225" s="806"/>
      <c r="D1225" s="806"/>
      <c r="E1225" s="806"/>
      <c r="F1225" s="806"/>
      <c r="BK1225" s="816" t="s">
        <v>4136</v>
      </c>
    </row>
    <row r="1226" spans="1:73" x14ac:dyDescent="0.35">
      <c r="A1226" s="806" t="s">
        <v>880</v>
      </c>
      <c r="B1226" s="806" t="s">
        <v>1246</v>
      </c>
      <c r="C1226" s="806"/>
      <c r="D1226" s="806"/>
      <c r="E1226" s="806"/>
      <c r="F1226" s="806"/>
      <c r="I1226" s="816"/>
      <c r="J1226" s="816"/>
      <c r="K1226" s="816"/>
      <c r="M1226" s="816"/>
      <c r="N1226" s="816"/>
      <c r="O1226" s="816"/>
      <c r="P1226" s="816"/>
      <c r="Q1226" s="816"/>
      <c r="R1226" s="816"/>
      <c r="S1226" s="816"/>
      <c r="T1226" s="816"/>
      <c r="U1226" s="816"/>
      <c r="V1226" s="816"/>
      <c r="W1226" s="816"/>
      <c r="X1226" s="816"/>
      <c r="Y1226" s="816"/>
      <c r="Z1226" s="816"/>
      <c r="AC1226" s="816"/>
      <c r="AD1226" s="816"/>
      <c r="AE1226" s="816"/>
      <c r="AF1226" s="816"/>
      <c r="AG1226" s="816"/>
      <c r="AH1226" s="816" t="s">
        <v>198</v>
      </c>
      <c r="AI1226" s="816"/>
      <c r="AJ1226" s="816"/>
      <c r="AL1226" s="816"/>
      <c r="AM1226" s="816"/>
      <c r="AN1226" s="816"/>
      <c r="AO1226" s="816"/>
      <c r="AP1226" s="816"/>
      <c r="AQ1226" s="816"/>
      <c r="AR1226" s="816"/>
      <c r="AS1226" s="816"/>
      <c r="AT1226" s="816"/>
      <c r="AU1226" s="816"/>
      <c r="AV1226" s="816"/>
      <c r="AW1226" s="816"/>
      <c r="AX1226" s="816"/>
      <c r="AY1226" s="816"/>
      <c r="AZ1226" s="816"/>
      <c r="BA1226" s="816"/>
      <c r="BC1226" s="816"/>
      <c r="BD1226" s="816"/>
      <c r="BE1226" s="816"/>
      <c r="BF1226" s="816"/>
      <c r="BG1226" s="816"/>
      <c r="BH1226" s="816"/>
      <c r="BI1226" s="816"/>
      <c r="BJ1226" s="816"/>
      <c r="BK1226" s="816" t="s">
        <v>198</v>
      </c>
      <c r="BM1226" s="816"/>
      <c r="BN1226" s="816"/>
      <c r="BO1226" s="816"/>
      <c r="BQ1226" s="816"/>
      <c r="BR1226" s="816"/>
      <c r="BS1226" s="816"/>
      <c r="BT1226" s="816"/>
      <c r="BU1226" s="816"/>
    </row>
    <row r="1227" spans="1:73" x14ac:dyDescent="0.35">
      <c r="A1227" s="806" t="s">
        <v>880</v>
      </c>
      <c r="B1227" s="806" t="s">
        <v>3855</v>
      </c>
      <c r="C1227" s="806"/>
      <c r="D1227" s="806"/>
      <c r="E1227" s="806"/>
      <c r="F1227" s="806"/>
      <c r="AH1227" s="822">
        <v>6500</v>
      </c>
      <c r="BK1227" s="822">
        <v>1500</v>
      </c>
    </row>
    <row r="1228" spans="1:73" x14ac:dyDescent="0.35">
      <c r="A1228" s="806" t="s">
        <v>880</v>
      </c>
      <c r="B1228" s="806" t="s">
        <v>1938</v>
      </c>
      <c r="C1228" s="806"/>
      <c r="D1228" s="806"/>
      <c r="E1228" s="806"/>
      <c r="F1228" s="806"/>
      <c r="I1228" s="816"/>
      <c r="K1228" s="816"/>
      <c r="Q1228" s="816"/>
      <c r="V1228" s="816"/>
      <c r="AD1228" s="816"/>
      <c r="AH1228" s="816" t="b">
        <v>1</v>
      </c>
      <c r="AL1228" s="816"/>
      <c r="BE1228" s="816"/>
      <c r="BH1228" s="816"/>
      <c r="BK1228" s="816" t="b">
        <v>1</v>
      </c>
      <c r="BT1228" s="816"/>
    </row>
    <row r="1229" spans="1:73" x14ac:dyDescent="0.35">
      <c r="A1229" s="806" t="s">
        <v>880</v>
      </c>
      <c r="B1229" s="806" t="s">
        <v>3836</v>
      </c>
      <c r="C1229" s="806"/>
      <c r="D1229" s="806"/>
      <c r="E1229" s="806"/>
      <c r="F1229" s="806"/>
      <c r="AH1229" s="816" t="s">
        <v>2009</v>
      </c>
      <c r="BK1229" s="816" t="s">
        <v>2009</v>
      </c>
    </row>
    <row r="1230" spans="1:73" ht="29" x14ac:dyDescent="0.35">
      <c r="A1230" s="806" t="s">
        <v>880</v>
      </c>
      <c r="B1230" s="806" t="s">
        <v>3837</v>
      </c>
      <c r="C1230" s="806"/>
      <c r="D1230" s="806"/>
      <c r="E1230" s="806"/>
      <c r="F1230" s="806"/>
      <c r="AH1230" s="811">
        <v>44915</v>
      </c>
      <c r="BK1230" s="811">
        <v>44631</v>
      </c>
    </row>
    <row r="1231" spans="1:73" ht="72.5" x14ac:dyDescent="0.35">
      <c r="A1231" s="806" t="s">
        <v>880</v>
      </c>
      <c r="B1231" s="806" t="s">
        <v>4056</v>
      </c>
      <c r="C1231" s="806"/>
      <c r="D1231" s="806"/>
      <c r="E1231" s="806"/>
      <c r="F1231" s="806"/>
      <c r="BK1231" s="816" t="s">
        <v>4011</v>
      </c>
    </row>
    <row r="1232" spans="1:73" ht="29" x14ac:dyDescent="0.35">
      <c r="A1232" s="806" t="s">
        <v>880</v>
      </c>
      <c r="B1232" s="806" t="s">
        <v>3857</v>
      </c>
      <c r="C1232" s="806"/>
      <c r="D1232" s="806"/>
      <c r="E1232" s="806"/>
      <c r="F1232" s="806"/>
      <c r="AH1232" s="816" t="s">
        <v>2018</v>
      </c>
      <c r="BK1232" s="816" t="s">
        <v>2517</v>
      </c>
    </row>
    <row r="1233" spans="1:73" x14ac:dyDescent="0.35">
      <c r="A1233" s="806" t="s">
        <v>880</v>
      </c>
      <c r="B1233" s="806" t="s">
        <v>3862</v>
      </c>
      <c r="C1233" s="806"/>
      <c r="D1233" s="806"/>
      <c r="E1233" s="806"/>
      <c r="F1233" s="806"/>
      <c r="AH1233" s="811">
        <v>44957</v>
      </c>
      <c r="BK1233" s="811">
        <v>44565</v>
      </c>
    </row>
    <row r="1234" spans="1:73" ht="29" x14ac:dyDescent="0.35">
      <c r="A1234" s="806" t="s">
        <v>880</v>
      </c>
      <c r="B1234" s="806" t="s">
        <v>3859</v>
      </c>
      <c r="C1234" s="806"/>
      <c r="D1234" s="806"/>
      <c r="E1234" s="806"/>
      <c r="F1234" s="806"/>
      <c r="AH1234" s="816" t="s">
        <v>3185</v>
      </c>
      <c r="BK1234" s="816" t="s">
        <v>4005</v>
      </c>
    </row>
    <row r="1235" spans="1:73" ht="29" x14ac:dyDescent="0.35">
      <c r="A1235" s="806" t="s">
        <v>880</v>
      </c>
      <c r="B1235" s="806" t="s">
        <v>1700</v>
      </c>
      <c r="C1235" s="806"/>
      <c r="D1235" s="806"/>
      <c r="E1235" s="806"/>
      <c r="F1235" s="806"/>
      <c r="I1235" s="816"/>
      <c r="K1235" s="816"/>
      <c r="M1235" s="816"/>
      <c r="Q1235" s="816"/>
      <c r="S1235" s="816"/>
      <c r="U1235" s="816"/>
      <c r="V1235" s="816"/>
      <c r="W1235" s="816"/>
      <c r="AD1235" s="816"/>
      <c r="AG1235" s="816"/>
      <c r="AH1235" s="816" t="s">
        <v>198</v>
      </c>
      <c r="AJ1235" s="816"/>
      <c r="AL1235" s="816"/>
      <c r="AR1235" s="816"/>
      <c r="AT1235" s="816"/>
      <c r="AU1235" s="816"/>
      <c r="AV1235" s="816"/>
      <c r="AX1235" s="816"/>
      <c r="AY1235" s="816"/>
      <c r="AZ1235" s="816"/>
      <c r="BC1235" s="816"/>
      <c r="BD1235" s="816"/>
      <c r="BE1235" s="816"/>
      <c r="BG1235" s="816"/>
      <c r="BH1235" s="816"/>
      <c r="BI1235" s="816"/>
      <c r="BK1235" s="816" t="s">
        <v>198</v>
      </c>
      <c r="BS1235" s="816"/>
      <c r="BT1235" s="816"/>
      <c r="BU1235" s="816"/>
    </row>
    <row r="1236" spans="1:73" ht="29" x14ac:dyDescent="0.35">
      <c r="A1236" s="806" t="s">
        <v>880</v>
      </c>
      <c r="B1236" s="806" t="s">
        <v>3831</v>
      </c>
      <c r="C1236" s="806"/>
      <c r="D1236" s="806"/>
      <c r="E1236" s="806"/>
      <c r="F1236" s="806"/>
      <c r="AH1236" s="816" t="s">
        <v>503</v>
      </c>
      <c r="BK1236" s="816" t="s">
        <v>198</v>
      </c>
    </row>
    <row r="1237" spans="1:73" x14ac:dyDescent="0.35">
      <c r="A1237" s="806" t="s">
        <v>880</v>
      </c>
      <c r="B1237" s="806" t="s">
        <v>3833</v>
      </c>
      <c r="C1237" s="806"/>
      <c r="D1237" s="806"/>
      <c r="E1237" s="806"/>
      <c r="F1237" s="806"/>
      <c r="AH1237" s="811">
        <v>45078</v>
      </c>
      <c r="BK1237" s="811">
        <v>44943</v>
      </c>
    </row>
    <row r="1238" spans="1:73" x14ac:dyDescent="0.35">
      <c r="A1238" s="806" t="s">
        <v>880</v>
      </c>
      <c r="B1238" s="806" t="s">
        <v>1243</v>
      </c>
      <c r="C1238" s="806"/>
      <c r="D1238" s="806"/>
      <c r="E1238" s="806"/>
      <c r="F1238" s="806"/>
      <c r="I1238" s="817"/>
      <c r="J1238" s="817"/>
      <c r="K1238" s="817"/>
      <c r="M1238" s="817"/>
      <c r="N1238" s="817"/>
      <c r="O1238" s="817"/>
      <c r="P1238" s="817"/>
      <c r="Q1238" s="817"/>
      <c r="R1238" s="817"/>
      <c r="S1238" s="817"/>
      <c r="T1238" s="817"/>
      <c r="U1238" s="817"/>
      <c r="V1238" s="817"/>
      <c r="W1238" s="817"/>
      <c r="X1238" s="817"/>
      <c r="Y1238" s="817"/>
      <c r="Z1238" s="817"/>
      <c r="AC1238" s="817"/>
      <c r="AD1238" s="817"/>
      <c r="AE1238" s="817"/>
      <c r="AF1238" s="817"/>
      <c r="AG1238" s="817"/>
      <c r="AH1238" s="817"/>
      <c r="AI1238" s="817"/>
      <c r="AJ1238" s="817"/>
      <c r="AL1238" s="817"/>
      <c r="AM1238" s="817"/>
      <c r="AN1238" s="817"/>
      <c r="AO1238" s="817"/>
      <c r="AP1238" s="817"/>
      <c r="AQ1238" s="817"/>
      <c r="AR1238" s="817"/>
      <c r="AS1238" s="817"/>
      <c r="AT1238" s="817"/>
      <c r="AU1238" s="817"/>
      <c r="AV1238" s="817"/>
      <c r="AW1238" s="817"/>
      <c r="AX1238" s="817"/>
      <c r="AY1238" s="817"/>
      <c r="AZ1238" s="817"/>
      <c r="BA1238" s="817"/>
      <c r="BC1238" s="817"/>
      <c r="BD1238" s="817"/>
      <c r="BE1238" s="817"/>
      <c r="BF1238" s="817"/>
      <c r="BG1238" s="817"/>
      <c r="BH1238" s="817"/>
      <c r="BI1238" s="817"/>
      <c r="BJ1238" s="817"/>
      <c r="BK1238" s="817">
        <v>81</v>
      </c>
      <c r="BM1238" s="817"/>
      <c r="BN1238" s="817"/>
      <c r="BO1238" s="817"/>
      <c r="BQ1238" s="817"/>
      <c r="BR1238" s="817"/>
      <c r="BS1238" s="817"/>
      <c r="BT1238" s="817"/>
      <c r="BU1238" s="817"/>
    </row>
    <row r="1239" spans="1:73" x14ac:dyDescent="0.35">
      <c r="A1239" s="806" t="s">
        <v>880</v>
      </c>
      <c r="B1239" s="806" t="s">
        <v>1244</v>
      </c>
      <c r="C1239" s="806"/>
      <c r="D1239" s="806"/>
      <c r="E1239" s="806"/>
      <c r="F1239" s="806"/>
      <c r="I1239" s="818"/>
      <c r="J1239" s="818"/>
      <c r="K1239" s="818"/>
      <c r="M1239" s="818"/>
      <c r="N1239" s="818"/>
      <c r="O1239" s="818"/>
      <c r="P1239" s="818"/>
      <c r="Q1239" s="818"/>
      <c r="R1239" s="818"/>
      <c r="S1239" s="818"/>
      <c r="T1239" s="818"/>
      <c r="U1239" s="818"/>
      <c r="V1239" s="818"/>
      <c r="W1239" s="818"/>
      <c r="X1239" s="818"/>
      <c r="Y1239" s="818"/>
      <c r="Z1239" s="818"/>
      <c r="AC1239" s="818"/>
      <c r="AD1239" s="818"/>
      <c r="AE1239" s="818"/>
      <c r="AF1239" s="818"/>
      <c r="AG1239" s="818"/>
      <c r="AH1239" s="818"/>
      <c r="AI1239" s="818"/>
      <c r="AJ1239" s="818"/>
      <c r="AL1239" s="818"/>
      <c r="AM1239" s="818"/>
      <c r="AN1239" s="818"/>
      <c r="AO1239" s="818"/>
      <c r="AP1239" s="818"/>
      <c r="AQ1239" s="818"/>
      <c r="AR1239" s="818"/>
      <c r="AS1239" s="818"/>
      <c r="AT1239" s="818"/>
      <c r="AU1239" s="818"/>
      <c r="AV1239" s="818"/>
      <c r="AW1239" s="818"/>
      <c r="AX1239" s="818"/>
      <c r="AY1239" s="818"/>
      <c r="AZ1239" s="818"/>
      <c r="BA1239" s="818"/>
      <c r="BC1239" s="818"/>
      <c r="BD1239" s="818"/>
      <c r="BE1239" s="818"/>
      <c r="BF1239" s="818"/>
      <c r="BG1239" s="818"/>
      <c r="BH1239" s="818"/>
      <c r="BI1239" s="818"/>
      <c r="BJ1239" s="818"/>
      <c r="BK1239" s="818">
        <v>3684000</v>
      </c>
      <c r="BM1239" s="818"/>
      <c r="BN1239" s="818"/>
      <c r="BO1239" s="818"/>
      <c r="BQ1239" s="818"/>
      <c r="BR1239" s="818"/>
      <c r="BS1239" s="818"/>
      <c r="BT1239" s="818"/>
      <c r="BU1239" s="818"/>
    </row>
    <row r="1240" spans="1:73" x14ac:dyDescent="0.35">
      <c r="A1240" s="806" t="s">
        <v>880</v>
      </c>
      <c r="B1240" s="806" t="s">
        <v>3817</v>
      </c>
      <c r="C1240" s="806"/>
      <c r="D1240" s="806"/>
      <c r="E1240" s="806"/>
      <c r="F1240" s="806"/>
      <c r="AH1240" s="817">
        <v>13</v>
      </c>
      <c r="BK1240" s="817">
        <v>16</v>
      </c>
    </row>
    <row r="1241" spans="1:73" ht="29" x14ac:dyDescent="0.35">
      <c r="A1241" s="806" t="s">
        <v>880</v>
      </c>
      <c r="B1241" s="806" t="s">
        <v>3820</v>
      </c>
      <c r="C1241" s="806"/>
      <c r="D1241" s="806"/>
      <c r="E1241" s="806"/>
      <c r="F1241" s="806"/>
      <c r="AH1241" s="816" t="s">
        <v>3159</v>
      </c>
      <c r="BK1241" s="816" t="s">
        <v>2511</v>
      </c>
    </row>
    <row r="1242" spans="1:73" x14ac:dyDescent="0.35">
      <c r="A1242" s="806" t="s">
        <v>880</v>
      </c>
      <c r="B1242" s="806" t="s">
        <v>3844</v>
      </c>
      <c r="C1242" s="806"/>
      <c r="D1242" s="806"/>
      <c r="E1242" s="806"/>
      <c r="F1242" s="806"/>
      <c r="AH1242" s="817">
        <v>2</v>
      </c>
      <c r="BK1242" s="817">
        <v>2</v>
      </c>
    </row>
    <row r="1243" spans="1:73" x14ac:dyDescent="0.35">
      <c r="A1243" s="806" t="s">
        <v>880</v>
      </c>
      <c r="B1243" s="806" t="s">
        <v>3846</v>
      </c>
      <c r="C1243" s="806"/>
      <c r="D1243" s="806"/>
      <c r="E1243" s="806"/>
      <c r="F1243" s="806"/>
      <c r="AH1243" s="817">
        <v>2</v>
      </c>
      <c r="BK1243" s="817">
        <v>2</v>
      </c>
    </row>
    <row r="1244" spans="1:73" x14ac:dyDescent="0.35">
      <c r="A1244" s="806" t="s">
        <v>880</v>
      </c>
      <c r="B1244" s="806" t="s">
        <v>4125</v>
      </c>
      <c r="C1244" s="806"/>
      <c r="D1244" s="806"/>
      <c r="E1244" s="806"/>
      <c r="F1244" s="806"/>
      <c r="BK1244" s="817">
        <v>2</v>
      </c>
    </row>
    <row r="1245" spans="1:73" x14ac:dyDescent="0.35">
      <c r="A1245" s="806" t="s">
        <v>880</v>
      </c>
      <c r="B1245" s="806" t="s">
        <v>4126</v>
      </c>
      <c r="C1245" s="806"/>
      <c r="D1245" s="806"/>
      <c r="E1245" s="806"/>
      <c r="F1245" s="806"/>
      <c r="BK1245" s="817">
        <v>2</v>
      </c>
    </row>
    <row r="1246" spans="1:73" x14ac:dyDescent="0.35">
      <c r="A1246" s="806" t="s">
        <v>880</v>
      </c>
      <c r="B1246" s="806" t="s">
        <v>4127</v>
      </c>
      <c r="C1246" s="806"/>
      <c r="D1246" s="806"/>
      <c r="E1246" s="806"/>
      <c r="F1246" s="806"/>
      <c r="BK1246" s="817">
        <v>2</v>
      </c>
    </row>
    <row r="1247" spans="1:73" x14ac:dyDescent="0.35">
      <c r="A1247" s="806" t="s">
        <v>880</v>
      </c>
      <c r="B1247" s="806" t="s">
        <v>4128</v>
      </c>
      <c r="C1247" s="806"/>
      <c r="D1247" s="806"/>
      <c r="E1247" s="806"/>
      <c r="F1247" s="806"/>
      <c r="BK1247" s="817">
        <v>2</v>
      </c>
    </row>
    <row r="1248" spans="1:73" x14ac:dyDescent="0.35">
      <c r="A1248" s="806" t="s">
        <v>880</v>
      </c>
      <c r="B1248" s="806" t="s">
        <v>3843</v>
      </c>
      <c r="C1248" s="806"/>
      <c r="D1248" s="806"/>
      <c r="E1248" s="806"/>
      <c r="F1248" s="806"/>
      <c r="AH1248" s="817">
        <v>2</v>
      </c>
      <c r="BK1248" s="817">
        <v>3</v>
      </c>
    </row>
    <row r="1249" spans="1:63" x14ac:dyDescent="0.35">
      <c r="A1249" s="806" t="s">
        <v>880</v>
      </c>
      <c r="B1249" s="806" t="s">
        <v>3845</v>
      </c>
      <c r="C1249" s="806"/>
      <c r="D1249" s="806"/>
      <c r="E1249" s="806"/>
      <c r="F1249" s="806"/>
      <c r="AH1249" s="817">
        <v>3</v>
      </c>
      <c r="BK1249" s="817">
        <v>4</v>
      </c>
    </row>
    <row r="1250" spans="1:63" x14ac:dyDescent="0.35">
      <c r="A1250" s="806" t="s">
        <v>880</v>
      </c>
      <c r="B1250" s="806" t="s">
        <v>4121</v>
      </c>
      <c r="C1250" s="806"/>
      <c r="D1250" s="806"/>
      <c r="E1250" s="806"/>
      <c r="F1250" s="806"/>
      <c r="BK1250" s="817">
        <v>3</v>
      </c>
    </row>
    <row r="1251" spans="1:63" x14ac:dyDescent="0.35">
      <c r="A1251" s="806" t="s">
        <v>880</v>
      </c>
      <c r="B1251" s="806" t="s">
        <v>4122</v>
      </c>
      <c r="C1251" s="806"/>
      <c r="D1251" s="806"/>
      <c r="E1251" s="806"/>
      <c r="F1251" s="806"/>
      <c r="BK1251" s="817">
        <v>4</v>
      </c>
    </row>
    <row r="1252" spans="1:63" x14ac:dyDescent="0.35">
      <c r="A1252" s="806" t="s">
        <v>880</v>
      </c>
      <c r="B1252" s="806" t="s">
        <v>4123</v>
      </c>
      <c r="C1252" s="806"/>
      <c r="D1252" s="806"/>
      <c r="E1252" s="806"/>
      <c r="F1252" s="806"/>
      <c r="BK1252" s="817">
        <v>3</v>
      </c>
    </row>
    <row r="1253" spans="1:63" x14ac:dyDescent="0.35">
      <c r="A1253" s="806" t="s">
        <v>880</v>
      </c>
      <c r="B1253" s="806" t="s">
        <v>4124</v>
      </c>
      <c r="C1253" s="806"/>
      <c r="D1253" s="806"/>
      <c r="E1253" s="806"/>
      <c r="F1253" s="806"/>
      <c r="BK1253" s="817">
        <v>4</v>
      </c>
    </row>
    <row r="1254" spans="1:63" x14ac:dyDescent="0.35">
      <c r="A1254" s="806" t="s">
        <v>880</v>
      </c>
      <c r="B1254" s="806" t="s">
        <v>3838</v>
      </c>
      <c r="C1254" s="806"/>
      <c r="D1254" s="806"/>
      <c r="E1254" s="806"/>
      <c r="F1254" s="806"/>
      <c r="AH1254" s="818">
        <v>400000</v>
      </c>
      <c r="BK1254" s="818">
        <v>464000</v>
      </c>
    </row>
    <row r="1255" spans="1:63" x14ac:dyDescent="0.35">
      <c r="A1255" s="806" t="s">
        <v>880</v>
      </c>
      <c r="B1255" s="806" t="s">
        <v>3841</v>
      </c>
      <c r="C1255" s="806"/>
      <c r="D1255" s="806"/>
      <c r="E1255" s="806"/>
      <c r="F1255" s="806"/>
      <c r="AH1255" s="818">
        <v>350000</v>
      </c>
      <c r="BK1255" s="818">
        <v>480000</v>
      </c>
    </row>
    <row r="1256" spans="1:63" x14ac:dyDescent="0.35">
      <c r="A1256" s="806" t="s">
        <v>880</v>
      </c>
      <c r="B1256" s="806" t="s">
        <v>4110</v>
      </c>
      <c r="C1256" s="806"/>
      <c r="D1256" s="806"/>
      <c r="E1256" s="806"/>
      <c r="F1256" s="806"/>
      <c r="BK1256" s="818">
        <v>464000</v>
      </c>
    </row>
    <row r="1257" spans="1:63" x14ac:dyDescent="0.35">
      <c r="A1257" s="806" t="s">
        <v>880</v>
      </c>
      <c r="B1257" s="806" t="s">
        <v>4111</v>
      </c>
      <c r="C1257" s="806"/>
      <c r="D1257" s="806"/>
      <c r="E1257" s="806"/>
      <c r="F1257" s="806"/>
      <c r="BK1257" s="818">
        <v>480000</v>
      </c>
    </row>
    <row r="1258" spans="1:63" x14ac:dyDescent="0.35">
      <c r="A1258" s="806" t="s">
        <v>880</v>
      </c>
      <c r="B1258" s="806" t="s">
        <v>4112</v>
      </c>
      <c r="C1258" s="806"/>
      <c r="D1258" s="806"/>
      <c r="E1258" s="806"/>
      <c r="F1258" s="806"/>
      <c r="BK1258" s="818">
        <v>464000</v>
      </c>
    </row>
    <row r="1259" spans="1:63" x14ac:dyDescent="0.35">
      <c r="A1259" s="806" t="s">
        <v>880</v>
      </c>
      <c r="B1259" s="806" t="s">
        <v>4113</v>
      </c>
      <c r="C1259" s="806"/>
      <c r="D1259" s="806"/>
      <c r="E1259" s="806"/>
      <c r="F1259" s="806"/>
      <c r="BK1259" s="818">
        <v>480000</v>
      </c>
    </row>
    <row r="1260" spans="1:63" x14ac:dyDescent="0.35">
      <c r="A1260" s="806" t="s">
        <v>880</v>
      </c>
      <c r="B1260" s="806" t="s">
        <v>3839</v>
      </c>
      <c r="C1260" s="806"/>
      <c r="D1260" s="806"/>
      <c r="E1260" s="806"/>
      <c r="F1260" s="806"/>
      <c r="AH1260" s="817">
        <v>8</v>
      </c>
      <c r="BK1260" s="817">
        <v>10</v>
      </c>
    </row>
    <row r="1261" spans="1:63" x14ac:dyDescent="0.35">
      <c r="A1261" s="806" t="s">
        <v>880</v>
      </c>
      <c r="B1261" s="806" t="s">
        <v>3842</v>
      </c>
      <c r="C1261" s="806"/>
      <c r="D1261" s="806"/>
      <c r="E1261" s="806"/>
      <c r="F1261" s="806"/>
      <c r="AH1261" s="817">
        <v>5</v>
      </c>
      <c r="BK1261" s="817">
        <v>1</v>
      </c>
    </row>
    <row r="1262" spans="1:63" x14ac:dyDescent="0.35">
      <c r="A1262" s="806" t="s">
        <v>880</v>
      </c>
      <c r="B1262" s="806" t="s">
        <v>4116</v>
      </c>
      <c r="C1262" s="806"/>
      <c r="D1262" s="806"/>
      <c r="E1262" s="806"/>
      <c r="F1262" s="806"/>
      <c r="BK1262" s="817">
        <v>3</v>
      </c>
    </row>
    <row r="1263" spans="1:63" x14ac:dyDescent="0.35">
      <c r="A1263" s="806" t="s">
        <v>880</v>
      </c>
      <c r="B1263" s="806" t="s">
        <v>4115</v>
      </c>
      <c r="C1263" s="806"/>
      <c r="D1263" s="806"/>
      <c r="E1263" s="806"/>
      <c r="F1263" s="806"/>
      <c r="BK1263" s="817">
        <v>0</v>
      </c>
    </row>
    <row r="1264" spans="1:63" x14ac:dyDescent="0.35">
      <c r="A1264" s="806" t="s">
        <v>880</v>
      </c>
      <c r="B1264" s="806" t="s">
        <v>4114</v>
      </c>
      <c r="C1264" s="806"/>
      <c r="D1264" s="806"/>
      <c r="E1264" s="806"/>
      <c r="F1264" s="806"/>
      <c r="BK1264" s="817">
        <v>1</v>
      </c>
    </row>
    <row r="1265" spans="1:73" x14ac:dyDescent="0.35">
      <c r="A1265" s="806" t="s">
        <v>880</v>
      </c>
      <c r="B1265" s="806" t="s">
        <v>4109</v>
      </c>
      <c r="C1265" s="806"/>
      <c r="D1265" s="806"/>
      <c r="E1265" s="806"/>
      <c r="F1265" s="806"/>
      <c r="BK1265" s="817">
        <v>1</v>
      </c>
    </row>
    <row r="1266" spans="1:73" ht="29" x14ac:dyDescent="0.35">
      <c r="A1266" s="806" t="s">
        <v>880</v>
      </c>
      <c r="B1266" s="806" t="s">
        <v>3828</v>
      </c>
      <c r="C1266" s="806"/>
      <c r="D1266" s="806"/>
      <c r="E1266" s="806"/>
      <c r="F1266" s="806"/>
      <c r="AH1266" s="816" t="s">
        <v>503</v>
      </c>
      <c r="BK1266" s="816" t="s">
        <v>503</v>
      </c>
    </row>
    <row r="1267" spans="1:73" x14ac:dyDescent="0.35">
      <c r="A1267" s="806" t="s">
        <v>880</v>
      </c>
      <c r="B1267" s="806" t="s">
        <v>3840</v>
      </c>
      <c r="C1267" s="806"/>
      <c r="D1267" s="806"/>
      <c r="E1267" s="806"/>
      <c r="F1267" s="806"/>
      <c r="AH1267" s="822">
        <v>1300</v>
      </c>
      <c r="BK1267" s="822">
        <v>1248</v>
      </c>
    </row>
    <row r="1268" spans="1:73" x14ac:dyDescent="0.35">
      <c r="A1268" s="806" t="s">
        <v>880</v>
      </c>
      <c r="B1268" s="806" t="s">
        <v>3847</v>
      </c>
      <c r="C1268" s="806"/>
      <c r="D1268" s="806"/>
      <c r="E1268" s="806"/>
      <c r="F1268" s="806"/>
      <c r="AH1268" s="822">
        <v>1000</v>
      </c>
      <c r="BK1268" s="822">
        <v>1504</v>
      </c>
    </row>
    <row r="1269" spans="1:73" x14ac:dyDescent="0.35">
      <c r="A1269" s="806" t="s">
        <v>880</v>
      </c>
      <c r="B1269" s="806" t="s">
        <v>4117</v>
      </c>
      <c r="C1269" s="806"/>
      <c r="D1269" s="806"/>
      <c r="E1269" s="806"/>
      <c r="F1269" s="806"/>
      <c r="BK1269" s="822">
        <v>1248</v>
      </c>
    </row>
    <row r="1270" spans="1:73" x14ac:dyDescent="0.35">
      <c r="A1270" s="806" t="s">
        <v>880</v>
      </c>
      <c r="B1270" s="806" t="s">
        <v>4119</v>
      </c>
      <c r="C1270" s="806"/>
      <c r="D1270" s="806"/>
      <c r="E1270" s="806"/>
      <c r="F1270" s="806"/>
      <c r="BK1270" s="822">
        <v>1504</v>
      </c>
    </row>
    <row r="1271" spans="1:73" x14ac:dyDescent="0.35">
      <c r="A1271" s="806" t="s">
        <v>880</v>
      </c>
      <c r="B1271" s="806" t="s">
        <v>4118</v>
      </c>
      <c r="C1271" s="806"/>
      <c r="D1271" s="806"/>
      <c r="E1271" s="806"/>
      <c r="F1271" s="806"/>
      <c r="BK1271" s="822">
        <v>1248</v>
      </c>
    </row>
    <row r="1272" spans="1:73" x14ac:dyDescent="0.35">
      <c r="A1272" s="806" t="s">
        <v>880</v>
      </c>
      <c r="B1272" s="806" t="s">
        <v>4120</v>
      </c>
      <c r="C1272" s="806"/>
      <c r="D1272" s="806"/>
      <c r="E1272" s="806"/>
      <c r="F1272" s="806"/>
      <c r="BK1272" s="822">
        <v>1504</v>
      </c>
    </row>
    <row r="1273" spans="1:73" ht="29" x14ac:dyDescent="0.35">
      <c r="A1273" s="806" t="s">
        <v>880</v>
      </c>
      <c r="B1273" s="806" t="s">
        <v>1239</v>
      </c>
      <c r="C1273" s="806"/>
      <c r="D1273" s="806"/>
      <c r="E1273" s="806"/>
      <c r="F1273" s="806"/>
      <c r="I1273" s="817"/>
      <c r="J1273" s="817"/>
      <c r="K1273" s="817"/>
      <c r="M1273" s="817"/>
      <c r="N1273" s="817"/>
      <c r="O1273" s="817"/>
      <c r="P1273" s="817"/>
      <c r="Q1273" s="817"/>
      <c r="R1273" s="817"/>
      <c r="S1273" s="817"/>
      <c r="T1273" s="817"/>
      <c r="U1273" s="817"/>
      <c r="V1273" s="817"/>
      <c r="W1273" s="817"/>
      <c r="X1273" s="817"/>
      <c r="Y1273" s="817"/>
      <c r="Z1273" s="817"/>
      <c r="AC1273" s="817"/>
      <c r="AD1273" s="817"/>
      <c r="AE1273" s="817"/>
      <c r="AF1273" s="817"/>
      <c r="AG1273" s="817"/>
      <c r="AH1273" s="817"/>
      <c r="AI1273" s="817"/>
      <c r="AJ1273" s="817"/>
      <c r="AL1273" s="817"/>
      <c r="AM1273" s="817"/>
      <c r="AN1273" s="817"/>
      <c r="AO1273" s="817"/>
      <c r="AP1273" s="817"/>
      <c r="AQ1273" s="817"/>
      <c r="AR1273" s="817"/>
      <c r="AS1273" s="817"/>
      <c r="AT1273" s="817"/>
      <c r="AU1273" s="817"/>
      <c r="AV1273" s="817"/>
      <c r="AW1273" s="817"/>
      <c r="AX1273" s="817"/>
      <c r="AY1273" s="817"/>
      <c r="AZ1273" s="817"/>
      <c r="BA1273" s="817"/>
      <c r="BC1273" s="817"/>
      <c r="BD1273" s="817"/>
      <c r="BE1273" s="817"/>
      <c r="BF1273" s="817"/>
      <c r="BG1273" s="817"/>
      <c r="BH1273" s="817"/>
      <c r="BI1273" s="817"/>
      <c r="BJ1273" s="817"/>
      <c r="BK1273" s="817">
        <v>5</v>
      </c>
      <c r="BM1273" s="817"/>
      <c r="BN1273" s="817"/>
      <c r="BO1273" s="817"/>
      <c r="BQ1273" s="817"/>
      <c r="BR1273" s="817"/>
      <c r="BS1273" s="817"/>
      <c r="BT1273" s="817"/>
      <c r="BU1273" s="817"/>
    </row>
    <row r="1274" spans="1:73" x14ac:dyDescent="0.35">
      <c r="A1274" s="806" t="s">
        <v>880</v>
      </c>
      <c r="B1274" s="806" t="s">
        <v>3854</v>
      </c>
      <c r="C1274" s="806"/>
      <c r="D1274" s="806"/>
      <c r="E1274" s="806"/>
      <c r="F1274" s="806"/>
      <c r="AH1274" s="822">
        <v>9999</v>
      </c>
      <c r="BK1274" s="822">
        <v>100</v>
      </c>
    </row>
    <row r="1275" spans="1:73" x14ac:dyDescent="0.35">
      <c r="A1275" s="806" t="s">
        <v>880</v>
      </c>
      <c r="B1275" s="806" t="s">
        <v>1937</v>
      </c>
      <c r="C1275" s="806"/>
      <c r="D1275" s="806"/>
      <c r="E1275" s="806"/>
      <c r="F1275" s="806"/>
      <c r="I1275" s="816"/>
      <c r="K1275" s="816"/>
      <c r="Q1275" s="816"/>
      <c r="V1275" s="816"/>
      <c r="AD1275" s="816"/>
      <c r="AH1275" s="816" t="b">
        <v>1</v>
      </c>
      <c r="AL1275" s="816"/>
      <c r="BE1275" s="816"/>
      <c r="BH1275" s="816"/>
      <c r="BK1275" s="816" t="b">
        <v>1</v>
      </c>
      <c r="BT1275" s="816"/>
    </row>
    <row r="1276" spans="1:73" x14ac:dyDescent="0.35">
      <c r="A1276" s="806" t="s">
        <v>880</v>
      </c>
      <c r="B1276" s="806" t="s">
        <v>4088</v>
      </c>
      <c r="C1276" s="806"/>
      <c r="D1276" s="806"/>
      <c r="E1276" s="806"/>
      <c r="F1276" s="806"/>
      <c r="BK1276" s="822">
        <v>0</v>
      </c>
    </row>
    <row r="1277" spans="1:73" x14ac:dyDescent="0.35">
      <c r="A1277" s="806" t="s">
        <v>880</v>
      </c>
      <c r="B1277" s="806" t="s">
        <v>3823</v>
      </c>
      <c r="C1277" s="806"/>
      <c r="D1277" s="806"/>
      <c r="E1277" s="806"/>
      <c r="F1277" s="806"/>
      <c r="AH1277" s="817">
        <v>95019</v>
      </c>
      <c r="BK1277" s="817">
        <v>93455</v>
      </c>
    </row>
    <row r="1278" spans="1:73" x14ac:dyDescent="0.35">
      <c r="A1278" s="806" t="s">
        <v>880</v>
      </c>
      <c r="B1278" s="806" t="s">
        <v>3858</v>
      </c>
      <c r="C1278" s="806"/>
      <c r="D1278" s="806"/>
      <c r="E1278" s="806"/>
      <c r="F1278" s="806"/>
      <c r="AH1278" s="816" t="s">
        <v>2018</v>
      </c>
      <c r="BK1278" s="816" t="s">
        <v>2680</v>
      </c>
    </row>
    <row r="1279" spans="1:73" ht="29" x14ac:dyDescent="0.35">
      <c r="A1279" s="806" t="s">
        <v>880</v>
      </c>
      <c r="B1279" s="806" t="s">
        <v>3861</v>
      </c>
      <c r="C1279" s="806"/>
      <c r="D1279" s="806"/>
      <c r="E1279" s="806"/>
      <c r="F1279" s="806"/>
      <c r="AH1279" s="816" t="s">
        <v>3186</v>
      </c>
      <c r="BK1279" s="816" t="s">
        <v>4005</v>
      </c>
    </row>
    <row r="1280" spans="1:73" x14ac:dyDescent="0.35">
      <c r="A1280" s="806" t="s">
        <v>880</v>
      </c>
      <c r="B1280" s="806" t="s">
        <v>3864</v>
      </c>
      <c r="C1280" s="806"/>
      <c r="D1280" s="806"/>
      <c r="E1280" s="806"/>
      <c r="F1280" s="806"/>
      <c r="AH1280" s="811">
        <v>44957</v>
      </c>
      <c r="BK1280" s="811">
        <v>44943</v>
      </c>
    </row>
    <row r="1281" spans="1:73" x14ac:dyDescent="0.35">
      <c r="A1281" s="806" t="s">
        <v>880</v>
      </c>
      <c r="B1281" s="806" t="s">
        <v>4057</v>
      </c>
      <c r="C1281" s="806"/>
      <c r="D1281" s="806"/>
      <c r="E1281" s="806"/>
      <c r="F1281" s="806"/>
      <c r="BK1281" s="816" t="s">
        <v>198</v>
      </c>
    </row>
    <row r="1282" spans="1:73" x14ac:dyDescent="0.35">
      <c r="A1282" s="806" t="s">
        <v>880</v>
      </c>
      <c r="B1282" s="806" t="s">
        <v>4050</v>
      </c>
      <c r="C1282" s="806"/>
      <c r="D1282" s="806"/>
      <c r="E1282" s="806"/>
      <c r="F1282" s="806"/>
      <c r="BK1282" s="816" t="s">
        <v>198</v>
      </c>
    </row>
    <row r="1283" spans="1:73" x14ac:dyDescent="0.35">
      <c r="A1283" s="806" t="s">
        <v>880</v>
      </c>
      <c r="B1283" s="806" t="s">
        <v>4051</v>
      </c>
      <c r="C1283" s="806"/>
      <c r="D1283" s="806"/>
      <c r="E1283" s="806"/>
      <c r="F1283" s="806"/>
      <c r="BK1283" s="816" t="s">
        <v>198</v>
      </c>
    </row>
    <row r="1284" spans="1:73" x14ac:dyDescent="0.35">
      <c r="A1284" s="806" t="s">
        <v>880</v>
      </c>
      <c r="B1284" s="806" t="s">
        <v>4052</v>
      </c>
      <c r="C1284" s="806"/>
      <c r="D1284" s="806"/>
      <c r="E1284" s="806"/>
      <c r="F1284" s="806"/>
      <c r="BK1284" s="816" t="s">
        <v>198</v>
      </c>
    </row>
    <row r="1285" spans="1:73" x14ac:dyDescent="0.35">
      <c r="A1285" s="806" t="s">
        <v>880</v>
      </c>
      <c r="B1285" s="806" t="s">
        <v>4053</v>
      </c>
      <c r="C1285" s="806"/>
      <c r="D1285" s="806"/>
      <c r="E1285" s="806"/>
      <c r="F1285" s="806"/>
      <c r="BK1285" s="816" t="s">
        <v>198</v>
      </c>
    </row>
    <row r="1286" spans="1:73" x14ac:dyDescent="0.35">
      <c r="A1286" s="806" t="s">
        <v>880</v>
      </c>
      <c r="B1286" s="806" t="s">
        <v>4177</v>
      </c>
      <c r="C1286" s="806"/>
      <c r="D1286" s="806"/>
      <c r="E1286" s="806"/>
      <c r="F1286" s="806"/>
      <c r="BK1286" s="816" t="s">
        <v>198</v>
      </c>
    </row>
    <row r="1287" spans="1:73" x14ac:dyDescent="0.35">
      <c r="A1287" s="806" t="s">
        <v>880</v>
      </c>
      <c r="B1287" s="806" t="s">
        <v>4055</v>
      </c>
      <c r="C1287" s="806"/>
      <c r="D1287" s="806"/>
      <c r="E1287" s="806"/>
      <c r="F1287" s="806"/>
      <c r="BK1287" s="816" t="s">
        <v>198</v>
      </c>
    </row>
    <row r="1288" spans="1:73" x14ac:dyDescent="0.35">
      <c r="A1288" s="806" t="s">
        <v>880</v>
      </c>
      <c r="B1288" s="806" t="s">
        <v>4054</v>
      </c>
      <c r="C1288" s="806"/>
      <c r="D1288" s="806"/>
      <c r="E1288" s="806"/>
      <c r="F1288" s="806"/>
      <c r="BK1288" s="816" t="s">
        <v>198</v>
      </c>
    </row>
    <row r="1289" spans="1:73" ht="29" x14ac:dyDescent="0.35">
      <c r="A1289" s="806" t="s">
        <v>880</v>
      </c>
      <c r="B1289" s="806" t="s">
        <v>4069</v>
      </c>
      <c r="C1289" s="806"/>
      <c r="D1289" s="806"/>
      <c r="E1289" s="806"/>
      <c r="F1289" s="806"/>
      <c r="BK1289" s="816" t="s">
        <v>198</v>
      </c>
    </row>
    <row r="1290" spans="1:73" x14ac:dyDescent="0.35">
      <c r="A1290" s="806" t="s">
        <v>880</v>
      </c>
      <c r="B1290" s="806" t="s">
        <v>4070</v>
      </c>
      <c r="C1290" s="806"/>
      <c r="D1290" s="806"/>
      <c r="E1290" s="806"/>
      <c r="F1290" s="806"/>
      <c r="BK1290" s="816" t="s">
        <v>198</v>
      </c>
    </row>
    <row r="1291" spans="1:73" x14ac:dyDescent="0.35">
      <c r="A1291" s="806" t="s">
        <v>880</v>
      </c>
      <c r="B1291" s="806" t="s">
        <v>4058</v>
      </c>
      <c r="C1291" s="806"/>
      <c r="D1291" s="806"/>
      <c r="E1291" s="806"/>
      <c r="F1291" s="806"/>
      <c r="BK1291" s="816" t="s">
        <v>198</v>
      </c>
    </row>
    <row r="1292" spans="1:73" x14ac:dyDescent="0.35">
      <c r="A1292" s="806" t="s">
        <v>880</v>
      </c>
      <c r="B1292" s="806" t="s">
        <v>4072</v>
      </c>
      <c r="C1292" s="806"/>
      <c r="D1292" s="806"/>
      <c r="E1292" s="806"/>
      <c r="F1292" s="806"/>
      <c r="BK1292" s="816" t="s">
        <v>198</v>
      </c>
    </row>
    <row r="1293" spans="1:73" x14ac:dyDescent="0.35">
      <c r="A1293" s="806" t="s">
        <v>880</v>
      </c>
      <c r="B1293" s="806" t="s">
        <v>4176</v>
      </c>
      <c r="C1293" s="806"/>
      <c r="D1293" s="806"/>
      <c r="E1293" s="806"/>
      <c r="F1293" s="806"/>
      <c r="BK1293" s="816" t="s">
        <v>198</v>
      </c>
    </row>
    <row r="1294" spans="1:73" ht="29" x14ac:dyDescent="0.35">
      <c r="A1294" s="806" t="s">
        <v>880</v>
      </c>
      <c r="B1294" s="806" t="s">
        <v>4073</v>
      </c>
      <c r="C1294" s="806"/>
      <c r="D1294" s="806"/>
      <c r="E1294" s="806"/>
      <c r="F1294" s="806"/>
      <c r="BK1294" s="816" t="s">
        <v>198</v>
      </c>
    </row>
    <row r="1295" spans="1:73" ht="29" x14ac:dyDescent="0.35">
      <c r="A1295" s="806" t="s">
        <v>880</v>
      </c>
      <c r="B1295" s="806" t="s">
        <v>4074</v>
      </c>
      <c r="C1295" s="806"/>
      <c r="D1295" s="806"/>
      <c r="E1295" s="806"/>
      <c r="F1295" s="806"/>
      <c r="BK1295" s="816" t="s">
        <v>198</v>
      </c>
    </row>
    <row r="1296" spans="1:73" x14ac:dyDescent="0.35">
      <c r="A1296" s="806" t="s">
        <v>880</v>
      </c>
      <c r="B1296" s="806" t="s">
        <v>1676</v>
      </c>
      <c r="C1296" s="806"/>
      <c r="D1296" s="806"/>
      <c r="E1296" s="806"/>
      <c r="F1296" s="806"/>
      <c r="I1296" s="816"/>
      <c r="K1296" s="816"/>
      <c r="M1296" s="816"/>
      <c r="Q1296" s="816"/>
      <c r="S1296" s="816"/>
      <c r="U1296" s="816"/>
      <c r="V1296" s="816"/>
      <c r="W1296" s="816"/>
      <c r="AD1296" s="816"/>
      <c r="AG1296" s="816"/>
      <c r="AH1296" s="816"/>
      <c r="AJ1296" s="816"/>
      <c r="AL1296" s="816"/>
      <c r="AM1296" s="816"/>
      <c r="AR1296" s="816"/>
      <c r="AT1296" s="816"/>
      <c r="AU1296" s="816"/>
      <c r="AV1296" s="816"/>
      <c r="AX1296" s="816"/>
      <c r="AY1296" s="816"/>
      <c r="AZ1296" s="816"/>
      <c r="BC1296" s="816"/>
      <c r="BD1296" s="816"/>
      <c r="BE1296" s="816"/>
      <c r="BG1296" s="816"/>
      <c r="BH1296" s="816"/>
      <c r="BI1296" s="816"/>
      <c r="BK1296" s="816" t="s">
        <v>198</v>
      </c>
      <c r="BS1296" s="816"/>
      <c r="BT1296" s="816"/>
      <c r="BU1296" s="816"/>
    </row>
    <row r="1297" spans="1:73" x14ac:dyDescent="0.35">
      <c r="A1297" s="806" t="s">
        <v>1386</v>
      </c>
      <c r="B1297" s="806" t="s">
        <v>1390</v>
      </c>
      <c r="C1297" s="806"/>
      <c r="D1297" s="806"/>
      <c r="E1297" s="806"/>
      <c r="F1297" s="806"/>
      <c r="I1297" s="816"/>
      <c r="J1297" s="816"/>
      <c r="K1297" s="816"/>
      <c r="M1297" s="816"/>
      <c r="N1297" s="816"/>
      <c r="O1297" s="816"/>
      <c r="P1297" s="816"/>
      <c r="Q1297" s="816"/>
      <c r="R1297" s="816"/>
      <c r="S1297" s="816"/>
      <c r="T1297" s="816"/>
      <c r="U1297" s="816"/>
      <c r="V1297" s="816"/>
      <c r="W1297" s="816"/>
      <c r="X1297" s="816"/>
      <c r="Y1297" s="816"/>
      <c r="Z1297" s="816"/>
      <c r="AC1297" s="816"/>
      <c r="AD1297" s="816"/>
      <c r="AE1297" s="816"/>
      <c r="AF1297" s="816"/>
      <c r="AG1297" s="816"/>
      <c r="AH1297" s="816" t="s">
        <v>198</v>
      </c>
      <c r="AI1297" s="816"/>
      <c r="AJ1297" s="816"/>
      <c r="AL1297" s="816"/>
      <c r="AM1297" s="816"/>
      <c r="AN1297" s="816"/>
      <c r="AO1297" s="816"/>
      <c r="AP1297" s="816"/>
      <c r="AQ1297" s="816"/>
      <c r="AR1297" s="816"/>
      <c r="AS1297" s="816"/>
      <c r="AT1297" s="816"/>
      <c r="AU1297" s="816"/>
      <c r="AV1297" s="816"/>
      <c r="AW1297" s="816"/>
      <c r="AX1297" s="816"/>
      <c r="AY1297" s="816"/>
      <c r="AZ1297" s="816"/>
      <c r="BA1297" s="816"/>
      <c r="BC1297" s="816"/>
      <c r="BD1297" s="816"/>
      <c r="BE1297" s="816"/>
      <c r="BF1297" s="816"/>
      <c r="BG1297" s="816" t="s">
        <v>198</v>
      </c>
      <c r="BH1297" s="816"/>
      <c r="BI1297" s="816"/>
      <c r="BJ1297" s="816"/>
      <c r="BK1297" s="816" t="s">
        <v>198</v>
      </c>
      <c r="BL1297" s="816" t="s">
        <v>198</v>
      </c>
      <c r="BM1297" s="816"/>
      <c r="BN1297" s="816"/>
      <c r="BO1297" s="816"/>
      <c r="BQ1297" s="816"/>
      <c r="BR1297" s="816"/>
      <c r="BS1297" s="816"/>
      <c r="BT1297" s="816"/>
      <c r="BU1297" s="816" t="s">
        <v>198</v>
      </c>
    </row>
    <row r="1298" spans="1:73" ht="29" x14ac:dyDescent="0.35">
      <c r="A1298" s="806" t="s">
        <v>888</v>
      </c>
      <c r="B1298" s="806" t="s">
        <v>1288</v>
      </c>
      <c r="C1298" s="806"/>
      <c r="D1298" s="806"/>
      <c r="E1298" s="806"/>
      <c r="F1298" s="806"/>
      <c r="I1298" s="816"/>
      <c r="J1298" s="816"/>
      <c r="K1298" s="816"/>
      <c r="M1298" s="816"/>
      <c r="N1298" s="816"/>
      <c r="O1298" s="816"/>
      <c r="P1298" s="816"/>
      <c r="Q1298" s="816"/>
      <c r="S1298" s="816"/>
      <c r="T1298" s="816"/>
      <c r="U1298" s="816"/>
      <c r="V1298" s="816"/>
      <c r="W1298" s="816"/>
      <c r="X1298" s="816"/>
      <c r="Z1298" s="816"/>
      <c r="AC1298" s="816"/>
      <c r="AD1298" s="816"/>
      <c r="AE1298" s="816"/>
      <c r="AF1298" s="816"/>
      <c r="AG1298" s="816"/>
      <c r="AH1298" s="816" t="s">
        <v>198</v>
      </c>
      <c r="AI1298" s="816"/>
      <c r="AJ1298" s="816"/>
      <c r="AL1298" s="816"/>
      <c r="AN1298" s="816"/>
      <c r="AP1298" s="816"/>
      <c r="AQ1298" s="816"/>
      <c r="AR1298" s="816"/>
      <c r="AS1298" s="816"/>
      <c r="AT1298" s="816"/>
      <c r="AU1298" s="816"/>
      <c r="AV1298" s="816"/>
      <c r="AW1298" s="816"/>
      <c r="AX1298" s="816"/>
      <c r="AY1298" s="816"/>
      <c r="AZ1298" s="816"/>
      <c r="BA1298" s="816"/>
      <c r="BC1298" s="816"/>
      <c r="BD1298" s="816"/>
      <c r="BE1298" s="816"/>
      <c r="BF1298" s="816"/>
      <c r="BG1298" s="816"/>
      <c r="BH1298" s="816"/>
      <c r="BI1298" s="816"/>
      <c r="BJ1298" s="816"/>
      <c r="BK1298" s="816" t="s">
        <v>198</v>
      </c>
      <c r="BM1298" s="816"/>
      <c r="BN1298" s="816"/>
      <c r="BO1298" s="816"/>
      <c r="BQ1298" s="816"/>
      <c r="BR1298" s="816"/>
      <c r="BS1298" s="816"/>
      <c r="BT1298" s="816"/>
      <c r="BU1298" s="816"/>
    </row>
    <row r="1299" spans="1:73" ht="409.5" x14ac:dyDescent="0.35">
      <c r="A1299" s="806" t="s">
        <v>888</v>
      </c>
      <c r="B1299" s="806" t="s">
        <v>1292</v>
      </c>
      <c r="C1299" s="806"/>
      <c r="D1299" s="806"/>
      <c r="E1299" s="806"/>
      <c r="F1299" s="806"/>
      <c r="I1299" s="816"/>
      <c r="J1299" s="816"/>
      <c r="K1299" s="816"/>
      <c r="M1299" s="816"/>
      <c r="N1299" s="816"/>
      <c r="O1299" s="816"/>
      <c r="P1299" s="816"/>
      <c r="Q1299" s="816"/>
      <c r="S1299" s="816"/>
      <c r="T1299" s="816"/>
      <c r="U1299" s="816"/>
      <c r="V1299" s="816"/>
      <c r="W1299" s="816"/>
      <c r="X1299" s="816"/>
      <c r="Z1299" s="816"/>
      <c r="AC1299" s="816"/>
      <c r="AD1299" s="816"/>
      <c r="AE1299" s="816"/>
      <c r="AF1299" s="816"/>
      <c r="AG1299" s="816"/>
      <c r="AH1299" s="816" t="s">
        <v>3204</v>
      </c>
      <c r="AI1299" s="816"/>
      <c r="AJ1299" s="816"/>
      <c r="AL1299" s="816"/>
      <c r="AN1299" s="816"/>
      <c r="AP1299" s="816"/>
      <c r="AQ1299" s="816"/>
      <c r="AR1299" s="816"/>
      <c r="AS1299" s="816"/>
      <c r="AT1299" s="816"/>
      <c r="AU1299" s="816"/>
      <c r="AV1299" s="816"/>
      <c r="AW1299" s="816"/>
      <c r="AX1299" s="816"/>
      <c r="AY1299" s="816"/>
      <c r="AZ1299" s="816"/>
      <c r="BA1299" s="816"/>
      <c r="BC1299" s="816"/>
      <c r="BD1299" s="816"/>
      <c r="BE1299" s="816"/>
      <c r="BF1299" s="816"/>
      <c r="BG1299" s="816"/>
      <c r="BH1299" s="816"/>
      <c r="BI1299" s="816"/>
      <c r="BJ1299" s="816"/>
      <c r="BK1299" s="816" t="s">
        <v>3987</v>
      </c>
      <c r="BM1299" s="816"/>
      <c r="BN1299" s="816"/>
      <c r="BO1299" s="816"/>
      <c r="BQ1299" s="816"/>
      <c r="BR1299" s="816"/>
      <c r="BS1299" s="816"/>
      <c r="BT1299" s="816"/>
      <c r="BU1299" s="816"/>
    </row>
    <row r="1300" spans="1:73" x14ac:dyDescent="0.35">
      <c r="A1300" s="806" t="s">
        <v>882</v>
      </c>
      <c r="B1300" s="806" t="s">
        <v>887</v>
      </c>
      <c r="C1300" s="806"/>
      <c r="D1300" s="806"/>
      <c r="E1300" s="806"/>
      <c r="F1300" s="806"/>
      <c r="G1300" s="816" t="s">
        <v>1958</v>
      </c>
      <c r="I1300" s="816"/>
      <c r="J1300" s="816"/>
      <c r="K1300" s="816"/>
      <c r="M1300" s="816"/>
      <c r="N1300" s="816"/>
      <c r="O1300" s="816"/>
      <c r="P1300" s="816"/>
      <c r="Q1300" s="816"/>
      <c r="R1300" s="816"/>
      <c r="S1300" s="816"/>
      <c r="T1300" s="816"/>
      <c r="U1300" s="816"/>
      <c r="V1300" s="816"/>
      <c r="W1300" s="816"/>
      <c r="X1300" s="816"/>
      <c r="Y1300" s="816"/>
      <c r="Z1300" s="816"/>
      <c r="AA1300" s="816" t="s">
        <v>1958</v>
      </c>
      <c r="AC1300" s="816"/>
      <c r="AD1300" s="816"/>
      <c r="AE1300" s="816"/>
      <c r="AF1300" s="816"/>
      <c r="AG1300" s="816"/>
      <c r="AH1300" s="816" t="s">
        <v>2476</v>
      </c>
      <c r="AI1300" s="816"/>
      <c r="AJ1300" s="816"/>
      <c r="AL1300" s="816"/>
      <c r="AM1300" s="816"/>
      <c r="AN1300" s="816"/>
      <c r="AO1300" s="816"/>
      <c r="AP1300" s="816"/>
      <c r="AQ1300" s="816"/>
      <c r="AR1300" s="816"/>
      <c r="AS1300" s="816"/>
      <c r="AT1300" s="816"/>
      <c r="AU1300" s="816"/>
      <c r="AV1300" s="816"/>
      <c r="AW1300" s="816"/>
      <c r="AX1300" s="816"/>
      <c r="AY1300" s="816"/>
      <c r="AZ1300" s="816"/>
      <c r="BA1300" s="816"/>
      <c r="BC1300" s="816"/>
      <c r="BD1300" s="816"/>
      <c r="BE1300" s="816"/>
      <c r="BF1300" s="816"/>
      <c r="BG1300" s="816"/>
      <c r="BH1300" s="816"/>
      <c r="BI1300" s="816"/>
      <c r="BJ1300" s="816"/>
      <c r="BK1300" s="816" t="s">
        <v>2476</v>
      </c>
      <c r="BL1300" s="816"/>
      <c r="BM1300" s="816"/>
      <c r="BN1300" s="816"/>
      <c r="BO1300" s="816"/>
      <c r="BQ1300" s="816"/>
      <c r="BR1300" s="816"/>
      <c r="BS1300" s="816"/>
      <c r="BT1300" s="816"/>
      <c r="BU1300" s="816"/>
    </row>
    <row r="1301" spans="1:73" ht="29" x14ac:dyDescent="0.35">
      <c r="A1301" s="806" t="s">
        <v>888</v>
      </c>
      <c r="B1301" s="806" t="s">
        <v>1290</v>
      </c>
      <c r="C1301" s="806"/>
      <c r="D1301" s="806"/>
      <c r="E1301" s="806"/>
      <c r="F1301" s="806"/>
      <c r="I1301" s="816"/>
      <c r="J1301" s="816"/>
      <c r="K1301" s="816"/>
      <c r="M1301" s="816"/>
      <c r="N1301" s="816"/>
      <c r="O1301" s="816"/>
      <c r="P1301" s="816"/>
      <c r="Q1301" s="816"/>
      <c r="S1301" s="816"/>
      <c r="T1301" s="816"/>
      <c r="U1301" s="816"/>
      <c r="V1301" s="816"/>
      <c r="W1301" s="816"/>
      <c r="X1301" s="816"/>
      <c r="Z1301" s="816"/>
      <c r="AC1301" s="816"/>
      <c r="AD1301" s="816"/>
      <c r="AE1301" s="816"/>
      <c r="AF1301" s="816"/>
      <c r="AG1301" s="816"/>
      <c r="AH1301" s="816" t="s">
        <v>198</v>
      </c>
      <c r="AI1301" s="816"/>
      <c r="AJ1301" s="816"/>
      <c r="AL1301" s="816"/>
      <c r="AN1301" s="816"/>
      <c r="AP1301" s="816"/>
      <c r="AQ1301" s="816"/>
      <c r="AR1301" s="816"/>
      <c r="AS1301" s="816"/>
      <c r="AT1301" s="816"/>
      <c r="AU1301" s="816"/>
      <c r="AV1301" s="816"/>
      <c r="AW1301" s="816"/>
      <c r="AX1301" s="816"/>
      <c r="AY1301" s="816"/>
      <c r="AZ1301" s="816"/>
      <c r="BA1301" s="816"/>
      <c r="BC1301" s="816"/>
      <c r="BD1301" s="816"/>
      <c r="BE1301" s="816"/>
      <c r="BF1301" s="816"/>
      <c r="BG1301" s="816"/>
      <c r="BH1301" s="816"/>
      <c r="BI1301" s="816"/>
      <c r="BJ1301" s="816"/>
      <c r="BK1301" s="816" t="s">
        <v>198</v>
      </c>
      <c r="BM1301" s="816"/>
      <c r="BN1301" s="816"/>
      <c r="BO1301" s="816"/>
      <c r="BQ1301" s="816"/>
      <c r="BR1301" s="816"/>
      <c r="BS1301" s="816"/>
      <c r="BT1301" s="816"/>
      <c r="BU1301" s="816"/>
    </row>
    <row r="1302" spans="1:73" ht="29" x14ac:dyDescent="0.35">
      <c r="A1302" s="806" t="s">
        <v>888</v>
      </c>
      <c r="B1302" s="806" t="s">
        <v>1263</v>
      </c>
      <c r="C1302" s="806"/>
      <c r="D1302" s="806"/>
      <c r="E1302" s="806"/>
      <c r="F1302" s="806"/>
      <c r="I1302" s="816"/>
      <c r="J1302" s="816"/>
      <c r="K1302" s="816"/>
      <c r="M1302" s="816"/>
      <c r="N1302" s="816"/>
      <c r="O1302" s="816"/>
      <c r="P1302" s="816"/>
      <c r="Q1302" s="816"/>
      <c r="R1302" s="816"/>
      <c r="S1302" s="816"/>
      <c r="T1302" s="816"/>
      <c r="U1302" s="816"/>
      <c r="V1302" s="816"/>
      <c r="W1302" s="816"/>
      <c r="X1302" s="816"/>
      <c r="Y1302" s="816"/>
      <c r="Z1302" s="816"/>
      <c r="AC1302" s="816"/>
      <c r="AD1302" s="816"/>
      <c r="AE1302" s="816"/>
      <c r="AF1302" s="816"/>
      <c r="AG1302" s="816"/>
      <c r="AH1302" s="816" t="b">
        <v>1</v>
      </c>
      <c r="AI1302" s="816"/>
      <c r="AJ1302" s="816"/>
      <c r="AL1302" s="816"/>
      <c r="AM1302" s="816"/>
      <c r="AN1302" s="816"/>
      <c r="AO1302" s="816"/>
      <c r="AP1302" s="816"/>
      <c r="AQ1302" s="816"/>
      <c r="AR1302" s="816"/>
      <c r="AS1302" s="816"/>
      <c r="AT1302" s="816"/>
      <c r="AU1302" s="816"/>
      <c r="AV1302" s="816"/>
      <c r="AW1302" s="816"/>
      <c r="AX1302" s="816"/>
      <c r="AY1302" s="816"/>
      <c r="AZ1302" s="816"/>
      <c r="BA1302" s="816"/>
      <c r="BC1302" s="816"/>
      <c r="BD1302" s="816"/>
      <c r="BE1302" s="816"/>
      <c r="BF1302" s="816"/>
      <c r="BG1302" s="816"/>
      <c r="BH1302" s="816"/>
      <c r="BI1302" s="816"/>
      <c r="BJ1302" s="816"/>
      <c r="BK1302" s="816" t="b">
        <v>1</v>
      </c>
      <c r="BM1302" s="816"/>
      <c r="BN1302" s="816"/>
      <c r="BO1302" s="816"/>
      <c r="BQ1302" s="816"/>
      <c r="BR1302" s="816"/>
      <c r="BS1302" s="816"/>
      <c r="BT1302" s="816"/>
      <c r="BU1302" s="816"/>
    </row>
    <row r="1303" spans="1:73" ht="409.5" x14ac:dyDescent="0.35">
      <c r="A1303" s="806" t="s">
        <v>888</v>
      </c>
      <c r="B1303" s="806" t="s">
        <v>1678</v>
      </c>
      <c r="C1303" s="806"/>
      <c r="D1303" s="806"/>
      <c r="E1303" s="806"/>
      <c r="F1303" s="806"/>
      <c r="I1303" s="816"/>
      <c r="K1303" s="816"/>
      <c r="M1303" s="816"/>
      <c r="Q1303" s="816"/>
      <c r="S1303" s="816"/>
      <c r="U1303" s="816"/>
      <c r="V1303" s="816"/>
      <c r="W1303" s="816"/>
      <c r="AD1303" s="816"/>
      <c r="AG1303" s="816"/>
      <c r="AH1303" s="816" t="s">
        <v>3199</v>
      </c>
      <c r="AJ1303" s="816"/>
      <c r="AL1303" s="816"/>
      <c r="AR1303" s="816"/>
      <c r="AT1303" s="816"/>
      <c r="AU1303" s="816"/>
      <c r="AV1303" s="816"/>
      <c r="AX1303" s="816"/>
      <c r="AY1303" s="816"/>
      <c r="AZ1303" s="816"/>
      <c r="BC1303" s="816"/>
      <c r="BD1303" s="816"/>
      <c r="BE1303" s="816"/>
      <c r="BG1303" s="816"/>
      <c r="BH1303" s="816"/>
      <c r="BI1303" s="816"/>
      <c r="BK1303" s="816" t="s">
        <v>4175</v>
      </c>
      <c r="BS1303" s="816"/>
      <c r="BT1303" s="816"/>
      <c r="BU1303" s="816"/>
    </row>
    <row r="1304" spans="1:73" x14ac:dyDescent="0.35">
      <c r="A1304" s="806" t="s">
        <v>888</v>
      </c>
      <c r="B1304" s="806" t="s">
        <v>1284</v>
      </c>
      <c r="C1304" s="806"/>
      <c r="D1304" s="806"/>
      <c r="E1304" s="806"/>
      <c r="F1304" s="806"/>
      <c r="I1304" s="816"/>
      <c r="J1304" s="816"/>
      <c r="K1304" s="816"/>
      <c r="M1304" s="816"/>
      <c r="N1304" s="816"/>
      <c r="O1304" s="816"/>
      <c r="P1304" s="816"/>
      <c r="Q1304" s="816"/>
      <c r="S1304" s="816"/>
      <c r="T1304" s="816"/>
      <c r="U1304" s="816"/>
      <c r="V1304" s="816"/>
      <c r="W1304" s="816"/>
      <c r="X1304" s="816"/>
      <c r="Z1304" s="816"/>
      <c r="AC1304" s="816"/>
      <c r="AD1304" s="816"/>
      <c r="AE1304" s="816"/>
      <c r="AF1304" s="816"/>
      <c r="AG1304" s="816"/>
      <c r="AH1304" s="816" t="s">
        <v>3194</v>
      </c>
      <c r="AI1304" s="816"/>
      <c r="AJ1304" s="816"/>
      <c r="AL1304" s="816"/>
      <c r="AN1304" s="816"/>
      <c r="AP1304" s="816"/>
      <c r="AQ1304" s="816"/>
      <c r="AR1304" s="816"/>
      <c r="AS1304" s="816"/>
      <c r="AT1304" s="816"/>
      <c r="AU1304" s="816"/>
      <c r="AV1304" s="816"/>
      <c r="AW1304" s="816"/>
      <c r="AX1304" s="816"/>
      <c r="AY1304" s="816"/>
      <c r="AZ1304" s="816"/>
      <c r="BA1304" s="816"/>
      <c r="BC1304" s="816"/>
      <c r="BD1304" s="816"/>
      <c r="BE1304" s="816"/>
      <c r="BF1304" s="816"/>
      <c r="BG1304" s="816"/>
      <c r="BH1304" s="816"/>
      <c r="BI1304" s="816"/>
      <c r="BJ1304" s="816"/>
      <c r="BK1304" s="816" t="s">
        <v>3979</v>
      </c>
      <c r="BM1304" s="816"/>
      <c r="BN1304" s="816"/>
      <c r="BO1304" s="816"/>
      <c r="BQ1304" s="816"/>
      <c r="BR1304" s="816"/>
      <c r="BS1304" s="816"/>
      <c r="BT1304" s="816"/>
      <c r="BU1304" s="816"/>
    </row>
    <row r="1305" spans="1:73" ht="43.5" x14ac:dyDescent="0.35">
      <c r="A1305" s="806" t="s">
        <v>888</v>
      </c>
      <c r="B1305" s="806" t="s">
        <v>1668</v>
      </c>
      <c r="C1305" s="806"/>
      <c r="D1305" s="806"/>
      <c r="E1305" s="806"/>
      <c r="F1305" s="806"/>
      <c r="I1305" s="816"/>
      <c r="K1305" s="816"/>
      <c r="M1305" s="816"/>
      <c r="Q1305" s="816"/>
      <c r="S1305" s="816"/>
      <c r="U1305" s="816"/>
      <c r="V1305" s="816"/>
      <c r="W1305" s="816"/>
      <c r="AD1305" s="816"/>
      <c r="AG1305" s="816"/>
      <c r="AH1305" s="816" t="s">
        <v>3195</v>
      </c>
      <c r="AJ1305" s="816"/>
      <c r="AL1305" s="816"/>
      <c r="AR1305" s="816"/>
      <c r="AT1305" s="816"/>
      <c r="AU1305" s="816"/>
      <c r="AV1305" s="816"/>
      <c r="AX1305" s="816"/>
      <c r="AY1305" s="816"/>
      <c r="AZ1305" s="816"/>
      <c r="BC1305" s="816"/>
      <c r="BD1305" s="816"/>
      <c r="BE1305" s="816"/>
      <c r="BG1305" s="816"/>
      <c r="BH1305" s="816"/>
      <c r="BI1305" s="816"/>
      <c r="BK1305" s="816" t="s">
        <v>3980</v>
      </c>
      <c r="BS1305" s="816"/>
      <c r="BT1305" s="816"/>
      <c r="BU1305" s="816"/>
    </row>
    <row r="1306" spans="1:73" ht="29" x14ac:dyDescent="0.35">
      <c r="A1306" s="806" t="s">
        <v>888</v>
      </c>
      <c r="B1306" s="806" t="s">
        <v>3877</v>
      </c>
      <c r="C1306" s="806"/>
      <c r="D1306" s="806"/>
      <c r="E1306" s="806"/>
      <c r="F1306" s="806"/>
      <c r="AH1306" s="816" t="s">
        <v>3196</v>
      </c>
      <c r="BK1306" s="816" t="s">
        <v>3981</v>
      </c>
    </row>
    <row r="1307" spans="1:73" ht="29" x14ac:dyDescent="0.35">
      <c r="A1307" s="806" t="s">
        <v>888</v>
      </c>
      <c r="B1307" s="806" t="s">
        <v>3878</v>
      </c>
      <c r="C1307" s="806"/>
      <c r="D1307" s="806"/>
      <c r="E1307" s="806"/>
      <c r="F1307" s="806"/>
      <c r="AH1307" s="816" t="s">
        <v>3197</v>
      </c>
      <c r="BK1307" s="816" t="s">
        <v>3982</v>
      </c>
    </row>
    <row r="1308" spans="1:73" ht="29" x14ac:dyDescent="0.35">
      <c r="A1308" s="806" t="s">
        <v>888</v>
      </c>
      <c r="B1308" s="806" t="s">
        <v>3879</v>
      </c>
      <c r="C1308" s="806"/>
      <c r="D1308" s="806"/>
      <c r="E1308" s="806"/>
      <c r="F1308" s="806"/>
      <c r="AH1308" s="816"/>
      <c r="BK1308" s="816" t="s">
        <v>3983</v>
      </c>
    </row>
    <row r="1309" spans="1:73" x14ac:dyDescent="0.35">
      <c r="A1309" s="806" t="s">
        <v>888</v>
      </c>
      <c r="B1309" s="806" t="s">
        <v>1287</v>
      </c>
      <c r="C1309" s="806"/>
      <c r="D1309" s="806"/>
      <c r="E1309" s="806"/>
      <c r="F1309" s="806"/>
      <c r="I1309" s="811"/>
      <c r="J1309" s="811"/>
      <c r="K1309" s="811"/>
      <c r="M1309" s="811"/>
      <c r="N1309" s="811"/>
      <c r="O1309" s="811"/>
      <c r="P1309" s="811"/>
      <c r="Q1309" s="811"/>
      <c r="S1309" s="811"/>
      <c r="T1309" s="811"/>
      <c r="U1309" s="811"/>
      <c r="V1309" s="811"/>
      <c r="W1309" s="811"/>
      <c r="X1309" s="811"/>
      <c r="Z1309" s="811"/>
      <c r="AC1309" s="811"/>
      <c r="AD1309" s="811"/>
      <c r="AE1309" s="811"/>
      <c r="AF1309" s="811"/>
      <c r="AG1309" s="811"/>
      <c r="AH1309" s="811">
        <v>43992</v>
      </c>
      <c r="AI1309" s="811"/>
      <c r="AJ1309" s="811"/>
      <c r="AL1309" s="811"/>
      <c r="AN1309" s="811"/>
      <c r="AP1309" s="811"/>
      <c r="AQ1309" s="811"/>
      <c r="AR1309" s="811"/>
      <c r="AS1309" s="811"/>
      <c r="AT1309" s="811"/>
      <c r="AU1309" s="811"/>
      <c r="AV1309" s="811"/>
      <c r="AW1309" s="811"/>
      <c r="AX1309" s="811"/>
      <c r="AY1309" s="811"/>
      <c r="AZ1309" s="811"/>
      <c r="BA1309" s="811"/>
      <c r="BC1309" s="811"/>
      <c r="BD1309" s="811"/>
      <c r="BE1309" s="811"/>
      <c r="BF1309" s="811"/>
      <c r="BG1309" s="811"/>
      <c r="BH1309" s="811"/>
      <c r="BI1309" s="811"/>
      <c r="BJ1309" s="811"/>
      <c r="BK1309" s="811">
        <v>44498</v>
      </c>
      <c r="BM1309" s="811"/>
      <c r="BN1309" s="811"/>
      <c r="BO1309" s="811"/>
      <c r="BQ1309" s="811"/>
      <c r="BR1309" s="811"/>
      <c r="BS1309" s="811"/>
      <c r="BT1309" s="811"/>
      <c r="BU1309" s="811"/>
    </row>
    <row r="1310" spans="1:73" x14ac:dyDescent="0.35">
      <c r="A1310" s="806" t="s">
        <v>888</v>
      </c>
      <c r="B1310" s="806" t="s">
        <v>1666</v>
      </c>
      <c r="C1310" s="806"/>
      <c r="D1310" s="806"/>
      <c r="E1310" s="806"/>
      <c r="F1310" s="806"/>
      <c r="I1310" s="811"/>
      <c r="K1310" s="811"/>
      <c r="M1310" s="811"/>
      <c r="Q1310" s="811"/>
      <c r="S1310" s="811"/>
      <c r="U1310" s="811"/>
      <c r="V1310" s="811"/>
      <c r="W1310" s="811"/>
      <c r="AD1310" s="811"/>
      <c r="AG1310" s="811"/>
      <c r="AH1310" s="811">
        <v>44837</v>
      </c>
      <c r="AJ1310" s="811"/>
      <c r="AL1310" s="811"/>
      <c r="AR1310" s="811"/>
      <c r="AT1310" s="811"/>
      <c r="AU1310" s="811"/>
      <c r="AV1310" s="811"/>
      <c r="AX1310" s="811"/>
      <c r="AY1310" s="811"/>
      <c r="AZ1310" s="811"/>
      <c r="BC1310" s="811"/>
      <c r="BD1310" s="811"/>
      <c r="BE1310" s="811"/>
      <c r="BG1310" s="811"/>
      <c r="BH1310" s="811"/>
      <c r="BI1310" s="811"/>
      <c r="BK1310" s="811">
        <v>43914</v>
      </c>
      <c r="BS1310" s="811"/>
      <c r="BT1310" s="811"/>
      <c r="BU1310" s="811"/>
    </row>
    <row r="1311" spans="1:73" x14ac:dyDescent="0.35">
      <c r="A1311" s="806" t="s">
        <v>888</v>
      </c>
      <c r="B1311" s="806" t="s">
        <v>3883</v>
      </c>
      <c r="C1311" s="806"/>
      <c r="D1311" s="806"/>
      <c r="E1311" s="806"/>
      <c r="F1311" s="806"/>
      <c r="AH1311" s="811">
        <v>43901</v>
      </c>
      <c r="BK1311" s="811">
        <v>43728</v>
      </c>
    </row>
    <row r="1312" spans="1:73" x14ac:dyDescent="0.35">
      <c r="A1312" s="806" t="s">
        <v>888</v>
      </c>
      <c r="B1312" s="806" t="s">
        <v>3884</v>
      </c>
      <c r="C1312" s="806"/>
      <c r="D1312" s="806"/>
      <c r="E1312" s="806"/>
      <c r="F1312" s="806"/>
      <c r="AH1312" s="811">
        <v>44915</v>
      </c>
      <c r="BK1312" s="811">
        <v>43678</v>
      </c>
    </row>
    <row r="1313" spans="1:73" x14ac:dyDescent="0.35">
      <c r="A1313" s="806" t="s">
        <v>888</v>
      </c>
      <c r="B1313" s="806" t="s">
        <v>3885</v>
      </c>
      <c r="C1313" s="806"/>
      <c r="D1313" s="806"/>
      <c r="E1313" s="806"/>
      <c r="F1313" s="806"/>
      <c r="AH1313" s="811"/>
      <c r="BK1313" s="811">
        <v>43539</v>
      </c>
    </row>
    <row r="1314" spans="1:73" ht="29" x14ac:dyDescent="0.35">
      <c r="A1314" s="806" t="s">
        <v>888</v>
      </c>
      <c r="B1314" s="806" t="s">
        <v>1286</v>
      </c>
      <c r="C1314" s="806"/>
      <c r="D1314" s="806"/>
      <c r="E1314" s="806"/>
      <c r="F1314" s="806"/>
      <c r="I1314" s="811"/>
      <c r="J1314" s="811"/>
      <c r="K1314" s="811"/>
      <c r="M1314" s="811"/>
      <c r="N1314" s="811"/>
      <c r="O1314" s="811"/>
      <c r="P1314" s="811"/>
      <c r="Q1314" s="811"/>
      <c r="S1314" s="811"/>
      <c r="T1314" s="811"/>
      <c r="U1314" s="811"/>
      <c r="V1314" s="811"/>
      <c r="W1314" s="811"/>
      <c r="X1314" s="811"/>
      <c r="Z1314" s="811"/>
      <c r="AC1314" s="811"/>
      <c r="AD1314" s="811"/>
      <c r="AE1314" s="811"/>
      <c r="AF1314" s="811"/>
      <c r="AG1314" s="811"/>
      <c r="AH1314" s="811">
        <v>43471</v>
      </c>
      <c r="AI1314" s="811"/>
      <c r="AJ1314" s="811"/>
      <c r="AL1314" s="811"/>
      <c r="AN1314" s="811"/>
      <c r="AP1314" s="811"/>
      <c r="AQ1314" s="811"/>
      <c r="AR1314" s="811"/>
      <c r="AS1314" s="811"/>
      <c r="AT1314" s="811"/>
      <c r="AU1314" s="811"/>
      <c r="AV1314" s="811"/>
      <c r="AW1314" s="811"/>
      <c r="AX1314" s="811"/>
      <c r="AY1314" s="811"/>
      <c r="AZ1314" s="811"/>
      <c r="BA1314" s="811"/>
      <c r="BC1314" s="811"/>
      <c r="BD1314" s="811"/>
      <c r="BE1314" s="811"/>
      <c r="BF1314" s="811"/>
      <c r="BG1314" s="811"/>
      <c r="BH1314" s="811"/>
      <c r="BI1314" s="811"/>
      <c r="BJ1314" s="811"/>
      <c r="BK1314" s="811">
        <v>44107</v>
      </c>
      <c r="BM1314" s="811"/>
      <c r="BN1314" s="811"/>
      <c r="BO1314" s="811"/>
      <c r="BQ1314" s="811"/>
      <c r="BR1314" s="811"/>
      <c r="BS1314" s="811"/>
      <c r="BT1314" s="811"/>
      <c r="BU1314" s="811"/>
    </row>
    <row r="1315" spans="1:73" ht="29" x14ac:dyDescent="0.35">
      <c r="A1315" s="806" t="s">
        <v>888</v>
      </c>
      <c r="B1315" s="806" t="s">
        <v>1665</v>
      </c>
      <c r="C1315" s="806"/>
      <c r="D1315" s="806"/>
      <c r="E1315" s="806"/>
      <c r="F1315" s="806"/>
      <c r="I1315" s="811"/>
      <c r="K1315" s="811"/>
      <c r="M1315" s="811"/>
      <c r="Q1315" s="811"/>
      <c r="S1315" s="811"/>
      <c r="U1315" s="811"/>
      <c r="V1315" s="811"/>
      <c r="W1315" s="811"/>
      <c r="AD1315" s="811"/>
      <c r="AG1315" s="811"/>
      <c r="AH1315" s="811">
        <v>44063</v>
      </c>
      <c r="AJ1315" s="811"/>
      <c r="AL1315" s="811"/>
      <c r="AR1315" s="811"/>
      <c r="AT1315" s="811"/>
      <c r="AU1315" s="811"/>
      <c r="AV1315" s="811"/>
      <c r="AX1315" s="811"/>
      <c r="AY1315" s="811"/>
      <c r="AZ1315" s="811"/>
      <c r="BC1315" s="811"/>
      <c r="BD1315" s="811"/>
      <c r="BE1315" s="811"/>
      <c r="BG1315" s="811"/>
      <c r="BH1315" s="811"/>
      <c r="BI1315" s="811"/>
      <c r="BK1315" s="811">
        <v>43561</v>
      </c>
      <c r="BS1315" s="811"/>
      <c r="BT1315" s="811"/>
      <c r="BU1315" s="811"/>
    </row>
    <row r="1316" spans="1:73" ht="29" x14ac:dyDescent="0.35">
      <c r="A1316" s="806" t="s">
        <v>888</v>
      </c>
      <c r="B1316" s="806" t="s">
        <v>3886</v>
      </c>
      <c r="C1316" s="806"/>
      <c r="D1316" s="806"/>
      <c r="E1316" s="806"/>
      <c r="F1316" s="806"/>
      <c r="AH1316" s="811">
        <v>43471</v>
      </c>
      <c r="BK1316" s="811"/>
    </row>
    <row r="1317" spans="1:73" ht="29" x14ac:dyDescent="0.35">
      <c r="A1317" s="806" t="s">
        <v>888</v>
      </c>
      <c r="B1317" s="806" t="s">
        <v>3887</v>
      </c>
      <c r="C1317" s="806"/>
      <c r="D1317" s="806"/>
      <c r="E1317" s="806"/>
      <c r="F1317" s="806"/>
      <c r="AH1317" s="811">
        <v>44201</v>
      </c>
    </row>
    <row r="1318" spans="1:73" ht="29" x14ac:dyDescent="0.35">
      <c r="A1318" s="806" t="s">
        <v>888</v>
      </c>
      <c r="B1318" s="806" t="s">
        <v>1285</v>
      </c>
      <c r="C1318" s="806"/>
      <c r="D1318" s="806"/>
      <c r="E1318" s="806"/>
      <c r="F1318" s="806"/>
      <c r="I1318" s="817"/>
      <c r="J1318" s="817"/>
      <c r="K1318" s="817"/>
      <c r="M1318" s="817"/>
      <c r="N1318" s="817"/>
      <c r="O1318" s="817"/>
      <c r="P1318" s="817"/>
      <c r="Q1318" s="817"/>
      <c r="S1318" s="817"/>
      <c r="T1318" s="817"/>
      <c r="U1318" s="817"/>
      <c r="V1318" s="817"/>
      <c r="W1318" s="817"/>
      <c r="X1318" s="817"/>
      <c r="Z1318" s="817"/>
      <c r="AC1318" s="817"/>
      <c r="AD1318" s="817"/>
      <c r="AE1318" s="817"/>
      <c r="AF1318" s="817"/>
      <c r="AG1318" s="817"/>
      <c r="AH1318" s="817">
        <v>3</v>
      </c>
      <c r="AI1318" s="817"/>
      <c r="AJ1318" s="817"/>
      <c r="AL1318" s="817"/>
      <c r="AN1318" s="817"/>
      <c r="AP1318" s="817"/>
      <c r="AQ1318" s="817"/>
      <c r="AR1318" s="817"/>
      <c r="AS1318" s="817"/>
      <c r="AT1318" s="817"/>
      <c r="AU1318" s="817"/>
      <c r="AV1318" s="817"/>
      <c r="AW1318" s="817"/>
      <c r="AX1318" s="817"/>
      <c r="AY1318" s="817"/>
      <c r="AZ1318" s="817"/>
      <c r="BA1318" s="817"/>
      <c r="BC1318" s="817"/>
      <c r="BD1318" s="817"/>
      <c r="BE1318" s="817"/>
      <c r="BF1318" s="817"/>
      <c r="BG1318" s="817"/>
      <c r="BH1318" s="817"/>
      <c r="BI1318" s="817"/>
      <c r="BJ1318" s="817"/>
      <c r="BK1318" s="817">
        <v>7</v>
      </c>
      <c r="BM1318" s="817"/>
      <c r="BN1318" s="817"/>
      <c r="BO1318" s="817"/>
      <c r="BQ1318" s="817"/>
      <c r="BR1318" s="817"/>
      <c r="BS1318" s="817"/>
      <c r="BT1318" s="817"/>
      <c r="BU1318" s="817"/>
    </row>
    <row r="1319" spans="1:73" ht="29" x14ac:dyDescent="0.35">
      <c r="A1319" s="806" t="s">
        <v>888</v>
      </c>
      <c r="B1319" s="806" t="s">
        <v>1667</v>
      </c>
      <c r="C1319" s="806"/>
      <c r="D1319" s="806"/>
      <c r="E1319" s="806"/>
      <c r="F1319" s="806"/>
      <c r="I1319" s="817"/>
      <c r="K1319" s="817"/>
      <c r="M1319" s="817"/>
      <c r="Q1319" s="817"/>
      <c r="S1319" s="817"/>
      <c r="U1319" s="817"/>
      <c r="V1319" s="817"/>
      <c r="W1319" s="817"/>
      <c r="AD1319" s="817"/>
      <c r="AG1319" s="817"/>
      <c r="AH1319" s="817">
        <v>6</v>
      </c>
      <c r="AJ1319" s="817"/>
      <c r="AL1319" s="817"/>
      <c r="AR1319" s="817"/>
      <c r="AT1319" s="817"/>
      <c r="AU1319" s="817"/>
      <c r="AV1319" s="817"/>
      <c r="AX1319" s="817"/>
      <c r="AY1319" s="817"/>
      <c r="AZ1319" s="817"/>
      <c r="BC1319" s="817"/>
      <c r="BD1319" s="817"/>
      <c r="BE1319" s="817"/>
      <c r="BG1319" s="817"/>
      <c r="BH1319" s="817"/>
      <c r="BI1319" s="817"/>
      <c r="BK1319" s="817">
        <v>10</v>
      </c>
      <c r="BS1319" s="817"/>
      <c r="BT1319" s="817"/>
      <c r="BU1319" s="817"/>
    </row>
    <row r="1320" spans="1:73" ht="29" x14ac:dyDescent="0.35">
      <c r="A1320" s="806" t="s">
        <v>888</v>
      </c>
      <c r="B1320" s="806" t="s">
        <v>3880</v>
      </c>
      <c r="C1320" s="806"/>
      <c r="D1320" s="806"/>
      <c r="E1320" s="806"/>
      <c r="F1320" s="806"/>
      <c r="AH1320" s="817">
        <v>1</v>
      </c>
      <c r="BK1320" s="817">
        <v>10</v>
      </c>
    </row>
    <row r="1321" spans="1:73" ht="29" x14ac:dyDescent="0.35">
      <c r="A1321" s="806" t="s">
        <v>888</v>
      </c>
      <c r="B1321" s="806" t="s">
        <v>3881</v>
      </c>
      <c r="C1321" s="806"/>
      <c r="D1321" s="806"/>
      <c r="E1321" s="806"/>
      <c r="F1321" s="806"/>
      <c r="AH1321" s="817">
        <v>1</v>
      </c>
      <c r="BK1321" s="817">
        <v>9</v>
      </c>
    </row>
    <row r="1322" spans="1:73" ht="29" x14ac:dyDescent="0.35">
      <c r="A1322" s="806" t="s">
        <v>888</v>
      </c>
      <c r="B1322" s="806" t="s">
        <v>3882</v>
      </c>
      <c r="C1322" s="806"/>
      <c r="D1322" s="806"/>
      <c r="E1322" s="806"/>
      <c r="F1322" s="806"/>
      <c r="AH1322" s="817"/>
      <c r="BK1322" s="817">
        <v>10</v>
      </c>
    </row>
    <row r="1323" spans="1:73" ht="409.5" x14ac:dyDescent="0.35">
      <c r="A1323" s="806" t="s">
        <v>888</v>
      </c>
      <c r="B1323" s="806" t="s">
        <v>1291</v>
      </c>
      <c r="C1323" s="806"/>
      <c r="D1323" s="806"/>
      <c r="E1323" s="806"/>
      <c r="F1323" s="806"/>
      <c r="I1323" s="816"/>
      <c r="J1323" s="816"/>
      <c r="K1323" s="816"/>
      <c r="M1323" s="816"/>
      <c r="N1323" s="816"/>
      <c r="O1323" s="816"/>
      <c r="P1323" s="816"/>
      <c r="Q1323" s="816"/>
      <c r="S1323" s="816"/>
      <c r="T1323" s="816"/>
      <c r="U1323" s="816"/>
      <c r="V1323" s="816"/>
      <c r="W1323" s="816"/>
      <c r="X1323" s="816"/>
      <c r="Z1323" s="816"/>
      <c r="AC1323" s="816"/>
      <c r="AD1323" s="816"/>
      <c r="AE1323" s="816"/>
      <c r="AF1323" s="816"/>
      <c r="AG1323" s="816"/>
      <c r="AH1323" s="816" t="s">
        <v>3198</v>
      </c>
      <c r="AI1323" s="816"/>
      <c r="AJ1323" s="816"/>
      <c r="AL1323" s="816"/>
      <c r="AN1323" s="816"/>
      <c r="AP1323" s="816"/>
      <c r="AQ1323" s="816"/>
      <c r="AR1323" s="816"/>
      <c r="AS1323" s="816"/>
      <c r="AT1323" s="816"/>
      <c r="AU1323" s="816"/>
      <c r="AV1323" s="816"/>
      <c r="AW1323" s="816"/>
      <c r="AX1323" s="816"/>
      <c r="AY1323" s="816"/>
      <c r="AZ1323" s="816"/>
      <c r="BA1323" s="816"/>
      <c r="BC1323" s="816"/>
      <c r="BD1323" s="816"/>
      <c r="BE1323" s="816"/>
      <c r="BF1323" s="816"/>
      <c r="BG1323" s="816"/>
      <c r="BH1323" s="816"/>
      <c r="BI1323" s="816"/>
      <c r="BJ1323" s="816"/>
      <c r="BK1323" s="816" t="s">
        <v>3986</v>
      </c>
      <c r="BM1323" s="816"/>
      <c r="BN1323" s="816"/>
      <c r="BO1323" s="816"/>
      <c r="BQ1323" s="816"/>
      <c r="BR1323" s="816"/>
      <c r="BS1323" s="816"/>
      <c r="BT1323" s="816"/>
      <c r="BU1323" s="816"/>
    </row>
    <row r="1324" spans="1:73" ht="29" x14ac:dyDescent="0.35">
      <c r="A1324" s="806" t="s">
        <v>888</v>
      </c>
      <c r="B1324" s="806" t="s">
        <v>890</v>
      </c>
      <c r="C1324" s="806"/>
      <c r="D1324" s="806"/>
      <c r="E1324" s="806"/>
      <c r="F1324" s="806"/>
      <c r="G1324" s="816"/>
      <c r="I1324" s="816"/>
      <c r="J1324" s="816"/>
      <c r="K1324" s="816"/>
      <c r="M1324" s="816"/>
      <c r="N1324" s="816"/>
      <c r="O1324" s="816"/>
      <c r="P1324" s="816"/>
      <c r="Q1324" s="816"/>
      <c r="R1324" s="816"/>
      <c r="S1324" s="816"/>
      <c r="T1324" s="816"/>
      <c r="U1324" s="816"/>
      <c r="V1324" s="816"/>
      <c r="W1324" s="816"/>
      <c r="X1324" s="816"/>
      <c r="Y1324" s="816"/>
      <c r="Z1324" s="816"/>
      <c r="AA1324" s="816"/>
      <c r="AC1324" s="816"/>
      <c r="AD1324" s="816"/>
      <c r="AE1324" s="816"/>
      <c r="AF1324" s="816"/>
      <c r="AG1324" s="816"/>
      <c r="AH1324" s="816" t="s">
        <v>1959</v>
      </c>
      <c r="AI1324" s="816"/>
      <c r="AJ1324" s="816"/>
      <c r="AL1324" s="816"/>
      <c r="AM1324" s="816"/>
      <c r="AN1324" s="816"/>
      <c r="AO1324" s="816"/>
      <c r="AP1324" s="816"/>
      <c r="AQ1324" s="816"/>
      <c r="AR1324" s="816"/>
      <c r="AS1324" s="816"/>
      <c r="AT1324" s="816"/>
      <c r="AU1324" s="816"/>
      <c r="AV1324" s="816"/>
      <c r="AW1324" s="816"/>
      <c r="AX1324" s="816"/>
      <c r="AY1324" s="816"/>
      <c r="AZ1324" s="816"/>
      <c r="BA1324" s="816"/>
      <c r="BC1324" s="816"/>
      <c r="BD1324" s="816"/>
      <c r="BE1324" s="816"/>
      <c r="BF1324" s="816"/>
      <c r="BG1324" s="816"/>
      <c r="BH1324" s="816"/>
      <c r="BI1324" s="816"/>
      <c r="BJ1324" s="816"/>
      <c r="BK1324" s="816" t="s">
        <v>1959</v>
      </c>
      <c r="BL1324" s="816"/>
      <c r="BM1324" s="816"/>
      <c r="BN1324" s="816"/>
      <c r="BO1324" s="816"/>
      <c r="BQ1324" s="816"/>
      <c r="BR1324" s="816"/>
      <c r="BS1324" s="816"/>
      <c r="BT1324" s="816"/>
      <c r="BU1324" s="816"/>
    </row>
    <row r="1325" spans="1:73" x14ac:dyDescent="0.35">
      <c r="A1325" s="806" t="s">
        <v>888</v>
      </c>
      <c r="B1325" s="806" t="s">
        <v>1294</v>
      </c>
      <c r="C1325" s="806"/>
      <c r="D1325" s="806"/>
      <c r="E1325" s="806"/>
      <c r="F1325" s="806"/>
      <c r="I1325" s="817"/>
      <c r="J1325" s="817"/>
      <c r="K1325" s="817"/>
      <c r="M1325" s="817"/>
      <c r="N1325" s="817"/>
      <c r="O1325" s="817"/>
      <c r="P1325" s="817"/>
      <c r="Q1325" s="817"/>
      <c r="S1325" s="817"/>
      <c r="T1325" s="817"/>
      <c r="U1325" s="817"/>
      <c r="V1325" s="817"/>
      <c r="W1325" s="817"/>
      <c r="X1325" s="817"/>
      <c r="Z1325" s="817"/>
      <c r="AC1325" s="817"/>
      <c r="AD1325" s="817"/>
      <c r="AE1325" s="817"/>
      <c r="AF1325" s="817"/>
      <c r="AG1325" s="817"/>
      <c r="AH1325" s="817">
        <v>500</v>
      </c>
      <c r="AI1325" s="817"/>
      <c r="AJ1325" s="817"/>
      <c r="AL1325" s="817"/>
      <c r="AN1325" s="817"/>
      <c r="AP1325" s="817"/>
      <c r="AQ1325" s="817"/>
      <c r="AR1325" s="817"/>
      <c r="AS1325" s="817"/>
      <c r="AT1325" s="817"/>
      <c r="AU1325" s="817"/>
      <c r="AV1325" s="817"/>
      <c r="AW1325" s="817"/>
      <c r="AX1325" s="817"/>
      <c r="AY1325" s="817"/>
      <c r="AZ1325" s="817"/>
      <c r="BA1325" s="817"/>
      <c r="BC1325" s="817"/>
      <c r="BD1325" s="817"/>
      <c r="BE1325" s="817"/>
      <c r="BF1325" s="817"/>
      <c r="BG1325" s="817"/>
      <c r="BH1325" s="817"/>
      <c r="BI1325" s="817"/>
      <c r="BJ1325" s="817"/>
      <c r="BK1325" s="817">
        <v>1500</v>
      </c>
      <c r="BM1325" s="817"/>
      <c r="BN1325" s="817"/>
      <c r="BO1325" s="817"/>
      <c r="BQ1325" s="817"/>
      <c r="BR1325" s="817"/>
      <c r="BS1325" s="817"/>
      <c r="BT1325" s="817"/>
      <c r="BU1325" s="817"/>
    </row>
    <row r="1326" spans="1:73" ht="29" x14ac:dyDescent="0.35">
      <c r="A1326" s="806" t="s">
        <v>888</v>
      </c>
      <c r="B1326" s="806" t="s">
        <v>1289</v>
      </c>
      <c r="C1326" s="806"/>
      <c r="D1326" s="806"/>
      <c r="E1326" s="806"/>
      <c r="F1326" s="806"/>
      <c r="I1326" s="816"/>
      <c r="J1326" s="816"/>
      <c r="K1326" s="816"/>
      <c r="M1326" s="816"/>
      <c r="N1326" s="816"/>
      <c r="O1326" s="816"/>
      <c r="P1326" s="816"/>
      <c r="Q1326" s="816"/>
      <c r="S1326" s="816"/>
      <c r="T1326" s="816"/>
      <c r="U1326" s="816"/>
      <c r="V1326" s="816"/>
      <c r="W1326" s="816"/>
      <c r="X1326" s="816"/>
      <c r="Z1326" s="816"/>
      <c r="AC1326" s="816"/>
      <c r="AD1326" s="816"/>
      <c r="AE1326" s="816"/>
      <c r="AF1326" s="816"/>
      <c r="AG1326" s="816"/>
      <c r="AH1326" s="816" t="s">
        <v>198</v>
      </c>
      <c r="AI1326" s="816"/>
      <c r="AJ1326" s="816"/>
      <c r="AL1326" s="816"/>
      <c r="AN1326" s="816"/>
      <c r="AP1326" s="816"/>
      <c r="AQ1326" s="816"/>
      <c r="AR1326" s="816"/>
      <c r="AS1326" s="816"/>
      <c r="AT1326" s="816"/>
      <c r="AU1326" s="816"/>
      <c r="AV1326" s="816"/>
      <c r="AW1326" s="816"/>
      <c r="AX1326" s="816"/>
      <c r="AY1326" s="816"/>
      <c r="AZ1326" s="816"/>
      <c r="BA1326" s="816"/>
      <c r="BC1326" s="816"/>
      <c r="BD1326" s="816"/>
      <c r="BE1326" s="816"/>
      <c r="BF1326" s="816"/>
      <c r="BG1326" s="816"/>
      <c r="BH1326" s="816"/>
      <c r="BI1326" s="816"/>
      <c r="BJ1326" s="816"/>
      <c r="BK1326" s="816" t="s">
        <v>198</v>
      </c>
      <c r="BM1326" s="816"/>
      <c r="BN1326" s="816"/>
      <c r="BO1326" s="816"/>
      <c r="BQ1326" s="816"/>
      <c r="BR1326" s="816"/>
      <c r="BS1326" s="816"/>
      <c r="BT1326" s="816"/>
      <c r="BU1326" s="816"/>
    </row>
    <row r="1327" spans="1:73" ht="29" x14ac:dyDescent="0.35">
      <c r="A1327" s="806" t="s">
        <v>888</v>
      </c>
      <c r="B1327" s="806" t="s">
        <v>893</v>
      </c>
      <c r="C1327" s="806"/>
      <c r="D1327" s="806"/>
      <c r="E1327" s="806"/>
      <c r="F1327" s="806"/>
      <c r="G1327" s="816"/>
      <c r="I1327" s="816"/>
      <c r="J1327" s="816"/>
      <c r="K1327" s="816"/>
      <c r="M1327" s="816"/>
      <c r="N1327" s="816"/>
      <c r="O1327" s="816"/>
      <c r="P1327" s="816"/>
      <c r="Q1327" s="816"/>
      <c r="R1327" s="816"/>
      <c r="S1327" s="816"/>
      <c r="T1327" s="816"/>
      <c r="U1327" s="816"/>
      <c r="V1327" s="816"/>
      <c r="W1327" s="816"/>
      <c r="X1327" s="816"/>
      <c r="Y1327" s="816"/>
      <c r="Z1327" s="816"/>
      <c r="AA1327" s="817"/>
      <c r="AC1327" s="816"/>
      <c r="AD1327" s="816"/>
      <c r="AE1327" s="816"/>
      <c r="AF1327" s="816"/>
      <c r="AG1327" s="816"/>
      <c r="AH1327" s="816" t="s">
        <v>2475</v>
      </c>
      <c r="AI1327" s="816"/>
      <c r="AJ1327" s="816"/>
      <c r="AL1327" s="816"/>
      <c r="AM1327" s="816"/>
      <c r="AN1327" s="816"/>
      <c r="AO1327" s="816"/>
      <c r="AP1327" s="816"/>
      <c r="AQ1327" s="816"/>
      <c r="AR1327" s="816"/>
      <c r="AS1327" s="816"/>
      <c r="AT1327" s="816"/>
      <c r="AU1327" s="816"/>
      <c r="AV1327" s="816"/>
      <c r="AW1327" s="816"/>
      <c r="AX1327" s="816"/>
      <c r="AY1327" s="816"/>
      <c r="AZ1327" s="816"/>
      <c r="BA1327" s="816"/>
      <c r="BC1327" s="816"/>
      <c r="BD1327" s="816"/>
      <c r="BE1327" s="816"/>
      <c r="BF1327" s="816"/>
      <c r="BG1327" s="816"/>
      <c r="BH1327" s="816"/>
      <c r="BI1327" s="816"/>
      <c r="BJ1327" s="816"/>
      <c r="BK1327" s="816" t="s">
        <v>2475</v>
      </c>
      <c r="BL1327" s="816"/>
      <c r="BM1327" s="816"/>
      <c r="BN1327" s="816"/>
      <c r="BO1327" s="816"/>
      <c r="BQ1327" s="816"/>
      <c r="BR1327" s="816"/>
      <c r="BS1327" s="816"/>
      <c r="BT1327" s="816"/>
      <c r="BU1327" s="816"/>
    </row>
    <row r="1328" spans="1:73" ht="29" x14ac:dyDescent="0.35">
      <c r="A1328" s="806" t="s">
        <v>888</v>
      </c>
      <c r="B1328" s="806" t="s">
        <v>1273</v>
      </c>
      <c r="C1328" s="806"/>
      <c r="D1328" s="806"/>
      <c r="E1328" s="806"/>
      <c r="F1328" s="806"/>
      <c r="I1328" s="817"/>
      <c r="J1328" s="817"/>
      <c r="K1328" s="817"/>
      <c r="M1328" s="817"/>
      <c r="N1328" s="817"/>
      <c r="O1328" s="817"/>
      <c r="P1328" s="817"/>
      <c r="Q1328" s="817"/>
      <c r="R1328" s="817"/>
      <c r="S1328" s="817"/>
      <c r="T1328" s="817"/>
      <c r="U1328" s="817"/>
      <c r="V1328" s="817"/>
      <c r="W1328" s="817"/>
      <c r="X1328" s="817"/>
      <c r="Y1328" s="817"/>
      <c r="Z1328" s="817"/>
      <c r="AC1328" s="817"/>
      <c r="AD1328" s="817"/>
      <c r="AE1328" s="817"/>
      <c r="AF1328" s="817"/>
      <c r="AG1328" s="817"/>
      <c r="AH1328" s="817">
        <v>30</v>
      </c>
      <c r="AI1328" s="817"/>
      <c r="AJ1328" s="817"/>
      <c r="AL1328" s="817"/>
      <c r="AM1328" s="817"/>
      <c r="AN1328" s="817"/>
      <c r="AO1328" s="817"/>
      <c r="AP1328" s="817"/>
      <c r="AQ1328" s="817"/>
      <c r="AR1328" s="817"/>
      <c r="AS1328" s="817"/>
      <c r="AT1328" s="817"/>
      <c r="AU1328" s="817"/>
      <c r="AV1328" s="817"/>
      <c r="AW1328" s="817"/>
      <c r="AX1328" s="817"/>
      <c r="AY1328" s="817"/>
      <c r="AZ1328" s="817"/>
      <c r="BA1328" s="817"/>
      <c r="BC1328" s="817"/>
      <c r="BD1328" s="817"/>
      <c r="BE1328" s="817"/>
      <c r="BF1328" s="817"/>
      <c r="BG1328" s="817"/>
      <c r="BH1328" s="817"/>
      <c r="BI1328" s="817"/>
      <c r="BJ1328" s="817"/>
      <c r="BK1328" s="817">
        <v>40</v>
      </c>
      <c r="BM1328" s="817"/>
      <c r="BN1328" s="817"/>
      <c r="BO1328" s="817"/>
      <c r="BQ1328" s="817"/>
      <c r="BR1328" s="817"/>
      <c r="BS1328" s="817"/>
      <c r="BT1328" s="817"/>
      <c r="BU1328" s="817"/>
    </row>
    <row r="1329" spans="1:73" ht="29" x14ac:dyDescent="0.35">
      <c r="A1329" s="806" t="s">
        <v>888</v>
      </c>
      <c r="B1329" s="806" t="s">
        <v>1269</v>
      </c>
      <c r="C1329" s="806"/>
      <c r="D1329" s="806"/>
      <c r="E1329" s="806"/>
      <c r="F1329" s="806"/>
      <c r="I1329" s="817"/>
      <c r="J1329" s="817"/>
      <c r="K1329" s="817"/>
      <c r="M1329" s="817"/>
      <c r="N1329" s="817"/>
      <c r="O1329" s="817"/>
      <c r="P1329" s="817"/>
      <c r="Q1329" s="817"/>
      <c r="R1329" s="817"/>
      <c r="S1329" s="817"/>
      <c r="T1329" s="817"/>
      <c r="U1329" s="817"/>
      <c r="V1329" s="817"/>
      <c r="W1329" s="817"/>
      <c r="X1329" s="817"/>
      <c r="Y1329" s="817"/>
      <c r="Z1329" s="817"/>
      <c r="AC1329" s="817"/>
      <c r="AD1329" s="817"/>
      <c r="AE1329" s="817"/>
      <c r="AF1329" s="817"/>
      <c r="AG1329" s="817"/>
      <c r="AH1329" s="817">
        <v>15</v>
      </c>
      <c r="AI1329" s="817"/>
      <c r="AJ1329" s="817"/>
      <c r="AL1329" s="817"/>
      <c r="AM1329" s="817"/>
      <c r="AN1329" s="817"/>
      <c r="AO1329" s="817"/>
      <c r="AP1329" s="817"/>
      <c r="AQ1329" s="817"/>
      <c r="AR1329" s="817"/>
      <c r="AS1329" s="817"/>
      <c r="AT1329" s="817"/>
      <c r="AU1329" s="817"/>
      <c r="AV1329" s="817"/>
      <c r="AW1329" s="817"/>
      <c r="AX1329" s="817"/>
      <c r="AY1329" s="817"/>
      <c r="AZ1329" s="817"/>
      <c r="BA1329" s="817"/>
      <c r="BC1329" s="817"/>
      <c r="BD1329" s="817"/>
      <c r="BE1329" s="817"/>
      <c r="BF1329" s="817"/>
      <c r="BG1329" s="817"/>
      <c r="BH1329" s="817"/>
      <c r="BI1329" s="817"/>
      <c r="BJ1329" s="817"/>
      <c r="BK1329" s="817">
        <v>11</v>
      </c>
      <c r="BM1329" s="817"/>
      <c r="BN1329" s="817"/>
      <c r="BO1329" s="817"/>
      <c r="BQ1329" s="817"/>
      <c r="BR1329" s="817"/>
      <c r="BS1329" s="817"/>
      <c r="BT1329" s="817"/>
      <c r="BU1329" s="817"/>
    </row>
    <row r="1330" spans="1:73" ht="29" x14ac:dyDescent="0.35">
      <c r="A1330" s="806" t="s">
        <v>888</v>
      </c>
      <c r="B1330" s="806" t="s">
        <v>1275</v>
      </c>
      <c r="C1330" s="806"/>
      <c r="D1330" s="806"/>
      <c r="E1330" s="806"/>
      <c r="F1330" s="806"/>
      <c r="I1330" s="817"/>
      <c r="J1330" s="817"/>
      <c r="K1330" s="817"/>
      <c r="M1330" s="817"/>
      <c r="N1330" s="817"/>
      <c r="O1330" s="817"/>
      <c r="P1330" s="817"/>
      <c r="Q1330" s="817"/>
      <c r="R1330" s="817"/>
      <c r="S1330" s="817"/>
      <c r="T1330" s="817"/>
      <c r="U1330" s="817"/>
      <c r="V1330" s="817"/>
      <c r="W1330" s="817"/>
      <c r="X1330" s="817"/>
      <c r="Y1330" s="817"/>
      <c r="Z1330" s="817"/>
      <c r="AC1330" s="817"/>
      <c r="AD1330" s="817"/>
      <c r="AE1330" s="817"/>
      <c r="AF1330" s="817"/>
      <c r="AG1330" s="817"/>
      <c r="AH1330" s="817">
        <v>10</v>
      </c>
      <c r="AI1330" s="817"/>
      <c r="AJ1330" s="817"/>
      <c r="AL1330" s="817"/>
      <c r="AM1330" s="817"/>
      <c r="AN1330" s="817"/>
      <c r="AO1330" s="817"/>
      <c r="AP1330" s="817"/>
      <c r="AQ1330" s="817"/>
      <c r="AR1330" s="817"/>
      <c r="AS1330" s="817"/>
      <c r="AT1330" s="817"/>
      <c r="AU1330" s="817"/>
      <c r="AV1330" s="817"/>
      <c r="AW1330" s="817"/>
      <c r="AX1330" s="817"/>
      <c r="AY1330" s="817"/>
      <c r="AZ1330" s="817"/>
      <c r="BA1330" s="817"/>
      <c r="BC1330" s="817"/>
      <c r="BD1330" s="817"/>
      <c r="BE1330" s="817"/>
      <c r="BF1330" s="817"/>
      <c r="BG1330" s="817"/>
      <c r="BH1330" s="817"/>
      <c r="BI1330" s="817"/>
      <c r="BJ1330" s="817"/>
      <c r="BK1330" s="817">
        <v>0</v>
      </c>
      <c r="BM1330" s="817"/>
      <c r="BN1330" s="817"/>
      <c r="BO1330" s="817"/>
      <c r="BQ1330" s="817"/>
      <c r="BR1330" s="817"/>
      <c r="BS1330" s="817"/>
      <c r="BT1330" s="817"/>
      <c r="BU1330" s="817"/>
    </row>
    <row r="1331" spans="1:73" ht="29" x14ac:dyDescent="0.35">
      <c r="A1331" s="806" t="s">
        <v>888</v>
      </c>
      <c r="B1331" s="806" t="s">
        <v>1270</v>
      </c>
      <c r="C1331" s="806"/>
      <c r="D1331" s="806"/>
      <c r="E1331" s="806"/>
      <c r="F1331" s="806"/>
      <c r="I1331" s="817"/>
      <c r="J1331" s="817"/>
      <c r="K1331" s="817"/>
      <c r="M1331" s="817"/>
      <c r="N1331" s="817"/>
      <c r="O1331" s="817"/>
      <c r="P1331" s="817"/>
      <c r="Q1331" s="817"/>
      <c r="R1331" s="817"/>
      <c r="S1331" s="817"/>
      <c r="T1331" s="817"/>
      <c r="U1331" s="817"/>
      <c r="V1331" s="817"/>
      <c r="W1331" s="817"/>
      <c r="X1331" s="817"/>
      <c r="Y1331" s="817"/>
      <c r="Z1331" s="817"/>
      <c r="AC1331" s="817"/>
      <c r="AD1331" s="817"/>
      <c r="AE1331" s="817"/>
      <c r="AF1331" s="817"/>
      <c r="AG1331" s="817"/>
      <c r="AH1331" s="817">
        <v>20</v>
      </c>
      <c r="AI1331" s="817"/>
      <c r="AJ1331" s="817"/>
      <c r="AL1331" s="817"/>
      <c r="AM1331" s="817"/>
      <c r="AN1331" s="817"/>
      <c r="AO1331" s="817"/>
      <c r="AP1331" s="817"/>
      <c r="AQ1331" s="817"/>
      <c r="AR1331" s="817"/>
      <c r="AS1331" s="817"/>
      <c r="AT1331" s="817"/>
      <c r="AU1331" s="817"/>
      <c r="AV1331" s="817"/>
      <c r="AW1331" s="817"/>
      <c r="AX1331" s="817"/>
      <c r="AY1331" s="817"/>
      <c r="AZ1331" s="817"/>
      <c r="BA1331" s="817"/>
      <c r="BC1331" s="817"/>
      <c r="BD1331" s="817"/>
      <c r="BE1331" s="817"/>
      <c r="BF1331" s="817"/>
      <c r="BG1331" s="817"/>
      <c r="BH1331" s="817"/>
      <c r="BI1331" s="817"/>
      <c r="BJ1331" s="817"/>
      <c r="BK1331" s="817">
        <v>20</v>
      </c>
      <c r="BM1331" s="817"/>
      <c r="BN1331" s="817"/>
      <c r="BO1331" s="817"/>
      <c r="BQ1331" s="817"/>
      <c r="BR1331" s="817"/>
      <c r="BS1331" s="817"/>
      <c r="BT1331" s="817"/>
      <c r="BU1331" s="817"/>
    </row>
    <row r="1332" spans="1:73" ht="29" x14ac:dyDescent="0.35">
      <c r="A1332" s="806" t="s">
        <v>888</v>
      </c>
      <c r="B1332" s="806" t="s">
        <v>1268</v>
      </c>
      <c r="C1332" s="806"/>
      <c r="D1332" s="806"/>
      <c r="E1332" s="806"/>
      <c r="F1332" s="806"/>
      <c r="I1332" s="817"/>
      <c r="J1332" s="817"/>
      <c r="K1332" s="817"/>
      <c r="M1332" s="817"/>
      <c r="N1332" s="817"/>
      <c r="O1332" s="817"/>
      <c r="P1332" s="817"/>
      <c r="Q1332" s="817"/>
      <c r="R1332" s="817"/>
      <c r="S1332" s="817"/>
      <c r="T1332" s="817"/>
      <c r="U1332" s="817"/>
      <c r="V1332" s="817"/>
      <c r="W1332" s="817"/>
      <c r="X1332" s="817"/>
      <c r="Y1332" s="817"/>
      <c r="Z1332" s="817"/>
      <c r="AC1332" s="817"/>
      <c r="AD1332" s="817"/>
      <c r="AE1332" s="817"/>
      <c r="AF1332" s="817"/>
      <c r="AG1332" s="817"/>
      <c r="AH1332" s="817">
        <v>5</v>
      </c>
      <c r="AI1332" s="817"/>
      <c r="AJ1332" s="817"/>
      <c r="AL1332" s="817"/>
      <c r="AM1332" s="817"/>
      <c r="AN1332" s="817"/>
      <c r="AO1332" s="817"/>
      <c r="AP1332" s="817"/>
      <c r="AQ1332" s="817"/>
      <c r="AR1332" s="817"/>
      <c r="AS1332" s="817"/>
      <c r="AT1332" s="817"/>
      <c r="AU1332" s="817"/>
      <c r="AV1332" s="817"/>
      <c r="AW1332" s="817"/>
      <c r="AX1332" s="817"/>
      <c r="AY1332" s="817"/>
      <c r="AZ1332" s="817"/>
      <c r="BA1332" s="817"/>
      <c r="BC1332" s="817"/>
      <c r="BD1332" s="817"/>
      <c r="BE1332" s="817"/>
      <c r="BF1332" s="817"/>
      <c r="BG1332" s="817"/>
      <c r="BH1332" s="817"/>
      <c r="BI1332" s="817"/>
      <c r="BJ1332" s="817"/>
      <c r="BK1332" s="817">
        <v>5</v>
      </c>
      <c r="BM1332" s="817"/>
      <c r="BN1332" s="817"/>
      <c r="BO1332" s="817"/>
      <c r="BQ1332" s="817"/>
      <c r="BR1332" s="817"/>
      <c r="BS1332" s="817"/>
      <c r="BT1332" s="817"/>
      <c r="BU1332" s="817"/>
    </row>
    <row r="1333" spans="1:73" ht="29" x14ac:dyDescent="0.35">
      <c r="A1333" s="806" t="s">
        <v>888</v>
      </c>
      <c r="B1333" s="806" t="s">
        <v>1272</v>
      </c>
      <c r="C1333" s="806"/>
      <c r="D1333" s="806"/>
      <c r="E1333" s="806"/>
      <c r="F1333" s="806"/>
      <c r="I1333" s="817"/>
      <c r="J1333" s="817"/>
      <c r="K1333" s="817"/>
      <c r="M1333" s="817"/>
      <c r="N1333" s="817"/>
      <c r="O1333" s="817"/>
      <c r="P1333" s="817"/>
      <c r="Q1333" s="817"/>
      <c r="R1333" s="817"/>
      <c r="S1333" s="817"/>
      <c r="T1333" s="817"/>
      <c r="U1333" s="817"/>
      <c r="V1333" s="817"/>
      <c r="W1333" s="817"/>
      <c r="X1333" s="817"/>
      <c r="Y1333" s="817"/>
      <c r="Z1333" s="817"/>
      <c r="AC1333" s="817"/>
      <c r="AD1333" s="817"/>
      <c r="AE1333" s="817"/>
      <c r="AF1333" s="817"/>
      <c r="AG1333" s="817"/>
      <c r="AH1333" s="817">
        <v>0</v>
      </c>
      <c r="AI1333" s="817"/>
      <c r="AJ1333" s="817"/>
      <c r="AL1333" s="817"/>
      <c r="AM1333" s="817"/>
      <c r="AN1333" s="817"/>
      <c r="AO1333" s="817"/>
      <c r="AP1333" s="817"/>
      <c r="AQ1333" s="817"/>
      <c r="AR1333" s="817"/>
      <c r="AS1333" s="817"/>
      <c r="AT1333" s="817"/>
      <c r="AU1333" s="817"/>
      <c r="AV1333" s="817"/>
      <c r="AW1333" s="817"/>
      <c r="AX1333" s="817"/>
      <c r="AY1333" s="817"/>
      <c r="AZ1333" s="817"/>
      <c r="BA1333" s="817"/>
      <c r="BC1333" s="817"/>
      <c r="BD1333" s="817"/>
      <c r="BE1333" s="817"/>
      <c r="BF1333" s="817"/>
      <c r="BG1333" s="817"/>
      <c r="BH1333" s="817"/>
      <c r="BI1333" s="817"/>
      <c r="BJ1333" s="817"/>
      <c r="BK1333" s="817">
        <v>0</v>
      </c>
      <c r="BM1333" s="817"/>
      <c r="BN1333" s="817"/>
      <c r="BO1333" s="817"/>
      <c r="BQ1333" s="817"/>
      <c r="BR1333" s="817"/>
      <c r="BS1333" s="817"/>
      <c r="BT1333" s="817"/>
      <c r="BU1333" s="817"/>
    </row>
    <row r="1334" spans="1:73" ht="29" x14ac:dyDescent="0.35">
      <c r="A1334" s="806" t="s">
        <v>888</v>
      </c>
      <c r="B1334" s="806" t="s">
        <v>1271</v>
      </c>
      <c r="C1334" s="806"/>
      <c r="D1334" s="806"/>
      <c r="E1334" s="806"/>
      <c r="F1334" s="806"/>
      <c r="I1334" s="817"/>
      <c r="J1334" s="817"/>
      <c r="K1334" s="817"/>
      <c r="M1334" s="817"/>
      <c r="N1334" s="817"/>
      <c r="O1334" s="817"/>
      <c r="P1334" s="817"/>
      <c r="Q1334" s="817"/>
      <c r="R1334" s="817"/>
      <c r="S1334" s="817"/>
      <c r="T1334" s="817"/>
      <c r="U1334" s="817"/>
      <c r="V1334" s="817"/>
      <c r="W1334" s="817"/>
      <c r="X1334" s="817"/>
      <c r="Y1334" s="817"/>
      <c r="Z1334" s="817"/>
      <c r="AC1334" s="817"/>
      <c r="AD1334" s="817"/>
      <c r="AE1334" s="817"/>
      <c r="AF1334" s="817"/>
      <c r="AG1334" s="817"/>
      <c r="AH1334" s="817">
        <v>0</v>
      </c>
      <c r="AI1334" s="817"/>
      <c r="AJ1334" s="817"/>
      <c r="AL1334" s="817"/>
      <c r="AM1334" s="817"/>
      <c r="AN1334" s="817"/>
      <c r="AO1334" s="817"/>
      <c r="AP1334" s="817"/>
      <c r="AQ1334" s="817"/>
      <c r="AR1334" s="817"/>
      <c r="AS1334" s="817"/>
      <c r="AT1334" s="817"/>
      <c r="AU1334" s="817"/>
      <c r="AV1334" s="817"/>
      <c r="AW1334" s="817"/>
      <c r="AX1334" s="817"/>
      <c r="AY1334" s="817"/>
      <c r="AZ1334" s="817"/>
      <c r="BA1334" s="817"/>
      <c r="BC1334" s="817"/>
      <c r="BD1334" s="817"/>
      <c r="BE1334" s="817"/>
      <c r="BF1334" s="817"/>
      <c r="BG1334" s="817"/>
      <c r="BH1334" s="817"/>
      <c r="BI1334" s="817"/>
      <c r="BJ1334" s="817"/>
      <c r="BK1334" s="817">
        <v>0</v>
      </c>
      <c r="BM1334" s="817"/>
      <c r="BN1334" s="817"/>
      <c r="BO1334" s="817"/>
      <c r="BQ1334" s="817"/>
      <c r="BR1334" s="817"/>
      <c r="BS1334" s="817"/>
      <c r="BT1334" s="817"/>
      <c r="BU1334" s="817"/>
    </row>
    <row r="1335" spans="1:73" ht="29" x14ac:dyDescent="0.35">
      <c r="A1335" s="806" t="s">
        <v>888</v>
      </c>
      <c r="B1335" s="806" t="s">
        <v>894</v>
      </c>
      <c r="C1335" s="806"/>
      <c r="D1335" s="806"/>
      <c r="E1335" s="806"/>
      <c r="F1335" s="806"/>
      <c r="G1335" s="817"/>
      <c r="I1335" s="817"/>
      <c r="J1335" s="817"/>
      <c r="K1335" s="817"/>
      <c r="M1335" s="817"/>
      <c r="N1335" s="817"/>
      <c r="O1335" s="817"/>
      <c r="P1335" s="817"/>
      <c r="Q1335" s="817"/>
      <c r="R1335" s="817"/>
      <c r="S1335" s="817"/>
      <c r="T1335" s="817"/>
      <c r="U1335" s="817"/>
      <c r="V1335" s="817"/>
      <c r="W1335" s="817"/>
      <c r="X1335" s="817"/>
      <c r="Y1335" s="817"/>
      <c r="Z1335" s="817"/>
      <c r="AA1335" s="817"/>
      <c r="AC1335" s="817"/>
      <c r="AD1335" s="817"/>
      <c r="AE1335" s="817"/>
      <c r="AF1335" s="817"/>
      <c r="AG1335" s="817"/>
      <c r="AH1335" s="817">
        <v>85</v>
      </c>
      <c r="AI1335" s="817"/>
      <c r="AJ1335" s="817"/>
      <c r="AL1335" s="817"/>
      <c r="AM1335" s="817"/>
      <c r="AN1335" s="817"/>
      <c r="AO1335" s="817"/>
      <c r="AP1335" s="817"/>
      <c r="AQ1335" s="817"/>
      <c r="AR1335" s="817"/>
      <c r="AS1335" s="817"/>
      <c r="AT1335" s="817"/>
      <c r="AU1335" s="817"/>
      <c r="AV1335" s="817"/>
      <c r="AW1335" s="817"/>
      <c r="AX1335" s="817"/>
      <c r="AY1335" s="817"/>
      <c r="AZ1335" s="817"/>
      <c r="BA1335" s="817"/>
      <c r="BC1335" s="817"/>
      <c r="BD1335" s="817"/>
      <c r="BE1335" s="817"/>
      <c r="BF1335" s="817"/>
      <c r="BG1335" s="817"/>
      <c r="BH1335" s="817"/>
      <c r="BI1335" s="817"/>
      <c r="BJ1335" s="817"/>
      <c r="BK1335" s="817">
        <v>81</v>
      </c>
      <c r="BL1335" s="816"/>
      <c r="BM1335" s="817"/>
      <c r="BN1335" s="817"/>
      <c r="BO1335" s="817"/>
      <c r="BQ1335" s="817"/>
      <c r="BR1335" s="817"/>
      <c r="BS1335" s="817"/>
      <c r="BT1335" s="817"/>
      <c r="BU1335" s="817"/>
    </row>
    <row r="1336" spans="1:73" ht="29" x14ac:dyDescent="0.35">
      <c r="A1336" s="806" t="s">
        <v>888</v>
      </c>
      <c r="B1336" s="806" t="s">
        <v>895</v>
      </c>
      <c r="C1336" s="806"/>
      <c r="D1336" s="806"/>
      <c r="E1336" s="806"/>
      <c r="F1336" s="806"/>
      <c r="G1336" s="817"/>
      <c r="I1336" s="818"/>
      <c r="J1336" s="818"/>
      <c r="K1336" s="818"/>
      <c r="M1336" s="818"/>
      <c r="N1336" s="818"/>
      <c r="O1336" s="818"/>
      <c r="P1336" s="818"/>
      <c r="Q1336" s="818"/>
      <c r="R1336" s="818"/>
      <c r="S1336" s="818"/>
      <c r="T1336" s="818"/>
      <c r="U1336" s="818"/>
      <c r="V1336" s="818"/>
      <c r="W1336" s="818"/>
      <c r="X1336" s="818"/>
      <c r="Y1336" s="818"/>
      <c r="Z1336" s="818"/>
      <c r="AA1336" s="811"/>
      <c r="AC1336" s="818"/>
      <c r="AD1336" s="818"/>
      <c r="AE1336" s="818"/>
      <c r="AF1336" s="818"/>
      <c r="AG1336" s="818"/>
      <c r="AH1336" s="818">
        <v>101250</v>
      </c>
      <c r="AI1336" s="818"/>
      <c r="AJ1336" s="818"/>
      <c r="AL1336" s="818"/>
      <c r="AM1336" s="818"/>
      <c r="AN1336" s="818"/>
      <c r="AO1336" s="818"/>
      <c r="AP1336" s="818"/>
      <c r="AQ1336" s="818"/>
      <c r="AR1336" s="818"/>
      <c r="AS1336" s="818"/>
      <c r="AT1336" s="818"/>
      <c r="AU1336" s="818"/>
      <c r="AV1336" s="818"/>
      <c r="AW1336" s="818"/>
      <c r="AX1336" s="818"/>
      <c r="AY1336" s="818"/>
      <c r="AZ1336" s="818"/>
      <c r="BA1336" s="818"/>
      <c r="BC1336" s="818"/>
      <c r="BD1336" s="818"/>
      <c r="BE1336" s="818"/>
      <c r="BF1336" s="818"/>
      <c r="BG1336" s="818"/>
      <c r="BH1336" s="818"/>
      <c r="BI1336" s="818"/>
      <c r="BJ1336" s="818"/>
      <c r="BK1336" s="818">
        <v>320000</v>
      </c>
      <c r="BL1336" s="816"/>
      <c r="BM1336" s="818"/>
      <c r="BN1336" s="818"/>
      <c r="BO1336" s="818"/>
      <c r="BQ1336" s="818"/>
      <c r="BR1336" s="818"/>
      <c r="BS1336" s="818"/>
      <c r="BT1336" s="818"/>
      <c r="BU1336" s="818"/>
    </row>
    <row r="1337" spans="1:73" ht="29" x14ac:dyDescent="0.35">
      <c r="A1337" s="806" t="s">
        <v>888</v>
      </c>
      <c r="B1337" s="806" t="s">
        <v>1274</v>
      </c>
      <c r="C1337" s="806"/>
      <c r="D1337" s="806"/>
      <c r="E1337" s="806"/>
      <c r="F1337" s="806"/>
      <c r="I1337" s="817"/>
      <c r="J1337" s="817"/>
      <c r="K1337" s="817"/>
      <c r="M1337" s="817"/>
      <c r="N1337" s="817"/>
      <c r="O1337" s="817"/>
      <c r="P1337" s="817"/>
      <c r="Q1337" s="817"/>
      <c r="R1337" s="817"/>
      <c r="S1337" s="817"/>
      <c r="T1337" s="817"/>
      <c r="U1337" s="817"/>
      <c r="V1337" s="817"/>
      <c r="W1337" s="817"/>
      <c r="X1337" s="817"/>
      <c r="Y1337" s="817"/>
      <c r="Z1337" s="817"/>
      <c r="AC1337" s="817"/>
      <c r="AD1337" s="817"/>
      <c r="AE1337" s="817"/>
      <c r="AF1337" s="817"/>
      <c r="AG1337" s="817"/>
      <c r="AH1337" s="817">
        <v>5</v>
      </c>
      <c r="AI1337" s="817"/>
      <c r="AJ1337" s="817"/>
      <c r="AL1337" s="817"/>
      <c r="AM1337" s="817"/>
      <c r="AN1337" s="817"/>
      <c r="AO1337" s="817"/>
      <c r="AP1337" s="817"/>
      <c r="AQ1337" s="817"/>
      <c r="AR1337" s="817"/>
      <c r="AS1337" s="817"/>
      <c r="AT1337" s="817"/>
      <c r="AU1337" s="817"/>
      <c r="AV1337" s="817"/>
      <c r="AW1337" s="817"/>
      <c r="AX1337" s="817"/>
      <c r="AY1337" s="817"/>
      <c r="AZ1337" s="817"/>
      <c r="BA1337" s="817"/>
      <c r="BC1337" s="817"/>
      <c r="BD1337" s="817"/>
      <c r="BE1337" s="817"/>
      <c r="BF1337" s="817"/>
      <c r="BG1337" s="817"/>
      <c r="BH1337" s="817"/>
      <c r="BI1337" s="817"/>
      <c r="BJ1337" s="817"/>
      <c r="BK1337" s="817">
        <v>5</v>
      </c>
      <c r="BM1337" s="817"/>
      <c r="BN1337" s="817"/>
      <c r="BO1337" s="817"/>
      <c r="BQ1337" s="817"/>
      <c r="BR1337" s="817"/>
      <c r="BS1337" s="817"/>
      <c r="BT1337" s="817"/>
      <c r="BU1337" s="817"/>
    </row>
    <row r="1338" spans="1:73" x14ac:dyDescent="0.35">
      <c r="A1338" s="806" t="s">
        <v>888</v>
      </c>
      <c r="B1338" s="806" t="s">
        <v>1293</v>
      </c>
      <c r="C1338" s="806"/>
      <c r="D1338" s="806"/>
      <c r="E1338" s="806"/>
      <c r="F1338" s="806"/>
      <c r="I1338" s="817"/>
      <c r="J1338" s="817"/>
      <c r="K1338" s="817"/>
      <c r="M1338" s="817"/>
      <c r="N1338" s="817"/>
      <c r="O1338" s="817"/>
      <c r="P1338" s="817"/>
      <c r="Q1338" s="817"/>
      <c r="S1338" s="817"/>
      <c r="T1338" s="817"/>
      <c r="U1338" s="817"/>
      <c r="V1338" s="817"/>
      <c r="W1338" s="817"/>
      <c r="X1338" s="817"/>
      <c r="Z1338" s="817"/>
      <c r="AC1338" s="817"/>
      <c r="AD1338" s="817"/>
      <c r="AE1338" s="817"/>
      <c r="AF1338" s="817"/>
      <c r="AG1338" s="817"/>
      <c r="AH1338" s="817">
        <v>2000</v>
      </c>
      <c r="AI1338" s="817"/>
      <c r="AJ1338" s="817"/>
      <c r="AL1338" s="817"/>
      <c r="AN1338" s="817"/>
      <c r="AP1338" s="817"/>
      <c r="AQ1338" s="817"/>
      <c r="AR1338" s="817"/>
      <c r="AS1338" s="817"/>
      <c r="AT1338" s="817"/>
      <c r="AU1338" s="817"/>
      <c r="AV1338" s="817"/>
      <c r="AW1338" s="817"/>
      <c r="AX1338" s="817"/>
      <c r="AY1338" s="817"/>
      <c r="AZ1338" s="817"/>
      <c r="BA1338" s="817"/>
      <c r="BC1338" s="817"/>
      <c r="BD1338" s="817"/>
      <c r="BE1338" s="817"/>
      <c r="BF1338" s="817"/>
      <c r="BG1338" s="817"/>
      <c r="BH1338" s="817"/>
      <c r="BI1338" s="817"/>
      <c r="BJ1338" s="817"/>
      <c r="BK1338" s="817">
        <v>100</v>
      </c>
      <c r="BM1338" s="817"/>
      <c r="BN1338" s="817"/>
      <c r="BO1338" s="817"/>
      <c r="BQ1338" s="817"/>
      <c r="BR1338" s="817"/>
      <c r="BS1338" s="817"/>
      <c r="BT1338" s="817"/>
      <c r="BU1338" s="817"/>
    </row>
    <row r="1339" spans="1:73" x14ac:dyDescent="0.35">
      <c r="A1339" s="806" t="s">
        <v>888</v>
      </c>
      <c r="B1339" s="806" t="s">
        <v>1295</v>
      </c>
      <c r="C1339" s="806"/>
      <c r="D1339" s="806"/>
      <c r="E1339" s="806"/>
      <c r="F1339" s="806"/>
      <c r="I1339" s="817"/>
      <c r="J1339" s="817"/>
      <c r="K1339" s="817"/>
      <c r="M1339" s="817"/>
      <c r="N1339" s="817"/>
      <c r="O1339" s="817"/>
      <c r="P1339" s="817"/>
      <c r="Q1339" s="817"/>
      <c r="S1339" s="817"/>
      <c r="T1339" s="817"/>
      <c r="U1339" s="817"/>
      <c r="V1339" s="817"/>
      <c r="W1339" s="817"/>
      <c r="X1339" s="817"/>
      <c r="Z1339" s="817"/>
      <c r="AC1339" s="817"/>
      <c r="AD1339" s="817"/>
      <c r="AE1339" s="817"/>
      <c r="AF1339" s="817"/>
      <c r="AG1339" s="817"/>
      <c r="AI1339" s="817"/>
      <c r="AJ1339" s="817"/>
      <c r="AL1339" s="817"/>
      <c r="AN1339" s="817"/>
      <c r="AP1339" s="817"/>
      <c r="AQ1339" s="817"/>
      <c r="AR1339" s="817"/>
      <c r="AS1339" s="817"/>
      <c r="AT1339" s="817"/>
      <c r="AU1339" s="817"/>
      <c r="AV1339" s="817"/>
      <c r="AW1339" s="817"/>
      <c r="AX1339" s="817"/>
      <c r="AY1339" s="817"/>
      <c r="AZ1339" s="817"/>
      <c r="BA1339" s="817"/>
      <c r="BC1339" s="817"/>
      <c r="BD1339" s="817"/>
      <c r="BE1339" s="817"/>
      <c r="BF1339" s="817"/>
      <c r="BG1339" s="817"/>
      <c r="BH1339" s="817"/>
      <c r="BI1339" s="817"/>
      <c r="BJ1339" s="817"/>
      <c r="BK1339" s="817">
        <v>0</v>
      </c>
      <c r="BM1339" s="817"/>
      <c r="BN1339" s="817"/>
      <c r="BO1339" s="817"/>
      <c r="BQ1339" s="817"/>
      <c r="BR1339" s="817"/>
      <c r="BS1339" s="817"/>
      <c r="BT1339" s="817"/>
      <c r="BU1339" s="817"/>
    </row>
    <row r="1340" spans="1:73" x14ac:dyDescent="0.35">
      <c r="A1340" s="806" t="s">
        <v>888</v>
      </c>
      <c r="B1340" s="806" t="s">
        <v>3888</v>
      </c>
      <c r="C1340" s="806"/>
      <c r="D1340" s="806"/>
      <c r="E1340" s="806"/>
      <c r="F1340" s="806"/>
      <c r="AH1340" s="816" t="s">
        <v>198</v>
      </c>
      <c r="BK1340" s="816" t="s">
        <v>198</v>
      </c>
    </row>
    <row r="1341" spans="1:73" ht="29" x14ac:dyDescent="0.35">
      <c r="A1341" s="806" t="s">
        <v>888</v>
      </c>
      <c r="B1341" s="806" t="s">
        <v>1615</v>
      </c>
      <c r="C1341" s="806"/>
      <c r="D1341" s="806"/>
      <c r="E1341" s="806"/>
      <c r="F1341" s="806"/>
      <c r="I1341" s="816"/>
      <c r="J1341" s="816"/>
      <c r="K1341" s="816"/>
      <c r="M1341" s="816"/>
      <c r="N1341" s="816"/>
      <c r="O1341" s="816"/>
      <c r="P1341" s="816"/>
      <c r="Q1341" s="816"/>
      <c r="R1341" s="816"/>
      <c r="S1341" s="816"/>
      <c r="T1341" s="816"/>
      <c r="U1341" s="816"/>
      <c r="V1341" s="816"/>
      <c r="W1341" s="816"/>
      <c r="X1341" s="816"/>
      <c r="Y1341" s="816"/>
      <c r="Z1341" s="816"/>
      <c r="AC1341" s="816"/>
      <c r="AD1341" s="816"/>
      <c r="AE1341" s="816"/>
      <c r="AF1341" s="816"/>
      <c r="AG1341" s="816"/>
      <c r="AH1341" s="816" t="s">
        <v>198</v>
      </c>
      <c r="AI1341" s="816"/>
      <c r="AJ1341" s="816"/>
      <c r="AL1341" s="816"/>
      <c r="AM1341" s="816"/>
      <c r="AN1341" s="816"/>
      <c r="AO1341" s="816"/>
      <c r="AP1341" s="816"/>
      <c r="AQ1341" s="816"/>
      <c r="AR1341" s="816"/>
      <c r="AS1341" s="816"/>
      <c r="AT1341" s="816"/>
      <c r="AU1341" s="816"/>
      <c r="AV1341" s="816"/>
      <c r="AW1341" s="816"/>
      <c r="AX1341" s="816"/>
      <c r="AY1341" s="816"/>
      <c r="AZ1341" s="816"/>
      <c r="BA1341" s="816"/>
      <c r="BC1341" s="816"/>
      <c r="BD1341" s="816"/>
      <c r="BE1341" s="816"/>
      <c r="BF1341" s="816"/>
      <c r="BG1341" s="816"/>
      <c r="BH1341" s="816"/>
      <c r="BI1341" s="816"/>
      <c r="BJ1341" s="816"/>
      <c r="BK1341" s="816" t="s">
        <v>198</v>
      </c>
      <c r="BM1341" s="816"/>
      <c r="BN1341" s="816"/>
      <c r="BO1341" s="816"/>
      <c r="BQ1341" s="816"/>
      <c r="BR1341" s="816"/>
      <c r="BS1341" s="816"/>
      <c r="BT1341" s="816"/>
      <c r="BU1341" s="816"/>
    </row>
    <row r="1342" spans="1:73" ht="29" x14ac:dyDescent="0.35">
      <c r="A1342" s="806" t="s">
        <v>888</v>
      </c>
      <c r="B1342" s="806" t="s">
        <v>1264</v>
      </c>
      <c r="C1342" s="806"/>
      <c r="D1342" s="806"/>
      <c r="E1342" s="806"/>
      <c r="F1342" s="806"/>
      <c r="I1342" s="816"/>
      <c r="J1342" s="816"/>
      <c r="K1342" s="816"/>
      <c r="M1342" s="816"/>
      <c r="N1342" s="816"/>
      <c r="O1342" s="816"/>
      <c r="P1342" s="816"/>
      <c r="Q1342" s="816"/>
      <c r="R1342" s="816"/>
      <c r="S1342" s="816"/>
      <c r="T1342" s="816"/>
      <c r="U1342" s="816"/>
      <c r="V1342" s="816"/>
      <c r="W1342" s="816"/>
      <c r="X1342" s="816"/>
      <c r="Y1342" s="816"/>
      <c r="Z1342" s="816"/>
      <c r="AC1342" s="816"/>
      <c r="AD1342" s="816"/>
      <c r="AE1342" s="816"/>
      <c r="AF1342" s="816"/>
      <c r="AG1342" s="816"/>
      <c r="AH1342" s="816" t="s">
        <v>198</v>
      </c>
      <c r="AI1342" s="816"/>
      <c r="AJ1342" s="816"/>
      <c r="AL1342" s="816"/>
      <c r="AM1342" s="816"/>
      <c r="AN1342" s="816"/>
      <c r="AO1342" s="816"/>
      <c r="AP1342" s="816"/>
      <c r="AQ1342" s="816"/>
      <c r="AR1342" s="816"/>
      <c r="AS1342" s="816"/>
      <c r="AT1342" s="816"/>
      <c r="AU1342" s="816"/>
      <c r="AV1342" s="816"/>
      <c r="AW1342" s="816"/>
      <c r="AX1342" s="816"/>
      <c r="AY1342" s="816"/>
      <c r="AZ1342" s="816"/>
      <c r="BA1342" s="816"/>
      <c r="BC1342" s="816"/>
      <c r="BD1342" s="816"/>
      <c r="BE1342" s="816"/>
      <c r="BF1342" s="816"/>
      <c r="BG1342" s="816"/>
      <c r="BH1342" s="816"/>
      <c r="BI1342" s="816"/>
      <c r="BJ1342" s="816"/>
      <c r="BK1342" s="816" t="s">
        <v>198</v>
      </c>
      <c r="BM1342" s="816"/>
      <c r="BN1342" s="816"/>
      <c r="BO1342" s="816"/>
      <c r="BQ1342" s="816"/>
      <c r="BR1342" s="816"/>
      <c r="BS1342" s="816"/>
      <c r="BT1342" s="816"/>
      <c r="BU1342" s="816"/>
    </row>
    <row r="1343" spans="1:73" ht="29" x14ac:dyDescent="0.35">
      <c r="A1343" s="806" t="s">
        <v>888</v>
      </c>
      <c r="B1343" s="806" t="s">
        <v>1265</v>
      </c>
      <c r="C1343" s="806"/>
      <c r="D1343" s="806"/>
      <c r="E1343" s="806"/>
      <c r="F1343" s="806"/>
      <c r="I1343" s="816"/>
      <c r="J1343" s="816"/>
      <c r="K1343" s="816"/>
      <c r="M1343" s="816"/>
      <c r="N1343" s="816"/>
      <c r="O1343" s="816"/>
      <c r="P1343" s="816"/>
      <c r="Q1343" s="816"/>
      <c r="R1343" s="816"/>
      <c r="S1343" s="816"/>
      <c r="T1343" s="816"/>
      <c r="U1343" s="816"/>
      <c r="V1343" s="816"/>
      <c r="W1343" s="816"/>
      <c r="X1343" s="816"/>
      <c r="Y1343" s="816"/>
      <c r="Z1343" s="816"/>
      <c r="AC1343" s="816"/>
      <c r="AD1343" s="816"/>
      <c r="AE1343" s="816"/>
      <c r="AF1343" s="816"/>
      <c r="AG1343" s="816"/>
      <c r="AH1343" s="816" t="s">
        <v>198</v>
      </c>
      <c r="AI1343" s="816"/>
      <c r="AJ1343" s="816"/>
      <c r="AL1343" s="816"/>
      <c r="AM1343" s="816"/>
      <c r="AN1343" s="816"/>
      <c r="AO1343" s="816"/>
      <c r="AP1343" s="816"/>
      <c r="AQ1343" s="816"/>
      <c r="AR1343" s="816"/>
      <c r="AS1343" s="816"/>
      <c r="AT1343" s="816"/>
      <c r="AU1343" s="816"/>
      <c r="AV1343" s="816"/>
      <c r="AW1343" s="816"/>
      <c r="AX1343" s="816"/>
      <c r="AY1343" s="816"/>
      <c r="AZ1343" s="816"/>
      <c r="BA1343" s="816"/>
      <c r="BC1343" s="816"/>
      <c r="BD1343" s="816"/>
      <c r="BE1343" s="816"/>
      <c r="BF1343" s="816"/>
      <c r="BG1343" s="816"/>
      <c r="BH1343" s="816"/>
      <c r="BI1343" s="816"/>
      <c r="BJ1343" s="816"/>
      <c r="BK1343" s="816" t="s">
        <v>198</v>
      </c>
      <c r="BM1343" s="816"/>
      <c r="BN1343" s="816"/>
      <c r="BO1343" s="816"/>
      <c r="BQ1343" s="816"/>
      <c r="BR1343" s="816"/>
      <c r="BS1343" s="816"/>
      <c r="BT1343" s="816"/>
      <c r="BU1343" s="816"/>
    </row>
    <row r="1344" spans="1:73" ht="29" x14ac:dyDescent="0.35">
      <c r="A1344" s="806" t="s">
        <v>888</v>
      </c>
      <c r="B1344" s="806" t="s">
        <v>1266</v>
      </c>
      <c r="C1344" s="806"/>
      <c r="D1344" s="806"/>
      <c r="E1344" s="806"/>
      <c r="F1344" s="806"/>
      <c r="I1344" s="816"/>
      <c r="J1344" s="816"/>
      <c r="K1344" s="816"/>
      <c r="M1344" s="816"/>
      <c r="N1344" s="816"/>
      <c r="O1344" s="816"/>
      <c r="P1344" s="816"/>
      <c r="Q1344" s="816"/>
      <c r="R1344" s="816"/>
      <c r="S1344" s="816"/>
      <c r="T1344" s="816"/>
      <c r="U1344" s="816"/>
      <c r="V1344" s="816"/>
      <c r="W1344" s="816"/>
      <c r="X1344" s="816"/>
      <c r="Y1344" s="816"/>
      <c r="Z1344" s="816"/>
      <c r="AC1344" s="816"/>
      <c r="AD1344" s="816"/>
      <c r="AE1344" s="816"/>
      <c r="AF1344" s="816"/>
      <c r="AG1344" s="816"/>
      <c r="AH1344" s="816" t="s">
        <v>198</v>
      </c>
      <c r="AI1344" s="816"/>
      <c r="AJ1344" s="816"/>
      <c r="AL1344" s="816"/>
      <c r="AM1344" s="816"/>
      <c r="AN1344" s="816"/>
      <c r="AO1344" s="816"/>
      <c r="AP1344" s="816"/>
      <c r="AQ1344" s="816"/>
      <c r="AR1344" s="816"/>
      <c r="AS1344" s="816"/>
      <c r="AT1344" s="816"/>
      <c r="AU1344" s="816"/>
      <c r="AV1344" s="816"/>
      <c r="AW1344" s="816"/>
      <c r="AX1344" s="816"/>
      <c r="AY1344" s="816"/>
      <c r="AZ1344" s="816"/>
      <c r="BA1344" s="816"/>
      <c r="BC1344" s="816"/>
      <c r="BD1344" s="816"/>
      <c r="BE1344" s="816"/>
      <c r="BF1344" s="816"/>
      <c r="BG1344" s="816"/>
      <c r="BH1344" s="816"/>
      <c r="BI1344" s="816"/>
      <c r="BJ1344" s="816"/>
      <c r="BK1344" s="816" t="s">
        <v>198</v>
      </c>
      <c r="BM1344" s="816"/>
      <c r="BN1344" s="816"/>
      <c r="BO1344" s="816"/>
      <c r="BQ1344" s="816"/>
      <c r="BR1344" s="816"/>
      <c r="BS1344" s="816"/>
      <c r="BT1344" s="816"/>
      <c r="BU1344" s="816"/>
    </row>
    <row r="1345" spans="1:73" ht="29" x14ac:dyDescent="0.35">
      <c r="A1345" s="806" t="s">
        <v>888</v>
      </c>
      <c r="B1345" s="806" t="s">
        <v>1267</v>
      </c>
      <c r="C1345" s="806"/>
      <c r="D1345" s="806"/>
      <c r="E1345" s="806"/>
      <c r="F1345" s="806"/>
      <c r="I1345" s="816"/>
      <c r="J1345" s="816"/>
      <c r="K1345" s="816"/>
      <c r="M1345" s="816"/>
      <c r="N1345" s="816"/>
      <c r="O1345" s="816"/>
      <c r="P1345" s="816"/>
      <c r="Q1345" s="816"/>
      <c r="R1345" s="816"/>
      <c r="S1345" s="816"/>
      <c r="T1345" s="816"/>
      <c r="U1345" s="816"/>
      <c r="V1345" s="816"/>
      <c r="W1345" s="816"/>
      <c r="X1345" s="816"/>
      <c r="Y1345" s="816"/>
      <c r="Z1345" s="816"/>
      <c r="AC1345" s="816"/>
      <c r="AD1345" s="816"/>
      <c r="AE1345" s="816"/>
      <c r="AF1345" s="816"/>
      <c r="AG1345" s="816"/>
      <c r="AH1345" s="816" t="s">
        <v>198</v>
      </c>
      <c r="AI1345" s="816"/>
      <c r="AJ1345" s="816"/>
      <c r="AL1345" s="816"/>
      <c r="AM1345" s="816"/>
      <c r="AN1345" s="816"/>
      <c r="AO1345" s="816"/>
      <c r="AP1345" s="816"/>
      <c r="AQ1345" s="816"/>
      <c r="AR1345" s="816"/>
      <c r="AS1345" s="816"/>
      <c r="AT1345" s="816"/>
      <c r="AU1345" s="816"/>
      <c r="AV1345" s="816"/>
      <c r="AW1345" s="816"/>
      <c r="AX1345" s="816"/>
      <c r="AY1345" s="816"/>
      <c r="AZ1345" s="816"/>
      <c r="BA1345" s="816"/>
      <c r="BC1345" s="816"/>
      <c r="BD1345" s="816"/>
      <c r="BE1345" s="816"/>
      <c r="BF1345" s="816"/>
      <c r="BG1345" s="816"/>
      <c r="BH1345" s="816"/>
      <c r="BI1345" s="816"/>
      <c r="BJ1345" s="816"/>
      <c r="BK1345" s="816" t="s">
        <v>198</v>
      </c>
      <c r="BM1345" s="816"/>
      <c r="BN1345" s="816"/>
      <c r="BO1345" s="816"/>
      <c r="BQ1345" s="816"/>
      <c r="BR1345" s="816"/>
      <c r="BS1345" s="816"/>
      <c r="BT1345" s="816"/>
      <c r="BU1345" s="816"/>
    </row>
    <row r="1346" spans="1:73" x14ac:dyDescent="0.35">
      <c r="A1346" s="806" t="s">
        <v>888</v>
      </c>
      <c r="B1346" s="806" t="s">
        <v>1664</v>
      </c>
      <c r="C1346" s="806"/>
      <c r="D1346" s="806"/>
      <c r="E1346" s="806"/>
      <c r="F1346" s="806"/>
      <c r="I1346" s="816"/>
      <c r="K1346" s="816"/>
      <c r="M1346" s="816"/>
      <c r="Q1346" s="816"/>
      <c r="S1346" s="816"/>
      <c r="U1346" s="816"/>
      <c r="V1346" s="816"/>
      <c r="W1346" s="816"/>
      <c r="AD1346" s="816"/>
      <c r="AG1346" s="816"/>
      <c r="AH1346" s="816" t="s">
        <v>198</v>
      </c>
      <c r="AJ1346" s="816"/>
      <c r="AL1346" s="816"/>
      <c r="AR1346" s="816"/>
      <c r="AT1346" s="816"/>
      <c r="AU1346" s="816"/>
      <c r="AV1346" s="816"/>
      <c r="AX1346" s="816"/>
      <c r="AY1346" s="816"/>
      <c r="AZ1346" s="816"/>
      <c r="BC1346" s="816"/>
      <c r="BD1346" s="816"/>
      <c r="BE1346" s="816"/>
      <c r="BG1346" s="816"/>
      <c r="BH1346" s="816"/>
      <c r="BI1346" s="816"/>
      <c r="BK1346" s="816" t="s">
        <v>198</v>
      </c>
      <c r="BS1346" s="816"/>
      <c r="BT1346" s="816"/>
      <c r="BU1346" s="816"/>
    </row>
    <row r="1347" spans="1:73" x14ac:dyDescent="0.35">
      <c r="A1347" s="806" t="s">
        <v>1386</v>
      </c>
      <c r="B1347" s="806" t="s">
        <v>1391</v>
      </c>
      <c r="C1347" s="806"/>
      <c r="D1347" s="806"/>
      <c r="E1347" s="806"/>
      <c r="F1347" s="806"/>
      <c r="I1347" s="816"/>
      <c r="J1347" s="816"/>
      <c r="K1347" s="816"/>
      <c r="M1347" s="816"/>
      <c r="N1347" s="816"/>
      <c r="O1347" s="816"/>
      <c r="P1347" s="816"/>
      <c r="Q1347" s="816"/>
      <c r="R1347" s="816"/>
      <c r="S1347" s="816"/>
      <c r="T1347" s="816"/>
      <c r="U1347" s="816"/>
      <c r="V1347" s="816"/>
      <c r="W1347" s="816"/>
      <c r="X1347" s="816"/>
      <c r="Y1347" s="816"/>
      <c r="Z1347" s="816"/>
      <c r="AC1347" s="816"/>
      <c r="AD1347" s="816"/>
      <c r="AE1347" s="816"/>
      <c r="AF1347" s="816"/>
      <c r="AG1347" s="816"/>
      <c r="AH1347" s="816" t="s">
        <v>198</v>
      </c>
      <c r="AI1347" s="816"/>
      <c r="AJ1347" s="816"/>
      <c r="AL1347" s="816"/>
      <c r="AM1347" s="816"/>
      <c r="AN1347" s="816"/>
      <c r="AO1347" s="816"/>
      <c r="AP1347" s="816"/>
      <c r="AQ1347" s="816"/>
      <c r="AR1347" s="816"/>
      <c r="AS1347" s="816"/>
      <c r="AT1347" s="816"/>
      <c r="AU1347" s="816"/>
      <c r="AV1347" s="816"/>
      <c r="AW1347" s="816"/>
      <c r="AX1347" s="816"/>
      <c r="AY1347" s="816"/>
      <c r="AZ1347" s="816"/>
      <c r="BA1347" s="816"/>
      <c r="BC1347" s="816"/>
      <c r="BD1347" s="816"/>
      <c r="BE1347" s="816"/>
      <c r="BF1347" s="816"/>
      <c r="BG1347" s="816" t="s">
        <v>198</v>
      </c>
      <c r="BH1347" s="816"/>
      <c r="BI1347" s="816"/>
      <c r="BJ1347" s="816"/>
      <c r="BK1347" s="816" t="s">
        <v>198</v>
      </c>
      <c r="BL1347" s="816" t="s">
        <v>198</v>
      </c>
      <c r="BM1347" s="816"/>
      <c r="BN1347" s="816"/>
      <c r="BO1347" s="816"/>
      <c r="BQ1347" s="816"/>
      <c r="BR1347" s="816"/>
      <c r="BS1347" s="816"/>
      <c r="BT1347" s="816"/>
      <c r="BU1347" s="816" t="s">
        <v>198</v>
      </c>
    </row>
    <row r="1348" spans="1:73" x14ac:dyDescent="0.35">
      <c r="A1348" s="806" t="s">
        <v>685</v>
      </c>
      <c r="B1348" s="806" t="s">
        <v>686</v>
      </c>
      <c r="C1348" s="816">
        <v>123</v>
      </c>
      <c r="D1348" s="816">
        <v>123</v>
      </c>
      <c r="E1348" s="816">
        <v>123</v>
      </c>
      <c r="F1348" s="816">
        <v>123</v>
      </c>
      <c r="H1348" s="816">
        <v>123</v>
      </c>
      <c r="I1348" s="816">
        <v>123</v>
      </c>
      <c r="J1348" s="816">
        <v>123</v>
      </c>
      <c r="K1348" s="816">
        <v>123</v>
      </c>
      <c r="L1348" s="816">
        <v>123</v>
      </c>
      <c r="M1348" s="816">
        <v>123</v>
      </c>
      <c r="N1348" s="816">
        <v>123</v>
      </c>
      <c r="O1348" s="816">
        <v>123</v>
      </c>
      <c r="P1348" s="816">
        <v>123</v>
      </c>
      <c r="Q1348" s="816">
        <v>123</v>
      </c>
      <c r="R1348" s="816">
        <v>123</v>
      </c>
      <c r="S1348" s="816">
        <v>123</v>
      </c>
      <c r="T1348" s="816">
        <v>123</v>
      </c>
      <c r="U1348" s="816">
        <v>123</v>
      </c>
      <c r="V1348" s="816">
        <v>123</v>
      </c>
      <c r="W1348" s="816">
        <v>123</v>
      </c>
      <c r="X1348" s="816">
        <v>123</v>
      </c>
      <c r="Y1348" s="816">
        <v>123</v>
      </c>
      <c r="Z1348" s="816">
        <v>123</v>
      </c>
      <c r="AA1348" s="816">
        <v>123</v>
      </c>
      <c r="AB1348" s="816">
        <v>123</v>
      </c>
      <c r="AC1348" s="816">
        <v>123</v>
      </c>
      <c r="AD1348" s="816">
        <v>123</v>
      </c>
      <c r="AE1348" s="816">
        <v>123</v>
      </c>
      <c r="AF1348" s="816">
        <v>123</v>
      </c>
      <c r="AG1348" s="816">
        <v>123</v>
      </c>
      <c r="AH1348" s="816">
        <v>123</v>
      </c>
      <c r="AI1348" s="816">
        <v>123</v>
      </c>
      <c r="AJ1348" s="816">
        <v>123</v>
      </c>
      <c r="AK1348" s="816">
        <v>123</v>
      </c>
      <c r="AL1348" s="816">
        <v>123</v>
      </c>
      <c r="AM1348" s="816">
        <v>123</v>
      </c>
      <c r="AN1348" s="816">
        <v>123</v>
      </c>
      <c r="AO1348" s="816">
        <v>123</v>
      </c>
      <c r="AP1348" s="816">
        <v>123</v>
      </c>
      <c r="AQ1348" s="816">
        <v>123</v>
      </c>
      <c r="AR1348" s="816">
        <v>123</v>
      </c>
      <c r="AS1348" s="816">
        <v>123</v>
      </c>
      <c r="AT1348" s="816">
        <v>123</v>
      </c>
      <c r="AU1348" s="816">
        <v>123</v>
      </c>
      <c r="AV1348" s="816">
        <v>123</v>
      </c>
      <c r="AW1348" s="816">
        <v>123</v>
      </c>
      <c r="AX1348" s="816">
        <v>123</v>
      </c>
      <c r="AY1348" s="816">
        <v>123</v>
      </c>
      <c r="AZ1348" s="816">
        <v>123</v>
      </c>
      <c r="BA1348" s="816">
        <v>123</v>
      </c>
      <c r="BB1348" s="816">
        <v>123</v>
      </c>
      <c r="BC1348" s="816">
        <v>123</v>
      </c>
      <c r="BD1348" s="816">
        <v>123</v>
      </c>
      <c r="BE1348" s="816">
        <v>123</v>
      </c>
      <c r="BG1348" s="816">
        <v>123</v>
      </c>
      <c r="BH1348" s="816">
        <v>123</v>
      </c>
      <c r="BI1348" s="816">
        <v>123</v>
      </c>
      <c r="BJ1348" s="816">
        <v>123</v>
      </c>
      <c r="BK1348" s="816">
        <v>123</v>
      </c>
      <c r="BL1348" s="816">
        <v>123</v>
      </c>
      <c r="BM1348" s="816">
        <v>123</v>
      </c>
      <c r="BN1348" s="816">
        <v>123</v>
      </c>
      <c r="BO1348" s="816">
        <v>123</v>
      </c>
      <c r="BP1348" s="816">
        <v>123</v>
      </c>
      <c r="BQ1348" s="816">
        <v>123</v>
      </c>
      <c r="BR1348" s="816">
        <v>123</v>
      </c>
      <c r="BS1348" s="816">
        <v>123</v>
      </c>
      <c r="BT1348" s="816">
        <v>123</v>
      </c>
      <c r="BU1348" s="816">
        <v>123</v>
      </c>
    </row>
    <row r="1349" spans="1:73" ht="29" x14ac:dyDescent="0.35">
      <c r="A1349" s="806" t="s">
        <v>780</v>
      </c>
      <c r="B1349" s="806" t="s">
        <v>782</v>
      </c>
      <c r="C1349" s="817"/>
      <c r="D1349" s="817"/>
      <c r="E1349" s="817"/>
      <c r="F1349" s="817"/>
      <c r="G1349" s="817"/>
      <c r="H1349" s="817"/>
      <c r="I1349" s="816"/>
      <c r="J1349" s="816"/>
      <c r="K1349" s="816"/>
      <c r="L1349" s="817"/>
      <c r="M1349" s="816"/>
      <c r="N1349" s="816"/>
      <c r="O1349" s="816"/>
      <c r="P1349" s="816"/>
      <c r="Q1349" s="816"/>
      <c r="R1349" s="816"/>
      <c r="S1349" s="816"/>
      <c r="T1349" s="816"/>
      <c r="U1349" s="816"/>
      <c r="V1349" s="816"/>
      <c r="W1349" s="816"/>
      <c r="X1349" s="816"/>
      <c r="Y1349" s="816"/>
      <c r="Z1349" s="816"/>
      <c r="AA1349" s="817"/>
      <c r="AB1349" s="817"/>
      <c r="AC1349" s="816"/>
      <c r="AD1349" s="816"/>
      <c r="AE1349" s="816"/>
      <c r="AF1349" s="816"/>
      <c r="AG1349" s="816"/>
      <c r="AH1349" s="818"/>
      <c r="AI1349" s="816"/>
      <c r="AJ1349" s="816"/>
      <c r="AK1349" s="817"/>
      <c r="AL1349" s="816"/>
      <c r="AM1349" s="816"/>
      <c r="AN1349" s="816"/>
      <c r="AO1349" s="816"/>
      <c r="AP1349" s="816"/>
      <c r="AQ1349" s="816"/>
      <c r="AR1349" s="816"/>
      <c r="AS1349" s="816"/>
      <c r="AT1349" s="816"/>
      <c r="AU1349" s="816"/>
      <c r="AV1349" s="816"/>
      <c r="AW1349" s="816"/>
      <c r="AX1349" s="816"/>
      <c r="AY1349" s="816"/>
      <c r="AZ1349" s="816"/>
      <c r="BA1349" s="816"/>
      <c r="BB1349" s="817"/>
      <c r="BC1349" s="816"/>
      <c r="BD1349" s="816"/>
      <c r="BE1349" s="816"/>
      <c r="BF1349" s="816"/>
      <c r="BG1349" s="816"/>
      <c r="BH1349" s="816"/>
      <c r="BI1349" s="816"/>
      <c r="BJ1349" s="816"/>
      <c r="BK1349" s="816"/>
      <c r="BM1349" s="816"/>
      <c r="BN1349" s="816"/>
      <c r="BO1349" s="816"/>
      <c r="BP1349" s="817"/>
      <c r="BQ1349" s="816"/>
      <c r="BR1349" s="816"/>
      <c r="BS1349" s="816"/>
      <c r="BT1349" s="816"/>
      <c r="BU1349" s="816"/>
    </row>
    <row r="1350" spans="1:73" x14ac:dyDescent="0.35">
      <c r="A1350" s="806" t="s">
        <v>4372</v>
      </c>
      <c r="B1350" s="806" t="s">
        <v>2545</v>
      </c>
      <c r="C1350" s="806"/>
      <c r="D1350" s="806"/>
      <c r="E1350" s="806"/>
      <c r="F1350" s="806"/>
      <c r="G1350" s="816"/>
      <c r="R1350" s="816"/>
      <c r="Y1350" s="816"/>
      <c r="AA1350" s="817"/>
      <c r="AB1350" s="817"/>
      <c r="AK1350" s="817"/>
      <c r="AM1350" s="816"/>
      <c r="AO1350" s="816"/>
      <c r="BK1350" s="817"/>
    </row>
    <row r="1351" spans="1:73" x14ac:dyDescent="0.35">
      <c r="A1351" s="806" t="s">
        <v>789</v>
      </c>
      <c r="B1351" s="806" t="s">
        <v>950</v>
      </c>
      <c r="C1351" s="806"/>
      <c r="D1351" s="806"/>
      <c r="E1351" s="806"/>
      <c r="F1351" s="816"/>
      <c r="I1351" s="816"/>
      <c r="J1351" s="816"/>
      <c r="K1351" s="816"/>
      <c r="L1351" s="816"/>
      <c r="M1351" s="816"/>
      <c r="N1351" s="816"/>
      <c r="O1351" s="816"/>
      <c r="P1351" s="816"/>
      <c r="Q1351" s="816"/>
      <c r="R1351" s="816"/>
      <c r="S1351" s="816"/>
      <c r="T1351" s="816"/>
      <c r="U1351" s="816"/>
      <c r="V1351" s="816"/>
      <c r="W1351" s="816"/>
      <c r="X1351" s="816"/>
      <c r="Y1351" s="816"/>
      <c r="Z1351" s="816"/>
      <c r="AA1351" s="816"/>
      <c r="AB1351" s="816"/>
      <c r="AC1351" s="816"/>
      <c r="AD1351" s="816"/>
      <c r="AE1351" s="816"/>
      <c r="AF1351" s="816"/>
      <c r="AG1351" s="816"/>
      <c r="AH1351" s="816"/>
      <c r="AI1351" s="816"/>
      <c r="AJ1351" s="816"/>
      <c r="AL1351" s="816"/>
      <c r="AM1351" s="816"/>
      <c r="AN1351" s="816"/>
      <c r="AO1351" s="816"/>
      <c r="AP1351" s="816"/>
      <c r="AQ1351" s="816"/>
      <c r="AR1351" s="816"/>
      <c r="AS1351" s="816"/>
      <c r="AT1351" s="816"/>
      <c r="AU1351" s="816"/>
      <c r="AV1351" s="816"/>
      <c r="AW1351" s="816"/>
      <c r="AX1351" s="816"/>
      <c r="AY1351" s="816"/>
      <c r="AZ1351" s="816"/>
      <c r="BA1351" s="816"/>
      <c r="BC1351" s="816"/>
      <c r="BD1351" s="816"/>
      <c r="BE1351" s="816"/>
      <c r="BF1351" s="816"/>
      <c r="BG1351" s="816"/>
      <c r="BH1351" s="816"/>
      <c r="BI1351" s="816"/>
      <c r="BJ1351" s="816"/>
      <c r="BK1351" s="816"/>
      <c r="BM1351" s="816"/>
      <c r="BN1351" s="816"/>
      <c r="BO1351" s="816"/>
      <c r="BQ1351" s="816"/>
      <c r="BR1351" s="816"/>
      <c r="BS1351" s="816"/>
      <c r="BT1351" s="816"/>
      <c r="BU1351" s="816"/>
    </row>
    <row r="1352" spans="1:73" x14ac:dyDescent="0.35">
      <c r="A1352" s="806" t="s">
        <v>789</v>
      </c>
      <c r="B1352" s="806" t="s">
        <v>945</v>
      </c>
      <c r="C1352" s="806"/>
      <c r="D1352" s="806"/>
      <c r="E1352" s="806"/>
      <c r="F1352" s="816"/>
      <c r="I1352" s="816"/>
      <c r="J1352" s="816"/>
      <c r="K1352" s="816"/>
      <c r="L1352" s="816"/>
      <c r="M1352" s="816"/>
      <c r="N1352" s="816"/>
      <c r="O1352" s="816"/>
      <c r="P1352" s="816"/>
      <c r="Q1352" s="816"/>
      <c r="R1352" s="816"/>
      <c r="S1352" s="816"/>
      <c r="T1352" s="816"/>
      <c r="U1352" s="816"/>
      <c r="V1352" s="816"/>
      <c r="W1352" s="816"/>
      <c r="X1352" s="816"/>
      <c r="Y1352" s="816"/>
      <c r="Z1352" s="816"/>
      <c r="AA1352" s="816"/>
      <c r="AB1352" s="816"/>
      <c r="AC1352" s="816"/>
      <c r="AD1352" s="816"/>
      <c r="AE1352" s="816"/>
      <c r="AF1352" s="816"/>
      <c r="AG1352" s="816"/>
      <c r="AH1352" s="816"/>
      <c r="AI1352" s="816"/>
      <c r="AJ1352" s="816"/>
      <c r="AL1352" s="816"/>
      <c r="AM1352" s="816"/>
      <c r="AN1352" s="816"/>
      <c r="AO1352" s="816"/>
      <c r="AP1352" s="816"/>
      <c r="AQ1352" s="816"/>
      <c r="AR1352" s="816"/>
      <c r="AS1352" s="816"/>
      <c r="AT1352" s="816"/>
      <c r="AU1352" s="816"/>
      <c r="AV1352" s="816"/>
      <c r="AW1352" s="816"/>
      <c r="AX1352" s="816"/>
      <c r="AY1352" s="816"/>
      <c r="AZ1352" s="816"/>
      <c r="BA1352" s="816"/>
      <c r="BC1352" s="816"/>
      <c r="BD1352" s="816"/>
      <c r="BE1352" s="816"/>
      <c r="BF1352" s="816"/>
      <c r="BG1352" s="816"/>
      <c r="BH1352" s="816"/>
      <c r="BI1352" s="816"/>
      <c r="BJ1352" s="816"/>
      <c r="BK1352" s="816"/>
      <c r="BM1352" s="816"/>
      <c r="BN1352" s="816"/>
      <c r="BO1352" s="816"/>
      <c r="BQ1352" s="816"/>
      <c r="BR1352" s="816"/>
      <c r="BS1352" s="816"/>
      <c r="BT1352" s="816"/>
      <c r="BU1352" s="816"/>
    </row>
    <row r="1353" spans="1:73" ht="29" x14ac:dyDescent="0.35">
      <c r="A1353" s="806" t="s">
        <v>771</v>
      </c>
      <c r="B1353" s="806" t="s">
        <v>1217</v>
      </c>
      <c r="C1353" s="806"/>
      <c r="D1353" s="806"/>
      <c r="E1353" s="806"/>
      <c r="F1353" s="806"/>
      <c r="I1353" s="816"/>
      <c r="J1353" s="816"/>
      <c r="K1353" s="816"/>
      <c r="M1353" s="816"/>
      <c r="N1353" s="816"/>
      <c r="O1353" s="816"/>
      <c r="P1353" s="816"/>
      <c r="Q1353" s="816"/>
      <c r="R1353" s="816"/>
      <c r="S1353" s="816"/>
      <c r="T1353" s="816"/>
      <c r="U1353" s="816"/>
      <c r="V1353" s="816"/>
      <c r="W1353" s="816"/>
      <c r="X1353" s="816"/>
      <c r="Y1353" s="816"/>
      <c r="Z1353" s="816"/>
      <c r="AC1353" s="816"/>
      <c r="AD1353" s="816"/>
      <c r="AE1353" s="816"/>
      <c r="AF1353" s="816"/>
      <c r="AG1353" s="816"/>
      <c r="AI1353" s="816"/>
      <c r="AJ1353" s="816"/>
      <c r="AL1353" s="816"/>
      <c r="AM1353" s="816"/>
      <c r="AN1353" s="816"/>
      <c r="AO1353" s="816"/>
      <c r="AP1353" s="816"/>
      <c r="AQ1353" s="816"/>
      <c r="AR1353" s="816"/>
      <c r="AS1353" s="816"/>
      <c r="AT1353" s="816"/>
      <c r="AU1353" s="816"/>
      <c r="AV1353" s="816"/>
      <c r="AW1353" s="816"/>
      <c r="AX1353" s="816"/>
      <c r="AY1353" s="816"/>
      <c r="AZ1353" s="816"/>
      <c r="BA1353" s="816"/>
      <c r="BC1353" s="816"/>
      <c r="BD1353" s="816"/>
      <c r="BE1353" s="816"/>
      <c r="BF1353" s="816"/>
      <c r="BG1353" s="816"/>
      <c r="BH1353" s="816"/>
      <c r="BI1353" s="816"/>
      <c r="BJ1353" s="816"/>
      <c r="BM1353" s="816"/>
      <c r="BN1353" s="816"/>
      <c r="BO1353" s="816"/>
      <c r="BQ1353" s="816"/>
      <c r="BR1353" s="816"/>
      <c r="BS1353" s="816"/>
      <c r="BT1353" s="816"/>
      <c r="BU1353" s="816"/>
    </row>
    <row r="1354" spans="1:73" ht="29" x14ac:dyDescent="0.35">
      <c r="A1354" s="806" t="s">
        <v>771</v>
      </c>
      <c r="B1354" s="806" t="s">
        <v>773</v>
      </c>
      <c r="C1354" s="817"/>
      <c r="D1354" s="817"/>
      <c r="E1354" s="817"/>
      <c r="F1354" s="817"/>
      <c r="G1354" s="817"/>
      <c r="H1354" s="817"/>
      <c r="I1354" s="817"/>
      <c r="J1354" s="817"/>
      <c r="K1354" s="817"/>
      <c r="L1354" s="817"/>
      <c r="M1354" s="817"/>
      <c r="N1354" s="817"/>
      <c r="O1354" s="817"/>
      <c r="P1354" s="817"/>
      <c r="Q1354" s="817"/>
      <c r="R1354" s="817"/>
      <c r="S1354" s="817"/>
      <c r="T1354" s="817"/>
      <c r="U1354" s="817"/>
      <c r="V1354" s="817"/>
      <c r="W1354" s="817"/>
      <c r="X1354" s="817"/>
      <c r="Y1354" s="817"/>
      <c r="Z1354" s="817"/>
      <c r="AA1354" s="817"/>
      <c r="AB1354" s="817"/>
      <c r="AC1354" s="817"/>
      <c r="AD1354" s="817"/>
      <c r="AE1354" s="817"/>
      <c r="AF1354" s="817"/>
      <c r="AG1354" s="817"/>
      <c r="AH1354" s="816"/>
      <c r="AI1354" s="817"/>
      <c r="AJ1354" s="817"/>
      <c r="AK1354" s="817"/>
      <c r="AL1354" s="817"/>
      <c r="AM1354" s="817"/>
      <c r="AN1354" s="817"/>
      <c r="AO1354" s="817"/>
      <c r="AP1354" s="817"/>
      <c r="AQ1354" s="817"/>
      <c r="AR1354" s="817"/>
      <c r="AS1354" s="817"/>
      <c r="AT1354" s="817"/>
      <c r="AU1354" s="817"/>
      <c r="AV1354" s="817"/>
      <c r="AW1354" s="817"/>
      <c r="AX1354" s="817"/>
      <c r="AY1354" s="817"/>
      <c r="AZ1354" s="817"/>
      <c r="BA1354" s="817"/>
      <c r="BB1354" s="817"/>
      <c r="BC1354" s="817"/>
      <c r="BD1354" s="817"/>
      <c r="BE1354" s="817"/>
      <c r="BF1354" s="817"/>
      <c r="BG1354" s="817"/>
      <c r="BH1354" s="817"/>
      <c r="BI1354" s="817"/>
      <c r="BJ1354" s="817"/>
      <c r="BK1354" s="817"/>
      <c r="BM1354" s="817"/>
      <c r="BN1354" s="817"/>
      <c r="BO1354" s="817"/>
      <c r="BP1354" s="817"/>
      <c r="BQ1354" s="817"/>
      <c r="BR1354" s="817"/>
      <c r="BS1354" s="817"/>
      <c r="BT1354" s="817"/>
      <c r="BU1354" s="817"/>
    </row>
    <row r="1355" spans="1:73" x14ac:dyDescent="0.35">
      <c r="A1355" s="806" t="s">
        <v>771</v>
      </c>
      <c r="B1355" s="806" t="s">
        <v>774</v>
      </c>
      <c r="C1355" s="816"/>
      <c r="D1355" s="816"/>
      <c r="E1355" s="816"/>
      <c r="F1355" s="816"/>
      <c r="G1355" s="818"/>
      <c r="H1355" s="818"/>
      <c r="I1355" s="816"/>
      <c r="J1355" s="816"/>
      <c r="K1355" s="816"/>
      <c r="L1355" s="816"/>
      <c r="M1355" s="816"/>
      <c r="N1355" s="816"/>
      <c r="O1355" s="816"/>
      <c r="P1355" s="816"/>
      <c r="Q1355" s="816"/>
      <c r="R1355" s="816"/>
      <c r="S1355" s="816"/>
      <c r="T1355" s="816"/>
      <c r="U1355" s="816"/>
      <c r="V1355" s="816"/>
      <c r="W1355" s="816"/>
      <c r="X1355" s="816"/>
      <c r="Y1355" s="816"/>
      <c r="Z1355" s="816"/>
      <c r="AA1355" s="818"/>
      <c r="AB1355" s="818"/>
      <c r="AC1355" s="816"/>
      <c r="AD1355" s="816"/>
      <c r="AE1355" s="816"/>
      <c r="AF1355" s="816"/>
      <c r="AG1355" s="816"/>
      <c r="AH1355" s="817"/>
      <c r="AI1355" s="816"/>
      <c r="AJ1355" s="816"/>
      <c r="AK1355" s="818"/>
      <c r="AL1355" s="816"/>
      <c r="AM1355" s="816"/>
      <c r="AN1355" s="816"/>
      <c r="AO1355" s="816"/>
      <c r="AP1355" s="816"/>
      <c r="AQ1355" s="816"/>
      <c r="AR1355" s="816"/>
      <c r="AS1355" s="816"/>
      <c r="AT1355" s="816"/>
      <c r="AU1355" s="816"/>
      <c r="AV1355" s="816"/>
      <c r="AW1355" s="816"/>
      <c r="AX1355" s="816"/>
      <c r="AY1355" s="816"/>
      <c r="AZ1355" s="816"/>
      <c r="BA1355" s="816"/>
      <c r="BB1355" s="816"/>
      <c r="BC1355" s="816"/>
      <c r="BD1355" s="816"/>
      <c r="BE1355" s="816"/>
      <c r="BF1355" s="816"/>
      <c r="BG1355" s="816"/>
      <c r="BH1355" s="816"/>
      <c r="BI1355" s="816"/>
      <c r="BJ1355" s="816"/>
      <c r="BK1355" s="817"/>
      <c r="BM1355" s="816"/>
      <c r="BN1355" s="816"/>
      <c r="BO1355" s="816"/>
      <c r="BP1355" s="817"/>
      <c r="BQ1355" s="816"/>
      <c r="BR1355" s="816"/>
      <c r="BS1355" s="816"/>
      <c r="BT1355" s="816"/>
      <c r="BU1355" s="816"/>
    </row>
    <row r="1356" spans="1:73" x14ac:dyDescent="0.35">
      <c r="A1356" s="806" t="s">
        <v>771</v>
      </c>
      <c r="B1356" s="806" t="s">
        <v>1215</v>
      </c>
      <c r="C1356" s="806"/>
      <c r="D1356" s="806"/>
      <c r="E1356" s="806"/>
      <c r="F1356" s="806"/>
      <c r="I1356" s="817"/>
      <c r="J1356" s="817"/>
      <c r="K1356" s="817"/>
      <c r="M1356" s="817"/>
      <c r="N1356" s="817"/>
      <c r="O1356" s="817"/>
      <c r="P1356" s="817"/>
      <c r="Q1356" s="817"/>
      <c r="R1356" s="817"/>
      <c r="S1356" s="817"/>
      <c r="T1356" s="817"/>
      <c r="U1356" s="817"/>
      <c r="V1356" s="817"/>
      <c r="W1356" s="817"/>
      <c r="X1356" s="817"/>
      <c r="Y1356" s="817"/>
      <c r="Z1356" s="817"/>
      <c r="AC1356" s="817"/>
      <c r="AD1356" s="817"/>
      <c r="AE1356" s="817"/>
      <c r="AF1356" s="817"/>
      <c r="AG1356" s="817"/>
      <c r="AI1356" s="817"/>
      <c r="AJ1356" s="817"/>
      <c r="AL1356" s="817"/>
      <c r="AM1356" s="817"/>
      <c r="AN1356" s="817"/>
      <c r="AO1356" s="817"/>
      <c r="AP1356" s="817"/>
      <c r="AQ1356" s="817"/>
      <c r="AR1356" s="817"/>
      <c r="AS1356" s="817"/>
      <c r="AT1356" s="817"/>
      <c r="AU1356" s="817"/>
      <c r="AV1356" s="817"/>
      <c r="AW1356" s="817"/>
      <c r="AX1356" s="817"/>
      <c r="AY1356" s="817"/>
      <c r="AZ1356" s="817"/>
      <c r="BA1356" s="817"/>
      <c r="BC1356" s="817"/>
      <c r="BD1356" s="817"/>
      <c r="BE1356" s="817"/>
      <c r="BF1356" s="817"/>
      <c r="BG1356" s="817"/>
      <c r="BH1356" s="817"/>
      <c r="BI1356" s="817"/>
      <c r="BJ1356" s="817"/>
      <c r="BM1356" s="817"/>
      <c r="BN1356" s="817"/>
      <c r="BO1356" s="817"/>
      <c r="BQ1356" s="817"/>
      <c r="BR1356" s="817"/>
      <c r="BS1356" s="817"/>
      <c r="BT1356" s="817"/>
      <c r="BU1356" s="817"/>
    </row>
    <row r="1357" spans="1:73" ht="29" x14ac:dyDescent="0.35">
      <c r="A1357" s="806" t="s">
        <v>771</v>
      </c>
      <c r="B1357" s="806" t="s">
        <v>1211</v>
      </c>
      <c r="C1357" s="806"/>
      <c r="D1357" s="806"/>
      <c r="E1357" s="806"/>
      <c r="F1357" s="806"/>
      <c r="I1357" s="817"/>
      <c r="J1357" s="817"/>
      <c r="K1357" s="817"/>
      <c r="M1357" s="817"/>
      <c r="N1357" s="817"/>
      <c r="O1357" s="817"/>
      <c r="P1357" s="817"/>
      <c r="Q1357" s="817"/>
      <c r="R1357" s="817"/>
      <c r="S1357" s="817"/>
      <c r="T1357" s="817"/>
      <c r="U1357" s="817"/>
      <c r="V1357" s="817"/>
      <c r="W1357" s="817"/>
      <c r="X1357" s="817"/>
      <c r="Y1357" s="817"/>
      <c r="Z1357" s="817"/>
      <c r="AC1357" s="817"/>
      <c r="AD1357" s="817"/>
      <c r="AE1357" s="817"/>
      <c r="AF1357" s="817"/>
      <c r="AG1357" s="817"/>
      <c r="AI1357" s="817"/>
      <c r="AJ1357" s="817"/>
      <c r="AL1357" s="817"/>
      <c r="AM1357" s="817"/>
      <c r="AN1357" s="817"/>
      <c r="AO1357" s="817"/>
      <c r="AP1357" s="817"/>
      <c r="AQ1357" s="817"/>
      <c r="AR1357" s="817"/>
      <c r="AS1357" s="817"/>
      <c r="AT1357" s="817"/>
      <c r="AU1357" s="817"/>
      <c r="AV1357" s="817"/>
      <c r="AW1357" s="817"/>
      <c r="AX1357" s="817"/>
      <c r="AY1357" s="817"/>
      <c r="AZ1357" s="817"/>
      <c r="BA1357" s="817"/>
      <c r="BC1357" s="817"/>
      <c r="BD1357" s="817"/>
      <c r="BE1357" s="817"/>
      <c r="BF1357" s="817"/>
      <c r="BG1357" s="817"/>
      <c r="BH1357" s="817"/>
      <c r="BI1357" s="817"/>
      <c r="BJ1357" s="817"/>
      <c r="BM1357" s="817"/>
      <c r="BN1357" s="817"/>
      <c r="BO1357" s="817"/>
      <c r="BQ1357" s="817"/>
      <c r="BR1357" s="817"/>
      <c r="BS1357" s="817"/>
      <c r="BT1357" s="817"/>
      <c r="BU1357" s="817"/>
    </row>
    <row r="1358" spans="1:73" x14ac:dyDescent="0.35">
      <c r="A1358" s="806" t="s">
        <v>771</v>
      </c>
      <c r="B1358" s="806" t="s">
        <v>1212</v>
      </c>
      <c r="C1358" s="806"/>
      <c r="D1358" s="806"/>
      <c r="E1358" s="806"/>
      <c r="F1358" s="806"/>
      <c r="I1358" s="817"/>
      <c r="J1358" s="817"/>
      <c r="K1358" s="817"/>
      <c r="M1358" s="817"/>
      <c r="N1358" s="817"/>
      <c r="O1358" s="817"/>
      <c r="P1358" s="817"/>
      <c r="Q1358" s="817"/>
      <c r="R1358" s="817"/>
      <c r="S1358" s="817"/>
      <c r="T1358" s="817"/>
      <c r="U1358" s="817"/>
      <c r="V1358" s="817"/>
      <c r="W1358" s="817"/>
      <c r="X1358" s="817"/>
      <c r="Y1358" s="817"/>
      <c r="Z1358" s="817"/>
      <c r="AC1358" s="817"/>
      <c r="AD1358" s="817"/>
      <c r="AE1358" s="817"/>
      <c r="AF1358" s="817"/>
      <c r="AG1358" s="817"/>
      <c r="AI1358" s="817"/>
      <c r="AJ1358" s="817"/>
      <c r="AL1358" s="817"/>
      <c r="AM1358" s="817"/>
      <c r="AN1358" s="817"/>
      <c r="AO1358" s="817"/>
      <c r="AP1358" s="817"/>
      <c r="AQ1358" s="817"/>
      <c r="AR1358" s="817"/>
      <c r="AS1358" s="817"/>
      <c r="AT1358" s="817"/>
      <c r="AU1358" s="817"/>
      <c r="AV1358" s="817"/>
      <c r="AW1358" s="817"/>
      <c r="AX1358" s="817"/>
      <c r="AY1358" s="817"/>
      <c r="AZ1358" s="817"/>
      <c r="BA1358" s="817"/>
      <c r="BC1358" s="817"/>
      <c r="BD1358" s="817"/>
      <c r="BE1358" s="817"/>
      <c r="BF1358" s="817"/>
      <c r="BG1358" s="817"/>
      <c r="BH1358" s="817"/>
      <c r="BI1358" s="817"/>
      <c r="BJ1358" s="817"/>
      <c r="BM1358" s="817"/>
      <c r="BN1358" s="817"/>
      <c r="BO1358" s="817"/>
      <c r="BQ1358" s="817"/>
      <c r="BR1358" s="817"/>
      <c r="BS1358" s="817"/>
      <c r="BT1358" s="817"/>
      <c r="BU1358" s="817"/>
    </row>
    <row r="1359" spans="1:73" ht="29" x14ac:dyDescent="0.35">
      <c r="A1359" s="806" t="s">
        <v>771</v>
      </c>
      <c r="B1359" s="806" t="s">
        <v>1210</v>
      </c>
      <c r="C1359" s="806"/>
      <c r="D1359" s="806"/>
      <c r="E1359" s="806"/>
      <c r="F1359" s="806"/>
      <c r="I1359" s="817"/>
      <c r="J1359" s="817"/>
      <c r="K1359" s="817"/>
      <c r="M1359" s="817"/>
      <c r="N1359" s="817"/>
      <c r="O1359" s="817"/>
      <c r="P1359" s="817"/>
      <c r="Q1359" s="817"/>
      <c r="R1359" s="817"/>
      <c r="S1359" s="817"/>
      <c r="T1359" s="817"/>
      <c r="U1359" s="817"/>
      <c r="V1359" s="817"/>
      <c r="W1359" s="817"/>
      <c r="X1359" s="817"/>
      <c r="Y1359" s="817"/>
      <c r="Z1359" s="817"/>
      <c r="AC1359" s="817"/>
      <c r="AD1359" s="817"/>
      <c r="AE1359" s="817"/>
      <c r="AF1359" s="817"/>
      <c r="AG1359" s="817"/>
      <c r="AI1359" s="817"/>
      <c r="AJ1359" s="817"/>
      <c r="AL1359" s="817"/>
      <c r="AM1359" s="817"/>
      <c r="AN1359" s="817"/>
      <c r="AO1359" s="817"/>
      <c r="AP1359" s="817"/>
      <c r="AQ1359" s="817"/>
      <c r="AR1359" s="817"/>
      <c r="AS1359" s="817"/>
      <c r="AT1359" s="817"/>
      <c r="AU1359" s="817"/>
      <c r="AV1359" s="817"/>
      <c r="AW1359" s="817"/>
      <c r="AX1359" s="817"/>
      <c r="AY1359" s="817"/>
      <c r="AZ1359" s="817"/>
      <c r="BA1359" s="817"/>
      <c r="BC1359" s="817"/>
      <c r="BD1359" s="817"/>
      <c r="BE1359" s="817"/>
      <c r="BF1359" s="817"/>
      <c r="BG1359" s="817"/>
      <c r="BH1359" s="817"/>
      <c r="BI1359" s="817"/>
      <c r="BJ1359" s="817"/>
      <c r="BM1359" s="817"/>
      <c r="BN1359" s="817"/>
      <c r="BO1359" s="817"/>
      <c r="BQ1359" s="817"/>
      <c r="BR1359" s="817"/>
      <c r="BS1359" s="817"/>
      <c r="BT1359" s="817"/>
      <c r="BU1359" s="817"/>
    </row>
    <row r="1360" spans="1:73" x14ac:dyDescent="0.35">
      <c r="A1360" s="806" t="s">
        <v>771</v>
      </c>
      <c r="B1360" s="806" t="s">
        <v>1214</v>
      </c>
      <c r="C1360" s="806"/>
      <c r="D1360" s="806"/>
      <c r="E1360" s="806"/>
      <c r="F1360" s="806"/>
      <c r="I1360" s="817"/>
      <c r="J1360" s="817"/>
      <c r="K1360" s="817"/>
      <c r="M1360" s="817"/>
      <c r="N1360" s="817"/>
      <c r="O1360" s="817"/>
      <c r="P1360" s="817"/>
      <c r="Q1360" s="817"/>
      <c r="R1360" s="817"/>
      <c r="S1360" s="817"/>
      <c r="T1360" s="817"/>
      <c r="U1360" s="817"/>
      <c r="V1360" s="817"/>
      <c r="W1360" s="817"/>
      <c r="X1360" s="817"/>
      <c r="Y1360" s="817"/>
      <c r="Z1360" s="817"/>
      <c r="AC1360" s="817"/>
      <c r="AD1360" s="817"/>
      <c r="AE1360" s="817"/>
      <c r="AF1360" s="817"/>
      <c r="AG1360" s="817"/>
      <c r="AI1360" s="817"/>
      <c r="AJ1360" s="817"/>
      <c r="AL1360" s="817"/>
      <c r="AM1360" s="817"/>
      <c r="AN1360" s="817"/>
      <c r="AO1360" s="817"/>
      <c r="AP1360" s="817"/>
      <c r="AQ1360" s="817"/>
      <c r="AR1360" s="817"/>
      <c r="AS1360" s="817"/>
      <c r="AT1360" s="817"/>
      <c r="AU1360" s="817"/>
      <c r="AV1360" s="817"/>
      <c r="AW1360" s="817"/>
      <c r="AX1360" s="817"/>
      <c r="AY1360" s="817"/>
      <c r="AZ1360" s="817"/>
      <c r="BA1360" s="817"/>
      <c r="BC1360" s="817"/>
      <c r="BD1360" s="817"/>
      <c r="BE1360" s="817"/>
      <c r="BF1360" s="817"/>
      <c r="BG1360" s="817"/>
      <c r="BH1360" s="817"/>
      <c r="BI1360" s="817"/>
      <c r="BJ1360" s="817"/>
      <c r="BM1360" s="817"/>
      <c r="BN1360" s="817"/>
      <c r="BO1360" s="817"/>
      <c r="BQ1360" s="817"/>
      <c r="BR1360" s="817"/>
      <c r="BS1360" s="817"/>
      <c r="BT1360" s="817"/>
      <c r="BU1360" s="817"/>
    </row>
    <row r="1361" spans="1:73" ht="29" x14ac:dyDescent="0.35">
      <c r="A1361" s="806" t="s">
        <v>771</v>
      </c>
      <c r="B1361" s="806" t="s">
        <v>1213</v>
      </c>
      <c r="C1361" s="806"/>
      <c r="D1361" s="806"/>
      <c r="E1361" s="806"/>
      <c r="F1361" s="806"/>
      <c r="I1361" s="817"/>
      <c r="J1361" s="817"/>
      <c r="K1361" s="817"/>
      <c r="M1361" s="817"/>
      <c r="N1361" s="817"/>
      <c r="O1361" s="817"/>
      <c r="P1361" s="817"/>
      <c r="Q1361" s="817"/>
      <c r="R1361" s="817"/>
      <c r="S1361" s="817"/>
      <c r="T1361" s="817"/>
      <c r="U1361" s="817"/>
      <c r="V1361" s="817"/>
      <c r="W1361" s="817"/>
      <c r="X1361" s="817"/>
      <c r="Y1361" s="817"/>
      <c r="Z1361" s="817"/>
      <c r="AC1361" s="817"/>
      <c r="AD1361" s="817"/>
      <c r="AE1361" s="817"/>
      <c r="AF1361" s="817"/>
      <c r="AG1361" s="817"/>
      <c r="AI1361" s="817"/>
      <c r="AJ1361" s="817"/>
      <c r="AL1361" s="817"/>
      <c r="AM1361" s="817"/>
      <c r="AN1361" s="817"/>
      <c r="AO1361" s="817"/>
      <c r="AP1361" s="817"/>
      <c r="AQ1361" s="817"/>
      <c r="AR1361" s="817"/>
      <c r="AS1361" s="817"/>
      <c r="AT1361" s="817"/>
      <c r="AU1361" s="817"/>
      <c r="AV1361" s="817"/>
      <c r="AW1361" s="817"/>
      <c r="AX1361" s="817"/>
      <c r="AY1361" s="817"/>
      <c r="AZ1361" s="817"/>
      <c r="BA1361" s="817"/>
      <c r="BC1361" s="817"/>
      <c r="BD1361" s="817"/>
      <c r="BE1361" s="817"/>
      <c r="BF1361" s="817"/>
      <c r="BG1361" s="817"/>
      <c r="BH1361" s="817"/>
      <c r="BI1361" s="817"/>
      <c r="BJ1361" s="817"/>
      <c r="BM1361" s="817"/>
      <c r="BN1361" s="817"/>
      <c r="BO1361" s="817"/>
      <c r="BQ1361" s="817"/>
      <c r="BR1361" s="817"/>
      <c r="BS1361" s="817"/>
      <c r="BT1361" s="817"/>
      <c r="BU1361" s="817"/>
    </row>
    <row r="1362" spans="1:73" x14ac:dyDescent="0.35">
      <c r="A1362" s="806" t="s">
        <v>771</v>
      </c>
      <c r="B1362" s="806" t="s">
        <v>778</v>
      </c>
      <c r="C1362" s="817"/>
      <c r="D1362" s="817"/>
      <c r="E1362" s="817"/>
      <c r="F1362" s="817"/>
      <c r="G1362" s="816"/>
      <c r="H1362" s="816"/>
      <c r="I1362" s="817"/>
      <c r="J1362" s="817"/>
      <c r="K1362" s="817"/>
      <c r="L1362" s="817"/>
      <c r="M1362" s="817"/>
      <c r="N1362" s="817"/>
      <c r="O1362" s="817"/>
      <c r="P1362" s="817"/>
      <c r="Q1362" s="817"/>
      <c r="R1362" s="817"/>
      <c r="S1362" s="817"/>
      <c r="T1362" s="817"/>
      <c r="U1362" s="817"/>
      <c r="V1362" s="817"/>
      <c r="W1362" s="817"/>
      <c r="X1362" s="817"/>
      <c r="Y1362" s="817"/>
      <c r="Z1362" s="817"/>
      <c r="AA1362" s="816"/>
      <c r="AB1362" s="816"/>
      <c r="AC1362" s="817"/>
      <c r="AD1362" s="817"/>
      <c r="AE1362" s="817"/>
      <c r="AF1362" s="817"/>
      <c r="AG1362" s="817"/>
      <c r="AH1362" s="817"/>
      <c r="AI1362" s="817"/>
      <c r="AJ1362" s="817"/>
      <c r="AK1362" s="816"/>
      <c r="AL1362" s="817"/>
      <c r="AM1362" s="817"/>
      <c r="AN1362" s="817"/>
      <c r="AO1362" s="817"/>
      <c r="AP1362" s="817"/>
      <c r="AQ1362" s="817"/>
      <c r="AR1362" s="817"/>
      <c r="AS1362" s="817"/>
      <c r="AT1362" s="817"/>
      <c r="AU1362" s="817"/>
      <c r="AV1362" s="817"/>
      <c r="AW1362" s="817"/>
      <c r="AX1362" s="817"/>
      <c r="AY1362" s="817"/>
      <c r="AZ1362" s="817"/>
      <c r="BA1362" s="817"/>
      <c r="BB1362" s="817"/>
      <c r="BC1362" s="817"/>
      <c r="BD1362" s="817"/>
      <c r="BE1362" s="817"/>
      <c r="BF1362" s="817"/>
      <c r="BG1362" s="817"/>
      <c r="BH1362" s="817"/>
      <c r="BI1362" s="817"/>
      <c r="BJ1362" s="817"/>
      <c r="BK1362" s="816"/>
      <c r="BL1362" s="817"/>
      <c r="BM1362" s="817"/>
      <c r="BN1362" s="817"/>
      <c r="BO1362" s="817"/>
      <c r="BP1362" s="816"/>
      <c r="BQ1362" s="817"/>
      <c r="BR1362" s="817"/>
      <c r="BS1362" s="817"/>
      <c r="BT1362" s="817"/>
      <c r="BU1362" s="817"/>
    </row>
    <row r="1363" spans="1:73" x14ac:dyDescent="0.35">
      <c r="A1363" s="806" t="s">
        <v>771</v>
      </c>
      <c r="B1363" s="806" t="s">
        <v>779</v>
      </c>
      <c r="C1363" s="817"/>
      <c r="D1363" s="817"/>
      <c r="E1363" s="817"/>
      <c r="F1363" s="817"/>
      <c r="G1363" s="816"/>
      <c r="H1363" s="816"/>
      <c r="I1363" s="818"/>
      <c r="J1363" s="818"/>
      <c r="K1363" s="818"/>
      <c r="L1363" s="817"/>
      <c r="M1363" s="818"/>
      <c r="N1363" s="818"/>
      <c r="O1363" s="818"/>
      <c r="P1363" s="818"/>
      <c r="Q1363" s="818"/>
      <c r="R1363" s="818"/>
      <c r="S1363" s="818"/>
      <c r="T1363" s="818"/>
      <c r="U1363" s="818"/>
      <c r="V1363" s="818"/>
      <c r="W1363" s="818"/>
      <c r="X1363" s="818"/>
      <c r="Y1363" s="818"/>
      <c r="Z1363" s="818"/>
      <c r="AA1363" s="816"/>
      <c r="AB1363" s="816"/>
      <c r="AC1363" s="818"/>
      <c r="AD1363" s="818"/>
      <c r="AE1363" s="818"/>
      <c r="AF1363" s="818"/>
      <c r="AG1363" s="818"/>
      <c r="AH1363" s="817"/>
      <c r="AI1363" s="818"/>
      <c r="AJ1363" s="818"/>
      <c r="AK1363" s="816"/>
      <c r="AL1363" s="818"/>
      <c r="AM1363" s="818"/>
      <c r="AN1363" s="818"/>
      <c r="AO1363" s="818"/>
      <c r="AP1363" s="818"/>
      <c r="AQ1363" s="818"/>
      <c r="AR1363" s="818"/>
      <c r="AS1363" s="818"/>
      <c r="AT1363" s="818"/>
      <c r="AU1363" s="818"/>
      <c r="AV1363" s="818"/>
      <c r="AW1363" s="818"/>
      <c r="AX1363" s="818"/>
      <c r="AY1363" s="818"/>
      <c r="AZ1363" s="818"/>
      <c r="BA1363" s="818"/>
      <c r="BB1363" s="817"/>
      <c r="BC1363" s="818"/>
      <c r="BD1363" s="818"/>
      <c r="BE1363" s="818"/>
      <c r="BF1363" s="818"/>
      <c r="BG1363" s="818"/>
      <c r="BH1363" s="818"/>
      <c r="BI1363" s="818"/>
      <c r="BJ1363" s="818"/>
      <c r="BK1363" s="816"/>
      <c r="BM1363" s="818"/>
      <c r="BN1363" s="818"/>
      <c r="BO1363" s="818"/>
      <c r="BP1363" s="817"/>
      <c r="BQ1363" s="818"/>
      <c r="BR1363" s="818"/>
      <c r="BS1363" s="818"/>
      <c r="BT1363" s="818"/>
      <c r="BU1363" s="818"/>
    </row>
    <row r="1364" spans="1:73" ht="29" x14ac:dyDescent="0.35">
      <c r="A1364" s="806" t="s">
        <v>771</v>
      </c>
      <c r="B1364" s="806" t="s">
        <v>1216</v>
      </c>
      <c r="C1364" s="806"/>
      <c r="D1364" s="806"/>
      <c r="E1364" s="806"/>
      <c r="F1364" s="806"/>
      <c r="I1364" s="817"/>
      <c r="J1364" s="817"/>
      <c r="K1364" s="817"/>
      <c r="M1364" s="817"/>
      <c r="N1364" s="817"/>
      <c r="O1364" s="817"/>
      <c r="P1364" s="817"/>
      <c r="Q1364" s="817"/>
      <c r="R1364" s="817"/>
      <c r="S1364" s="817"/>
      <c r="T1364" s="817"/>
      <c r="U1364" s="817"/>
      <c r="V1364" s="817"/>
      <c r="W1364" s="817"/>
      <c r="X1364" s="817"/>
      <c r="Y1364" s="817"/>
      <c r="Z1364" s="817"/>
      <c r="AC1364" s="817"/>
      <c r="AD1364" s="817"/>
      <c r="AE1364" s="817"/>
      <c r="AF1364" s="817"/>
      <c r="AG1364" s="817"/>
      <c r="AI1364" s="817"/>
      <c r="AJ1364" s="817"/>
      <c r="AL1364" s="817"/>
      <c r="AM1364" s="817"/>
      <c r="AN1364" s="817"/>
      <c r="AO1364" s="817"/>
      <c r="AP1364" s="817"/>
      <c r="AQ1364" s="817"/>
      <c r="AR1364" s="817"/>
      <c r="AS1364" s="817"/>
      <c r="AT1364" s="817"/>
      <c r="AU1364" s="817"/>
      <c r="AV1364" s="817"/>
      <c r="AW1364" s="817"/>
      <c r="AX1364" s="817"/>
      <c r="AY1364" s="817"/>
      <c r="AZ1364" s="817"/>
      <c r="BA1364" s="817"/>
      <c r="BC1364" s="817"/>
      <c r="BD1364" s="817"/>
      <c r="BE1364" s="817"/>
      <c r="BF1364" s="817"/>
      <c r="BG1364" s="817"/>
      <c r="BH1364" s="817"/>
      <c r="BI1364" s="817"/>
      <c r="BJ1364" s="817"/>
      <c r="BM1364" s="817"/>
      <c r="BN1364" s="817"/>
      <c r="BO1364" s="817"/>
      <c r="BQ1364" s="817"/>
      <c r="BR1364" s="817"/>
      <c r="BS1364" s="817"/>
      <c r="BT1364" s="817"/>
      <c r="BU1364" s="817"/>
    </row>
    <row r="1365" spans="1:73" ht="29" x14ac:dyDescent="0.35">
      <c r="A1365" s="806" t="s">
        <v>771</v>
      </c>
      <c r="B1365" s="806" t="s">
        <v>772</v>
      </c>
      <c r="C1365" s="818"/>
      <c r="D1365" s="818"/>
      <c r="E1365" s="818"/>
      <c r="F1365" s="818"/>
      <c r="G1365" s="816"/>
      <c r="H1365" s="816"/>
      <c r="I1365" s="816"/>
      <c r="J1365" s="816"/>
      <c r="K1365" s="816"/>
      <c r="L1365" s="818"/>
      <c r="M1365" s="816"/>
      <c r="N1365" s="816"/>
      <c r="O1365" s="816"/>
      <c r="P1365" s="816"/>
      <c r="Q1365" s="816"/>
      <c r="R1365" s="816"/>
      <c r="S1365" s="816"/>
      <c r="T1365" s="816"/>
      <c r="U1365" s="816"/>
      <c r="V1365" s="816"/>
      <c r="W1365" s="816"/>
      <c r="X1365" s="816"/>
      <c r="Y1365" s="816"/>
      <c r="Z1365" s="816"/>
      <c r="AA1365" s="816"/>
      <c r="AB1365" s="816"/>
      <c r="AC1365" s="816"/>
      <c r="AD1365" s="816"/>
      <c r="AE1365" s="816"/>
      <c r="AF1365" s="816"/>
      <c r="AG1365" s="816"/>
      <c r="AH1365" s="817"/>
      <c r="AI1365" s="816"/>
      <c r="AJ1365" s="816"/>
      <c r="AK1365" s="816"/>
      <c r="AL1365" s="816"/>
      <c r="AM1365" s="816"/>
      <c r="AN1365" s="816"/>
      <c r="AO1365" s="816"/>
      <c r="AP1365" s="816"/>
      <c r="AQ1365" s="816"/>
      <c r="AR1365" s="816"/>
      <c r="AS1365" s="816"/>
      <c r="AT1365" s="816"/>
      <c r="AU1365" s="816"/>
      <c r="AV1365" s="816"/>
      <c r="AW1365" s="816"/>
      <c r="AX1365" s="816"/>
      <c r="AY1365" s="816"/>
      <c r="AZ1365" s="816"/>
      <c r="BA1365" s="816"/>
      <c r="BB1365" s="818"/>
      <c r="BC1365" s="816"/>
      <c r="BD1365" s="816"/>
      <c r="BE1365" s="816"/>
      <c r="BF1365" s="816"/>
      <c r="BG1365" s="816"/>
      <c r="BH1365" s="816"/>
      <c r="BI1365" s="816"/>
      <c r="BJ1365" s="816"/>
      <c r="BK1365" s="817"/>
      <c r="BM1365" s="816"/>
      <c r="BN1365" s="816"/>
      <c r="BO1365" s="816"/>
      <c r="BP1365" s="817"/>
      <c r="BQ1365" s="816"/>
      <c r="BR1365" s="816"/>
      <c r="BS1365" s="816"/>
      <c r="BT1365" s="816"/>
      <c r="BU1365" s="816"/>
    </row>
    <row r="1366" spans="1:73" ht="29" x14ac:dyDescent="0.35">
      <c r="A1366" s="806" t="s">
        <v>771</v>
      </c>
      <c r="B1366" s="806" t="s">
        <v>1208</v>
      </c>
      <c r="C1366" s="806"/>
      <c r="D1366" s="806"/>
      <c r="E1366" s="806"/>
      <c r="F1366" s="806"/>
      <c r="I1366" s="817"/>
      <c r="J1366" s="817"/>
      <c r="K1366" s="817"/>
      <c r="M1366" s="817"/>
      <c r="N1366" s="817"/>
      <c r="O1366" s="817"/>
      <c r="P1366" s="817"/>
      <c r="Q1366" s="817"/>
      <c r="R1366" s="817"/>
      <c r="S1366" s="817"/>
      <c r="T1366" s="817"/>
      <c r="U1366" s="817"/>
      <c r="V1366" s="817"/>
      <c r="W1366" s="817"/>
      <c r="X1366" s="817"/>
      <c r="Y1366" s="817"/>
      <c r="Z1366" s="817"/>
      <c r="AC1366" s="817"/>
      <c r="AD1366" s="817"/>
      <c r="AE1366" s="817"/>
      <c r="AF1366" s="817"/>
      <c r="AG1366" s="817"/>
      <c r="AI1366" s="817"/>
      <c r="AJ1366" s="817"/>
      <c r="AL1366" s="817"/>
      <c r="AM1366" s="817"/>
      <c r="AN1366" s="817"/>
      <c r="AO1366" s="817"/>
      <c r="AP1366" s="817"/>
      <c r="AQ1366" s="817"/>
      <c r="AR1366" s="817"/>
      <c r="AS1366" s="817"/>
      <c r="AT1366" s="817"/>
      <c r="AU1366" s="817"/>
      <c r="AV1366" s="817"/>
      <c r="AW1366" s="817"/>
      <c r="AX1366" s="817"/>
      <c r="AY1366" s="817"/>
      <c r="AZ1366" s="817"/>
      <c r="BA1366" s="817"/>
      <c r="BC1366" s="817"/>
      <c r="BD1366" s="817"/>
      <c r="BE1366" s="817"/>
      <c r="BF1366" s="817"/>
      <c r="BG1366" s="817"/>
      <c r="BH1366" s="817"/>
      <c r="BI1366" s="817"/>
      <c r="BJ1366" s="817"/>
      <c r="BM1366" s="817"/>
      <c r="BN1366" s="817"/>
      <c r="BO1366" s="817"/>
      <c r="BQ1366" s="817"/>
      <c r="BR1366" s="817"/>
      <c r="BS1366" s="817"/>
      <c r="BT1366" s="817"/>
      <c r="BU1366" s="817"/>
    </row>
    <row r="1367" spans="1:73" ht="29" x14ac:dyDescent="0.35">
      <c r="A1367" s="806" t="s">
        <v>771</v>
      </c>
      <c r="B1367" s="806" t="s">
        <v>1204</v>
      </c>
      <c r="C1367" s="806"/>
      <c r="D1367" s="806"/>
      <c r="E1367" s="806"/>
      <c r="F1367" s="806"/>
      <c r="I1367" s="817"/>
      <c r="J1367" s="817"/>
      <c r="K1367" s="817"/>
      <c r="M1367" s="817"/>
      <c r="N1367" s="817"/>
      <c r="O1367" s="817"/>
      <c r="P1367" s="817"/>
      <c r="Q1367" s="817"/>
      <c r="R1367" s="817"/>
      <c r="S1367" s="817"/>
      <c r="T1367" s="817"/>
      <c r="U1367" s="817"/>
      <c r="V1367" s="817"/>
      <c r="W1367" s="817"/>
      <c r="X1367" s="817"/>
      <c r="Y1367" s="817"/>
      <c r="Z1367" s="817"/>
      <c r="AC1367" s="817"/>
      <c r="AD1367" s="817"/>
      <c r="AE1367" s="817"/>
      <c r="AF1367" s="817"/>
      <c r="AG1367" s="817"/>
      <c r="AI1367" s="817"/>
      <c r="AJ1367" s="817"/>
      <c r="AL1367" s="817"/>
      <c r="AM1367" s="817"/>
      <c r="AN1367" s="817"/>
      <c r="AO1367" s="817"/>
      <c r="AP1367" s="817"/>
      <c r="AQ1367" s="817"/>
      <c r="AR1367" s="817"/>
      <c r="AS1367" s="817"/>
      <c r="AT1367" s="817"/>
      <c r="AU1367" s="817"/>
      <c r="AV1367" s="817"/>
      <c r="AW1367" s="817"/>
      <c r="AX1367" s="817"/>
      <c r="AY1367" s="817"/>
      <c r="AZ1367" s="817"/>
      <c r="BA1367" s="817"/>
      <c r="BC1367" s="817"/>
      <c r="BD1367" s="817"/>
      <c r="BE1367" s="817"/>
      <c r="BF1367" s="817"/>
      <c r="BG1367" s="817"/>
      <c r="BH1367" s="817"/>
      <c r="BI1367" s="817"/>
      <c r="BJ1367" s="817"/>
      <c r="BM1367" s="817"/>
      <c r="BN1367" s="817"/>
      <c r="BO1367" s="817"/>
      <c r="BQ1367" s="817"/>
      <c r="BR1367" s="817"/>
      <c r="BS1367" s="817"/>
      <c r="BT1367" s="817"/>
      <c r="BU1367" s="817"/>
    </row>
    <row r="1368" spans="1:73" ht="29" x14ac:dyDescent="0.35">
      <c r="A1368" s="806" t="s">
        <v>771</v>
      </c>
      <c r="B1368" s="806" t="s">
        <v>1205</v>
      </c>
      <c r="C1368" s="806"/>
      <c r="D1368" s="806"/>
      <c r="E1368" s="806"/>
      <c r="F1368" s="806"/>
      <c r="I1368" s="817"/>
      <c r="J1368" s="817"/>
      <c r="K1368" s="817"/>
      <c r="M1368" s="817"/>
      <c r="N1368" s="817"/>
      <c r="O1368" s="817"/>
      <c r="P1368" s="817"/>
      <c r="Q1368" s="817"/>
      <c r="R1368" s="817"/>
      <c r="S1368" s="817"/>
      <c r="T1368" s="817"/>
      <c r="U1368" s="817"/>
      <c r="V1368" s="817"/>
      <c r="W1368" s="817"/>
      <c r="X1368" s="817"/>
      <c r="Y1368" s="817"/>
      <c r="Z1368" s="817"/>
      <c r="AC1368" s="817"/>
      <c r="AD1368" s="817"/>
      <c r="AE1368" s="817"/>
      <c r="AF1368" s="817"/>
      <c r="AG1368" s="817"/>
      <c r="AI1368" s="817"/>
      <c r="AJ1368" s="817"/>
      <c r="AL1368" s="817"/>
      <c r="AM1368" s="817"/>
      <c r="AN1368" s="817"/>
      <c r="AO1368" s="817"/>
      <c r="AP1368" s="817"/>
      <c r="AQ1368" s="817"/>
      <c r="AR1368" s="817"/>
      <c r="AS1368" s="817"/>
      <c r="AT1368" s="817"/>
      <c r="AU1368" s="817"/>
      <c r="AV1368" s="817"/>
      <c r="AW1368" s="817"/>
      <c r="AX1368" s="817"/>
      <c r="AY1368" s="817"/>
      <c r="AZ1368" s="817"/>
      <c r="BA1368" s="817"/>
      <c r="BC1368" s="817"/>
      <c r="BD1368" s="817"/>
      <c r="BE1368" s="817"/>
      <c r="BF1368" s="817"/>
      <c r="BG1368" s="817"/>
      <c r="BH1368" s="817"/>
      <c r="BI1368" s="817"/>
      <c r="BJ1368" s="817"/>
      <c r="BM1368" s="817"/>
      <c r="BN1368" s="817"/>
      <c r="BO1368" s="817"/>
      <c r="BQ1368" s="817"/>
      <c r="BR1368" s="817"/>
      <c r="BS1368" s="817"/>
      <c r="BT1368" s="817"/>
      <c r="BU1368" s="817"/>
    </row>
    <row r="1369" spans="1:73" ht="29" x14ac:dyDescent="0.35">
      <c r="A1369" s="806" t="s">
        <v>771</v>
      </c>
      <c r="B1369" s="806" t="s">
        <v>1203</v>
      </c>
      <c r="C1369" s="806"/>
      <c r="D1369" s="806"/>
      <c r="E1369" s="806"/>
      <c r="F1369" s="806"/>
      <c r="I1369" s="817"/>
      <c r="J1369" s="817"/>
      <c r="K1369" s="817"/>
      <c r="M1369" s="817"/>
      <c r="N1369" s="817"/>
      <c r="O1369" s="817"/>
      <c r="P1369" s="817"/>
      <c r="Q1369" s="817"/>
      <c r="R1369" s="817"/>
      <c r="S1369" s="817"/>
      <c r="T1369" s="817"/>
      <c r="U1369" s="817"/>
      <c r="V1369" s="817"/>
      <c r="W1369" s="817"/>
      <c r="X1369" s="817"/>
      <c r="Y1369" s="817"/>
      <c r="Z1369" s="817"/>
      <c r="AC1369" s="817"/>
      <c r="AD1369" s="817"/>
      <c r="AE1369" s="817"/>
      <c r="AF1369" s="817"/>
      <c r="AG1369" s="817"/>
      <c r="AI1369" s="817"/>
      <c r="AJ1369" s="817"/>
      <c r="AL1369" s="817"/>
      <c r="AM1369" s="817"/>
      <c r="AN1369" s="817"/>
      <c r="AO1369" s="817"/>
      <c r="AP1369" s="817"/>
      <c r="AQ1369" s="817"/>
      <c r="AR1369" s="817"/>
      <c r="AS1369" s="817"/>
      <c r="AT1369" s="817"/>
      <c r="AU1369" s="817"/>
      <c r="AV1369" s="817"/>
      <c r="AW1369" s="817"/>
      <c r="AX1369" s="817"/>
      <c r="AY1369" s="817"/>
      <c r="AZ1369" s="817"/>
      <c r="BA1369" s="817"/>
      <c r="BC1369" s="817"/>
      <c r="BD1369" s="817"/>
      <c r="BE1369" s="817"/>
      <c r="BF1369" s="817"/>
      <c r="BG1369" s="817"/>
      <c r="BH1369" s="817"/>
      <c r="BI1369" s="817"/>
      <c r="BJ1369" s="817"/>
      <c r="BM1369" s="817"/>
      <c r="BN1369" s="817"/>
      <c r="BO1369" s="817"/>
      <c r="BQ1369" s="817"/>
      <c r="BR1369" s="817"/>
      <c r="BS1369" s="817"/>
      <c r="BT1369" s="817"/>
      <c r="BU1369" s="817"/>
    </row>
    <row r="1370" spans="1:73" ht="29" x14ac:dyDescent="0.35">
      <c r="A1370" s="806" t="s">
        <v>771</v>
      </c>
      <c r="B1370" s="806" t="s">
        <v>1207</v>
      </c>
      <c r="C1370" s="806"/>
      <c r="D1370" s="806"/>
      <c r="E1370" s="806"/>
      <c r="F1370" s="806"/>
      <c r="I1370" s="817"/>
      <c r="J1370" s="817"/>
      <c r="K1370" s="817"/>
      <c r="M1370" s="817"/>
      <c r="N1370" s="817"/>
      <c r="O1370" s="817"/>
      <c r="P1370" s="817"/>
      <c r="Q1370" s="817"/>
      <c r="R1370" s="817"/>
      <c r="S1370" s="817"/>
      <c r="T1370" s="817"/>
      <c r="U1370" s="817"/>
      <c r="V1370" s="817"/>
      <c r="W1370" s="817"/>
      <c r="X1370" s="817"/>
      <c r="Y1370" s="817"/>
      <c r="Z1370" s="817"/>
      <c r="AC1370" s="817"/>
      <c r="AD1370" s="817"/>
      <c r="AE1370" s="817"/>
      <c r="AF1370" s="817"/>
      <c r="AG1370" s="817"/>
      <c r="AI1370" s="817"/>
      <c r="AJ1370" s="817"/>
      <c r="AL1370" s="817"/>
      <c r="AM1370" s="817"/>
      <c r="AN1370" s="817"/>
      <c r="AO1370" s="817"/>
      <c r="AP1370" s="817"/>
      <c r="AQ1370" s="817"/>
      <c r="AR1370" s="817"/>
      <c r="AS1370" s="817"/>
      <c r="AT1370" s="817"/>
      <c r="AU1370" s="817"/>
      <c r="AV1370" s="817"/>
      <c r="AW1370" s="817"/>
      <c r="AX1370" s="817"/>
      <c r="AY1370" s="817"/>
      <c r="AZ1370" s="817"/>
      <c r="BA1370" s="817"/>
      <c r="BC1370" s="817"/>
      <c r="BD1370" s="817"/>
      <c r="BE1370" s="817"/>
      <c r="BF1370" s="817"/>
      <c r="BG1370" s="817"/>
      <c r="BH1370" s="817"/>
      <c r="BI1370" s="817"/>
      <c r="BJ1370" s="817"/>
      <c r="BM1370" s="817"/>
      <c r="BN1370" s="817"/>
      <c r="BO1370" s="817"/>
      <c r="BQ1370" s="817"/>
      <c r="BR1370" s="817"/>
      <c r="BS1370" s="817"/>
      <c r="BT1370" s="817"/>
      <c r="BU1370" s="817"/>
    </row>
    <row r="1371" spans="1:73" ht="29" x14ac:dyDescent="0.35">
      <c r="A1371" s="806" t="s">
        <v>771</v>
      </c>
      <c r="B1371" s="806" t="s">
        <v>1206</v>
      </c>
      <c r="C1371" s="806"/>
      <c r="D1371" s="806"/>
      <c r="E1371" s="806"/>
      <c r="F1371" s="806"/>
      <c r="I1371" s="817"/>
      <c r="J1371" s="817"/>
      <c r="K1371" s="817"/>
      <c r="M1371" s="817"/>
      <c r="N1371" s="817"/>
      <c r="O1371" s="817"/>
      <c r="P1371" s="817"/>
      <c r="Q1371" s="817"/>
      <c r="R1371" s="817"/>
      <c r="S1371" s="817"/>
      <c r="T1371" s="817"/>
      <c r="U1371" s="817"/>
      <c r="V1371" s="817"/>
      <c r="W1371" s="817"/>
      <c r="X1371" s="817"/>
      <c r="Y1371" s="817"/>
      <c r="Z1371" s="817"/>
      <c r="AC1371" s="817"/>
      <c r="AD1371" s="817"/>
      <c r="AE1371" s="817"/>
      <c r="AF1371" s="817"/>
      <c r="AG1371" s="817"/>
      <c r="AI1371" s="817"/>
      <c r="AJ1371" s="817"/>
      <c r="AL1371" s="817"/>
      <c r="AM1371" s="817"/>
      <c r="AN1371" s="817"/>
      <c r="AO1371" s="817"/>
      <c r="AP1371" s="817"/>
      <c r="AQ1371" s="817"/>
      <c r="AR1371" s="817"/>
      <c r="AS1371" s="817"/>
      <c r="AT1371" s="817"/>
      <c r="AU1371" s="817"/>
      <c r="AV1371" s="817"/>
      <c r="AW1371" s="817"/>
      <c r="AX1371" s="817"/>
      <c r="AY1371" s="817"/>
      <c r="AZ1371" s="817"/>
      <c r="BA1371" s="817"/>
      <c r="BC1371" s="817"/>
      <c r="BD1371" s="817"/>
      <c r="BE1371" s="817"/>
      <c r="BF1371" s="817"/>
      <c r="BG1371" s="817"/>
      <c r="BH1371" s="817"/>
      <c r="BI1371" s="817"/>
      <c r="BJ1371" s="817"/>
      <c r="BM1371" s="817"/>
      <c r="BN1371" s="817"/>
      <c r="BO1371" s="817"/>
      <c r="BQ1371" s="817"/>
      <c r="BR1371" s="817"/>
      <c r="BS1371" s="817"/>
      <c r="BT1371" s="817"/>
      <c r="BU1371" s="817"/>
    </row>
    <row r="1372" spans="1:73" x14ac:dyDescent="0.35">
      <c r="A1372" s="806" t="s">
        <v>771</v>
      </c>
      <c r="B1372" s="806" t="s">
        <v>776</v>
      </c>
      <c r="C1372" s="817"/>
      <c r="D1372" s="817"/>
      <c r="E1372" s="817"/>
      <c r="F1372" s="817"/>
      <c r="G1372" s="818"/>
      <c r="H1372" s="818"/>
      <c r="I1372" s="817"/>
      <c r="J1372" s="817"/>
      <c r="K1372" s="817"/>
      <c r="L1372" s="817"/>
      <c r="M1372" s="817"/>
      <c r="N1372" s="817"/>
      <c r="O1372" s="817"/>
      <c r="P1372" s="817"/>
      <c r="Q1372" s="817"/>
      <c r="R1372" s="817"/>
      <c r="S1372" s="817"/>
      <c r="T1372" s="817"/>
      <c r="U1372" s="817"/>
      <c r="V1372" s="817"/>
      <c r="W1372" s="817"/>
      <c r="X1372" s="817"/>
      <c r="Y1372" s="817"/>
      <c r="Z1372" s="817"/>
      <c r="AA1372" s="818"/>
      <c r="AB1372" s="818"/>
      <c r="AC1372" s="817"/>
      <c r="AD1372" s="817"/>
      <c r="AE1372" s="817"/>
      <c r="AF1372" s="817"/>
      <c r="AG1372" s="817"/>
      <c r="AH1372" s="817"/>
      <c r="AI1372" s="817"/>
      <c r="AJ1372" s="817"/>
      <c r="AK1372" s="818"/>
      <c r="AL1372" s="817"/>
      <c r="AM1372" s="817"/>
      <c r="AN1372" s="817"/>
      <c r="AO1372" s="817"/>
      <c r="AP1372" s="817"/>
      <c r="AQ1372" s="817"/>
      <c r="AR1372" s="817"/>
      <c r="AS1372" s="817"/>
      <c r="AT1372" s="817"/>
      <c r="AU1372" s="817"/>
      <c r="AV1372" s="817"/>
      <c r="AW1372" s="817"/>
      <c r="AX1372" s="817"/>
      <c r="AY1372" s="817"/>
      <c r="AZ1372" s="817"/>
      <c r="BA1372" s="817"/>
      <c r="BB1372" s="817"/>
      <c r="BC1372" s="817"/>
      <c r="BD1372" s="817"/>
      <c r="BE1372" s="817"/>
      <c r="BF1372" s="817"/>
      <c r="BG1372" s="817"/>
      <c r="BH1372" s="817"/>
      <c r="BI1372" s="817"/>
      <c r="BJ1372" s="817"/>
      <c r="BK1372" s="817"/>
      <c r="BL1372" s="817"/>
      <c r="BM1372" s="817"/>
      <c r="BN1372" s="817"/>
      <c r="BO1372" s="817"/>
      <c r="BP1372" s="818"/>
      <c r="BQ1372" s="817"/>
      <c r="BR1372" s="817"/>
      <c r="BS1372" s="817"/>
      <c r="BT1372" s="817"/>
      <c r="BU1372" s="817"/>
    </row>
    <row r="1373" spans="1:73" ht="29" x14ac:dyDescent="0.35">
      <c r="A1373" s="806" t="s">
        <v>771</v>
      </c>
      <c r="B1373" s="806" t="s">
        <v>777</v>
      </c>
      <c r="C1373" s="817"/>
      <c r="D1373" s="817"/>
      <c r="E1373" s="817"/>
      <c r="F1373" s="817"/>
      <c r="G1373" s="816"/>
      <c r="H1373" s="816"/>
      <c r="I1373" s="818"/>
      <c r="J1373" s="818"/>
      <c r="K1373" s="818"/>
      <c r="L1373" s="817"/>
      <c r="M1373" s="818"/>
      <c r="N1373" s="818"/>
      <c r="O1373" s="818"/>
      <c r="P1373" s="818"/>
      <c r="Q1373" s="818"/>
      <c r="R1373" s="818"/>
      <c r="S1373" s="818"/>
      <c r="T1373" s="818"/>
      <c r="U1373" s="818"/>
      <c r="V1373" s="818"/>
      <c r="W1373" s="818"/>
      <c r="X1373" s="818"/>
      <c r="Y1373" s="818"/>
      <c r="Z1373" s="818"/>
      <c r="AA1373" s="816"/>
      <c r="AB1373" s="816"/>
      <c r="AC1373" s="818"/>
      <c r="AD1373" s="818"/>
      <c r="AE1373" s="818"/>
      <c r="AF1373" s="818"/>
      <c r="AG1373" s="818"/>
      <c r="AH1373" s="817"/>
      <c r="AI1373" s="818"/>
      <c r="AJ1373" s="818"/>
      <c r="AK1373" s="816"/>
      <c r="AL1373" s="818"/>
      <c r="AM1373" s="818"/>
      <c r="AN1373" s="818"/>
      <c r="AO1373" s="818"/>
      <c r="AP1373" s="818"/>
      <c r="AQ1373" s="818"/>
      <c r="AR1373" s="818"/>
      <c r="AS1373" s="818"/>
      <c r="AT1373" s="818"/>
      <c r="AU1373" s="818"/>
      <c r="AV1373" s="818"/>
      <c r="AW1373" s="818"/>
      <c r="AX1373" s="818"/>
      <c r="AY1373" s="818"/>
      <c r="AZ1373" s="818"/>
      <c r="BA1373" s="818"/>
      <c r="BB1373" s="817"/>
      <c r="BC1373" s="818"/>
      <c r="BD1373" s="818"/>
      <c r="BE1373" s="818"/>
      <c r="BF1373" s="818"/>
      <c r="BG1373" s="818"/>
      <c r="BH1373" s="818"/>
      <c r="BI1373" s="818"/>
      <c r="BJ1373" s="818"/>
      <c r="BK1373" s="817"/>
      <c r="BM1373" s="818"/>
      <c r="BN1373" s="818"/>
      <c r="BO1373" s="818"/>
      <c r="BP1373" s="817"/>
      <c r="BQ1373" s="818"/>
      <c r="BR1373" s="818"/>
      <c r="BS1373" s="818"/>
      <c r="BT1373" s="818"/>
      <c r="BU1373" s="818"/>
    </row>
    <row r="1374" spans="1:73" ht="29" x14ac:dyDescent="0.35">
      <c r="A1374" s="806" t="s">
        <v>771</v>
      </c>
      <c r="B1374" s="806" t="s">
        <v>1209</v>
      </c>
      <c r="C1374" s="806"/>
      <c r="D1374" s="806"/>
      <c r="E1374" s="806"/>
      <c r="F1374" s="806"/>
      <c r="I1374" s="817"/>
      <c r="J1374" s="817"/>
      <c r="K1374" s="817"/>
      <c r="M1374" s="817"/>
      <c r="N1374" s="817"/>
      <c r="O1374" s="817"/>
      <c r="P1374" s="817"/>
      <c r="Q1374" s="817"/>
      <c r="R1374" s="817"/>
      <c r="S1374" s="817"/>
      <c r="T1374" s="817"/>
      <c r="U1374" s="817"/>
      <c r="V1374" s="817"/>
      <c r="W1374" s="817"/>
      <c r="X1374" s="817"/>
      <c r="Y1374" s="817"/>
      <c r="Z1374" s="817"/>
      <c r="AC1374" s="817"/>
      <c r="AD1374" s="817"/>
      <c r="AE1374" s="817"/>
      <c r="AF1374" s="817"/>
      <c r="AG1374" s="817"/>
      <c r="AI1374" s="817"/>
      <c r="AJ1374" s="817"/>
      <c r="AL1374" s="817"/>
      <c r="AM1374" s="817"/>
      <c r="AN1374" s="817"/>
      <c r="AO1374" s="817"/>
      <c r="AP1374" s="817"/>
      <c r="AQ1374" s="817"/>
      <c r="AR1374" s="817"/>
      <c r="AS1374" s="817"/>
      <c r="AT1374" s="817"/>
      <c r="AU1374" s="817"/>
      <c r="AV1374" s="817"/>
      <c r="AW1374" s="817"/>
      <c r="AX1374" s="817"/>
      <c r="AY1374" s="817"/>
      <c r="AZ1374" s="817"/>
      <c r="BA1374" s="817"/>
      <c r="BC1374" s="817"/>
      <c r="BD1374" s="817"/>
      <c r="BE1374" s="817"/>
      <c r="BF1374" s="817"/>
      <c r="BG1374" s="817"/>
      <c r="BH1374" s="817"/>
      <c r="BI1374" s="817"/>
      <c r="BJ1374" s="817"/>
      <c r="BM1374" s="817"/>
      <c r="BN1374" s="817"/>
      <c r="BO1374" s="817"/>
      <c r="BQ1374" s="817"/>
      <c r="BR1374" s="817"/>
      <c r="BS1374" s="817"/>
      <c r="BT1374" s="817"/>
      <c r="BU1374" s="817"/>
    </row>
    <row r="1375" spans="1:73" x14ac:dyDescent="0.35">
      <c r="A1375" s="806" t="s">
        <v>771</v>
      </c>
      <c r="B1375" s="806" t="s">
        <v>1202</v>
      </c>
      <c r="C1375" s="806"/>
      <c r="D1375" s="806"/>
      <c r="E1375" s="806"/>
      <c r="F1375" s="806"/>
      <c r="I1375" s="816"/>
      <c r="J1375" s="816"/>
      <c r="K1375" s="816"/>
      <c r="M1375" s="816"/>
      <c r="N1375" s="816"/>
      <c r="O1375" s="816"/>
      <c r="P1375" s="816"/>
      <c r="Q1375" s="816"/>
      <c r="R1375" s="816"/>
      <c r="S1375" s="816"/>
      <c r="T1375" s="816"/>
      <c r="U1375" s="816"/>
      <c r="V1375" s="816"/>
      <c r="W1375" s="816"/>
      <c r="X1375" s="816"/>
      <c r="Y1375" s="816"/>
      <c r="Z1375" s="816"/>
      <c r="AC1375" s="816"/>
      <c r="AD1375" s="816"/>
      <c r="AE1375" s="816"/>
      <c r="AF1375" s="816"/>
      <c r="AG1375" s="816"/>
      <c r="AI1375" s="816"/>
      <c r="AJ1375" s="816"/>
      <c r="AL1375" s="816"/>
      <c r="AM1375" s="816"/>
      <c r="AN1375" s="816"/>
      <c r="AO1375" s="816"/>
      <c r="AP1375" s="816"/>
      <c r="AQ1375" s="816"/>
      <c r="AR1375" s="816"/>
      <c r="AS1375" s="816"/>
      <c r="AT1375" s="816"/>
      <c r="AU1375" s="816"/>
      <c r="AV1375" s="816"/>
      <c r="AW1375" s="816"/>
      <c r="AX1375" s="816"/>
      <c r="AY1375" s="816"/>
      <c r="AZ1375" s="816"/>
      <c r="BA1375" s="816"/>
      <c r="BC1375" s="816"/>
      <c r="BD1375" s="816"/>
      <c r="BE1375" s="816"/>
      <c r="BF1375" s="816"/>
      <c r="BG1375" s="816"/>
      <c r="BH1375" s="816"/>
      <c r="BI1375" s="816"/>
      <c r="BJ1375" s="816"/>
      <c r="BM1375" s="816"/>
      <c r="BN1375" s="816"/>
      <c r="BO1375" s="816"/>
      <c r="BQ1375" s="816"/>
      <c r="BR1375" s="816"/>
      <c r="BS1375" s="816"/>
      <c r="BT1375" s="816"/>
      <c r="BU1375" s="816"/>
    </row>
    <row r="1376" spans="1:73" ht="29" x14ac:dyDescent="0.35">
      <c r="A1376" s="806" t="s">
        <v>728</v>
      </c>
      <c r="B1376" s="806" t="s">
        <v>977</v>
      </c>
      <c r="C1376" s="817"/>
      <c r="D1376" s="817"/>
      <c r="E1376" s="817"/>
      <c r="F1376" s="817"/>
      <c r="I1376" s="817"/>
      <c r="J1376" s="817"/>
      <c r="K1376" s="817"/>
      <c r="M1376" s="817"/>
      <c r="N1376" s="817"/>
      <c r="O1376" s="817"/>
      <c r="P1376" s="817"/>
      <c r="Q1376" s="817"/>
      <c r="R1376" s="817"/>
      <c r="S1376" s="817"/>
      <c r="T1376" s="817"/>
      <c r="U1376" s="817"/>
      <c r="V1376" s="817"/>
      <c r="W1376" s="817"/>
      <c r="X1376" s="817"/>
      <c r="Y1376" s="817"/>
      <c r="Z1376" s="817"/>
      <c r="AB1376" s="817"/>
      <c r="AC1376" s="817"/>
      <c r="AD1376" s="817"/>
      <c r="AE1376" s="817"/>
      <c r="AF1376" s="817"/>
      <c r="AG1376" s="817"/>
      <c r="AH1376" s="817"/>
      <c r="AI1376" s="817"/>
      <c r="AJ1376" s="817"/>
      <c r="AL1376" s="817"/>
      <c r="AM1376" s="817"/>
      <c r="AN1376" s="817"/>
      <c r="AO1376" s="817"/>
      <c r="AP1376" s="817"/>
      <c r="AQ1376" s="817"/>
      <c r="AR1376" s="817"/>
      <c r="AS1376" s="817"/>
      <c r="AT1376" s="817"/>
      <c r="AU1376" s="817"/>
      <c r="AV1376" s="817"/>
      <c r="AW1376" s="817"/>
      <c r="AX1376" s="817"/>
      <c r="AY1376" s="817"/>
      <c r="AZ1376" s="817"/>
      <c r="BA1376" s="817"/>
      <c r="BC1376" s="817"/>
      <c r="BD1376" s="817"/>
      <c r="BE1376" s="817"/>
      <c r="BF1376" s="817"/>
      <c r="BG1376" s="817"/>
      <c r="BH1376" s="817"/>
      <c r="BI1376" s="817"/>
      <c r="BJ1376" s="817"/>
      <c r="BK1376" s="817"/>
      <c r="BM1376" s="817"/>
      <c r="BN1376" s="817"/>
      <c r="BO1376" s="817"/>
      <c r="BQ1376" s="817"/>
      <c r="BR1376" s="817"/>
      <c r="BS1376" s="817"/>
      <c r="BT1376" s="817"/>
      <c r="BU1376" s="817"/>
    </row>
    <row r="1377" spans="1:73" ht="29" x14ac:dyDescent="0.35">
      <c r="A1377" s="806" t="s">
        <v>728</v>
      </c>
      <c r="B1377" s="806" t="s">
        <v>973</v>
      </c>
      <c r="C1377" s="817"/>
      <c r="D1377" s="817"/>
      <c r="E1377" s="817"/>
      <c r="F1377" s="817"/>
      <c r="I1377" s="817"/>
      <c r="J1377" s="817"/>
      <c r="K1377" s="817"/>
      <c r="M1377" s="817"/>
      <c r="N1377" s="817"/>
      <c r="O1377" s="817"/>
      <c r="P1377" s="817"/>
      <c r="Q1377" s="817"/>
      <c r="R1377" s="817"/>
      <c r="S1377" s="817"/>
      <c r="T1377" s="817"/>
      <c r="U1377" s="817"/>
      <c r="V1377" s="817"/>
      <c r="W1377" s="817"/>
      <c r="X1377" s="817"/>
      <c r="Y1377" s="817"/>
      <c r="Z1377" s="817"/>
      <c r="AB1377" s="817"/>
      <c r="AC1377" s="817"/>
      <c r="AD1377" s="817"/>
      <c r="AE1377" s="817"/>
      <c r="AF1377" s="817"/>
      <c r="AG1377" s="817"/>
      <c r="AH1377" s="817"/>
      <c r="AI1377" s="817"/>
      <c r="AJ1377" s="817"/>
      <c r="AL1377" s="817"/>
      <c r="AM1377" s="817"/>
      <c r="AN1377" s="817"/>
      <c r="AO1377" s="817"/>
      <c r="AP1377" s="817"/>
      <c r="AQ1377" s="817"/>
      <c r="AR1377" s="817"/>
      <c r="AS1377" s="817"/>
      <c r="AT1377" s="817"/>
      <c r="AU1377" s="817"/>
      <c r="AV1377" s="817"/>
      <c r="AW1377" s="817"/>
      <c r="AX1377" s="817"/>
      <c r="AY1377" s="817"/>
      <c r="AZ1377" s="817"/>
      <c r="BA1377" s="817"/>
      <c r="BC1377" s="817"/>
      <c r="BD1377" s="817"/>
      <c r="BE1377" s="817"/>
      <c r="BF1377" s="817"/>
      <c r="BG1377" s="817"/>
      <c r="BH1377" s="817"/>
      <c r="BI1377" s="817"/>
      <c r="BJ1377" s="817"/>
      <c r="BK1377" s="817"/>
      <c r="BM1377" s="817"/>
      <c r="BN1377" s="817"/>
      <c r="BO1377" s="817"/>
      <c r="BQ1377" s="817"/>
      <c r="BR1377" s="817"/>
      <c r="BS1377" s="817"/>
      <c r="BT1377" s="817"/>
      <c r="BU1377" s="817"/>
    </row>
    <row r="1378" spans="1:73" ht="29" x14ac:dyDescent="0.35">
      <c r="A1378" s="806" t="s">
        <v>728</v>
      </c>
      <c r="B1378" s="806" t="s">
        <v>974</v>
      </c>
      <c r="C1378" s="817"/>
      <c r="D1378" s="817"/>
      <c r="E1378" s="817"/>
      <c r="F1378" s="817"/>
      <c r="I1378" s="817"/>
      <c r="J1378" s="817"/>
      <c r="K1378" s="817"/>
      <c r="M1378" s="817"/>
      <c r="N1378" s="817"/>
      <c r="O1378" s="817"/>
      <c r="P1378" s="817"/>
      <c r="Q1378" s="817"/>
      <c r="R1378" s="817"/>
      <c r="S1378" s="817"/>
      <c r="T1378" s="817"/>
      <c r="U1378" s="817"/>
      <c r="V1378" s="817"/>
      <c r="W1378" s="817"/>
      <c r="X1378" s="817"/>
      <c r="Y1378" s="817"/>
      <c r="Z1378" s="817"/>
      <c r="AB1378" s="817"/>
      <c r="AC1378" s="817"/>
      <c r="AD1378" s="817"/>
      <c r="AE1378" s="817"/>
      <c r="AF1378" s="817"/>
      <c r="AG1378" s="817"/>
      <c r="AH1378" s="817"/>
      <c r="AI1378" s="817"/>
      <c r="AJ1378" s="817"/>
      <c r="AL1378" s="817"/>
      <c r="AM1378" s="817"/>
      <c r="AN1378" s="817"/>
      <c r="AO1378" s="817"/>
      <c r="AP1378" s="817"/>
      <c r="AQ1378" s="817"/>
      <c r="AR1378" s="817"/>
      <c r="AS1378" s="817"/>
      <c r="AT1378" s="817"/>
      <c r="AU1378" s="817"/>
      <c r="AV1378" s="817"/>
      <c r="AW1378" s="817"/>
      <c r="AX1378" s="817"/>
      <c r="AY1378" s="817"/>
      <c r="AZ1378" s="817"/>
      <c r="BA1378" s="817"/>
      <c r="BC1378" s="817"/>
      <c r="BD1378" s="817"/>
      <c r="BE1378" s="817"/>
      <c r="BF1378" s="817"/>
      <c r="BG1378" s="817"/>
      <c r="BH1378" s="817"/>
      <c r="BI1378" s="817"/>
      <c r="BJ1378" s="817"/>
      <c r="BK1378" s="817"/>
      <c r="BM1378" s="817"/>
      <c r="BN1378" s="817"/>
      <c r="BO1378" s="817"/>
      <c r="BQ1378" s="817"/>
      <c r="BR1378" s="817"/>
      <c r="BS1378" s="817"/>
      <c r="BT1378" s="817"/>
      <c r="BU1378" s="817"/>
    </row>
    <row r="1379" spans="1:73" ht="29" x14ac:dyDescent="0.35">
      <c r="A1379" s="806" t="s">
        <v>728</v>
      </c>
      <c r="B1379" s="806" t="s">
        <v>972</v>
      </c>
      <c r="C1379" s="817"/>
      <c r="D1379" s="817"/>
      <c r="E1379" s="817"/>
      <c r="F1379" s="817"/>
      <c r="I1379" s="817"/>
      <c r="J1379" s="817"/>
      <c r="K1379" s="817"/>
      <c r="M1379" s="817"/>
      <c r="N1379" s="817"/>
      <c r="O1379" s="817"/>
      <c r="P1379" s="817"/>
      <c r="Q1379" s="817"/>
      <c r="R1379" s="817"/>
      <c r="S1379" s="817"/>
      <c r="T1379" s="817"/>
      <c r="U1379" s="817"/>
      <c r="V1379" s="817"/>
      <c r="W1379" s="817"/>
      <c r="X1379" s="817"/>
      <c r="Y1379" s="817"/>
      <c r="Z1379" s="817"/>
      <c r="AB1379" s="817"/>
      <c r="AC1379" s="817"/>
      <c r="AD1379" s="817"/>
      <c r="AE1379" s="817"/>
      <c r="AF1379" s="817"/>
      <c r="AG1379" s="817"/>
      <c r="AH1379" s="817"/>
      <c r="AI1379" s="817"/>
      <c r="AJ1379" s="817"/>
      <c r="AL1379" s="817"/>
      <c r="AM1379" s="817"/>
      <c r="AN1379" s="817"/>
      <c r="AO1379" s="817"/>
      <c r="AP1379" s="817"/>
      <c r="AQ1379" s="817"/>
      <c r="AR1379" s="817"/>
      <c r="AS1379" s="817"/>
      <c r="AT1379" s="817"/>
      <c r="AU1379" s="817"/>
      <c r="AV1379" s="817"/>
      <c r="AW1379" s="817"/>
      <c r="AX1379" s="817"/>
      <c r="AY1379" s="817"/>
      <c r="AZ1379" s="817"/>
      <c r="BA1379" s="817"/>
      <c r="BC1379" s="817"/>
      <c r="BD1379" s="817"/>
      <c r="BE1379" s="817"/>
      <c r="BF1379" s="817"/>
      <c r="BG1379" s="817"/>
      <c r="BH1379" s="817"/>
      <c r="BI1379" s="817"/>
      <c r="BJ1379" s="817"/>
      <c r="BK1379" s="817"/>
      <c r="BM1379" s="817"/>
      <c r="BN1379" s="817"/>
      <c r="BO1379" s="817"/>
      <c r="BQ1379" s="817"/>
      <c r="BR1379" s="817"/>
      <c r="BS1379" s="817"/>
      <c r="BT1379" s="817"/>
      <c r="BU1379" s="817"/>
    </row>
    <row r="1380" spans="1:73" ht="29" x14ac:dyDescent="0.35">
      <c r="A1380" s="806" t="s">
        <v>728</v>
      </c>
      <c r="B1380" s="806" t="s">
        <v>976</v>
      </c>
      <c r="C1380" s="817"/>
      <c r="D1380" s="817"/>
      <c r="E1380" s="817"/>
      <c r="F1380" s="817"/>
      <c r="I1380" s="817"/>
      <c r="J1380" s="817"/>
      <c r="K1380" s="817"/>
      <c r="M1380" s="817"/>
      <c r="N1380" s="817"/>
      <c r="O1380" s="817"/>
      <c r="P1380" s="817"/>
      <c r="Q1380" s="817"/>
      <c r="R1380" s="817"/>
      <c r="S1380" s="817"/>
      <c r="T1380" s="817"/>
      <c r="U1380" s="817"/>
      <c r="V1380" s="817"/>
      <c r="W1380" s="817"/>
      <c r="X1380" s="817"/>
      <c r="Y1380" s="817"/>
      <c r="Z1380" s="817"/>
      <c r="AB1380" s="817"/>
      <c r="AC1380" s="817"/>
      <c r="AD1380" s="817"/>
      <c r="AE1380" s="817"/>
      <c r="AF1380" s="817"/>
      <c r="AG1380" s="817"/>
      <c r="AH1380" s="817"/>
      <c r="AI1380" s="817"/>
      <c r="AJ1380" s="817"/>
      <c r="AL1380" s="817"/>
      <c r="AM1380" s="817"/>
      <c r="AN1380" s="817"/>
      <c r="AO1380" s="817"/>
      <c r="AP1380" s="817"/>
      <c r="AQ1380" s="817"/>
      <c r="AR1380" s="817"/>
      <c r="AS1380" s="817"/>
      <c r="AT1380" s="817"/>
      <c r="AU1380" s="817"/>
      <c r="AV1380" s="817"/>
      <c r="AW1380" s="817"/>
      <c r="AX1380" s="817"/>
      <c r="AY1380" s="817"/>
      <c r="AZ1380" s="817"/>
      <c r="BA1380" s="817"/>
      <c r="BC1380" s="817"/>
      <c r="BD1380" s="817"/>
      <c r="BE1380" s="817"/>
      <c r="BF1380" s="817"/>
      <c r="BG1380" s="817"/>
      <c r="BH1380" s="817"/>
      <c r="BI1380" s="817"/>
      <c r="BJ1380" s="817"/>
      <c r="BK1380" s="817"/>
      <c r="BM1380" s="817"/>
      <c r="BN1380" s="817"/>
      <c r="BO1380" s="817"/>
      <c r="BQ1380" s="817"/>
      <c r="BR1380" s="817"/>
      <c r="BS1380" s="817"/>
      <c r="BT1380" s="817"/>
      <c r="BU1380" s="817"/>
    </row>
    <row r="1381" spans="1:73" ht="29" x14ac:dyDescent="0.35">
      <c r="A1381" s="806" t="s">
        <v>728</v>
      </c>
      <c r="B1381" s="806" t="s">
        <v>975</v>
      </c>
      <c r="C1381" s="817"/>
      <c r="D1381" s="817"/>
      <c r="E1381" s="817"/>
      <c r="F1381" s="817"/>
      <c r="I1381" s="817"/>
      <c r="J1381" s="817"/>
      <c r="K1381" s="817"/>
      <c r="M1381" s="817"/>
      <c r="N1381" s="817"/>
      <c r="O1381" s="817"/>
      <c r="P1381" s="817"/>
      <c r="Q1381" s="817"/>
      <c r="R1381" s="817"/>
      <c r="S1381" s="817"/>
      <c r="T1381" s="817"/>
      <c r="U1381" s="817"/>
      <c r="V1381" s="817"/>
      <c r="W1381" s="817"/>
      <c r="X1381" s="817"/>
      <c r="Y1381" s="817"/>
      <c r="Z1381" s="817"/>
      <c r="AB1381" s="817"/>
      <c r="AC1381" s="817"/>
      <c r="AD1381" s="817"/>
      <c r="AE1381" s="817"/>
      <c r="AF1381" s="817"/>
      <c r="AG1381" s="817"/>
      <c r="AH1381" s="817"/>
      <c r="AI1381" s="817"/>
      <c r="AJ1381" s="817"/>
      <c r="AL1381" s="817"/>
      <c r="AM1381" s="817"/>
      <c r="AN1381" s="817"/>
      <c r="AO1381" s="817"/>
      <c r="AP1381" s="817"/>
      <c r="AQ1381" s="817"/>
      <c r="AR1381" s="817"/>
      <c r="AS1381" s="817"/>
      <c r="AT1381" s="817"/>
      <c r="AU1381" s="817"/>
      <c r="AV1381" s="817"/>
      <c r="AW1381" s="817"/>
      <c r="AX1381" s="817"/>
      <c r="AY1381" s="817"/>
      <c r="AZ1381" s="817"/>
      <c r="BA1381" s="817"/>
      <c r="BC1381" s="817"/>
      <c r="BD1381" s="817"/>
      <c r="BE1381" s="817"/>
      <c r="BF1381" s="817"/>
      <c r="BG1381" s="817"/>
      <c r="BH1381" s="817"/>
      <c r="BI1381" s="817"/>
      <c r="BJ1381" s="817"/>
      <c r="BK1381" s="817"/>
      <c r="BM1381" s="817"/>
      <c r="BN1381" s="817"/>
      <c r="BO1381" s="817"/>
      <c r="BQ1381" s="817"/>
      <c r="BR1381" s="817"/>
      <c r="BS1381" s="817"/>
      <c r="BT1381" s="817"/>
      <c r="BU1381" s="817"/>
    </row>
    <row r="1382" spans="1:73" ht="29" x14ac:dyDescent="0.35">
      <c r="A1382" s="806" t="s">
        <v>728</v>
      </c>
      <c r="B1382" s="806" t="s">
        <v>736</v>
      </c>
      <c r="C1382" s="817"/>
      <c r="D1382" s="817"/>
      <c r="E1382" s="817"/>
      <c r="F1382" s="817"/>
      <c r="G1382" s="818"/>
      <c r="H1382" s="818"/>
      <c r="I1382" s="817"/>
      <c r="J1382" s="817"/>
      <c r="K1382" s="817"/>
      <c r="L1382" s="816"/>
      <c r="M1382" s="817"/>
      <c r="N1382" s="817"/>
      <c r="O1382" s="817"/>
      <c r="P1382" s="817"/>
      <c r="Q1382" s="817"/>
      <c r="R1382" s="817"/>
      <c r="S1382" s="817"/>
      <c r="T1382" s="817"/>
      <c r="U1382" s="817"/>
      <c r="V1382" s="817"/>
      <c r="W1382" s="817"/>
      <c r="X1382" s="817"/>
      <c r="Y1382" s="817"/>
      <c r="Z1382" s="817"/>
      <c r="AA1382" s="818"/>
      <c r="AB1382" s="817"/>
      <c r="AC1382" s="817"/>
      <c r="AD1382" s="817"/>
      <c r="AE1382" s="817"/>
      <c r="AF1382" s="817"/>
      <c r="AG1382" s="817"/>
      <c r="AH1382" s="817"/>
      <c r="AI1382" s="817"/>
      <c r="AJ1382" s="817"/>
      <c r="AK1382" s="818"/>
      <c r="AL1382" s="817"/>
      <c r="AM1382" s="817"/>
      <c r="AN1382" s="817"/>
      <c r="AO1382" s="817"/>
      <c r="AP1382" s="817"/>
      <c r="AQ1382" s="817"/>
      <c r="AR1382" s="817"/>
      <c r="AS1382" s="817"/>
      <c r="AT1382" s="817"/>
      <c r="AU1382" s="817"/>
      <c r="AV1382" s="817"/>
      <c r="AW1382" s="817"/>
      <c r="AX1382" s="817"/>
      <c r="AY1382" s="817"/>
      <c r="AZ1382" s="817"/>
      <c r="BA1382" s="817"/>
      <c r="BB1382" s="816"/>
      <c r="BC1382" s="817"/>
      <c r="BD1382" s="817"/>
      <c r="BE1382" s="817"/>
      <c r="BF1382" s="817"/>
      <c r="BG1382" s="817"/>
      <c r="BH1382" s="817"/>
      <c r="BI1382" s="817"/>
      <c r="BJ1382" s="817"/>
      <c r="BK1382" s="817"/>
      <c r="BM1382" s="817"/>
      <c r="BN1382" s="817"/>
      <c r="BO1382" s="817"/>
      <c r="BP1382" s="816"/>
      <c r="BQ1382" s="817"/>
      <c r="BR1382" s="817"/>
      <c r="BS1382" s="817"/>
      <c r="BT1382" s="817"/>
      <c r="BU1382" s="817"/>
    </row>
    <row r="1383" spans="1:73" ht="29" x14ac:dyDescent="0.35">
      <c r="A1383" s="806" t="s">
        <v>728</v>
      </c>
      <c r="B1383" s="806" t="s">
        <v>737</v>
      </c>
      <c r="C1383" s="818"/>
      <c r="D1383" s="818"/>
      <c r="E1383" s="818"/>
      <c r="F1383" s="818"/>
      <c r="G1383" s="816"/>
      <c r="H1383" s="816"/>
      <c r="I1383" s="818"/>
      <c r="J1383" s="818"/>
      <c r="K1383" s="818"/>
      <c r="L1383" s="816"/>
      <c r="M1383" s="818"/>
      <c r="N1383" s="818"/>
      <c r="O1383" s="818"/>
      <c r="P1383" s="818"/>
      <c r="Q1383" s="818"/>
      <c r="R1383" s="818"/>
      <c r="S1383" s="818"/>
      <c r="T1383" s="818"/>
      <c r="U1383" s="818"/>
      <c r="V1383" s="818"/>
      <c r="W1383" s="818"/>
      <c r="X1383" s="818"/>
      <c r="Y1383" s="818"/>
      <c r="Z1383" s="818"/>
      <c r="AA1383" s="816"/>
      <c r="AB1383" s="818"/>
      <c r="AC1383" s="818"/>
      <c r="AD1383" s="818"/>
      <c r="AE1383" s="818"/>
      <c r="AF1383" s="818"/>
      <c r="AG1383" s="818"/>
      <c r="AH1383" s="818"/>
      <c r="AI1383" s="818"/>
      <c r="AJ1383" s="818"/>
      <c r="AK1383" s="816"/>
      <c r="AL1383" s="818"/>
      <c r="AM1383" s="818"/>
      <c r="AN1383" s="818"/>
      <c r="AO1383" s="818"/>
      <c r="AP1383" s="818"/>
      <c r="AQ1383" s="818"/>
      <c r="AR1383" s="818"/>
      <c r="AS1383" s="818"/>
      <c r="AT1383" s="818"/>
      <c r="AU1383" s="818"/>
      <c r="AV1383" s="818"/>
      <c r="AW1383" s="818"/>
      <c r="AX1383" s="818"/>
      <c r="AY1383" s="818"/>
      <c r="AZ1383" s="818"/>
      <c r="BA1383" s="818"/>
      <c r="BB1383" s="816"/>
      <c r="BC1383" s="818"/>
      <c r="BD1383" s="818"/>
      <c r="BE1383" s="818"/>
      <c r="BF1383" s="818"/>
      <c r="BG1383" s="818"/>
      <c r="BH1383" s="818"/>
      <c r="BI1383" s="818"/>
      <c r="BJ1383" s="818"/>
      <c r="BK1383" s="818"/>
      <c r="BM1383" s="818"/>
      <c r="BN1383" s="818"/>
      <c r="BO1383" s="818"/>
      <c r="BP1383" s="816"/>
      <c r="BQ1383" s="818"/>
      <c r="BR1383" s="818"/>
      <c r="BS1383" s="818"/>
      <c r="BT1383" s="818"/>
      <c r="BU1383" s="818"/>
    </row>
    <row r="1384" spans="1:73" ht="29" x14ac:dyDescent="0.35">
      <c r="A1384" s="806" t="s">
        <v>728</v>
      </c>
      <c r="B1384" s="806" t="s">
        <v>978</v>
      </c>
      <c r="C1384" s="817"/>
      <c r="D1384" s="817"/>
      <c r="E1384" s="817"/>
      <c r="F1384" s="817"/>
      <c r="I1384" s="817"/>
      <c r="J1384" s="817"/>
      <c r="K1384" s="817"/>
      <c r="M1384" s="817"/>
      <c r="N1384" s="817"/>
      <c r="O1384" s="817"/>
      <c r="P1384" s="817"/>
      <c r="Q1384" s="817"/>
      <c r="R1384" s="817"/>
      <c r="S1384" s="817"/>
      <c r="T1384" s="817"/>
      <c r="U1384" s="817"/>
      <c r="V1384" s="817"/>
      <c r="W1384" s="817"/>
      <c r="X1384" s="817"/>
      <c r="Y1384" s="817"/>
      <c r="Z1384" s="817"/>
      <c r="AB1384" s="817"/>
      <c r="AC1384" s="817"/>
      <c r="AD1384" s="817"/>
      <c r="AE1384" s="817"/>
      <c r="AF1384" s="817"/>
      <c r="AG1384" s="817"/>
      <c r="AH1384" s="817"/>
      <c r="AI1384" s="817"/>
      <c r="AJ1384" s="817"/>
      <c r="AL1384" s="817"/>
      <c r="AM1384" s="817"/>
      <c r="AN1384" s="817"/>
      <c r="AO1384" s="817"/>
      <c r="AP1384" s="817"/>
      <c r="AQ1384" s="817"/>
      <c r="AR1384" s="817"/>
      <c r="AS1384" s="817"/>
      <c r="AT1384" s="817"/>
      <c r="AU1384" s="817"/>
      <c r="AV1384" s="817"/>
      <c r="AW1384" s="817"/>
      <c r="AX1384" s="817"/>
      <c r="AY1384" s="817"/>
      <c r="AZ1384" s="817"/>
      <c r="BA1384" s="817"/>
      <c r="BC1384" s="817"/>
      <c r="BD1384" s="817"/>
      <c r="BE1384" s="817"/>
      <c r="BF1384" s="817"/>
      <c r="BG1384" s="817"/>
      <c r="BH1384" s="817"/>
      <c r="BI1384" s="817"/>
      <c r="BJ1384" s="817"/>
      <c r="BK1384" s="817"/>
      <c r="BM1384" s="817"/>
      <c r="BN1384" s="817"/>
      <c r="BO1384" s="817"/>
      <c r="BQ1384" s="817"/>
      <c r="BR1384" s="817"/>
      <c r="BS1384" s="817"/>
      <c r="BT1384" s="817"/>
      <c r="BU1384" s="817"/>
    </row>
    <row r="1385" spans="1:73" ht="29" x14ac:dyDescent="0.35">
      <c r="A1385" s="806" t="s">
        <v>728</v>
      </c>
      <c r="B1385" s="806" t="s">
        <v>991</v>
      </c>
      <c r="C1385" s="817"/>
      <c r="D1385" s="817"/>
      <c r="E1385" s="817"/>
      <c r="F1385" s="817"/>
      <c r="I1385" s="817"/>
      <c r="J1385" s="817"/>
      <c r="K1385" s="817"/>
      <c r="M1385" s="817"/>
      <c r="N1385" s="817"/>
      <c r="O1385" s="817"/>
      <c r="P1385" s="817"/>
      <c r="Q1385" s="817"/>
      <c r="R1385" s="817"/>
      <c r="S1385" s="817"/>
      <c r="T1385" s="817"/>
      <c r="U1385" s="817"/>
      <c r="V1385" s="817"/>
      <c r="W1385" s="817"/>
      <c r="X1385" s="817"/>
      <c r="Y1385" s="817"/>
      <c r="Z1385" s="817"/>
      <c r="AB1385" s="817"/>
      <c r="AC1385" s="817"/>
      <c r="AD1385" s="817"/>
      <c r="AE1385" s="817"/>
      <c r="AF1385" s="817"/>
      <c r="AG1385" s="817"/>
      <c r="AH1385" s="817"/>
      <c r="AI1385" s="817"/>
      <c r="AJ1385" s="817"/>
      <c r="AL1385" s="817"/>
      <c r="AM1385" s="817"/>
      <c r="AN1385" s="817"/>
      <c r="AO1385" s="817"/>
      <c r="AP1385" s="817"/>
      <c r="AQ1385" s="817"/>
      <c r="AR1385" s="817"/>
      <c r="AS1385" s="817"/>
      <c r="AT1385" s="817"/>
      <c r="AU1385" s="817"/>
      <c r="AV1385" s="817"/>
      <c r="AW1385" s="817"/>
      <c r="AX1385" s="817"/>
      <c r="AY1385" s="817"/>
      <c r="AZ1385" s="817"/>
      <c r="BA1385" s="817"/>
      <c r="BC1385" s="817"/>
      <c r="BD1385" s="817"/>
      <c r="BE1385" s="817"/>
      <c r="BF1385" s="817"/>
      <c r="BG1385" s="817"/>
      <c r="BH1385" s="817"/>
      <c r="BI1385" s="817"/>
      <c r="BJ1385" s="817"/>
      <c r="BK1385" s="817"/>
      <c r="BM1385" s="817"/>
      <c r="BN1385" s="817"/>
      <c r="BO1385" s="817"/>
      <c r="BQ1385" s="817"/>
      <c r="BR1385" s="817"/>
      <c r="BS1385" s="817"/>
      <c r="BT1385" s="817"/>
      <c r="BU1385" s="817"/>
    </row>
    <row r="1386" spans="1:73" ht="29" x14ac:dyDescent="0.35">
      <c r="A1386" s="806" t="s">
        <v>728</v>
      </c>
      <c r="B1386" s="806" t="s">
        <v>987</v>
      </c>
      <c r="C1386" s="817"/>
      <c r="D1386" s="817"/>
      <c r="E1386" s="817"/>
      <c r="F1386" s="817"/>
      <c r="I1386" s="817"/>
      <c r="J1386" s="817"/>
      <c r="K1386" s="817"/>
      <c r="M1386" s="817"/>
      <c r="N1386" s="817"/>
      <c r="O1386" s="817"/>
      <c r="P1386" s="817"/>
      <c r="Q1386" s="817"/>
      <c r="R1386" s="817"/>
      <c r="S1386" s="817"/>
      <c r="T1386" s="817"/>
      <c r="U1386" s="817"/>
      <c r="V1386" s="817"/>
      <c r="W1386" s="817"/>
      <c r="X1386" s="817"/>
      <c r="Y1386" s="817"/>
      <c r="Z1386" s="817"/>
      <c r="AB1386" s="817"/>
      <c r="AC1386" s="817"/>
      <c r="AD1386" s="817"/>
      <c r="AE1386" s="817"/>
      <c r="AF1386" s="817"/>
      <c r="AG1386" s="817"/>
      <c r="AH1386" s="817"/>
      <c r="AI1386" s="817"/>
      <c r="AJ1386" s="817"/>
      <c r="AL1386" s="817"/>
      <c r="AM1386" s="817"/>
      <c r="AN1386" s="817"/>
      <c r="AO1386" s="817"/>
      <c r="AP1386" s="817"/>
      <c r="AQ1386" s="817"/>
      <c r="AR1386" s="817"/>
      <c r="AS1386" s="817"/>
      <c r="AT1386" s="817"/>
      <c r="AU1386" s="817"/>
      <c r="AV1386" s="817"/>
      <c r="AW1386" s="817"/>
      <c r="AX1386" s="817"/>
      <c r="AY1386" s="817"/>
      <c r="AZ1386" s="817"/>
      <c r="BA1386" s="817"/>
      <c r="BC1386" s="817"/>
      <c r="BD1386" s="817"/>
      <c r="BE1386" s="817"/>
      <c r="BF1386" s="817"/>
      <c r="BG1386" s="817"/>
      <c r="BH1386" s="817"/>
      <c r="BI1386" s="817"/>
      <c r="BJ1386" s="817"/>
      <c r="BK1386" s="817"/>
      <c r="BM1386" s="817"/>
      <c r="BN1386" s="817"/>
      <c r="BO1386" s="817"/>
      <c r="BQ1386" s="817"/>
      <c r="BR1386" s="817"/>
      <c r="BS1386" s="817"/>
      <c r="BT1386" s="817"/>
      <c r="BU1386" s="817"/>
    </row>
    <row r="1387" spans="1:73" ht="29" x14ac:dyDescent="0.35">
      <c r="A1387" s="806" t="s">
        <v>728</v>
      </c>
      <c r="B1387" s="806" t="s">
        <v>988</v>
      </c>
      <c r="C1387" s="817"/>
      <c r="D1387" s="817"/>
      <c r="E1387" s="817"/>
      <c r="F1387" s="817"/>
      <c r="I1387" s="817"/>
      <c r="J1387" s="817"/>
      <c r="K1387" s="817"/>
      <c r="M1387" s="817"/>
      <c r="N1387" s="817"/>
      <c r="O1387" s="817"/>
      <c r="P1387" s="817"/>
      <c r="Q1387" s="817"/>
      <c r="R1387" s="817"/>
      <c r="S1387" s="817"/>
      <c r="T1387" s="817"/>
      <c r="U1387" s="817"/>
      <c r="V1387" s="817"/>
      <c r="W1387" s="817"/>
      <c r="X1387" s="817"/>
      <c r="Y1387" s="817"/>
      <c r="Z1387" s="817"/>
      <c r="AB1387" s="817"/>
      <c r="AC1387" s="817"/>
      <c r="AD1387" s="817"/>
      <c r="AE1387" s="817"/>
      <c r="AF1387" s="817"/>
      <c r="AG1387" s="817"/>
      <c r="AH1387" s="817"/>
      <c r="AI1387" s="817"/>
      <c r="AJ1387" s="817"/>
      <c r="AL1387" s="817"/>
      <c r="AM1387" s="817"/>
      <c r="AN1387" s="817"/>
      <c r="AO1387" s="817"/>
      <c r="AP1387" s="817"/>
      <c r="AQ1387" s="817"/>
      <c r="AR1387" s="817"/>
      <c r="AS1387" s="817"/>
      <c r="AT1387" s="817"/>
      <c r="AU1387" s="817"/>
      <c r="AV1387" s="817"/>
      <c r="AW1387" s="817"/>
      <c r="AX1387" s="817"/>
      <c r="AY1387" s="817"/>
      <c r="AZ1387" s="817"/>
      <c r="BA1387" s="817"/>
      <c r="BC1387" s="817"/>
      <c r="BD1387" s="817"/>
      <c r="BE1387" s="817"/>
      <c r="BF1387" s="817"/>
      <c r="BG1387" s="817"/>
      <c r="BH1387" s="817"/>
      <c r="BI1387" s="817"/>
      <c r="BJ1387" s="817"/>
      <c r="BK1387" s="817"/>
      <c r="BM1387" s="817"/>
      <c r="BN1387" s="817"/>
      <c r="BO1387" s="817"/>
      <c r="BQ1387" s="817"/>
      <c r="BR1387" s="817"/>
      <c r="BS1387" s="817"/>
      <c r="BT1387" s="817"/>
      <c r="BU1387" s="817"/>
    </row>
    <row r="1388" spans="1:73" ht="29" x14ac:dyDescent="0.35">
      <c r="A1388" s="806" t="s">
        <v>728</v>
      </c>
      <c r="B1388" s="806" t="s">
        <v>986</v>
      </c>
      <c r="C1388" s="817"/>
      <c r="D1388" s="817"/>
      <c r="E1388" s="817"/>
      <c r="F1388" s="817"/>
      <c r="I1388" s="817"/>
      <c r="J1388" s="817"/>
      <c r="K1388" s="817"/>
      <c r="M1388" s="817"/>
      <c r="N1388" s="817"/>
      <c r="O1388" s="817"/>
      <c r="P1388" s="817"/>
      <c r="Q1388" s="817"/>
      <c r="R1388" s="817"/>
      <c r="S1388" s="817"/>
      <c r="T1388" s="817"/>
      <c r="U1388" s="817"/>
      <c r="V1388" s="817"/>
      <c r="W1388" s="817"/>
      <c r="X1388" s="817"/>
      <c r="Y1388" s="817"/>
      <c r="Z1388" s="817"/>
      <c r="AB1388" s="817"/>
      <c r="AC1388" s="817"/>
      <c r="AD1388" s="817"/>
      <c r="AE1388" s="817"/>
      <c r="AF1388" s="817"/>
      <c r="AG1388" s="817"/>
      <c r="AH1388" s="817"/>
      <c r="AI1388" s="817"/>
      <c r="AJ1388" s="817"/>
      <c r="AL1388" s="817"/>
      <c r="AM1388" s="817"/>
      <c r="AN1388" s="817"/>
      <c r="AO1388" s="817"/>
      <c r="AP1388" s="817"/>
      <c r="AQ1388" s="817"/>
      <c r="AR1388" s="817"/>
      <c r="AS1388" s="817"/>
      <c r="AT1388" s="817"/>
      <c r="AU1388" s="817"/>
      <c r="AV1388" s="817"/>
      <c r="AW1388" s="817"/>
      <c r="AX1388" s="817"/>
      <c r="AY1388" s="817"/>
      <c r="AZ1388" s="817"/>
      <c r="BA1388" s="817"/>
      <c r="BC1388" s="817"/>
      <c r="BD1388" s="817"/>
      <c r="BE1388" s="817"/>
      <c r="BF1388" s="817"/>
      <c r="BG1388" s="817"/>
      <c r="BH1388" s="817"/>
      <c r="BI1388" s="817"/>
      <c r="BJ1388" s="817"/>
      <c r="BK1388" s="817"/>
      <c r="BM1388" s="817"/>
      <c r="BN1388" s="817"/>
      <c r="BO1388" s="817"/>
      <c r="BQ1388" s="817"/>
      <c r="BR1388" s="817"/>
      <c r="BS1388" s="817"/>
      <c r="BT1388" s="817"/>
      <c r="BU1388" s="817"/>
    </row>
    <row r="1389" spans="1:73" ht="29" x14ac:dyDescent="0.35">
      <c r="A1389" s="806" t="s">
        <v>728</v>
      </c>
      <c r="B1389" s="806" t="s">
        <v>990</v>
      </c>
      <c r="C1389" s="817"/>
      <c r="D1389" s="817"/>
      <c r="E1389" s="817"/>
      <c r="F1389" s="817"/>
      <c r="I1389" s="817"/>
      <c r="J1389" s="817"/>
      <c r="K1389" s="817"/>
      <c r="M1389" s="817"/>
      <c r="N1389" s="817"/>
      <c r="O1389" s="817"/>
      <c r="P1389" s="817"/>
      <c r="Q1389" s="817"/>
      <c r="R1389" s="817"/>
      <c r="S1389" s="817"/>
      <c r="T1389" s="817"/>
      <c r="U1389" s="817"/>
      <c r="V1389" s="817"/>
      <c r="W1389" s="817"/>
      <c r="X1389" s="817"/>
      <c r="Y1389" s="817"/>
      <c r="Z1389" s="817"/>
      <c r="AB1389" s="817"/>
      <c r="AC1389" s="817"/>
      <c r="AD1389" s="817"/>
      <c r="AE1389" s="817"/>
      <c r="AF1389" s="817"/>
      <c r="AG1389" s="817"/>
      <c r="AH1389" s="817"/>
      <c r="AI1389" s="817"/>
      <c r="AJ1389" s="817"/>
      <c r="AL1389" s="817"/>
      <c r="AM1389" s="817"/>
      <c r="AN1389" s="817"/>
      <c r="AO1389" s="817"/>
      <c r="AP1389" s="817"/>
      <c r="AQ1389" s="817"/>
      <c r="AR1389" s="817"/>
      <c r="AS1389" s="817"/>
      <c r="AT1389" s="817"/>
      <c r="AU1389" s="817"/>
      <c r="AV1389" s="817"/>
      <c r="AW1389" s="817"/>
      <c r="AX1389" s="817"/>
      <c r="AY1389" s="817"/>
      <c r="AZ1389" s="817"/>
      <c r="BA1389" s="817"/>
      <c r="BC1389" s="817"/>
      <c r="BD1389" s="817"/>
      <c r="BE1389" s="817"/>
      <c r="BF1389" s="817"/>
      <c r="BG1389" s="817"/>
      <c r="BH1389" s="817"/>
      <c r="BI1389" s="817"/>
      <c r="BJ1389" s="817"/>
      <c r="BK1389" s="817"/>
      <c r="BM1389" s="817"/>
      <c r="BN1389" s="817"/>
      <c r="BO1389" s="817"/>
      <c r="BQ1389" s="817"/>
      <c r="BR1389" s="817"/>
      <c r="BS1389" s="817"/>
      <c r="BT1389" s="817"/>
      <c r="BU1389" s="817"/>
    </row>
    <row r="1390" spans="1:73" ht="29" x14ac:dyDescent="0.35">
      <c r="A1390" s="806" t="s">
        <v>728</v>
      </c>
      <c r="B1390" s="806" t="s">
        <v>989</v>
      </c>
      <c r="C1390" s="817"/>
      <c r="D1390" s="817"/>
      <c r="E1390" s="817"/>
      <c r="F1390" s="817"/>
      <c r="I1390" s="817"/>
      <c r="J1390" s="817"/>
      <c r="K1390" s="817"/>
      <c r="M1390" s="817"/>
      <c r="N1390" s="817"/>
      <c r="O1390" s="817"/>
      <c r="P1390" s="817"/>
      <c r="Q1390" s="817"/>
      <c r="R1390" s="817"/>
      <c r="S1390" s="817"/>
      <c r="T1390" s="817"/>
      <c r="U1390" s="817"/>
      <c r="V1390" s="817"/>
      <c r="W1390" s="817"/>
      <c r="X1390" s="817"/>
      <c r="Y1390" s="817"/>
      <c r="Z1390" s="817"/>
      <c r="AB1390" s="817"/>
      <c r="AC1390" s="817"/>
      <c r="AD1390" s="817"/>
      <c r="AE1390" s="817"/>
      <c r="AF1390" s="817"/>
      <c r="AG1390" s="817"/>
      <c r="AH1390" s="817"/>
      <c r="AI1390" s="817"/>
      <c r="AJ1390" s="817"/>
      <c r="AL1390" s="817"/>
      <c r="AM1390" s="817"/>
      <c r="AN1390" s="817"/>
      <c r="AO1390" s="817"/>
      <c r="AP1390" s="817"/>
      <c r="AQ1390" s="817"/>
      <c r="AR1390" s="817"/>
      <c r="AS1390" s="817"/>
      <c r="AT1390" s="817"/>
      <c r="AU1390" s="817"/>
      <c r="AV1390" s="817"/>
      <c r="AW1390" s="817"/>
      <c r="AX1390" s="817"/>
      <c r="AY1390" s="817"/>
      <c r="AZ1390" s="817"/>
      <c r="BA1390" s="817"/>
      <c r="BC1390" s="817"/>
      <c r="BD1390" s="817"/>
      <c r="BE1390" s="817"/>
      <c r="BF1390" s="817"/>
      <c r="BG1390" s="817"/>
      <c r="BH1390" s="817"/>
      <c r="BI1390" s="817"/>
      <c r="BJ1390" s="817"/>
      <c r="BK1390" s="817"/>
      <c r="BM1390" s="817"/>
      <c r="BN1390" s="817"/>
      <c r="BO1390" s="817"/>
      <c r="BQ1390" s="817"/>
      <c r="BR1390" s="817"/>
      <c r="BS1390" s="817"/>
      <c r="BT1390" s="817"/>
      <c r="BU1390" s="817"/>
    </row>
    <row r="1391" spans="1:73" x14ac:dyDescent="0.35">
      <c r="A1391" s="806" t="s">
        <v>728</v>
      </c>
      <c r="B1391" s="806" t="s">
        <v>741</v>
      </c>
      <c r="C1391" s="817"/>
      <c r="D1391" s="817"/>
      <c r="E1391" s="817"/>
      <c r="F1391" s="817"/>
      <c r="G1391" s="816"/>
      <c r="H1391" s="816"/>
      <c r="I1391" s="817"/>
      <c r="J1391" s="817"/>
      <c r="K1391" s="817"/>
      <c r="L1391" s="816"/>
      <c r="M1391" s="817"/>
      <c r="N1391" s="817"/>
      <c r="O1391" s="817"/>
      <c r="P1391" s="817"/>
      <c r="Q1391" s="817"/>
      <c r="R1391" s="817"/>
      <c r="S1391" s="817"/>
      <c r="T1391" s="817"/>
      <c r="U1391" s="817"/>
      <c r="V1391" s="817"/>
      <c r="W1391" s="817"/>
      <c r="X1391" s="817"/>
      <c r="Y1391" s="817"/>
      <c r="Z1391" s="817"/>
      <c r="AA1391" s="816"/>
      <c r="AB1391" s="817"/>
      <c r="AC1391" s="817"/>
      <c r="AD1391" s="817"/>
      <c r="AE1391" s="817"/>
      <c r="AF1391" s="817"/>
      <c r="AG1391" s="817"/>
      <c r="AH1391" s="817"/>
      <c r="AI1391" s="817"/>
      <c r="AJ1391" s="817"/>
      <c r="AK1391" s="816"/>
      <c r="AL1391" s="817"/>
      <c r="AM1391" s="817"/>
      <c r="AN1391" s="817"/>
      <c r="AO1391" s="817"/>
      <c r="AP1391" s="817"/>
      <c r="AQ1391" s="817"/>
      <c r="AR1391" s="817"/>
      <c r="AS1391" s="817"/>
      <c r="AT1391" s="817"/>
      <c r="AU1391" s="817"/>
      <c r="AV1391" s="817"/>
      <c r="AW1391" s="817"/>
      <c r="AX1391" s="817"/>
      <c r="AY1391" s="817"/>
      <c r="AZ1391" s="817"/>
      <c r="BA1391" s="817"/>
      <c r="BB1391" s="816"/>
      <c r="BC1391" s="817"/>
      <c r="BD1391" s="817"/>
      <c r="BE1391" s="817"/>
      <c r="BF1391" s="817"/>
      <c r="BG1391" s="817"/>
      <c r="BH1391" s="817"/>
      <c r="BI1391" s="817"/>
      <c r="BJ1391" s="817"/>
      <c r="BK1391" s="817"/>
      <c r="BM1391" s="817"/>
      <c r="BN1391" s="817"/>
      <c r="BO1391" s="817"/>
      <c r="BP1391" s="816"/>
      <c r="BQ1391" s="817"/>
      <c r="BR1391" s="817"/>
      <c r="BS1391" s="817"/>
      <c r="BT1391" s="817"/>
      <c r="BU1391" s="817"/>
    </row>
    <row r="1392" spans="1:73" ht="29" x14ac:dyDescent="0.35">
      <c r="A1392" s="806" t="s">
        <v>728</v>
      </c>
      <c r="B1392" s="806" t="s">
        <v>742</v>
      </c>
      <c r="C1392" s="818"/>
      <c r="D1392" s="818"/>
      <c r="E1392" s="818"/>
      <c r="F1392" s="818"/>
      <c r="G1392" s="816"/>
      <c r="H1392" s="816"/>
      <c r="I1392" s="818"/>
      <c r="J1392" s="818"/>
      <c r="K1392" s="818"/>
      <c r="L1392" s="816"/>
      <c r="M1392" s="818"/>
      <c r="N1392" s="818"/>
      <c r="O1392" s="818"/>
      <c r="P1392" s="818"/>
      <c r="Q1392" s="818"/>
      <c r="R1392" s="818"/>
      <c r="S1392" s="818"/>
      <c r="T1392" s="818"/>
      <c r="U1392" s="818"/>
      <c r="V1392" s="818"/>
      <c r="W1392" s="818"/>
      <c r="X1392" s="818"/>
      <c r="Y1392" s="818"/>
      <c r="Z1392" s="818"/>
      <c r="AA1392" s="816"/>
      <c r="AB1392" s="818"/>
      <c r="AC1392" s="818"/>
      <c r="AD1392" s="818"/>
      <c r="AE1392" s="818"/>
      <c r="AF1392" s="818"/>
      <c r="AG1392" s="818"/>
      <c r="AH1392" s="818"/>
      <c r="AI1392" s="818"/>
      <c r="AJ1392" s="818"/>
      <c r="AK1392" s="816"/>
      <c r="AL1392" s="818"/>
      <c r="AM1392" s="818"/>
      <c r="AN1392" s="818"/>
      <c r="AO1392" s="818"/>
      <c r="AP1392" s="818"/>
      <c r="AQ1392" s="818"/>
      <c r="AR1392" s="818"/>
      <c r="AS1392" s="818"/>
      <c r="AT1392" s="818"/>
      <c r="AU1392" s="818"/>
      <c r="AV1392" s="818"/>
      <c r="AW1392" s="818"/>
      <c r="AX1392" s="818"/>
      <c r="AY1392" s="818"/>
      <c r="AZ1392" s="818"/>
      <c r="BA1392" s="818"/>
      <c r="BB1392" s="816"/>
      <c r="BC1392" s="818"/>
      <c r="BD1392" s="818"/>
      <c r="BE1392" s="818"/>
      <c r="BF1392" s="818"/>
      <c r="BG1392" s="818"/>
      <c r="BH1392" s="818"/>
      <c r="BI1392" s="818"/>
      <c r="BJ1392" s="818"/>
      <c r="BK1392" s="818"/>
      <c r="BM1392" s="818"/>
      <c r="BN1392" s="818"/>
      <c r="BO1392" s="818"/>
      <c r="BP1392" s="816"/>
      <c r="BQ1392" s="818"/>
      <c r="BR1392" s="818"/>
      <c r="BS1392" s="818"/>
      <c r="BT1392" s="818"/>
      <c r="BU1392" s="818"/>
    </row>
    <row r="1393" spans="1:73" ht="29" x14ac:dyDescent="0.35">
      <c r="A1393" s="806" t="s">
        <v>728</v>
      </c>
      <c r="B1393" s="806" t="s">
        <v>992</v>
      </c>
      <c r="C1393" s="817"/>
      <c r="D1393" s="817"/>
      <c r="E1393" s="817"/>
      <c r="F1393" s="817"/>
      <c r="I1393" s="817"/>
      <c r="J1393" s="817"/>
      <c r="K1393" s="817"/>
      <c r="M1393" s="817"/>
      <c r="N1393" s="817"/>
      <c r="O1393" s="817"/>
      <c r="P1393" s="817"/>
      <c r="Q1393" s="817"/>
      <c r="R1393" s="817"/>
      <c r="S1393" s="817"/>
      <c r="T1393" s="817"/>
      <c r="U1393" s="817"/>
      <c r="V1393" s="817"/>
      <c r="W1393" s="817"/>
      <c r="X1393" s="817"/>
      <c r="Y1393" s="817"/>
      <c r="Z1393" s="817"/>
      <c r="AB1393" s="817"/>
      <c r="AC1393" s="817"/>
      <c r="AD1393" s="817"/>
      <c r="AE1393" s="817"/>
      <c r="AF1393" s="817"/>
      <c r="AG1393" s="817"/>
      <c r="AH1393" s="817"/>
      <c r="AI1393" s="817"/>
      <c r="AJ1393" s="817"/>
      <c r="AL1393" s="817"/>
      <c r="AM1393" s="817"/>
      <c r="AN1393" s="817"/>
      <c r="AO1393" s="817"/>
      <c r="AP1393" s="817"/>
      <c r="AQ1393" s="817"/>
      <c r="AR1393" s="817"/>
      <c r="AS1393" s="817"/>
      <c r="AT1393" s="817"/>
      <c r="AU1393" s="817"/>
      <c r="AV1393" s="817"/>
      <c r="AW1393" s="817"/>
      <c r="AX1393" s="817"/>
      <c r="AY1393" s="817"/>
      <c r="AZ1393" s="817"/>
      <c r="BA1393" s="817"/>
      <c r="BC1393" s="817"/>
      <c r="BD1393" s="817"/>
      <c r="BE1393" s="817"/>
      <c r="BF1393" s="817"/>
      <c r="BG1393" s="817"/>
      <c r="BH1393" s="817"/>
      <c r="BI1393" s="817"/>
      <c r="BJ1393" s="817"/>
      <c r="BK1393" s="817"/>
      <c r="BM1393" s="817"/>
      <c r="BN1393" s="817"/>
      <c r="BO1393" s="817"/>
      <c r="BQ1393" s="817"/>
      <c r="BR1393" s="817"/>
      <c r="BS1393" s="817"/>
      <c r="BT1393" s="817"/>
      <c r="BU1393" s="817"/>
    </row>
    <row r="1394" spans="1:73" ht="29" x14ac:dyDescent="0.35">
      <c r="A1394" s="806" t="s">
        <v>856</v>
      </c>
      <c r="B1394" s="806" t="s">
        <v>857</v>
      </c>
      <c r="C1394" s="806"/>
      <c r="D1394" s="806"/>
      <c r="E1394" s="806"/>
      <c r="F1394" s="806"/>
      <c r="G1394" s="817"/>
      <c r="I1394" s="817"/>
      <c r="J1394" s="817"/>
      <c r="K1394" s="817"/>
      <c r="M1394" s="817"/>
      <c r="N1394" s="817"/>
      <c r="O1394" s="817"/>
      <c r="P1394" s="817"/>
      <c r="Q1394" s="817"/>
      <c r="R1394" s="817"/>
      <c r="S1394" s="817"/>
      <c r="T1394" s="817"/>
      <c r="U1394" s="817"/>
      <c r="V1394" s="817"/>
      <c r="W1394" s="817"/>
      <c r="X1394" s="817"/>
      <c r="Y1394" s="817"/>
      <c r="Z1394" s="817"/>
      <c r="AA1394" s="817"/>
      <c r="AC1394" s="817"/>
      <c r="AD1394" s="817"/>
      <c r="AE1394" s="817"/>
      <c r="AF1394" s="817"/>
      <c r="AG1394" s="817"/>
      <c r="AH1394" s="817"/>
      <c r="AI1394" s="817"/>
      <c r="AJ1394" s="817"/>
      <c r="AL1394" s="817"/>
      <c r="AM1394" s="817"/>
      <c r="AN1394" s="817"/>
      <c r="AO1394" s="817"/>
      <c r="AP1394" s="817"/>
      <c r="AQ1394" s="817"/>
      <c r="AR1394" s="817"/>
      <c r="AS1394" s="817"/>
      <c r="AT1394" s="817"/>
      <c r="AU1394" s="817"/>
      <c r="AV1394" s="817"/>
      <c r="AW1394" s="817"/>
      <c r="AX1394" s="817"/>
      <c r="AY1394" s="817"/>
      <c r="AZ1394" s="817"/>
      <c r="BA1394" s="817"/>
      <c r="BC1394" s="817"/>
      <c r="BD1394" s="817"/>
      <c r="BE1394" s="817"/>
      <c r="BF1394" s="817"/>
      <c r="BG1394" s="817"/>
      <c r="BH1394" s="817"/>
      <c r="BI1394" s="817"/>
      <c r="BJ1394" s="817"/>
      <c r="BK1394" s="817"/>
      <c r="BL1394" s="817"/>
      <c r="BM1394" s="817"/>
      <c r="BN1394" s="817"/>
      <c r="BO1394" s="817"/>
      <c r="BQ1394" s="817"/>
      <c r="BR1394" s="817"/>
      <c r="BS1394" s="817"/>
      <c r="BT1394" s="817"/>
      <c r="BU1394" s="817"/>
    </row>
    <row r="1395" spans="1:73" ht="29" x14ac:dyDescent="0.35">
      <c r="A1395" s="806" t="s">
        <v>856</v>
      </c>
      <c r="B1395" s="806" t="s">
        <v>1362</v>
      </c>
      <c r="C1395" s="806"/>
      <c r="D1395" s="806"/>
      <c r="E1395" s="806"/>
      <c r="F1395" s="806"/>
      <c r="I1395" s="817"/>
      <c r="J1395" s="817"/>
      <c r="K1395" s="817"/>
      <c r="M1395" s="817"/>
      <c r="N1395" s="817"/>
      <c r="O1395" s="817"/>
      <c r="P1395" s="817"/>
      <c r="Q1395" s="817"/>
      <c r="R1395" s="817"/>
      <c r="S1395" s="817"/>
      <c r="T1395" s="817"/>
      <c r="U1395" s="817"/>
      <c r="V1395" s="817"/>
      <c r="W1395" s="817"/>
      <c r="X1395" s="817"/>
      <c r="Y1395" s="817"/>
      <c r="Z1395" s="817"/>
      <c r="AC1395" s="817"/>
      <c r="AD1395" s="817"/>
      <c r="AE1395" s="817"/>
      <c r="AF1395" s="817"/>
      <c r="AG1395" s="817"/>
      <c r="AI1395" s="817"/>
      <c r="AJ1395" s="817"/>
      <c r="AL1395" s="817"/>
      <c r="AM1395" s="817"/>
      <c r="AN1395" s="817"/>
      <c r="AO1395" s="817"/>
      <c r="AP1395" s="817"/>
      <c r="AQ1395" s="817"/>
      <c r="AR1395" s="817"/>
      <c r="AS1395" s="817"/>
      <c r="AT1395" s="817"/>
      <c r="AU1395" s="817"/>
      <c r="AV1395" s="817"/>
      <c r="AW1395" s="817"/>
      <c r="AX1395" s="817"/>
      <c r="AY1395" s="817"/>
      <c r="AZ1395" s="817"/>
      <c r="BA1395" s="817"/>
      <c r="BC1395" s="817"/>
      <c r="BD1395" s="817"/>
      <c r="BE1395" s="817"/>
      <c r="BF1395" s="817"/>
      <c r="BG1395" s="817"/>
      <c r="BH1395" s="817"/>
      <c r="BI1395" s="817"/>
      <c r="BJ1395" s="817"/>
      <c r="BL1395" s="817"/>
      <c r="BM1395" s="817"/>
      <c r="BN1395" s="817"/>
      <c r="BO1395" s="817"/>
      <c r="BQ1395" s="817"/>
      <c r="BR1395" s="817"/>
      <c r="BS1395" s="817"/>
      <c r="BT1395" s="817"/>
      <c r="BU1395" s="817"/>
    </row>
    <row r="1396" spans="1:73" ht="29" x14ac:dyDescent="0.35">
      <c r="A1396" s="806" t="s">
        <v>856</v>
      </c>
      <c r="B1396" s="806" t="s">
        <v>1358</v>
      </c>
      <c r="C1396" s="806"/>
      <c r="D1396" s="806"/>
      <c r="E1396" s="806"/>
      <c r="F1396" s="806"/>
      <c r="I1396" s="817"/>
      <c r="J1396" s="817"/>
      <c r="K1396" s="817"/>
      <c r="M1396" s="817"/>
      <c r="N1396" s="817"/>
      <c r="O1396" s="817"/>
      <c r="P1396" s="817"/>
      <c r="Q1396" s="817"/>
      <c r="R1396" s="817"/>
      <c r="S1396" s="817"/>
      <c r="T1396" s="817"/>
      <c r="U1396" s="817"/>
      <c r="V1396" s="817"/>
      <c r="W1396" s="817"/>
      <c r="X1396" s="817"/>
      <c r="Y1396" s="817"/>
      <c r="Z1396" s="817"/>
      <c r="AC1396" s="817"/>
      <c r="AD1396" s="817"/>
      <c r="AE1396" s="817"/>
      <c r="AF1396" s="817"/>
      <c r="AG1396" s="817"/>
      <c r="AI1396" s="817"/>
      <c r="AJ1396" s="817"/>
      <c r="AL1396" s="817"/>
      <c r="AM1396" s="817"/>
      <c r="AN1396" s="817"/>
      <c r="AO1396" s="817"/>
      <c r="AP1396" s="817"/>
      <c r="AQ1396" s="817"/>
      <c r="AR1396" s="817"/>
      <c r="AS1396" s="817"/>
      <c r="AT1396" s="817"/>
      <c r="AU1396" s="817"/>
      <c r="AV1396" s="817"/>
      <c r="AW1396" s="817"/>
      <c r="AX1396" s="817"/>
      <c r="AY1396" s="817"/>
      <c r="AZ1396" s="817"/>
      <c r="BA1396" s="817"/>
      <c r="BC1396" s="817"/>
      <c r="BD1396" s="817"/>
      <c r="BE1396" s="817"/>
      <c r="BF1396" s="817"/>
      <c r="BG1396" s="817"/>
      <c r="BH1396" s="817"/>
      <c r="BI1396" s="817"/>
      <c r="BJ1396" s="817"/>
      <c r="BL1396" s="817"/>
      <c r="BM1396" s="817"/>
      <c r="BN1396" s="817"/>
      <c r="BO1396" s="817"/>
      <c r="BQ1396" s="817"/>
      <c r="BR1396" s="817"/>
      <c r="BS1396" s="817"/>
      <c r="BT1396" s="817"/>
      <c r="BU1396" s="817"/>
    </row>
    <row r="1397" spans="1:73" ht="29" x14ac:dyDescent="0.35">
      <c r="A1397" s="806" t="s">
        <v>856</v>
      </c>
      <c r="B1397" s="806" t="s">
        <v>1359</v>
      </c>
      <c r="C1397" s="806"/>
      <c r="D1397" s="806"/>
      <c r="E1397" s="806"/>
      <c r="F1397" s="806"/>
      <c r="I1397" s="817"/>
      <c r="J1397" s="817"/>
      <c r="K1397" s="817"/>
      <c r="M1397" s="817"/>
      <c r="N1397" s="817"/>
      <c r="O1397" s="817"/>
      <c r="P1397" s="817"/>
      <c r="Q1397" s="817"/>
      <c r="R1397" s="817"/>
      <c r="S1397" s="817"/>
      <c r="T1397" s="817"/>
      <c r="U1397" s="817"/>
      <c r="V1397" s="817"/>
      <c r="W1397" s="817"/>
      <c r="X1397" s="817"/>
      <c r="Y1397" s="817"/>
      <c r="Z1397" s="817"/>
      <c r="AC1397" s="817"/>
      <c r="AD1397" s="817"/>
      <c r="AE1397" s="817"/>
      <c r="AF1397" s="817"/>
      <c r="AG1397" s="817"/>
      <c r="AI1397" s="817"/>
      <c r="AJ1397" s="817"/>
      <c r="AL1397" s="817"/>
      <c r="AM1397" s="817"/>
      <c r="AN1397" s="817"/>
      <c r="AO1397" s="817"/>
      <c r="AP1397" s="817"/>
      <c r="AQ1397" s="817"/>
      <c r="AR1397" s="817"/>
      <c r="AS1397" s="817"/>
      <c r="AT1397" s="817"/>
      <c r="AU1397" s="817"/>
      <c r="AV1397" s="817"/>
      <c r="AW1397" s="817"/>
      <c r="AX1397" s="817"/>
      <c r="AY1397" s="817"/>
      <c r="AZ1397" s="817"/>
      <c r="BA1397" s="817"/>
      <c r="BC1397" s="817"/>
      <c r="BD1397" s="817"/>
      <c r="BE1397" s="817"/>
      <c r="BF1397" s="817"/>
      <c r="BG1397" s="817"/>
      <c r="BH1397" s="817"/>
      <c r="BI1397" s="817"/>
      <c r="BJ1397" s="817"/>
      <c r="BL1397" s="817"/>
      <c r="BM1397" s="817"/>
      <c r="BN1397" s="817"/>
      <c r="BO1397" s="817"/>
      <c r="BQ1397" s="817"/>
      <c r="BR1397" s="817"/>
      <c r="BS1397" s="817"/>
      <c r="BT1397" s="817"/>
      <c r="BU1397" s="817"/>
    </row>
    <row r="1398" spans="1:73" ht="29" x14ac:dyDescent="0.35">
      <c r="A1398" s="806" t="s">
        <v>856</v>
      </c>
      <c r="B1398" s="806" t="s">
        <v>1357</v>
      </c>
      <c r="C1398" s="806"/>
      <c r="D1398" s="806"/>
      <c r="E1398" s="806"/>
      <c r="F1398" s="806"/>
      <c r="I1398" s="817"/>
      <c r="J1398" s="821"/>
      <c r="K1398" s="817"/>
      <c r="M1398" s="817"/>
      <c r="N1398" s="817"/>
      <c r="O1398" s="817"/>
      <c r="P1398" s="817"/>
      <c r="Q1398" s="817"/>
      <c r="R1398" s="817"/>
      <c r="S1398" s="817"/>
      <c r="T1398" s="817"/>
      <c r="U1398" s="817"/>
      <c r="V1398" s="817"/>
      <c r="W1398" s="817"/>
      <c r="X1398" s="817"/>
      <c r="Y1398" s="817"/>
      <c r="Z1398" s="817"/>
      <c r="AC1398" s="817"/>
      <c r="AD1398" s="817"/>
      <c r="AE1398" s="817"/>
      <c r="AF1398" s="817"/>
      <c r="AG1398" s="817"/>
      <c r="AI1398" s="817"/>
      <c r="AJ1398" s="817"/>
      <c r="AL1398" s="817"/>
      <c r="AM1398" s="817"/>
      <c r="AN1398" s="821"/>
      <c r="AO1398" s="817"/>
      <c r="AP1398" s="817"/>
      <c r="AQ1398" s="817"/>
      <c r="AR1398" s="817"/>
      <c r="AS1398" s="817"/>
      <c r="AT1398" s="817"/>
      <c r="AU1398" s="817"/>
      <c r="AV1398" s="817"/>
      <c r="AW1398" s="821"/>
      <c r="AX1398" s="817"/>
      <c r="AY1398" s="817"/>
      <c r="AZ1398" s="817"/>
      <c r="BA1398" s="817"/>
      <c r="BC1398" s="817"/>
      <c r="BD1398" s="817"/>
      <c r="BE1398" s="817"/>
      <c r="BF1398" s="821"/>
      <c r="BG1398" s="817"/>
      <c r="BH1398" s="817"/>
      <c r="BI1398" s="817"/>
      <c r="BJ1398" s="817"/>
      <c r="BL1398" s="817"/>
      <c r="BM1398" s="817"/>
      <c r="BN1398" s="817"/>
      <c r="BO1398" s="817"/>
      <c r="BQ1398" s="817"/>
      <c r="BR1398" s="817"/>
      <c r="BS1398" s="817"/>
      <c r="BT1398" s="817"/>
      <c r="BU1398" s="817"/>
    </row>
    <row r="1399" spans="1:73" ht="29" x14ac:dyDescent="0.35">
      <c r="A1399" s="806" t="s">
        <v>856</v>
      </c>
      <c r="B1399" s="806" t="s">
        <v>1361</v>
      </c>
      <c r="C1399" s="806"/>
      <c r="D1399" s="806"/>
      <c r="E1399" s="806"/>
      <c r="F1399" s="806"/>
      <c r="I1399" s="817"/>
      <c r="J1399" s="817"/>
      <c r="K1399" s="817"/>
      <c r="M1399" s="817"/>
      <c r="N1399" s="817"/>
      <c r="O1399" s="817"/>
      <c r="P1399" s="817"/>
      <c r="Q1399" s="817"/>
      <c r="R1399" s="817"/>
      <c r="S1399" s="817"/>
      <c r="T1399" s="817"/>
      <c r="U1399" s="817"/>
      <c r="V1399" s="817"/>
      <c r="W1399" s="817"/>
      <c r="X1399" s="817"/>
      <c r="Y1399" s="817"/>
      <c r="Z1399" s="817"/>
      <c r="AC1399" s="817"/>
      <c r="AD1399" s="817"/>
      <c r="AE1399" s="817"/>
      <c r="AF1399" s="817"/>
      <c r="AG1399" s="817"/>
      <c r="AI1399" s="817"/>
      <c r="AJ1399" s="817"/>
      <c r="AL1399" s="817"/>
      <c r="AM1399" s="817"/>
      <c r="AN1399" s="817"/>
      <c r="AO1399" s="817"/>
      <c r="AP1399" s="817"/>
      <c r="AQ1399" s="817"/>
      <c r="AR1399" s="817"/>
      <c r="AS1399" s="817"/>
      <c r="AT1399" s="817"/>
      <c r="AU1399" s="817"/>
      <c r="AV1399" s="817"/>
      <c r="AW1399" s="817"/>
      <c r="AX1399" s="817"/>
      <c r="AY1399" s="817"/>
      <c r="AZ1399" s="817"/>
      <c r="BA1399" s="817"/>
      <c r="BC1399" s="817"/>
      <c r="BD1399" s="817"/>
      <c r="BE1399" s="817"/>
      <c r="BF1399" s="817"/>
      <c r="BG1399" s="817"/>
      <c r="BH1399" s="817"/>
      <c r="BI1399" s="817"/>
      <c r="BJ1399" s="817"/>
      <c r="BL1399" s="817"/>
      <c r="BM1399" s="817"/>
      <c r="BN1399" s="817"/>
      <c r="BO1399" s="817"/>
      <c r="BQ1399" s="817"/>
      <c r="BR1399" s="817"/>
      <c r="BS1399" s="817"/>
      <c r="BT1399" s="817"/>
      <c r="BU1399" s="817"/>
    </row>
    <row r="1400" spans="1:73" ht="29" x14ac:dyDescent="0.35">
      <c r="A1400" s="806" t="s">
        <v>856</v>
      </c>
      <c r="B1400" s="806" t="s">
        <v>1360</v>
      </c>
      <c r="C1400" s="806"/>
      <c r="D1400" s="806"/>
      <c r="E1400" s="806"/>
      <c r="F1400" s="806"/>
      <c r="I1400" s="817"/>
      <c r="J1400" s="821"/>
      <c r="K1400" s="817"/>
      <c r="M1400" s="817"/>
      <c r="N1400" s="817"/>
      <c r="O1400" s="817"/>
      <c r="P1400" s="817"/>
      <c r="Q1400" s="817"/>
      <c r="R1400" s="817"/>
      <c r="S1400" s="817"/>
      <c r="T1400" s="817"/>
      <c r="U1400" s="817"/>
      <c r="V1400" s="817"/>
      <c r="W1400" s="817"/>
      <c r="X1400" s="817"/>
      <c r="Y1400" s="817"/>
      <c r="Z1400" s="817"/>
      <c r="AC1400" s="817"/>
      <c r="AD1400" s="817"/>
      <c r="AE1400" s="817"/>
      <c r="AF1400" s="817"/>
      <c r="AG1400" s="817"/>
      <c r="AI1400" s="817"/>
      <c r="AJ1400" s="817"/>
      <c r="AL1400" s="817"/>
      <c r="AM1400" s="817"/>
      <c r="AN1400" s="821"/>
      <c r="AO1400" s="817"/>
      <c r="AP1400" s="817"/>
      <c r="AQ1400" s="817"/>
      <c r="AR1400" s="817"/>
      <c r="AS1400" s="817"/>
      <c r="AT1400" s="817"/>
      <c r="AU1400" s="817"/>
      <c r="AV1400" s="817"/>
      <c r="AW1400" s="821"/>
      <c r="AX1400" s="817"/>
      <c r="AY1400" s="817"/>
      <c r="AZ1400" s="817"/>
      <c r="BA1400" s="817"/>
      <c r="BC1400" s="817"/>
      <c r="BD1400" s="817"/>
      <c r="BE1400" s="817"/>
      <c r="BF1400" s="821"/>
      <c r="BG1400" s="817"/>
      <c r="BH1400" s="817"/>
      <c r="BI1400" s="817"/>
      <c r="BJ1400" s="817"/>
      <c r="BL1400" s="817"/>
      <c r="BM1400" s="817"/>
      <c r="BN1400" s="817"/>
      <c r="BO1400" s="817"/>
      <c r="BQ1400" s="817"/>
      <c r="BR1400" s="817"/>
      <c r="BS1400" s="817"/>
      <c r="BT1400" s="817"/>
      <c r="BU1400" s="817"/>
    </row>
    <row r="1401" spans="1:73" ht="29" x14ac:dyDescent="0.35">
      <c r="A1401" s="806" t="s">
        <v>856</v>
      </c>
      <c r="B1401" s="806" t="s">
        <v>862</v>
      </c>
      <c r="C1401" s="806"/>
      <c r="D1401" s="806"/>
      <c r="E1401" s="806"/>
      <c r="F1401" s="806"/>
      <c r="G1401" s="817"/>
      <c r="I1401" s="817"/>
      <c r="J1401" s="817"/>
      <c r="K1401" s="817"/>
      <c r="M1401" s="817"/>
      <c r="N1401" s="817"/>
      <c r="O1401" s="817"/>
      <c r="P1401" s="817"/>
      <c r="Q1401" s="817"/>
      <c r="R1401" s="817"/>
      <c r="S1401" s="817"/>
      <c r="T1401" s="817"/>
      <c r="U1401" s="817"/>
      <c r="V1401" s="817"/>
      <c r="W1401" s="817"/>
      <c r="X1401" s="817"/>
      <c r="Y1401" s="817"/>
      <c r="Z1401" s="817"/>
      <c r="AA1401" s="817"/>
      <c r="AC1401" s="817"/>
      <c r="AD1401" s="817"/>
      <c r="AE1401" s="817"/>
      <c r="AF1401" s="817"/>
      <c r="AG1401" s="817"/>
      <c r="AH1401" s="817"/>
      <c r="AI1401" s="817"/>
      <c r="AJ1401" s="817"/>
      <c r="AL1401" s="817"/>
      <c r="AM1401" s="817"/>
      <c r="AN1401" s="817"/>
      <c r="AO1401" s="817"/>
      <c r="AP1401" s="817"/>
      <c r="AQ1401" s="817"/>
      <c r="AR1401" s="817"/>
      <c r="AS1401" s="817"/>
      <c r="AT1401" s="817"/>
      <c r="AU1401" s="817"/>
      <c r="AV1401" s="817"/>
      <c r="AW1401" s="817"/>
      <c r="AX1401" s="817"/>
      <c r="AY1401" s="817"/>
      <c r="AZ1401" s="817"/>
      <c r="BA1401" s="817"/>
      <c r="BC1401" s="817"/>
      <c r="BD1401" s="817"/>
      <c r="BE1401" s="817"/>
      <c r="BF1401" s="817"/>
      <c r="BG1401" s="817"/>
      <c r="BH1401" s="817"/>
      <c r="BI1401" s="817"/>
      <c r="BJ1401" s="817"/>
      <c r="BK1401" s="818"/>
      <c r="BL1401" s="817"/>
      <c r="BM1401" s="817"/>
      <c r="BN1401" s="817"/>
      <c r="BO1401" s="817"/>
      <c r="BQ1401" s="817"/>
      <c r="BR1401" s="817"/>
      <c r="BS1401" s="817"/>
      <c r="BT1401" s="817"/>
      <c r="BU1401" s="817"/>
    </row>
    <row r="1402" spans="1:73" ht="29" x14ac:dyDescent="0.35">
      <c r="A1402" s="806" t="s">
        <v>856</v>
      </c>
      <c r="B1402" s="806" t="s">
        <v>863</v>
      </c>
      <c r="C1402" s="806"/>
      <c r="D1402" s="806"/>
      <c r="E1402" s="806"/>
      <c r="F1402" s="806"/>
      <c r="G1402" s="817"/>
      <c r="I1402" s="818"/>
      <c r="J1402" s="818"/>
      <c r="K1402" s="818"/>
      <c r="M1402" s="818"/>
      <c r="N1402" s="818"/>
      <c r="O1402" s="818"/>
      <c r="P1402" s="818"/>
      <c r="Q1402" s="818"/>
      <c r="R1402" s="818"/>
      <c r="S1402" s="818"/>
      <c r="T1402" s="818"/>
      <c r="U1402" s="818"/>
      <c r="V1402" s="818"/>
      <c r="W1402" s="818"/>
      <c r="X1402" s="818"/>
      <c r="Y1402" s="818"/>
      <c r="Z1402" s="818"/>
      <c r="AA1402" s="817"/>
      <c r="AC1402" s="818"/>
      <c r="AD1402" s="818"/>
      <c r="AE1402" s="818"/>
      <c r="AF1402" s="818"/>
      <c r="AG1402" s="818"/>
      <c r="AH1402" s="817"/>
      <c r="AI1402" s="818"/>
      <c r="AJ1402" s="818"/>
      <c r="AL1402" s="818"/>
      <c r="AM1402" s="818"/>
      <c r="AN1402" s="818"/>
      <c r="AO1402" s="818"/>
      <c r="AP1402" s="818"/>
      <c r="AQ1402" s="818"/>
      <c r="AR1402" s="818"/>
      <c r="AS1402" s="818"/>
      <c r="AT1402" s="818"/>
      <c r="AU1402" s="818"/>
      <c r="AV1402" s="818"/>
      <c r="AW1402" s="818"/>
      <c r="AX1402" s="818"/>
      <c r="AY1402" s="818"/>
      <c r="AZ1402" s="818"/>
      <c r="BA1402" s="818"/>
      <c r="BC1402" s="818"/>
      <c r="BD1402" s="818"/>
      <c r="BE1402" s="818"/>
      <c r="BF1402" s="818"/>
      <c r="BG1402" s="818"/>
      <c r="BH1402" s="818"/>
      <c r="BI1402" s="818"/>
      <c r="BJ1402" s="818"/>
      <c r="BK1402" s="816"/>
      <c r="BL1402" s="818"/>
      <c r="BM1402" s="818"/>
      <c r="BN1402" s="818"/>
      <c r="BO1402" s="818"/>
      <c r="BQ1402" s="818"/>
      <c r="BR1402" s="818"/>
      <c r="BS1402" s="818"/>
      <c r="BT1402" s="818"/>
      <c r="BU1402" s="818"/>
    </row>
    <row r="1403" spans="1:73" ht="29" x14ac:dyDescent="0.35">
      <c r="A1403" s="806" t="s">
        <v>856</v>
      </c>
      <c r="B1403" s="806" t="s">
        <v>1363</v>
      </c>
      <c r="C1403" s="806"/>
      <c r="D1403" s="806"/>
      <c r="E1403" s="806"/>
      <c r="F1403" s="806"/>
      <c r="I1403" s="817"/>
      <c r="J1403" s="817"/>
      <c r="K1403" s="817"/>
      <c r="M1403" s="817"/>
      <c r="N1403" s="817"/>
      <c r="O1403" s="817"/>
      <c r="P1403" s="817"/>
      <c r="Q1403" s="817"/>
      <c r="R1403" s="817"/>
      <c r="S1403" s="817"/>
      <c r="T1403" s="817"/>
      <c r="U1403" s="817"/>
      <c r="V1403" s="817"/>
      <c r="W1403" s="817"/>
      <c r="X1403" s="817"/>
      <c r="Y1403" s="817"/>
      <c r="Z1403" s="817"/>
      <c r="AC1403" s="817"/>
      <c r="AD1403" s="817"/>
      <c r="AE1403" s="817"/>
      <c r="AF1403" s="817"/>
      <c r="AG1403" s="817"/>
      <c r="AI1403" s="817"/>
      <c r="AJ1403" s="817"/>
      <c r="AL1403" s="817"/>
      <c r="AM1403" s="817"/>
      <c r="AN1403" s="817"/>
      <c r="AO1403" s="817"/>
      <c r="AP1403" s="817"/>
      <c r="AQ1403" s="817"/>
      <c r="AR1403" s="817"/>
      <c r="AS1403" s="817"/>
      <c r="AT1403" s="817"/>
      <c r="AU1403" s="817"/>
      <c r="AV1403" s="817"/>
      <c r="AW1403" s="817"/>
      <c r="AX1403" s="817"/>
      <c r="AY1403" s="817"/>
      <c r="AZ1403" s="817"/>
      <c r="BA1403" s="817"/>
      <c r="BC1403" s="817"/>
      <c r="BD1403" s="817"/>
      <c r="BE1403" s="817"/>
      <c r="BF1403" s="817"/>
      <c r="BG1403" s="817"/>
      <c r="BH1403" s="817"/>
      <c r="BI1403" s="817"/>
      <c r="BJ1403" s="817"/>
      <c r="BL1403" s="817"/>
      <c r="BM1403" s="817"/>
      <c r="BN1403" s="817"/>
      <c r="BO1403" s="817"/>
      <c r="BQ1403" s="817"/>
      <c r="BR1403" s="817"/>
      <c r="BS1403" s="817"/>
      <c r="BT1403" s="817"/>
      <c r="BU1403" s="817"/>
    </row>
    <row r="1404" spans="1:73" ht="29" x14ac:dyDescent="0.35">
      <c r="A1404" s="806" t="s">
        <v>856</v>
      </c>
      <c r="B1404" s="806" t="s">
        <v>1351</v>
      </c>
      <c r="C1404" s="806"/>
      <c r="D1404" s="806"/>
      <c r="E1404" s="806"/>
      <c r="F1404" s="806"/>
      <c r="I1404" s="816"/>
      <c r="J1404" s="816"/>
      <c r="K1404" s="816"/>
      <c r="M1404" s="816"/>
      <c r="N1404" s="816"/>
      <c r="O1404" s="816"/>
      <c r="P1404" s="816"/>
      <c r="Q1404" s="816"/>
      <c r="R1404" s="816"/>
      <c r="S1404" s="816"/>
      <c r="T1404" s="816"/>
      <c r="U1404" s="816"/>
      <c r="V1404" s="816"/>
      <c r="W1404" s="816"/>
      <c r="X1404" s="816"/>
      <c r="Y1404" s="816"/>
      <c r="Z1404" s="816"/>
      <c r="AC1404" s="816"/>
      <c r="AD1404" s="816"/>
      <c r="AE1404" s="816"/>
      <c r="AF1404" s="816"/>
      <c r="AG1404" s="816"/>
      <c r="AI1404" s="816"/>
      <c r="AJ1404" s="816"/>
      <c r="AL1404" s="816"/>
      <c r="AM1404" s="816"/>
      <c r="AN1404" s="816"/>
      <c r="AO1404" s="816"/>
      <c r="AP1404" s="816"/>
      <c r="AQ1404" s="816"/>
      <c r="AR1404" s="816"/>
      <c r="AS1404" s="816"/>
      <c r="AT1404" s="816"/>
      <c r="AU1404" s="816"/>
      <c r="AV1404" s="816"/>
      <c r="AW1404" s="816"/>
      <c r="AX1404" s="816"/>
      <c r="AY1404" s="816"/>
      <c r="AZ1404" s="816"/>
      <c r="BA1404" s="816"/>
      <c r="BC1404" s="816"/>
      <c r="BD1404" s="816"/>
      <c r="BE1404" s="816"/>
      <c r="BF1404" s="816"/>
      <c r="BG1404" s="816"/>
      <c r="BH1404" s="816"/>
      <c r="BI1404" s="816"/>
      <c r="BJ1404" s="816"/>
      <c r="BL1404" s="816"/>
      <c r="BM1404" s="816"/>
      <c r="BN1404" s="816"/>
      <c r="BO1404" s="816"/>
      <c r="BQ1404" s="816"/>
      <c r="BR1404" s="816"/>
      <c r="BS1404" s="816"/>
      <c r="BT1404" s="816"/>
      <c r="BU1404" s="816"/>
    </row>
    <row r="1405" spans="1:73" ht="29" x14ac:dyDescent="0.35">
      <c r="A1405" s="806" t="s">
        <v>856</v>
      </c>
      <c r="B1405" s="806" t="s">
        <v>1352</v>
      </c>
      <c r="C1405" s="806"/>
      <c r="D1405" s="806"/>
      <c r="E1405" s="806"/>
      <c r="F1405" s="806"/>
      <c r="I1405" s="816"/>
      <c r="J1405" s="816"/>
      <c r="K1405" s="816"/>
      <c r="M1405" s="816"/>
      <c r="N1405" s="816"/>
      <c r="O1405" s="816"/>
      <c r="P1405" s="816"/>
      <c r="Q1405" s="816"/>
      <c r="R1405" s="816"/>
      <c r="S1405" s="816"/>
      <c r="T1405" s="816"/>
      <c r="U1405" s="816"/>
      <c r="V1405" s="816"/>
      <c r="W1405" s="816"/>
      <c r="X1405" s="816"/>
      <c r="Y1405" s="816"/>
      <c r="Z1405" s="816"/>
      <c r="AC1405" s="816"/>
      <c r="AD1405" s="816"/>
      <c r="AE1405" s="816"/>
      <c r="AF1405" s="816"/>
      <c r="AG1405" s="816"/>
      <c r="AI1405" s="816"/>
      <c r="AJ1405" s="816"/>
      <c r="AL1405" s="816"/>
      <c r="AM1405" s="816"/>
      <c r="AN1405" s="816"/>
      <c r="AO1405" s="816"/>
      <c r="AP1405" s="816"/>
      <c r="AQ1405" s="816"/>
      <c r="AR1405" s="816"/>
      <c r="AS1405" s="816"/>
      <c r="AT1405" s="816"/>
      <c r="AU1405" s="816"/>
      <c r="AV1405" s="816"/>
      <c r="AW1405" s="816"/>
      <c r="AX1405" s="816"/>
      <c r="AY1405" s="816"/>
      <c r="AZ1405" s="816"/>
      <c r="BA1405" s="816"/>
      <c r="BC1405" s="816"/>
      <c r="BD1405" s="816"/>
      <c r="BE1405" s="816"/>
      <c r="BF1405" s="816"/>
      <c r="BG1405" s="816"/>
      <c r="BH1405" s="816"/>
      <c r="BI1405" s="816"/>
      <c r="BJ1405" s="816"/>
      <c r="BL1405" s="816"/>
      <c r="BM1405" s="816"/>
      <c r="BN1405" s="816"/>
      <c r="BO1405" s="816"/>
      <c r="BQ1405" s="816"/>
      <c r="BR1405" s="816"/>
      <c r="BS1405" s="816"/>
      <c r="BT1405" s="816"/>
      <c r="BU1405" s="816"/>
    </row>
    <row r="1406" spans="1:73" x14ac:dyDescent="0.35">
      <c r="A1406" s="806" t="s">
        <v>856</v>
      </c>
      <c r="B1406" s="806" t="s">
        <v>1353</v>
      </c>
      <c r="C1406" s="806"/>
      <c r="D1406" s="806"/>
      <c r="E1406" s="806"/>
      <c r="F1406" s="806"/>
      <c r="I1406" s="816"/>
      <c r="J1406" s="816"/>
      <c r="K1406" s="816"/>
      <c r="M1406" s="816"/>
      <c r="N1406" s="816"/>
      <c r="O1406" s="816"/>
      <c r="P1406" s="816"/>
      <c r="Q1406" s="816"/>
      <c r="R1406" s="816"/>
      <c r="S1406" s="816"/>
      <c r="T1406" s="816"/>
      <c r="U1406" s="816"/>
      <c r="V1406" s="816"/>
      <c r="W1406" s="816"/>
      <c r="X1406" s="816"/>
      <c r="Y1406" s="816"/>
      <c r="Z1406" s="816"/>
      <c r="AC1406" s="816"/>
      <c r="AD1406" s="816"/>
      <c r="AE1406" s="816"/>
      <c r="AF1406" s="816"/>
      <c r="AG1406" s="816"/>
      <c r="AI1406" s="816"/>
      <c r="AJ1406" s="816"/>
      <c r="AL1406" s="816"/>
      <c r="AM1406" s="816"/>
      <c r="AN1406" s="816"/>
      <c r="AO1406" s="816"/>
      <c r="AP1406" s="816"/>
      <c r="AQ1406" s="816"/>
      <c r="AR1406" s="816"/>
      <c r="AS1406" s="816"/>
      <c r="AT1406" s="816"/>
      <c r="AU1406" s="816"/>
      <c r="AV1406" s="816"/>
      <c r="AW1406" s="816"/>
      <c r="AX1406" s="816"/>
      <c r="AY1406" s="816"/>
      <c r="AZ1406" s="816"/>
      <c r="BA1406" s="816"/>
      <c r="BC1406" s="816"/>
      <c r="BD1406" s="816"/>
      <c r="BE1406" s="816"/>
      <c r="BF1406" s="816"/>
      <c r="BG1406" s="816"/>
      <c r="BH1406" s="816"/>
      <c r="BI1406" s="816"/>
      <c r="BJ1406" s="816"/>
      <c r="BL1406" s="816"/>
      <c r="BM1406" s="816"/>
      <c r="BN1406" s="816"/>
      <c r="BO1406" s="816"/>
      <c r="BQ1406" s="816"/>
      <c r="BR1406" s="816"/>
      <c r="BS1406" s="816"/>
      <c r="BT1406" s="816"/>
      <c r="BU1406" s="816"/>
    </row>
    <row r="1407" spans="1:73" ht="29" x14ac:dyDescent="0.35">
      <c r="A1407" s="806" t="s">
        <v>856</v>
      </c>
      <c r="B1407" s="806" t="s">
        <v>1354</v>
      </c>
      <c r="C1407" s="806"/>
      <c r="D1407" s="806"/>
      <c r="E1407" s="806"/>
      <c r="F1407" s="806"/>
      <c r="I1407" s="816"/>
      <c r="J1407" s="816"/>
      <c r="K1407" s="816"/>
      <c r="M1407" s="816"/>
      <c r="N1407" s="816"/>
      <c r="O1407" s="816"/>
      <c r="P1407" s="816"/>
      <c r="Q1407" s="816"/>
      <c r="R1407" s="816"/>
      <c r="S1407" s="816"/>
      <c r="T1407" s="816"/>
      <c r="U1407" s="816"/>
      <c r="V1407" s="816"/>
      <c r="W1407" s="816"/>
      <c r="X1407" s="816"/>
      <c r="Y1407" s="816"/>
      <c r="Z1407" s="816"/>
      <c r="AC1407" s="816"/>
      <c r="AD1407" s="816"/>
      <c r="AE1407" s="816"/>
      <c r="AF1407" s="816"/>
      <c r="AG1407" s="816"/>
      <c r="AI1407" s="816"/>
      <c r="AJ1407" s="816"/>
      <c r="AL1407" s="816"/>
      <c r="AM1407" s="816"/>
      <c r="AN1407" s="816"/>
      <c r="AO1407" s="816"/>
      <c r="AP1407" s="816"/>
      <c r="AQ1407" s="816"/>
      <c r="AR1407" s="816"/>
      <c r="AS1407" s="816"/>
      <c r="AT1407" s="816"/>
      <c r="AU1407" s="816"/>
      <c r="AV1407" s="816"/>
      <c r="AW1407" s="816"/>
      <c r="AX1407" s="816"/>
      <c r="AY1407" s="816"/>
      <c r="AZ1407" s="816"/>
      <c r="BA1407" s="816"/>
      <c r="BC1407" s="816"/>
      <c r="BD1407" s="816"/>
      <c r="BE1407" s="816"/>
      <c r="BF1407" s="816"/>
      <c r="BG1407" s="816"/>
      <c r="BH1407" s="816"/>
      <c r="BI1407" s="816"/>
      <c r="BJ1407" s="816"/>
      <c r="BL1407" s="816"/>
      <c r="BM1407" s="816"/>
      <c r="BN1407" s="816"/>
      <c r="BO1407" s="816"/>
      <c r="BQ1407" s="816"/>
      <c r="BR1407" s="816"/>
      <c r="BS1407" s="816"/>
      <c r="BT1407" s="816"/>
      <c r="BU1407" s="816"/>
    </row>
    <row r="1408" spans="1:73" ht="29" x14ac:dyDescent="0.35">
      <c r="A1408" s="806" t="s">
        <v>856</v>
      </c>
      <c r="B1408" s="806" t="s">
        <v>1355</v>
      </c>
      <c r="C1408" s="806"/>
      <c r="D1408" s="806"/>
      <c r="E1408" s="806"/>
      <c r="F1408" s="806"/>
      <c r="I1408" s="816"/>
      <c r="J1408" s="816"/>
      <c r="K1408" s="816"/>
      <c r="M1408" s="816"/>
      <c r="N1408" s="816"/>
      <c r="O1408" s="816"/>
      <c r="P1408" s="816"/>
      <c r="Q1408" s="816"/>
      <c r="R1408" s="816"/>
      <c r="S1408" s="816"/>
      <c r="T1408" s="816"/>
      <c r="U1408" s="816"/>
      <c r="V1408" s="816"/>
      <c r="W1408" s="816"/>
      <c r="X1408" s="816"/>
      <c r="Y1408" s="816"/>
      <c r="Z1408" s="816"/>
      <c r="AC1408" s="816"/>
      <c r="AD1408" s="816"/>
      <c r="AE1408" s="816"/>
      <c r="AF1408" s="816"/>
      <c r="AG1408" s="816"/>
      <c r="AI1408" s="816"/>
      <c r="AJ1408" s="816"/>
      <c r="AL1408" s="816"/>
      <c r="AM1408" s="816"/>
      <c r="AN1408" s="816"/>
      <c r="AO1408" s="816"/>
      <c r="AP1408" s="816"/>
      <c r="AQ1408" s="816"/>
      <c r="AR1408" s="816"/>
      <c r="AS1408" s="816"/>
      <c r="AT1408" s="816"/>
      <c r="AU1408" s="816"/>
      <c r="AV1408" s="816"/>
      <c r="AW1408" s="816"/>
      <c r="AX1408" s="816"/>
      <c r="AY1408" s="816"/>
      <c r="AZ1408" s="816"/>
      <c r="BA1408" s="816"/>
      <c r="BC1408" s="816"/>
      <c r="BD1408" s="816"/>
      <c r="BE1408" s="816"/>
      <c r="BF1408" s="816"/>
      <c r="BG1408" s="816"/>
      <c r="BH1408" s="816"/>
      <c r="BI1408" s="816"/>
      <c r="BJ1408" s="816"/>
      <c r="BL1408" s="816"/>
      <c r="BM1408" s="816"/>
      <c r="BN1408" s="816"/>
      <c r="BO1408" s="816"/>
      <c r="BQ1408" s="816"/>
      <c r="BR1408" s="816"/>
      <c r="BS1408" s="816"/>
      <c r="BT1408" s="816"/>
      <c r="BU1408" s="816"/>
    </row>
    <row r="1409" spans="1:73" x14ac:dyDescent="0.35">
      <c r="A1409" s="806" t="s">
        <v>1472</v>
      </c>
      <c r="B1409" s="806" t="s">
        <v>1473</v>
      </c>
      <c r="C1409" s="806"/>
      <c r="D1409" s="806"/>
      <c r="E1409" s="806"/>
      <c r="F1409" s="806"/>
      <c r="I1409" s="816"/>
      <c r="J1409" s="816"/>
      <c r="K1409" s="816"/>
      <c r="M1409" s="816"/>
      <c r="N1409" s="816"/>
      <c r="O1409" s="816"/>
      <c r="P1409" s="816"/>
      <c r="Q1409" s="816"/>
      <c r="R1409" s="816"/>
      <c r="S1409" s="816"/>
      <c r="T1409" s="816"/>
      <c r="U1409" s="816"/>
      <c r="V1409" s="816"/>
      <c r="W1409" s="816"/>
      <c r="X1409" s="816"/>
      <c r="Y1409" s="816"/>
      <c r="Z1409" s="816"/>
      <c r="AA1409" s="817"/>
      <c r="AC1409" s="816"/>
      <c r="AD1409" s="816"/>
      <c r="AE1409" s="816"/>
      <c r="AF1409" s="816"/>
      <c r="AG1409" s="816"/>
      <c r="AI1409" s="816"/>
      <c r="AJ1409" s="816"/>
      <c r="AL1409" s="816"/>
      <c r="AM1409" s="816"/>
      <c r="AN1409" s="816"/>
      <c r="AO1409" s="816"/>
      <c r="AP1409" s="816"/>
      <c r="AQ1409" s="816"/>
      <c r="AR1409" s="816"/>
      <c r="AS1409" s="816"/>
      <c r="AT1409" s="816"/>
      <c r="AU1409" s="816"/>
      <c r="AV1409" s="816"/>
      <c r="AW1409" s="816"/>
      <c r="AX1409" s="816"/>
      <c r="AY1409" s="816"/>
      <c r="AZ1409" s="816"/>
      <c r="BA1409" s="816"/>
      <c r="BC1409" s="816"/>
      <c r="BD1409" s="816"/>
      <c r="BE1409" s="816"/>
      <c r="BF1409" s="816"/>
      <c r="BG1409" s="816"/>
      <c r="BH1409" s="816"/>
      <c r="BI1409" s="816"/>
      <c r="BJ1409" s="816"/>
      <c r="BM1409" s="816"/>
      <c r="BN1409" s="816"/>
      <c r="BO1409" s="816"/>
      <c r="BQ1409" s="816"/>
      <c r="BR1409" s="816"/>
      <c r="BS1409" s="816"/>
      <c r="BT1409" s="816"/>
      <c r="BU1409" s="816"/>
    </row>
    <row r="1410" spans="1:73" ht="29" x14ac:dyDescent="0.35">
      <c r="A1410" s="806" t="s">
        <v>864</v>
      </c>
      <c r="B1410" s="806" t="s">
        <v>865</v>
      </c>
      <c r="C1410" s="806"/>
      <c r="D1410" s="806"/>
      <c r="E1410" s="806"/>
      <c r="F1410" s="806"/>
      <c r="G1410" s="817"/>
      <c r="I1410" s="817"/>
      <c r="J1410" s="817"/>
      <c r="K1410" s="817"/>
      <c r="M1410" s="817"/>
      <c r="N1410" s="817"/>
      <c r="O1410" s="817"/>
      <c r="P1410" s="817"/>
      <c r="Q1410" s="817"/>
      <c r="R1410" s="817"/>
      <c r="S1410" s="817"/>
      <c r="T1410" s="817"/>
      <c r="U1410" s="817"/>
      <c r="V1410" s="817"/>
      <c r="W1410" s="817"/>
      <c r="X1410" s="817"/>
      <c r="Y1410" s="817"/>
      <c r="Z1410" s="817"/>
      <c r="AA1410" s="816"/>
      <c r="AC1410" s="817"/>
      <c r="AD1410" s="817"/>
      <c r="AE1410" s="817"/>
      <c r="AF1410" s="817"/>
      <c r="AG1410" s="817"/>
      <c r="AH1410" s="817"/>
      <c r="AI1410" s="817"/>
      <c r="AJ1410" s="817"/>
      <c r="AL1410" s="817"/>
      <c r="AM1410" s="817"/>
      <c r="AN1410" s="817"/>
      <c r="AO1410" s="817"/>
      <c r="AP1410" s="817"/>
      <c r="AQ1410" s="817"/>
      <c r="AR1410" s="817"/>
      <c r="AS1410" s="817"/>
      <c r="AT1410" s="817"/>
      <c r="AU1410" s="817"/>
      <c r="AV1410" s="817"/>
      <c r="AW1410" s="817"/>
      <c r="AX1410" s="817"/>
      <c r="AY1410" s="817"/>
      <c r="AZ1410" s="817"/>
      <c r="BA1410" s="817"/>
      <c r="BC1410" s="817"/>
      <c r="BD1410" s="817"/>
      <c r="BE1410" s="817"/>
      <c r="BF1410" s="817"/>
      <c r="BG1410" s="817"/>
      <c r="BH1410" s="817"/>
      <c r="BI1410" s="817"/>
      <c r="BJ1410" s="817"/>
      <c r="BK1410" s="816"/>
      <c r="BL1410" s="816"/>
      <c r="BM1410" s="817"/>
      <c r="BN1410" s="817"/>
      <c r="BO1410" s="817"/>
      <c r="BQ1410" s="817"/>
      <c r="BR1410" s="817"/>
      <c r="BS1410" s="817"/>
      <c r="BT1410" s="817"/>
      <c r="BU1410" s="817"/>
    </row>
    <row r="1411" spans="1:73" x14ac:dyDescent="0.35">
      <c r="A1411" s="806" t="s">
        <v>864</v>
      </c>
      <c r="B1411" s="806" t="s">
        <v>1302</v>
      </c>
      <c r="C1411" s="806"/>
      <c r="D1411" s="806"/>
      <c r="E1411" s="806"/>
      <c r="F1411" s="806"/>
      <c r="I1411" s="816"/>
      <c r="J1411" s="816"/>
      <c r="K1411" s="816"/>
      <c r="M1411" s="816"/>
      <c r="N1411" s="816"/>
      <c r="O1411" s="816"/>
      <c r="P1411" s="816"/>
      <c r="Q1411" s="816"/>
      <c r="R1411" s="816"/>
      <c r="S1411" s="816"/>
      <c r="T1411" s="816"/>
      <c r="U1411" s="816"/>
      <c r="V1411" s="816"/>
      <c r="W1411" s="816"/>
      <c r="X1411" s="816"/>
      <c r="Y1411" s="816"/>
      <c r="Z1411" s="816"/>
      <c r="AA1411" s="816"/>
      <c r="AC1411" s="816"/>
      <c r="AD1411" s="816"/>
      <c r="AE1411" s="816"/>
      <c r="AF1411" s="816"/>
      <c r="AG1411" s="816"/>
      <c r="AH1411" s="816"/>
      <c r="AI1411" s="816"/>
      <c r="AJ1411" s="816"/>
      <c r="AL1411" s="816"/>
      <c r="AM1411" s="816"/>
      <c r="AN1411" s="816"/>
      <c r="AO1411" s="816"/>
      <c r="AP1411" s="816"/>
      <c r="AQ1411" s="816"/>
      <c r="AR1411" s="816"/>
      <c r="AS1411" s="816"/>
      <c r="AT1411" s="816"/>
      <c r="AU1411" s="816"/>
      <c r="AV1411" s="816"/>
      <c r="AW1411" s="816"/>
      <c r="AX1411" s="816"/>
      <c r="AY1411" s="816"/>
      <c r="AZ1411" s="816"/>
      <c r="BA1411" s="816"/>
      <c r="BC1411" s="816"/>
      <c r="BD1411" s="816"/>
      <c r="BE1411" s="816"/>
      <c r="BF1411" s="816"/>
      <c r="BG1411" s="816"/>
      <c r="BH1411" s="816"/>
      <c r="BI1411" s="816"/>
      <c r="BJ1411" s="816"/>
      <c r="BM1411" s="816"/>
      <c r="BN1411" s="816"/>
      <c r="BO1411" s="816"/>
      <c r="BQ1411" s="816"/>
      <c r="BR1411" s="816"/>
      <c r="BS1411" s="816"/>
      <c r="BT1411" s="816"/>
      <c r="BU1411" s="816"/>
    </row>
    <row r="1412" spans="1:73" ht="29" x14ac:dyDescent="0.35">
      <c r="A1412" s="806" t="s">
        <v>872</v>
      </c>
      <c r="B1412" s="806" t="s">
        <v>873</v>
      </c>
      <c r="C1412" s="806"/>
      <c r="D1412" s="806"/>
      <c r="E1412" s="806"/>
      <c r="F1412" s="806"/>
      <c r="G1412" s="817"/>
      <c r="I1412" s="817"/>
      <c r="J1412" s="817"/>
      <c r="K1412" s="817"/>
      <c r="M1412" s="817"/>
      <c r="N1412" s="817"/>
      <c r="O1412" s="817"/>
      <c r="P1412" s="817"/>
      <c r="Q1412" s="817"/>
      <c r="R1412" s="817"/>
      <c r="S1412" s="817"/>
      <c r="T1412" s="817"/>
      <c r="U1412" s="817"/>
      <c r="V1412" s="817"/>
      <c r="W1412" s="817"/>
      <c r="X1412" s="817"/>
      <c r="Y1412" s="817"/>
      <c r="Z1412" s="817"/>
      <c r="AA1412" s="816"/>
      <c r="AC1412" s="817"/>
      <c r="AD1412" s="817"/>
      <c r="AE1412" s="817"/>
      <c r="AF1412" s="817"/>
      <c r="AG1412" s="817"/>
      <c r="AH1412" s="816"/>
      <c r="AI1412" s="817"/>
      <c r="AJ1412" s="817"/>
      <c r="AL1412" s="817"/>
      <c r="AM1412" s="817"/>
      <c r="AN1412" s="817"/>
      <c r="AO1412" s="817"/>
      <c r="AP1412" s="817"/>
      <c r="AQ1412" s="817"/>
      <c r="AR1412" s="817"/>
      <c r="AS1412" s="817"/>
      <c r="AT1412" s="817"/>
      <c r="AU1412" s="817"/>
      <c r="AV1412" s="817"/>
      <c r="AW1412" s="817"/>
      <c r="AX1412" s="817"/>
      <c r="AY1412" s="817"/>
      <c r="AZ1412" s="817"/>
      <c r="BA1412" s="817"/>
      <c r="BC1412" s="817"/>
      <c r="BD1412" s="817"/>
      <c r="BE1412" s="817"/>
      <c r="BF1412" s="817"/>
      <c r="BG1412" s="817"/>
      <c r="BH1412" s="817"/>
      <c r="BI1412" s="817"/>
      <c r="BJ1412" s="817"/>
      <c r="BK1412" s="817"/>
      <c r="BL1412" s="816"/>
      <c r="BM1412" s="817"/>
      <c r="BN1412" s="817"/>
      <c r="BO1412" s="817"/>
      <c r="BQ1412" s="817"/>
      <c r="BR1412" s="817"/>
      <c r="BS1412" s="817"/>
      <c r="BT1412" s="817"/>
      <c r="BU1412" s="817"/>
    </row>
    <row r="1413" spans="1:73" x14ac:dyDescent="0.35">
      <c r="A1413" s="806" t="s">
        <v>872</v>
      </c>
      <c r="B1413" s="806" t="s">
        <v>1347</v>
      </c>
      <c r="C1413" s="806"/>
      <c r="D1413" s="806"/>
      <c r="E1413" s="806"/>
      <c r="F1413" s="806"/>
      <c r="I1413" s="817"/>
      <c r="J1413" s="817"/>
      <c r="K1413" s="817"/>
      <c r="M1413" s="817"/>
      <c r="N1413" s="817"/>
      <c r="O1413" s="817"/>
      <c r="P1413" s="817"/>
      <c r="Q1413" s="817"/>
      <c r="R1413" s="817"/>
      <c r="S1413" s="817"/>
      <c r="T1413" s="817"/>
      <c r="U1413" s="817"/>
      <c r="V1413" s="817"/>
      <c r="W1413" s="817"/>
      <c r="X1413" s="817"/>
      <c r="Y1413" s="817"/>
      <c r="Z1413" s="817"/>
      <c r="AC1413" s="817"/>
      <c r="AD1413" s="817"/>
      <c r="AE1413" s="817"/>
      <c r="AF1413" s="817"/>
      <c r="AG1413" s="817"/>
      <c r="AI1413" s="817"/>
      <c r="AJ1413" s="817"/>
      <c r="AL1413" s="817"/>
      <c r="AM1413" s="817"/>
      <c r="AN1413" s="817"/>
      <c r="AO1413" s="817"/>
      <c r="AP1413" s="817"/>
      <c r="AQ1413" s="817"/>
      <c r="AR1413" s="817"/>
      <c r="AS1413" s="817"/>
      <c r="AT1413" s="817"/>
      <c r="AU1413" s="817"/>
      <c r="AV1413" s="817"/>
      <c r="AW1413" s="817"/>
      <c r="AX1413" s="817"/>
      <c r="AY1413" s="817"/>
      <c r="AZ1413" s="817"/>
      <c r="BA1413" s="817"/>
      <c r="BC1413" s="817"/>
      <c r="BD1413" s="817"/>
      <c r="BE1413" s="817"/>
      <c r="BF1413" s="817"/>
      <c r="BG1413" s="817"/>
      <c r="BH1413" s="817"/>
      <c r="BI1413" s="817"/>
      <c r="BJ1413" s="817"/>
      <c r="BL1413" s="817"/>
      <c r="BM1413" s="817"/>
      <c r="BN1413" s="817"/>
      <c r="BO1413" s="817"/>
      <c r="BQ1413" s="817"/>
      <c r="BR1413" s="817"/>
      <c r="BS1413" s="817"/>
      <c r="BT1413" s="817"/>
      <c r="BU1413" s="817"/>
    </row>
    <row r="1414" spans="1:73" ht="29" x14ac:dyDescent="0.35">
      <c r="A1414" s="806" t="s">
        <v>872</v>
      </c>
      <c r="B1414" s="806" t="s">
        <v>1343</v>
      </c>
      <c r="C1414" s="806"/>
      <c r="D1414" s="806"/>
      <c r="E1414" s="806"/>
      <c r="F1414" s="806"/>
      <c r="I1414" s="817"/>
      <c r="J1414" s="817"/>
      <c r="K1414" s="817"/>
      <c r="M1414" s="817"/>
      <c r="N1414" s="817"/>
      <c r="O1414" s="817"/>
      <c r="P1414" s="817"/>
      <c r="Q1414" s="817"/>
      <c r="R1414" s="817"/>
      <c r="S1414" s="817"/>
      <c r="T1414" s="817"/>
      <c r="U1414" s="817"/>
      <c r="V1414" s="817"/>
      <c r="W1414" s="817"/>
      <c r="X1414" s="817"/>
      <c r="Y1414" s="817"/>
      <c r="Z1414" s="817"/>
      <c r="AC1414" s="817"/>
      <c r="AD1414" s="817"/>
      <c r="AE1414" s="817"/>
      <c r="AF1414" s="817"/>
      <c r="AG1414" s="817"/>
      <c r="AI1414" s="817"/>
      <c r="AJ1414" s="817"/>
      <c r="AL1414" s="817"/>
      <c r="AM1414" s="817"/>
      <c r="AN1414" s="817"/>
      <c r="AO1414" s="817"/>
      <c r="AP1414" s="817"/>
      <c r="AQ1414" s="817"/>
      <c r="AR1414" s="817"/>
      <c r="AS1414" s="817"/>
      <c r="AT1414" s="817"/>
      <c r="AU1414" s="817"/>
      <c r="AV1414" s="817"/>
      <c r="AW1414" s="817"/>
      <c r="AX1414" s="817"/>
      <c r="AY1414" s="817"/>
      <c r="AZ1414" s="817"/>
      <c r="BA1414" s="817"/>
      <c r="BC1414" s="817"/>
      <c r="BD1414" s="817"/>
      <c r="BE1414" s="817"/>
      <c r="BF1414" s="817"/>
      <c r="BG1414" s="817"/>
      <c r="BH1414" s="817"/>
      <c r="BI1414" s="817"/>
      <c r="BJ1414" s="817"/>
      <c r="BL1414" s="817"/>
      <c r="BM1414" s="817"/>
      <c r="BN1414" s="817"/>
      <c r="BO1414" s="817"/>
      <c r="BQ1414" s="817"/>
      <c r="BR1414" s="817"/>
      <c r="BS1414" s="817"/>
      <c r="BT1414" s="817"/>
      <c r="BU1414" s="817"/>
    </row>
    <row r="1415" spans="1:73" x14ac:dyDescent="0.35">
      <c r="A1415" s="806" t="s">
        <v>872</v>
      </c>
      <c r="B1415" s="806" t="s">
        <v>1344</v>
      </c>
      <c r="C1415" s="806"/>
      <c r="D1415" s="806"/>
      <c r="E1415" s="806"/>
      <c r="F1415" s="806"/>
      <c r="I1415" s="817"/>
      <c r="J1415" s="817"/>
      <c r="K1415" s="817"/>
      <c r="M1415" s="817"/>
      <c r="N1415" s="817"/>
      <c r="O1415" s="817"/>
      <c r="P1415" s="817"/>
      <c r="Q1415" s="817"/>
      <c r="R1415" s="817"/>
      <c r="S1415" s="817"/>
      <c r="T1415" s="817"/>
      <c r="U1415" s="817"/>
      <c r="V1415" s="817"/>
      <c r="W1415" s="817"/>
      <c r="X1415" s="817"/>
      <c r="Y1415" s="817"/>
      <c r="Z1415" s="817"/>
      <c r="AC1415" s="817"/>
      <c r="AD1415" s="817"/>
      <c r="AE1415" s="817"/>
      <c r="AF1415" s="817"/>
      <c r="AG1415" s="817"/>
      <c r="AI1415" s="817"/>
      <c r="AJ1415" s="817"/>
      <c r="AL1415" s="817"/>
      <c r="AM1415" s="817"/>
      <c r="AN1415" s="817"/>
      <c r="AO1415" s="817"/>
      <c r="AP1415" s="817"/>
      <c r="AQ1415" s="817"/>
      <c r="AR1415" s="817"/>
      <c r="AS1415" s="817"/>
      <c r="AT1415" s="817"/>
      <c r="AU1415" s="817"/>
      <c r="AV1415" s="817"/>
      <c r="AW1415" s="817"/>
      <c r="AX1415" s="817"/>
      <c r="AY1415" s="817"/>
      <c r="AZ1415" s="817"/>
      <c r="BA1415" s="817"/>
      <c r="BC1415" s="817"/>
      <c r="BD1415" s="817"/>
      <c r="BE1415" s="817"/>
      <c r="BF1415" s="817"/>
      <c r="BG1415" s="817"/>
      <c r="BH1415" s="817"/>
      <c r="BI1415" s="817"/>
      <c r="BJ1415" s="817"/>
      <c r="BL1415" s="817"/>
      <c r="BM1415" s="817"/>
      <c r="BN1415" s="817"/>
      <c r="BO1415" s="817"/>
      <c r="BQ1415" s="817"/>
      <c r="BR1415" s="817"/>
      <c r="BS1415" s="817"/>
      <c r="BT1415" s="817"/>
      <c r="BU1415" s="817"/>
    </row>
    <row r="1416" spans="1:73" ht="29" x14ac:dyDescent="0.35">
      <c r="A1416" s="806" t="s">
        <v>872</v>
      </c>
      <c r="B1416" s="806" t="s">
        <v>1342</v>
      </c>
      <c r="C1416" s="806"/>
      <c r="D1416" s="806"/>
      <c r="E1416" s="806"/>
      <c r="F1416" s="806"/>
      <c r="I1416" s="817"/>
      <c r="J1416" s="817"/>
      <c r="K1416" s="817"/>
      <c r="M1416" s="817"/>
      <c r="N1416" s="817"/>
      <c r="O1416" s="817"/>
      <c r="P1416" s="817"/>
      <c r="Q1416" s="817"/>
      <c r="R1416" s="817"/>
      <c r="S1416" s="817"/>
      <c r="T1416" s="817"/>
      <c r="U1416" s="817"/>
      <c r="V1416" s="817"/>
      <c r="W1416" s="817"/>
      <c r="X1416" s="817"/>
      <c r="Y1416" s="817"/>
      <c r="Z1416" s="817"/>
      <c r="AC1416" s="817"/>
      <c r="AD1416" s="817"/>
      <c r="AE1416" s="817"/>
      <c r="AF1416" s="817"/>
      <c r="AG1416" s="817"/>
      <c r="AI1416" s="817"/>
      <c r="AJ1416" s="817"/>
      <c r="AL1416" s="817"/>
      <c r="AM1416" s="817"/>
      <c r="AN1416" s="817"/>
      <c r="AO1416" s="817"/>
      <c r="AP1416" s="817"/>
      <c r="AQ1416" s="817"/>
      <c r="AR1416" s="817"/>
      <c r="AS1416" s="817"/>
      <c r="AT1416" s="817"/>
      <c r="AU1416" s="817"/>
      <c r="AV1416" s="817"/>
      <c r="AW1416" s="817"/>
      <c r="AX1416" s="817"/>
      <c r="AY1416" s="817"/>
      <c r="AZ1416" s="817"/>
      <c r="BA1416" s="817"/>
      <c r="BC1416" s="817"/>
      <c r="BD1416" s="817"/>
      <c r="BE1416" s="817"/>
      <c r="BF1416" s="817"/>
      <c r="BG1416" s="817"/>
      <c r="BH1416" s="817"/>
      <c r="BI1416" s="817"/>
      <c r="BJ1416" s="817"/>
      <c r="BL1416" s="817"/>
      <c r="BM1416" s="817"/>
      <c r="BN1416" s="817"/>
      <c r="BO1416" s="817"/>
      <c r="BQ1416" s="817"/>
      <c r="BR1416" s="817"/>
      <c r="BS1416" s="817"/>
      <c r="BT1416" s="817"/>
      <c r="BU1416" s="817"/>
    </row>
    <row r="1417" spans="1:73" ht="29" x14ac:dyDescent="0.35">
      <c r="A1417" s="806" t="s">
        <v>872</v>
      </c>
      <c r="B1417" s="806" t="s">
        <v>1346</v>
      </c>
      <c r="C1417" s="806"/>
      <c r="D1417" s="806"/>
      <c r="E1417" s="806"/>
      <c r="F1417" s="806"/>
      <c r="I1417" s="817"/>
      <c r="J1417" s="817"/>
      <c r="K1417" s="817"/>
      <c r="M1417" s="817"/>
      <c r="N1417" s="817"/>
      <c r="O1417" s="817"/>
      <c r="P1417" s="817"/>
      <c r="Q1417" s="817"/>
      <c r="R1417" s="817"/>
      <c r="S1417" s="817"/>
      <c r="T1417" s="817"/>
      <c r="U1417" s="817"/>
      <c r="V1417" s="817"/>
      <c r="W1417" s="817"/>
      <c r="X1417" s="817"/>
      <c r="Y1417" s="817"/>
      <c r="Z1417" s="817"/>
      <c r="AC1417" s="817"/>
      <c r="AD1417" s="817"/>
      <c r="AE1417" s="817"/>
      <c r="AF1417" s="817"/>
      <c r="AG1417" s="817"/>
      <c r="AI1417" s="817"/>
      <c r="AJ1417" s="817"/>
      <c r="AL1417" s="817"/>
      <c r="AM1417" s="817"/>
      <c r="AN1417" s="817"/>
      <c r="AO1417" s="817"/>
      <c r="AP1417" s="817"/>
      <c r="AQ1417" s="817"/>
      <c r="AR1417" s="817"/>
      <c r="AS1417" s="817"/>
      <c r="AT1417" s="817"/>
      <c r="AU1417" s="817"/>
      <c r="AV1417" s="817"/>
      <c r="AW1417" s="817"/>
      <c r="AX1417" s="817"/>
      <c r="AY1417" s="817"/>
      <c r="AZ1417" s="817"/>
      <c r="BA1417" s="817"/>
      <c r="BC1417" s="817"/>
      <c r="BD1417" s="817"/>
      <c r="BE1417" s="817"/>
      <c r="BF1417" s="817"/>
      <c r="BG1417" s="817"/>
      <c r="BH1417" s="817"/>
      <c r="BI1417" s="817"/>
      <c r="BJ1417" s="817"/>
      <c r="BL1417" s="817"/>
      <c r="BM1417" s="817"/>
      <c r="BN1417" s="817"/>
      <c r="BO1417" s="817"/>
      <c r="BQ1417" s="817"/>
      <c r="BR1417" s="817"/>
      <c r="BS1417" s="817"/>
      <c r="BT1417" s="817"/>
      <c r="BU1417" s="817"/>
    </row>
    <row r="1418" spans="1:73" ht="29" x14ac:dyDescent="0.35">
      <c r="A1418" s="806" t="s">
        <v>872</v>
      </c>
      <c r="B1418" s="806" t="s">
        <v>1345</v>
      </c>
      <c r="C1418" s="806"/>
      <c r="D1418" s="806"/>
      <c r="E1418" s="806"/>
      <c r="F1418" s="806"/>
      <c r="I1418" s="817"/>
      <c r="J1418" s="817"/>
      <c r="K1418" s="817"/>
      <c r="M1418" s="817"/>
      <c r="N1418" s="817"/>
      <c r="O1418" s="817"/>
      <c r="P1418" s="817"/>
      <c r="Q1418" s="817"/>
      <c r="R1418" s="817"/>
      <c r="S1418" s="817"/>
      <c r="T1418" s="817"/>
      <c r="U1418" s="817"/>
      <c r="V1418" s="817"/>
      <c r="W1418" s="817"/>
      <c r="X1418" s="817"/>
      <c r="Y1418" s="817"/>
      <c r="Z1418" s="817"/>
      <c r="AC1418" s="817"/>
      <c r="AD1418" s="817"/>
      <c r="AE1418" s="817"/>
      <c r="AF1418" s="817"/>
      <c r="AG1418" s="817"/>
      <c r="AI1418" s="817"/>
      <c r="AJ1418" s="817"/>
      <c r="AL1418" s="817"/>
      <c r="AM1418" s="817"/>
      <c r="AN1418" s="817"/>
      <c r="AO1418" s="817"/>
      <c r="AP1418" s="817"/>
      <c r="AQ1418" s="817"/>
      <c r="AR1418" s="817"/>
      <c r="AS1418" s="817"/>
      <c r="AT1418" s="817"/>
      <c r="AU1418" s="817"/>
      <c r="AV1418" s="817"/>
      <c r="AW1418" s="817"/>
      <c r="AX1418" s="817"/>
      <c r="AY1418" s="817"/>
      <c r="AZ1418" s="817"/>
      <c r="BA1418" s="817"/>
      <c r="BC1418" s="817"/>
      <c r="BD1418" s="817"/>
      <c r="BE1418" s="817"/>
      <c r="BF1418" s="817"/>
      <c r="BG1418" s="817"/>
      <c r="BH1418" s="817"/>
      <c r="BI1418" s="817"/>
      <c r="BJ1418" s="817"/>
      <c r="BL1418" s="817"/>
      <c r="BM1418" s="817"/>
      <c r="BN1418" s="817"/>
      <c r="BO1418" s="817"/>
      <c r="BQ1418" s="817"/>
      <c r="BR1418" s="817"/>
      <c r="BS1418" s="817"/>
      <c r="BT1418" s="817"/>
      <c r="BU1418" s="817"/>
    </row>
    <row r="1419" spans="1:73" x14ac:dyDescent="0.35">
      <c r="A1419" s="806" t="s">
        <v>872</v>
      </c>
      <c r="B1419" s="806" t="s">
        <v>875</v>
      </c>
      <c r="C1419" s="806"/>
      <c r="D1419" s="806"/>
      <c r="E1419" s="806"/>
      <c r="F1419" s="806"/>
      <c r="G1419" s="817"/>
      <c r="I1419" s="817"/>
      <c r="J1419" s="817"/>
      <c r="K1419" s="817"/>
      <c r="M1419" s="817"/>
      <c r="N1419" s="817"/>
      <c r="O1419" s="817"/>
      <c r="P1419" s="817"/>
      <c r="Q1419" s="817"/>
      <c r="R1419" s="817"/>
      <c r="S1419" s="817"/>
      <c r="T1419" s="817"/>
      <c r="U1419" s="817"/>
      <c r="V1419" s="817"/>
      <c r="W1419" s="817"/>
      <c r="X1419" s="817"/>
      <c r="Y1419" s="817"/>
      <c r="Z1419" s="817"/>
      <c r="AA1419" s="817"/>
      <c r="AC1419" s="817"/>
      <c r="AD1419" s="817"/>
      <c r="AE1419" s="817"/>
      <c r="AF1419" s="817"/>
      <c r="AG1419" s="817"/>
      <c r="AH1419" s="816"/>
      <c r="AI1419" s="817"/>
      <c r="AJ1419" s="817"/>
      <c r="AL1419" s="817"/>
      <c r="AM1419" s="817"/>
      <c r="AN1419" s="817"/>
      <c r="AO1419" s="817"/>
      <c r="AP1419" s="817"/>
      <c r="AQ1419" s="817"/>
      <c r="AR1419" s="817"/>
      <c r="AS1419" s="817"/>
      <c r="AT1419" s="817"/>
      <c r="AU1419" s="817"/>
      <c r="AV1419" s="817"/>
      <c r="AW1419" s="817"/>
      <c r="AX1419" s="817"/>
      <c r="AY1419" s="817"/>
      <c r="AZ1419" s="817"/>
      <c r="BA1419" s="817"/>
      <c r="BC1419" s="817"/>
      <c r="BD1419" s="817"/>
      <c r="BE1419" s="817"/>
      <c r="BF1419" s="817"/>
      <c r="BG1419" s="817"/>
      <c r="BH1419" s="817"/>
      <c r="BI1419" s="817"/>
      <c r="BJ1419" s="817"/>
      <c r="BK1419" s="816"/>
      <c r="BL1419" s="817"/>
      <c r="BM1419" s="817"/>
      <c r="BN1419" s="817"/>
      <c r="BO1419" s="817"/>
      <c r="BQ1419" s="817"/>
      <c r="BR1419" s="817"/>
      <c r="BS1419" s="817"/>
      <c r="BT1419" s="817"/>
      <c r="BU1419" s="817"/>
    </row>
    <row r="1420" spans="1:73" x14ac:dyDescent="0.35">
      <c r="A1420" s="806" t="s">
        <v>872</v>
      </c>
      <c r="B1420" s="806" t="s">
        <v>876</v>
      </c>
      <c r="C1420" s="806"/>
      <c r="D1420" s="806"/>
      <c r="E1420" s="806"/>
      <c r="F1420" s="806"/>
      <c r="G1420" s="817"/>
      <c r="I1420" s="818"/>
      <c r="J1420" s="818"/>
      <c r="K1420" s="818"/>
      <c r="M1420" s="818"/>
      <c r="N1420" s="818"/>
      <c r="O1420" s="818"/>
      <c r="P1420" s="818"/>
      <c r="Q1420" s="818"/>
      <c r="R1420" s="818"/>
      <c r="S1420" s="818"/>
      <c r="T1420" s="818"/>
      <c r="U1420" s="818"/>
      <c r="V1420" s="818"/>
      <c r="W1420" s="818"/>
      <c r="X1420" s="818"/>
      <c r="Y1420" s="818"/>
      <c r="Z1420" s="818"/>
      <c r="AA1420" s="817"/>
      <c r="AC1420" s="818"/>
      <c r="AD1420" s="818"/>
      <c r="AE1420" s="818"/>
      <c r="AF1420" s="818"/>
      <c r="AG1420" s="818"/>
      <c r="AH1420" s="817"/>
      <c r="AI1420" s="818"/>
      <c r="AJ1420" s="818"/>
      <c r="AL1420" s="818"/>
      <c r="AM1420" s="818"/>
      <c r="AN1420" s="818"/>
      <c r="AO1420" s="818"/>
      <c r="AP1420" s="818"/>
      <c r="AQ1420" s="818"/>
      <c r="AR1420" s="818"/>
      <c r="AS1420" s="818"/>
      <c r="AT1420" s="818"/>
      <c r="AU1420" s="818"/>
      <c r="AV1420" s="818"/>
      <c r="AW1420" s="818"/>
      <c r="AX1420" s="818"/>
      <c r="AY1420" s="818"/>
      <c r="AZ1420" s="818"/>
      <c r="BA1420" s="818"/>
      <c r="BC1420" s="818"/>
      <c r="BD1420" s="818"/>
      <c r="BE1420" s="818"/>
      <c r="BF1420" s="818"/>
      <c r="BG1420" s="818"/>
      <c r="BH1420" s="818"/>
      <c r="BI1420" s="818"/>
      <c r="BJ1420" s="818"/>
      <c r="BK1420" s="817"/>
      <c r="BL1420" s="818"/>
      <c r="BM1420" s="818"/>
      <c r="BN1420" s="818"/>
      <c r="BO1420" s="818"/>
      <c r="BQ1420" s="818"/>
      <c r="BR1420" s="818"/>
      <c r="BS1420" s="818"/>
      <c r="BT1420" s="818"/>
      <c r="BU1420" s="818"/>
    </row>
    <row r="1421" spans="1:73" ht="29" x14ac:dyDescent="0.35">
      <c r="A1421" s="806" t="s">
        <v>872</v>
      </c>
      <c r="B1421" s="806" t="s">
        <v>1348</v>
      </c>
      <c r="C1421" s="806"/>
      <c r="D1421" s="806"/>
      <c r="E1421" s="806"/>
      <c r="F1421" s="806"/>
      <c r="I1421" s="817"/>
      <c r="J1421" s="817"/>
      <c r="K1421" s="817"/>
      <c r="M1421" s="817"/>
      <c r="N1421" s="817"/>
      <c r="O1421" s="817"/>
      <c r="P1421" s="817"/>
      <c r="Q1421" s="817"/>
      <c r="R1421" s="817"/>
      <c r="S1421" s="817"/>
      <c r="T1421" s="817"/>
      <c r="U1421" s="817"/>
      <c r="V1421" s="817"/>
      <c r="W1421" s="817"/>
      <c r="X1421" s="817"/>
      <c r="Y1421" s="817"/>
      <c r="Z1421" s="817"/>
      <c r="AC1421" s="817"/>
      <c r="AD1421" s="817"/>
      <c r="AE1421" s="817"/>
      <c r="AF1421" s="817"/>
      <c r="AG1421" s="817"/>
      <c r="AI1421" s="817"/>
      <c r="AJ1421" s="817"/>
      <c r="AL1421" s="817"/>
      <c r="AM1421" s="817"/>
      <c r="AN1421" s="817"/>
      <c r="AO1421" s="817"/>
      <c r="AP1421" s="817"/>
      <c r="AQ1421" s="817"/>
      <c r="AR1421" s="817"/>
      <c r="AS1421" s="817"/>
      <c r="AT1421" s="817"/>
      <c r="AU1421" s="817"/>
      <c r="AV1421" s="817"/>
      <c r="AW1421" s="817"/>
      <c r="AX1421" s="817"/>
      <c r="AY1421" s="817"/>
      <c r="AZ1421" s="817"/>
      <c r="BA1421" s="817"/>
      <c r="BC1421" s="817"/>
      <c r="BD1421" s="817"/>
      <c r="BE1421" s="817"/>
      <c r="BF1421" s="817"/>
      <c r="BG1421" s="817"/>
      <c r="BH1421" s="817"/>
      <c r="BI1421" s="817"/>
      <c r="BJ1421" s="817"/>
      <c r="BL1421" s="817"/>
      <c r="BM1421" s="817"/>
      <c r="BN1421" s="817"/>
      <c r="BO1421" s="817"/>
      <c r="BQ1421" s="817"/>
      <c r="BR1421" s="817"/>
      <c r="BS1421" s="817"/>
      <c r="BT1421" s="817"/>
      <c r="BU1421" s="817"/>
    </row>
    <row r="1422" spans="1:73" ht="29" x14ac:dyDescent="0.35">
      <c r="A1422" s="806" t="s">
        <v>872</v>
      </c>
      <c r="B1422" s="806" t="s">
        <v>1340</v>
      </c>
      <c r="C1422" s="806"/>
      <c r="D1422" s="806"/>
      <c r="E1422" s="806"/>
      <c r="F1422" s="806"/>
      <c r="I1422" s="817"/>
      <c r="J1422" s="817"/>
      <c r="K1422" s="817"/>
      <c r="M1422" s="817"/>
      <c r="N1422" s="817"/>
      <c r="O1422" s="817"/>
      <c r="P1422" s="817"/>
      <c r="Q1422" s="817"/>
      <c r="R1422" s="817"/>
      <c r="S1422" s="817"/>
      <c r="T1422" s="817"/>
      <c r="U1422" s="817"/>
      <c r="V1422" s="817"/>
      <c r="W1422" s="817"/>
      <c r="X1422" s="817"/>
      <c r="Y1422" s="817"/>
      <c r="Z1422" s="817"/>
      <c r="AC1422" s="817"/>
      <c r="AD1422" s="817"/>
      <c r="AE1422" s="817"/>
      <c r="AF1422" s="817"/>
      <c r="AG1422" s="817"/>
      <c r="AI1422" s="817"/>
      <c r="AJ1422" s="817"/>
      <c r="AL1422" s="817"/>
      <c r="AM1422" s="817"/>
      <c r="AN1422" s="817"/>
      <c r="AO1422" s="817"/>
      <c r="AP1422" s="817"/>
      <c r="AQ1422" s="817"/>
      <c r="AR1422" s="817"/>
      <c r="AS1422" s="817"/>
      <c r="AT1422" s="817"/>
      <c r="AU1422" s="817"/>
      <c r="AV1422" s="817"/>
      <c r="AW1422" s="817"/>
      <c r="AX1422" s="817"/>
      <c r="AY1422" s="817"/>
      <c r="AZ1422" s="817"/>
      <c r="BA1422" s="817"/>
      <c r="BC1422" s="817"/>
      <c r="BD1422" s="817"/>
      <c r="BE1422" s="817"/>
      <c r="BF1422" s="817"/>
      <c r="BG1422" s="817"/>
      <c r="BH1422" s="817"/>
      <c r="BI1422" s="817"/>
      <c r="BJ1422" s="817"/>
      <c r="BL1422" s="817"/>
      <c r="BM1422" s="817"/>
      <c r="BN1422" s="817"/>
      <c r="BO1422" s="817"/>
      <c r="BQ1422" s="817"/>
      <c r="BR1422" s="817"/>
      <c r="BS1422" s="817"/>
      <c r="BT1422" s="817"/>
      <c r="BU1422" s="817"/>
    </row>
    <row r="1423" spans="1:73" ht="29" x14ac:dyDescent="0.35">
      <c r="A1423" s="806" t="s">
        <v>872</v>
      </c>
      <c r="B1423" s="806" t="s">
        <v>1336</v>
      </c>
      <c r="C1423" s="806"/>
      <c r="D1423" s="806"/>
      <c r="E1423" s="806"/>
      <c r="F1423" s="806"/>
      <c r="I1423" s="817"/>
      <c r="J1423" s="817"/>
      <c r="K1423" s="817"/>
      <c r="M1423" s="817"/>
      <c r="N1423" s="817"/>
      <c r="O1423" s="817"/>
      <c r="P1423" s="817"/>
      <c r="Q1423" s="817"/>
      <c r="R1423" s="817"/>
      <c r="S1423" s="817"/>
      <c r="T1423" s="817"/>
      <c r="U1423" s="817"/>
      <c r="V1423" s="817"/>
      <c r="W1423" s="817"/>
      <c r="X1423" s="817"/>
      <c r="Y1423" s="817"/>
      <c r="Z1423" s="817"/>
      <c r="AC1423" s="817"/>
      <c r="AD1423" s="817"/>
      <c r="AE1423" s="817"/>
      <c r="AF1423" s="817"/>
      <c r="AG1423" s="817"/>
      <c r="AI1423" s="817"/>
      <c r="AJ1423" s="817"/>
      <c r="AL1423" s="817"/>
      <c r="AM1423" s="817"/>
      <c r="AN1423" s="817"/>
      <c r="AO1423" s="817"/>
      <c r="AP1423" s="817"/>
      <c r="AQ1423" s="817"/>
      <c r="AR1423" s="817"/>
      <c r="AS1423" s="817"/>
      <c r="AT1423" s="817"/>
      <c r="AU1423" s="817"/>
      <c r="AV1423" s="817"/>
      <c r="AW1423" s="817"/>
      <c r="AX1423" s="817"/>
      <c r="AY1423" s="817"/>
      <c r="AZ1423" s="817"/>
      <c r="BA1423" s="817"/>
      <c r="BC1423" s="817"/>
      <c r="BD1423" s="817"/>
      <c r="BE1423" s="817"/>
      <c r="BF1423" s="817"/>
      <c r="BG1423" s="817"/>
      <c r="BH1423" s="817"/>
      <c r="BI1423" s="817"/>
      <c r="BJ1423" s="817"/>
      <c r="BL1423" s="817"/>
      <c r="BM1423" s="817"/>
      <c r="BN1423" s="817"/>
      <c r="BO1423" s="817"/>
      <c r="BQ1423" s="817"/>
      <c r="BR1423" s="817"/>
      <c r="BS1423" s="817"/>
      <c r="BT1423" s="817"/>
      <c r="BU1423" s="817"/>
    </row>
    <row r="1424" spans="1:73" ht="29" x14ac:dyDescent="0.35">
      <c r="A1424" s="806" t="s">
        <v>872</v>
      </c>
      <c r="B1424" s="806" t="s">
        <v>1337</v>
      </c>
      <c r="C1424" s="806"/>
      <c r="D1424" s="806"/>
      <c r="E1424" s="806"/>
      <c r="F1424" s="806"/>
      <c r="I1424" s="817"/>
      <c r="J1424" s="817"/>
      <c r="K1424" s="817"/>
      <c r="M1424" s="817"/>
      <c r="N1424" s="817"/>
      <c r="O1424" s="817"/>
      <c r="P1424" s="817"/>
      <c r="Q1424" s="817"/>
      <c r="R1424" s="817"/>
      <c r="S1424" s="817"/>
      <c r="T1424" s="817"/>
      <c r="U1424" s="817"/>
      <c r="V1424" s="817"/>
      <c r="W1424" s="817"/>
      <c r="X1424" s="817"/>
      <c r="Y1424" s="817"/>
      <c r="Z1424" s="817"/>
      <c r="AC1424" s="817"/>
      <c r="AD1424" s="817"/>
      <c r="AE1424" s="817"/>
      <c r="AF1424" s="817"/>
      <c r="AG1424" s="817"/>
      <c r="AI1424" s="817"/>
      <c r="AJ1424" s="817"/>
      <c r="AL1424" s="817"/>
      <c r="AM1424" s="817"/>
      <c r="AN1424" s="817"/>
      <c r="AO1424" s="817"/>
      <c r="AP1424" s="817"/>
      <c r="AQ1424" s="817"/>
      <c r="AR1424" s="817"/>
      <c r="AS1424" s="817"/>
      <c r="AT1424" s="817"/>
      <c r="AU1424" s="817"/>
      <c r="AV1424" s="817"/>
      <c r="AW1424" s="817"/>
      <c r="AX1424" s="817"/>
      <c r="AY1424" s="817"/>
      <c r="AZ1424" s="817"/>
      <c r="BA1424" s="817"/>
      <c r="BC1424" s="817"/>
      <c r="BD1424" s="817"/>
      <c r="BE1424" s="817"/>
      <c r="BF1424" s="817"/>
      <c r="BG1424" s="817"/>
      <c r="BH1424" s="817"/>
      <c r="BI1424" s="817"/>
      <c r="BJ1424" s="817"/>
      <c r="BL1424" s="817"/>
      <c r="BM1424" s="817"/>
      <c r="BN1424" s="817"/>
      <c r="BO1424" s="817"/>
      <c r="BQ1424" s="817"/>
      <c r="BR1424" s="817"/>
      <c r="BS1424" s="817"/>
      <c r="BT1424" s="817"/>
      <c r="BU1424" s="817"/>
    </row>
    <row r="1425" spans="1:73" ht="29" x14ac:dyDescent="0.35">
      <c r="A1425" s="806" t="s">
        <v>872</v>
      </c>
      <c r="B1425" s="806" t="s">
        <v>1335</v>
      </c>
      <c r="C1425" s="806"/>
      <c r="D1425" s="806"/>
      <c r="E1425" s="806"/>
      <c r="F1425" s="806"/>
      <c r="I1425" s="817"/>
      <c r="J1425" s="817"/>
      <c r="K1425" s="817"/>
      <c r="M1425" s="817"/>
      <c r="N1425" s="817"/>
      <c r="O1425" s="817"/>
      <c r="P1425" s="817"/>
      <c r="Q1425" s="817"/>
      <c r="R1425" s="817"/>
      <c r="S1425" s="817"/>
      <c r="T1425" s="817"/>
      <c r="U1425" s="817"/>
      <c r="V1425" s="817"/>
      <c r="W1425" s="817"/>
      <c r="X1425" s="817"/>
      <c r="Y1425" s="817"/>
      <c r="Z1425" s="817"/>
      <c r="AC1425" s="817"/>
      <c r="AD1425" s="817"/>
      <c r="AE1425" s="817"/>
      <c r="AF1425" s="817"/>
      <c r="AG1425" s="817"/>
      <c r="AI1425" s="817"/>
      <c r="AJ1425" s="817"/>
      <c r="AL1425" s="817"/>
      <c r="AM1425" s="817"/>
      <c r="AN1425" s="817"/>
      <c r="AO1425" s="817"/>
      <c r="AP1425" s="817"/>
      <c r="AQ1425" s="817"/>
      <c r="AR1425" s="817"/>
      <c r="AS1425" s="817"/>
      <c r="AT1425" s="817"/>
      <c r="AU1425" s="817"/>
      <c r="AV1425" s="817"/>
      <c r="AW1425" s="817"/>
      <c r="AX1425" s="817"/>
      <c r="AY1425" s="817"/>
      <c r="AZ1425" s="817"/>
      <c r="BA1425" s="817"/>
      <c r="BC1425" s="817"/>
      <c r="BD1425" s="817"/>
      <c r="BE1425" s="817"/>
      <c r="BF1425" s="817"/>
      <c r="BG1425" s="817"/>
      <c r="BH1425" s="817"/>
      <c r="BI1425" s="817"/>
      <c r="BJ1425" s="817"/>
      <c r="BL1425" s="817"/>
      <c r="BM1425" s="817"/>
      <c r="BN1425" s="817"/>
      <c r="BO1425" s="817"/>
      <c r="BQ1425" s="817"/>
      <c r="BR1425" s="817"/>
      <c r="BS1425" s="817"/>
      <c r="BT1425" s="817"/>
      <c r="BU1425" s="817"/>
    </row>
    <row r="1426" spans="1:73" ht="29" x14ac:dyDescent="0.35">
      <c r="A1426" s="806" t="s">
        <v>872</v>
      </c>
      <c r="B1426" s="806" t="s">
        <v>1339</v>
      </c>
      <c r="C1426" s="806"/>
      <c r="D1426" s="806"/>
      <c r="E1426" s="806"/>
      <c r="F1426" s="806"/>
      <c r="I1426" s="817"/>
      <c r="J1426" s="817"/>
      <c r="K1426" s="817"/>
      <c r="M1426" s="817"/>
      <c r="N1426" s="817"/>
      <c r="O1426" s="817"/>
      <c r="P1426" s="817"/>
      <c r="Q1426" s="817"/>
      <c r="R1426" s="817"/>
      <c r="S1426" s="817"/>
      <c r="T1426" s="817"/>
      <c r="U1426" s="817"/>
      <c r="V1426" s="817"/>
      <c r="W1426" s="817"/>
      <c r="X1426" s="817"/>
      <c r="Y1426" s="817"/>
      <c r="Z1426" s="817"/>
      <c r="AC1426" s="817"/>
      <c r="AD1426" s="817"/>
      <c r="AE1426" s="817"/>
      <c r="AF1426" s="817"/>
      <c r="AG1426" s="817"/>
      <c r="AI1426" s="817"/>
      <c r="AJ1426" s="817"/>
      <c r="AL1426" s="817"/>
      <c r="AM1426" s="817"/>
      <c r="AN1426" s="817"/>
      <c r="AO1426" s="817"/>
      <c r="AP1426" s="817"/>
      <c r="AQ1426" s="817"/>
      <c r="AR1426" s="817"/>
      <c r="AS1426" s="817"/>
      <c r="AT1426" s="817"/>
      <c r="AU1426" s="817"/>
      <c r="AV1426" s="817"/>
      <c r="AW1426" s="817"/>
      <c r="AX1426" s="817"/>
      <c r="AY1426" s="817"/>
      <c r="AZ1426" s="817"/>
      <c r="BA1426" s="817"/>
      <c r="BC1426" s="817"/>
      <c r="BD1426" s="817"/>
      <c r="BE1426" s="817"/>
      <c r="BF1426" s="817"/>
      <c r="BG1426" s="817"/>
      <c r="BH1426" s="817"/>
      <c r="BI1426" s="817"/>
      <c r="BJ1426" s="817"/>
      <c r="BL1426" s="817"/>
      <c r="BM1426" s="817"/>
      <c r="BN1426" s="817"/>
      <c r="BO1426" s="817"/>
      <c r="BQ1426" s="817"/>
      <c r="BR1426" s="817"/>
      <c r="BS1426" s="817"/>
      <c r="BT1426" s="817"/>
      <c r="BU1426" s="817"/>
    </row>
    <row r="1427" spans="1:73" ht="29" x14ac:dyDescent="0.35">
      <c r="A1427" s="806" t="s">
        <v>872</v>
      </c>
      <c r="B1427" s="806" t="s">
        <v>1338</v>
      </c>
      <c r="C1427" s="806"/>
      <c r="D1427" s="806"/>
      <c r="E1427" s="806"/>
      <c r="F1427" s="806"/>
      <c r="I1427" s="817"/>
      <c r="J1427" s="817"/>
      <c r="K1427" s="817"/>
      <c r="M1427" s="817"/>
      <c r="N1427" s="817"/>
      <c r="O1427" s="817"/>
      <c r="P1427" s="817"/>
      <c r="Q1427" s="817"/>
      <c r="R1427" s="817"/>
      <c r="S1427" s="817"/>
      <c r="T1427" s="817"/>
      <c r="U1427" s="817"/>
      <c r="V1427" s="817"/>
      <c r="W1427" s="817"/>
      <c r="X1427" s="817"/>
      <c r="Y1427" s="817"/>
      <c r="Z1427" s="817"/>
      <c r="AC1427" s="817"/>
      <c r="AD1427" s="817"/>
      <c r="AE1427" s="817"/>
      <c r="AF1427" s="817"/>
      <c r="AG1427" s="817"/>
      <c r="AI1427" s="817"/>
      <c r="AJ1427" s="817"/>
      <c r="AL1427" s="817"/>
      <c r="AM1427" s="817"/>
      <c r="AN1427" s="817"/>
      <c r="AO1427" s="817"/>
      <c r="AP1427" s="817"/>
      <c r="AQ1427" s="817"/>
      <c r="AR1427" s="817"/>
      <c r="AS1427" s="817"/>
      <c r="AT1427" s="817"/>
      <c r="AU1427" s="817"/>
      <c r="AV1427" s="817"/>
      <c r="AW1427" s="817"/>
      <c r="AX1427" s="817"/>
      <c r="AY1427" s="817"/>
      <c r="AZ1427" s="817"/>
      <c r="BA1427" s="817"/>
      <c r="BC1427" s="817"/>
      <c r="BD1427" s="817"/>
      <c r="BE1427" s="817"/>
      <c r="BF1427" s="817"/>
      <c r="BG1427" s="817"/>
      <c r="BH1427" s="817"/>
      <c r="BI1427" s="817"/>
      <c r="BJ1427" s="817"/>
      <c r="BL1427" s="817"/>
      <c r="BM1427" s="817"/>
      <c r="BN1427" s="817"/>
      <c r="BO1427" s="817"/>
      <c r="BQ1427" s="817"/>
      <c r="BR1427" s="817"/>
      <c r="BS1427" s="817"/>
      <c r="BT1427" s="817"/>
      <c r="BU1427" s="817"/>
    </row>
    <row r="1428" spans="1:73" ht="29" x14ac:dyDescent="0.35">
      <c r="A1428" s="806" t="s">
        <v>872</v>
      </c>
      <c r="B1428" s="806" t="s">
        <v>878</v>
      </c>
      <c r="C1428" s="806"/>
      <c r="D1428" s="806"/>
      <c r="E1428" s="806"/>
      <c r="F1428" s="806"/>
      <c r="G1428" s="817"/>
      <c r="I1428" s="817"/>
      <c r="J1428" s="817"/>
      <c r="K1428" s="817"/>
      <c r="M1428" s="817"/>
      <c r="N1428" s="817"/>
      <c r="O1428" s="817"/>
      <c r="P1428" s="817"/>
      <c r="Q1428" s="817"/>
      <c r="R1428" s="817"/>
      <c r="S1428" s="817"/>
      <c r="T1428" s="817"/>
      <c r="U1428" s="817"/>
      <c r="V1428" s="817"/>
      <c r="W1428" s="817"/>
      <c r="X1428" s="817"/>
      <c r="Y1428" s="817"/>
      <c r="Z1428" s="817"/>
      <c r="AA1428" s="817"/>
      <c r="AC1428" s="817"/>
      <c r="AD1428" s="817"/>
      <c r="AE1428" s="817"/>
      <c r="AF1428" s="817"/>
      <c r="AG1428" s="817"/>
      <c r="AH1428" s="816"/>
      <c r="AI1428" s="817"/>
      <c r="AJ1428" s="817"/>
      <c r="AL1428" s="817"/>
      <c r="AM1428" s="817"/>
      <c r="AN1428" s="817"/>
      <c r="AO1428" s="817"/>
      <c r="AP1428" s="817"/>
      <c r="AQ1428" s="817"/>
      <c r="AR1428" s="817"/>
      <c r="AS1428" s="817"/>
      <c r="AT1428" s="817"/>
      <c r="AU1428" s="817"/>
      <c r="AV1428" s="817"/>
      <c r="AW1428" s="817"/>
      <c r="AX1428" s="817"/>
      <c r="AY1428" s="817"/>
      <c r="AZ1428" s="817"/>
      <c r="BA1428" s="817"/>
      <c r="BC1428" s="817"/>
      <c r="BD1428" s="817"/>
      <c r="BE1428" s="817"/>
      <c r="BF1428" s="817"/>
      <c r="BG1428" s="817"/>
      <c r="BH1428" s="817"/>
      <c r="BI1428" s="817"/>
      <c r="BJ1428" s="817"/>
      <c r="BK1428" s="816"/>
      <c r="BL1428" s="817"/>
      <c r="BM1428" s="817"/>
      <c r="BN1428" s="817"/>
      <c r="BO1428" s="817"/>
      <c r="BQ1428" s="817"/>
      <c r="BR1428" s="817"/>
      <c r="BS1428" s="817"/>
      <c r="BT1428" s="817"/>
      <c r="BU1428" s="817"/>
    </row>
    <row r="1429" spans="1:73" ht="29" x14ac:dyDescent="0.35">
      <c r="A1429" s="806" t="s">
        <v>872</v>
      </c>
      <c r="B1429" s="806" t="s">
        <v>879</v>
      </c>
      <c r="C1429" s="806"/>
      <c r="D1429" s="806"/>
      <c r="E1429" s="806"/>
      <c r="F1429" s="806"/>
      <c r="G1429" s="817"/>
      <c r="I1429" s="818"/>
      <c r="J1429" s="818"/>
      <c r="K1429" s="818"/>
      <c r="M1429" s="818"/>
      <c r="N1429" s="818"/>
      <c r="O1429" s="818"/>
      <c r="P1429" s="818"/>
      <c r="Q1429" s="818"/>
      <c r="R1429" s="818"/>
      <c r="S1429" s="818"/>
      <c r="T1429" s="818"/>
      <c r="U1429" s="818"/>
      <c r="V1429" s="818"/>
      <c r="W1429" s="818"/>
      <c r="X1429" s="818"/>
      <c r="Y1429" s="818"/>
      <c r="Z1429" s="818"/>
      <c r="AA1429" s="817"/>
      <c r="AC1429" s="818"/>
      <c r="AD1429" s="818"/>
      <c r="AE1429" s="818"/>
      <c r="AF1429" s="818"/>
      <c r="AG1429" s="818"/>
      <c r="AH1429" s="816"/>
      <c r="AI1429" s="818"/>
      <c r="AJ1429" s="818"/>
      <c r="AL1429" s="818"/>
      <c r="AM1429" s="818"/>
      <c r="AN1429" s="818"/>
      <c r="AO1429" s="818"/>
      <c r="AP1429" s="818"/>
      <c r="AQ1429" s="818"/>
      <c r="AR1429" s="818"/>
      <c r="AS1429" s="818"/>
      <c r="AT1429" s="818"/>
      <c r="AU1429" s="818"/>
      <c r="AV1429" s="818"/>
      <c r="AW1429" s="818"/>
      <c r="AX1429" s="818"/>
      <c r="AY1429" s="818"/>
      <c r="AZ1429" s="818"/>
      <c r="BA1429" s="818"/>
      <c r="BC1429" s="818"/>
      <c r="BD1429" s="818"/>
      <c r="BE1429" s="818"/>
      <c r="BF1429" s="818"/>
      <c r="BG1429" s="818"/>
      <c r="BH1429" s="818"/>
      <c r="BI1429" s="818"/>
      <c r="BJ1429" s="818"/>
      <c r="BK1429" s="816"/>
      <c r="BL1429" s="818"/>
      <c r="BM1429" s="818"/>
      <c r="BN1429" s="818"/>
      <c r="BO1429" s="818"/>
      <c r="BQ1429" s="818"/>
      <c r="BR1429" s="818"/>
      <c r="BS1429" s="818"/>
      <c r="BT1429" s="818"/>
      <c r="BU1429" s="818"/>
    </row>
    <row r="1430" spans="1:73" ht="29" x14ac:dyDescent="0.35">
      <c r="A1430" s="806" t="s">
        <v>872</v>
      </c>
      <c r="B1430" s="806" t="s">
        <v>1341</v>
      </c>
      <c r="C1430" s="806"/>
      <c r="D1430" s="806"/>
      <c r="E1430" s="806"/>
      <c r="F1430" s="806"/>
      <c r="I1430" s="817"/>
      <c r="J1430" s="817"/>
      <c r="K1430" s="817"/>
      <c r="M1430" s="817"/>
      <c r="N1430" s="817"/>
      <c r="O1430" s="817"/>
      <c r="P1430" s="817"/>
      <c r="Q1430" s="817"/>
      <c r="R1430" s="817"/>
      <c r="S1430" s="817"/>
      <c r="T1430" s="817"/>
      <c r="U1430" s="817"/>
      <c r="V1430" s="817"/>
      <c r="W1430" s="817"/>
      <c r="X1430" s="817"/>
      <c r="Y1430" s="817"/>
      <c r="Z1430" s="817"/>
      <c r="AC1430" s="817"/>
      <c r="AD1430" s="817"/>
      <c r="AE1430" s="817"/>
      <c r="AF1430" s="817"/>
      <c r="AG1430" s="817"/>
      <c r="AI1430" s="817"/>
      <c r="AJ1430" s="817"/>
      <c r="AL1430" s="817"/>
      <c r="AM1430" s="817"/>
      <c r="AN1430" s="817"/>
      <c r="AO1430" s="817"/>
      <c r="AP1430" s="817"/>
      <c r="AQ1430" s="817"/>
      <c r="AR1430" s="817"/>
      <c r="AS1430" s="817"/>
      <c r="AT1430" s="817"/>
      <c r="AU1430" s="817"/>
      <c r="AV1430" s="817"/>
      <c r="AW1430" s="817"/>
      <c r="AX1430" s="817"/>
      <c r="AY1430" s="817"/>
      <c r="AZ1430" s="817"/>
      <c r="BA1430" s="817"/>
      <c r="BC1430" s="817"/>
      <c r="BD1430" s="817"/>
      <c r="BE1430" s="817"/>
      <c r="BF1430" s="817"/>
      <c r="BG1430" s="817"/>
      <c r="BH1430" s="817"/>
      <c r="BI1430" s="817"/>
      <c r="BJ1430" s="817"/>
      <c r="BL1430" s="817"/>
      <c r="BM1430" s="817"/>
      <c r="BN1430" s="817"/>
      <c r="BO1430" s="817"/>
      <c r="BQ1430" s="817"/>
      <c r="BR1430" s="817"/>
      <c r="BS1430" s="817"/>
      <c r="BT1430" s="817"/>
      <c r="BU1430" s="817"/>
    </row>
    <row r="1431" spans="1:73" ht="29" x14ac:dyDescent="0.35">
      <c r="A1431" s="806" t="s">
        <v>872</v>
      </c>
      <c r="B1431" s="806" t="s">
        <v>1334</v>
      </c>
      <c r="C1431" s="806"/>
      <c r="D1431" s="806"/>
      <c r="E1431" s="806"/>
      <c r="F1431" s="806"/>
      <c r="I1431" s="816"/>
      <c r="J1431" s="816"/>
      <c r="K1431" s="816"/>
      <c r="M1431" s="816"/>
      <c r="N1431" s="816"/>
      <c r="O1431" s="816"/>
      <c r="P1431" s="816"/>
      <c r="Q1431" s="816"/>
      <c r="R1431" s="816"/>
      <c r="S1431" s="816"/>
      <c r="T1431" s="816"/>
      <c r="U1431" s="816"/>
      <c r="V1431" s="816"/>
      <c r="W1431" s="816"/>
      <c r="X1431" s="816"/>
      <c r="Y1431" s="816"/>
      <c r="Z1431" s="816"/>
      <c r="AC1431" s="816"/>
      <c r="AD1431" s="816"/>
      <c r="AE1431" s="816"/>
      <c r="AF1431" s="816"/>
      <c r="AG1431" s="816"/>
      <c r="AI1431" s="816"/>
      <c r="AJ1431" s="816"/>
      <c r="AL1431" s="816"/>
      <c r="AM1431" s="816"/>
      <c r="AN1431" s="816"/>
      <c r="AO1431" s="816"/>
      <c r="AP1431" s="816"/>
      <c r="AQ1431" s="816"/>
      <c r="AR1431" s="816"/>
      <c r="AS1431" s="816"/>
      <c r="AT1431" s="816"/>
      <c r="AU1431" s="816"/>
      <c r="AV1431" s="816"/>
      <c r="AW1431" s="816"/>
      <c r="AX1431" s="816"/>
      <c r="AY1431" s="816"/>
      <c r="AZ1431" s="816"/>
      <c r="BA1431" s="816"/>
      <c r="BC1431" s="816"/>
      <c r="BD1431" s="816"/>
      <c r="BE1431" s="816"/>
      <c r="BF1431" s="816"/>
      <c r="BG1431" s="816"/>
      <c r="BH1431" s="816"/>
      <c r="BI1431" s="816"/>
      <c r="BJ1431" s="816"/>
      <c r="BL1431" s="816"/>
      <c r="BM1431" s="816"/>
      <c r="BN1431" s="816"/>
      <c r="BO1431" s="816"/>
      <c r="BQ1431" s="816"/>
      <c r="BR1431" s="816"/>
      <c r="BS1431" s="816"/>
      <c r="BT1431" s="816"/>
      <c r="BU1431" s="816"/>
    </row>
    <row r="1432" spans="1:73" x14ac:dyDescent="0.35">
      <c r="A1432" s="806" t="s">
        <v>880</v>
      </c>
      <c r="B1432" s="806" t="s">
        <v>1257</v>
      </c>
      <c r="C1432" s="806"/>
      <c r="D1432" s="806"/>
      <c r="E1432" s="806"/>
      <c r="F1432" s="806"/>
      <c r="I1432" s="816"/>
      <c r="J1432" s="816"/>
      <c r="K1432" s="816"/>
      <c r="M1432" s="816"/>
      <c r="N1432" s="816"/>
      <c r="O1432" s="816"/>
      <c r="P1432" s="816"/>
      <c r="Q1432" s="816"/>
      <c r="R1432" s="816"/>
      <c r="S1432" s="816"/>
      <c r="T1432" s="816"/>
      <c r="U1432" s="816"/>
      <c r="V1432" s="816"/>
      <c r="W1432" s="816"/>
      <c r="X1432" s="816"/>
      <c r="Y1432" s="816"/>
      <c r="Z1432" s="816"/>
      <c r="AC1432" s="816"/>
      <c r="AD1432" s="816"/>
      <c r="AE1432" s="816"/>
      <c r="AF1432" s="816"/>
      <c r="AG1432" s="816"/>
      <c r="AH1432" s="816"/>
      <c r="AI1432" s="816"/>
      <c r="AJ1432" s="816"/>
      <c r="AL1432" s="816"/>
      <c r="AM1432" s="816"/>
      <c r="AN1432" s="816"/>
      <c r="AO1432" s="816"/>
      <c r="AP1432" s="816"/>
      <c r="AQ1432" s="816"/>
      <c r="AR1432" s="816"/>
      <c r="AS1432" s="816"/>
      <c r="AT1432" s="816"/>
      <c r="AU1432" s="816"/>
      <c r="AV1432" s="816"/>
      <c r="AW1432" s="816"/>
      <c r="AX1432" s="816"/>
      <c r="AY1432" s="816"/>
      <c r="AZ1432" s="816"/>
      <c r="BA1432" s="816"/>
      <c r="BC1432" s="816"/>
      <c r="BD1432" s="816"/>
      <c r="BE1432" s="816"/>
      <c r="BF1432" s="816"/>
      <c r="BG1432" s="816"/>
      <c r="BH1432" s="816"/>
      <c r="BI1432" s="816"/>
      <c r="BJ1432" s="816"/>
      <c r="BK1432" s="816"/>
      <c r="BM1432" s="816"/>
      <c r="BN1432" s="816"/>
      <c r="BO1432" s="816"/>
      <c r="BQ1432" s="816"/>
      <c r="BR1432" s="816"/>
      <c r="BS1432" s="816"/>
      <c r="BT1432" s="816"/>
      <c r="BU1432" s="816"/>
    </row>
    <row r="1433" spans="1:73" x14ac:dyDescent="0.35">
      <c r="A1433" s="806" t="s">
        <v>880</v>
      </c>
      <c r="B1433" s="806" t="s">
        <v>1259</v>
      </c>
      <c r="C1433" s="806"/>
      <c r="D1433" s="806"/>
      <c r="E1433" s="806"/>
      <c r="F1433" s="806"/>
      <c r="I1433" s="816"/>
      <c r="J1433" s="816"/>
      <c r="K1433" s="816"/>
      <c r="M1433" s="816"/>
      <c r="N1433" s="816"/>
      <c r="O1433" s="816"/>
      <c r="P1433" s="816"/>
      <c r="Q1433" s="816"/>
      <c r="R1433" s="816"/>
      <c r="S1433" s="816"/>
      <c r="T1433" s="816"/>
      <c r="U1433" s="816"/>
      <c r="V1433" s="816"/>
      <c r="W1433" s="816"/>
      <c r="X1433" s="816"/>
      <c r="Y1433" s="816"/>
      <c r="Z1433" s="816"/>
      <c r="AC1433" s="816"/>
      <c r="AD1433" s="816"/>
      <c r="AE1433" s="816"/>
      <c r="AF1433" s="816"/>
      <c r="AG1433" s="816"/>
      <c r="AH1433" s="816"/>
      <c r="AI1433" s="816"/>
      <c r="AJ1433" s="816"/>
      <c r="AL1433" s="816"/>
      <c r="AM1433" s="816"/>
      <c r="AN1433" s="816"/>
      <c r="AO1433" s="816"/>
      <c r="AP1433" s="816"/>
      <c r="AQ1433" s="816"/>
      <c r="AR1433" s="816"/>
      <c r="AS1433" s="816"/>
      <c r="AT1433" s="816"/>
      <c r="AU1433" s="816"/>
      <c r="AV1433" s="816"/>
      <c r="AW1433" s="816"/>
      <c r="AX1433" s="816"/>
      <c r="AY1433" s="816"/>
      <c r="AZ1433" s="816"/>
      <c r="BA1433" s="816"/>
      <c r="BC1433" s="816"/>
      <c r="BD1433" s="816"/>
      <c r="BE1433" s="816"/>
      <c r="BF1433" s="816"/>
      <c r="BG1433" s="816"/>
      <c r="BH1433" s="816"/>
      <c r="BI1433" s="816"/>
      <c r="BJ1433" s="816"/>
      <c r="BK1433" s="816"/>
      <c r="BM1433" s="816"/>
      <c r="BN1433" s="816"/>
      <c r="BO1433" s="816"/>
      <c r="BQ1433" s="816"/>
      <c r="BR1433" s="816"/>
      <c r="BS1433" s="816"/>
      <c r="BT1433" s="816"/>
      <c r="BU1433" s="816"/>
    </row>
    <row r="1434" spans="1:73" x14ac:dyDescent="0.35">
      <c r="A1434" s="806" t="s">
        <v>880</v>
      </c>
      <c r="B1434" s="806" t="s">
        <v>1260</v>
      </c>
      <c r="C1434" s="806"/>
      <c r="D1434" s="806"/>
      <c r="E1434" s="806"/>
      <c r="F1434" s="806"/>
      <c r="I1434" s="816"/>
      <c r="J1434" s="816"/>
      <c r="K1434" s="816"/>
      <c r="M1434" s="816"/>
      <c r="N1434" s="816"/>
      <c r="O1434" s="816"/>
      <c r="P1434" s="816"/>
      <c r="Q1434" s="816"/>
      <c r="R1434" s="816"/>
      <c r="S1434" s="816"/>
      <c r="T1434" s="816"/>
      <c r="U1434" s="816"/>
      <c r="V1434" s="816"/>
      <c r="W1434" s="816"/>
      <c r="X1434" s="816"/>
      <c r="Y1434" s="816"/>
      <c r="Z1434" s="816"/>
      <c r="AC1434" s="816"/>
      <c r="AD1434" s="816"/>
      <c r="AE1434" s="816"/>
      <c r="AF1434" s="816"/>
      <c r="AG1434" s="816"/>
      <c r="AH1434" s="816"/>
      <c r="AI1434" s="816"/>
      <c r="AJ1434" s="816"/>
      <c r="AL1434" s="816"/>
      <c r="AM1434" s="816"/>
      <c r="AN1434" s="816"/>
      <c r="AO1434" s="816"/>
      <c r="AP1434" s="816"/>
      <c r="AQ1434" s="816"/>
      <c r="AR1434" s="816"/>
      <c r="AS1434" s="816"/>
      <c r="AT1434" s="816"/>
      <c r="AU1434" s="816"/>
      <c r="AV1434" s="816"/>
      <c r="AW1434" s="816"/>
      <c r="AX1434" s="816"/>
      <c r="AY1434" s="816"/>
      <c r="AZ1434" s="816"/>
      <c r="BA1434" s="816"/>
      <c r="BC1434" s="816"/>
      <c r="BD1434" s="816"/>
      <c r="BE1434" s="816"/>
      <c r="BF1434" s="816"/>
      <c r="BG1434" s="816"/>
      <c r="BH1434" s="816"/>
      <c r="BI1434" s="816"/>
      <c r="BJ1434" s="816"/>
      <c r="BK1434" s="816"/>
      <c r="BM1434" s="816"/>
      <c r="BN1434" s="816"/>
      <c r="BO1434" s="816"/>
      <c r="BQ1434" s="816"/>
      <c r="BR1434" s="816"/>
      <c r="BS1434" s="816"/>
      <c r="BT1434" s="816"/>
      <c r="BU1434" s="816"/>
    </row>
    <row r="1435" spans="1:73" x14ac:dyDescent="0.35">
      <c r="A1435" s="806" t="s">
        <v>880</v>
      </c>
      <c r="B1435" s="806" t="s">
        <v>1261</v>
      </c>
      <c r="C1435" s="806"/>
      <c r="D1435" s="806"/>
      <c r="E1435" s="806"/>
      <c r="F1435" s="806"/>
      <c r="I1435" s="816"/>
      <c r="J1435" s="816"/>
      <c r="K1435" s="816"/>
      <c r="M1435" s="816"/>
      <c r="N1435" s="816"/>
      <c r="O1435" s="816"/>
      <c r="P1435" s="816"/>
      <c r="Q1435" s="816"/>
      <c r="R1435" s="816"/>
      <c r="S1435" s="816"/>
      <c r="T1435" s="816"/>
      <c r="U1435" s="816"/>
      <c r="V1435" s="816"/>
      <c r="W1435" s="816"/>
      <c r="X1435" s="816"/>
      <c r="Y1435" s="816"/>
      <c r="Z1435" s="816"/>
      <c r="AC1435" s="816"/>
      <c r="AD1435" s="816"/>
      <c r="AE1435" s="816"/>
      <c r="AF1435" s="816"/>
      <c r="AG1435" s="816"/>
      <c r="AH1435" s="816"/>
      <c r="AI1435" s="816"/>
      <c r="AJ1435" s="816"/>
      <c r="AL1435" s="816"/>
      <c r="AM1435" s="816"/>
      <c r="AN1435" s="816"/>
      <c r="AO1435" s="816"/>
      <c r="AP1435" s="816"/>
      <c r="AQ1435" s="816"/>
      <c r="AR1435" s="816"/>
      <c r="AS1435" s="816"/>
      <c r="AT1435" s="816"/>
      <c r="AU1435" s="816"/>
      <c r="AV1435" s="816"/>
      <c r="AW1435" s="816"/>
      <c r="AX1435" s="816"/>
      <c r="AY1435" s="816"/>
      <c r="AZ1435" s="816"/>
      <c r="BA1435" s="816"/>
      <c r="BC1435" s="816"/>
      <c r="BD1435" s="816"/>
      <c r="BE1435" s="816"/>
      <c r="BF1435" s="816"/>
      <c r="BG1435" s="816"/>
      <c r="BH1435" s="816"/>
      <c r="BI1435" s="816"/>
      <c r="BJ1435" s="816"/>
      <c r="BK1435" s="816"/>
      <c r="BM1435" s="816"/>
      <c r="BN1435" s="816"/>
      <c r="BO1435" s="816"/>
      <c r="BQ1435" s="816"/>
      <c r="BR1435" s="816"/>
      <c r="BS1435" s="816"/>
      <c r="BT1435" s="816"/>
      <c r="BU1435" s="816"/>
    </row>
    <row r="1436" spans="1:73" x14ac:dyDescent="0.35">
      <c r="A1436" s="806" t="s">
        <v>880</v>
      </c>
      <c r="B1436" s="806" t="s">
        <v>1262</v>
      </c>
      <c r="C1436" s="806"/>
      <c r="D1436" s="806"/>
      <c r="E1436" s="806"/>
      <c r="F1436" s="806"/>
      <c r="I1436" s="816"/>
      <c r="J1436" s="816"/>
      <c r="K1436" s="816"/>
      <c r="M1436" s="816"/>
      <c r="N1436" s="816"/>
      <c r="O1436" s="816"/>
      <c r="P1436" s="816"/>
      <c r="Q1436" s="816"/>
      <c r="R1436" s="816"/>
      <c r="S1436" s="816"/>
      <c r="T1436" s="816"/>
      <c r="U1436" s="816"/>
      <c r="V1436" s="816"/>
      <c r="W1436" s="816"/>
      <c r="X1436" s="816"/>
      <c r="Y1436" s="816"/>
      <c r="Z1436" s="816"/>
      <c r="AC1436" s="816"/>
      <c r="AD1436" s="816"/>
      <c r="AE1436" s="816"/>
      <c r="AF1436" s="816"/>
      <c r="AG1436" s="816"/>
      <c r="AH1436" s="816"/>
      <c r="AI1436" s="816"/>
      <c r="AJ1436" s="816"/>
      <c r="AL1436" s="816"/>
      <c r="AM1436" s="816"/>
      <c r="AN1436" s="816"/>
      <c r="AO1436" s="816"/>
      <c r="AP1436" s="816"/>
      <c r="AQ1436" s="816"/>
      <c r="AR1436" s="816"/>
      <c r="AS1436" s="816"/>
      <c r="AT1436" s="816"/>
      <c r="AU1436" s="816"/>
      <c r="AV1436" s="816"/>
      <c r="AW1436" s="816"/>
      <c r="AX1436" s="816"/>
      <c r="AY1436" s="816"/>
      <c r="AZ1436" s="816"/>
      <c r="BA1436" s="816"/>
      <c r="BC1436" s="816"/>
      <c r="BD1436" s="816"/>
      <c r="BE1436" s="816"/>
      <c r="BF1436" s="816"/>
      <c r="BG1436" s="816"/>
      <c r="BH1436" s="816"/>
      <c r="BI1436" s="816"/>
      <c r="BJ1436" s="816"/>
      <c r="BK1436" s="816"/>
      <c r="BM1436" s="816"/>
      <c r="BN1436" s="816"/>
      <c r="BO1436" s="816"/>
      <c r="BQ1436" s="816"/>
      <c r="BR1436" s="816"/>
      <c r="BS1436" s="816"/>
      <c r="BT1436" s="816"/>
      <c r="BU1436" s="816"/>
    </row>
    <row r="1437" spans="1:73" x14ac:dyDescent="0.35">
      <c r="A1437" s="806" t="s">
        <v>880</v>
      </c>
      <c r="B1437" s="806" t="s">
        <v>1251</v>
      </c>
      <c r="C1437" s="806"/>
      <c r="D1437" s="806"/>
      <c r="E1437" s="806"/>
      <c r="F1437" s="806"/>
      <c r="I1437" s="816"/>
      <c r="J1437" s="816"/>
      <c r="K1437" s="816"/>
      <c r="M1437" s="816"/>
      <c r="N1437" s="816"/>
      <c r="O1437" s="816"/>
      <c r="P1437" s="816"/>
      <c r="Q1437" s="816"/>
      <c r="R1437" s="816"/>
      <c r="S1437" s="816"/>
      <c r="T1437" s="816"/>
      <c r="U1437" s="816"/>
      <c r="V1437" s="816"/>
      <c r="W1437" s="816"/>
      <c r="X1437" s="816"/>
      <c r="Y1437" s="816"/>
      <c r="Z1437" s="816"/>
      <c r="AC1437" s="816"/>
      <c r="AD1437" s="816"/>
      <c r="AE1437" s="816"/>
      <c r="AF1437" s="816"/>
      <c r="AG1437" s="816"/>
      <c r="AH1437" s="816"/>
      <c r="AI1437" s="816"/>
      <c r="AJ1437" s="816"/>
      <c r="AL1437" s="816"/>
      <c r="AM1437" s="816"/>
      <c r="AN1437" s="816"/>
      <c r="AO1437" s="816"/>
      <c r="AP1437" s="816"/>
      <c r="AQ1437" s="816"/>
      <c r="AR1437" s="816"/>
      <c r="AS1437" s="816"/>
      <c r="AT1437" s="816"/>
      <c r="AU1437" s="816"/>
      <c r="AV1437" s="816"/>
      <c r="AW1437" s="816"/>
      <c r="AX1437" s="816"/>
      <c r="AY1437" s="816"/>
      <c r="AZ1437" s="816"/>
      <c r="BA1437" s="816"/>
      <c r="BC1437" s="816"/>
      <c r="BD1437" s="816"/>
      <c r="BE1437" s="816"/>
      <c r="BF1437" s="816"/>
      <c r="BG1437" s="816"/>
      <c r="BH1437" s="816"/>
      <c r="BI1437" s="816"/>
      <c r="BJ1437" s="816"/>
      <c r="BK1437" s="816"/>
      <c r="BM1437" s="816"/>
      <c r="BN1437" s="816"/>
      <c r="BO1437" s="816"/>
      <c r="BQ1437" s="816"/>
      <c r="BR1437" s="816"/>
      <c r="BS1437" s="816"/>
      <c r="BT1437" s="816"/>
      <c r="BU1437" s="816"/>
    </row>
    <row r="1438" spans="1:73" x14ac:dyDescent="0.35">
      <c r="A1438" s="806" t="s">
        <v>880</v>
      </c>
      <c r="B1438" s="806" t="s">
        <v>1252</v>
      </c>
      <c r="C1438" s="806"/>
      <c r="D1438" s="806"/>
      <c r="E1438" s="806"/>
      <c r="F1438" s="806"/>
      <c r="I1438" s="816"/>
      <c r="J1438" s="816"/>
      <c r="K1438" s="816"/>
      <c r="M1438" s="816"/>
      <c r="N1438" s="816"/>
      <c r="O1438" s="816"/>
      <c r="P1438" s="816"/>
      <c r="Q1438" s="816"/>
      <c r="R1438" s="816"/>
      <c r="S1438" s="816"/>
      <c r="T1438" s="816"/>
      <c r="U1438" s="816"/>
      <c r="V1438" s="816"/>
      <c r="W1438" s="816"/>
      <c r="X1438" s="816"/>
      <c r="Y1438" s="816"/>
      <c r="Z1438" s="816"/>
      <c r="AC1438" s="816"/>
      <c r="AD1438" s="816"/>
      <c r="AE1438" s="816"/>
      <c r="AF1438" s="816"/>
      <c r="AG1438" s="816"/>
      <c r="AH1438" s="816"/>
      <c r="AI1438" s="816"/>
      <c r="AJ1438" s="816"/>
      <c r="AL1438" s="816"/>
      <c r="AM1438" s="816"/>
      <c r="AN1438" s="816"/>
      <c r="AO1438" s="816"/>
      <c r="AP1438" s="816"/>
      <c r="AQ1438" s="816"/>
      <c r="AR1438" s="816"/>
      <c r="AS1438" s="816"/>
      <c r="AT1438" s="816"/>
      <c r="AU1438" s="816"/>
      <c r="AV1438" s="816"/>
      <c r="AW1438" s="816"/>
      <c r="AX1438" s="816"/>
      <c r="AY1438" s="816"/>
      <c r="AZ1438" s="816"/>
      <c r="BA1438" s="816"/>
      <c r="BC1438" s="816"/>
      <c r="BD1438" s="816"/>
      <c r="BE1438" s="816"/>
      <c r="BF1438" s="816"/>
      <c r="BG1438" s="816"/>
      <c r="BH1438" s="816"/>
      <c r="BI1438" s="816"/>
      <c r="BJ1438" s="816"/>
      <c r="BK1438" s="816"/>
      <c r="BM1438" s="816"/>
      <c r="BN1438" s="816"/>
      <c r="BO1438" s="816"/>
      <c r="BQ1438" s="816"/>
      <c r="BR1438" s="816"/>
      <c r="BS1438" s="816"/>
      <c r="BT1438" s="816"/>
      <c r="BU1438" s="816"/>
    </row>
    <row r="1439" spans="1:73" ht="29" x14ac:dyDescent="0.35">
      <c r="A1439" s="806" t="s">
        <v>888</v>
      </c>
      <c r="B1439" s="806" t="s">
        <v>889</v>
      </c>
      <c r="C1439" s="806"/>
      <c r="D1439" s="806"/>
      <c r="E1439" s="806"/>
      <c r="F1439" s="806"/>
      <c r="G1439" s="816"/>
      <c r="I1439" s="816"/>
      <c r="J1439" s="816"/>
      <c r="K1439" s="816"/>
      <c r="M1439" s="816"/>
      <c r="N1439" s="816"/>
      <c r="O1439" s="816"/>
      <c r="P1439" s="816"/>
      <c r="Q1439" s="816"/>
      <c r="R1439" s="816"/>
      <c r="S1439" s="816"/>
      <c r="T1439" s="816"/>
      <c r="U1439" s="816"/>
      <c r="V1439" s="816"/>
      <c r="W1439" s="816"/>
      <c r="X1439" s="816"/>
      <c r="Y1439" s="816"/>
      <c r="Z1439" s="816"/>
      <c r="AA1439" s="816"/>
      <c r="AC1439" s="816"/>
      <c r="AD1439" s="816"/>
      <c r="AE1439" s="816"/>
      <c r="AF1439" s="816"/>
      <c r="AG1439" s="816"/>
      <c r="AH1439" s="817"/>
      <c r="AI1439" s="816"/>
      <c r="AJ1439" s="816"/>
      <c r="AL1439" s="816"/>
      <c r="AM1439" s="816"/>
      <c r="AN1439" s="816"/>
      <c r="AO1439" s="816"/>
      <c r="AP1439" s="816"/>
      <c r="AQ1439" s="816"/>
      <c r="AR1439" s="816"/>
      <c r="AS1439" s="816"/>
      <c r="AT1439" s="816"/>
      <c r="AU1439" s="816"/>
      <c r="AV1439" s="816"/>
      <c r="AW1439" s="816"/>
      <c r="AX1439" s="816"/>
      <c r="AY1439" s="816"/>
      <c r="AZ1439" s="816"/>
      <c r="BA1439" s="816"/>
      <c r="BC1439" s="816"/>
      <c r="BD1439" s="816"/>
      <c r="BE1439" s="816"/>
      <c r="BF1439" s="816"/>
      <c r="BG1439" s="816"/>
      <c r="BH1439" s="816"/>
      <c r="BI1439" s="816"/>
      <c r="BJ1439" s="816"/>
      <c r="BK1439" s="817"/>
      <c r="BL1439" s="816"/>
      <c r="BM1439" s="816"/>
      <c r="BN1439" s="816"/>
      <c r="BO1439" s="816"/>
      <c r="BQ1439" s="816"/>
      <c r="BR1439" s="816"/>
      <c r="BS1439" s="816"/>
      <c r="BT1439" s="816"/>
      <c r="BU1439" s="816"/>
    </row>
    <row r="1440" spans="1:73" x14ac:dyDescent="0.35">
      <c r="A1440" s="806" t="s">
        <v>888</v>
      </c>
      <c r="B1440" s="806" t="s">
        <v>1281</v>
      </c>
      <c r="C1440" s="806"/>
      <c r="D1440" s="806"/>
      <c r="E1440" s="806"/>
      <c r="F1440" s="806"/>
      <c r="I1440" s="817"/>
      <c r="J1440" s="817"/>
      <c r="K1440" s="817"/>
      <c r="M1440" s="817"/>
      <c r="N1440" s="817"/>
      <c r="O1440" s="817"/>
      <c r="P1440" s="817"/>
      <c r="Q1440" s="817"/>
      <c r="R1440" s="817"/>
      <c r="S1440" s="817"/>
      <c r="T1440" s="817"/>
      <c r="U1440" s="817"/>
      <c r="V1440" s="817"/>
      <c r="W1440" s="817"/>
      <c r="X1440" s="817"/>
      <c r="Y1440" s="817"/>
      <c r="Z1440" s="817"/>
      <c r="AC1440" s="817"/>
      <c r="AD1440" s="817"/>
      <c r="AE1440" s="817"/>
      <c r="AF1440" s="817"/>
      <c r="AG1440" s="817"/>
      <c r="AH1440" s="817"/>
      <c r="AI1440" s="817"/>
      <c r="AJ1440" s="817"/>
      <c r="AL1440" s="817"/>
      <c r="AM1440" s="817"/>
      <c r="AN1440" s="817"/>
      <c r="AO1440" s="817"/>
      <c r="AP1440" s="817"/>
      <c r="AQ1440" s="817"/>
      <c r="AR1440" s="817"/>
      <c r="AS1440" s="817"/>
      <c r="AT1440" s="817"/>
      <c r="AU1440" s="817"/>
      <c r="AV1440" s="817"/>
      <c r="AW1440" s="817"/>
      <c r="AX1440" s="817"/>
      <c r="AY1440" s="817"/>
      <c r="AZ1440" s="817"/>
      <c r="BA1440" s="817"/>
      <c r="BC1440" s="817"/>
      <c r="BD1440" s="817"/>
      <c r="BE1440" s="817"/>
      <c r="BF1440" s="817"/>
      <c r="BG1440" s="817"/>
      <c r="BH1440" s="817"/>
      <c r="BI1440" s="817"/>
      <c r="BJ1440" s="817"/>
      <c r="BK1440" s="817"/>
      <c r="BM1440" s="817"/>
      <c r="BN1440" s="817"/>
      <c r="BO1440" s="817"/>
      <c r="BQ1440" s="817"/>
      <c r="BR1440" s="817"/>
      <c r="BS1440" s="817"/>
      <c r="BT1440" s="817"/>
      <c r="BU1440" s="817"/>
    </row>
    <row r="1441" spans="1:73" ht="29" x14ac:dyDescent="0.35">
      <c r="A1441" s="806" t="s">
        <v>888</v>
      </c>
      <c r="B1441" s="806" t="s">
        <v>1277</v>
      </c>
      <c r="C1441" s="806"/>
      <c r="D1441" s="806"/>
      <c r="E1441" s="806"/>
      <c r="F1441" s="806"/>
      <c r="I1441" s="817"/>
      <c r="J1441" s="817"/>
      <c r="K1441" s="817"/>
      <c r="M1441" s="817"/>
      <c r="N1441" s="817"/>
      <c r="O1441" s="817"/>
      <c r="P1441" s="817"/>
      <c r="Q1441" s="817"/>
      <c r="R1441" s="817"/>
      <c r="S1441" s="817"/>
      <c r="T1441" s="817"/>
      <c r="U1441" s="817"/>
      <c r="V1441" s="817"/>
      <c r="W1441" s="817"/>
      <c r="X1441" s="817"/>
      <c r="Y1441" s="817"/>
      <c r="Z1441" s="817"/>
      <c r="AC1441" s="817"/>
      <c r="AD1441" s="817"/>
      <c r="AE1441" s="817"/>
      <c r="AF1441" s="817"/>
      <c r="AG1441" s="817"/>
      <c r="AH1441" s="817"/>
      <c r="AI1441" s="817"/>
      <c r="AJ1441" s="817"/>
      <c r="AL1441" s="817"/>
      <c r="AM1441" s="817"/>
      <c r="AN1441" s="817"/>
      <c r="AO1441" s="817"/>
      <c r="AP1441" s="817"/>
      <c r="AQ1441" s="817"/>
      <c r="AR1441" s="817"/>
      <c r="AS1441" s="817"/>
      <c r="AT1441" s="817"/>
      <c r="AU1441" s="817"/>
      <c r="AV1441" s="817"/>
      <c r="AW1441" s="817"/>
      <c r="AX1441" s="817"/>
      <c r="AY1441" s="817"/>
      <c r="AZ1441" s="817"/>
      <c r="BA1441" s="817"/>
      <c r="BC1441" s="817"/>
      <c r="BD1441" s="817"/>
      <c r="BE1441" s="817"/>
      <c r="BF1441" s="817"/>
      <c r="BG1441" s="817"/>
      <c r="BH1441" s="817"/>
      <c r="BI1441" s="817"/>
      <c r="BJ1441" s="817"/>
      <c r="BK1441" s="817"/>
      <c r="BM1441" s="817"/>
      <c r="BN1441" s="817"/>
      <c r="BO1441" s="817"/>
      <c r="BQ1441" s="817"/>
      <c r="BR1441" s="817"/>
      <c r="BS1441" s="817"/>
      <c r="BT1441" s="817"/>
      <c r="BU1441" s="817"/>
    </row>
    <row r="1442" spans="1:73" ht="29" x14ac:dyDescent="0.35">
      <c r="A1442" s="806" t="s">
        <v>888</v>
      </c>
      <c r="B1442" s="806" t="s">
        <v>1283</v>
      </c>
      <c r="C1442" s="806"/>
      <c r="D1442" s="806"/>
      <c r="E1442" s="806"/>
      <c r="F1442" s="806"/>
      <c r="I1442" s="817"/>
      <c r="J1442" s="817"/>
      <c r="K1442" s="817"/>
      <c r="M1442" s="817"/>
      <c r="N1442" s="817"/>
      <c r="O1442" s="817"/>
      <c r="P1442" s="817"/>
      <c r="Q1442" s="817"/>
      <c r="R1442" s="817"/>
      <c r="S1442" s="817"/>
      <c r="T1442" s="817"/>
      <c r="U1442" s="817"/>
      <c r="V1442" s="817"/>
      <c r="W1442" s="817"/>
      <c r="X1442" s="817"/>
      <c r="Y1442" s="817"/>
      <c r="Z1442" s="817"/>
      <c r="AC1442" s="817"/>
      <c r="AD1442" s="817"/>
      <c r="AE1442" s="817"/>
      <c r="AF1442" s="817"/>
      <c r="AG1442" s="817"/>
      <c r="AH1442" s="817"/>
      <c r="AI1442" s="817"/>
      <c r="AJ1442" s="817"/>
      <c r="AL1442" s="817"/>
      <c r="AM1442" s="817"/>
      <c r="AN1442" s="817"/>
      <c r="AO1442" s="817"/>
      <c r="AP1442" s="817"/>
      <c r="AQ1442" s="817"/>
      <c r="AR1442" s="817"/>
      <c r="AS1442" s="817"/>
      <c r="AT1442" s="817"/>
      <c r="AU1442" s="817"/>
      <c r="AV1442" s="817"/>
      <c r="AW1442" s="817"/>
      <c r="AX1442" s="817"/>
      <c r="AY1442" s="817"/>
      <c r="AZ1442" s="817"/>
      <c r="BA1442" s="817"/>
      <c r="BC1442" s="817"/>
      <c r="BD1442" s="817"/>
      <c r="BE1442" s="817"/>
      <c r="BF1442" s="817"/>
      <c r="BG1442" s="817"/>
      <c r="BH1442" s="817"/>
      <c r="BI1442" s="817"/>
      <c r="BJ1442" s="817"/>
      <c r="BK1442" s="817"/>
      <c r="BM1442" s="817"/>
      <c r="BN1442" s="817"/>
      <c r="BO1442" s="817"/>
      <c r="BQ1442" s="817"/>
      <c r="BR1442" s="817"/>
      <c r="BS1442" s="817"/>
      <c r="BT1442" s="817"/>
      <c r="BU1442" s="817"/>
    </row>
    <row r="1443" spans="1:73" x14ac:dyDescent="0.35">
      <c r="A1443" s="806" t="s">
        <v>888</v>
      </c>
      <c r="B1443" s="806" t="s">
        <v>1278</v>
      </c>
      <c r="C1443" s="806"/>
      <c r="D1443" s="806"/>
      <c r="E1443" s="806"/>
      <c r="F1443" s="806"/>
      <c r="I1443" s="817"/>
      <c r="J1443" s="817"/>
      <c r="K1443" s="817"/>
      <c r="M1443" s="817"/>
      <c r="N1443" s="817"/>
      <c r="O1443" s="817"/>
      <c r="P1443" s="817"/>
      <c r="Q1443" s="817"/>
      <c r="R1443" s="817"/>
      <c r="S1443" s="817"/>
      <c r="T1443" s="817"/>
      <c r="U1443" s="817"/>
      <c r="V1443" s="817"/>
      <c r="W1443" s="817"/>
      <c r="X1443" s="817"/>
      <c r="Y1443" s="817"/>
      <c r="Z1443" s="817"/>
      <c r="AC1443" s="817"/>
      <c r="AD1443" s="817"/>
      <c r="AE1443" s="817"/>
      <c r="AF1443" s="817"/>
      <c r="AG1443" s="817"/>
      <c r="AH1443" s="817"/>
      <c r="AI1443" s="817"/>
      <c r="AJ1443" s="817"/>
      <c r="AL1443" s="817"/>
      <c r="AM1443" s="817"/>
      <c r="AN1443" s="817"/>
      <c r="AO1443" s="817"/>
      <c r="AP1443" s="817"/>
      <c r="AQ1443" s="817"/>
      <c r="AR1443" s="817"/>
      <c r="AS1443" s="817"/>
      <c r="AT1443" s="817"/>
      <c r="AU1443" s="817"/>
      <c r="AV1443" s="817"/>
      <c r="AW1443" s="817"/>
      <c r="AX1443" s="817"/>
      <c r="AY1443" s="817"/>
      <c r="AZ1443" s="817"/>
      <c r="BA1443" s="817"/>
      <c r="BC1443" s="817"/>
      <c r="BD1443" s="817"/>
      <c r="BE1443" s="817"/>
      <c r="BF1443" s="817"/>
      <c r="BG1443" s="817"/>
      <c r="BH1443" s="817"/>
      <c r="BI1443" s="817"/>
      <c r="BJ1443" s="817"/>
      <c r="BK1443" s="817"/>
      <c r="BM1443" s="817"/>
      <c r="BN1443" s="817"/>
      <c r="BO1443" s="817"/>
      <c r="BQ1443" s="817"/>
      <c r="BR1443" s="817"/>
      <c r="BS1443" s="817"/>
      <c r="BT1443" s="817"/>
      <c r="BU1443" s="817"/>
    </row>
    <row r="1444" spans="1:73" ht="29" x14ac:dyDescent="0.35">
      <c r="A1444" s="806" t="s">
        <v>888</v>
      </c>
      <c r="B1444" s="806" t="s">
        <v>1276</v>
      </c>
      <c r="C1444" s="806"/>
      <c r="D1444" s="806"/>
      <c r="E1444" s="806"/>
      <c r="F1444" s="806"/>
      <c r="I1444" s="817"/>
      <c r="J1444" s="817"/>
      <c r="K1444" s="817"/>
      <c r="M1444" s="817"/>
      <c r="N1444" s="817"/>
      <c r="O1444" s="817"/>
      <c r="P1444" s="817"/>
      <c r="Q1444" s="817"/>
      <c r="R1444" s="817"/>
      <c r="S1444" s="817"/>
      <c r="T1444" s="817"/>
      <c r="U1444" s="817"/>
      <c r="V1444" s="817"/>
      <c r="W1444" s="817"/>
      <c r="X1444" s="817"/>
      <c r="Y1444" s="817"/>
      <c r="Z1444" s="817"/>
      <c r="AC1444" s="817"/>
      <c r="AD1444" s="817"/>
      <c r="AE1444" s="817"/>
      <c r="AF1444" s="817"/>
      <c r="AG1444" s="817"/>
      <c r="AH1444" s="817"/>
      <c r="AI1444" s="817"/>
      <c r="AJ1444" s="817"/>
      <c r="AL1444" s="817"/>
      <c r="AM1444" s="817"/>
      <c r="AN1444" s="817"/>
      <c r="AO1444" s="817"/>
      <c r="AP1444" s="817"/>
      <c r="AQ1444" s="817"/>
      <c r="AR1444" s="817"/>
      <c r="AS1444" s="817"/>
      <c r="AT1444" s="817"/>
      <c r="AU1444" s="817"/>
      <c r="AV1444" s="817"/>
      <c r="AW1444" s="817"/>
      <c r="AX1444" s="817"/>
      <c r="AY1444" s="817"/>
      <c r="AZ1444" s="817"/>
      <c r="BA1444" s="817"/>
      <c r="BC1444" s="817"/>
      <c r="BD1444" s="817"/>
      <c r="BE1444" s="817"/>
      <c r="BF1444" s="817"/>
      <c r="BG1444" s="817"/>
      <c r="BH1444" s="817"/>
      <c r="BI1444" s="817"/>
      <c r="BJ1444" s="817"/>
      <c r="BK1444" s="817"/>
      <c r="BM1444" s="817"/>
      <c r="BN1444" s="817"/>
      <c r="BO1444" s="817"/>
      <c r="BQ1444" s="817"/>
      <c r="BR1444" s="817"/>
      <c r="BS1444" s="817"/>
      <c r="BT1444" s="817"/>
      <c r="BU1444" s="817"/>
    </row>
    <row r="1445" spans="1:73" ht="29" x14ac:dyDescent="0.35">
      <c r="A1445" s="806" t="s">
        <v>888</v>
      </c>
      <c r="B1445" s="806" t="s">
        <v>1280</v>
      </c>
      <c r="C1445" s="806"/>
      <c r="D1445" s="806"/>
      <c r="E1445" s="806"/>
      <c r="F1445" s="806"/>
      <c r="I1445" s="817"/>
      <c r="J1445" s="817"/>
      <c r="K1445" s="817"/>
      <c r="M1445" s="817"/>
      <c r="N1445" s="817"/>
      <c r="O1445" s="817"/>
      <c r="P1445" s="817"/>
      <c r="Q1445" s="817"/>
      <c r="R1445" s="817"/>
      <c r="S1445" s="817"/>
      <c r="T1445" s="817"/>
      <c r="U1445" s="817"/>
      <c r="V1445" s="817"/>
      <c r="W1445" s="817"/>
      <c r="X1445" s="817"/>
      <c r="Y1445" s="817"/>
      <c r="Z1445" s="817"/>
      <c r="AC1445" s="817"/>
      <c r="AD1445" s="817"/>
      <c r="AE1445" s="817"/>
      <c r="AF1445" s="817"/>
      <c r="AG1445" s="817"/>
      <c r="AH1445" s="817"/>
      <c r="AI1445" s="817"/>
      <c r="AJ1445" s="817"/>
      <c r="AL1445" s="817"/>
      <c r="AM1445" s="817"/>
      <c r="AN1445" s="817"/>
      <c r="AO1445" s="817"/>
      <c r="AP1445" s="817"/>
      <c r="AQ1445" s="817"/>
      <c r="AR1445" s="817"/>
      <c r="AS1445" s="817"/>
      <c r="AT1445" s="817"/>
      <c r="AU1445" s="817"/>
      <c r="AV1445" s="817"/>
      <c r="AW1445" s="817"/>
      <c r="AX1445" s="817"/>
      <c r="AY1445" s="817"/>
      <c r="AZ1445" s="817"/>
      <c r="BA1445" s="817"/>
      <c r="BC1445" s="817"/>
      <c r="BD1445" s="817"/>
      <c r="BE1445" s="817"/>
      <c r="BF1445" s="817"/>
      <c r="BG1445" s="817"/>
      <c r="BH1445" s="817"/>
      <c r="BI1445" s="817"/>
      <c r="BJ1445" s="817"/>
      <c r="BK1445" s="817"/>
      <c r="BM1445" s="817"/>
      <c r="BN1445" s="817"/>
      <c r="BO1445" s="817"/>
      <c r="BQ1445" s="817"/>
      <c r="BR1445" s="817"/>
      <c r="BS1445" s="817"/>
      <c r="BT1445" s="817"/>
      <c r="BU1445" s="817"/>
    </row>
    <row r="1446" spans="1:73" ht="29" x14ac:dyDescent="0.35">
      <c r="A1446" s="806" t="s">
        <v>888</v>
      </c>
      <c r="B1446" s="806" t="s">
        <v>1279</v>
      </c>
      <c r="C1446" s="806"/>
      <c r="D1446" s="806"/>
      <c r="E1446" s="806"/>
      <c r="F1446" s="806"/>
      <c r="I1446" s="817"/>
      <c r="J1446" s="817"/>
      <c r="K1446" s="817"/>
      <c r="M1446" s="817"/>
      <c r="N1446" s="817"/>
      <c r="O1446" s="817"/>
      <c r="P1446" s="817"/>
      <c r="Q1446" s="817"/>
      <c r="R1446" s="817"/>
      <c r="S1446" s="817"/>
      <c r="T1446" s="817"/>
      <c r="U1446" s="817"/>
      <c r="V1446" s="817"/>
      <c r="W1446" s="817"/>
      <c r="X1446" s="817"/>
      <c r="Y1446" s="817"/>
      <c r="Z1446" s="817"/>
      <c r="AC1446" s="817"/>
      <c r="AD1446" s="817"/>
      <c r="AE1446" s="817"/>
      <c r="AF1446" s="817"/>
      <c r="AG1446" s="817"/>
      <c r="AH1446" s="817"/>
      <c r="AI1446" s="817"/>
      <c r="AJ1446" s="817"/>
      <c r="AL1446" s="817"/>
      <c r="AM1446" s="817"/>
      <c r="AN1446" s="817"/>
      <c r="AO1446" s="817"/>
      <c r="AP1446" s="817"/>
      <c r="AQ1446" s="817"/>
      <c r="AR1446" s="817"/>
      <c r="AS1446" s="817"/>
      <c r="AT1446" s="817"/>
      <c r="AU1446" s="817"/>
      <c r="AV1446" s="817"/>
      <c r="AW1446" s="817"/>
      <c r="AX1446" s="817"/>
      <c r="AY1446" s="817"/>
      <c r="AZ1446" s="817"/>
      <c r="BA1446" s="817"/>
      <c r="BC1446" s="817"/>
      <c r="BD1446" s="817"/>
      <c r="BE1446" s="817"/>
      <c r="BF1446" s="817"/>
      <c r="BG1446" s="817"/>
      <c r="BH1446" s="817"/>
      <c r="BI1446" s="817"/>
      <c r="BJ1446" s="817"/>
      <c r="BK1446" s="817"/>
      <c r="BM1446" s="817"/>
      <c r="BN1446" s="817"/>
      <c r="BO1446" s="817"/>
      <c r="BQ1446" s="817"/>
      <c r="BR1446" s="817"/>
      <c r="BS1446" s="817"/>
      <c r="BT1446" s="817"/>
      <c r="BU1446" s="817"/>
    </row>
    <row r="1447" spans="1:73" x14ac:dyDescent="0.35">
      <c r="A1447" s="806" t="s">
        <v>888</v>
      </c>
      <c r="B1447" s="806" t="s">
        <v>891</v>
      </c>
      <c r="C1447" s="806"/>
      <c r="D1447" s="806"/>
      <c r="E1447" s="806"/>
      <c r="F1447" s="806"/>
      <c r="G1447" s="817"/>
      <c r="I1447" s="817"/>
      <c r="J1447" s="817"/>
      <c r="K1447" s="817"/>
      <c r="M1447" s="817"/>
      <c r="N1447" s="817"/>
      <c r="O1447" s="817"/>
      <c r="P1447" s="817"/>
      <c r="Q1447" s="817"/>
      <c r="R1447" s="817"/>
      <c r="S1447" s="817"/>
      <c r="T1447" s="817"/>
      <c r="U1447" s="817"/>
      <c r="V1447" s="817"/>
      <c r="W1447" s="817"/>
      <c r="X1447" s="817"/>
      <c r="Y1447" s="817"/>
      <c r="Z1447" s="817"/>
      <c r="AA1447" s="811"/>
      <c r="AC1447" s="817"/>
      <c r="AD1447" s="817"/>
      <c r="AE1447" s="817"/>
      <c r="AF1447" s="817"/>
      <c r="AG1447" s="817"/>
      <c r="AH1447" s="817"/>
      <c r="AI1447" s="817"/>
      <c r="AJ1447" s="817"/>
      <c r="AL1447" s="817"/>
      <c r="AM1447" s="817"/>
      <c r="AN1447" s="817"/>
      <c r="AO1447" s="817"/>
      <c r="AP1447" s="817"/>
      <c r="AQ1447" s="817"/>
      <c r="AR1447" s="817"/>
      <c r="AS1447" s="817"/>
      <c r="AT1447" s="817"/>
      <c r="AU1447" s="817"/>
      <c r="AV1447" s="817"/>
      <c r="AW1447" s="817"/>
      <c r="AX1447" s="817"/>
      <c r="AY1447" s="817"/>
      <c r="AZ1447" s="817"/>
      <c r="BA1447" s="817"/>
      <c r="BC1447" s="817"/>
      <c r="BD1447" s="817"/>
      <c r="BE1447" s="817"/>
      <c r="BF1447" s="817"/>
      <c r="BG1447" s="817"/>
      <c r="BH1447" s="817"/>
      <c r="BI1447" s="817"/>
      <c r="BJ1447" s="817"/>
      <c r="BK1447" s="817"/>
      <c r="BL1447" s="816"/>
      <c r="BM1447" s="817"/>
      <c r="BN1447" s="817"/>
      <c r="BO1447" s="817"/>
      <c r="BQ1447" s="817"/>
      <c r="BR1447" s="817"/>
      <c r="BS1447" s="817"/>
      <c r="BT1447" s="817"/>
      <c r="BU1447" s="817"/>
    </row>
    <row r="1448" spans="1:73" x14ac:dyDescent="0.35">
      <c r="A1448" s="806" t="s">
        <v>888</v>
      </c>
      <c r="B1448" s="806" t="s">
        <v>892</v>
      </c>
      <c r="C1448" s="806"/>
      <c r="D1448" s="806"/>
      <c r="E1448" s="806"/>
      <c r="F1448" s="806"/>
      <c r="G1448" s="817"/>
      <c r="I1448" s="818"/>
      <c r="J1448" s="818"/>
      <c r="K1448" s="818"/>
      <c r="M1448" s="818"/>
      <c r="N1448" s="818"/>
      <c r="O1448" s="818"/>
      <c r="P1448" s="818"/>
      <c r="Q1448" s="818"/>
      <c r="R1448" s="818"/>
      <c r="S1448" s="818"/>
      <c r="T1448" s="818"/>
      <c r="U1448" s="818"/>
      <c r="V1448" s="818"/>
      <c r="W1448" s="818"/>
      <c r="X1448" s="818"/>
      <c r="Y1448" s="818"/>
      <c r="Z1448" s="818"/>
      <c r="AA1448" s="816"/>
      <c r="AC1448" s="818"/>
      <c r="AD1448" s="818"/>
      <c r="AE1448" s="818"/>
      <c r="AF1448" s="818"/>
      <c r="AG1448" s="818"/>
      <c r="AH1448" s="818"/>
      <c r="AI1448" s="818"/>
      <c r="AJ1448" s="818"/>
      <c r="AL1448" s="818"/>
      <c r="AM1448" s="818"/>
      <c r="AN1448" s="818"/>
      <c r="AO1448" s="818"/>
      <c r="AP1448" s="818"/>
      <c r="AQ1448" s="818"/>
      <c r="AR1448" s="818"/>
      <c r="AS1448" s="818"/>
      <c r="AT1448" s="818"/>
      <c r="AU1448" s="818"/>
      <c r="AV1448" s="818"/>
      <c r="AW1448" s="818"/>
      <c r="AX1448" s="818"/>
      <c r="AY1448" s="818"/>
      <c r="AZ1448" s="818"/>
      <c r="BA1448" s="818"/>
      <c r="BC1448" s="818"/>
      <c r="BD1448" s="818"/>
      <c r="BE1448" s="818"/>
      <c r="BF1448" s="818"/>
      <c r="BG1448" s="818"/>
      <c r="BH1448" s="818"/>
      <c r="BI1448" s="818"/>
      <c r="BJ1448" s="818"/>
      <c r="BK1448" s="818"/>
      <c r="BL1448" s="816"/>
      <c r="BM1448" s="818"/>
      <c r="BN1448" s="818"/>
      <c r="BO1448" s="818"/>
      <c r="BQ1448" s="818"/>
      <c r="BR1448" s="818"/>
      <c r="BS1448" s="818"/>
      <c r="BT1448" s="818"/>
      <c r="BU1448" s="818"/>
    </row>
    <row r="1449" spans="1:73" ht="29" x14ac:dyDescent="0.35">
      <c r="A1449" s="806" t="s">
        <v>888</v>
      </c>
      <c r="B1449" s="806" t="s">
        <v>1282</v>
      </c>
      <c r="C1449" s="806"/>
      <c r="D1449" s="806"/>
      <c r="E1449" s="806"/>
      <c r="F1449" s="806"/>
      <c r="I1449" s="817"/>
      <c r="J1449" s="817"/>
      <c r="K1449" s="817"/>
      <c r="M1449" s="817"/>
      <c r="N1449" s="817"/>
      <c r="O1449" s="817"/>
      <c r="P1449" s="817"/>
      <c r="Q1449" s="817"/>
      <c r="R1449" s="817"/>
      <c r="S1449" s="817"/>
      <c r="T1449" s="817"/>
      <c r="U1449" s="817"/>
      <c r="V1449" s="817"/>
      <c r="W1449" s="817"/>
      <c r="X1449" s="817"/>
      <c r="Y1449" s="817"/>
      <c r="Z1449" s="817"/>
      <c r="AC1449" s="817"/>
      <c r="AD1449" s="817"/>
      <c r="AE1449" s="817"/>
      <c r="AF1449" s="817"/>
      <c r="AG1449" s="817"/>
      <c r="AH1449" s="817"/>
      <c r="AI1449" s="817"/>
      <c r="AJ1449" s="817"/>
      <c r="AL1449" s="817"/>
      <c r="AM1449" s="817"/>
      <c r="AN1449" s="817"/>
      <c r="AO1449" s="817"/>
      <c r="AP1449" s="817"/>
      <c r="AQ1449" s="817"/>
      <c r="AR1449" s="817"/>
      <c r="AS1449" s="817"/>
      <c r="AT1449" s="817"/>
      <c r="AU1449" s="817"/>
      <c r="AV1449" s="817"/>
      <c r="AW1449" s="817"/>
      <c r="AX1449" s="817"/>
      <c r="AY1449" s="817"/>
      <c r="AZ1449" s="817"/>
      <c r="BA1449" s="817"/>
      <c r="BC1449" s="817"/>
      <c r="BD1449" s="817"/>
      <c r="BE1449" s="817"/>
      <c r="BF1449" s="817"/>
      <c r="BG1449" s="817"/>
      <c r="BH1449" s="817"/>
      <c r="BI1449" s="817"/>
      <c r="BJ1449" s="817"/>
      <c r="BK1449" s="817"/>
      <c r="BM1449" s="817"/>
      <c r="BN1449" s="817"/>
      <c r="BO1449" s="817"/>
      <c r="BQ1449" s="817"/>
      <c r="BR1449" s="817"/>
      <c r="BS1449" s="817"/>
      <c r="BT1449" s="817"/>
      <c r="BU1449" s="817"/>
    </row>
    <row r="1450" spans="1:73" x14ac:dyDescent="0.35">
      <c r="A1450" s="806" t="s">
        <v>880</v>
      </c>
      <c r="B1450" s="806" t="s">
        <v>1674</v>
      </c>
      <c r="C1450" s="806"/>
      <c r="D1450" s="806"/>
      <c r="E1450" s="806"/>
      <c r="F1450" s="806"/>
      <c r="I1450" s="816"/>
      <c r="K1450" s="816"/>
      <c r="M1450" s="816"/>
      <c r="Q1450" s="816"/>
      <c r="S1450" s="816"/>
      <c r="U1450" s="816"/>
      <c r="V1450" s="816"/>
      <c r="W1450" s="816"/>
      <c r="AD1450" s="816"/>
      <c r="AG1450" s="816"/>
      <c r="AH1450" s="816"/>
      <c r="AJ1450" s="816"/>
      <c r="AL1450" s="816"/>
      <c r="AM1450" s="816"/>
      <c r="AR1450" s="816"/>
      <c r="AT1450" s="816"/>
      <c r="AU1450" s="816"/>
      <c r="AV1450" s="816"/>
      <c r="AX1450" s="816"/>
      <c r="AY1450" s="816"/>
      <c r="AZ1450" s="816"/>
      <c r="BC1450" s="816"/>
      <c r="BD1450" s="816"/>
      <c r="BE1450" s="816"/>
      <c r="BG1450" s="816"/>
      <c r="BH1450" s="816"/>
      <c r="BI1450" s="816"/>
      <c r="BK1450" s="816"/>
      <c r="BS1450" s="816"/>
      <c r="BT1450" s="816"/>
      <c r="BU1450" s="816"/>
    </row>
    <row r="1451" spans="1:73" x14ac:dyDescent="0.35">
      <c r="A1451" s="806" t="s">
        <v>690</v>
      </c>
      <c r="B1451" s="806" t="s">
        <v>1007</v>
      </c>
      <c r="C1451" s="806"/>
      <c r="D1451" s="806"/>
      <c r="E1451" s="806"/>
      <c r="F1451" s="806"/>
      <c r="I1451" s="816"/>
      <c r="J1451" s="816"/>
      <c r="K1451" s="816"/>
      <c r="M1451" s="816"/>
      <c r="N1451" s="816"/>
      <c r="O1451" s="816"/>
      <c r="P1451" s="816"/>
      <c r="Q1451" s="816"/>
      <c r="S1451" s="816"/>
      <c r="T1451" s="816"/>
      <c r="U1451" s="816"/>
      <c r="V1451" s="816"/>
      <c r="W1451" s="816"/>
      <c r="X1451" s="816"/>
      <c r="Z1451" s="816"/>
      <c r="AC1451" s="816"/>
      <c r="AD1451" s="816"/>
      <c r="AE1451" s="816"/>
      <c r="AF1451" s="816"/>
      <c r="AG1451" s="816"/>
      <c r="AI1451" s="816"/>
      <c r="AJ1451" s="816"/>
      <c r="AL1451" s="816"/>
      <c r="AN1451" s="816"/>
      <c r="AP1451" s="816"/>
      <c r="AQ1451" s="816"/>
      <c r="AR1451" s="816"/>
      <c r="AS1451" s="816"/>
      <c r="AT1451" s="816"/>
      <c r="AU1451" s="816"/>
      <c r="AV1451" s="816"/>
      <c r="AW1451" s="816"/>
      <c r="AX1451" s="816"/>
      <c r="AY1451" s="816"/>
      <c r="AZ1451" s="816"/>
      <c r="BA1451" s="816"/>
      <c r="BC1451" s="816"/>
      <c r="BD1451" s="816"/>
      <c r="BE1451" s="816"/>
      <c r="BF1451" s="816"/>
      <c r="BG1451" s="816"/>
      <c r="BH1451" s="816"/>
      <c r="BI1451" s="816"/>
      <c r="BJ1451" s="816"/>
      <c r="BM1451" s="816"/>
      <c r="BN1451" s="816"/>
      <c r="BO1451" s="816"/>
      <c r="BQ1451" s="816"/>
      <c r="BR1451" s="816"/>
      <c r="BS1451" s="816"/>
      <c r="BT1451" s="816"/>
      <c r="BU1451" s="816"/>
    </row>
    <row r="1452" spans="1:73" x14ac:dyDescent="0.35">
      <c r="A1452" s="806" t="s">
        <v>690</v>
      </c>
      <c r="B1452" s="806" t="s">
        <v>1009</v>
      </c>
      <c r="C1452" s="806"/>
      <c r="D1452" s="806"/>
      <c r="E1452" s="806"/>
      <c r="F1452" s="806"/>
      <c r="I1452" s="816"/>
      <c r="J1452" s="816"/>
      <c r="K1452" s="816"/>
      <c r="M1452" s="816"/>
      <c r="N1452" s="816"/>
      <c r="O1452" s="816"/>
      <c r="P1452" s="816"/>
      <c r="Q1452" s="816"/>
      <c r="S1452" s="816"/>
      <c r="T1452" s="816"/>
      <c r="U1452" s="816"/>
      <c r="V1452" s="816"/>
      <c r="W1452" s="816"/>
      <c r="X1452" s="816"/>
      <c r="Z1452" s="816"/>
      <c r="AC1452" s="816"/>
      <c r="AD1452" s="816"/>
      <c r="AE1452" s="816"/>
      <c r="AF1452" s="816"/>
      <c r="AG1452" s="816"/>
      <c r="AI1452" s="816"/>
      <c r="AJ1452" s="816"/>
      <c r="AL1452" s="816"/>
      <c r="AN1452" s="816"/>
      <c r="AP1452" s="816"/>
      <c r="AQ1452" s="816"/>
      <c r="AR1452" s="816"/>
      <c r="AS1452" s="816"/>
      <c r="AT1452" s="816"/>
      <c r="AU1452" s="816"/>
      <c r="AV1452" s="816"/>
      <c r="AW1452" s="816"/>
      <c r="AX1452" s="816"/>
      <c r="AY1452" s="816"/>
      <c r="AZ1452" s="816"/>
      <c r="BA1452" s="816"/>
      <c r="BC1452" s="816"/>
      <c r="BD1452" s="816"/>
      <c r="BE1452" s="816"/>
      <c r="BF1452" s="816"/>
      <c r="BG1452" s="816"/>
      <c r="BH1452" s="816"/>
      <c r="BI1452" s="816"/>
      <c r="BJ1452" s="816"/>
      <c r="BM1452" s="816"/>
      <c r="BN1452" s="816"/>
      <c r="BO1452" s="816"/>
      <c r="BQ1452" s="816"/>
      <c r="BR1452" s="816"/>
      <c r="BS1452" s="816"/>
      <c r="BT1452" s="816"/>
      <c r="BU1452" s="816"/>
    </row>
    <row r="1453" spans="1:73" x14ac:dyDescent="0.35">
      <c r="A1453" s="806" t="s">
        <v>690</v>
      </c>
      <c r="B1453" s="806" t="s">
        <v>1016</v>
      </c>
      <c r="C1453" s="806"/>
      <c r="D1453" s="806"/>
      <c r="E1453" s="806"/>
      <c r="F1453" s="806"/>
      <c r="I1453" s="816"/>
      <c r="J1453" s="816"/>
      <c r="K1453" s="816"/>
      <c r="M1453" s="816"/>
      <c r="N1453" s="816"/>
      <c r="O1453" s="816"/>
      <c r="P1453" s="816"/>
      <c r="Q1453" s="816"/>
      <c r="S1453" s="816"/>
      <c r="T1453" s="816"/>
      <c r="U1453" s="816"/>
      <c r="V1453" s="816"/>
      <c r="W1453" s="816"/>
      <c r="X1453" s="816"/>
      <c r="Z1453" s="816"/>
      <c r="AC1453" s="816"/>
      <c r="AD1453" s="816"/>
      <c r="AE1453" s="816"/>
      <c r="AF1453" s="816"/>
      <c r="AG1453" s="816"/>
      <c r="AI1453" s="816"/>
      <c r="AJ1453" s="816"/>
      <c r="AL1453" s="816"/>
      <c r="AN1453" s="816"/>
      <c r="AP1453" s="816"/>
      <c r="AQ1453" s="816"/>
      <c r="AR1453" s="816"/>
      <c r="AS1453" s="816"/>
      <c r="AT1453" s="816"/>
      <c r="AU1453" s="816"/>
      <c r="AV1453" s="816"/>
      <c r="AW1453" s="816"/>
      <c r="AX1453" s="816"/>
      <c r="AY1453" s="816"/>
      <c r="AZ1453" s="816"/>
      <c r="BA1453" s="816"/>
      <c r="BC1453" s="816"/>
      <c r="BD1453" s="816"/>
      <c r="BE1453" s="816"/>
      <c r="BF1453" s="816"/>
      <c r="BG1453" s="816"/>
      <c r="BH1453" s="816"/>
      <c r="BI1453" s="816"/>
      <c r="BJ1453" s="816"/>
      <c r="BM1453" s="816"/>
      <c r="BN1453" s="816"/>
      <c r="BO1453" s="816"/>
      <c r="BQ1453" s="816"/>
      <c r="BR1453" s="816"/>
      <c r="BS1453" s="816"/>
      <c r="BT1453" s="816"/>
      <c r="BU1453" s="816"/>
    </row>
    <row r="1454" spans="1:73" x14ac:dyDescent="0.35">
      <c r="A1454" s="806" t="s">
        <v>690</v>
      </c>
      <c r="B1454" s="806" t="s">
        <v>1018</v>
      </c>
      <c r="C1454" s="806"/>
      <c r="D1454" s="806"/>
      <c r="E1454" s="806"/>
      <c r="F1454" s="806"/>
      <c r="I1454" s="816"/>
      <c r="J1454" s="816"/>
      <c r="K1454" s="816"/>
      <c r="M1454" s="816"/>
      <c r="N1454" s="816"/>
      <c r="O1454" s="816"/>
      <c r="P1454" s="816"/>
      <c r="Q1454" s="816"/>
      <c r="S1454" s="816"/>
      <c r="T1454" s="816"/>
      <c r="U1454" s="816"/>
      <c r="V1454" s="816"/>
      <c r="W1454" s="816"/>
      <c r="X1454" s="816"/>
      <c r="Z1454" s="816"/>
      <c r="AC1454" s="816"/>
      <c r="AD1454" s="816"/>
      <c r="AE1454" s="816"/>
      <c r="AF1454" s="816"/>
      <c r="AG1454" s="816"/>
      <c r="AI1454" s="816"/>
      <c r="AJ1454" s="816"/>
      <c r="AL1454" s="816"/>
      <c r="AN1454" s="816"/>
      <c r="AP1454" s="816"/>
      <c r="AQ1454" s="816"/>
      <c r="AR1454" s="816"/>
      <c r="AS1454" s="816"/>
      <c r="AT1454" s="816"/>
      <c r="AU1454" s="816"/>
      <c r="AV1454" s="816"/>
      <c r="AW1454" s="816"/>
      <c r="AX1454" s="816"/>
      <c r="AY1454" s="816"/>
      <c r="AZ1454" s="816"/>
      <c r="BA1454" s="816"/>
      <c r="BC1454" s="816"/>
      <c r="BD1454" s="816"/>
      <c r="BE1454" s="816"/>
      <c r="BF1454" s="816"/>
      <c r="BG1454" s="816"/>
      <c r="BH1454" s="816"/>
      <c r="BI1454" s="816"/>
      <c r="BJ1454" s="816"/>
      <c r="BM1454" s="816"/>
      <c r="BN1454" s="816"/>
      <c r="BO1454" s="816"/>
      <c r="BQ1454" s="816"/>
      <c r="BR1454" s="816"/>
      <c r="BS1454" s="816"/>
      <c r="BT1454" s="816"/>
      <c r="BU1454" s="816"/>
    </row>
    <row r="1455" spans="1:73" x14ac:dyDescent="0.35">
      <c r="A1455" s="806" t="s">
        <v>690</v>
      </c>
      <c r="B1455" s="806" t="s">
        <v>1019</v>
      </c>
      <c r="C1455" s="806"/>
      <c r="D1455" s="806"/>
      <c r="E1455" s="806"/>
      <c r="F1455" s="806"/>
      <c r="I1455" s="816"/>
      <c r="J1455" s="816"/>
      <c r="K1455" s="816"/>
      <c r="M1455" s="816"/>
      <c r="N1455" s="816"/>
      <c r="O1455" s="816"/>
      <c r="P1455" s="816"/>
      <c r="Q1455" s="816"/>
      <c r="S1455" s="816"/>
      <c r="T1455" s="816"/>
      <c r="U1455" s="816"/>
      <c r="V1455" s="816"/>
      <c r="W1455" s="816"/>
      <c r="X1455" s="816"/>
      <c r="Z1455" s="816"/>
      <c r="AC1455" s="816"/>
      <c r="AD1455" s="816"/>
      <c r="AE1455" s="816"/>
      <c r="AF1455" s="816"/>
      <c r="AG1455" s="816"/>
      <c r="AI1455" s="816"/>
      <c r="AJ1455" s="816"/>
      <c r="AL1455" s="816"/>
      <c r="AN1455" s="816"/>
      <c r="AP1455" s="816"/>
      <c r="AQ1455" s="816"/>
      <c r="AR1455" s="816"/>
      <c r="AS1455" s="816"/>
      <c r="AT1455" s="816"/>
      <c r="AU1455" s="816"/>
      <c r="AV1455" s="816"/>
      <c r="AW1455" s="816"/>
      <c r="AX1455" s="816"/>
      <c r="AY1455" s="816"/>
      <c r="AZ1455" s="816"/>
      <c r="BA1455" s="816"/>
      <c r="BC1455" s="816"/>
      <c r="BD1455" s="816"/>
      <c r="BE1455" s="816"/>
      <c r="BF1455" s="816"/>
      <c r="BG1455" s="816"/>
      <c r="BH1455" s="816"/>
      <c r="BI1455" s="816"/>
      <c r="BJ1455" s="816"/>
      <c r="BM1455" s="816"/>
      <c r="BN1455" s="816"/>
      <c r="BO1455" s="816"/>
      <c r="BQ1455" s="816"/>
      <c r="BR1455" s="816"/>
      <c r="BS1455" s="816"/>
      <c r="BT1455" s="816"/>
      <c r="BU1455" s="816"/>
    </row>
    <row r="1456" spans="1:73" x14ac:dyDescent="0.35">
      <c r="A1456" s="806" t="s">
        <v>690</v>
      </c>
      <c r="B1456" s="806" t="s">
        <v>1017</v>
      </c>
      <c r="C1456" s="806"/>
      <c r="D1456" s="806"/>
      <c r="E1456" s="806"/>
      <c r="F1456" s="806"/>
      <c r="I1456" s="816"/>
      <c r="J1456" s="816"/>
      <c r="K1456" s="816"/>
      <c r="M1456" s="816"/>
      <c r="N1456" s="816"/>
      <c r="O1456" s="816"/>
      <c r="P1456" s="816"/>
      <c r="Q1456" s="816"/>
      <c r="S1456" s="816"/>
      <c r="T1456" s="816"/>
      <c r="U1456" s="816"/>
      <c r="V1456" s="816"/>
      <c r="W1456" s="816"/>
      <c r="X1456" s="816"/>
      <c r="Z1456" s="816"/>
      <c r="AC1456" s="816"/>
      <c r="AD1456" s="816"/>
      <c r="AE1456" s="816"/>
      <c r="AF1456" s="816"/>
      <c r="AG1456" s="816"/>
      <c r="AI1456" s="816"/>
      <c r="AJ1456" s="816"/>
      <c r="AL1456" s="816"/>
      <c r="AN1456" s="816"/>
      <c r="AP1456" s="816"/>
      <c r="AQ1456" s="816"/>
      <c r="AR1456" s="816"/>
      <c r="AS1456" s="816"/>
      <c r="AT1456" s="816"/>
      <c r="AU1456" s="816"/>
      <c r="AV1456" s="816"/>
      <c r="AW1456" s="816"/>
      <c r="AX1456" s="816"/>
      <c r="AY1456" s="816"/>
      <c r="AZ1456" s="816"/>
      <c r="BA1456" s="816"/>
      <c r="BC1456" s="816"/>
      <c r="BD1456" s="816"/>
      <c r="BE1456" s="816"/>
      <c r="BF1456" s="816"/>
      <c r="BG1456" s="816"/>
      <c r="BH1456" s="816"/>
      <c r="BI1456" s="816"/>
      <c r="BJ1456" s="816"/>
      <c r="BM1456" s="816"/>
      <c r="BN1456" s="816"/>
      <c r="BO1456" s="816"/>
      <c r="BQ1456" s="816"/>
      <c r="BR1456" s="816"/>
      <c r="BS1456" s="816"/>
      <c r="BT1456" s="816"/>
      <c r="BU1456" s="816"/>
    </row>
    <row r="1457" spans="1:73" x14ac:dyDescent="0.35">
      <c r="A1457" s="806" t="s">
        <v>690</v>
      </c>
      <c r="B1457" s="806" t="s">
        <v>1010</v>
      </c>
      <c r="C1457" s="806"/>
      <c r="D1457" s="806"/>
      <c r="E1457" s="806"/>
      <c r="F1457" s="806"/>
      <c r="I1457" s="816"/>
      <c r="J1457" s="816"/>
      <c r="K1457" s="816"/>
      <c r="M1457" s="816"/>
      <c r="N1457" s="816"/>
      <c r="O1457" s="816"/>
      <c r="P1457" s="816"/>
      <c r="Q1457" s="816"/>
      <c r="S1457" s="816"/>
      <c r="T1457" s="816"/>
      <c r="U1457" s="816"/>
      <c r="V1457" s="816"/>
      <c r="W1457" s="816"/>
      <c r="X1457" s="816"/>
      <c r="Z1457" s="816"/>
      <c r="AC1457" s="816"/>
      <c r="AD1457" s="816"/>
      <c r="AE1457" s="816"/>
      <c r="AF1457" s="816"/>
      <c r="AG1457" s="816"/>
      <c r="AI1457" s="816"/>
      <c r="AJ1457" s="816"/>
      <c r="AL1457" s="816"/>
      <c r="AN1457" s="816"/>
      <c r="AP1457" s="816"/>
      <c r="AQ1457" s="816"/>
      <c r="AR1457" s="816"/>
      <c r="AS1457" s="816"/>
      <c r="AT1457" s="816"/>
      <c r="AU1457" s="816"/>
      <c r="AV1457" s="816"/>
      <c r="AW1457" s="816"/>
      <c r="AX1457" s="816"/>
      <c r="AY1457" s="816"/>
      <c r="AZ1457" s="816"/>
      <c r="BA1457" s="816"/>
      <c r="BC1457" s="816"/>
      <c r="BD1457" s="816"/>
      <c r="BE1457" s="816"/>
      <c r="BF1457" s="816"/>
      <c r="BG1457" s="816"/>
      <c r="BH1457" s="816"/>
      <c r="BI1457" s="816"/>
      <c r="BJ1457" s="816"/>
      <c r="BM1457" s="816"/>
      <c r="BN1457" s="816"/>
      <c r="BO1457" s="816"/>
      <c r="BQ1457" s="816"/>
      <c r="BR1457" s="816"/>
      <c r="BS1457" s="816"/>
      <c r="BT1457" s="816"/>
      <c r="BU1457" s="816"/>
    </row>
    <row r="1458" spans="1:73" x14ac:dyDescent="0.35">
      <c r="A1458" s="806" t="s">
        <v>690</v>
      </c>
      <c r="B1458" s="806" t="s">
        <v>1012</v>
      </c>
      <c r="C1458" s="806"/>
      <c r="D1458" s="806"/>
      <c r="E1458" s="806"/>
      <c r="F1458" s="806"/>
      <c r="I1458" s="816"/>
      <c r="J1458" s="816"/>
      <c r="K1458" s="816"/>
      <c r="M1458" s="816"/>
      <c r="N1458" s="816"/>
      <c r="O1458" s="816"/>
      <c r="P1458" s="816"/>
      <c r="Q1458" s="816"/>
      <c r="S1458" s="816"/>
      <c r="T1458" s="816"/>
      <c r="U1458" s="816"/>
      <c r="V1458" s="816"/>
      <c r="W1458" s="816"/>
      <c r="X1458" s="816"/>
      <c r="Z1458" s="816"/>
      <c r="AC1458" s="816"/>
      <c r="AD1458" s="816"/>
      <c r="AE1458" s="816"/>
      <c r="AF1458" s="816"/>
      <c r="AG1458" s="816"/>
      <c r="AI1458" s="816"/>
      <c r="AJ1458" s="816"/>
      <c r="AL1458" s="816"/>
      <c r="AN1458" s="816"/>
      <c r="AP1458" s="816"/>
      <c r="AQ1458" s="816"/>
      <c r="AR1458" s="816"/>
      <c r="AS1458" s="816"/>
      <c r="AT1458" s="816"/>
      <c r="AU1458" s="816"/>
      <c r="AV1458" s="816"/>
      <c r="AW1458" s="816"/>
      <c r="AX1458" s="816"/>
      <c r="AY1458" s="816"/>
      <c r="AZ1458" s="816"/>
      <c r="BA1458" s="816"/>
      <c r="BC1458" s="816"/>
      <c r="BD1458" s="816"/>
      <c r="BE1458" s="816"/>
      <c r="BF1458" s="816"/>
      <c r="BG1458" s="816"/>
      <c r="BH1458" s="816"/>
      <c r="BI1458" s="816"/>
      <c r="BJ1458" s="816"/>
      <c r="BM1458" s="816"/>
      <c r="BN1458" s="816"/>
      <c r="BO1458" s="816"/>
      <c r="BQ1458" s="816"/>
      <c r="BR1458" s="816"/>
      <c r="BS1458" s="816"/>
      <c r="BT1458" s="816"/>
      <c r="BU1458" s="816"/>
    </row>
    <row r="1459" spans="1:73" x14ac:dyDescent="0.35">
      <c r="A1459" s="806" t="s">
        <v>690</v>
      </c>
      <c r="B1459" s="806" t="s">
        <v>1014</v>
      </c>
      <c r="C1459" s="806"/>
      <c r="D1459" s="806"/>
      <c r="E1459" s="806"/>
      <c r="F1459" s="806"/>
      <c r="I1459" s="816"/>
      <c r="J1459" s="816"/>
      <c r="K1459" s="816"/>
      <c r="M1459" s="816"/>
      <c r="N1459" s="816"/>
      <c r="O1459" s="816"/>
      <c r="P1459" s="816"/>
      <c r="Q1459" s="816"/>
      <c r="S1459" s="816"/>
      <c r="T1459" s="816"/>
      <c r="U1459" s="816"/>
      <c r="V1459" s="816"/>
      <c r="W1459" s="816"/>
      <c r="X1459" s="816"/>
      <c r="Z1459" s="816"/>
      <c r="AC1459" s="816"/>
      <c r="AD1459" s="816"/>
      <c r="AE1459" s="816"/>
      <c r="AF1459" s="816"/>
      <c r="AG1459" s="816"/>
      <c r="AI1459" s="816"/>
      <c r="AJ1459" s="816"/>
      <c r="AL1459" s="816"/>
      <c r="AN1459" s="816"/>
      <c r="AP1459" s="816"/>
      <c r="AQ1459" s="816"/>
      <c r="AR1459" s="816"/>
      <c r="AS1459" s="816"/>
      <c r="AT1459" s="816"/>
      <c r="AU1459" s="816"/>
      <c r="AV1459" s="816"/>
      <c r="AW1459" s="816"/>
      <c r="AX1459" s="816"/>
      <c r="AY1459" s="816"/>
      <c r="AZ1459" s="816"/>
      <c r="BA1459" s="816"/>
      <c r="BC1459" s="816"/>
      <c r="BD1459" s="816"/>
      <c r="BE1459" s="816"/>
      <c r="BF1459" s="816"/>
      <c r="BG1459" s="816"/>
      <c r="BH1459" s="816"/>
      <c r="BI1459" s="816"/>
      <c r="BJ1459" s="816"/>
      <c r="BM1459" s="816"/>
      <c r="BN1459" s="816"/>
      <c r="BO1459" s="816"/>
      <c r="BQ1459" s="816"/>
      <c r="BR1459" s="816"/>
      <c r="BS1459" s="816"/>
      <c r="BT1459" s="816"/>
      <c r="BU1459" s="816"/>
    </row>
    <row r="1460" spans="1:73" x14ac:dyDescent="0.35">
      <c r="A1460" s="806" t="s">
        <v>690</v>
      </c>
      <c r="B1460" s="806" t="s">
        <v>1015</v>
      </c>
      <c r="C1460" s="806"/>
      <c r="D1460" s="806"/>
      <c r="E1460" s="806"/>
      <c r="F1460" s="806"/>
      <c r="I1460" s="816"/>
      <c r="J1460" s="816"/>
      <c r="K1460" s="816"/>
      <c r="M1460" s="816"/>
      <c r="N1460" s="816"/>
      <c r="O1460" s="816"/>
      <c r="P1460" s="816"/>
      <c r="Q1460" s="816"/>
      <c r="S1460" s="816"/>
      <c r="T1460" s="816"/>
      <c r="U1460" s="816"/>
      <c r="V1460" s="816"/>
      <c r="W1460" s="816"/>
      <c r="X1460" s="816"/>
      <c r="Z1460" s="816"/>
      <c r="AC1460" s="816"/>
      <c r="AD1460" s="816"/>
      <c r="AE1460" s="816"/>
      <c r="AF1460" s="816"/>
      <c r="AG1460" s="816"/>
      <c r="AI1460" s="816"/>
      <c r="AJ1460" s="816"/>
      <c r="AL1460" s="816"/>
      <c r="AN1460" s="816"/>
      <c r="AP1460" s="816"/>
      <c r="AQ1460" s="816"/>
      <c r="AR1460" s="816"/>
      <c r="AS1460" s="816"/>
      <c r="AT1460" s="816"/>
      <c r="AU1460" s="816"/>
      <c r="AV1460" s="816"/>
      <c r="AW1460" s="816"/>
      <c r="AX1460" s="816"/>
      <c r="AY1460" s="816"/>
      <c r="AZ1460" s="816"/>
      <c r="BA1460" s="816"/>
      <c r="BC1460" s="816"/>
      <c r="BD1460" s="816"/>
      <c r="BE1460" s="816"/>
      <c r="BF1460" s="816"/>
      <c r="BG1460" s="816"/>
      <c r="BH1460" s="816"/>
      <c r="BI1460" s="816"/>
      <c r="BJ1460" s="816"/>
      <c r="BM1460" s="816"/>
      <c r="BN1460" s="816"/>
      <c r="BO1460" s="816"/>
      <c r="BQ1460" s="816"/>
      <c r="BR1460" s="816"/>
      <c r="BS1460" s="816"/>
      <c r="BT1460" s="816"/>
      <c r="BU1460" s="816"/>
    </row>
    <row r="1461" spans="1:73" x14ac:dyDescent="0.35">
      <c r="A1461" s="806" t="s">
        <v>690</v>
      </c>
      <c r="B1461" s="806" t="s">
        <v>1013</v>
      </c>
      <c r="C1461" s="806"/>
      <c r="D1461" s="806"/>
      <c r="E1461" s="806"/>
      <c r="F1461" s="806"/>
      <c r="I1461" s="816"/>
      <c r="J1461" s="816"/>
      <c r="K1461" s="816"/>
      <c r="M1461" s="816"/>
      <c r="N1461" s="816"/>
      <c r="O1461" s="816"/>
      <c r="P1461" s="816"/>
      <c r="Q1461" s="816"/>
      <c r="S1461" s="816"/>
      <c r="T1461" s="816"/>
      <c r="U1461" s="816"/>
      <c r="V1461" s="816"/>
      <c r="W1461" s="816"/>
      <c r="X1461" s="816"/>
      <c r="Z1461" s="816"/>
      <c r="AC1461" s="816"/>
      <c r="AD1461" s="816"/>
      <c r="AE1461" s="816"/>
      <c r="AF1461" s="816"/>
      <c r="AG1461" s="816"/>
      <c r="AI1461" s="816"/>
      <c r="AJ1461" s="816"/>
      <c r="AL1461" s="816"/>
      <c r="AN1461" s="816"/>
      <c r="AP1461" s="816"/>
      <c r="AQ1461" s="816"/>
      <c r="AR1461" s="816"/>
      <c r="AS1461" s="816"/>
      <c r="AT1461" s="816"/>
      <c r="AU1461" s="816"/>
      <c r="AV1461" s="816"/>
      <c r="AW1461" s="816"/>
      <c r="AX1461" s="816"/>
      <c r="AY1461" s="816"/>
      <c r="AZ1461" s="816"/>
      <c r="BA1461" s="816"/>
      <c r="BC1461" s="816"/>
      <c r="BD1461" s="816"/>
      <c r="BE1461" s="816"/>
      <c r="BF1461" s="816"/>
      <c r="BG1461" s="816"/>
      <c r="BH1461" s="816"/>
      <c r="BI1461" s="816"/>
      <c r="BJ1461" s="816"/>
      <c r="BM1461" s="816"/>
      <c r="BN1461" s="816"/>
      <c r="BO1461" s="816"/>
      <c r="BQ1461" s="816"/>
      <c r="BR1461" s="816"/>
      <c r="BS1461" s="816"/>
      <c r="BT1461" s="816"/>
      <c r="BU1461" s="816"/>
    </row>
    <row r="1462" spans="1:73" x14ac:dyDescent="0.35">
      <c r="A1462" s="806" t="s">
        <v>690</v>
      </c>
      <c r="B1462" s="806" t="s">
        <v>1008</v>
      </c>
      <c r="C1462" s="806"/>
      <c r="D1462" s="806"/>
      <c r="E1462" s="806"/>
      <c r="F1462" s="806"/>
      <c r="I1462" s="816"/>
      <c r="J1462" s="816"/>
      <c r="K1462" s="816"/>
      <c r="M1462" s="816"/>
      <c r="N1462" s="816"/>
      <c r="O1462" s="816"/>
      <c r="P1462" s="816"/>
      <c r="Q1462" s="816"/>
      <c r="S1462" s="816"/>
      <c r="T1462" s="816"/>
      <c r="U1462" s="816"/>
      <c r="V1462" s="816"/>
      <c r="W1462" s="816"/>
      <c r="X1462" s="816"/>
      <c r="Z1462" s="816"/>
      <c r="AC1462" s="816"/>
      <c r="AD1462" s="816"/>
      <c r="AE1462" s="816"/>
      <c r="AF1462" s="816"/>
      <c r="AG1462" s="816"/>
      <c r="AI1462" s="816"/>
      <c r="AJ1462" s="816"/>
      <c r="AL1462" s="816"/>
      <c r="AN1462" s="816"/>
      <c r="AP1462" s="816"/>
      <c r="AQ1462" s="816"/>
      <c r="AR1462" s="816"/>
      <c r="AS1462" s="816"/>
      <c r="AT1462" s="816"/>
      <c r="AU1462" s="816"/>
      <c r="AV1462" s="816"/>
      <c r="AW1462" s="816"/>
      <c r="AX1462" s="816"/>
      <c r="AY1462" s="816"/>
      <c r="AZ1462" s="816"/>
      <c r="BA1462" s="816"/>
      <c r="BC1462" s="816"/>
      <c r="BD1462" s="816"/>
      <c r="BE1462" s="816"/>
      <c r="BF1462" s="816"/>
      <c r="BG1462" s="816"/>
      <c r="BH1462" s="816"/>
      <c r="BI1462" s="816"/>
      <c r="BJ1462" s="816"/>
      <c r="BM1462" s="816"/>
      <c r="BN1462" s="816"/>
      <c r="BO1462" s="816"/>
      <c r="BQ1462" s="816"/>
      <c r="BR1462" s="816"/>
      <c r="BS1462" s="816"/>
      <c r="BT1462" s="816"/>
      <c r="BU1462" s="816"/>
    </row>
    <row r="1463" spans="1:73" x14ac:dyDescent="0.35">
      <c r="A1463" s="806" t="s">
        <v>690</v>
      </c>
      <c r="B1463" s="806" t="s">
        <v>1011</v>
      </c>
      <c r="C1463" s="806"/>
      <c r="D1463" s="806"/>
      <c r="E1463" s="806"/>
      <c r="F1463" s="806"/>
    </row>
    <row r="1464" spans="1:73" x14ac:dyDescent="0.35">
      <c r="A1464" s="806" t="s">
        <v>711</v>
      </c>
      <c r="B1464" s="806" t="s">
        <v>1068</v>
      </c>
      <c r="C1464" s="806"/>
      <c r="D1464" s="806"/>
      <c r="E1464" s="806"/>
      <c r="F1464" s="806"/>
      <c r="I1464" s="816"/>
      <c r="J1464" s="816"/>
      <c r="K1464" s="816"/>
      <c r="M1464" s="816"/>
      <c r="N1464" s="816"/>
      <c r="O1464" s="816"/>
      <c r="P1464" s="816"/>
      <c r="Q1464" s="816"/>
      <c r="S1464" s="816"/>
      <c r="T1464" s="816"/>
      <c r="U1464" s="816"/>
      <c r="V1464" s="816"/>
      <c r="W1464" s="816"/>
      <c r="X1464" s="816"/>
      <c r="Z1464" s="816"/>
      <c r="AC1464" s="816"/>
      <c r="AD1464" s="816"/>
      <c r="AE1464" s="816"/>
      <c r="AF1464" s="816"/>
      <c r="AG1464" s="816"/>
      <c r="AI1464" s="816"/>
      <c r="AJ1464" s="816"/>
      <c r="AL1464" s="816"/>
      <c r="AN1464" s="816"/>
      <c r="AP1464" s="816"/>
      <c r="AQ1464" s="816"/>
      <c r="AR1464" s="816"/>
      <c r="AS1464" s="816"/>
      <c r="AT1464" s="816"/>
      <c r="AU1464" s="816"/>
      <c r="AV1464" s="816"/>
      <c r="AW1464" s="816"/>
      <c r="AX1464" s="816"/>
      <c r="AY1464" s="816"/>
      <c r="AZ1464" s="816"/>
      <c r="BA1464" s="816"/>
      <c r="BC1464" s="816"/>
      <c r="BD1464" s="816"/>
      <c r="BE1464" s="816"/>
      <c r="BF1464" s="816"/>
      <c r="BG1464" s="816"/>
      <c r="BH1464" s="816"/>
      <c r="BI1464" s="816"/>
      <c r="BJ1464" s="816"/>
      <c r="BM1464" s="816"/>
      <c r="BN1464" s="816"/>
      <c r="BO1464" s="816"/>
      <c r="BQ1464" s="816"/>
      <c r="BR1464" s="816"/>
      <c r="BS1464" s="816"/>
      <c r="BT1464" s="816"/>
      <c r="BU1464" s="816"/>
    </row>
    <row r="1465" spans="1:73" ht="29" x14ac:dyDescent="0.35">
      <c r="A1465" s="806" t="s">
        <v>711</v>
      </c>
      <c r="B1465" s="806" t="s">
        <v>1082</v>
      </c>
      <c r="C1465" s="806"/>
      <c r="D1465" s="806"/>
      <c r="E1465" s="806"/>
      <c r="F1465" s="806"/>
      <c r="I1465" s="816"/>
      <c r="J1465" s="816"/>
      <c r="K1465" s="816"/>
      <c r="M1465" s="816"/>
      <c r="N1465" s="816"/>
      <c r="O1465" s="816"/>
      <c r="P1465" s="816"/>
      <c r="Q1465" s="816"/>
      <c r="S1465" s="816"/>
      <c r="T1465" s="816"/>
      <c r="U1465" s="816"/>
      <c r="V1465" s="816"/>
      <c r="W1465" s="816"/>
      <c r="X1465" s="816"/>
      <c r="Z1465" s="816"/>
      <c r="AC1465" s="816"/>
      <c r="AD1465" s="816"/>
      <c r="AE1465" s="816"/>
      <c r="AF1465" s="816"/>
      <c r="AG1465" s="816"/>
      <c r="AI1465" s="816"/>
      <c r="AJ1465" s="816"/>
      <c r="AL1465" s="816"/>
      <c r="AN1465" s="816"/>
      <c r="AP1465" s="816"/>
      <c r="AQ1465" s="816"/>
      <c r="AR1465" s="816"/>
      <c r="AS1465" s="816"/>
      <c r="AT1465" s="816"/>
      <c r="AU1465" s="816"/>
      <c r="AV1465" s="816"/>
      <c r="AW1465" s="816"/>
      <c r="AX1465" s="816"/>
      <c r="AY1465" s="816"/>
      <c r="AZ1465" s="816"/>
      <c r="BA1465" s="816"/>
      <c r="BC1465" s="816"/>
      <c r="BD1465" s="816"/>
      <c r="BE1465" s="816"/>
      <c r="BF1465" s="816"/>
      <c r="BG1465" s="816"/>
      <c r="BH1465" s="816"/>
      <c r="BI1465" s="816"/>
      <c r="BJ1465" s="816"/>
      <c r="BM1465" s="816"/>
      <c r="BN1465" s="816"/>
      <c r="BO1465" s="816"/>
      <c r="BQ1465" s="816"/>
      <c r="BR1465" s="816"/>
      <c r="BS1465" s="816"/>
      <c r="BT1465" s="816"/>
      <c r="BU1465" s="816"/>
    </row>
    <row r="1466" spans="1:73" ht="29" x14ac:dyDescent="0.35">
      <c r="A1466" s="806" t="s">
        <v>711</v>
      </c>
      <c r="B1466" s="806" t="s">
        <v>1083</v>
      </c>
      <c r="C1466" s="806"/>
      <c r="D1466" s="806"/>
      <c r="E1466" s="806"/>
      <c r="F1466" s="806"/>
      <c r="I1466" s="816"/>
      <c r="J1466" s="816"/>
      <c r="K1466" s="816"/>
      <c r="M1466" s="816"/>
      <c r="N1466" s="816"/>
      <c r="O1466" s="816"/>
      <c r="P1466" s="816"/>
      <c r="Q1466" s="816"/>
      <c r="S1466" s="816"/>
      <c r="T1466" s="816"/>
      <c r="U1466" s="816"/>
      <c r="V1466" s="816"/>
      <c r="W1466" s="816"/>
      <c r="X1466" s="816"/>
      <c r="Z1466" s="816"/>
      <c r="AC1466" s="816"/>
      <c r="AD1466" s="816"/>
      <c r="AE1466" s="816"/>
      <c r="AF1466" s="816"/>
      <c r="AG1466" s="816"/>
      <c r="AI1466" s="816"/>
      <c r="AJ1466" s="816"/>
      <c r="AL1466" s="816"/>
      <c r="AN1466" s="816"/>
      <c r="AP1466" s="816"/>
      <c r="AQ1466" s="816"/>
      <c r="AR1466" s="816"/>
      <c r="AS1466" s="816"/>
      <c r="AT1466" s="816"/>
      <c r="AU1466" s="816"/>
      <c r="AV1466" s="816"/>
      <c r="AW1466" s="816"/>
      <c r="AX1466" s="816"/>
      <c r="AY1466" s="816"/>
      <c r="AZ1466" s="816"/>
      <c r="BA1466" s="816"/>
      <c r="BC1466" s="816"/>
      <c r="BD1466" s="816"/>
      <c r="BE1466" s="816"/>
      <c r="BF1466" s="816"/>
      <c r="BG1466" s="816"/>
      <c r="BH1466" s="816"/>
      <c r="BI1466" s="816"/>
      <c r="BJ1466" s="816"/>
      <c r="BM1466" s="816"/>
      <c r="BN1466" s="816"/>
      <c r="BO1466" s="816"/>
      <c r="BQ1466" s="816"/>
      <c r="BR1466" s="816"/>
      <c r="BS1466" s="816"/>
      <c r="BT1466" s="816"/>
      <c r="BU1466" s="816"/>
    </row>
    <row r="1467" spans="1:73" ht="29" x14ac:dyDescent="0.35">
      <c r="A1467" s="806" t="s">
        <v>711</v>
      </c>
      <c r="B1467" s="806" t="s">
        <v>1065</v>
      </c>
      <c r="C1467" s="806"/>
      <c r="D1467" s="806"/>
      <c r="E1467" s="806"/>
      <c r="F1467" s="806"/>
      <c r="I1467" s="816"/>
      <c r="J1467" s="816"/>
      <c r="K1467" s="816"/>
      <c r="M1467" s="816"/>
      <c r="N1467" s="816"/>
      <c r="O1467" s="816"/>
      <c r="P1467" s="816"/>
      <c r="Q1467" s="816"/>
      <c r="S1467" s="816"/>
      <c r="T1467" s="816"/>
      <c r="U1467" s="816"/>
      <c r="V1467" s="816"/>
      <c r="W1467" s="816"/>
      <c r="X1467" s="816"/>
      <c r="Z1467" s="816"/>
      <c r="AC1467" s="816"/>
      <c r="AD1467" s="816"/>
      <c r="AE1467" s="816"/>
      <c r="AF1467" s="816"/>
      <c r="AG1467" s="816"/>
      <c r="AI1467" s="816"/>
      <c r="AJ1467" s="816"/>
      <c r="AL1467" s="816"/>
      <c r="AN1467" s="816"/>
      <c r="AP1467" s="816"/>
      <c r="AQ1467" s="816"/>
      <c r="AR1467" s="816"/>
      <c r="AS1467" s="816"/>
      <c r="AT1467" s="816"/>
      <c r="AU1467" s="816"/>
      <c r="AV1467" s="816"/>
      <c r="AW1467" s="816"/>
      <c r="AX1467" s="816"/>
      <c r="AY1467" s="816"/>
      <c r="AZ1467" s="816"/>
      <c r="BA1467" s="816"/>
      <c r="BC1467" s="816"/>
      <c r="BD1467" s="816"/>
      <c r="BE1467" s="816"/>
      <c r="BF1467" s="816"/>
      <c r="BG1467" s="816"/>
      <c r="BH1467" s="816"/>
      <c r="BI1467" s="816"/>
      <c r="BJ1467" s="816"/>
      <c r="BM1467" s="816"/>
      <c r="BN1467" s="816"/>
      <c r="BO1467" s="816"/>
      <c r="BQ1467" s="816"/>
      <c r="BR1467" s="816"/>
      <c r="BS1467" s="816"/>
      <c r="BT1467" s="816"/>
      <c r="BU1467" s="816"/>
    </row>
    <row r="1468" spans="1:73" ht="29" x14ac:dyDescent="0.35">
      <c r="A1468" s="806" t="s">
        <v>711</v>
      </c>
      <c r="B1468" s="806" t="s">
        <v>1066</v>
      </c>
      <c r="C1468" s="806"/>
      <c r="D1468" s="806"/>
      <c r="E1468" s="806"/>
      <c r="F1468" s="806"/>
      <c r="I1468" s="816"/>
      <c r="J1468" s="816"/>
      <c r="K1468" s="816"/>
      <c r="M1468" s="816"/>
      <c r="N1468" s="816"/>
      <c r="O1468" s="816"/>
      <c r="P1468" s="816"/>
      <c r="Q1468" s="816"/>
      <c r="S1468" s="816"/>
      <c r="T1468" s="816"/>
      <c r="U1468" s="816"/>
      <c r="V1468" s="816"/>
      <c r="W1468" s="816"/>
      <c r="X1468" s="816"/>
      <c r="Z1468" s="816"/>
      <c r="AC1468" s="816"/>
      <c r="AD1468" s="816"/>
      <c r="AE1468" s="816"/>
      <c r="AF1468" s="816"/>
      <c r="AG1468" s="816"/>
      <c r="AI1468" s="816"/>
      <c r="AJ1468" s="816"/>
      <c r="AL1468" s="816"/>
      <c r="AN1468" s="816"/>
      <c r="AP1468" s="816"/>
      <c r="AQ1468" s="816"/>
      <c r="AR1468" s="816"/>
      <c r="AS1468" s="816"/>
      <c r="AT1468" s="816"/>
      <c r="AU1468" s="816"/>
      <c r="AV1468" s="816"/>
      <c r="AW1468" s="816"/>
      <c r="AX1468" s="816"/>
      <c r="AY1468" s="816"/>
      <c r="AZ1468" s="816"/>
      <c r="BA1468" s="816"/>
      <c r="BC1468" s="816"/>
      <c r="BD1468" s="816"/>
      <c r="BE1468" s="816"/>
      <c r="BF1468" s="816"/>
      <c r="BG1468" s="816"/>
      <c r="BH1468" s="816"/>
      <c r="BI1468" s="816"/>
      <c r="BJ1468" s="816"/>
      <c r="BM1468" s="816"/>
      <c r="BN1468" s="816"/>
      <c r="BO1468" s="816"/>
      <c r="BQ1468" s="816"/>
      <c r="BR1468" s="816"/>
      <c r="BS1468" s="816"/>
      <c r="BT1468" s="816"/>
      <c r="BU1468" s="816"/>
    </row>
    <row r="1469" spans="1:73" x14ac:dyDescent="0.35">
      <c r="A1469" s="806" t="s">
        <v>711</v>
      </c>
      <c r="B1469" s="806" t="s">
        <v>1079</v>
      </c>
      <c r="C1469" s="806"/>
      <c r="D1469" s="806"/>
      <c r="E1469" s="806"/>
      <c r="F1469" s="806"/>
      <c r="I1469" s="816"/>
      <c r="J1469" s="816"/>
      <c r="K1469" s="816"/>
      <c r="M1469" s="816"/>
      <c r="N1469" s="816"/>
      <c r="O1469" s="816"/>
      <c r="P1469" s="816"/>
      <c r="Q1469" s="816"/>
      <c r="S1469" s="816"/>
      <c r="T1469" s="816"/>
      <c r="U1469" s="816"/>
      <c r="V1469" s="816"/>
      <c r="W1469" s="816"/>
      <c r="X1469" s="816"/>
      <c r="Z1469" s="816"/>
      <c r="AC1469" s="816"/>
      <c r="AD1469" s="816"/>
      <c r="AE1469" s="816"/>
      <c r="AF1469" s="816"/>
      <c r="AG1469" s="816"/>
      <c r="AI1469" s="816"/>
      <c r="AJ1469" s="816"/>
      <c r="AL1469" s="816"/>
      <c r="AN1469" s="816"/>
      <c r="AP1469" s="816"/>
      <c r="AQ1469" s="816"/>
      <c r="AR1469" s="816"/>
      <c r="AS1469" s="816"/>
      <c r="AT1469" s="816"/>
      <c r="AU1469" s="816"/>
      <c r="AV1469" s="816"/>
      <c r="AW1469" s="816"/>
      <c r="AX1469" s="816"/>
      <c r="AY1469" s="816"/>
      <c r="AZ1469" s="816"/>
      <c r="BA1469" s="816"/>
      <c r="BC1469" s="816"/>
      <c r="BD1469" s="816"/>
      <c r="BE1469" s="816"/>
      <c r="BF1469" s="816"/>
      <c r="BG1469" s="816"/>
      <c r="BH1469" s="816"/>
      <c r="BI1469" s="816"/>
      <c r="BJ1469" s="816"/>
      <c r="BM1469" s="816"/>
      <c r="BN1469" s="816"/>
      <c r="BO1469" s="816"/>
      <c r="BQ1469" s="816"/>
      <c r="BR1469" s="816"/>
      <c r="BS1469" s="816"/>
      <c r="BT1469" s="816"/>
      <c r="BU1469" s="816"/>
    </row>
    <row r="1470" spans="1:73" ht="29" x14ac:dyDescent="0.35">
      <c r="A1470" s="806" t="s">
        <v>711</v>
      </c>
      <c r="B1470" s="806" t="s">
        <v>1077</v>
      </c>
      <c r="C1470" s="806"/>
      <c r="D1470" s="806"/>
      <c r="E1470" s="806"/>
      <c r="F1470" s="806"/>
      <c r="I1470" s="816"/>
      <c r="J1470" s="816"/>
      <c r="K1470" s="816"/>
      <c r="M1470" s="816"/>
      <c r="N1470" s="816"/>
      <c r="O1470" s="816"/>
      <c r="P1470" s="816"/>
      <c r="Q1470" s="816"/>
      <c r="S1470" s="816"/>
      <c r="T1470" s="816"/>
      <c r="U1470" s="816"/>
      <c r="V1470" s="816"/>
      <c r="W1470" s="816"/>
      <c r="X1470" s="816"/>
      <c r="Z1470" s="816"/>
      <c r="AC1470" s="816"/>
      <c r="AD1470" s="816"/>
      <c r="AE1470" s="816"/>
      <c r="AF1470" s="816"/>
      <c r="AG1470" s="816"/>
      <c r="AI1470" s="816"/>
      <c r="AJ1470" s="816"/>
      <c r="AL1470" s="816"/>
      <c r="AN1470" s="816"/>
      <c r="AP1470" s="816"/>
      <c r="AQ1470" s="816"/>
      <c r="AR1470" s="816"/>
      <c r="AS1470" s="816"/>
      <c r="AT1470" s="816"/>
      <c r="AU1470" s="816"/>
      <c r="AV1470" s="816"/>
      <c r="AW1470" s="816"/>
      <c r="AX1470" s="816"/>
      <c r="AY1470" s="816"/>
      <c r="AZ1470" s="816"/>
      <c r="BA1470" s="816"/>
      <c r="BC1470" s="816"/>
      <c r="BD1470" s="816"/>
      <c r="BE1470" s="816"/>
      <c r="BF1470" s="816"/>
      <c r="BG1470" s="816"/>
      <c r="BH1470" s="816"/>
      <c r="BI1470" s="816"/>
      <c r="BJ1470" s="816"/>
      <c r="BM1470" s="816"/>
      <c r="BN1470" s="816"/>
      <c r="BO1470" s="816"/>
      <c r="BQ1470" s="816"/>
      <c r="BR1470" s="816"/>
      <c r="BS1470" s="816"/>
      <c r="BT1470" s="816"/>
      <c r="BU1470" s="816"/>
    </row>
    <row r="1471" spans="1:73" x14ac:dyDescent="0.35">
      <c r="A1471" s="806" t="s">
        <v>711</v>
      </c>
      <c r="B1471" s="806" t="s">
        <v>1069</v>
      </c>
      <c r="C1471" s="806"/>
      <c r="D1471" s="806"/>
      <c r="E1471" s="806"/>
      <c r="F1471" s="806"/>
      <c r="I1471" s="816"/>
      <c r="J1471" s="816"/>
      <c r="K1471" s="816"/>
      <c r="M1471" s="816"/>
      <c r="N1471" s="816"/>
      <c r="O1471" s="816"/>
      <c r="P1471" s="816"/>
      <c r="Q1471" s="816"/>
      <c r="S1471" s="816"/>
      <c r="T1471" s="816"/>
      <c r="U1471" s="816"/>
      <c r="V1471" s="816"/>
      <c r="W1471" s="816"/>
      <c r="X1471" s="816"/>
      <c r="Z1471" s="816"/>
      <c r="AC1471" s="816"/>
      <c r="AD1471" s="816"/>
      <c r="AE1471" s="816"/>
      <c r="AF1471" s="816"/>
      <c r="AG1471" s="816"/>
      <c r="AI1471" s="816"/>
      <c r="AJ1471" s="816"/>
      <c r="AL1471" s="816"/>
      <c r="AN1471" s="816"/>
      <c r="AP1471" s="816"/>
      <c r="AQ1471" s="816"/>
      <c r="AR1471" s="816"/>
      <c r="AS1471" s="816"/>
      <c r="AT1471" s="816"/>
      <c r="AU1471" s="816"/>
      <c r="AV1471" s="816"/>
      <c r="AW1471" s="816"/>
      <c r="AX1471" s="816"/>
      <c r="AY1471" s="816"/>
      <c r="AZ1471" s="816"/>
      <c r="BA1471" s="816"/>
      <c r="BC1471" s="816"/>
      <c r="BD1471" s="816"/>
      <c r="BE1471" s="816"/>
      <c r="BF1471" s="816"/>
      <c r="BG1471" s="816"/>
      <c r="BH1471" s="816"/>
      <c r="BI1471" s="816"/>
      <c r="BJ1471" s="816"/>
      <c r="BM1471" s="816"/>
      <c r="BN1471" s="816"/>
      <c r="BO1471" s="816"/>
      <c r="BQ1471" s="816"/>
      <c r="BR1471" s="816"/>
      <c r="BS1471" s="816"/>
      <c r="BT1471" s="816"/>
      <c r="BU1471" s="816"/>
    </row>
    <row r="1472" spans="1:73" ht="29" x14ac:dyDescent="0.35">
      <c r="A1472" s="806" t="s">
        <v>711</v>
      </c>
      <c r="B1472" s="806" t="s">
        <v>1070</v>
      </c>
      <c r="C1472" s="806"/>
      <c r="D1472" s="806"/>
      <c r="E1472" s="806"/>
      <c r="F1472" s="806"/>
      <c r="I1472" s="816"/>
      <c r="J1472" s="816"/>
      <c r="K1472" s="816"/>
      <c r="M1472" s="816"/>
      <c r="N1472" s="816"/>
      <c r="O1472" s="816"/>
      <c r="P1472" s="816"/>
      <c r="Q1472" s="816"/>
      <c r="S1472" s="816"/>
      <c r="T1472" s="816"/>
      <c r="U1472" s="816"/>
      <c r="V1472" s="816"/>
      <c r="W1472" s="816"/>
      <c r="X1472" s="816"/>
      <c r="Z1472" s="816"/>
      <c r="AC1472" s="816"/>
      <c r="AD1472" s="816"/>
      <c r="AE1472" s="816"/>
      <c r="AF1472" s="816"/>
      <c r="AG1472" s="816"/>
      <c r="AI1472" s="816"/>
      <c r="AJ1472" s="816"/>
      <c r="AL1472" s="816"/>
      <c r="AN1472" s="816"/>
      <c r="AP1472" s="816"/>
      <c r="AQ1472" s="816"/>
      <c r="AR1472" s="816"/>
      <c r="AS1472" s="816"/>
      <c r="AT1472" s="816"/>
      <c r="AU1472" s="816"/>
      <c r="AV1472" s="816"/>
      <c r="AW1472" s="816"/>
      <c r="AX1472" s="816"/>
      <c r="AY1472" s="816"/>
      <c r="AZ1472" s="816"/>
      <c r="BA1472" s="816"/>
      <c r="BC1472" s="816"/>
      <c r="BD1472" s="816"/>
      <c r="BE1472" s="816"/>
      <c r="BF1472" s="816"/>
      <c r="BG1472" s="816"/>
      <c r="BH1472" s="816"/>
      <c r="BI1472" s="816"/>
      <c r="BJ1472" s="816"/>
      <c r="BM1472" s="816"/>
      <c r="BN1472" s="816"/>
      <c r="BO1472" s="816"/>
      <c r="BQ1472" s="816"/>
      <c r="BR1472" s="816"/>
      <c r="BS1472" s="816"/>
      <c r="BT1472" s="816"/>
      <c r="BU1472" s="816"/>
    </row>
    <row r="1473" spans="1:73" x14ac:dyDescent="0.35">
      <c r="A1473" s="806" t="s">
        <v>711</v>
      </c>
      <c r="B1473" s="806" t="s">
        <v>1071</v>
      </c>
      <c r="C1473" s="806"/>
      <c r="D1473" s="806"/>
      <c r="E1473" s="806"/>
      <c r="F1473" s="806"/>
      <c r="I1473" s="816"/>
      <c r="J1473" s="816"/>
      <c r="K1473" s="816"/>
      <c r="M1473" s="816"/>
      <c r="N1473" s="816"/>
      <c r="O1473" s="816"/>
      <c r="P1473" s="816"/>
      <c r="Q1473" s="816"/>
      <c r="S1473" s="816"/>
      <c r="T1473" s="816"/>
      <c r="U1473" s="816"/>
      <c r="V1473" s="816"/>
      <c r="W1473" s="816"/>
      <c r="X1473" s="816"/>
      <c r="Z1473" s="816"/>
      <c r="AC1473" s="816"/>
      <c r="AD1473" s="816"/>
      <c r="AE1473" s="816"/>
      <c r="AF1473" s="816"/>
      <c r="AG1473" s="816"/>
      <c r="AI1473" s="816"/>
      <c r="AJ1473" s="816"/>
      <c r="AL1473" s="816"/>
      <c r="AN1473" s="816"/>
      <c r="AP1473" s="816"/>
      <c r="AQ1473" s="816"/>
      <c r="AR1473" s="816"/>
      <c r="AS1473" s="816"/>
      <c r="AT1473" s="816"/>
      <c r="AU1473" s="816"/>
      <c r="AV1473" s="816"/>
      <c r="AW1473" s="816"/>
      <c r="AX1473" s="816"/>
      <c r="AY1473" s="816"/>
      <c r="AZ1473" s="816"/>
      <c r="BA1473" s="816"/>
      <c r="BC1473" s="816"/>
      <c r="BD1473" s="816"/>
      <c r="BE1473" s="816"/>
      <c r="BF1473" s="816"/>
      <c r="BG1473" s="816"/>
      <c r="BH1473" s="816"/>
      <c r="BI1473" s="816"/>
      <c r="BJ1473" s="816"/>
      <c r="BM1473" s="816"/>
      <c r="BN1473" s="816"/>
      <c r="BO1473" s="816"/>
      <c r="BQ1473" s="816"/>
      <c r="BR1473" s="816"/>
      <c r="BS1473" s="816"/>
      <c r="BT1473" s="816"/>
      <c r="BU1473" s="816"/>
    </row>
    <row r="1474" spans="1:73" ht="29" x14ac:dyDescent="0.35">
      <c r="A1474" s="806" t="s">
        <v>711</v>
      </c>
      <c r="B1474" s="806" t="s">
        <v>1078</v>
      </c>
      <c r="C1474" s="806"/>
      <c r="D1474" s="806"/>
      <c r="E1474" s="806"/>
      <c r="F1474" s="806"/>
      <c r="I1474" s="816"/>
      <c r="J1474" s="816"/>
      <c r="K1474" s="816"/>
      <c r="M1474" s="816"/>
      <c r="N1474" s="816"/>
      <c r="O1474" s="816"/>
      <c r="P1474" s="816"/>
      <c r="Q1474" s="816"/>
      <c r="S1474" s="816"/>
      <c r="T1474" s="816"/>
      <c r="U1474" s="816"/>
      <c r="V1474" s="816"/>
      <c r="W1474" s="816"/>
      <c r="X1474" s="816"/>
      <c r="Z1474" s="816"/>
      <c r="AC1474" s="816"/>
      <c r="AD1474" s="816"/>
      <c r="AE1474" s="816"/>
      <c r="AF1474" s="816"/>
      <c r="AG1474" s="816"/>
      <c r="AI1474" s="816"/>
      <c r="AJ1474" s="816"/>
      <c r="AL1474" s="816"/>
      <c r="AN1474" s="816"/>
      <c r="AP1474" s="816"/>
      <c r="AQ1474" s="816"/>
      <c r="AR1474" s="816"/>
      <c r="AS1474" s="816"/>
      <c r="AT1474" s="816"/>
      <c r="AU1474" s="816"/>
      <c r="AV1474" s="816"/>
      <c r="AW1474" s="816"/>
      <c r="AX1474" s="816"/>
      <c r="AY1474" s="816"/>
      <c r="AZ1474" s="816"/>
      <c r="BA1474" s="816"/>
      <c r="BC1474" s="816"/>
      <c r="BD1474" s="816"/>
      <c r="BE1474" s="816"/>
      <c r="BF1474" s="816"/>
      <c r="BG1474" s="816"/>
      <c r="BH1474" s="816"/>
      <c r="BI1474" s="816"/>
      <c r="BJ1474" s="816"/>
      <c r="BM1474" s="816"/>
      <c r="BN1474" s="816"/>
      <c r="BO1474" s="816"/>
      <c r="BQ1474" s="816"/>
      <c r="BR1474" s="816"/>
      <c r="BS1474" s="816"/>
      <c r="BT1474" s="816"/>
      <c r="BU1474" s="816"/>
    </row>
    <row r="1475" spans="1:73" x14ac:dyDescent="0.35">
      <c r="A1475" s="806" t="s">
        <v>711</v>
      </c>
      <c r="B1475" s="806" t="s">
        <v>1072</v>
      </c>
      <c r="C1475" s="806"/>
      <c r="D1475" s="806"/>
      <c r="E1475" s="806"/>
      <c r="F1475" s="806"/>
      <c r="I1475" s="816"/>
      <c r="J1475" s="816"/>
      <c r="K1475" s="816"/>
      <c r="M1475" s="816"/>
      <c r="N1475" s="816"/>
      <c r="O1475" s="816"/>
      <c r="P1475" s="816"/>
      <c r="Q1475" s="816"/>
      <c r="S1475" s="816"/>
      <c r="T1475" s="816"/>
      <c r="U1475" s="816"/>
      <c r="V1475" s="816"/>
      <c r="W1475" s="816"/>
      <c r="X1475" s="816"/>
      <c r="Z1475" s="816"/>
      <c r="AC1475" s="816"/>
      <c r="AD1475" s="816"/>
      <c r="AE1475" s="816"/>
      <c r="AF1475" s="816"/>
      <c r="AG1475" s="816"/>
      <c r="AI1475" s="816"/>
      <c r="AJ1475" s="816"/>
      <c r="AL1475" s="816"/>
      <c r="AN1475" s="816"/>
      <c r="AP1475" s="816"/>
      <c r="AQ1475" s="816"/>
      <c r="AR1475" s="816"/>
      <c r="AS1475" s="816"/>
      <c r="AT1475" s="816"/>
      <c r="AU1475" s="816"/>
      <c r="AV1475" s="816"/>
      <c r="AW1475" s="816"/>
      <c r="AX1475" s="816"/>
      <c r="AY1475" s="816"/>
      <c r="AZ1475" s="816"/>
      <c r="BA1475" s="816"/>
      <c r="BC1475" s="816"/>
      <c r="BD1475" s="816"/>
      <c r="BE1475" s="816"/>
      <c r="BF1475" s="816"/>
      <c r="BG1475" s="816"/>
      <c r="BH1475" s="816"/>
      <c r="BI1475" s="816"/>
      <c r="BJ1475" s="816"/>
      <c r="BM1475" s="816"/>
      <c r="BN1475" s="816"/>
      <c r="BO1475" s="816"/>
      <c r="BQ1475" s="816"/>
      <c r="BR1475" s="816"/>
      <c r="BS1475" s="816"/>
      <c r="BT1475" s="816"/>
      <c r="BU1475" s="816"/>
    </row>
    <row r="1476" spans="1:73" ht="29" x14ac:dyDescent="0.35">
      <c r="A1476" s="806" t="s">
        <v>711</v>
      </c>
      <c r="B1476" s="806" t="s">
        <v>1073</v>
      </c>
      <c r="C1476" s="806"/>
      <c r="D1476" s="806"/>
      <c r="E1476" s="806"/>
      <c r="F1476" s="806"/>
      <c r="I1476" s="816"/>
      <c r="J1476" s="816"/>
      <c r="K1476" s="816"/>
      <c r="M1476" s="816"/>
      <c r="N1476" s="816"/>
      <c r="O1476" s="816"/>
      <c r="P1476" s="816"/>
      <c r="Q1476" s="816"/>
      <c r="S1476" s="816"/>
      <c r="T1476" s="816"/>
      <c r="U1476" s="816"/>
      <c r="V1476" s="816"/>
      <c r="W1476" s="816"/>
      <c r="X1476" s="816"/>
      <c r="Z1476" s="816"/>
      <c r="AC1476" s="816"/>
      <c r="AD1476" s="816"/>
      <c r="AE1476" s="816"/>
      <c r="AF1476" s="816"/>
      <c r="AG1476" s="816"/>
      <c r="AI1476" s="816"/>
      <c r="AJ1476" s="816"/>
      <c r="AL1476" s="816"/>
      <c r="AN1476" s="816"/>
      <c r="AP1476" s="816"/>
      <c r="AQ1476" s="816"/>
      <c r="AR1476" s="816"/>
      <c r="AS1476" s="816"/>
      <c r="AT1476" s="816"/>
      <c r="AU1476" s="816"/>
      <c r="AV1476" s="816"/>
      <c r="AW1476" s="816"/>
      <c r="AX1476" s="816"/>
      <c r="AY1476" s="816"/>
      <c r="AZ1476" s="816"/>
      <c r="BA1476" s="816"/>
      <c r="BC1476" s="816"/>
      <c r="BD1476" s="816"/>
      <c r="BE1476" s="816"/>
      <c r="BF1476" s="816"/>
      <c r="BG1476" s="816"/>
      <c r="BH1476" s="816"/>
      <c r="BI1476" s="816"/>
      <c r="BJ1476" s="816"/>
      <c r="BM1476" s="816"/>
      <c r="BN1476" s="816"/>
      <c r="BO1476" s="816"/>
      <c r="BQ1476" s="816"/>
      <c r="BR1476" s="816"/>
      <c r="BS1476" s="816"/>
      <c r="BT1476" s="816"/>
      <c r="BU1476" s="816"/>
    </row>
    <row r="1477" spans="1:73" ht="29" x14ac:dyDescent="0.35">
      <c r="A1477" s="806" t="s">
        <v>711</v>
      </c>
      <c r="B1477" s="806" t="s">
        <v>1067</v>
      </c>
      <c r="C1477" s="806"/>
      <c r="D1477" s="806"/>
      <c r="E1477" s="806"/>
      <c r="F1477" s="806"/>
      <c r="I1477" s="816"/>
      <c r="J1477" s="816"/>
      <c r="K1477" s="816"/>
      <c r="M1477" s="816"/>
      <c r="N1477" s="816"/>
      <c r="O1477" s="816"/>
      <c r="P1477" s="816"/>
      <c r="Q1477" s="816"/>
      <c r="S1477" s="816"/>
      <c r="T1477" s="816"/>
      <c r="U1477" s="816"/>
      <c r="V1477" s="816"/>
      <c r="W1477" s="816"/>
      <c r="X1477" s="816"/>
      <c r="Z1477" s="816"/>
      <c r="AC1477" s="816"/>
      <c r="AD1477" s="816"/>
      <c r="AE1477" s="816"/>
      <c r="AF1477" s="816"/>
      <c r="AG1477" s="816"/>
      <c r="AI1477" s="816"/>
      <c r="AJ1477" s="816"/>
      <c r="AL1477" s="816"/>
      <c r="AN1477" s="816"/>
      <c r="AP1477" s="816"/>
      <c r="AQ1477" s="816"/>
      <c r="AR1477" s="816"/>
      <c r="AS1477" s="816"/>
      <c r="AT1477" s="816"/>
      <c r="AU1477" s="816"/>
      <c r="AV1477" s="816"/>
      <c r="AW1477" s="816"/>
      <c r="AX1477" s="816"/>
      <c r="AY1477" s="816"/>
      <c r="AZ1477" s="816"/>
      <c r="BA1477" s="816"/>
      <c r="BC1477" s="816"/>
      <c r="BD1477" s="816"/>
      <c r="BE1477" s="816"/>
      <c r="BF1477" s="816"/>
      <c r="BG1477" s="816"/>
      <c r="BH1477" s="816"/>
      <c r="BI1477" s="816"/>
      <c r="BJ1477" s="816"/>
      <c r="BM1477" s="816"/>
      <c r="BN1477" s="816"/>
      <c r="BO1477" s="816"/>
      <c r="BQ1477" s="816"/>
      <c r="BR1477" s="816"/>
      <c r="BS1477" s="816"/>
      <c r="BT1477" s="816"/>
      <c r="BU1477" s="816"/>
    </row>
    <row r="1478" spans="1:73" ht="29" x14ac:dyDescent="0.35">
      <c r="A1478" s="806" t="s">
        <v>711</v>
      </c>
      <c r="B1478" s="806" t="s">
        <v>1074</v>
      </c>
      <c r="C1478" s="806"/>
      <c r="D1478" s="806"/>
      <c r="E1478" s="806"/>
      <c r="F1478" s="806"/>
      <c r="I1478" s="816"/>
      <c r="J1478" s="816"/>
      <c r="K1478" s="816"/>
      <c r="M1478" s="816"/>
      <c r="N1478" s="816"/>
      <c r="O1478" s="816"/>
      <c r="P1478" s="816"/>
      <c r="Q1478" s="816"/>
      <c r="S1478" s="816"/>
      <c r="T1478" s="816"/>
      <c r="U1478" s="816"/>
      <c r="V1478" s="816"/>
      <c r="W1478" s="816"/>
      <c r="X1478" s="816"/>
      <c r="Z1478" s="816"/>
      <c r="AC1478" s="816"/>
      <c r="AD1478" s="816"/>
      <c r="AE1478" s="816"/>
      <c r="AF1478" s="816"/>
      <c r="AG1478" s="816"/>
      <c r="AI1478" s="816"/>
      <c r="AJ1478" s="816"/>
      <c r="AL1478" s="816"/>
      <c r="AN1478" s="816"/>
      <c r="AP1478" s="816"/>
      <c r="AQ1478" s="816"/>
      <c r="AR1478" s="816"/>
      <c r="AS1478" s="816"/>
      <c r="AT1478" s="816"/>
      <c r="AU1478" s="816"/>
      <c r="AV1478" s="816"/>
      <c r="AW1478" s="816"/>
      <c r="AX1478" s="816"/>
      <c r="AY1478" s="816"/>
      <c r="AZ1478" s="816"/>
      <c r="BA1478" s="816"/>
      <c r="BC1478" s="816"/>
      <c r="BD1478" s="816"/>
      <c r="BE1478" s="816"/>
      <c r="BF1478" s="816"/>
      <c r="BG1478" s="816"/>
      <c r="BH1478" s="816"/>
      <c r="BI1478" s="816"/>
      <c r="BJ1478" s="816"/>
      <c r="BM1478" s="816"/>
      <c r="BN1478" s="816"/>
      <c r="BO1478" s="816"/>
      <c r="BQ1478" s="816"/>
      <c r="BR1478" s="816"/>
      <c r="BS1478" s="816"/>
      <c r="BT1478" s="816"/>
      <c r="BU1478" s="816"/>
    </row>
    <row r="1479" spans="1:73" ht="29" x14ac:dyDescent="0.35">
      <c r="A1479" s="806" t="s">
        <v>711</v>
      </c>
      <c r="B1479" s="806" t="s">
        <v>1081</v>
      </c>
      <c r="C1479" s="806"/>
      <c r="D1479" s="806"/>
      <c r="E1479" s="806"/>
      <c r="F1479" s="806"/>
      <c r="I1479" s="816"/>
      <c r="J1479" s="816"/>
      <c r="K1479" s="816"/>
      <c r="M1479" s="816"/>
      <c r="N1479" s="816"/>
      <c r="O1479" s="816"/>
      <c r="P1479" s="816"/>
      <c r="Q1479" s="816"/>
      <c r="S1479" s="816"/>
      <c r="T1479" s="816"/>
      <c r="U1479" s="816"/>
      <c r="V1479" s="816"/>
      <c r="W1479" s="816"/>
      <c r="X1479" s="816"/>
      <c r="Z1479" s="816"/>
      <c r="AC1479" s="816"/>
      <c r="AD1479" s="816"/>
      <c r="AE1479" s="816"/>
      <c r="AF1479" s="816"/>
      <c r="AG1479" s="816"/>
      <c r="AI1479" s="816"/>
      <c r="AJ1479" s="816"/>
      <c r="AL1479" s="816"/>
      <c r="AN1479" s="816"/>
      <c r="AP1479" s="816"/>
      <c r="AQ1479" s="816"/>
      <c r="AR1479" s="816"/>
      <c r="AS1479" s="816"/>
      <c r="AT1479" s="816"/>
      <c r="AU1479" s="816"/>
      <c r="AV1479" s="816"/>
      <c r="AW1479" s="816"/>
      <c r="AX1479" s="816"/>
      <c r="AY1479" s="816"/>
      <c r="AZ1479" s="816"/>
      <c r="BA1479" s="816"/>
      <c r="BC1479" s="816"/>
      <c r="BD1479" s="816"/>
      <c r="BE1479" s="816"/>
      <c r="BF1479" s="816"/>
      <c r="BG1479" s="816"/>
      <c r="BH1479" s="816"/>
      <c r="BI1479" s="816"/>
      <c r="BJ1479" s="816"/>
      <c r="BM1479" s="816"/>
      <c r="BN1479" s="816"/>
      <c r="BO1479" s="816"/>
      <c r="BQ1479" s="816"/>
      <c r="BR1479" s="816"/>
      <c r="BS1479" s="816"/>
      <c r="BT1479" s="816"/>
      <c r="BU1479" s="816"/>
    </row>
    <row r="1480" spans="1:73" ht="29" x14ac:dyDescent="0.35">
      <c r="A1480" s="806" t="s">
        <v>711</v>
      </c>
      <c r="B1480" s="806" t="s">
        <v>1075</v>
      </c>
      <c r="C1480" s="806"/>
      <c r="D1480" s="806"/>
      <c r="E1480" s="806"/>
      <c r="F1480" s="806"/>
      <c r="I1480" s="816"/>
      <c r="J1480" s="816"/>
      <c r="K1480" s="816"/>
      <c r="M1480" s="816"/>
      <c r="N1480" s="816"/>
      <c r="O1480" s="816"/>
      <c r="P1480" s="816"/>
      <c r="Q1480" s="816"/>
      <c r="S1480" s="816"/>
      <c r="T1480" s="816"/>
      <c r="U1480" s="816"/>
      <c r="V1480" s="816"/>
      <c r="W1480" s="816"/>
      <c r="X1480" s="816"/>
      <c r="Z1480" s="816"/>
      <c r="AC1480" s="816"/>
      <c r="AD1480" s="816"/>
      <c r="AE1480" s="816"/>
      <c r="AF1480" s="816"/>
      <c r="AG1480" s="816"/>
      <c r="AI1480" s="816"/>
      <c r="AJ1480" s="816"/>
      <c r="AL1480" s="816"/>
      <c r="AN1480" s="816"/>
      <c r="AP1480" s="816"/>
      <c r="AQ1480" s="816"/>
      <c r="AR1480" s="816"/>
      <c r="AS1480" s="816"/>
      <c r="AT1480" s="816"/>
      <c r="AU1480" s="816"/>
      <c r="AV1480" s="816"/>
      <c r="AW1480" s="816"/>
      <c r="AX1480" s="816"/>
      <c r="AY1480" s="816"/>
      <c r="AZ1480" s="816"/>
      <c r="BA1480" s="816"/>
      <c r="BC1480" s="816"/>
      <c r="BD1480" s="816"/>
      <c r="BE1480" s="816"/>
      <c r="BF1480" s="816"/>
      <c r="BG1480" s="816"/>
      <c r="BH1480" s="816"/>
      <c r="BI1480" s="816"/>
      <c r="BJ1480" s="816"/>
      <c r="BM1480" s="816"/>
      <c r="BN1480" s="816"/>
      <c r="BO1480" s="816"/>
      <c r="BQ1480" s="816"/>
      <c r="BR1480" s="816"/>
      <c r="BS1480" s="816"/>
      <c r="BT1480" s="816"/>
      <c r="BU1480" s="816"/>
    </row>
    <row r="1481" spans="1:73" ht="29" x14ac:dyDescent="0.35">
      <c r="A1481" s="806" t="s">
        <v>711</v>
      </c>
      <c r="B1481" s="806" t="s">
        <v>1080</v>
      </c>
      <c r="C1481" s="806"/>
      <c r="D1481" s="806"/>
      <c r="E1481" s="806"/>
      <c r="F1481" s="806"/>
      <c r="I1481" s="816"/>
      <c r="J1481" s="816"/>
      <c r="K1481" s="816"/>
      <c r="M1481" s="816"/>
      <c r="N1481" s="816"/>
      <c r="O1481" s="816"/>
      <c r="P1481" s="816"/>
      <c r="Q1481" s="816"/>
      <c r="S1481" s="816"/>
      <c r="T1481" s="816"/>
      <c r="U1481" s="816"/>
      <c r="V1481" s="816"/>
      <c r="W1481" s="816"/>
      <c r="X1481" s="816"/>
      <c r="Z1481" s="816"/>
      <c r="AC1481" s="816"/>
      <c r="AD1481" s="816"/>
      <c r="AE1481" s="816"/>
      <c r="AF1481" s="816"/>
      <c r="AG1481" s="816"/>
      <c r="AI1481" s="816"/>
      <c r="AJ1481" s="816"/>
      <c r="AL1481" s="816"/>
      <c r="AN1481" s="816"/>
      <c r="AP1481" s="816"/>
      <c r="AQ1481" s="816"/>
      <c r="AR1481" s="816"/>
      <c r="AS1481" s="816"/>
      <c r="AT1481" s="816"/>
      <c r="AU1481" s="816"/>
      <c r="AV1481" s="816"/>
      <c r="AW1481" s="816"/>
      <c r="AX1481" s="816"/>
      <c r="AY1481" s="816"/>
      <c r="AZ1481" s="816"/>
      <c r="BA1481" s="816"/>
      <c r="BC1481" s="816"/>
      <c r="BD1481" s="816"/>
      <c r="BE1481" s="816"/>
      <c r="BF1481" s="816"/>
      <c r="BG1481" s="816"/>
      <c r="BH1481" s="816"/>
      <c r="BI1481" s="816"/>
      <c r="BJ1481" s="816"/>
      <c r="BM1481" s="816"/>
      <c r="BN1481" s="816"/>
      <c r="BO1481" s="816"/>
      <c r="BQ1481" s="816"/>
      <c r="BR1481" s="816"/>
      <c r="BS1481" s="816"/>
      <c r="BT1481" s="816"/>
      <c r="BU1481" s="816"/>
    </row>
    <row r="1482" spans="1:73" x14ac:dyDescent="0.35">
      <c r="A1482" s="806" t="s">
        <v>711</v>
      </c>
      <c r="B1482" s="806" t="s">
        <v>1076</v>
      </c>
      <c r="C1482" s="806"/>
      <c r="D1482" s="806"/>
      <c r="E1482" s="806"/>
      <c r="F1482" s="806"/>
      <c r="I1482" s="816"/>
      <c r="J1482" s="816"/>
      <c r="K1482" s="816"/>
      <c r="M1482" s="816"/>
      <c r="N1482" s="816"/>
      <c r="O1482" s="816"/>
      <c r="P1482" s="816"/>
      <c r="Q1482" s="816"/>
      <c r="S1482" s="816"/>
      <c r="T1482" s="816"/>
      <c r="U1482" s="816"/>
      <c r="V1482" s="816"/>
      <c r="W1482" s="816"/>
      <c r="X1482" s="816"/>
      <c r="Z1482" s="816"/>
      <c r="AC1482" s="816"/>
      <c r="AD1482" s="816"/>
      <c r="AE1482" s="816"/>
      <c r="AF1482" s="816"/>
      <c r="AG1482" s="816"/>
      <c r="AI1482" s="816"/>
      <c r="AJ1482" s="816"/>
      <c r="AL1482" s="816"/>
      <c r="AN1482" s="816"/>
      <c r="AP1482" s="816"/>
      <c r="AQ1482" s="816"/>
      <c r="AR1482" s="816"/>
      <c r="AS1482" s="816"/>
      <c r="AT1482" s="816"/>
      <c r="AU1482" s="816"/>
      <c r="AV1482" s="816"/>
      <c r="AW1482" s="816"/>
      <c r="AX1482" s="816"/>
      <c r="AY1482" s="816"/>
      <c r="AZ1482" s="816"/>
      <c r="BA1482" s="816"/>
      <c r="BC1482" s="816"/>
      <c r="BD1482" s="816"/>
      <c r="BE1482" s="816"/>
      <c r="BF1482" s="816"/>
      <c r="BG1482" s="816"/>
      <c r="BH1482" s="816"/>
      <c r="BI1482" s="816"/>
      <c r="BJ1482" s="816"/>
      <c r="BM1482" s="816"/>
      <c r="BN1482" s="816"/>
      <c r="BO1482" s="816"/>
      <c r="BQ1482" s="816"/>
      <c r="BR1482" s="816"/>
      <c r="BS1482" s="816"/>
      <c r="BT1482" s="816"/>
      <c r="BU1482" s="816"/>
    </row>
    <row r="1483" spans="1:73" ht="29" x14ac:dyDescent="0.35">
      <c r="A1483" s="806" t="s">
        <v>711</v>
      </c>
      <c r="B1483" s="806" t="s">
        <v>1084</v>
      </c>
      <c r="C1483" s="806"/>
      <c r="D1483" s="806"/>
      <c r="E1483" s="806"/>
      <c r="F1483" s="806"/>
      <c r="I1483" s="816"/>
      <c r="J1483" s="816"/>
      <c r="K1483" s="816"/>
      <c r="M1483" s="816"/>
      <c r="N1483" s="816"/>
      <c r="O1483" s="816"/>
      <c r="P1483" s="816"/>
      <c r="Q1483" s="816"/>
      <c r="S1483" s="816"/>
      <c r="T1483" s="816"/>
      <c r="U1483" s="816"/>
      <c r="V1483" s="816"/>
      <c r="W1483" s="816"/>
      <c r="X1483" s="816"/>
      <c r="Z1483" s="816"/>
      <c r="AC1483" s="816"/>
      <c r="AD1483" s="816"/>
      <c r="AE1483" s="816"/>
      <c r="AF1483" s="816"/>
      <c r="AG1483" s="816"/>
      <c r="AI1483" s="816"/>
      <c r="AJ1483" s="816"/>
      <c r="AL1483" s="816"/>
      <c r="AN1483" s="816"/>
      <c r="AP1483" s="816"/>
      <c r="AQ1483" s="816"/>
      <c r="AR1483" s="816"/>
      <c r="AS1483" s="816"/>
      <c r="AT1483" s="816"/>
      <c r="AU1483" s="816"/>
      <c r="AV1483" s="816"/>
      <c r="AW1483" s="816"/>
      <c r="AX1483" s="816"/>
      <c r="AY1483" s="816"/>
      <c r="AZ1483" s="816"/>
      <c r="BA1483" s="816"/>
      <c r="BC1483" s="816"/>
      <c r="BD1483" s="816"/>
      <c r="BE1483" s="816"/>
      <c r="BF1483" s="816"/>
      <c r="BG1483" s="816"/>
      <c r="BH1483" s="816"/>
      <c r="BI1483" s="816"/>
      <c r="BJ1483" s="816"/>
      <c r="BM1483" s="816"/>
      <c r="BN1483" s="816"/>
      <c r="BO1483" s="816"/>
      <c r="BQ1483" s="816"/>
      <c r="BR1483" s="816"/>
      <c r="BS1483" s="816"/>
      <c r="BT1483" s="816"/>
      <c r="BU1483" s="816"/>
    </row>
    <row r="1484" spans="1:73" ht="29" x14ac:dyDescent="0.35">
      <c r="A1484" s="806" t="s">
        <v>711</v>
      </c>
      <c r="B1484" s="806" t="s">
        <v>1062</v>
      </c>
      <c r="C1484" s="806"/>
      <c r="D1484" s="806"/>
      <c r="E1484" s="806"/>
      <c r="F1484" s="806"/>
      <c r="I1484" s="816"/>
      <c r="J1484" s="816"/>
      <c r="K1484" s="816"/>
      <c r="M1484" s="816"/>
      <c r="N1484" s="816"/>
      <c r="O1484" s="816"/>
      <c r="P1484" s="816"/>
      <c r="Q1484" s="816"/>
      <c r="S1484" s="816"/>
      <c r="T1484" s="816"/>
      <c r="U1484" s="816"/>
      <c r="V1484" s="816"/>
      <c r="W1484" s="816"/>
      <c r="X1484" s="816"/>
      <c r="Z1484" s="816"/>
      <c r="AC1484" s="816"/>
      <c r="AD1484" s="816"/>
      <c r="AE1484" s="816"/>
      <c r="AF1484" s="816"/>
      <c r="AG1484" s="816"/>
      <c r="AI1484" s="816"/>
      <c r="AJ1484" s="816"/>
      <c r="AL1484" s="816"/>
      <c r="AN1484" s="816"/>
      <c r="AP1484" s="816"/>
      <c r="AQ1484" s="816"/>
      <c r="AR1484" s="816"/>
      <c r="AS1484" s="816"/>
      <c r="AT1484" s="816"/>
      <c r="AU1484" s="816"/>
      <c r="AV1484" s="816"/>
      <c r="AW1484" s="816"/>
      <c r="AX1484" s="816"/>
      <c r="AY1484" s="816"/>
      <c r="AZ1484" s="816"/>
      <c r="BA1484" s="816"/>
      <c r="BC1484" s="816"/>
      <c r="BD1484" s="816"/>
      <c r="BE1484" s="816"/>
      <c r="BF1484" s="816"/>
      <c r="BG1484" s="816"/>
      <c r="BH1484" s="816"/>
      <c r="BI1484" s="816"/>
      <c r="BJ1484" s="816"/>
      <c r="BM1484" s="816"/>
      <c r="BN1484" s="816"/>
      <c r="BO1484" s="816"/>
      <c r="BQ1484" s="816"/>
      <c r="BR1484" s="816"/>
      <c r="BS1484" s="816"/>
      <c r="BT1484" s="816"/>
      <c r="BU1484" s="816"/>
    </row>
    <row r="1485" spans="1:73" x14ac:dyDescent="0.35">
      <c r="A1485" s="806" t="s">
        <v>901</v>
      </c>
      <c r="B1485" s="806" t="s">
        <v>1063</v>
      </c>
      <c r="C1485" s="806"/>
      <c r="D1485" s="806"/>
      <c r="E1485" s="806"/>
      <c r="F1485" s="806"/>
      <c r="I1485" s="816"/>
      <c r="J1485" s="816"/>
      <c r="K1485" s="816"/>
      <c r="M1485" s="816"/>
      <c r="N1485" s="816"/>
      <c r="O1485" s="816"/>
      <c r="P1485" s="816"/>
      <c r="Q1485" s="816"/>
      <c r="S1485" s="816"/>
      <c r="T1485" s="816"/>
      <c r="U1485" s="816"/>
      <c r="V1485" s="816"/>
      <c r="W1485" s="816"/>
      <c r="X1485" s="816"/>
      <c r="Z1485" s="816"/>
      <c r="AC1485" s="816"/>
      <c r="AD1485" s="816"/>
      <c r="AE1485" s="816"/>
      <c r="AF1485" s="816"/>
      <c r="AG1485" s="816"/>
      <c r="AI1485" s="816"/>
      <c r="AJ1485" s="816"/>
      <c r="AL1485" s="816"/>
      <c r="AN1485" s="816"/>
      <c r="AP1485" s="816"/>
      <c r="AQ1485" s="816"/>
      <c r="AR1485" s="816"/>
      <c r="AS1485" s="816"/>
      <c r="AT1485" s="816"/>
      <c r="AU1485" s="816"/>
      <c r="AV1485" s="816"/>
      <c r="AW1485" s="816"/>
      <c r="AX1485" s="816"/>
      <c r="AY1485" s="816"/>
      <c r="AZ1485" s="816"/>
      <c r="BA1485" s="816"/>
      <c r="BC1485" s="816"/>
      <c r="BD1485" s="816"/>
      <c r="BE1485" s="816"/>
      <c r="BF1485" s="816"/>
      <c r="BG1485" s="816"/>
      <c r="BH1485" s="816"/>
      <c r="BI1485" s="816"/>
      <c r="BJ1485" s="816"/>
      <c r="BM1485" s="816"/>
      <c r="BN1485" s="816"/>
      <c r="BO1485" s="816"/>
      <c r="BQ1485" s="816"/>
      <c r="BR1485" s="816"/>
      <c r="BS1485" s="816"/>
      <c r="BT1485" s="816"/>
      <c r="BU1485" s="816"/>
    </row>
    <row r="1486" spans="1:73" ht="29" x14ac:dyDescent="0.35">
      <c r="A1486" s="806" t="s">
        <v>901</v>
      </c>
      <c r="B1486" s="806" t="s">
        <v>1064</v>
      </c>
      <c r="C1486" s="806"/>
      <c r="D1486" s="806"/>
      <c r="E1486" s="806"/>
      <c r="F1486" s="806"/>
      <c r="I1486" s="816"/>
      <c r="J1486" s="816"/>
      <c r="K1486" s="816"/>
      <c r="M1486" s="816"/>
      <c r="N1486" s="816"/>
      <c r="O1486" s="816"/>
      <c r="P1486" s="816"/>
      <c r="Q1486" s="816"/>
      <c r="S1486" s="816"/>
      <c r="T1486" s="816"/>
      <c r="U1486" s="816"/>
      <c r="V1486" s="816"/>
      <c r="W1486" s="816"/>
      <c r="X1486" s="816"/>
      <c r="Z1486" s="816"/>
      <c r="AC1486" s="816"/>
      <c r="AD1486" s="816"/>
      <c r="AE1486" s="816"/>
      <c r="AF1486" s="816"/>
      <c r="AG1486" s="816"/>
      <c r="AI1486" s="816"/>
      <c r="AJ1486" s="816"/>
      <c r="AL1486" s="816"/>
      <c r="AN1486" s="816"/>
      <c r="AP1486" s="816"/>
      <c r="AQ1486" s="816"/>
      <c r="AR1486" s="816"/>
      <c r="AS1486" s="816"/>
      <c r="AT1486" s="816"/>
      <c r="AU1486" s="816"/>
      <c r="AV1486" s="816"/>
      <c r="AW1486" s="816"/>
      <c r="AX1486" s="816"/>
      <c r="AY1486" s="816"/>
      <c r="AZ1486" s="816"/>
      <c r="BA1486" s="816"/>
      <c r="BC1486" s="816"/>
      <c r="BD1486" s="816"/>
      <c r="BE1486" s="816"/>
      <c r="BF1486" s="816"/>
      <c r="BG1486" s="816"/>
      <c r="BH1486" s="816"/>
      <c r="BI1486" s="816"/>
      <c r="BJ1486" s="816"/>
      <c r="BM1486" s="816"/>
      <c r="BN1486" s="816"/>
      <c r="BO1486" s="816"/>
      <c r="BQ1486" s="816"/>
      <c r="BR1486" s="816"/>
      <c r="BS1486" s="816"/>
      <c r="BT1486" s="816"/>
      <c r="BU1486" s="816"/>
    </row>
    <row r="1487" spans="1:73" x14ac:dyDescent="0.35">
      <c r="A1487" s="806" t="s">
        <v>789</v>
      </c>
      <c r="B1487" s="806" t="s">
        <v>1111</v>
      </c>
      <c r="C1487" s="806"/>
      <c r="D1487" s="806"/>
      <c r="E1487" s="806"/>
      <c r="F1487" s="811"/>
      <c r="I1487" s="811"/>
      <c r="J1487" s="811"/>
      <c r="K1487" s="811"/>
      <c r="L1487" s="811"/>
      <c r="M1487" s="811"/>
      <c r="N1487" s="811"/>
      <c r="O1487" s="811"/>
      <c r="P1487" s="811"/>
      <c r="Q1487" s="811"/>
      <c r="S1487" s="811"/>
      <c r="T1487" s="811"/>
      <c r="U1487" s="811"/>
      <c r="V1487" s="811"/>
      <c r="W1487" s="811"/>
      <c r="X1487" s="811"/>
      <c r="Z1487" s="811"/>
      <c r="AA1487" s="811"/>
      <c r="AB1487" s="811"/>
      <c r="AC1487" s="811"/>
      <c r="AD1487" s="811"/>
      <c r="AE1487" s="811"/>
      <c r="AF1487" s="811"/>
      <c r="AG1487" s="811"/>
      <c r="AI1487" s="811"/>
      <c r="AJ1487" s="811"/>
      <c r="AL1487" s="811"/>
      <c r="AN1487" s="811"/>
      <c r="AP1487" s="811"/>
      <c r="AQ1487" s="811"/>
      <c r="AR1487" s="811"/>
      <c r="AS1487" s="811"/>
      <c r="AT1487" s="811"/>
      <c r="AU1487" s="811"/>
      <c r="AV1487" s="811"/>
      <c r="AW1487" s="811"/>
      <c r="AX1487" s="811"/>
      <c r="AY1487" s="811"/>
      <c r="AZ1487" s="811"/>
      <c r="BA1487" s="811"/>
      <c r="BC1487" s="811"/>
      <c r="BD1487" s="811"/>
      <c r="BE1487" s="811"/>
      <c r="BF1487" s="811"/>
      <c r="BG1487" s="811"/>
      <c r="BH1487" s="811"/>
      <c r="BI1487" s="811"/>
      <c r="BJ1487" s="811"/>
      <c r="BM1487" s="811"/>
      <c r="BN1487" s="811"/>
      <c r="BO1487" s="811"/>
      <c r="BQ1487" s="811"/>
      <c r="BR1487" s="811"/>
      <c r="BS1487" s="811"/>
      <c r="BT1487" s="811"/>
      <c r="BU1487" s="811"/>
    </row>
    <row r="1488" spans="1:73" ht="29" x14ac:dyDescent="0.35">
      <c r="A1488" s="806" t="s">
        <v>711</v>
      </c>
      <c r="B1488" s="806" t="s">
        <v>1474</v>
      </c>
      <c r="C1488" s="806"/>
      <c r="D1488" s="806"/>
      <c r="E1488" s="806"/>
      <c r="F1488" s="806"/>
      <c r="I1488" s="816"/>
      <c r="J1488" s="816"/>
      <c r="K1488" s="816"/>
      <c r="M1488" s="816"/>
      <c r="N1488" s="816"/>
      <c r="O1488" s="816"/>
      <c r="P1488" s="816"/>
      <c r="Q1488" s="816"/>
      <c r="S1488" s="816"/>
      <c r="T1488" s="816"/>
      <c r="U1488" s="816"/>
      <c r="V1488" s="816"/>
      <c r="W1488" s="816"/>
      <c r="X1488" s="816"/>
      <c r="Z1488" s="816"/>
      <c r="AA1488" s="817"/>
      <c r="AB1488" s="811"/>
      <c r="AC1488" s="816"/>
      <c r="AD1488" s="816"/>
      <c r="AE1488" s="816"/>
      <c r="AF1488" s="816"/>
      <c r="AG1488" s="816"/>
      <c r="AI1488" s="816"/>
      <c r="AJ1488" s="816"/>
      <c r="AL1488" s="816"/>
      <c r="AN1488" s="816"/>
      <c r="AP1488" s="816"/>
      <c r="AQ1488" s="816"/>
      <c r="AR1488" s="816"/>
      <c r="AS1488" s="816"/>
      <c r="AT1488" s="816"/>
      <c r="AU1488" s="816"/>
      <c r="AV1488" s="816"/>
      <c r="AW1488" s="816"/>
      <c r="AX1488" s="816"/>
      <c r="AY1488" s="816"/>
      <c r="AZ1488" s="816"/>
      <c r="BA1488" s="816"/>
      <c r="BC1488" s="816"/>
      <c r="BD1488" s="816"/>
      <c r="BE1488" s="816"/>
      <c r="BF1488" s="816"/>
      <c r="BG1488" s="816"/>
      <c r="BH1488" s="816"/>
      <c r="BI1488" s="816"/>
      <c r="BJ1488" s="816"/>
      <c r="BK1488" s="817"/>
      <c r="BM1488" s="816"/>
      <c r="BN1488" s="816"/>
      <c r="BO1488" s="816"/>
      <c r="BQ1488" s="816"/>
      <c r="BR1488" s="816"/>
      <c r="BS1488" s="816"/>
      <c r="BT1488" s="816"/>
      <c r="BU1488" s="816"/>
    </row>
    <row r="1489" spans="1:73" x14ac:dyDescent="0.35">
      <c r="A1489" s="806" t="s">
        <v>771</v>
      </c>
      <c r="B1489" s="806" t="s">
        <v>1218</v>
      </c>
      <c r="C1489" s="806"/>
      <c r="D1489" s="806"/>
      <c r="E1489" s="806"/>
      <c r="F1489" s="806"/>
      <c r="I1489" s="816"/>
      <c r="J1489" s="816"/>
      <c r="K1489" s="816"/>
      <c r="M1489" s="816"/>
      <c r="N1489" s="816"/>
      <c r="O1489" s="816"/>
      <c r="P1489" s="816"/>
      <c r="Q1489" s="816"/>
      <c r="S1489" s="816"/>
      <c r="T1489" s="816"/>
      <c r="U1489" s="816"/>
      <c r="V1489" s="816"/>
      <c r="W1489" s="816"/>
      <c r="X1489" s="816"/>
      <c r="Z1489" s="816"/>
      <c r="AC1489" s="816"/>
      <c r="AD1489" s="816"/>
      <c r="AE1489" s="816"/>
      <c r="AF1489" s="816"/>
      <c r="AG1489" s="816"/>
      <c r="AI1489" s="816"/>
      <c r="AJ1489" s="816"/>
      <c r="AL1489" s="816"/>
      <c r="AN1489" s="816"/>
      <c r="AP1489" s="816"/>
      <c r="AQ1489" s="816"/>
      <c r="AR1489" s="816"/>
      <c r="AS1489" s="816"/>
      <c r="AT1489" s="816"/>
      <c r="AU1489" s="816"/>
      <c r="AV1489" s="816"/>
      <c r="AW1489" s="816"/>
      <c r="AX1489" s="816"/>
      <c r="AY1489" s="816"/>
      <c r="AZ1489" s="816"/>
      <c r="BA1489" s="816"/>
      <c r="BC1489" s="816"/>
      <c r="BD1489" s="816"/>
      <c r="BE1489" s="816"/>
      <c r="BF1489" s="816"/>
      <c r="BG1489" s="816"/>
      <c r="BH1489" s="816"/>
      <c r="BI1489" s="816"/>
      <c r="BJ1489" s="816"/>
      <c r="BM1489" s="816"/>
      <c r="BN1489" s="816"/>
      <c r="BO1489" s="816"/>
      <c r="BQ1489" s="816"/>
      <c r="BR1489" s="816"/>
      <c r="BS1489" s="816"/>
      <c r="BT1489" s="816"/>
      <c r="BU1489" s="816"/>
    </row>
    <row r="1490" spans="1:73" x14ac:dyDescent="0.35">
      <c r="A1490" s="806" t="s">
        <v>771</v>
      </c>
      <c r="B1490" s="806" t="s">
        <v>1219</v>
      </c>
      <c r="C1490" s="806"/>
      <c r="D1490" s="806"/>
      <c r="E1490" s="806"/>
      <c r="F1490" s="806"/>
      <c r="I1490" s="816"/>
      <c r="J1490" s="816"/>
      <c r="K1490" s="816"/>
      <c r="M1490" s="816"/>
      <c r="N1490" s="816"/>
      <c r="O1490" s="816"/>
      <c r="P1490" s="816"/>
      <c r="Q1490" s="816"/>
      <c r="S1490" s="816"/>
      <c r="T1490" s="816"/>
      <c r="U1490" s="816"/>
      <c r="V1490" s="816"/>
      <c r="W1490" s="816"/>
      <c r="X1490" s="816"/>
      <c r="Z1490" s="816"/>
      <c r="AC1490" s="816"/>
      <c r="AD1490" s="816"/>
      <c r="AE1490" s="816"/>
      <c r="AF1490" s="816"/>
      <c r="AG1490" s="816"/>
      <c r="AI1490" s="816"/>
      <c r="AJ1490" s="816"/>
      <c r="AL1490" s="816"/>
      <c r="AN1490" s="816"/>
      <c r="AP1490" s="816"/>
      <c r="AQ1490" s="816"/>
      <c r="AR1490" s="816"/>
      <c r="AS1490" s="816"/>
      <c r="AT1490" s="816"/>
      <c r="AU1490" s="816"/>
      <c r="AV1490" s="816"/>
      <c r="AW1490" s="816"/>
      <c r="AX1490" s="816"/>
      <c r="AY1490" s="816"/>
      <c r="AZ1490" s="816"/>
      <c r="BA1490" s="816"/>
      <c r="BC1490" s="816"/>
      <c r="BD1490" s="816"/>
      <c r="BE1490" s="816"/>
      <c r="BF1490" s="816"/>
      <c r="BG1490" s="816"/>
      <c r="BH1490" s="816"/>
      <c r="BI1490" s="816"/>
      <c r="BJ1490" s="816"/>
      <c r="BM1490" s="816"/>
      <c r="BN1490" s="816"/>
      <c r="BO1490" s="816"/>
      <c r="BQ1490" s="816"/>
      <c r="BR1490" s="816"/>
      <c r="BS1490" s="816"/>
      <c r="BT1490" s="816"/>
      <c r="BU1490" s="816"/>
    </row>
    <row r="1491" spans="1:73" x14ac:dyDescent="0.35">
      <c r="A1491" s="806" t="s">
        <v>771</v>
      </c>
      <c r="B1491" s="806" t="s">
        <v>1220</v>
      </c>
      <c r="C1491" s="806"/>
      <c r="D1491" s="806"/>
      <c r="E1491" s="806"/>
      <c r="F1491" s="806"/>
      <c r="I1491" s="817"/>
      <c r="J1491" s="817"/>
      <c r="K1491" s="817"/>
      <c r="M1491" s="817"/>
      <c r="N1491" s="817"/>
      <c r="O1491" s="817"/>
      <c r="P1491" s="817"/>
      <c r="Q1491" s="817"/>
      <c r="S1491" s="817"/>
      <c r="T1491" s="817"/>
      <c r="U1491" s="817"/>
      <c r="V1491" s="817"/>
      <c r="W1491" s="817"/>
      <c r="X1491" s="817"/>
      <c r="Z1491" s="817"/>
      <c r="AC1491" s="817"/>
      <c r="AD1491" s="817"/>
      <c r="AE1491" s="817"/>
      <c r="AF1491" s="817"/>
      <c r="AG1491" s="817"/>
      <c r="AI1491" s="817"/>
      <c r="AJ1491" s="817"/>
      <c r="AL1491" s="817"/>
      <c r="AN1491" s="817"/>
      <c r="AP1491" s="817"/>
      <c r="AQ1491" s="817"/>
      <c r="AR1491" s="817"/>
      <c r="AS1491" s="817"/>
      <c r="AT1491" s="817"/>
      <c r="AU1491" s="817"/>
      <c r="AV1491" s="817"/>
      <c r="AW1491" s="817"/>
      <c r="AX1491" s="817"/>
      <c r="AY1491" s="817"/>
      <c r="AZ1491" s="817"/>
      <c r="BA1491" s="817"/>
      <c r="BC1491" s="817"/>
      <c r="BD1491" s="817"/>
      <c r="BE1491" s="817"/>
      <c r="BF1491" s="817"/>
      <c r="BG1491" s="817"/>
      <c r="BH1491" s="817"/>
      <c r="BI1491" s="817"/>
      <c r="BJ1491" s="817"/>
      <c r="BM1491" s="817"/>
      <c r="BN1491" s="817"/>
      <c r="BO1491" s="817"/>
      <c r="BQ1491" s="817"/>
      <c r="BR1491" s="817"/>
      <c r="BS1491" s="817"/>
      <c r="BT1491" s="817"/>
      <c r="BU1491" s="817"/>
    </row>
    <row r="1492" spans="1:73" x14ac:dyDescent="0.35">
      <c r="A1492" s="806" t="s">
        <v>771</v>
      </c>
      <c r="B1492" s="806" t="s">
        <v>1221</v>
      </c>
      <c r="C1492" s="806"/>
      <c r="D1492" s="806"/>
      <c r="E1492" s="806"/>
      <c r="F1492" s="806"/>
      <c r="I1492" s="811"/>
      <c r="J1492" s="811"/>
      <c r="K1492" s="811"/>
      <c r="M1492" s="811"/>
      <c r="N1492" s="811"/>
      <c r="O1492" s="811"/>
      <c r="P1492" s="811"/>
      <c r="Q1492" s="811"/>
      <c r="S1492" s="811"/>
      <c r="T1492" s="811"/>
      <c r="U1492" s="811"/>
      <c r="V1492" s="811"/>
      <c r="W1492" s="811"/>
      <c r="X1492" s="811"/>
      <c r="Z1492" s="811"/>
      <c r="AC1492" s="811"/>
      <c r="AD1492" s="811"/>
      <c r="AE1492" s="811"/>
      <c r="AF1492" s="811"/>
      <c r="AG1492" s="811"/>
      <c r="AI1492" s="811"/>
      <c r="AJ1492" s="811"/>
      <c r="AL1492" s="811"/>
      <c r="AN1492" s="811"/>
      <c r="AP1492" s="811"/>
      <c r="AQ1492" s="811"/>
      <c r="AR1492" s="811"/>
      <c r="AS1492" s="811"/>
      <c r="AT1492" s="811"/>
      <c r="AU1492" s="811"/>
      <c r="AV1492" s="811"/>
      <c r="AW1492" s="811"/>
      <c r="AX1492" s="811"/>
      <c r="AY1492" s="811"/>
      <c r="AZ1492" s="811"/>
      <c r="BA1492" s="811"/>
      <c r="BC1492" s="811"/>
      <c r="BD1492" s="811"/>
      <c r="BE1492" s="811"/>
      <c r="BF1492" s="811"/>
      <c r="BG1492" s="811"/>
      <c r="BH1492" s="811"/>
      <c r="BI1492" s="811"/>
      <c r="BJ1492" s="811"/>
      <c r="BM1492" s="811"/>
      <c r="BN1492" s="811"/>
      <c r="BO1492" s="811"/>
      <c r="BQ1492" s="811"/>
      <c r="BR1492" s="811"/>
      <c r="BS1492" s="811"/>
      <c r="BT1492" s="811"/>
      <c r="BU1492" s="811"/>
    </row>
    <row r="1493" spans="1:73" x14ac:dyDescent="0.35">
      <c r="A1493" s="806" t="s">
        <v>771</v>
      </c>
      <c r="B1493" s="806" t="s">
        <v>1222</v>
      </c>
      <c r="C1493" s="806"/>
      <c r="D1493" s="806"/>
      <c r="E1493" s="806"/>
      <c r="F1493" s="806"/>
      <c r="I1493" s="811"/>
      <c r="J1493" s="811"/>
      <c r="K1493" s="811"/>
      <c r="M1493" s="811"/>
      <c r="N1493" s="811"/>
      <c r="O1493" s="811"/>
      <c r="P1493" s="811"/>
      <c r="Q1493" s="811"/>
      <c r="S1493" s="811"/>
      <c r="T1493" s="811"/>
      <c r="U1493" s="811"/>
      <c r="V1493" s="811"/>
      <c r="W1493" s="811"/>
      <c r="X1493" s="811"/>
      <c r="Z1493" s="811"/>
      <c r="AC1493" s="811"/>
      <c r="AD1493" s="811"/>
      <c r="AE1493" s="811"/>
      <c r="AF1493" s="811"/>
      <c r="AG1493" s="811"/>
      <c r="AI1493" s="811"/>
      <c r="AJ1493" s="811"/>
      <c r="AL1493" s="811"/>
      <c r="AN1493" s="811"/>
      <c r="AP1493" s="811"/>
      <c r="AQ1493" s="811"/>
      <c r="AR1493" s="811"/>
      <c r="AS1493" s="811"/>
      <c r="AT1493" s="811"/>
      <c r="AU1493" s="811"/>
      <c r="AV1493" s="811"/>
      <c r="AW1493" s="811"/>
      <c r="AX1493" s="811"/>
      <c r="AY1493" s="811"/>
      <c r="AZ1493" s="811"/>
      <c r="BA1493" s="811"/>
      <c r="BC1493" s="811"/>
      <c r="BD1493" s="811"/>
      <c r="BE1493" s="811"/>
      <c r="BF1493" s="811"/>
      <c r="BG1493" s="811"/>
      <c r="BH1493" s="811"/>
      <c r="BI1493" s="811"/>
      <c r="BJ1493" s="811"/>
      <c r="BM1493" s="811"/>
      <c r="BN1493" s="811"/>
      <c r="BO1493" s="811"/>
      <c r="BQ1493" s="811"/>
      <c r="BR1493" s="811"/>
      <c r="BS1493" s="811"/>
      <c r="BT1493" s="811"/>
      <c r="BU1493" s="811"/>
    </row>
    <row r="1494" spans="1:73" ht="29" x14ac:dyDescent="0.35">
      <c r="A1494" s="806" t="s">
        <v>771</v>
      </c>
      <c r="B1494" s="806" t="s">
        <v>1223</v>
      </c>
      <c r="C1494" s="806"/>
      <c r="D1494" s="806"/>
      <c r="E1494" s="806"/>
      <c r="F1494" s="806"/>
      <c r="I1494" s="816"/>
      <c r="J1494" s="816"/>
      <c r="K1494" s="816"/>
      <c r="M1494" s="816"/>
      <c r="N1494" s="816"/>
      <c r="O1494" s="816"/>
      <c r="P1494" s="816"/>
      <c r="Q1494" s="816"/>
      <c r="S1494" s="816"/>
      <c r="T1494" s="816"/>
      <c r="U1494" s="816"/>
      <c r="V1494" s="816"/>
      <c r="W1494" s="816"/>
      <c r="X1494" s="816"/>
      <c r="Z1494" s="816"/>
      <c r="AC1494" s="816"/>
      <c r="AD1494" s="816"/>
      <c r="AE1494" s="816"/>
      <c r="AF1494" s="816"/>
      <c r="AG1494" s="816"/>
      <c r="AI1494" s="816"/>
      <c r="AJ1494" s="816"/>
      <c r="AL1494" s="816"/>
      <c r="AN1494" s="816"/>
      <c r="AP1494" s="816"/>
      <c r="AQ1494" s="816"/>
      <c r="AR1494" s="816"/>
      <c r="AS1494" s="816"/>
      <c r="AT1494" s="816"/>
      <c r="AU1494" s="816"/>
      <c r="AV1494" s="816"/>
      <c r="AW1494" s="816"/>
      <c r="AX1494" s="816"/>
      <c r="AY1494" s="816"/>
      <c r="AZ1494" s="816"/>
      <c r="BA1494" s="816"/>
      <c r="BC1494" s="816"/>
      <c r="BD1494" s="816"/>
      <c r="BE1494" s="816"/>
      <c r="BF1494" s="816"/>
      <c r="BG1494" s="816"/>
      <c r="BH1494" s="816"/>
      <c r="BI1494" s="816"/>
      <c r="BJ1494" s="816"/>
      <c r="BM1494" s="816"/>
      <c r="BN1494" s="816"/>
      <c r="BO1494" s="816"/>
      <c r="BQ1494" s="816"/>
      <c r="BR1494" s="816"/>
      <c r="BS1494" s="816"/>
      <c r="BT1494" s="816"/>
      <c r="BU1494" s="816"/>
    </row>
    <row r="1495" spans="1:73" ht="29" x14ac:dyDescent="0.35">
      <c r="A1495" s="806" t="s">
        <v>771</v>
      </c>
      <c r="B1495" s="806" t="s">
        <v>1224</v>
      </c>
      <c r="C1495" s="806"/>
      <c r="D1495" s="806"/>
      <c r="E1495" s="806"/>
      <c r="F1495" s="806"/>
      <c r="I1495" s="816"/>
      <c r="J1495" s="816"/>
      <c r="K1495" s="816"/>
      <c r="M1495" s="816"/>
      <c r="N1495" s="816"/>
      <c r="O1495" s="816"/>
      <c r="P1495" s="816"/>
      <c r="Q1495" s="816"/>
      <c r="S1495" s="816"/>
      <c r="T1495" s="816"/>
      <c r="U1495" s="816"/>
      <c r="V1495" s="816"/>
      <c r="W1495" s="816"/>
      <c r="X1495" s="816"/>
      <c r="Z1495" s="816"/>
      <c r="AC1495" s="816"/>
      <c r="AD1495" s="816"/>
      <c r="AE1495" s="816"/>
      <c r="AF1495" s="816"/>
      <c r="AG1495" s="816"/>
      <c r="AI1495" s="816"/>
      <c r="AJ1495" s="816"/>
      <c r="AL1495" s="816"/>
      <c r="AN1495" s="816"/>
      <c r="AP1495" s="816"/>
      <c r="AQ1495" s="816"/>
      <c r="AR1495" s="816"/>
      <c r="AS1495" s="816"/>
      <c r="AT1495" s="816"/>
      <c r="AU1495" s="816"/>
      <c r="AV1495" s="816"/>
      <c r="AW1495" s="816"/>
      <c r="AX1495" s="816"/>
      <c r="AY1495" s="816"/>
      <c r="AZ1495" s="816"/>
      <c r="BA1495" s="816"/>
      <c r="BC1495" s="816"/>
      <c r="BD1495" s="816"/>
      <c r="BE1495" s="816"/>
      <c r="BF1495" s="816"/>
      <c r="BG1495" s="816"/>
      <c r="BH1495" s="816"/>
      <c r="BI1495" s="816"/>
      <c r="BJ1495" s="816"/>
      <c r="BM1495" s="816"/>
      <c r="BN1495" s="816"/>
      <c r="BO1495" s="816"/>
      <c r="BQ1495" s="816"/>
      <c r="BR1495" s="816"/>
      <c r="BS1495" s="816"/>
      <c r="BT1495" s="816"/>
      <c r="BU1495" s="816"/>
    </row>
    <row r="1496" spans="1:73" ht="29" x14ac:dyDescent="0.35">
      <c r="A1496" s="806" t="s">
        <v>771</v>
      </c>
      <c r="B1496" s="806" t="s">
        <v>1225</v>
      </c>
      <c r="C1496" s="806"/>
      <c r="D1496" s="806"/>
      <c r="E1496" s="806"/>
      <c r="F1496" s="806"/>
      <c r="I1496" s="816"/>
      <c r="J1496" s="816"/>
      <c r="K1496" s="816"/>
      <c r="M1496" s="816"/>
      <c r="N1496" s="816"/>
      <c r="O1496" s="816"/>
      <c r="P1496" s="816"/>
      <c r="Q1496" s="816"/>
      <c r="S1496" s="816"/>
      <c r="T1496" s="816"/>
      <c r="U1496" s="816"/>
      <c r="V1496" s="816"/>
      <c r="W1496" s="816"/>
      <c r="X1496" s="816"/>
      <c r="Z1496" s="816"/>
      <c r="AC1496" s="816"/>
      <c r="AD1496" s="816"/>
      <c r="AE1496" s="816"/>
      <c r="AF1496" s="816"/>
      <c r="AG1496" s="816"/>
      <c r="AI1496" s="816"/>
      <c r="AJ1496" s="816"/>
      <c r="AL1496" s="816"/>
      <c r="AN1496" s="816"/>
      <c r="AP1496" s="816"/>
      <c r="AQ1496" s="816"/>
      <c r="AR1496" s="816"/>
      <c r="AS1496" s="816"/>
      <c r="AT1496" s="816"/>
      <c r="AU1496" s="816"/>
      <c r="AV1496" s="816"/>
      <c r="AW1496" s="816"/>
      <c r="AX1496" s="816"/>
      <c r="AY1496" s="816"/>
      <c r="AZ1496" s="816"/>
      <c r="BA1496" s="816"/>
      <c r="BC1496" s="816"/>
      <c r="BD1496" s="816"/>
      <c r="BE1496" s="816"/>
      <c r="BF1496" s="816"/>
      <c r="BG1496" s="816"/>
      <c r="BH1496" s="816"/>
      <c r="BI1496" s="816"/>
      <c r="BJ1496" s="816"/>
      <c r="BM1496" s="816"/>
      <c r="BN1496" s="816"/>
      <c r="BO1496" s="816"/>
      <c r="BQ1496" s="816"/>
      <c r="BR1496" s="816"/>
      <c r="BS1496" s="816"/>
      <c r="BT1496" s="816"/>
      <c r="BU1496" s="816"/>
    </row>
    <row r="1497" spans="1:73" x14ac:dyDescent="0.35">
      <c r="A1497" s="806" t="s">
        <v>771</v>
      </c>
      <c r="B1497" s="806" t="s">
        <v>1226</v>
      </c>
      <c r="C1497" s="806"/>
      <c r="D1497" s="806"/>
      <c r="E1497" s="806"/>
      <c r="F1497" s="806"/>
      <c r="I1497" s="816"/>
      <c r="J1497" s="816"/>
      <c r="K1497" s="816"/>
      <c r="M1497" s="816"/>
      <c r="N1497" s="816"/>
      <c r="O1497" s="816"/>
      <c r="P1497" s="816"/>
      <c r="Q1497" s="816"/>
      <c r="S1497" s="816"/>
      <c r="T1497" s="816"/>
      <c r="U1497" s="816"/>
      <c r="V1497" s="816"/>
      <c r="W1497" s="816"/>
      <c r="X1497" s="816"/>
      <c r="Z1497" s="816"/>
      <c r="AC1497" s="816"/>
      <c r="AD1497" s="816"/>
      <c r="AE1497" s="816"/>
      <c r="AF1497" s="816"/>
      <c r="AG1497" s="816"/>
      <c r="AI1497" s="816"/>
      <c r="AJ1497" s="816"/>
      <c r="AL1497" s="816"/>
      <c r="AN1497" s="816"/>
      <c r="AP1497" s="816"/>
      <c r="AQ1497" s="816"/>
      <c r="AR1497" s="816"/>
      <c r="AS1497" s="816"/>
      <c r="AT1497" s="816"/>
      <c r="AU1497" s="816"/>
      <c r="AV1497" s="816"/>
      <c r="AW1497" s="816"/>
      <c r="AX1497" s="816"/>
      <c r="AY1497" s="816"/>
      <c r="AZ1497" s="816"/>
      <c r="BA1497" s="816"/>
      <c r="BC1497" s="816"/>
      <c r="BD1497" s="816"/>
      <c r="BE1497" s="816"/>
      <c r="BF1497" s="816"/>
      <c r="BG1497" s="816"/>
      <c r="BH1497" s="816"/>
      <c r="BI1497" s="816"/>
      <c r="BJ1497" s="816"/>
      <c r="BM1497" s="816"/>
      <c r="BN1497" s="816"/>
      <c r="BO1497" s="816"/>
      <c r="BQ1497" s="816"/>
      <c r="BR1497" s="816"/>
      <c r="BS1497" s="816"/>
      <c r="BT1497" s="816"/>
      <c r="BU1497" s="816"/>
    </row>
    <row r="1498" spans="1:73" x14ac:dyDescent="0.35">
      <c r="A1498" s="806" t="s">
        <v>771</v>
      </c>
      <c r="B1498" s="806" t="s">
        <v>1227</v>
      </c>
      <c r="C1498" s="806"/>
      <c r="D1498" s="806"/>
      <c r="E1498" s="806"/>
      <c r="F1498" s="806"/>
      <c r="I1498" s="816"/>
      <c r="J1498" s="816"/>
      <c r="K1498" s="816"/>
      <c r="M1498" s="816"/>
      <c r="N1498" s="816"/>
      <c r="O1498" s="816"/>
      <c r="P1498" s="816"/>
      <c r="Q1498" s="816"/>
      <c r="S1498" s="816"/>
      <c r="T1498" s="816"/>
      <c r="U1498" s="816"/>
      <c r="V1498" s="816"/>
      <c r="W1498" s="816"/>
      <c r="X1498" s="816"/>
      <c r="Z1498" s="816"/>
      <c r="AC1498" s="816"/>
      <c r="AD1498" s="816"/>
      <c r="AE1498" s="816"/>
      <c r="AF1498" s="816"/>
      <c r="AG1498" s="816"/>
      <c r="AI1498" s="816"/>
      <c r="AJ1498" s="816"/>
      <c r="AL1498" s="816"/>
      <c r="AN1498" s="816"/>
      <c r="AP1498" s="816"/>
      <c r="AQ1498" s="816"/>
      <c r="AR1498" s="816"/>
      <c r="AS1498" s="816"/>
      <c r="AT1498" s="816"/>
      <c r="AU1498" s="816"/>
      <c r="AV1498" s="816"/>
      <c r="AW1498" s="816"/>
      <c r="AX1498" s="816"/>
      <c r="AY1498" s="816"/>
      <c r="AZ1498" s="816"/>
      <c r="BA1498" s="816"/>
      <c r="BC1498" s="816"/>
      <c r="BD1498" s="816"/>
      <c r="BE1498" s="816"/>
      <c r="BF1498" s="816"/>
      <c r="BG1498" s="816"/>
      <c r="BH1498" s="816"/>
      <c r="BI1498" s="816"/>
      <c r="BJ1498" s="816"/>
      <c r="BM1498" s="816"/>
      <c r="BN1498" s="816"/>
      <c r="BO1498" s="816"/>
      <c r="BQ1498" s="816"/>
      <c r="BR1498" s="816"/>
      <c r="BS1498" s="816"/>
      <c r="BT1498" s="816"/>
      <c r="BU1498" s="816"/>
    </row>
    <row r="1499" spans="1:73" x14ac:dyDescent="0.35">
      <c r="A1499" s="806" t="s">
        <v>856</v>
      </c>
      <c r="B1499" s="806" t="s">
        <v>1381</v>
      </c>
      <c r="C1499" s="806"/>
      <c r="D1499" s="806"/>
      <c r="E1499" s="806"/>
      <c r="F1499" s="806"/>
      <c r="I1499" s="817"/>
      <c r="J1499" s="817"/>
      <c r="K1499" s="817"/>
      <c r="M1499" s="817"/>
      <c r="N1499" s="817"/>
      <c r="O1499" s="817"/>
      <c r="P1499" s="817"/>
      <c r="Q1499" s="817"/>
      <c r="S1499" s="817"/>
      <c r="T1499" s="817"/>
      <c r="U1499" s="817"/>
      <c r="V1499" s="817"/>
      <c r="W1499" s="817"/>
      <c r="X1499" s="817"/>
      <c r="Z1499" s="817"/>
      <c r="AC1499" s="817"/>
      <c r="AD1499" s="817"/>
      <c r="AE1499" s="817"/>
      <c r="AF1499" s="817"/>
      <c r="AG1499" s="817"/>
      <c r="AI1499" s="817"/>
      <c r="AJ1499" s="817"/>
      <c r="AL1499" s="817"/>
      <c r="AN1499" s="817"/>
      <c r="AP1499" s="817"/>
      <c r="AQ1499" s="817"/>
      <c r="AR1499" s="817"/>
      <c r="AS1499" s="817"/>
      <c r="AT1499" s="817"/>
      <c r="AU1499" s="817"/>
      <c r="AV1499" s="817"/>
      <c r="AW1499" s="817"/>
      <c r="AX1499" s="817"/>
      <c r="AY1499" s="817"/>
      <c r="AZ1499" s="817"/>
      <c r="BA1499" s="817"/>
      <c r="BC1499" s="817"/>
      <c r="BD1499" s="817"/>
      <c r="BE1499" s="817"/>
      <c r="BF1499" s="817"/>
      <c r="BG1499" s="817"/>
      <c r="BH1499" s="817"/>
      <c r="BI1499" s="817"/>
      <c r="BJ1499" s="817"/>
      <c r="BM1499" s="817"/>
      <c r="BN1499" s="817"/>
      <c r="BO1499" s="817"/>
      <c r="BQ1499" s="817"/>
      <c r="BR1499" s="817"/>
      <c r="BS1499" s="817"/>
      <c r="BT1499" s="817"/>
      <c r="BU1499" s="817"/>
    </row>
    <row r="1500" spans="1:73" x14ac:dyDescent="0.35">
      <c r="A1500" s="806" t="s">
        <v>856</v>
      </c>
      <c r="B1500" s="806" t="s">
        <v>1382</v>
      </c>
      <c r="C1500" s="806"/>
      <c r="D1500" s="806"/>
      <c r="E1500" s="806"/>
      <c r="F1500" s="806"/>
      <c r="I1500" s="817"/>
      <c r="J1500" s="817"/>
      <c r="K1500" s="817"/>
      <c r="M1500" s="817"/>
      <c r="N1500" s="817"/>
      <c r="O1500" s="817"/>
      <c r="P1500" s="817"/>
      <c r="Q1500" s="817"/>
      <c r="S1500" s="817"/>
      <c r="T1500" s="817"/>
      <c r="U1500" s="817"/>
      <c r="V1500" s="817"/>
      <c r="W1500" s="817"/>
      <c r="X1500" s="817"/>
      <c r="Z1500" s="817"/>
      <c r="AC1500" s="817"/>
      <c r="AD1500" s="817"/>
      <c r="AE1500" s="817"/>
      <c r="AF1500" s="817"/>
      <c r="AG1500" s="817"/>
      <c r="AI1500" s="817"/>
      <c r="AJ1500" s="817"/>
      <c r="AL1500" s="817"/>
      <c r="AN1500" s="817"/>
      <c r="AP1500" s="817"/>
      <c r="AQ1500" s="817"/>
      <c r="AR1500" s="817"/>
      <c r="AS1500" s="817"/>
      <c r="AT1500" s="817"/>
      <c r="AU1500" s="817"/>
      <c r="AV1500" s="817"/>
      <c r="AW1500" s="817"/>
      <c r="AX1500" s="817"/>
      <c r="AY1500" s="817"/>
      <c r="AZ1500" s="817"/>
      <c r="BA1500" s="817"/>
      <c r="BC1500" s="817"/>
      <c r="BD1500" s="817"/>
      <c r="BE1500" s="817"/>
      <c r="BF1500" s="817"/>
      <c r="BG1500" s="817"/>
      <c r="BH1500" s="817"/>
      <c r="BI1500" s="817"/>
      <c r="BJ1500" s="817"/>
      <c r="BM1500" s="817"/>
      <c r="BN1500" s="817"/>
      <c r="BO1500" s="817"/>
      <c r="BQ1500" s="817"/>
      <c r="BR1500" s="817"/>
      <c r="BS1500" s="817"/>
      <c r="BT1500" s="817"/>
      <c r="BU1500" s="817"/>
    </row>
    <row r="1501" spans="1:73" x14ac:dyDescent="0.35">
      <c r="A1501" s="806" t="s">
        <v>856</v>
      </c>
      <c r="B1501" s="806" t="s">
        <v>1383</v>
      </c>
      <c r="C1501" s="806"/>
      <c r="D1501" s="806"/>
      <c r="E1501" s="806"/>
      <c r="F1501" s="806"/>
      <c r="I1501" s="817"/>
      <c r="J1501" s="817"/>
      <c r="K1501" s="817"/>
      <c r="M1501" s="817"/>
      <c r="N1501" s="817"/>
      <c r="O1501" s="817"/>
      <c r="P1501" s="817"/>
      <c r="Q1501" s="817"/>
      <c r="S1501" s="817"/>
      <c r="T1501" s="817"/>
      <c r="U1501" s="817"/>
      <c r="V1501" s="817"/>
      <c r="W1501" s="817"/>
      <c r="X1501" s="817"/>
      <c r="Z1501" s="817"/>
      <c r="AC1501" s="817"/>
      <c r="AD1501" s="817"/>
      <c r="AE1501" s="817"/>
      <c r="AF1501" s="817"/>
      <c r="AG1501" s="817"/>
      <c r="AI1501" s="817"/>
      <c r="AJ1501" s="817"/>
      <c r="AL1501" s="817"/>
      <c r="AN1501" s="817"/>
      <c r="AP1501" s="817"/>
      <c r="AQ1501" s="817"/>
      <c r="AR1501" s="817"/>
      <c r="AS1501" s="817"/>
      <c r="AT1501" s="817"/>
      <c r="AU1501" s="817"/>
      <c r="AV1501" s="817"/>
      <c r="AW1501" s="817"/>
      <c r="AX1501" s="817"/>
      <c r="AY1501" s="817"/>
      <c r="AZ1501" s="817"/>
      <c r="BA1501" s="817"/>
      <c r="BC1501" s="817"/>
      <c r="BD1501" s="817"/>
      <c r="BE1501" s="817"/>
      <c r="BF1501" s="817"/>
      <c r="BG1501" s="817"/>
      <c r="BH1501" s="817"/>
      <c r="BI1501" s="817"/>
      <c r="BJ1501" s="817"/>
      <c r="BM1501" s="817"/>
      <c r="BN1501" s="817"/>
      <c r="BO1501" s="817"/>
      <c r="BQ1501" s="817"/>
      <c r="BR1501" s="817"/>
      <c r="BS1501" s="817"/>
      <c r="BT1501" s="817"/>
      <c r="BU1501" s="817"/>
    </row>
    <row r="1502" spans="1:73" x14ac:dyDescent="0.35">
      <c r="A1502" s="806" t="s">
        <v>850</v>
      </c>
      <c r="B1502" s="806" t="s">
        <v>1156</v>
      </c>
      <c r="C1502" s="806"/>
      <c r="D1502" s="806"/>
      <c r="E1502" s="806"/>
      <c r="F1502" s="806"/>
      <c r="I1502" s="816"/>
      <c r="J1502" s="816"/>
      <c r="K1502" s="816"/>
      <c r="M1502" s="816"/>
      <c r="N1502" s="816"/>
      <c r="O1502" s="816"/>
      <c r="P1502" s="816"/>
      <c r="Q1502" s="816"/>
      <c r="S1502" s="816"/>
      <c r="T1502" s="816"/>
      <c r="U1502" s="816"/>
      <c r="V1502" s="816"/>
      <c r="W1502" s="816"/>
      <c r="X1502" s="816"/>
      <c r="Z1502" s="816"/>
      <c r="AC1502" s="816"/>
      <c r="AD1502" s="816"/>
      <c r="AE1502" s="816"/>
      <c r="AF1502" s="816"/>
      <c r="AG1502" s="816"/>
      <c r="AI1502" s="816"/>
      <c r="AJ1502" s="816"/>
      <c r="AL1502" s="816"/>
      <c r="AN1502" s="816"/>
      <c r="AP1502" s="816"/>
      <c r="AQ1502" s="816"/>
      <c r="AR1502" s="816"/>
      <c r="AS1502" s="816"/>
      <c r="AT1502" s="816"/>
      <c r="AU1502" s="816"/>
      <c r="AV1502" s="816"/>
      <c r="AW1502" s="816"/>
      <c r="AX1502" s="816"/>
      <c r="AY1502" s="816"/>
      <c r="AZ1502" s="816"/>
      <c r="BA1502" s="816"/>
      <c r="BC1502" s="816"/>
      <c r="BD1502" s="816"/>
      <c r="BE1502" s="816"/>
      <c r="BF1502" s="816"/>
      <c r="BG1502" s="816"/>
      <c r="BH1502" s="816"/>
      <c r="BI1502" s="816"/>
      <c r="BJ1502" s="816"/>
      <c r="BM1502" s="816"/>
      <c r="BN1502" s="816"/>
      <c r="BO1502" s="816"/>
      <c r="BQ1502" s="816"/>
      <c r="BR1502" s="816"/>
      <c r="BS1502" s="816"/>
      <c r="BT1502" s="816"/>
      <c r="BU1502" s="816"/>
    </row>
    <row r="1503" spans="1:73" x14ac:dyDescent="0.35">
      <c r="A1503" s="806" t="s">
        <v>850</v>
      </c>
      <c r="B1503" s="806" t="s">
        <v>1157</v>
      </c>
      <c r="C1503" s="806"/>
      <c r="D1503" s="806"/>
      <c r="E1503" s="806"/>
      <c r="F1503" s="806"/>
      <c r="I1503" s="816"/>
      <c r="J1503" s="816"/>
      <c r="K1503" s="816"/>
      <c r="M1503" s="816"/>
      <c r="N1503" s="816"/>
      <c r="O1503" s="816"/>
      <c r="P1503" s="816"/>
      <c r="Q1503" s="816"/>
      <c r="S1503" s="816"/>
      <c r="T1503" s="816"/>
      <c r="U1503" s="816"/>
      <c r="V1503" s="816"/>
      <c r="W1503" s="816"/>
      <c r="X1503" s="816"/>
      <c r="Z1503" s="816"/>
      <c r="AC1503" s="816"/>
      <c r="AD1503" s="816"/>
      <c r="AE1503" s="816"/>
      <c r="AF1503" s="816"/>
      <c r="AG1503" s="816"/>
      <c r="AI1503" s="816"/>
      <c r="AJ1503" s="816"/>
      <c r="AL1503" s="816"/>
      <c r="AN1503" s="816"/>
      <c r="AP1503" s="816"/>
      <c r="AQ1503" s="816"/>
      <c r="AR1503" s="816"/>
      <c r="AS1503" s="816"/>
      <c r="AT1503" s="816"/>
      <c r="AU1503" s="816"/>
      <c r="AV1503" s="816"/>
      <c r="AW1503" s="816"/>
      <c r="AX1503" s="816"/>
      <c r="AY1503" s="816"/>
      <c r="AZ1503" s="816"/>
      <c r="BA1503" s="816"/>
      <c r="BC1503" s="816"/>
      <c r="BD1503" s="816"/>
      <c r="BE1503" s="816"/>
      <c r="BF1503" s="816"/>
      <c r="BG1503" s="816"/>
      <c r="BH1503" s="816"/>
      <c r="BI1503" s="816"/>
      <c r="BJ1503" s="816"/>
      <c r="BM1503" s="816"/>
      <c r="BN1503" s="816"/>
      <c r="BO1503" s="816"/>
      <c r="BQ1503" s="816"/>
      <c r="BR1503" s="816"/>
      <c r="BS1503" s="816"/>
      <c r="BT1503" s="816"/>
      <c r="BU1503" s="816"/>
    </row>
    <row r="1504" spans="1:73" ht="29" x14ac:dyDescent="0.35">
      <c r="A1504" s="806" t="s">
        <v>789</v>
      </c>
      <c r="B1504" s="806" t="s">
        <v>2145</v>
      </c>
      <c r="C1504" s="806"/>
      <c r="D1504" s="806"/>
      <c r="E1504" s="806"/>
      <c r="F1504" s="806"/>
      <c r="AB1504" s="818"/>
      <c r="AN1504" s="818"/>
    </row>
    <row r="1505" spans="1:73" ht="29" x14ac:dyDescent="0.35">
      <c r="A1505" s="806" t="s">
        <v>789</v>
      </c>
      <c r="B1505" s="806" t="s">
        <v>2168</v>
      </c>
      <c r="C1505" s="806"/>
      <c r="D1505" s="806"/>
      <c r="E1505" s="806"/>
      <c r="F1505" s="806"/>
      <c r="AN1505" s="818"/>
    </row>
    <row r="1506" spans="1:73" ht="29" x14ac:dyDescent="0.35">
      <c r="A1506" s="806" t="s">
        <v>789</v>
      </c>
      <c r="B1506" s="806" t="s">
        <v>2302</v>
      </c>
      <c r="C1506" s="806"/>
      <c r="D1506" s="806"/>
      <c r="E1506" s="806"/>
      <c r="F1506" s="806"/>
      <c r="AN1506" s="818"/>
    </row>
    <row r="1507" spans="1:73" x14ac:dyDescent="0.35">
      <c r="A1507" s="806" t="s">
        <v>789</v>
      </c>
      <c r="B1507" s="806" t="s">
        <v>2216</v>
      </c>
      <c r="C1507" s="806"/>
      <c r="D1507" s="806"/>
      <c r="E1507" s="806"/>
      <c r="F1507" s="818"/>
      <c r="AA1507" s="818"/>
      <c r="AN1507" s="818"/>
      <c r="AX1507" s="818"/>
    </row>
    <row r="1508" spans="1:73" ht="29" x14ac:dyDescent="0.35">
      <c r="A1508" s="806" t="s">
        <v>789</v>
      </c>
      <c r="B1508" s="806" t="s">
        <v>2204</v>
      </c>
      <c r="C1508" s="806"/>
      <c r="D1508" s="806"/>
      <c r="E1508" s="806"/>
      <c r="F1508" s="816"/>
      <c r="AA1508" s="816"/>
      <c r="AN1508" s="816"/>
      <c r="AX1508" s="816"/>
    </row>
    <row r="1509" spans="1:73" ht="29" x14ac:dyDescent="0.35">
      <c r="A1509" s="806" t="s">
        <v>789</v>
      </c>
      <c r="B1509" s="806" t="s">
        <v>2210</v>
      </c>
      <c r="C1509" s="806"/>
      <c r="D1509" s="806"/>
      <c r="E1509" s="806"/>
      <c r="F1509" s="816"/>
      <c r="AA1509" s="816"/>
      <c r="AN1509" s="816"/>
    </row>
    <row r="1510" spans="1:73" ht="29" x14ac:dyDescent="0.35">
      <c r="A1510" s="806" t="s">
        <v>789</v>
      </c>
      <c r="B1510" s="806" t="s">
        <v>2128</v>
      </c>
      <c r="C1510" s="806"/>
      <c r="D1510" s="806"/>
      <c r="E1510" s="806"/>
      <c r="F1510" s="806"/>
      <c r="AN1510" s="818"/>
      <c r="AW1510" s="818"/>
    </row>
    <row r="1511" spans="1:73" ht="29" x14ac:dyDescent="0.35">
      <c r="A1511" s="806" t="s">
        <v>789</v>
      </c>
      <c r="B1511" s="806" t="s">
        <v>2234</v>
      </c>
      <c r="C1511" s="806"/>
      <c r="D1511" s="806"/>
      <c r="E1511" s="806"/>
      <c r="F1511" s="818"/>
      <c r="AA1511" s="818"/>
    </row>
    <row r="1512" spans="1:73" ht="29" x14ac:dyDescent="0.35">
      <c r="A1512" s="806" t="s">
        <v>856</v>
      </c>
      <c r="B1512" s="806" t="s">
        <v>1658</v>
      </c>
      <c r="C1512" s="806"/>
      <c r="D1512" s="806"/>
      <c r="E1512" s="806"/>
      <c r="F1512" s="806"/>
      <c r="I1512" s="817"/>
      <c r="K1512" s="817"/>
      <c r="M1512" s="817"/>
      <c r="Q1512" s="817"/>
      <c r="S1512" s="817"/>
      <c r="U1512" s="817"/>
      <c r="V1512" s="817"/>
      <c r="W1512" s="817"/>
      <c r="AD1512" s="817"/>
      <c r="AG1512" s="817"/>
      <c r="AJ1512" s="817"/>
      <c r="AL1512" s="817"/>
      <c r="AR1512" s="817"/>
      <c r="AT1512" s="817"/>
      <c r="AU1512" s="817"/>
      <c r="AV1512" s="817"/>
      <c r="AX1512" s="817"/>
      <c r="AY1512" s="817"/>
      <c r="AZ1512" s="817"/>
      <c r="BC1512" s="817"/>
      <c r="BD1512" s="817"/>
      <c r="BE1512" s="817"/>
      <c r="BG1512" s="817"/>
      <c r="BH1512" s="817"/>
      <c r="BI1512" s="817"/>
      <c r="BL1512" s="817"/>
      <c r="BS1512" s="817"/>
      <c r="BT1512" s="817"/>
      <c r="BU1512" s="817"/>
    </row>
    <row r="1513" spans="1:73" ht="29" x14ac:dyDescent="0.35">
      <c r="A1513" s="806" t="s">
        <v>872</v>
      </c>
      <c r="B1513" s="806" t="s">
        <v>1680</v>
      </c>
      <c r="C1513" s="806"/>
      <c r="D1513" s="806"/>
      <c r="E1513" s="806"/>
      <c r="F1513" s="806"/>
      <c r="I1513" s="817"/>
      <c r="K1513" s="817"/>
      <c r="M1513" s="817"/>
      <c r="Q1513" s="817"/>
      <c r="S1513" s="817"/>
      <c r="U1513" s="817"/>
      <c r="V1513" s="817"/>
      <c r="W1513" s="817"/>
      <c r="AD1513" s="817"/>
      <c r="AG1513" s="817"/>
      <c r="AJ1513" s="817"/>
      <c r="AL1513" s="817"/>
      <c r="AR1513" s="817"/>
      <c r="AT1513" s="817"/>
      <c r="AU1513" s="817"/>
      <c r="AV1513" s="817"/>
      <c r="AX1513" s="817"/>
      <c r="AY1513" s="817"/>
      <c r="AZ1513" s="817"/>
      <c r="BC1513" s="817"/>
      <c r="BD1513" s="817"/>
      <c r="BE1513" s="817"/>
      <c r="BG1513" s="817"/>
      <c r="BH1513" s="817"/>
      <c r="BI1513" s="817"/>
      <c r="BL1513" s="817"/>
      <c r="BS1513" s="817"/>
      <c r="BT1513" s="817"/>
      <c r="BU1513" s="817"/>
    </row>
    <row r="1514" spans="1:73" ht="29" x14ac:dyDescent="0.35">
      <c r="A1514" s="806" t="s">
        <v>872</v>
      </c>
      <c r="B1514" s="806" t="s">
        <v>1681</v>
      </c>
      <c r="C1514" s="806"/>
      <c r="D1514" s="806"/>
      <c r="E1514" s="806"/>
      <c r="F1514" s="806"/>
      <c r="I1514" s="817"/>
      <c r="K1514" s="817"/>
      <c r="M1514" s="817"/>
      <c r="Q1514" s="817"/>
      <c r="S1514" s="817"/>
      <c r="U1514" s="817"/>
      <c r="V1514" s="817"/>
      <c r="W1514" s="817"/>
      <c r="AD1514" s="817"/>
      <c r="AG1514" s="817"/>
      <c r="AJ1514" s="817"/>
      <c r="AL1514" s="817"/>
      <c r="AR1514" s="817"/>
      <c r="AT1514" s="817"/>
      <c r="AU1514" s="817"/>
      <c r="AV1514" s="817"/>
      <c r="AX1514" s="817"/>
      <c r="AY1514" s="817"/>
      <c r="AZ1514" s="817"/>
      <c r="BC1514" s="817"/>
      <c r="BD1514" s="817"/>
      <c r="BE1514" s="817"/>
      <c r="BG1514" s="817"/>
      <c r="BH1514" s="817"/>
      <c r="BI1514" s="817"/>
      <c r="BL1514" s="817"/>
      <c r="BS1514" s="817"/>
      <c r="BT1514" s="817"/>
      <c r="BU1514" s="817"/>
    </row>
    <row r="1515" spans="1:73" ht="29" x14ac:dyDescent="0.35">
      <c r="A1515" s="806" t="s">
        <v>880</v>
      </c>
      <c r="B1515" s="806" t="s">
        <v>4037</v>
      </c>
      <c r="C1515" s="806"/>
      <c r="D1515" s="806"/>
      <c r="E1515" s="806"/>
      <c r="F1515" s="806"/>
      <c r="BK1515" s="817"/>
    </row>
    <row r="1516" spans="1:73" ht="29" x14ac:dyDescent="0.35">
      <c r="A1516" s="806" t="s">
        <v>789</v>
      </c>
      <c r="B1516" s="806" t="s">
        <v>2366</v>
      </c>
      <c r="C1516" s="806"/>
      <c r="D1516" s="806"/>
      <c r="E1516" s="806"/>
      <c r="F1516" s="806"/>
      <c r="BK1516" s="818"/>
    </row>
    <row r="1517" spans="1:73" ht="29" x14ac:dyDescent="0.35">
      <c r="A1517" s="806" t="s">
        <v>880</v>
      </c>
      <c r="B1517" s="806" t="s">
        <v>4062</v>
      </c>
      <c r="C1517" s="806"/>
      <c r="D1517" s="806"/>
      <c r="E1517" s="806"/>
      <c r="F1517" s="806"/>
      <c r="BK1517" s="818"/>
    </row>
    <row r="1518" spans="1:73" ht="29" x14ac:dyDescent="0.35">
      <c r="A1518" s="806" t="s">
        <v>880</v>
      </c>
      <c r="B1518" s="806" t="s">
        <v>4065</v>
      </c>
      <c r="C1518" s="806"/>
      <c r="D1518" s="806"/>
      <c r="E1518" s="806"/>
      <c r="F1518" s="806"/>
      <c r="BK1518" s="818"/>
    </row>
    <row r="1519" spans="1:73" ht="29" x14ac:dyDescent="0.35">
      <c r="A1519" s="806" t="s">
        <v>880</v>
      </c>
      <c r="B1519" s="806" t="s">
        <v>4090</v>
      </c>
      <c r="C1519" s="806"/>
      <c r="D1519" s="806"/>
      <c r="E1519" s="806"/>
      <c r="F1519" s="806"/>
      <c r="BK1519" s="818"/>
    </row>
    <row r="1520" spans="1:73" x14ac:dyDescent="0.35">
      <c r="A1520" s="806" t="s">
        <v>880</v>
      </c>
      <c r="B1520" s="806" t="s">
        <v>4151</v>
      </c>
      <c r="C1520" s="806"/>
      <c r="D1520" s="806"/>
      <c r="E1520" s="806"/>
      <c r="F1520" s="806"/>
      <c r="BK1520" s="818"/>
    </row>
    <row r="1521" spans="1:63" x14ac:dyDescent="0.35">
      <c r="A1521" s="806" t="s">
        <v>880</v>
      </c>
      <c r="B1521" s="806" t="s">
        <v>4154</v>
      </c>
      <c r="C1521" s="806"/>
      <c r="D1521" s="806"/>
      <c r="E1521" s="806"/>
      <c r="F1521" s="806"/>
      <c r="BK1521" s="818"/>
    </row>
    <row r="1522" spans="1:63" ht="29" x14ac:dyDescent="0.35">
      <c r="A1522" s="806" t="s">
        <v>880</v>
      </c>
      <c r="B1522" s="806" t="s">
        <v>4159</v>
      </c>
      <c r="C1522" s="806"/>
      <c r="D1522" s="806"/>
      <c r="E1522" s="806"/>
      <c r="F1522" s="806"/>
      <c r="BK1522" s="818"/>
    </row>
    <row r="1523" spans="1:63" ht="29" x14ac:dyDescent="0.35">
      <c r="A1523" s="806" t="s">
        <v>771</v>
      </c>
      <c r="B1523" s="806" t="s">
        <v>1953</v>
      </c>
      <c r="C1523" s="806"/>
      <c r="D1523" s="806"/>
      <c r="E1523" s="806"/>
      <c r="F1523" s="806"/>
    </row>
    <row r="1524" spans="1:63" ht="29" x14ac:dyDescent="0.35">
      <c r="A1524" s="806" t="s">
        <v>780</v>
      </c>
      <c r="B1524" s="806" t="s">
        <v>1954</v>
      </c>
      <c r="C1524" s="806"/>
      <c r="D1524" s="806"/>
      <c r="E1524" s="806"/>
      <c r="F1524" s="806"/>
    </row>
    <row r="1525" spans="1:63" ht="29" x14ac:dyDescent="0.35">
      <c r="A1525" s="806" t="s">
        <v>771</v>
      </c>
      <c r="B1525" s="806" t="s">
        <v>2692</v>
      </c>
      <c r="C1525" s="806"/>
      <c r="D1525" s="806"/>
      <c r="E1525" s="806"/>
      <c r="F1525" s="806"/>
      <c r="L1525" s="816"/>
    </row>
    <row r="1526" spans="1:63" ht="29" x14ac:dyDescent="0.35">
      <c r="A1526" s="806" t="s">
        <v>780</v>
      </c>
      <c r="B1526" s="806" t="s">
        <v>2693</v>
      </c>
      <c r="C1526" s="806"/>
      <c r="D1526" s="806"/>
      <c r="E1526" s="806"/>
      <c r="F1526" s="806"/>
      <c r="L1526" s="816"/>
    </row>
    <row r="1527" spans="1:63" ht="29" x14ac:dyDescent="0.35">
      <c r="A1527" s="806" t="s">
        <v>789</v>
      </c>
      <c r="B1527" s="806" t="s">
        <v>2311</v>
      </c>
      <c r="C1527" s="806"/>
      <c r="D1527" s="806"/>
      <c r="E1527" s="806"/>
      <c r="F1527" s="806"/>
      <c r="AW1527" s="818"/>
    </row>
    <row r="1528" spans="1:63" x14ac:dyDescent="0.35">
      <c r="A1528" s="806" t="s">
        <v>789</v>
      </c>
      <c r="B1528" s="806" t="s">
        <v>2051</v>
      </c>
      <c r="C1528" s="806"/>
      <c r="D1528" s="806"/>
      <c r="E1528" s="806"/>
      <c r="F1528" s="806"/>
      <c r="AX1528" s="817"/>
    </row>
    <row r="1529" spans="1:63" x14ac:dyDescent="0.35">
      <c r="A1529" s="806" t="s">
        <v>789</v>
      </c>
      <c r="B1529" s="806" t="s">
        <v>2037</v>
      </c>
      <c r="C1529" s="806"/>
      <c r="D1529" s="806"/>
      <c r="E1529" s="806"/>
      <c r="F1529" s="806"/>
      <c r="AX1529" s="817"/>
    </row>
    <row r="1530" spans="1:63" x14ac:dyDescent="0.35">
      <c r="A1530" s="806" t="s">
        <v>789</v>
      </c>
      <c r="B1530" s="806" t="s">
        <v>2038</v>
      </c>
      <c r="C1530" s="806"/>
      <c r="D1530" s="806"/>
      <c r="E1530" s="806"/>
      <c r="F1530" s="806"/>
      <c r="AX1530" s="817"/>
    </row>
    <row r="1531" spans="1:63" x14ac:dyDescent="0.35">
      <c r="A1531" s="806" t="s">
        <v>789</v>
      </c>
      <c r="B1531" s="806" t="s">
        <v>2052</v>
      </c>
      <c r="C1531" s="806"/>
      <c r="D1531" s="806"/>
      <c r="E1531" s="806"/>
      <c r="F1531" s="806"/>
      <c r="AX1531" s="817"/>
    </row>
    <row r="1532" spans="1:63" x14ac:dyDescent="0.35">
      <c r="A1532" s="806" t="s">
        <v>789</v>
      </c>
      <c r="B1532" s="806" t="s">
        <v>2044</v>
      </c>
      <c r="C1532" s="806"/>
      <c r="D1532" s="806"/>
      <c r="E1532" s="806"/>
      <c r="F1532" s="806"/>
      <c r="AX1532" s="822"/>
    </row>
    <row r="1533" spans="1:63" x14ac:dyDescent="0.35">
      <c r="A1533" s="806" t="s">
        <v>789</v>
      </c>
      <c r="B1533" s="806" t="s">
        <v>2045</v>
      </c>
      <c r="C1533" s="806"/>
      <c r="D1533" s="806"/>
      <c r="E1533" s="806"/>
      <c r="F1533" s="806"/>
      <c r="AX1533" s="822"/>
    </row>
    <row r="1534" spans="1:63" x14ac:dyDescent="0.35">
      <c r="A1534" s="806" t="s">
        <v>789</v>
      </c>
      <c r="B1534" s="806" t="s">
        <v>2058</v>
      </c>
      <c r="C1534" s="806"/>
      <c r="D1534" s="806"/>
      <c r="E1534" s="806"/>
      <c r="F1534" s="806"/>
      <c r="AX1534" s="817"/>
    </row>
    <row r="1535" spans="1:63" x14ac:dyDescent="0.35">
      <c r="A1535" s="806" t="s">
        <v>789</v>
      </c>
      <c r="B1535" s="806" t="s">
        <v>2059</v>
      </c>
      <c r="C1535" s="806"/>
      <c r="D1535" s="806"/>
      <c r="E1535" s="806"/>
      <c r="F1535" s="806"/>
      <c r="AX1535" s="817"/>
    </row>
    <row r="1536" spans="1:63" x14ac:dyDescent="0.35">
      <c r="A1536" s="806" t="s">
        <v>789</v>
      </c>
      <c r="B1536" s="806" t="s">
        <v>2078</v>
      </c>
      <c r="C1536" s="806"/>
      <c r="D1536" s="806"/>
      <c r="E1536" s="806"/>
      <c r="F1536" s="806"/>
      <c r="AX1536" s="816"/>
    </row>
    <row r="1537" spans="1:53" x14ac:dyDescent="0.35">
      <c r="A1537" s="806" t="s">
        <v>789</v>
      </c>
      <c r="B1537" s="806" t="s">
        <v>2079</v>
      </c>
      <c r="C1537" s="806"/>
      <c r="D1537" s="806"/>
      <c r="E1537" s="806"/>
      <c r="F1537" s="806"/>
      <c r="AX1537" s="816"/>
    </row>
    <row r="1538" spans="1:53" x14ac:dyDescent="0.35">
      <c r="A1538" s="806" t="s">
        <v>789</v>
      </c>
      <c r="B1538" s="806" t="s">
        <v>2072</v>
      </c>
      <c r="C1538" s="806"/>
      <c r="D1538" s="806"/>
      <c r="E1538" s="806"/>
      <c r="F1538" s="806"/>
      <c r="AX1538" s="818"/>
    </row>
    <row r="1539" spans="1:53" x14ac:dyDescent="0.35">
      <c r="A1539" s="806" t="s">
        <v>789</v>
      </c>
      <c r="B1539" s="806" t="s">
        <v>2030</v>
      </c>
      <c r="C1539" s="806"/>
      <c r="D1539" s="806"/>
      <c r="E1539" s="806"/>
      <c r="F1539" s="806"/>
      <c r="AX1539" s="818"/>
    </row>
    <row r="1540" spans="1:53" x14ac:dyDescent="0.35">
      <c r="A1540" s="806" t="s">
        <v>789</v>
      </c>
      <c r="B1540" s="806" t="s">
        <v>2031</v>
      </c>
      <c r="C1540" s="806"/>
      <c r="D1540" s="806"/>
      <c r="E1540" s="806"/>
      <c r="F1540" s="806"/>
      <c r="AX1540" s="818"/>
    </row>
    <row r="1541" spans="1:53" x14ac:dyDescent="0.35">
      <c r="A1541" s="806" t="s">
        <v>789</v>
      </c>
      <c r="B1541" s="806" t="s">
        <v>2065</v>
      </c>
      <c r="C1541" s="806"/>
      <c r="D1541" s="806"/>
      <c r="E1541" s="806"/>
      <c r="F1541" s="806"/>
      <c r="AX1541" s="818"/>
    </row>
    <row r="1542" spans="1:53" x14ac:dyDescent="0.35">
      <c r="A1542" s="806" t="s">
        <v>789</v>
      </c>
      <c r="B1542" s="806" t="s">
        <v>2066</v>
      </c>
      <c r="C1542" s="806"/>
      <c r="D1542" s="806"/>
      <c r="E1542" s="806"/>
      <c r="F1542" s="806"/>
      <c r="AX1542" s="818"/>
    </row>
    <row r="1543" spans="1:53" ht="29" x14ac:dyDescent="0.35">
      <c r="A1543" s="806" t="s">
        <v>789</v>
      </c>
      <c r="B1543" s="806" t="s">
        <v>2380</v>
      </c>
      <c r="C1543" s="806"/>
      <c r="D1543" s="806"/>
      <c r="E1543" s="806"/>
      <c r="F1543" s="806"/>
      <c r="AA1543" s="818"/>
      <c r="AX1543" s="818"/>
    </row>
    <row r="1544" spans="1:53" x14ac:dyDescent="0.35">
      <c r="A1544" s="806" t="s">
        <v>789</v>
      </c>
      <c r="B1544" s="806" t="s">
        <v>2425</v>
      </c>
      <c r="C1544" s="806"/>
      <c r="D1544" s="806"/>
      <c r="E1544" s="806"/>
      <c r="F1544" s="806"/>
      <c r="AX1544" s="818"/>
    </row>
    <row r="1545" spans="1:53" ht="29" x14ac:dyDescent="0.35">
      <c r="A1545" s="806" t="s">
        <v>789</v>
      </c>
      <c r="B1545" s="806" t="s">
        <v>2401</v>
      </c>
      <c r="C1545" s="806"/>
      <c r="D1545" s="806"/>
      <c r="E1545" s="806"/>
      <c r="F1545" s="806"/>
      <c r="AA1545" s="818"/>
      <c r="AX1545" s="818"/>
    </row>
    <row r="1546" spans="1:53" ht="29" x14ac:dyDescent="0.35">
      <c r="A1546" s="806" t="s">
        <v>789</v>
      </c>
      <c r="B1546" s="806" t="s">
        <v>2255</v>
      </c>
      <c r="C1546" s="806"/>
      <c r="D1546" s="806"/>
      <c r="E1546" s="806"/>
      <c r="F1546" s="806"/>
      <c r="AX1546" s="818"/>
    </row>
    <row r="1547" spans="1:53" ht="29" x14ac:dyDescent="0.35">
      <c r="A1547" s="806" t="s">
        <v>789</v>
      </c>
      <c r="B1547" s="806" t="s">
        <v>2303</v>
      </c>
      <c r="C1547" s="806"/>
      <c r="D1547" s="806"/>
      <c r="E1547" s="806"/>
      <c r="F1547" s="806"/>
      <c r="AX1547" s="818"/>
    </row>
    <row r="1548" spans="1:53" ht="29" x14ac:dyDescent="0.35">
      <c r="A1548" s="806" t="s">
        <v>789</v>
      </c>
      <c r="B1548" s="806" t="s">
        <v>2285</v>
      </c>
      <c r="C1548" s="806"/>
      <c r="D1548" s="806"/>
      <c r="E1548" s="806"/>
      <c r="F1548" s="806"/>
      <c r="AX1548" s="818"/>
    </row>
    <row r="1549" spans="1:53" ht="29" x14ac:dyDescent="0.35">
      <c r="A1549" s="806" t="s">
        <v>789</v>
      </c>
      <c r="B1549" s="806" t="s">
        <v>2275</v>
      </c>
      <c r="C1549" s="806"/>
      <c r="D1549" s="806"/>
      <c r="E1549" s="806"/>
      <c r="F1549" s="806"/>
      <c r="AX1549" s="818"/>
      <c r="BA1549" s="818"/>
    </row>
    <row r="1550" spans="1:53" ht="29" x14ac:dyDescent="0.35">
      <c r="A1550" s="806" t="s">
        <v>789</v>
      </c>
      <c r="B1550" s="806" t="s">
        <v>2278</v>
      </c>
      <c r="C1550" s="806"/>
      <c r="D1550" s="806"/>
      <c r="E1550" s="806"/>
      <c r="F1550" s="806"/>
      <c r="AX1550" s="818"/>
      <c r="BA1550" s="818"/>
    </row>
    <row r="1551" spans="1:53" x14ac:dyDescent="0.35">
      <c r="A1551" s="806" t="s">
        <v>789</v>
      </c>
      <c r="B1551" s="806" t="s">
        <v>2089</v>
      </c>
      <c r="C1551" s="806"/>
      <c r="D1551" s="806"/>
      <c r="E1551" s="806"/>
      <c r="F1551" s="806"/>
      <c r="AA1551" s="816"/>
    </row>
    <row r="1552" spans="1:53" x14ac:dyDescent="0.35">
      <c r="A1552" s="806" t="s">
        <v>789</v>
      </c>
      <c r="B1552" s="806" t="s">
        <v>2094</v>
      </c>
      <c r="C1552" s="806"/>
      <c r="D1552" s="806"/>
      <c r="E1552" s="806"/>
      <c r="F1552" s="806"/>
      <c r="AA1552" s="816"/>
    </row>
    <row r="1553" spans="1:27" x14ac:dyDescent="0.35">
      <c r="A1553" s="806" t="s">
        <v>789</v>
      </c>
      <c r="B1553" s="806" t="s">
        <v>2099</v>
      </c>
      <c r="C1553" s="806"/>
      <c r="D1553" s="806"/>
      <c r="E1553" s="806"/>
      <c r="F1553" s="806"/>
      <c r="AA1553" s="818"/>
    </row>
    <row r="1554" spans="1:27" ht="29" x14ac:dyDescent="0.35">
      <c r="A1554" s="806" t="s">
        <v>789</v>
      </c>
      <c r="B1554" s="806" t="s">
        <v>2113</v>
      </c>
      <c r="C1554" s="806"/>
      <c r="D1554" s="806"/>
      <c r="E1554" s="806"/>
      <c r="F1554" s="806"/>
      <c r="AA1554" s="818"/>
    </row>
    <row r="1555" spans="1:27" ht="29" x14ac:dyDescent="0.35">
      <c r="A1555" s="806" t="s">
        <v>789</v>
      </c>
      <c r="B1555" s="806" t="s">
        <v>2129</v>
      </c>
      <c r="C1555" s="806"/>
      <c r="D1555" s="806"/>
      <c r="E1555" s="806"/>
      <c r="F1555" s="806"/>
      <c r="AA1555" s="818"/>
    </row>
    <row r="1556" spans="1:27" x14ac:dyDescent="0.35">
      <c r="A1556" s="806" t="s">
        <v>789</v>
      </c>
      <c r="B1556" s="806" t="s">
        <v>2125</v>
      </c>
      <c r="C1556" s="806"/>
      <c r="D1556" s="806"/>
      <c r="E1556" s="806"/>
      <c r="F1556" s="806"/>
      <c r="AA1556" s="818"/>
    </row>
    <row r="1557" spans="1:27" ht="29" x14ac:dyDescent="0.35">
      <c r="A1557" s="806" t="s">
        <v>789</v>
      </c>
      <c r="B1557" s="806" t="s">
        <v>2119</v>
      </c>
      <c r="C1557" s="806"/>
      <c r="D1557" s="806"/>
      <c r="E1557" s="806"/>
      <c r="F1557" s="806"/>
      <c r="AA1557" s="818"/>
    </row>
    <row r="1558" spans="1:27" ht="29" x14ac:dyDescent="0.35">
      <c r="A1558" s="806" t="s">
        <v>789</v>
      </c>
      <c r="B1558" s="806" t="s">
        <v>2131</v>
      </c>
      <c r="C1558" s="806"/>
      <c r="D1558" s="806"/>
      <c r="E1558" s="806"/>
      <c r="F1558" s="806"/>
      <c r="AA1558" s="818"/>
    </row>
    <row r="1559" spans="1:27" x14ac:dyDescent="0.35">
      <c r="A1559" s="806" t="s">
        <v>789</v>
      </c>
      <c r="B1559" s="806" t="s">
        <v>2137</v>
      </c>
      <c r="C1559" s="806"/>
      <c r="D1559" s="806"/>
      <c r="E1559" s="806"/>
      <c r="F1559" s="806"/>
      <c r="AA1559" s="818"/>
    </row>
    <row r="1560" spans="1:27" x14ac:dyDescent="0.35">
      <c r="A1560" s="806" t="s">
        <v>789</v>
      </c>
      <c r="B1560" s="806" t="s">
        <v>2143</v>
      </c>
      <c r="C1560" s="806"/>
      <c r="D1560" s="806"/>
      <c r="E1560" s="806"/>
      <c r="F1560" s="806"/>
      <c r="AA1560" s="818"/>
    </row>
    <row r="1561" spans="1:27" x14ac:dyDescent="0.35">
      <c r="A1561" s="806" t="s">
        <v>789</v>
      </c>
      <c r="B1561" s="806" t="s">
        <v>2150</v>
      </c>
      <c r="C1561" s="806"/>
      <c r="D1561" s="806"/>
      <c r="E1561" s="806"/>
      <c r="F1561" s="806"/>
      <c r="AA1561" s="818"/>
    </row>
    <row r="1562" spans="1:27" ht="29" x14ac:dyDescent="0.35">
      <c r="A1562" s="806" t="s">
        <v>789</v>
      </c>
      <c r="B1562" s="806" t="s">
        <v>2155</v>
      </c>
      <c r="C1562" s="806"/>
      <c r="D1562" s="806"/>
      <c r="E1562" s="806"/>
      <c r="F1562" s="806"/>
      <c r="AA1562" s="818"/>
    </row>
    <row r="1563" spans="1:27" x14ac:dyDescent="0.35">
      <c r="A1563" s="806" t="s">
        <v>789</v>
      </c>
      <c r="B1563" s="806" t="s">
        <v>2161</v>
      </c>
      <c r="C1563" s="806"/>
      <c r="D1563" s="806"/>
      <c r="E1563" s="806"/>
      <c r="F1563" s="806"/>
      <c r="AA1563" s="818"/>
    </row>
    <row r="1564" spans="1:27" x14ac:dyDescent="0.35">
      <c r="A1564" s="806" t="s">
        <v>789</v>
      </c>
      <c r="B1564" s="806" t="s">
        <v>2178</v>
      </c>
      <c r="C1564" s="806"/>
      <c r="D1564" s="806"/>
      <c r="E1564" s="806"/>
      <c r="F1564" s="806"/>
      <c r="AA1564" s="818"/>
    </row>
    <row r="1565" spans="1:27" ht="29" x14ac:dyDescent="0.35">
      <c r="A1565" s="806" t="s">
        <v>789</v>
      </c>
      <c r="B1565" s="806" t="s">
        <v>2179</v>
      </c>
      <c r="C1565" s="806"/>
      <c r="D1565" s="806"/>
      <c r="E1565" s="806"/>
      <c r="F1565" s="806"/>
      <c r="AA1565" s="818"/>
    </row>
    <row r="1566" spans="1:27" ht="29" x14ac:dyDescent="0.35">
      <c r="A1566" s="806" t="s">
        <v>789</v>
      </c>
      <c r="B1566" s="806" t="s">
        <v>2180</v>
      </c>
      <c r="C1566" s="806"/>
      <c r="D1566" s="806"/>
      <c r="E1566" s="806"/>
      <c r="F1566" s="806"/>
      <c r="AA1566" s="818"/>
    </row>
    <row r="1567" spans="1:27" ht="29" x14ac:dyDescent="0.35">
      <c r="A1567" s="806" t="s">
        <v>789</v>
      </c>
      <c r="B1567" s="806" t="s">
        <v>2181</v>
      </c>
      <c r="C1567" s="806"/>
      <c r="D1567" s="806"/>
      <c r="E1567" s="806"/>
      <c r="F1567" s="806"/>
      <c r="AA1567" s="818"/>
    </row>
    <row r="1568" spans="1:27" x14ac:dyDescent="0.35">
      <c r="A1568" s="806" t="s">
        <v>789</v>
      </c>
      <c r="B1568" s="806" t="s">
        <v>2197</v>
      </c>
      <c r="C1568" s="806"/>
      <c r="D1568" s="806"/>
      <c r="E1568" s="806"/>
      <c r="F1568" s="806"/>
      <c r="AA1568" s="818"/>
    </row>
    <row r="1569" spans="1:27" x14ac:dyDescent="0.35">
      <c r="A1569" s="806" t="s">
        <v>789</v>
      </c>
      <c r="B1569" s="806" t="s">
        <v>2198</v>
      </c>
      <c r="C1569" s="806"/>
      <c r="D1569" s="806"/>
      <c r="E1569" s="806"/>
      <c r="F1569" s="806"/>
      <c r="AA1569" s="818"/>
    </row>
    <row r="1570" spans="1:27" ht="29" x14ac:dyDescent="0.35">
      <c r="A1570" s="806" t="s">
        <v>789</v>
      </c>
      <c r="B1570" s="806" t="s">
        <v>2304</v>
      </c>
      <c r="C1570" s="806"/>
      <c r="D1570" s="806"/>
      <c r="E1570" s="806"/>
      <c r="F1570" s="806"/>
      <c r="AA1570" s="818"/>
    </row>
    <row r="1571" spans="1:27" ht="29" x14ac:dyDescent="0.35">
      <c r="A1571" s="806" t="s">
        <v>789</v>
      </c>
      <c r="B1571" s="806" t="s">
        <v>2369</v>
      </c>
      <c r="C1571" s="806"/>
      <c r="D1571" s="806"/>
      <c r="E1571" s="806"/>
      <c r="F1571" s="806"/>
      <c r="AA1571" s="818"/>
    </row>
    <row r="1572" spans="1:27" ht="29" x14ac:dyDescent="0.35">
      <c r="A1572" s="806" t="s">
        <v>789</v>
      </c>
      <c r="B1572" s="806" t="s">
        <v>2370</v>
      </c>
      <c r="C1572" s="806"/>
      <c r="D1572" s="806"/>
      <c r="E1572" s="806"/>
      <c r="F1572" s="806"/>
      <c r="AA1572" s="818"/>
    </row>
    <row r="1573" spans="1:27" ht="29" x14ac:dyDescent="0.35">
      <c r="A1573" s="806" t="s">
        <v>789</v>
      </c>
      <c r="B1573" s="806" t="s">
        <v>2372</v>
      </c>
      <c r="C1573" s="806"/>
      <c r="D1573" s="806"/>
      <c r="E1573" s="806"/>
      <c r="F1573" s="806"/>
      <c r="AA1573" s="818"/>
    </row>
    <row r="1574" spans="1:27" ht="29" x14ac:dyDescent="0.35">
      <c r="A1574" s="806" t="s">
        <v>789</v>
      </c>
      <c r="B1574" s="806" t="s">
        <v>2375</v>
      </c>
      <c r="C1574" s="806"/>
      <c r="D1574" s="806"/>
      <c r="E1574" s="806"/>
      <c r="F1574" s="806"/>
      <c r="AA1574" s="818"/>
    </row>
    <row r="1575" spans="1:27" ht="29" x14ac:dyDescent="0.35">
      <c r="A1575" s="806" t="s">
        <v>789</v>
      </c>
      <c r="B1575" s="806" t="s">
        <v>2377</v>
      </c>
      <c r="C1575" s="806"/>
      <c r="D1575" s="806"/>
      <c r="E1575" s="806"/>
      <c r="F1575" s="806"/>
      <c r="AA1575" s="818"/>
    </row>
    <row r="1576" spans="1:27" ht="29" x14ac:dyDescent="0.35">
      <c r="A1576" s="806" t="s">
        <v>789</v>
      </c>
      <c r="B1576" s="806" t="s">
        <v>2379</v>
      </c>
      <c r="C1576" s="806"/>
      <c r="D1576" s="806"/>
      <c r="E1576" s="806"/>
      <c r="F1576" s="806"/>
      <c r="AA1576" s="818"/>
    </row>
    <row r="1577" spans="1:27" ht="29" x14ac:dyDescent="0.35">
      <c r="A1577" s="806" t="s">
        <v>789</v>
      </c>
      <c r="B1577" s="806" t="s">
        <v>2382</v>
      </c>
      <c r="C1577" s="806"/>
      <c r="D1577" s="806"/>
      <c r="E1577" s="806"/>
      <c r="F1577" s="806"/>
      <c r="AA1577" s="818"/>
    </row>
    <row r="1578" spans="1:27" ht="29" x14ac:dyDescent="0.35">
      <c r="A1578" s="806" t="s">
        <v>789</v>
      </c>
      <c r="B1578" s="806" t="s">
        <v>2385</v>
      </c>
      <c r="C1578" s="806"/>
      <c r="D1578" s="806"/>
      <c r="E1578" s="806"/>
      <c r="F1578" s="806"/>
      <c r="AA1578" s="818"/>
    </row>
    <row r="1579" spans="1:27" ht="29" x14ac:dyDescent="0.35">
      <c r="A1579" s="806" t="s">
        <v>789</v>
      </c>
      <c r="B1579" s="806" t="s">
        <v>2386</v>
      </c>
      <c r="C1579" s="806"/>
      <c r="D1579" s="806"/>
      <c r="E1579" s="806"/>
      <c r="F1579" s="806"/>
      <c r="AA1579" s="818"/>
    </row>
    <row r="1580" spans="1:27" ht="29" x14ac:dyDescent="0.35">
      <c r="A1580" s="806" t="s">
        <v>789</v>
      </c>
      <c r="B1580" s="806" t="s">
        <v>2388</v>
      </c>
      <c r="C1580" s="806"/>
      <c r="D1580" s="806"/>
      <c r="E1580" s="806"/>
      <c r="F1580" s="806"/>
      <c r="AA1580" s="818"/>
    </row>
    <row r="1581" spans="1:27" ht="29" x14ac:dyDescent="0.35">
      <c r="A1581" s="806" t="s">
        <v>789</v>
      </c>
      <c r="B1581" s="806" t="s">
        <v>2391</v>
      </c>
      <c r="C1581" s="806"/>
      <c r="D1581" s="806"/>
      <c r="E1581" s="806"/>
      <c r="F1581" s="806"/>
      <c r="AA1581" s="818"/>
    </row>
    <row r="1582" spans="1:27" x14ac:dyDescent="0.35">
      <c r="A1582" s="806" t="s">
        <v>789</v>
      </c>
      <c r="B1582" s="806" t="s">
        <v>2400</v>
      </c>
      <c r="C1582" s="806"/>
      <c r="D1582" s="806"/>
      <c r="E1582" s="806"/>
      <c r="F1582" s="806"/>
      <c r="AA1582" s="818"/>
    </row>
    <row r="1583" spans="1:27" ht="29" x14ac:dyDescent="0.35">
      <c r="A1583" s="806" t="s">
        <v>789</v>
      </c>
      <c r="B1583" s="806" t="s">
        <v>2404</v>
      </c>
      <c r="C1583" s="806"/>
      <c r="D1583" s="806"/>
      <c r="E1583" s="806"/>
      <c r="F1583" s="806"/>
      <c r="AA1583" s="818"/>
    </row>
    <row r="1584" spans="1:27" x14ac:dyDescent="0.35">
      <c r="A1584" s="806" t="s">
        <v>789</v>
      </c>
      <c r="B1584" s="806" t="s">
        <v>2407</v>
      </c>
      <c r="C1584" s="806"/>
      <c r="D1584" s="806"/>
      <c r="E1584" s="806"/>
      <c r="F1584" s="806"/>
      <c r="AA1584" s="818"/>
    </row>
    <row r="1585" spans="1:56" ht="29" x14ac:dyDescent="0.35">
      <c r="A1585" s="806" t="s">
        <v>789</v>
      </c>
      <c r="B1585" s="806" t="s">
        <v>2411</v>
      </c>
      <c r="C1585" s="806"/>
      <c r="D1585" s="806"/>
      <c r="E1585" s="806"/>
      <c r="F1585" s="806"/>
      <c r="AA1585" s="818"/>
    </row>
    <row r="1586" spans="1:56" ht="29" x14ac:dyDescent="0.35">
      <c r="A1586" s="806" t="s">
        <v>789</v>
      </c>
      <c r="B1586" s="806" t="s">
        <v>2415</v>
      </c>
      <c r="C1586" s="806"/>
      <c r="D1586" s="806"/>
      <c r="E1586" s="806"/>
      <c r="F1586" s="806"/>
      <c r="AA1586" s="818"/>
    </row>
    <row r="1587" spans="1:56" ht="29" x14ac:dyDescent="0.35">
      <c r="A1587" s="806" t="s">
        <v>789</v>
      </c>
      <c r="B1587" s="806" t="s">
        <v>2416</v>
      </c>
      <c r="C1587" s="806"/>
      <c r="D1587" s="806"/>
      <c r="E1587" s="806"/>
      <c r="F1587" s="806"/>
      <c r="AA1587" s="818"/>
    </row>
    <row r="1588" spans="1:56" ht="29" x14ac:dyDescent="0.35">
      <c r="A1588" s="806" t="s">
        <v>789</v>
      </c>
      <c r="B1588" s="806" t="s">
        <v>2418</v>
      </c>
      <c r="C1588" s="806"/>
      <c r="D1588" s="806"/>
      <c r="E1588" s="806"/>
      <c r="F1588" s="806"/>
      <c r="AA1588" s="818"/>
    </row>
    <row r="1589" spans="1:56" ht="29" x14ac:dyDescent="0.35">
      <c r="A1589" s="806" t="s">
        <v>789</v>
      </c>
      <c r="B1589" s="806" t="s">
        <v>2420</v>
      </c>
      <c r="C1589" s="806"/>
      <c r="D1589" s="806"/>
      <c r="E1589" s="806"/>
      <c r="F1589" s="806"/>
      <c r="AA1589" s="818"/>
    </row>
    <row r="1590" spans="1:56" ht="29" x14ac:dyDescent="0.35">
      <c r="A1590" s="806" t="s">
        <v>789</v>
      </c>
      <c r="B1590" s="806" t="s">
        <v>2421</v>
      </c>
      <c r="C1590" s="806"/>
      <c r="D1590" s="806"/>
      <c r="E1590" s="806"/>
      <c r="F1590" s="806"/>
      <c r="AA1590" s="818"/>
    </row>
    <row r="1591" spans="1:56" x14ac:dyDescent="0.35">
      <c r="A1591" s="806" t="s">
        <v>789</v>
      </c>
      <c r="B1591" s="806" t="s">
        <v>2426</v>
      </c>
      <c r="C1591" s="806"/>
      <c r="D1591" s="806"/>
      <c r="E1591" s="806"/>
      <c r="F1591" s="806"/>
      <c r="AA1591" s="818"/>
    </row>
    <row r="1592" spans="1:56" x14ac:dyDescent="0.35">
      <c r="A1592" s="806" t="s">
        <v>789</v>
      </c>
      <c r="B1592" s="806" t="s">
        <v>2430</v>
      </c>
      <c r="C1592" s="806"/>
      <c r="D1592" s="806"/>
      <c r="E1592" s="806"/>
      <c r="F1592" s="806"/>
      <c r="AA1592" s="818"/>
    </row>
    <row r="1593" spans="1:56" x14ac:dyDescent="0.35">
      <c r="A1593" s="806" t="s">
        <v>789</v>
      </c>
      <c r="B1593" s="806" t="s">
        <v>2437</v>
      </c>
      <c r="C1593" s="806"/>
      <c r="D1593" s="806"/>
      <c r="E1593" s="806"/>
      <c r="F1593" s="806"/>
      <c r="AA1593" s="818"/>
    </row>
    <row r="1594" spans="1:56" x14ac:dyDescent="0.35">
      <c r="A1594" s="806" t="s">
        <v>789</v>
      </c>
      <c r="B1594" s="806" t="s">
        <v>2441</v>
      </c>
      <c r="C1594" s="806"/>
      <c r="D1594" s="806"/>
      <c r="E1594" s="806"/>
      <c r="F1594" s="806"/>
      <c r="AA1594" s="818"/>
    </row>
    <row r="1595" spans="1:56" x14ac:dyDescent="0.35">
      <c r="A1595" s="806" t="s">
        <v>789</v>
      </c>
      <c r="B1595" s="806" t="s">
        <v>2443</v>
      </c>
      <c r="C1595" s="806"/>
      <c r="D1595" s="806"/>
      <c r="E1595" s="806"/>
      <c r="F1595" s="806"/>
      <c r="AA1595" s="818"/>
    </row>
    <row r="1596" spans="1:56" x14ac:dyDescent="0.35">
      <c r="A1596" s="806" t="s">
        <v>789</v>
      </c>
      <c r="B1596" s="806" t="s">
        <v>2397</v>
      </c>
      <c r="C1596" s="806"/>
      <c r="D1596" s="806"/>
      <c r="E1596" s="806"/>
      <c r="F1596" s="806"/>
      <c r="AA1596" s="818"/>
    </row>
    <row r="1597" spans="1:56" x14ac:dyDescent="0.35">
      <c r="A1597" s="806" t="s">
        <v>789</v>
      </c>
      <c r="B1597" s="806" t="s">
        <v>2405</v>
      </c>
      <c r="C1597" s="806"/>
      <c r="D1597" s="806"/>
      <c r="E1597" s="806"/>
      <c r="F1597" s="806"/>
      <c r="AA1597" s="818"/>
    </row>
    <row r="1598" spans="1:56" ht="29" x14ac:dyDescent="0.35">
      <c r="A1598" s="806" t="s">
        <v>789</v>
      </c>
      <c r="B1598" s="806" t="s">
        <v>2412</v>
      </c>
      <c r="C1598" s="806"/>
      <c r="D1598" s="806"/>
      <c r="E1598" s="806"/>
      <c r="F1598" s="806"/>
      <c r="AA1598" s="818"/>
    </row>
    <row r="1599" spans="1:56" ht="29" x14ac:dyDescent="0.35">
      <c r="A1599" s="806" t="s">
        <v>789</v>
      </c>
      <c r="B1599" s="806" t="s">
        <v>2279</v>
      </c>
      <c r="C1599" s="806"/>
      <c r="D1599" s="806"/>
      <c r="E1599" s="806"/>
      <c r="F1599" s="806"/>
      <c r="BA1599" s="818"/>
    </row>
    <row r="1600" spans="1:56" ht="29" x14ac:dyDescent="0.35">
      <c r="A1600" s="806" t="s">
        <v>789</v>
      </c>
      <c r="B1600" s="806" t="s">
        <v>2291</v>
      </c>
      <c r="C1600" s="806"/>
      <c r="D1600" s="806"/>
      <c r="E1600" s="806"/>
      <c r="F1600" s="806"/>
      <c r="BD1600" s="818"/>
    </row>
    <row r="1601" spans="1:58" ht="29" x14ac:dyDescent="0.35">
      <c r="A1601" s="806" t="s">
        <v>789</v>
      </c>
      <c r="B1601" s="806" t="s">
        <v>2238</v>
      </c>
      <c r="C1601" s="806"/>
      <c r="D1601" s="806"/>
      <c r="E1601" s="806"/>
      <c r="F1601" s="806"/>
      <c r="BD1601" s="818"/>
    </row>
    <row r="1602" spans="1:58" ht="29" x14ac:dyDescent="0.35">
      <c r="A1602" s="806" t="s">
        <v>789</v>
      </c>
      <c r="B1602" s="806" t="s">
        <v>2298</v>
      </c>
      <c r="C1602" s="806"/>
      <c r="D1602" s="806"/>
      <c r="E1602" s="806"/>
      <c r="F1602" s="806"/>
      <c r="BD1602" s="818"/>
    </row>
    <row r="1603" spans="1:58" ht="29" x14ac:dyDescent="0.35">
      <c r="A1603" s="806" t="s">
        <v>789</v>
      </c>
      <c r="B1603" s="806" t="s">
        <v>2253</v>
      </c>
      <c r="C1603" s="806"/>
      <c r="D1603" s="806"/>
      <c r="E1603" s="806"/>
      <c r="F1603" s="806"/>
      <c r="BF1603" s="818"/>
    </row>
  </sheetData>
  <autoFilter ref="A1:BU1603" xr:uid="{00000000-0001-0000-0000-000000000000}"/>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C34"/>
  <sheetViews>
    <sheetView tabSelected="1" workbookViewId="0">
      <selection activeCell="A25" sqref="A25"/>
    </sheetView>
  </sheetViews>
  <sheetFormatPr defaultColWidth="0" defaultRowHeight="14.5" zeroHeight="1" x14ac:dyDescent="0.35"/>
  <cols>
    <col min="1" max="1" width="25" style="2" customWidth="1"/>
    <col min="2" max="2" width="50" customWidth="1"/>
    <col min="3" max="3" width="25" customWidth="1"/>
    <col min="4" max="16384" width="9.453125" hidden="1"/>
  </cols>
  <sheetData>
    <row r="1" spans="1:3" s="1" customFormat="1" ht="25.5" x14ac:dyDescent="0.5">
      <c r="A1" s="855"/>
      <c r="B1" s="855"/>
      <c r="C1" s="855"/>
    </row>
    <row r="2" spans="1:3" s="1" customFormat="1" ht="19.5" x14ac:dyDescent="0.35">
      <c r="A2" s="856" t="s">
        <v>9</v>
      </c>
      <c r="B2" s="856"/>
      <c r="C2" s="856"/>
    </row>
    <row r="3" spans="1:3" s="1" customFormat="1" ht="25.5" x14ac:dyDescent="0.35">
      <c r="A3" s="857" t="s">
        <v>10</v>
      </c>
      <c r="B3" s="857"/>
      <c r="C3" s="857"/>
    </row>
    <row r="4" spans="1:3" s="372" customFormat="1" ht="32.25" customHeight="1" x14ac:dyDescent="0.35">
      <c r="A4" s="858" t="s">
        <v>11</v>
      </c>
      <c r="B4" s="858"/>
      <c r="C4" s="858"/>
    </row>
    <row r="5" spans="1:3" s="1" customFormat="1" ht="229.5" customHeight="1" x14ac:dyDescent="0.35">
      <c r="A5" s="33"/>
      <c r="B5"/>
      <c r="C5" s="34"/>
    </row>
    <row r="6" spans="1:3" s="1" customFormat="1" ht="47.5" customHeight="1" x14ac:dyDescent="0.35">
      <c r="A6" s="33"/>
      <c r="B6" s="34"/>
      <c r="C6" s="34"/>
    </row>
    <row r="7" spans="1:3" s="1" customFormat="1" x14ac:dyDescent="0.35">
      <c r="A7" s="33"/>
      <c r="B7" s="34"/>
      <c r="C7" s="34"/>
    </row>
    <row r="8" spans="1:3" s="371" customFormat="1" x14ac:dyDescent="0.35">
      <c r="A8" s="850" t="s">
        <v>12</v>
      </c>
      <c r="B8" s="850"/>
      <c r="C8" s="850"/>
    </row>
    <row r="9" spans="1:3" s="371" customFormat="1" x14ac:dyDescent="0.35">
      <c r="A9" s="850" t="s">
        <v>13</v>
      </c>
      <c r="B9" s="850"/>
      <c r="C9" s="850"/>
    </row>
    <row r="10" spans="1:3" s="371" customFormat="1" x14ac:dyDescent="0.35">
      <c r="A10" s="850"/>
      <c r="B10" s="850"/>
      <c r="C10" s="850"/>
    </row>
    <row r="11" spans="1:3" s="371" customFormat="1" x14ac:dyDescent="0.35">
      <c r="A11" s="850" t="s">
        <v>14</v>
      </c>
      <c r="B11" s="850"/>
      <c r="C11" s="850"/>
    </row>
    <row r="12" spans="1:3" s="371" customFormat="1" x14ac:dyDescent="0.35">
      <c r="A12" s="850" t="s">
        <v>15</v>
      </c>
      <c r="B12" s="850"/>
      <c r="C12" s="850"/>
    </row>
    <row r="13" spans="1:3" s="371" customFormat="1" x14ac:dyDescent="0.35">
      <c r="A13" s="850"/>
      <c r="B13" s="850"/>
      <c r="C13" s="850"/>
    </row>
    <row r="14" spans="1:3" s="371" customFormat="1" x14ac:dyDescent="0.35">
      <c r="A14" s="850" t="s">
        <v>16</v>
      </c>
      <c r="B14" s="850"/>
      <c r="C14" s="850"/>
    </row>
    <row r="15" spans="1:3" s="371" customFormat="1" x14ac:dyDescent="0.35">
      <c r="A15" s="850" t="s">
        <v>17</v>
      </c>
      <c r="B15" s="850"/>
      <c r="C15" s="850"/>
    </row>
    <row r="16" spans="1:3" s="371" customFormat="1" x14ac:dyDescent="0.35">
      <c r="A16" s="850"/>
      <c r="B16" s="850"/>
      <c r="C16" s="850"/>
    </row>
    <row r="17" spans="1:3" s="371" customFormat="1" x14ac:dyDescent="0.35">
      <c r="A17" s="850" t="s">
        <v>18</v>
      </c>
      <c r="B17" s="850"/>
      <c r="C17" s="850"/>
    </row>
    <row r="18" spans="1:3" s="371" customFormat="1" x14ac:dyDescent="0.35">
      <c r="A18" s="850" t="s">
        <v>19</v>
      </c>
      <c r="B18" s="850"/>
      <c r="C18" s="850"/>
    </row>
    <row r="19" spans="1:3" s="371" customFormat="1" x14ac:dyDescent="0.35">
      <c r="A19" s="850" t="s">
        <v>20</v>
      </c>
      <c r="B19" s="850"/>
      <c r="C19" s="850"/>
    </row>
    <row r="20" spans="1:3" s="371" customFormat="1" x14ac:dyDescent="0.35">
      <c r="A20" s="854" t="s">
        <v>21</v>
      </c>
      <c r="B20" s="850"/>
      <c r="C20" s="850"/>
    </row>
    <row r="21" spans="1:3" s="371" customFormat="1" x14ac:dyDescent="0.35">
      <c r="A21" s="850" t="s">
        <v>22</v>
      </c>
      <c r="B21" s="850"/>
      <c r="C21" s="850"/>
    </row>
    <row r="22" spans="1:3" s="371" customFormat="1" ht="16.5" x14ac:dyDescent="0.45">
      <c r="A22" s="853"/>
      <c r="B22" s="853"/>
      <c r="C22" s="853"/>
    </row>
    <row r="23" spans="1:3" s="371" customFormat="1" ht="16.5" x14ac:dyDescent="0.45">
      <c r="A23" s="851" t="s">
        <v>23</v>
      </c>
      <c r="B23" s="851"/>
      <c r="C23" s="851"/>
    </row>
    <row r="24" spans="1:3" s="371" customFormat="1" ht="16.5" x14ac:dyDescent="0.45">
      <c r="A24" s="852" t="s">
        <v>24</v>
      </c>
      <c r="B24" s="851"/>
      <c r="C24" s="851"/>
    </row>
    <row r="25" spans="1:3" s="1" customFormat="1" ht="19" x14ac:dyDescent="0.45">
      <c r="A25" s="32"/>
      <c r="B25" s="32"/>
      <c r="C25" s="442">
        <v>44993</v>
      </c>
    </row>
    <row r="26" spans="1:3" hidden="1" x14ac:dyDescent="0.35">
      <c r="A26" s="35"/>
      <c r="B26" s="36"/>
      <c r="C26" s="36"/>
    </row>
    <row r="27" spans="1:3" hidden="1" x14ac:dyDescent="0.35">
      <c r="A27" s="35"/>
      <c r="B27" s="36"/>
      <c r="C27" s="36"/>
    </row>
    <row r="28" spans="1:3" hidden="1" x14ac:dyDescent="0.35">
      <c r="A28" s="35"/>
      <c r="B28" s="36"/>
      <c r="C28" s="36"/>
    </row>
    <row r="29" spans="1:3" hidden="1" x14ac:dyDescent="0.35">
      <c r="A29" s="35"/>
      <c r="B29" s="36"/>
      <c r="C29" s="36"/>
    </row>
    <row r="30" spans="1:3" hidden="1" x14ac:dyDescent="0.35">
      <c r="A30" s="35"/>
      <c r="B30" s="36"/>
      <c r="C30" s="36"/>
    </row>
    <row r="31" spans="1:3" hidden="1" x14ac:dyDescent="0.35">
      <c r="A31" s="35"/>
      <c r="B31" s="36"/>
      <c r="C31" s="36"/>
    </row>
    <row r="32" spans="1:3" hidden="1" x14ac:dyDescent="0.35">
      <c r="A32" s="35"/>
      <c r="B32" s="36"/>
      <c r="C32" s="36"/>
    </row>
    <row r="33" spans="1:3" hidden="1" x14ac:dyDescent="0.35">
      <c r="A33" s="35"/>
      <c r="B33" s="36"/>
      <c r="C33" s="36"/>
    </row>
    <row r="34" spans="1:3" hidden="1" x14ac:dyDescent="0.35">
      <c r="A34" s="35"/>
      <c r="B34" s="36"/>
      <c r="C34" s="36"/>
    </row>
  </sheetData>
  <sheetProtection sheet="1" selectLockedCells="1" selectUnlockedCells="1"/>
  <mergeCells count="21">
    <mergeCell ref="A11:C11"/>
    <mergeCell ref="A10:C10"/>
    <mergeCell ref="A12:C12"/>
    <mergeCell ref="A13:C13"/>
    <mergeCell ref="A14:C14"/>
    <mergeCell ref="A8:C8"/>
    <mergeCell ref="A9:C9"/>
    <mergeCell ref="A1:C1"/>
    <mergeCell ref="A2:C2"/>
    <mergeCell ref="A3:C3"/>
    <mergeCell ref="A4:C4"/>
    <mergeCell ref="A15:C15"/>
    <mergeCell ref="A16:C16"/>
    <mergeCell ref="A18:C18"/>
    <mergeCell ref="A19:C19"/>
    <mergeCell ref="A20:C20"/>
    <mergeCell ref="A21:C21"/>
    <mergeCell ref="A23:C23"/>
    <mergeCell ref="A24:C24"/>
    <mergeCell ref="A22:C22"/>
    <mergeCell ref="A17:C17"/>
  </mergeCells>
  <hyperlinks>
    <hyperlink ref="A24" r:id="rId1" xr:uid="{00000000-0004-0000-0200-000000000000}"/>
    <hyperlink ref="A20" r:id="rId2" xr:uid="{00000000-0004-0000-0200-000001000000}"/>
  </hyperlinks>
  <pageMargins left="0.25" right="0.25" top="0.75" bottom="0.75" header="0.3" footer="0.3"/>
  <pageSetup fitToHeight="0"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2049" r:id="rId6" name="Button 1">
              <controlPr defaultSize="0" print="0" autoFill="0" autoPict="0" macro="[0]!OpenUserForms">
                <anchor moveWithCells="1">
                  <from>
                    <xdr:col>0</xdr:col>
                    <xdr:colOff>1143000</xdr:colOff>
                    <xdr:row>5</xdr:row>
                    <xdr:rowOff>50800</xdr:rowOff>
                  </from>
                  <to>
                    <xdr:col>2</xdr:col>
                    <xdr:colOff>603250</xdr:colOff>
                    <xdr:row>5</xdr:row>
                    <xdr:rowOff>565150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pageSetUpPr fitToPage="1"/>
  </sheetPr>
  <dimension ref="A1:AK3410"/>
  <sheetViews>
    <sheetView zoomScaleNormal="100" workbookViewId="0">
      <selection activeCell="F10" activeCellId="1" sqref="V44 F10:Q10"/>
    </sheetView>
  </sheetViews>
  <sheetFormatPr defaultColWidth="0" defaultRowHeight="16" zeroHeight="1" x14ac:dyDescent="0.45"/>
  <cols>
    <col min="1" max="34" width="2.54296875" style="526" customWidth="1"/>
    <col min="35" max="35" width="2.54296875" style="598" hidden="1" customWidth="1"/>
    <col min="36" max="36" width="9.1796875" style="597" hidden="1" customWidth="1"/>
    <col min="37" max="16384" width="2.54296875" style="462" hidden="1"/>
  </cols>
  <sheetData>
    <row r="1" spans="1:36" x14ac:dyDescent="0.45">
      <c r="A1" s="518"/>
      <c r="B1" s="518"/>
      <c r="C1" s="518"/>
      <c r="D1" s="518"/>
      <c r="E1" s="518"/>
      <c r="F1" s="518"/>
      <c r="G1" s="518"/>
      <c r="H1" s="518"/>
      <c r="I1" s="518"/>
      <c r="J1" s="518"/>
      <c r="K1" s="518"/>
      <c r="L1" s="518"/>
      <c r="M1" s="518"/>
      <c r="N1" s="518"/>
      <c r="O1" s="518"/>
      <c r="P1" s="518"/>
      <c r="Q1" s="518"/>
      <c r="R1" s="518"/>
      <c r="S1" s="518"/>
      <c r="T1" s="518"/>
      <c r="U1" s="518"/>
      <c r="V1" s="518"/>
      <c r="W1" s="518"/>
      <c r="X1" s="518"/>
      <c r="Y1" s="518"/>
      <c r="Z1" s="518"/>
      <c r="AA1" s="518"/>
      <c r="AB1" s="518"/>
      <c r="AC1" s="518"/>
      <c r="AD1" s="518"/>
      <c r="AE1" s="518"/>
      <c r="AF1" s="518"/>
      <c r="AG1" s="518"/>
      <c r="AH1" s="518"/>
      <c r="AJ1" s="595" t="b">
        <v>1</v>
      </c>
    </row>
    <row r="2" spans="1:36" x14ac:dyDescent="0.45">
      <c r="A2" s="518"/>
      <c r="B2" s="907" t="s">
        <v>25</v>
      </c>
      <c r="C2" s="907"/>
      <c r="D2" s="907"/>
      <c r="E2" s="907"/>
      <c r="F2" s="907"/>
      <c r="G2" s="907"/>
      <c r="H2" s="907"/>
      <c r="I2" s="907"/>
      <c r="J2" s="907"/>
      <c r="K2" s="907"/>
      <c r="L2" s="907"/>
      <c r="M2" s="907"/>
      <c r="N2" s="907"/>
      <c r="O2" s="907"/>
      <c r="P2" s="907"/>
      <c r="Q2" s="907"/>
      <c r="R2" s="907"/>
      <c r="S2" s="907"/>
      <c r="T2" s="907"/>
      <c r="U2" s="907"/>
      <c r="V2" s="907"/>
      <c r="W2" s="907"/>
      <c r="X2" s="907"/>
      <c r="Y2" s="907"/>
      <c r="Z2" s="907"/>
      <c r="AA2" s="907"/>
      <c r="AB2" s="907"/>
      <c r="AC2" s="907"/>
      <c r="AD2" s="907"/>
      <c r="AE2" s="907"/>
      <c r="AF2" s="907"/>
      <c r="AG2" s="907"/>
      <c r="AH2" s="518"/>
      <c r="AJ2" s="595"/>
    </row>
    <row r="3" spans="1:36" x14ac:dyDescent="0.45">
      <c r="A3" s="518"/>
      <c r="B3" s="1194" t="s">
        <v>1850</v>
      </c>
      <c r="C3" s="1194"/>
      <c r="D3" s="1194"/>
      <c r="E3" s="1194"/>
      <c r="F3" s="1194"/>
      <c r="G3" s="1194"/>
      <c r="H3" s="1194"/>
      <c r="I3" s="1194"/>
      <c r="J3" s="1194"/>
      <c r="K3" s="1194"/>
      <c r="L3" s="1194"/>
      <c r="M3" s="1194"/>
      <c r="N3" s="1194"/>
      <c r="O3" s="1194"/>
      <c r="P3" s="1194"/>
      <c r="Q3" s="1194"/>
      <c r="R3" s="1194"/>
      <c r="S3" s="1194"/>
      <c r="T3" s="1194"/>
      <c r="U3" s="1194"/>
      <c r="V3" s="1194"/>
      <c r="W3" s="1194"/>
      <c r="X3" s="1194"/>
      <c r="Y3" s="1194"/>
      <c r="Z3" s="1194"/>
      <c r="AA3" s="1194"/>
      <c r="AB3" s="1194"/>
      <c r="AC3" s="1194"/>
      <c r="AD3" s="1194"/>
      <c r="AE3" s="1194"/>
      <c r="AF3" s="1194"/>
      <c r="AG3" s="1194"/>
      <c r="AH3" s="518"/>
      <c r="AJ3" s="595"/>
    </row>
    <row r="4" spans="1:36" x14ac:dyDescent="0.45">
      <c r="A4" s="518"/>
      <c r="B4" s="932" t="s">
        <v>26</v>
      </c>
      <c r="C4" s="933"/>
      <c r="D4" s="933"/>
      <c r="E4" s="933"/>
      <c r="F4" s="1303"/>
      <c r="G4" s="1304"/>
      <c r="H4" s="1304"/>
      <c r="I4" s="1304"/>
      <c r="J4" s="1304"/>
      <c r="K4" s="1304"/>
      <c r="L4" s="1304"/>
      <c r="M4" s="1304"/>
      <c r="N4" s="1304"/>
      <c r="O4" s="1304"/>
      <c r="P4" s="1304"/>
      <c r="Q4" s="1304"/>
      <c r="R4" s="1304"/>
      <c r="S4" s="1304"/>
      <c r="T4" s="1304"/>
      <c r="U4" s="1304"/>
      <c r="V4" s="1304"/>
      <c r="W4" s="1304"/>
      <c r="X4" s="1304"/>
      <c r="Y4" s="1304"/>
      <c r="Z4" s="1304"/>
      <c r="AA4" s="1304"/>
      <c r="AB4" s="1304"/>
      <c r="AC4" s="1304"/>
      <c r="AD4" s="1304"/>
      <c r="AE4" s="1304"/>
      <c r="AF4" s="1304"/>
      <c r="AG4" s="1305"/>
      <c r="AH4" s="518"/>
      <c r="AJ4" s="595"/>
    </row>
    <row r="5" spans="1:36" x14ac:dyDescent="0.45">
      <c r="A5" s="518"/>
      <c r="B5" s="932" t="s">
        <v>27</v>
      </c>
      <c r="C5" s="933"/>
      <c r="D5" s="933"/>
      <c r="E5" s="933"/>
      <c r="F5" s="1303"/>
      <c r="G5" s="1304"/>
      <c r="H5" s="1304"/>
      <c r="I5" s="1304"/>
      <c r="J5" s="1304"/>
      <c r="K5" s="1304"/>
      <c r="L5" s="1304"/>
      <c r="M5" s="1304"/>
      <c r="N5" s="1304"/>
      <c r="O5" s="1304"/>
      <c r="P5" s="1304"/>
      <c r="Q5" s="1304"/>
      <c r="R5" s="1304"/>
      <c r="S5" s="1304"/>
      <c r="T5" s="1304"/>
      <c r="U5" s="1304"/>
      <c r="V5" s="1304"/>
      <c r="W5" s="1304"/>
      <c r="X5" s="1304"/>
      <c r="Y5" s="1304"/>
      <c r="Z5" s="1304"/>
      <c r="AA5" s="1304"/>
      <c r="AB5" s="1304"/>
      <c r="AC5" s="1304"/>
      <c r="AD5" s="1304"/>
      <c r="AE5" s="1304"/>
      <c r="AF5" s="1304"/>
      <c r="AG5" s="1305"/>
      <c r="AH5" s="518"/>
      <c r="AJ5" s="595"/>
    </row>
    <row r="6" spans="1:36" x14ac:dyDescent="0.45">
      <c r="A6" s="518"/>
      <c r="B6" s="932" t="s">
        <v>28</v>
      </c>
      <c r="C6" s="933"/>
      <c r="D6" s="933"/>
      <c r="E6" s="933"/>
      <c r="F6" s="1303"/>
      <c r="G6" s="1304"/>
      <c r="H6" s="1304"/>
      <c r="I6" s="1304"/>
      <c r="J6" s="1304"/>
      <c r="K6" s="1304"/>
      <c r="L6" s="1304"/>
      <c r="M6" s="1304"/>
      <c r="N6" s="1304"/>
      <c r="O6" s="1304"/>
      <c r="P6" s="1304"/>
      <c r="Q6" s="1304"/>
      <c r="R6" s="1304"/>
      <c r="S6" s="1304"/>
      <c r="T6" s="1304"/>
      <c r="U6" s="1304"/>
      <c r="V6" s="1304"/>
      <c r="W6" s="1304"/>
      <c r="X6" s="1304"/>
      <c r="Y6" s="1304"/>
      <c r="Z6" s="1304"/>
      <c r="AA6" s="1304"/>
      <c r="AB6" s="1304"/>
      <c r="AC6" s="1304"/>
      <c r="AD6" s="1304"/>
      <c r="AE6" s="1304"/>
      <c r="AF6" s="1304"/>
      <c r="AG6" s="1305"/>
      <c r="AH6" s="518"/>
      <c r="AJ6" s="595"/>
    </row>
    <row r="7" spans="1:36" x14ac:dyDescent="0.45">
      <c r="A7" s="518"/>
      <c r="B7" s="932" t="s">
        <v>29</v>
      </c>
      <c r="C7" s="933"/>
      <c r="D7" s="933"/>
      <c r="E7" s="933"/>
      <c r="F7" s="1303"/>
      <c r="G7" s="1304"/>
      <c r="H7" s="1304"/>
      <c r="I7" s="1304"/>
      <c r="J7" s="1304"/>
      <c r="K7" s="1304"/>
      <c r="L7" s="1304"/>
      <c r="M7" s="1304"/>
      <c r="N7" s="1304"/>
      <c r="O7" s="1304"/>
      <c r="P7" s="1304"/>
      <c r="Q7" s="1304"/>
      <c r="R7" s="1304"/>
      <c r="S7" s="1304"/>
      <c r="T7" s="1304"/>
      <c r="U7" s="1304"/>
      <c r="V7" s="1305"/>
      <c r="W7" s="1306" t="s">
        <v>30</v>
      </c>
      <c r="X7" s="1306"/>
      <c r="Y7" s="1307"/>
      <c r="Z7" s="1303"/>
      <c r="AA7" s="1305"/>
      <c r="AB7" s="1307" t="s">
        <v>1505</v>
      </c>
      <c r="AC7" s="1309"/>
      <c r="AD7" s="1303"/>
      <c r="AE7" s="1304"/>
      <c r="AF7" s="1304"/>
      <c r="AG7" s="1305"/>
      <c r="AH7" s="518"/>
      <c r="AJ7" s="595"/>
    </row>
    <row r="8" spans="1:36" x14ac:dyDescent="0.45">
      <c r="A8" s="518"/>
      <c r="B8" s="1194" t="s">
        <v>1851</v>
      </c>
      <c r="C8" s="1194"/>
      <c r="D8" s="1194"/>
      <c r="E8" s="1194"/>
      <c r="F8" s="1194"/>
      <c r="G8" s="1194"/>
      <c r="H8" s="1194"/>
      <c r="I8" s="1194"/>
      <c r="J8" s="1194"/>
      <c r="K8" s="1194"/>
      <c r="L8" s="1194"/>
      <c r="M8" s="1194"/>
      <c r="N8" s="1194"/>
      <c r="O8" s="1194"/>
      <c r="P8" s="1194"/>
      <c r="Q8" s="1194"/>
      <c r="R8" s="1194"/>
      <c r="S8" s="1194"/>
      <c r="T8" s="1194"/>
      <c r="U8" s="1194"/>
      <c r="V8" s="1194"/>
      <c r="W8" s="1194"/>
      <c r="X8" s="1194"/>
      <c r="Y8" s="1194"/>
      <c r="Z8" s="1194"/>
      <c r="AA8" s="1194"/>
      <c r="AB8" s="1194"/>
      <c r="AC8" s="1194"/>
      <c r="AD8" s="1194"/>
      <c r="AE8" s="1194"/>
      <c r="AF8" s="1194"/>
      <c r="AG8" s="1194"/>
      <c r="AH8" s="518"/>
      <c r="AJ8" s="595"/>
    </row>
    <row r="9" spans="1:36" x14ac:dyDescent="0.45">
      <c r="A9" s="518"/>
      <c r="B9" s="932" t="s">
        <v>26</v>
      </c>
      <c r="C9" s="933"/>
      <c r="D9" s="933"/>
      <c r="E9" s="933"/>
      <c r="F9" s="1303"/>
      <c r="G9" s="1304"/>
      <c r="H9" s="1304"/>
      <c r="I9" s="1304"/>
      <c r="J9" s="1304"/>
      <c r="K9" s="1304"/>
      <c r="L9" s="1304"/>
      <c r="M9" s="1304"/>
      <c r="N9" s="1304"/>
      <c r="O9" s="1304"/>
      <c r="P9" s="1304"/>
      <c r="Q9" s="1305"/>
      <c r="R9" s="932" t="s">
        <v>32</v>
      </c>
      <c r="S9" s="933"/>
      <c r="T9" s="933"/>
      <c r="U9" s="933"/>
      <c r="V9" s="1303"/>
      <c r="W9" s="1304"/>
      <c r="X9" s="1304"/>
      <c r="Y9" s="1304"/>
      <c r="Z9" s="1304"/>
      <c r="AA9" s="1304"/>
      <c r="AB9" s="1304"/>
      <c r="AC9" s="1304"/>
      <c r="AD9" s="1304"/>
      <c r="AE9" s="1304"/>
      <c r="AF9" s="1304"/>
      <c r="AG9" s="1305"/>
      <c r="AH9" s="518"/>
      <c r="AJ9" s="595"/>
    </row>
    <row r="10" spans="1:36" x14ac:dyDescent="0.45">
      <c r="A10" s="518"/>
      <c r="B10" s="932" t="s">
        <v>33</v>
      </c>
      <c r="C10" s="933"/>
      <c r="D10" s="933"/>
      <c r="E10" s="933"/>
      <c r="F10" s="1303"/>
      <c r="G10" s="1304"/>
      <c r="H10" s="1304"/>
      <c r="I10" s="1304"/>
      <c r="J10" s="1304"/>
      <c r="K10" s="1304"/>
      <c r="L10" s="1304"/>
      <c r="M10" s="1304"/>
      <c r="N10" s="1304"/>
      <c r="O10" s="1304"/>
      <c r="P10" s="1304"/>
      <c r="Q10" s="1305"/>
      <c r="R10" s="932" t="s">
        <v>34</v>
      </c>
      <c r="S10" s="933"/>
      <c r="T10" s="933"/>
      <c r="U10" s="933"/>
      <c r="V10" s="1303"/>
      <c r="W10" s="1304"/>
      <c r="X10" s="1304"/>
      <c r="Y10" s="1304"/>
      <c r="Z10" s="1304"/>
      <c r="AA10" s="1304"/>
      <c r="AB10" s="1304"/>
      <c r="AC10" s="1304"/>
      <c r="AD10" s="1304"/>
      <c r="AE10" s="1304"/>
      <c r="AF10" s="1304"/>
      <c r="AG10" s="1305"/>
      <c r="AH10" s="518"/>
      <c r="AJ10" s="595"/>
    </row>
    <row r="11" spans="1:36" x14ac:dyDescent="0.45">
      <c r="A11" s="518"/>
      <c r="B11" s="1194" t="s">
        <v>1852</v>
      </c>
      <c r="C11" s="1194"/>
      <c r="D11" s="1194"/>
      <c r="E11" s="1194"/>
      <c r="F11" s="1194"/>
      <c r="G11" s="1194"/>
      <c r="H11" s="1194"/>
      <c r="I11" s="1194"/>
      <c r="J11" s="1194"/>
      <c r="K11" s="1194"/>
      <c r="L11" s="1194"/>
      <c r="M11" s="1194"/>
      <c r="N11" s="1194"/>
      <c r="O11" s="1194"/>
      <c r="P11" s="1194"/>
      <c r="Q11" s="1194"/>
      <c r="R11" s="1194"/>
      <c r="S11" s="1194"/>
      <c r="T11" s="1194"/>
      <c r="U11" s="1194"/>
      <c r="V11" s="1194"/>
      <c r="W11" s="1194"/>
      <c r="X11" s="1194"/>
      <c r="Y11" s="1194"/>
      <c r="Z11" s="1194"/>
      <c r="AA11" s="1194"/>
      <c r="AB11" s="1194"/>
      <c r="AC11" s="1194"/>
      <c r="AD11" s="1194"/>
      <c r="AE11" s="1194"/>
      <c r="AF11" s="1194"/>
      <c r="AG11" s="1194"/>
      <c r="AH11" s="518"/>
      <c r="AJ11" s="595"/>
    </row>
    <row r="12" spans="1:36" x14ac:dyDescent="0.45">
      <c r="A12" s="518"/>
      <c r="B12" s="932" t="s">
        <v>26</v>
      </c>
      <c r="C12" s="933"/>
      <c r="D12" s="933"/>
      <c r="E12" s="933"/>
      <c r="F12" s="1303"/>
      <c r="G12" s="1304"/>
      <c r="H12" s="1304"/>
      <c r="I12" s="1304"/>
      <c r="J12" s="1304"/>
      <c r="K12" s="1304"/>
      <c r="L12" s="1304"/>
      <c r="M12" s="1304"/>
      <c r="N12" s="1304"/>
      <c r="O12" s="1304"/>
      <c r="P12" s="1304"/>
      <c r="Q12" s="1305"/>
      <c r="R12" s="932" t="s">
        <v>32</v>
      </c>
      <c r="S12" s="933"/>
      <c r="T12" s="933"/>
      <c r="U12" s="933"/>
      <c r="V12" s="1303"/>
      <c r="W12" s="1304"/>
      <c r="X12" s="1304"/>
      <c r="Y12" s="1304"/>
      <c r="Z12" s="1304"/>
      <c r="AA12" s="1304"/>
      <c r="AB12" s="1304"/>
      <c r="AC12" s="1304"/>
      <c r="AD12" s="1304"/>
      <c r="AE12" s="1304"/>
      <c r="AF12" s="1304"/>
      <c r="AG12" s="1305"/>
      <c r="AH12" s="518"/>
      <c r="AJ12" s="595"/>
    </row>
    <row r="13" spans="1:36" x14ac:dyDescent="0.45">
      <c r="A13" s="518"/>
      <c r="B13" s="932" t="s">
        <v>33</v>
      </c>
      <c r="C13" s="933"/>
      <c r="D13" s="933"/>
      <c r="E13" s="933"/>
      <c r="F13" s="1303"/>
      <c r="G13" s="1304"/>
      <c r="H13" s="1304"/>
      <c r="I13" s="1304"/>
      <c r="J13" s="1304"/>
      <c r="K13" s="1304"/>
      <c r="L13" s="1304"/>
      <c r="M13" s="1304"/>
      <c r="N13" s="1304"/>
      <c r="O13" s="1304"/>
      <c r="P13" s="1304"/>
      <c r="Q13" s="1305"/>
      <c r="R13" s="932" t="s">
        <v>34</v>
      </c>
      <c r="S13" s="933"/>
      <c r="T13" s="933"/>
      <c r="U13" s="933"/>
      <c r="V13" s="1303"/>
      <c r="W13" s="1304"/>
      <c r="X13" s="1304"/>
      <c r="Y13" s="1304"/>
      <c r="Z13" s="1304"/>
      <c r="AA13" s="1304"/>
      <c r="AB13" s="1304"/>
      <c r="AC13" s="1304"/>
      <c r="AD13" s="1304"/>
      <c r="AE13" s="1304"/>
      <c r="AF13" s="1304"/>
      <c r="AG13" s="1305"/>
      <c r="AH13" s="518"/>
      <c r="AJ13" s="595"/>
    </row>
    <row r="14" spans="1:36" hidden="1" x14ac:dyDescent="0.45">
      <c r="A14" s="518"/>
      <c r="B14" s="1172" t="s">
        <v>35</v>
      </c>
      <c r="C14" s="1172"/>
      <c r="D14" s="1172"/>
      <c r="E14" s="1172"/>
      <c r="F14" s="1172"/>
      <c r="G14" s="1172"/>
      <c r="H14" s="1172"/>
      <c r="I14" s="1172"/>
      <c r="J14" s="1172"/>
      <c r="K14" s="1172"/>
      <c r="L14" s="1172"/>
      <c r="M14" s="1172"/>
      <c r="N14" s="1172"/>
      <c r="O14" s="1172"/>
      <c r="P14" s="1172"/>
      <c r="Q14" s="1172"/>
      <c r="R14" s="1172"/>
      <c r="S14" s="1172"/>
      <c r="T14" s="1172"/>
      <c r="U14" s="1172"/>
      <c r="V14" s="1172"/>
      <c r="W14" s="1172"/>
      <c r="X14" s="1172"/>
      <c r="Y14" s="1172"/>
      <c r="Z14" s="1172"/>
      <c r="AA14" s="1172"/>
      <c r="AB14" s="1172"/>
      <c r="AC14" s="1172"/>
      <c r="AD14" s="1172"/>
      <c r="AE14" s="1172"/>
      <c r="AF14" s="1172"/>
      <c r="AG14" s="1172"/>
      <c r="AH14" s="518"/>
      <c r="AJ14" s="595" t="b">
        <f>OR(
APP_Applicant1Type="LLC Controlled by a Non-Profit Corporation",
APP_Applicant1Type="LP Controlled by a Non-Profit Corporation")</f>
        <v>0</v>
      </c>
    </row>
    <row r="15" spans="1:36" hidden="1" x14ac:dyDescent="0.45">
      <c r="A15" s="518"/>
      <c r="B15" s="932" t="s">
        <v>26</v>
      </c>
      <c r="C15" s="933"/>
      <c r="D15" s="933"/>
      <c r="E15" s="933"/>
      <c r="F15" s="1308"/>
      <c r="G15" s="1308"/>
      <c r="H15" s="1308"/>
      <c r="I15" s="1308"/>
      <c r="J15" s="1308"/>
      <c r="K15" s="1308"/>
      <c r="L15" s="1308"/>
      <c r="M15" s="1308"/>
      <c r="N15" s="1308"/>
      <c r="O15" s="1308"/>
      <c r="P15" s="1308"/>
      <c r="Q15" s="1308"/>
      <c r="R15" s="932" t="s">
        <v>36</v>
      </c>
      <c r="S15" s="933"/>
      <c r="T15" s="933"/>
      <c r="U15" s="933"/>
      <c r="V15" s="1308"/>
      <c r="W15" s="1308"/>
      <c r="X15" s="1308"/>
      <c r="Y15" s="1308"/>
      <c r="Z15" s="1308"/>
      <c r="AA15" s="1308"/>
      <c r="AB15" s="1308"/>
      <c r="AC15" s="1308"/>
      <c r="AD15" s="1308"/>
      <c r="AE15" s="1308"/>
      <c r="AF15" s="1308"/>
      <c r="AG15" s="1308"/>
      <c r="AH15" s="518"/>
      <c r="AJ15" s="595"/>
    </row>
    <row r="16" spans="1:36" hidden="1" x14ac:dyDescent="0.45">
      <c r="A16" s="518"/>
      <c r="B16" s="932" t="s">
        <v>1849</v>
      </c>
      <c r="C16" s="933"/>
      <c r="D16" s="933"/>
      <c r="E16" s="933"/>
      <c r="F16" s="1303"/>
      <c r="G16" s="1304"/>
      <c r="H16" s="1304"/>
      <c r="I16" s="1304"/>
      <c r="J16" s="1304"/>
      <c r="K16" s="1304"/>
      <c r="L16" s="1304"/>
      <c r="M16" s="1304"/>
      <c r="N16" s="1304"/>
      <c r="O16" s="1304"/>
      <c r="P16" s="1304"/>
      <c r="Q16" s="1304"/>
      <c r="R16" s="1304"/>
      <c r="S16" s="1304"/>
      <c r="T16" s="1304"/>
      <c r="U16" s="1304"/>
      <c r="V16" s="1304"/>
      <c r="W16" s="1304"/>
      <c r="X16" s="1304"/>
      <c r="Y16" s="1304"/>
      <c r="Z16" s="1304"/>
      <c r="AA16" s="1304"/>
      <c r="AB16" s="1304"/>
      <c r="AC16" s="1304"/>
      <c r="AD16" s="1304"/>
      <c r="AE16" s="1304"/>
      <c r="AF16" s="1304"/>
      <c r="AG16" s="1305"/>
      <c r="AH16" s="518"/>
      <c r="AJ16" s="595"/>
    </row>
    <row r="17" spans="1:36" hidden="1" x14ac:dyDescent="0.45">
      <c r="A17" s="518"/>
      <c r="B17" s="932" t="s">
        <v>28</v>
      </c>
      <c r="C17" s="933"/>
      <c r="D17" s="933"/>
      <c r="E17" s="933"/>
      <c r="F17" s="1303"/>
      <c r="G17" s="1304"/>
      <c r="H17" s="1304"/>
      <c r="I17" s="1304"/>
      <c r="J17" s="1304"/>
      <c r="K17" s="1304"/>
      <c r="L17" s="1304"/>
      <c r="M17" s="1304"/>
      <c r="N17" s="1304"/>
      <c r="O17" s="1304"/>
      <c r="P17" s="1304"/>
      <c r="Q17" s="1304"/>
      <c r="R17" s="1304"/>
      <c r="S17" s="1304"/>
      <c r="T17" s="1304"/>
      <c r="U17" s="1304"/>
      <c r="V17" s="1304"/>
      <c r="W17" s="1304"/>
      <c r="X17" s="1304"/>
      <c r="Y17" s="1304"/>
      <c r="Z17" s="1304"/>
      <c r="AA17" s="1304"/>
      <c r="AB17" s="1304"/>
      <c r="AC17" s="1304"/>
      <c r="AD17" s="1304"/>
      <c r="AE17" s="1304"/>
      <c r="AF17" s="1304"/>
      <c r="AG17" s="1305"/>
      <c r="AH17" s="518"/>
      <c r="AJ17" s="595"/>
    </row>
    <row r="18" spans="1:36" hidden="1" x14ac:dyDescent="0.45">
      <c r="A18" s="518"/>
      <c r="B18" s="932" t="s">
        <v>29</v>
      </c>
      <c r="C18" s="933"/>
      <c r="D18" s="933"/>
      <c r="E18" s="933"/>
      <c r="F18" s="1303"/>
      <c r="G18" s="1304"/>
      <c r="H18" s="1304"/>
      <c r="I18" s="1304"/>
      <c r="J18" s="1304"/>
      <c r="K18" s="1304"/>
      <c r="L18" s="1304"/>
      <c r="M18" s="1304"/>
      <c r="N18" s="1304"/>
      <c r="O18" s="1304"/>
      <c r="P18" s="1304"/>
      <c r="Q18" s="1304"/>
      <c r="R18" s="1304"/>
      <c r="S18" s="1304"/>
      <c r="T18" s="1304"/>
      <c r="U18" s="1304"/>
      <c r="V18" s="1305"/>
      <c r="W18" s="1306" t="s">
        <v>30</v>
      </c>
      <c r="X18" s="1306"/>
      <c r="Y18" s="1307"/>
      <c r="Z18" s="1303"/>
      <c r="AA18" s="1305"/>
      <c r="AB18" s="1307" t="s">
        <v>31</v>
      </c>
      <c r="AC18" s="1309"/>
      <c r="AD18" s="1303"/>
      <c r="AE18" s="1304"/>
      <c r="AF18" s="1304"/>
      <c r="AG18" s="1305"/>
      <c r="AH18" s="518"/>
      <c r="AJ18" s="595"/>
    </row>
    <row r="19" spans="1:36" hidden="1" x14ac:dyDescent="0.45">
      <c r="A19" s="518"/>
      <c r="B19" s="1172" t="s">
        <v>37</v>
      </c>
      <c r="C19" s="1172"/>
      <c r="D19" s="1172"/>
      <c r="E19" s="1172"/>
      <c r="F19" s="1172"/>
      <c r="G19" s="1172"/>
      <c r="H19" s="1172"/>
      <c r="I19" s="1172"/>
      <c r="J19" s="1172"/>
      <c r="K19" s="1172"/>
      <c r="L19" s="1172"/>
      <c r="M19" s="1172"/>
      <c r="N19" s="1172"/>
      <c r="O19" s="1172"/>
      <c r="P19" s="1172"/>
      <c r="Q19" s="1172"/>
      <c r="R19" s="1172"/>
      <c r="S19" s="1172"/>
      <c r="T19" s="1172"/>
      <c r="U19" s="1172"/>
      <c r="V19" s="1172"/>
      <c r="W19" s="1172"/>
      <c r="X19" s="1172"/>
      <c r="Y19" s="1172"/>
      <c r="Z19" s="1172"/>
      <c r="AA19" s="1172"/>
      <c r="AB19" s="1172"/>
      <c r="AC19" s="1172"/>
      <c r="AD19" s="1172"/>
      <c r="AE19" s="1172"/>
      <c r="AF19" s="1172"/>
      <c r="AG19" s="1172"/>
      <c r="AH19" s="518"/>
      <c r="AJ19" s="595"/>
    </row>
    <row r="20" spans="1:36" hidden="1" x14ac:dyDescent="0.45">
      <c r="A20" s="518"/>
      <c r="B20" s="932" t="s">
        <v>26</v>
      </c>
      <c r="C20" s="933"/>
      <c r="D20" s="933"/>
      <c r="E20" s="933"/>
      <c r="F20" s="1318"/>
      <c r="G20" s="1319"/>
      <c r="H20" s="1319"/>
      <c r="I20" s="1319"/>
      <c r="J20" s="1319"/>
      <c r="K20" s="1319"/>
      <c r="L20" s="1319"/>
      <c r="M20" s="1319"/>
      <c r="N20" s="1319"/>
      <c r="O20" s="1319"/>
      <c r="P20" s="1319"/>
      <c r="Q20" s="1320"/>
      <c r="R20" s="932" t="s">
        <v>32</v>
      </c>
      <c r="S20" s="933"/>
      <c r="T20" s="933"/>
      <c r="U20" s="933"/>
      <c r="V20" s="1318"/>
      <c r="W20" s="1319"/>
      <c r="X20" s="1319"/>
      <c r="Y20" s="1319"/>
      <c r="Z20" s="1319"/>
      <c r="AA20" s="1319"/>
      <c r="AB20" s="1319"/>
      <c r="AC20" s="1319"/>
      <c r="AD20" s="1319"/>
      <c r="AE20" s="1319"/>
      <c r="AF20" s="1319"/>
      <c r="AG20" s="1320"/>
      <c r="AH20" s="518"/>
      <c r="AJ20" s="595"/>
    </row>
    <row r="21" spans="1:36" hidden="1" x14ac:dyDescent="0.45">
      <c r="A21" s="518"/>
      <c r="B21" s="932" t="s">
        <v>33</v>
      </c>
      <c r="C21" s="933"/>
      <c r="D21" s="933"/>
      <c r="E21" s="933"/>
      <c r="F21" s="1318"/>
      <c r="G21" s="1319"/>
      <c r="H21" s="1319"/>
      <c r="I21" s="1319"/>
      <c r="J21" s="1319"/>
      <c r="K21" s="1319"/>
      <c r="L21" s="1319"/>
      <c r="M21" s="1319"/>
      <c r="N21" s="1319"/>
      <c r="O21" s="1319"/>
      <c r="P21" s="1319"/>
      <c r="Q21" s="1320"/>
      <c r="R21" s="932" t="s">
        <v>34</v>
      </c>
      <c r="S21" s="933"/>
      <c r="T21" s="933"/>
      <c r="U21" s="933"/>
      <c r="V21" s="1318"/>
      <c r="W21" s="1319"/>
      <c r="X21" s="1319"/>
      <c r="Y21" s="1319"/>
      <c r="Z21" s="1319"/>
      <c r="AA21" s="1319"/>
      <c r="AB21" s="1319"/>
      <c r="AC21" s="1319"/>
      <c r="AD21" s="1319"/>
      <c r="AE21" s="1319"/>
      <c r="AF21" s="1319"/>
      <c r="AG21" s="1320"/>
      <c r="AH21" s="518"/>
      <c r="AJ21" s="595"/>
    </row>
    <row r="22" spans="1:36" hidden="1" x14ac:dyDescent="0.45">
      <c r="A22" s="518"/>
      <c r="B22" s="1172" t="s">
        <v>38</v>
      </c>
      <c r="C22" s="1172"/>
      <c r="D22" s="1172"/>
      <c r="E22" s="1172"/>
      <c r="F22" s="1172"/>
      <c r="G22" s="1172"/>
      <c r="H22" s="1172"/>
      <c r="I22" s="1172"/>
      <c r="J22" s="1172"/>
      <c r="K22" s="1172"/>
      <c r="L22" s="1172"/>
      <c r="M22" s="1172"/>
      <c r="N22" s="1172"/>
      <c r="O22" s="1172"/>
      <c r="P22" s="1172"/>
      <c r="Q22" s="1172"/>
      <c r="R22" s="1172"/>
      <c r="S22" s="1172"/>
      <c r="T22" s="1172"/>
      <c r="U22" s="1172"/>
      <c r="V22" s="1172"/>
      <c r="W22" s="1172"/>
      <c r="X22" s="1172"/>
      <c r="Y22" s="1172"/>
      <c r="Z22" s="1172"/>
      <c r="AA22" s="1172"/>
      <c r="AB22" s="1172"/>
      <c r="AC22" s="1172"/>
      <c r="AD22" s="1172"/>
      <c r="AE22" s="1172"/>
      <c r="AF22" s="1172"/>
      <c r="AG22" s="1172"/>
      <c r="AH22" s="518"/>
      <c r="AJ22" s="595" t="b">
        <f>APP_Applicant2&lt;&gt;""</f>
        <v>0</v>
      </c>
    </row>
    <row r="23" spans="1:36" hidden="1" x14ac:dyDescent="0.45">
      <c r="A23" s="518"/>
      <c r="B23" s="932" t="s">
        <v>26</v>
      </c>
      <c r="C23" s="933"/>
      <c r="D23" s="933"/>
      <c r="E23" s="933"/>
      <c r="F23" s="1303"/>
      <c r="G23" s="1304"/>
      <c r="H23" s="1304"/>
      <c r="I23" s="1304"/>
      <c r="J23" s="1304"/>
      <c r="K23" s="1304"/>
      <c r="L23" s="1304"/>
      <c r="M23" s="1304"/>
      <c r="N23" s="1304"/>
      <c r="O23" s="1304"/>
      <c r="P23" s="1304"/>
      <c r="Q23" s="1304"/>
      <c r="R23" s="1304"/>
      <c r="S23" s="1304"/>
      <c r="T23" s="1304"/>
      <c r="U23" s="1304"/>
      <c r="V23" s="1304"/>
      <c r="W23" s="1304"/>
      <c r="X23" s="1304"/>
      <c r="Y23" s="1304"/>
      <c r="Z23" s="1304"/>
      <c r="AA23" s="1304"/>
      <c r="AB23" s="1304"/>
      <c r="AC23" s="1304"/>
      <c r="AD23" s="1304"/>
      <c r="AE23" s="1304"/>
      <c r="AF23" s="1304"/>
      <c r="AG23" s="1305"/>
      <c r="AH23" s="518"/>
      <c r="AJ23" s="595"/>
    </row>
    <row r="24" spans="1:36" hidden="1" x14ac:dyDescent="0.45">
      <c r="A24" s="518"/>
      <c r="B24" s="932" t="s">
        <v>27</v>
      </c>
      <c r="C24" s="933"/>
      <c r="D24" s="933"/>
      <c r="E24" s="933"/>
      <c r="F24" s="1303"/>
      <c r="G24" s="1304"/>
      <c r="H24" s="1304"/>
      <c r="I24" s="1304"/>
      <c r="J24" s="1304"/>
      <c r="K24" s="1304"/>
      <c r="L24" s="1304"/>
      <c r="M24" s="1304"/>
      <c r="N24" s="1304"/>
      <c r="O24" s="1304"/>
      <c r="P24" s="1304"/>
      <c r="Q24" s="1304"/>
      <c r="R24" s="1304"/>
      <c r="S24" s="1304"/>
      <c r="T24" s="1304"/>
      <c r="U24" s="1304"/>
      <c r="V24" s="1304"/>
      <c r="W24" s="1304"/>
      <c r="X24" s="1304"/>
      <c r="Y24" s="1304"/>
      <c r="Z24" s="1304"/>
      <c r="AA24" s="1304"/>
      <c r="AB24" s="1304"/>
      <c r="AC24" s="1304"/>
      <c r="AD24" s="1304"/>
      <c r="AE24" s="1304"/>
      <c r="AF24" s="1304"/>
      <c r="AG24" s="1305"/>
      <c r="AH24" s="518"/>
      <c r="AJ24" s="595"/>
    </row>
    <row r="25" spans="1:36" hidden="1" x14ac:dyDescent="0.45">
      <c r="A25" s="518"/>
      <c r="B25" s="932" t="s">
        <v>28</v>
      </c>
      <c r="C25" s="933"/>
      <c r="D25" s="933"/>
      <c r="E25" s="933"/>
      <c r="F25" s="1303"/>
      <c r="G25" s="1304"/>
      <c r="H25" s="1304"/>
      <c r="I25" s="1304"/>
      <c r="J25" s="1304"/>
      <c r="K25" s="1304"/>
      <c r="L25" s="1304"/>
      <c r="M25" s="1304"/>
      <c r="N25" s="1304"/>
      <c r="O25" s="1304"/>
      <c r="P25" s="1304"/>
      <c r="Q25" s="1304"/>
      <c r="R25" s="1304"/>
      <c r="S25" s="1304"/>
      <c r="T25" s="1304"/>
      <c r="U25" s="1304"/>
      <c r="V25" s="1304"/>
      <c r="W25" s="1304"/>
      <c r="X25" s="1304"/>
      <c r="Y25" s="1304"/>
      <c r="Z25" s="1304"/>
      <c r="AA25" s="1304"/>
      <c r="AB25" s="1304"/>
      <c r="AC25" s="1304"/>
      <c r="AD25" s="1304"/>
      <c r="AE25" s="1304"/>
      <c r="AF25" s="1304"/>
      <c r="AG25" s="1305"/>
      <c r="AH25" s="518"/>
      <c r="AJ25" s="595"/>
    </row>
    <row r="26" spans="1:36" hidden="1" x14ac:dyDescent="0.45">
      <c r="A26" s="518"/>
      <c r="B26" s="932" t="s">
        <v>29</v>
      </c>
      <c r="C26" s="933"/>
      <c r="D26" s="933"/>
      <c r="E26" s="933"/>
      <c r="F26" s="1303"/>
      <c r="G26" s="1304"/>
      <c r="H26" s="1304"/>
      <c r="I26" s="1304"/>
      <c r="J26" s="1304"/>
      <c r="K26" s="1304"/>
      <c r="L26" s="1304"/>
      <c r="M26" s="1304"/>
      <c r="N26" s="1304"/>
      <c r="O26" s="1304"/>
      <c r="P26" s="1304"/>
      <c r="Q26" s="1304"/>
      <c r="R26" s="1304"/>
      <c r="S26" s="1304"/>
      <c r="T26" s="1304"/>
      <c r="U26" s="1304"/>
      <c r="V26" s="1305"/>
      <c r="W26" s="1306" t="s">
        <v>30</v>
      </c>
      <c r="X26" s="1306"/>
      <c r="Y26" s="1307"/>
      <c r="Z26" s="1303"/>
      <c r="AA26" s="1305"/>
      <c r="AB26" s="1307" t="s">
        <v>31</v>
      </c>
      <c r="AC26" s="1309"/>
      <c r="AD26" s="1303"/>
      <c r="AE26" s="1304"/>
      <c r="AF26" s="1304"/>
      <c r="AG26" s="1305"/>
      <c r="AH26" s="518"/>
      <c r="AJ26" s="595"/>
    </row>
    <row r="27" spans="1:36" hidden="1" x14ac:dyDescent="0.45">
      <c r="A27" s="518"/>
      <c r="B27" s="1194" t="s">
        <v>39</v>
      </c>
      <c r="C27" s="1194"/>
      <c r="D27" s="1194"/>
      <c r="E27" s="1194"/>
      <c r="F27" s="1194"/>
      <c r="G27" s="1194"/>
      <c r="H27" s="1194"/>
      <c r="I27" s="1194"/>
      <c r="J27" s="1194"/>
      <c r="K27" s="1194"/>
      <c r="L27" s="1194"/>
      <c r="M27" s="1194"/>
      <c r="N27" s="1194"/>
      <c r="O27" s="1194"/>
      <c r="P27" s="1194"/>
      <c r="Q27" s="1194"/>
      <c r="R27" s="1194"/>
      <c r="S27" s="1194"/>
      <c r="T27" s="1194"/>
      <c r="U27" s="1194"/>
      <c r="V27" s="1194"/>
      <c r="W27" s="1194"/>
      <c r="X27" s="1194"/>
      <c r="Y27" s="1194"/>
      <c r="Z27" s="1194"/>
      <c r="AA27" s="1194"/>
      <c r="AB27" s="1194"/>
      <c r="AC27" s="1194"/>
      <c r="AD27" s="1194"/>
      <c r="AE27" s="1194"/>
      <c r="AF27" s="1194"/>
      <c r="AG27" s="1194"/>
      <c r="AH27" s="518"/>
      <c r="AJ27" s="595"/>
    </row>
    <row r="28" spans="1:36" hidden="1" x14ac:dyDescent="0.45">
      <c r="A28" s="518"/>
      <c r="B28" s="932" t="s">
        <v>26</v>
      </c>
      <c r="C28" s="933"/>
      <c r="D28" s="933"/>
      <c r="E28" s="933"/>
      <c r="F28" s="1303"/>
      <c r="G28" s="1304"/>
      <c r="H28" s="1304"/>
      <c r="I28" s="1304"/>
      <c r="J28" s="1304"/>
      <c r="K28" s="1304"/>
      <c r="L28" s="1304"/>
      <c r="M28" s="1304"/>
      <c r="N28" s="1304"/>
      <c r="O28" s="1304"/>
      <c r="P28" s="1304"/>
      <c r="Q28" s="1305"/>
      <c r="R28" s="932" t="s">
        <v>32</v>
      </c>
      <c r="S28" s="933"/>
      <c r="T28" s="933"/>
      <c r="U28" s="933"/>
      <c r="V28" s="1303"/>
      <c r="W28" s="1304"/>
      <c r="X28" s="1304"/>
      <c r="Y28" s="1304"/>
      <c r="Z28" s="1304"/>
      <c r="AA28" s="1304"/>
      <c r="AB28" s="1304"/>
      <c r="AC28" s="1304"/>
      <c r="AD28" s="1304"/>
      <c r="AE28" s="1304"/>
      <c r="AF28" s="1304"/>
      <c r="AG28" s="1305"/>
      <c r="AH28" s="518"/>
      <c r="AJ28" s="595"/>
    </row>
    <row r="29" spans="1:36" hidden="1" x14ac:dyDescent="0.45">
      <c r="A29" s="518"/>
      <c r="B29" s="932" t="s">
        <v>33</v>
      </c>
      <c r="C29" s="933"/>
      <c r="D29" s="933"/>
      <c r="E29" s="933"/>
      <c r="F29" s="1303"/>
      <c r="G29" s="1304"/>
      <c r="H29" s="1304"/>
      <c r="I29" s="1304"/>
      <c r="J29" s="1304"/>
      <c r="K29" s="1304"/>
      <c r="L29" s="1304"/>
      <c r="M29" s="1304"/>
      <c r="N29" s="1304"/>
      <c r="O29" s="1304"/>
      <c r="P29" s="1304"/>
      <c r="Q29" s="1305"/>
      <c r="R29" s="932" t="s">
        <v>34</v>
      </c>
      <c r="S29" s="933"/>
      <c r="T29" s="933"/>
      <c r="U29" s="933"/>
      <c r="V29" s="1303"/>
      <c r="W29" s="1304"/>
      <c r="X29" s="1304"/>
      <c r="Y29" s="1304"/>
      <c r="Z29" s="1304"/>
      <c r="AA29" s="1304"/>
      <c r="AB29" s="1304"/>
      <c r="AC29" s="1304"/>
      <c r="AD29" s="1304"/>
      <c r="AE29" s="1304"/>
      <c r="AF29" s="1304"/>
      <c r="AG29" s="1305"/>
      <c r="AH29" s="518"/>
      <c r="AJ29" s="595"/>
    </row>
    <row r="30" spans="1:36" hidden="1" x14ac:dyDescent="0.45">
      <c r="A30" s="518"/>
      <c r="B30" s="1194" t="s">
        <v>40</v>
      </c>
      <c r="C30" s="1194"/>
      <c r="D30" s="1194"/>
      <c r="E30" s="1194"/>
      <c r="F30" s="1194"/>
      <c r="G30" s="1194"/>
      <c r="H30" s="1194"/>
      <c r="I30" s="1194"/>
      <c r="J30" s="1194"/>
      <c r="K30" s="1194"/>
      <c r="L30" s="1194"/>
      <c r="M30" s="1194"/>
      <c r="N30" s="1194"/>
      <c r="O30" s="1194"/>
      <c r="P30" s="1194"/>
      <c r="Q30" s="1194"/>
      <c r="R30" s="1194"/>
      <c r="S30" s="1194"/>
      <c r="T30" s="1194"/>
      <c r="U30" s="1194"/>
      <c r="V30" s="1194"/>
      <c r="W30" s="1194"/>
      <c r="X30" s="1194"/>
      <c r="Y30" s="1194"/>
      <c r="Z30" s="1194"/>
      <c r="AA30" s="1194"/>
      <c r="AB30" s="1194"/>
      <c r="AC30" s="1194"/>
      <c r="AD30" s="1194"/>
      <c r="AE30" s="1194"/>
      <c r="AF30" s="1194"/>
      <c r="AG30" s="1194"/>
      <c r="AH30" s="518"/>
      <c r="AJ30" s="595"/>
    </row>
    <row r="31" spans="1:36" hidden="1" x14ac:dyDescent="0.45">
      <c r="A31" s="518"/>
      <c r="B31" s="932" t="s">
        <v>26</v>
      </c>
      <c r="C31" s="933"/>
      <c r="D31" s="933"/>
      <c r="E31" s="933"/>
      <c r="F31" s="1303"/>
      <c r="G31" s="1304"/>
      <c r="H31" s="1304"/>
      <c r="I31" s="1304"/>
      <c r="J31" s="1304"/>
      <c r="K31" s="1304"/>
      <c r="L31" s="1304"/>
      <c r="M31" s="1304"/>
      <c r="N31" s="1304"/>
      <c r="O31" s="1304"/>
      <c r="P31" s="1304"/>
      <c r="Q31" s="1305"/>
      <c r="R31" s="932" t="s">
        <v>32</v>
      </c>
      <c r="S31" s="933"/>
      <c r="T31" s="933"/>
      <c r="U31" s="933"/>
      <c r="V31" s="1303"/>
      <c r="W31" s="1304"/>
      <c r="X31" s="1304"/>
      <c r="Y31" s="1304"/>
      <c r="Z31" s="1304"/>
      <c r="AA31" s="1304"/>
      <c r="AB31" s="1304"/>
      <c r="AC31" s="1304"/>
      <c r="AD31" s="1304"/>
      <c r="AE31" s="1304"/>
      <c r="AF31" s="1304"/>
      <c r="AG31" s="1305"/>
      <c r="AH31" s="518"/>
      <c r="AJ31" s="595"/>
    </row>
    <row r="32" spans="1:36" hidden="1" x14ac:dyDescent="0.45">
      <c r="A32" s="518"/>
      <c r="B32" s="932" t="s">
        <v>33</v>
      </c>
      <c r="C32" s="933"/>
      <c r="D32" s="933"/>
      <c r="E32" s="933"/>
      <c r="F32" s="1303"/>
      <c r="G32" s="1304"/>
      <c r="H32" s="1304"/>
      <c r="I32" s="1304"/>
      <c r="J32" s="1304"/>
      <c r="K32" s="1304"/>
      <c r="L32" s="1304"/>
      <c r="M32" s="1304"/>
      <c r="N32" s="1304"/>
      <c r="O32" s="1304"/>
      <c r="P32" s="1304"/>
      <c r="Q32" s="1305"/>
      <c r="R32" s="932" t="s">
        <v>34</v>
      </c>
      <c r="S32" s="933"/>
      <c r="T32" s="933"/>
      <c r="U32" s="933"/>
      <c r="V32" s="1303"/>
      <c r="W32" s="1304"/>
      <c r="X32" s="1304"/>
      <c r="Y32" s="1304"/>
      <c r="Z32" s="1304"/>
      <c r="AA32" s="1304"/>
      <c r="AB32" s="1304"/>
      <c r="AC32" s="1304"/>
      <c r="AD32" s="1304"/>
      <c r="AE32" s="1304"/>
      <c r="AF32" s="1304"/>
      <c r="AG32" s="1305"/>
      <c r="AH32" s="518"/>
      <c r="AJ32" s="595"/>
    </row>
    <row r="33" spans="1:36" hidden="1" x14ac:dyDescent="0.45">
      <c r="A33" s="518"/>
      <c r="B33" s="1172" t="s">
        <v>35</v>
      </c>
      <c r="C33" s="1172"/>
      <c r="D33" s="1172"/>
      <c r="E33" s="1172"/>
      <c r="F33" s="1172"/>
      <c r="G33" s="1172"/>
      <c r="H33" s="1172"/>
      <c r="I33" s="1172"/>
      <c r="J33" s="1172"/>
      <c r="K33" s="1172"/>
      <c r="L33" s="1172"/>
      <c r="M33" s="1172"/>
      <c r="N33" s="1172"/>
      <c r="O33" s="1172"/>
      <c r="P33" s="1172"/>
      <c r="Q33" s="1172"/>
      <c r="R33" s="1172"/>
      <c r="S33" s="1172"/>
      <c r="T33" s="1172"/>
      <c r="U33" s="1172"/>
      <c r="V33" s="1172"/>
      <c r="W33" s="1172"/>
      <c r="X33" s="1172"/>
      <c r="Y33" s="1172"/>
      <c r="Z33" s="1172"/>
      <c r="AA33" s="1172"/>
      <c r="AB33" s="1172"/>
      <c r="AC33" s="1172"/>
      <c r="AD33" s="1172"/>
      <c r="AE33" s="1172"/>
      <c r="AF33" s="1172"/>
      <c r="AG33" s="1172"/>
      <c r="AH33" s="518"/>
      <c r="AJ33" s="595" t="b">
        <f>OR(
APP_Applicant2Type="LLC Controlled by a Non-Profit Corporation",
APP_Applicant2Type="LP Controlled by a Non-Profit Corporation")</f>
        <v>0</v>
      </c>
    </row>
    <row r="34" spans="1:36" hidden="1" x14ac:dyDescent="0.45">
      <c r="A34" s="518"/>
      <c r="B34" s="932" t="s">
        <v>26</v>
      </c>
      <c r="C34" s="933"/>
      <c r="D34" s="933"/>
      <c r="E34" s="933"/>
      <c r="F34" s="1303"/>
      <c r="G34" s="1304"/>
      <c r="H34" s="1304"/>
      <c r="I34" s="1304"/>
      <c r="J34" s="1304"/>
      <c r="K34" s="1304"/>
      <c r="L34" s="1304"/>
      <c r="M34" s="1304"/>
      <c r="N34" s="1304"/>
      <c r="O34" s="1304"/>
      <c r="P34" s="1304"/>
      <c r="Q34" s="1304"/>
      <c r="R34" s="932" t="s">
        <v>36</v>
      </c>
      <c r="S34" s="933"/>
      <c r="T34" s="933"/>
      <c r="U34" s="933"/>
      <c r="V34" s="1303"/>
      <c r="W34" s="1304"/>
      <c r="X34" s="1304"/>
      <c r="Y34" s="1304"/>
      <c r="Z34" s="1304"/>
      <c r="AA34" s="1304"/>
      <c r="AB34" s="1304"/>
      <c r="AC34" s="1304"/>
      <c r="AD34" s="1304"/>
      <c r="AE34" s="1304"/>
      <c r="AF34" s="1304"/>
      <c r="AG34" s="1305"/>
      <c r="AH34" s="518"/>
      <c r="AJ34" s="595"/>
    </row>
    <row r="35" spans="1:36" hidden="1" x14ac:dyDescent="0.45">
      <c r="A35" s="518"/>
      <c r="B35" s="932" t="s">
        <v>1849</v>
      </c>
      <c r="C35" s="933"/>
      <c r="D35" s="933"/>
      <c r="E35" s="933"/>
      <c r="F35" s="1303"/>
      <c r="G35" s="1304"/>
      <c r="H35" s="1304"/>
      <c r="I35" s="1304"/>
      <c r="J35" s="1304"/>
      <c r="K35" s="1304"/>
      <c r="L35" s="1304"/>
      <c r="M35" s="1304"/>
      <c r="N35" s="1304"/>
      <c r="O35" s="1304"/>
      <c r="P35" s="1304"/>
      <c r="Q35" s="1304"/>
      <c r="R35" s="1304"/>
      <c r="S35" s="1304"/>
      <c r="T35" s="1304"/>
      <c r="U35" s="1304"/>
      <c r="V35" s="1304"/>
      <c r="W35" s="1304"/>
      <c r="X35" s="1304"/>
      <c r="Y35" s="1304"/>
      <c r="Z35" s="1304"/>
      <c r="AA35" s="1304"/>
      <c r="AB35" s="1304"/>
      <c r="AC35" s="1304"/>
      <c r="AD35" s="1304"/>
      <c r="AE35" s="1304"/>
      <c r="AF35" s="1304"/>
      <c r="AG35" s="1305"/>
      <c r="AH35" s="518"/>
      <c r="AJ35" s="595"/>
    </row>
    <row r="36" spans="1:36" hidden="1" x14ac:dyDescent="0.45">
      <c r="A36" s="518"/>
      <c r="B36" s="932" t="s">
        <v>28</v>
      </c>
      <c r="C36" s="933"/>
      <c r="D36" s="933"/>
      <c r="E36" s="933"/>
      <c r="F36" s="1303"/>
      <c r="G36" s="1304"/>
      <c r="H36" s="1304"/>
      <c r="I36" s="1304"/>
      <c r="J36" s="1304"/>
      <c r="K36" s="1304"/>
      <c r="L36" s="1304"/>
      <c r="M36" s="1304"/>
      <c r="N36" s="1304"/>
      <c r="O36" s="1304"/>
      <c r="P36" s="1304"/>
      <c r="Q36" s="1304"/>
      <c r="R36" s="1304"/>
      <c r="S36" s="1304"/>
      <c r="T36" s="1304"/>
      <c r="U36" s="1304"/>
      <c r="V36" s="1304"/>
      <c r="W36" s="1304"/>
      <c r="X36" s="1304"/>
      <c r="Y36" s="1304"/>
      <c r="Z36" s="1304"/>
      <c r="AA36" s="1304"/>
      <c r="AB36" s="1304"/>
      <c r="AC36" s="1304"/>
      <c r="AD36" s="1304"/>
      <c r="AE36" s="1304"/>
      <c r="AF36" s="1304"/>
      <c r="AG36" s="1305"/>
      <c r="AH36" s="518"/>
      <c r="AJ36" s="595"/>
    </row>
    <row r="37" spans="1:36" hidden="1" x14ac:dyDescent="0.45">
      <c r="A37" s="518"/>
      <c r="B37" s="932" t="s">
        <v>29</v>
      </c>
      <c r="C37" s="933"/>
      <c r="D37" s="933"/>
      <c r="E37" s="933"/>
      <c r="F37" s="1303"/>
      <c r="G37" s="1304"/>
      <c r="H37" s="1304"/>
      <c r="I37" s="1304"/>
      <c r="J37" s="1304"/>
      <c r="K37" s="1304"/>
      <c r="L37" s="1304"/>
      <c r="M37" s="1304"/>
      <c r="N37" s="1304"/>
      <c r="O37" s="1304"/>
      <c r="P37" s="1304"/>
      <c r="Q37" s="1304"/>
      <c r="R37" s="1304"/>
      <c r="S37" s="1304"/>
      <c r="T37" s="1304"/>
      <c r="U37" s="1304"/>
      <c r="V37" s="1305"/>
      <c r="W37" s="1306" t="s">
        <v>30</v>
      </c>
      <c r="X37" s="1306"/>
      <c r="Y37" s="1307"/>
      <c r="Z37" s="1303"/>
      <c r="AA37" s="1305"/>
      <c r="AB37" s="1307" t="s">
        <v>31</v>
      </c>
      <c r="AC37" s="1309"/>
      <c r="AD37" s="1303"/>
      <c r="AE37" s="1304"/>
      <c r="AF37" s="1304"/>
      <c r="AG37" s="1305"/>
      <c r="AH37" s="518"/>
      <c r="AJ37" s="595"/>
    </row>
    <row r="38" spans="1:36" hidden="1" x14ac:dyDescent="0.45">
      <c r="A38" s="518"/>
      <c r="B38" s="1172" t="s">
        <v>37</v>
      </c>
      <c r="C38" s="1172"/>
      <c r="D38" s="1172"/>
      <c r="E38" s="1172"/>
      <c r="F38" s="1172"/>
      <c r="G38" s="1172"/>
      <c r="H38" s="1172"/>
      <c r="I38" s="1172"/>
      <c r="J38" s="1172"/>
      <c r="K38" s="1172"/>
      <c r="L38" s="1172"/>
      <c r="M38" s="1172"/>
      <c r="N38" s="1172"/>
      <c r="O38" s="1172"/>
      <c r="P38" s="1172"/>
      <c r="Q38" s="1172"/>
      <c r="R38" s="1172"/>
      <c r="S38" s="1172"/>
      <c r="T38" s="1172"/>
      <c r="U38" s="1172"/>
      <c r="V38" s="1172"/>
      <c r="W38" s="1172"/>
      <c r="X38" s="1172"/>
      <c r="Y38" s="1172"/>
      <c r="Z38" s="1172"/>
      <c r="AA38" s="1172"/>
      <c r="AB38" s="1172"/>
      <c r="AC38" s="1172"/>
      <c r="AD38" s="1172"/>
      <c r="AE38" s="1172"/>
      <c r="AF38" s="1172"/>
      <c r="AG38" s="1172"/>
      <c r="AH38" s="518"/>
      <c r="AJ38" s="595"/>
    </row>
    <row r="39" spans="1:36" hidden="1" x14ac:dyDescent="0.45">
      <c r="A39" s="518"/>
      <c r="B39" s="932" t="s">
        <v>26</v>
      </c>
      <c r="C39" s="933"/>
      <c r="D39" s="933"/>
      <c r="E39" s="933"/>
      <c r="F39" s="1303"/>
      <c r="G39" s="1304"/>
      <c r="H39" s="1304"/>
      <c r="I39" s="1304"/>
      <c r="J39" s="1304"/>
      <c r="K39" s="1304"/>
      <c r="L39" s="1304"/>
      <c r="M39" s="1304"/>
      <c r="N39" s="1304"/>
      <c r="O39" s="1304"/>
      <c r="P39" s="1304"/>
      <c r="Q39" s="1305"/>
      <c r="R39" s="932" t="s">
        <v>32</v>
      </c>
      <c r="S39" s="933"/>
      <c r="T39" s="933"/>
      <c r="U39" s="933"/>
      <c r="V39" s="1303"/>
      <c r="W39" s="1304"/>
      <c r="X39" s="1304"/>
      <c r="Y39" s="1304"/>
      <c r="Z39" s="1304"/>
      <c r="AA39" s="1304"/>
      <c r="AB39" s="1304"/>
      <c r="AC39" s="1304"/>
      <c r="AD39" s="1304"/>
      <c r="AE39" s="1304"/>
      <c r="AF39" s="1304"/>
      <c r="AG39" s="1305"/>
      <c r="AH39" s="518"/>
      <c r="AJ39" s="595"/>
    </row>
    <row r="40" spans="1:36" hidden="1" x14ac:dyDescent="0.45">
      <c r="A40" s="518"/>
      <c r="B40" s="932" t="s">
        <v>33</v>
      </c>
      <c r="C40" s="933"/>
      <c r="D40" s="933"/>
      <c r="E40" s="933"/>
      <c r="F40" s="1312"/>
      <c r="G40" s="1313"/>
      <c r="H40" s="1313"/>
      <c r="I40" s="1313"/>
      <c r="J40" s="1313"/>
      <c r="K40" s="1313"/>
      <c r="L40" s="1313"/>
      <c r="M40" s="1313"/>
      <c r="N40" s="1313"/>
      <c r="O40" s="1313"/>
      <c r="P40" s="1313"/>
      <c r="Q40" s="1314"/>
      <c r="R40" s="932" t="s">
        <v>34</v>
      </c>
      <c r="S40" s="933"/>
      <c r="T40" s="933"/>
      <c r="U40" s="933"/>
      <c r="V40" s="1312"/>
      <c r="W40" s="1313"/>
      <c r="X40" s="1313"/>
      <c r="Y40" s="1313"/>
      <c r="Z40" s="1313"/>
      <c r="AA40" s="1313"/>
      <c r="AB40" s="1313"/>
      <c r="AC40" s="1313"/>
      <c r="AD40" s="1313"/>
      <c r="AE40" s="1313"/>
      <c r="AF40" s="1313"/>
      <c r="AG40" s="1314"/>
      <c r="AH40" s="518"/>
      <c r="AJ40" s="595"/>
    </row>
    <row r="41" spans="1:36" x14ac:dyDescent="0.45">
      <c r="A41" s="518"/>
      <c r="B41" s="1172" t="s">
        <v>41</v>
      </c>
      <c r="C41" s="1172"/>
      <c r="D41" s="1172"/>
      <c r="E41" s="1172"/>
      <c r="F41" s="1172"/>
      <c r="G41" s="1172"/>
      <c r="H41" s="1172"/>
      <c r="I41" s="1172"/>
      <c r="J41" s="1172"/>
      <c r="K41" s="1172"/>
      <c r="L41" s="1172"/>
      <c r="M41" s="1172"/>
      <c r="N41" s="1172"/>
      <c r="O41" s="1172"/>
      <c r="P41" s="1172"/>
      <c r="Q41" s="1172"/>
      <c r="R41" s="1172"/>
      <c r="S41" s="1172"/>
      <c r="T41" s="1172"/>
      <c r="U41" s="1172"/>
      <c r="V41" s="1172"/>
      <c r="W41" s="1172"/>
      <c r="X41" s="1172"/>
      <c r="Y41" s="1172"/>
      <c r="Z41" s="1172"/>
      <c r="AA41" s="1172"/>
      <c r="AB41" s="1172"/>
      <c r="AC41" s="1172"/>
      <c r="AD41" s="1172"/>
      <c r="AE41" s="1172"/>
      <c r="AF41" s="1172"/>
      <c r="AG41" s="1172"/>
      <c r="AH41" s="518"/>
      <c r="AJ41" s="595" t="b">
        <v>1</v>
      </c>
    </row>
    <row r="42" spans="1:36" x14ac:dyDescent="0.45">
      <c r="A42" s="518"/>
      <c r="B42" s="932" t="s">
        <v>26</v>
      </c>
      <c r="C42" s="933"/>
      <c r="D42" s="933"/>
      <c r="E42" s="933"/>
      <c r="F42" s="1303"/>
      <c r="G42" s="1304"/>
      <c r="H42" s="1304"/>
      <c r="I42" s="1304"/>
      <c r="J42" s="1304"/>
      <c r="K42" s="1304"/>
      <c r="L42" s="1304"/>
      <c r="M42" s="1304"/>
      <c r="N42" s="1304"/>
      <c r="O42" s="1304"/>
      <c r="P42" s="1304"/>
      <c r="Q42" s="1305"/>
      <c r="R42" s="932" t="s">
        <v>32</v>
      </c>
      <c r="S42" s="933"/>
      <c r="T42" s="933"/>
      <c r="U42" s="933"/>
      <c r="V42" s="1303"/>
      <c r="W42" s="1304"/>
      <c r="X42" s="1304"/>
      <c r="Y42" s="1304"/>
      <c r="Z42" s="1304"/>
      <c r="AA42" s="1304"/>
      <c r="AB42" s="1304"/>
      <c r="AC42" s="1304"/>
      <c r="AD42" s="1304"/>
      <c r="AE42" s="1304"/>
      <c r="AF42" s="1304"/>
      <c r="AG42" s="1305"/>
      <c r="AH42" s="518"/>
      <c r="AJ42" s="595"/>
    </row>
    <row r="43" spans="1:36" x14ac:dyDescent="0.45">
      <c r="A43" s="518"/>
      <c r="B43" s="518"/>
      <c r="C43" s="518"/>
      <c r="D43" s="518"/>
      <c r="E43" s="518"/>
      <c r="F43" s="518"/>
      <c r="G43" s="518"/>
      <c r="H43" s="518"/>
      <c r="I43" s="518"/>
      <c r="J43" s="518"/>
      <c r="K43" s="518"/>
      <c r="L43" s="518"/>
      <c r="M43" s="518"/>
      <c r="N43" s="518"/>
      <c r="O43" s="518"/>
      <c r="P43" s="518"/>
      <c r="Q43" s="518"/>
      <c r="R43" s="518"/>
      <c r="S43" s="518"/>
      <c r="T43" s="518"/>
      <c r="U43" s="518"/>
      <c r="V43" s="518"/>
      <c r="W43" s="518"/>
      <c r="X43" s="518"/>
      <c r="Y43" s="518"/>
      <c r="Z43" s="518"/>
      <c r="AA43" s="518"/>
      <c r="AB43" s="518"/>
      <c r="AC43" s="518"/>
      <c r="AD43" s="518"/>
      <c r="AE43" s="518"/>
      <c r="AF43" s="518"/>
      <c r="AG43" s="518"/>
      <c r="AH43" s="518"/>
      <c r="AJ43" s="595"/>
    </row>
    <row r="44" spans="1:36" hidden="1" x14ac:dyDescent="0.45">
      <c r="A44" s="518"/>
      <c r="B44" s="580"/>
      <c r="C44" s="518"/>
      <c r="D44" s="518"/>
      <c r="E44" s="518"/>
      <c r="F44" s="518"/>
      <c r="G44" s="518"/>
      <c r="H44" s="518"/>
      <c r="I44" s="518"/>
      <c r="J44" s="518"/>
      <c r="K44" s="518"/>
      <c r="L44" s="518"/>
      <c r="M44" s="518"/>
      <c r="N44" s="518"/>
      <c r="O44" s="518"/>
      <c r="P44" s="518"/>
      <c r="Q44" s="518"/>
      <c r="R44" s="518"/>
      <c r="S44" s="518"/>
      <c r="T44" s="518"/>
      <c r="U44" s="518"/>
      <c r="V44" s="518"/>
      <c r="W44" s="518"/>
      <c r="X44" s="518"/>
      <c r="Y44" s="518"/>
      <c r="Z44" s="518"/>
      <c r="AA44" s="518"/>
      <c r="AB44" s="518"/>
      <c r="AC44" s="518"/>
      <c r="AD44" s="518"/>
      <c r="AE44" s="518"/>
      <c r="AF44" s="518"/>
      <c r="AG44" s="518"/>
      <c r="AH44" s="518"/>
      <c r="AJ44" s="595" t="b">
        <f>AND(
APP_ApplyingForCalHome="Yes",
CH_ER_EligibleApplicant)</f>
        <v>0</v>
      </c>
    </row>
    <row r="45" spans="1:36" hidden="1" x14ac:dyDescent="0.45">
      <c r="A45" s="532"/>
      <c r="B45" s="579" t="s">
        <v>42</v>
      </c>
      <c r="C45" s="518"/>
      <c r="D45" s="518"/>
      <c r="E45" s="518"/>
      <c r="F45" s="518"/>
      <c r="G45" s="518"/>
      <c r="H45" s="518"/>
      <c r="I45" s="518"/>
      <c r="J45" s="518"/>
      <c r="K45" s="518"/>
      <c r="L45" s="518"/>
      <c r="M45" s="518"/>
      <c r="N45" s="518"/>
      <c r="O45" s="518"/>
      <c r="P45" s="518"/>
      <c r="Q45" s="518"/>
      <c r="R45" s="518"/>
      <c r="S45" s="518"/>
      <c r="T45" s="518"/>
      <c r="U45" s="518"/>
      <c r="V45" s="518"/>
      <c r="W45" s="518"/>
      <c r="X45" s="518"/>
      <c r="Y45" s="518"/>
      <c r="Z45" s="518"/>
      <c r="AA45" s="518"/>
      <c r="AB45" s="518"/>
      <c r="AC45" s="518"/>
      <c r="AD45" s="518"/>
      <c r="AE45" s="518"/>
      <c r="AF45" s="518"/>
      <c r="AG45" s="518"/>
      <c r="AH45" s="518"/>
      <c r="AJ45" s="595"/>
    </row>
    <row r="46" spans="1:36" hidden="1" x14ac:dyDescent="0.45">
      <c r="A46" s="518"/>
      <c r="B46" s="518"/>
      <c r="C46" s="518"/>
      <c r="D46" s="518"/>
      <c r="E46" s="518"/>
      <c r="F46" s="518"/>
      <c r="G46" s="518"/>
      <c r="H46" s="518"/>
      <c r="I46" s="518"/>
      <c r="J46" s="518"/>
      <c r="K46" s="518"/>
      <c r="L46" s="518"/>
      <c r="M46" s="518"/>
      <c r="N46" s="518"/>
      <c r="O46" s="518"/>
      <c r="P46" s="518"/>
      <c r="Q46" s="518"/>
      <c r="R46" s="518"/>
      <c r="S46" s="518"/>
      <c r="T46" s="518"/>
      <c r="U46" s="518"/>
      <c r="V46" s="518"/>
      <c r="W46" s="518"/>
      <c r="X46" s="518"/>
      <c r="Y46" s="518"/>
      <c r="Z46" s="518"/>
      <c r="AA46" s="518"/>
      <c r="AB46" s="518"/>
      <c r="AC46" s="518"/>
      <c r="AD46" s="518"/>
      <c r="AE46" s="518"/>
      <c r="AF46" s="518"/>
      <c r="AG46" s="518"/>
      <c r="AH46" s="518"/>
      <c r="AJ46" s="595"/>
    </row>
    <row r="47" spans="1:36" s="585" customFormat="1" ht="28" hidden="1" customHeight="1" x14ac:dyDescent="0.35">
      <c r="A47" s="529"/>
      <c r="B47" s="1266">
        <v>1</v>
      </c>
      <c r="C47" s="1267"/>
      <c r="D47" s="1122" t="s">
        <v>43</v>
      </c>
      <c r="E47" s="1122"/>
      <c r="F47" s="1122"/>
      <c r="G47" s="1122"/>
      <c r="H47" s="1122"/>
      <c r="I47" s="1122"/>
      <c r="J47" s="1122"/>
      <c r="K47" s="1122"/>
      <c r="L47" s="1122"/>
      <c r="M47" s="1122"/>
      <c r="N47" s="1122"/>
      <c r="O47" s="1122"/>
      <c r="P47" s="1122"/>
      <c r="Q47" s="1122"/>
      <c r="R47" s="1122"/>
      <c r="S47" s="1122"/>
      <c r="T47" s="1122"/>
      <c r="U47" s="1122"/>
      <c r="V47" s="1122"/>
      <c r="W47" s="1122"/>
      <c r="X47" s="1122"/>
      <c r="Y47" s="1122"/>
      <c r="Z47" s="1122"/>
      <c r="AA47" s="1122"/>
      <c r="AB47" s="1122"/>
      <c r="AC47" s="1122"/>
      <c r="AD47" s="1122"/>
      <c r="AE47" s="519"/>
      <c r="AF47" s="1123"/>
      <c r="AG47" s="1123"/>
      <c r="AH47" s="529"/>
      <c r="AI47" s="599"/>
      <c r="AJ47" s="596"/>
    </row>
    <row r="48" spans="1:36" s="585" customFormat="1" hidden="1" x14ac:dyDescent="0.35">
      <c r="A48" s="529"/>
      <c r="B48" s="1263">
        <v>2</v>
      </c>
      <c r="C48" s="1317"/>
      <c r="D48" s="1125" t="s">
        <v>44</v>
      </c>
      <c r="E48" s="1125"/>
      <c r="F48" s="1125"/>
      <c r="G48" s="1125"/>
      <c r="H48" s="1125"/>
      <c r="I48" s="1125"/>
      <c r="J48" s="1125"/>
      <c r="K48" s="1125"/>
      <c r="L48" s="1125"/>
      <c r="M48" s="1125"/>
      <c r="N48" s="1125"/>
      <c r="O48" s="1125"/>
      <c r="P48" s="1125"/>
      <c r="Q48" s="1125"/>
      <c r="R48" s="1125"/>
      <c r="S48" s="1125"/>
      <c r="T48" s="1125"/>
      <c r="U48" s="1125"/>
      <c r="V48" s="1125"/>
      <c r="W48" s="1125"/>
      <c r="X48" s="1125"/>
      <c r="Y48" s="1125"/>
      <c r="Z48" s="1125"/>
      <c r="AA48" s="1125"/>
      <c r="AB48" s="1125"/>
      <c r="AC48" s="1125"/>
      <c r="AD48" s="1125"/>
      <c r="AE48" s="520"/>
      <c r="AF48" s="1123"/>
      <c r="AG48" s="1123"/>
      <c r="AH48" s="529"/>
      <c r="AI48" s="599"/>
      <c r="AJ48" s="596"/>
    </row>
    <row r="49" spans="1:36" s="585" customFormat="1" ht="28" hidden="1" customHeight="1" x14ac:dyDescent="0.35">
      <c r="A49" s="529"/>
      <c r="B49" s="1266">
        <v>3</v>
      </c>
      <c r="C49" s="1267"/>
      <c r="D49" s="1122" t="s">
        <v>45</v>
      </c>
      <c r="E49" s="1122"/>
      <c r="F49" s="1122"/>
      <c r="G49" s="1122"/>
      <c r="H49" s="1122"/>
      <c r="I49" s="1122"/>
      <c r="J49" s="1122"/>
      <c r="K49" s="1122"/>
      <c r="L49" s="1122"/>
      <c r="M49" s="1122"/>
      <c r="N49" s="1122"/>
      <c r="O49" s="1122"/>
      <c r="P49" s="1122"/>
      <c r="Q49" s="1122"/>
      <c r="R49" s="1122"/>
      <c r="S49" s="1122"/>
      <c r="T49" s="1122"/>
      <c r="U49" s="1122"/>
      <c r="V49" s="1122"/>
      <c r="W49" s="1122"/>
      <c r="X49" s="1122"/>
      <c r="Y49" s="1122"/>
      <c r="Z49" s="1122"/>
      <c r="AA49" s="1122"/>
      <c r="AB49" s="1122"/>
      <c r="AC49" s="1122"/>
      <c r="AD49" s="1122"/>
      <c r="AE49" s="519"/>
      <c r="AF49" s="1123"/>
      <c r="AG49" s="1123"/>
      <c r="AH49" s="529"/>
      <c r="AI49" s="599"/>
      <c r="AJ49" s="596"/>
    </row>
    <row r="50" spans="1:36" s="585" customFormat="1" ht="28" hidden="1" customHeight="1" x14ac:dyDescent="0.35">
      <c r="A50" s="529"/>
      <c r="B50" s="1266">
        <v>4</v>
      </c>
      <c r="C50" s="1267"/>
      <c r="D50" s="1122" t="s">
        <v>46</v>
      </c>
      <c r="E50" s="1122"/>
      <c r="F50" s="1122"/>
      <c r="G50" s="1122"/>
      <c r="H50" s="1122"/>
      <c r="I50" s="1122"/>
      <c r="J50" s="1122"/>
      <c r="K50" s="1122"/>
      <c r="L50" s="1122"/>
      <c r="M50" s="1122"/>
      <c r="N50" s="1122"/>
      <c r="O50" s="1122"/>
      <c r="P50" s="1122"/>
      <c r="Q50" s="1122"/>
      <c r="R50" s="1122"/>
      <c r="S50" s="1122"/>
      <c r="T50" s="1122"/>
      <c r="U50" s="1122"/>
      <c r="V50" s="1122"/>
      <c r="W50" s="1122"/>
      <c r="X50" s="1122"/>
      <c r="Y50" s="1122"/>
      <c r="Z50" s="1122"/>
      <c r="AA50" s="1122"/>
      <c r="AB50" s="1122"/>
      <c r="AC50" s="1122"/>
      <c r="AD50" s="1122"/>
      <c r="AE50" s="519"/>
      <c r="AF50" s="1123"/>
      <c r="AG50" s="1123"/>
      <c r="AH50" s="529"/>
      <c r="AI50" s="599"/>
      <c r="AJ50" s="596"/>
    </row>
    <row r="51" spans="1:36" s="585" customFormat="1" ht="41.5" hidden="1" customHeight="1" x14ac:dyDescent="0.35">
      <c r="A51" s="529"/>
      <c r="B51" s="1266">
        <v>5</v>
      </c>
      <c r="C51" s="1267"/>
      <c r="D51" s="1122" t="s">
        <v>47</v>
      </c>
      <c r="E51" s="1122"/>
      <c r="F51" s="1122"/>
      <c r="G51" s="1122"/>
      <c r="H51" s="1122"/>
      <c r="I51" s="1122"/>
      <c r="J51" s="1122"/>
      <c r="K51" s="1122"/>
      <c r="L51" s="1122"/>
      <c r="M51" s="1122"/>
      <c r="N51" s="1122"/>
      <c r="O51" s="1122"/>
      <c r="P51" s="1122"/>
      <c r="Q51" s="1122"/>
      <c r="R51" s="1122"/>
      <c r="S51" s="1122"/>
      <c r="T51" s="1122"/>
      <c r="U51" s="1122"/>
      <c r="V51" s="1122"/>
      <c r="W51" s="1122"/>
      <c r="X51" s="1122"/>
      <c r="Y51" s="1122"/>
      <c r="Z51" s="1122"/>
      <c r="AA51" s="1122"/>
      <c r="AB51" s="1122"/>
      <c r="AC51" s="1122"/>
      <c r="AD51" s="1122"/>
      <c r="AE51" s="519"/>
      <c r="AF51" s="1123"/>
      <c r="AG51" s="1123"/>
      <c r="AH51" s="529"/>
      <c r="AI51" s="599"/>
      <c r="AJ51" s="596"/>
    </row>
    <row r="52" spans="1:36" s="585" customFormat="1" ht="28" hidden="1" customHeight="1" x14ac:dyDescent="0.35">
      <c r="A52" s="529"/>
      <c r="B52" s="1266">
        <v>6</v>
      </c>
      <c r="C52" s="1267"/>
      <c r="D52" s="1122" t="s">
        <v>48</v>
      </c>
      <c r="E52" s="1122"/>
      <c r="F52" s="1122"/>
      <c r="G52" s="1122"/>
      <c r="H52" s="1122"/>
      <c r="I52" s="1122"/>
      <c r="J52" s="1122"/>
      <c r="K52" s="1122"/>
      <c r="L52" s="1122"/>
      <c r="M52" s="1122"/>
      <c r="N52" s="1122"/>
      <c r="O52" s="1122"/>
      <c r="P52" s="1122"/>
      <c r="Q52" s="1122"/>
      <c r="R52" s="1122"/>
      <c r="S52" s="1122"/>
      <c r="T52" s="1122"/>
      <c r="U52" s="1122"/>
      <c r="V52" s="1122"/>
      <c r="W52" s="1122"/>
      <c r="X52" s="1122"/>
      <c r="Y52" s="1122"/>
      <c r="Z52" s="1122"/>
      <c r="AA52" s="1122"/>
      <c r="AB52" s="1122"/>
      <c r="AC52" s="1122"/>
      <c r="AD52" s="1122"/>
      <c r="AE52" s="519"/>
      <c r="AF52" s="1123"/>
      <c r="AG52" s="1123"/>
      <c r="AH52" s="529"/>
      <c r="AI52" s="599"/>
      <c r="AJ52" s="596"/>
    </row>
    <row r="53" spans="1:36" s="585" customFormat="1" ht="28" hidden="1" customHeight="1" x14ac:dyDescent="0.35">
      <c r="A53" s="529"/>
      <c r="B53" s="1266">
        <v>7</v>
      </c>
      <c r="C53" s="1267"/>
      <c r="D53" s="1122" t="s">
        <v>49</v>
      </c>
      <c r="E53" s="1122"/>
      <c r="F53" s="1122"/>
      <c r="G53" s="1122"/>
      <c r="H53" s="1122"/>
      <c r="I53" s="1122"/>
      <c r="J53" s="1122"/>
      <c r="K53" s="1122"/>
      <c r="L53" s="1122"/>
      <c r="M53" s="1122"/>
      <c r="N53" s="1122"/>
      <c r="O53" s="1122"/>
      <c r="P53" s="1122"/>
      <c r="Q53" s="1122"/>
      <c r="R53" s="1122"/>
      <c r="S53" s="1122"/>
      <c r="T53" s="1122"/>
      <c r="U53" s="1122"/>
      <c r="V53" s="1122"/>
      <c r="W53" s="1122"/>
      <c r="X53" s="1122"/>
      <c r="Y53" s="1122"/>
      <c r="Z53" s="1122"/>
      <c r="AA53" s="1122"/>
      <c r="AB53" s="1122"/>
      <c r="AC53" s="1122"/>
      <c r="AD53" s="1122"/>
      <c r="AE53" s="519"/>
      <c r="AF53" s="1123"/>
      <c r="AG53" s="1123"/>
      <c r="AH53" s="529"/>
      <c r="AI53" s="599"/>
      <c r="AJ53" s="596"/>
    </row>
    <row r="54" spans="1:36" s="585" customFormat="1" ht="28" hidden="1" customHeight="1" x14ac:dyDescent="0.35">
      <c r="A54" s="529"/>
      <c r="B54" s="1266">
        <v>8</v>
      </c>
      <c r="C54" s="1267"/>
      <c r="D54" s="1122" t="s">
        <v>50</v>
      </c>
      <c r="E54" s="1122"/>
      <c r="F54" s="1122"/>
      <c r="G54" s="1122"/>
      <c r="H54" s="1122"/>
      <c r="I54" s="1122"/>
      <c r="J54" s="1122"/>
      <c r="K54" s="1122"/>
      <c r="L54" s="1122"/>
      <c r="M54" s="1122"/>
      <c r="N54" s="1122"/>
      <c r="O54" s="1122"/>
      <c r="P54" s="1122"/>
      <c r="Q54" s="1122"/>
      <c r="R54" s="1122"/>
      <c r="S54" s="1122"/>
      <c r="T54" s="1122"/>
      <c r="U54" s="1122"/>
      <c r="V54" s="1122"/>
      <c r="W54" s="1122"/>
      <c r="X54" s="1122"/>
      <c r="Y54" s="1122"/>
      <c r="Z54" s="1122"/>
      <c r="AA54" s="1122"/>
      <c r="AB54" s="1122"/>
      <c r="AC54" s="1122"/>
      <c r="AD54" s="1122"/>
      <c r="AE54" s="519"/>
      <c r="AF54" s="1123"/>
      <c r="AG54" s="1123"/>
      <c r="AH54" s="529"/>
      <c r="AI54" s="599"/>
      <c r="AJ54" s="596"/>
    </row>
    <row r="55" spans="1:36" s="585" customFormat="1" ht="28" hidden="1" customHeight="1" x14ac:dyDescent="0.35">
      <c r="A55" s="529"/>
      <c r="B55" s="1266">
        <v>9</v>
      </c>
      <c r="C55" s="1267"/>
      <c r="D55" s="1122" t="s">
        <v>51</v>
      </c>
      <c r="E55" s="1122"/>
      <c r="F55" s="1122"/>
      <c r="G55" s="1122"/>
      <c r="H55" s="1122"/>
      <c r="I55" s="1122"/>
      <c r="J55" s="1122"/>
      <c r="K55" s="1122"/>
      <c r="L55" s="1122"/>
      <c r="M55" s="1122"/>
      <c r="N55" s="1122"/>
      <c r="O55" s="1122"/>
      <c r="P55" s="1122"/>
      <c r="Q55" s="1122"/>
      <c r="R55" s="1122"/>
      <c r="S55" s="1122"/>
      <c r="T55" s="1122"/>
      <c r="U55" s="1122"/>
      <c r="V55" s="1122"/>
      <c r="W55" s="1122"/>
      <c r="X55" s="1122"/>
      <c r="Y55" s="1122"/>
      <c r="Z55" s="1122"/>
      <c r="AA55" s="1122"/>
      <c r="AB55" s="1122"/>
      <c r="AC55" s="1122"/>
      <c r="AD55" s="1122"/>
      <c r="AE55" s="519"/>
      <c r="AF55" s="1123"/>
      <c r="AG55" s="1123"/>
      <c r="AH55" s="529"/>
      <c r="AI55" s="599"/>
      <c r="AJ55" s="596"/>
    </row>
    <row r="56" spans="1:36" s="585" customFormat="1" ht="66.650000000000006" hidden="1" customHeight="1" x14ac:dyDescent="0.35">
      <c r="A56" s="529"/>
      <c r="B56" s="1266">
        <v>10</v>
      </c>
      <c r="C56" s="1267"/>
      <c r="D56" s="1122" t="s">
        <v>52</v>
      </c>
      <c r="E56" s="1122"/>
      <c r="F56" s="1122"/>
      <c r="G56" s="1122"/>
      <c r="H56" s="1122"/>
      <c r="I56" s="1122"/>
      <c r="J56" s="1122"/>
      <c r="K56" s="1122"/>
      <c r="L56" s="1122"/>
      <c r="M56" s="1122"/>
      <c r="N56" s="1122"/>
      <c r="O56" s="1122"/>
      <c r="P56" s="1122"/>
      <c r="Q56" s="1122"/>
      <c r="R56" s="1122"/>
      <c r="S56" s="1122"/>
      <c r="T56" s="1122"/>
      <c r="U56" s="1122"/>
      <c r="V56" s="1122"/>
      <c r="W56" s="1122"/>
      <c r="X56" s="1122"/>
      <c r="Y56" s="1122"/>
      <c r="Z56" s="1122"/>
      <c r="AA56" s="1122"/>
      <c r="AB56" s="1122"/>
      <c r="AC56" s="1122"/>
      <c r="AD56" s="1122"/>
      <c r="AE56" s="521"/>
      <c r="AF56" s="1190"/>
      <c r="AG56" s="1191"/>
      <c r="AH56" s="529"/>
      <c r="AI56" s="599"/>
      <c r="AJ56" s="596"/>
    </row>
    <row r="57" spans="1:36" s="585" customFormat="1" ht="41.15" hidden="1" customHeight="1" x14ac:dyDescent="0.35">
      <c r="A57" s="529"/>
      <c r="B57" s="1262">
        <v>11</v>
      </c>
      <c r="C57" s="1263"/>
      <c r="D57" s="1264" t="s">
        <v>53</v>
      </c>
      <c r="E57" s="1265"/>
      <c r="F57" s="1265"/>
      <c r="G57" s="1265"/>
      <c r="H57" s="1265"/>
      <c r="I57" s="1265"/>
      <c r="J57" s="1265"/>
      <c r="K57" s="1265"/>
      <c r="L57" s="1265"/>
      <c r="M57" s="1265"/>
      <c r="N57" s="1265"/>
      <c r="O57" s="1265"/>
      <c r="P57" s="1265"/>
      <c r="Q57" s="1265"/>
      <c r="R57" s="1265"/>
      <c r="S57" s="1265"/>
      <c r="T57" s="1265"/>
      <c r="U57" s="1265"/>
      <c r="V57" s="1265"/>
      <c r="W57" s="1265"/>
      <c r="X57" s="1265"/>
      <c r="Y57" s="1265"/>
      <c r="Z57" s="1265"/>
      <c r="AA57" s="1265"/>
      <c r="AB57" s="1265"/>
      <c r="AC57" s="1265"/>
      <c r="AD57" s="1124"/>
      <c r="AE57" s="587"/>
      <c r="AF57" s="1123"/>
      <c r="AG57" s="1123"/>
      <c r="AH57" s="529"/>
      <c r="AI57" s="599"/>
      <c r="AJ57" s="596"/>
    </row>
    <row r="58" spans="1:36" s="585" customFormat="1" ht="28" hidden="1" customHeight="1" x14ac:dyDescent="0.35">
      <c r="A58" s="529"/>
      <c r="B58" s="1266">
        <v>12</v>
      </c>
      <c r="C58" s="1267"/>
      <c r="D58" s="1122" t="s">
        <v>54</v>
      </c>
      <c r="E58" s="1122"/>
      <c r="F58" s="1122"/>
      <c r="G58" s="1122"/>
      <c r="H58" s="1122"/>
      <c r="I58" s="1122"/>
      <c r="J58" s="1122"/>
      <c r="K58" s="1122"/>
      <c r="L58" s="1122"/>
      <c r="M58" s="1122"/>
      <c r="N58" s="1122"/>
      <c r="O58" s="1122"/>
      <c r="P58" s="1122"/>
      <c r="Q58" s="1122"/>
      <c r="R58" s="1122"/>
      <c r="S58" s="1122"/>
      <c r="T58" s="1122"/>
      <c r="U58" s="1122"/>
      <c r="V58" s="1122"/>
      <c r="W58" s="1122"/>
      <c r="X58" s="1122"/>
      <c r="Y58" s="1122"/>
      <c r="Z58" s="1122"/>
      <c r="AA58" s="1122"/>
      <c r="AB58" s="1122"/>
      <c r="AC58" s="1122"/>
      <c r="AD58" s="1122"/>
      <c r="AE58" s="519"/>
      <c r="AF58" s="1123"/>
      <c r="AG58" s="1123"/>
      <c r="AH58" s="529"/>
      <c r="AI58" s="599"/>
      <c r="AJ58" s="596"/>
    </row>
    <row r="59" spans="1:36" s="585" customFormat="1" ht="54.65" hidden="1" customHeight="1" x14ac:dyDescent="0.35">
      <c r="A59" s="529"/>
      <c r="B59" s="1266">
        <v>13</v>
      </c>
      <c r="C59" s="1267"/>
      <c r="D59" s="1122" t="s">
        <v>55</v>
      </c>
      <c r="E59" s="1122"/>
      <c r="F59" s="1122"/>
      <c r="G59" s="1122"/>
      <c r="H59" s="1122"/>
      <c r="I59" s="1122"/>
      <c r="J59" s="1122"/>
      <c r="K59" s="1122"/>
      <c r="L59" s="1122"/>
      <c r="M59" s="1122"/>
      <c r="N59" s="1122"/>
      <c r="O59" s="1122"/>
      <c r="P59" s="1122"/>
      <c r="Q59" s="1122"/>
      <c r="R59" s="1122"/>
      <c r="S59" s="1122"/>
      <c r="T59" s="1122"/>
      <c r="U59" s="1122"/>
      <c r="V59" s="1122"/>
      <c r="W59" s="1122"/>
      <c r="X59" s="1122"/>
      <c r="Y59" s="1122"/>
      <c r="Z59" s="1122"/>
      <c r="AA59" s="1122"/>
      <c r="AB59" s="1122"/>
      <c r="AC59" s="1122"/>
      <c r="AD59" s="1122"/>
      <c r="AE59" s="521"/>
      <c r="AF59" s="1190"/>
      <c r="AG59" s="1191"/>
      <c r="AH59" s="529"/>
      <c r="AI59" s="599"/>
      <c r="AJ59" s="596"/>
    </row>
    <row r="60" spans="1:36" s="585" customFormat="1" ht="28" hidden="1" customHeight="1" x14ac:dyDescent="0.35">
      <c r="A60" s="529"/>
      <c r="B60" s="1266">
        <v>14</v>
      </c>
      <c r="C60" s="1267"/>
      <c r="D60" s="1122" t="s">
        <v>56</v>
      </c>
      <c r="E60" s="1122"/>
      <c r="F60" s="1122"/>
      <c r="G60" s="1122"/>
      <c r="H60" s="1122"/>
      <c r="I60" s="1122"/>
      <c r="J60" s="1122"/>
      <c r="K60" s="1122"/>
      <c r="L60" s="1122"/>
      <c r="M60" s="1122"/>
      <c r="N60" s="1122"/>
      <c r="O60" s="1122"/>
      <c r="P60" s="1122"/>
      <c r="Q60" s="1122"/>
      <c r="R60" s="1122"/>
      <c r="S60" s="1122"/>
      <c r="T60" s="1122"/>
      <c r="U60" s="1122"/>
      <c r="V60" s="1122"/>
      <c r="W60" s="1122"/>
      <c r="X60" s="1122"/>
      <c r="Y60" s="1122"/>
      <c r="Z60" s="1122"/>
      <c r="AA60" s="1122"/>
      <c r="AB60" s="1122"/>
      <c r="AC60" s="1122"/>
      <c r="AD60" s="1122"/>
      <c r="AE60" s="519"/>
      <c r="AF60" s="1123"/>
      <c r="AG60" s="1123"/>
      <c r="AH60" s="529"/>
      <c r="AI60" s="599"/>
      <c r="AJ60" s="596"/>
    </row>
    <row r="61" spans="1:36" s="585" customFormat="1" ht="28" hidden="1" customHeight="1" x14ac:dyDescent="0.35">
      <c r="A61" s="529"/>
      <c r="B61" s="1263">
        <v>15</v>
      </c>
      <c r="C61" s="1317"/>
      <c r="D61" s="1125" t="s">
        <v>57</v>
      </c>
      <c r="E61" s="1125"/>
      <c r="F61" s="1125"/>
      <c r="G61" s="1125"/>
      <c r="H61" s="1125"/>
      <c r="I61" s="1125"/>
      <c r="J61" s="1125"/>
      <c r="K61" s="1125"/>
      <c r="L61" s="1125"/>
      <c r="M61" s="1125"/>
      <c r="N61" s="1125"/>
      <c r="O61" s="1125"/>
      <c r="P61" s="1125"/>
      <c r="Q61" s="1125"/>
      <c r="R61" s="1125"/>
      <c r="S61" s="1125"/>
      <c r="T61" s="1125"/>
      <c r="U61" s="1125"/>
      <c r="V61" s="1125"/>
      <c r="W61" s="1125"/>
      <c r="X61" s="1125"/>
      <c r="Y61" s="1125"/>
      <c r="Z61" s="1125"/>
      <c r="AA61" s="1125"/>
      <c r="AB61" s="1125"/>
      <c r="AC61" s="1125"/>
      <c r="AD61" s="1125"/>
      <c r="AE61" s="572"/>
      <c r="AF61" s="1123"/>
      <c r="AG61" s="1123"/>
      <c r="AH61" s="529"/>
      <c r="AI61" s="599"/>
      <c r="AJ61" s="596"/>
    </row>
    <row r="62" spans="1:36" hidden="1" x14ac:dyDescent="0.45">
      <c r="A62" s="518"/>
      <c r="B62" s="523"/>
      <c r="C62" s="523"/>
      <c r="D62" s="522"/>
      <c r="E62" s="522"/>
      <c r="F62" s="522"/>
      <c r="G62" s="522"/>
      <c r="H62" s="522"/>
      <c r="I62" s="522"/>
      <c r="J62" s="522"/>
      <c r="K62" s="522"/>
      <c r="L62" s="522"/>
      <c r="M62" s="522"/>
      <c r="N62" s="522"/>
      <c r="O62" s="522"/>
      <c r="P62" s="522"/>
      <c r="Q62" s="522"/>
      <c r="R62" s="522"/>
      <c r="S62" s="522"/>
      <c r="T62" s="522"/>
      <c r="U62" s="522"/>
      <c r="V62" s="522"/>
      <c r="W62" s="522"/>
      <c r="X62" s="522"/>
      <c r="Y62" s="522"/>
      <c r="Z62" s="522"/>
      <c r="AA62" s="522"/>
      <c r="AB62" s="522"/>
      <c r="AC62" s="522"/>
      <c r="AD62" s="522"/>
      <c r="AE62" s="522"/>
      <c r="AF62" s="524"/>
      <c r="AG62" s="524"/>
      <c r="AH62" s="518"/>
      <c r="AJ62" s="595"/>
    </row>
    <row r="63" spans="1:36" hidden="1" x14ac:dyDescent="0.45">
      <c r="A63" s="518"/>
      <c r="B63" s="518"/>
      <c r="C63" s="518"/>
      <c r="D63" s="518"/>
      <c r="E63" s="518"/>
      <c r="F63" s="518"/>
      <c r="G63" s="518"/>
      <c r="H63" s="518"/>
      <c r="I63" s="518"/>
      <c r="J63" s="518"/>
      <c r="K63" s="518"/>
      <c r="L63" s="518"/>
      <c r="M63" s="518"/>
      <c r="N63" s="518"/>
      <c r="O63" s="518"/>
      <c r="P63" s="518"/>
      <c r="Q63" s="518"/>
      <c r="R63" s="518"/>
      <c r="S63" s="518"/>
      <c r="T63" s="518"/>
      <c r="U63" s="518"/>
      <c r="V63" s="518"/>
      <c r="W63" s="518"/>
      <c r="X63" s="518"/>
      <c r="Y63" s="518"/>
      <c r="Z63" s="518"/>
      <c r="AA63" s="518"/>
      <c r="AB63" s="518"/>
      <c r="AC63" s="518"/>
      <c r="AD63" s="518"/>
      <c r="AE63" s="518"/>
      <c r="AF63" s="518"/>
      <c r="AG63" s="518"/>
      <c r="AH63" s="518"/>
      <c r="AJ63" s="595" t="b">
        <f>AND(
APP_ApplyingForCalHome="Yes",
CH_ER_EligibleApplicant,
APP_Applicant1Type="Non-Profit Corporation")</f>
        <v>0</v>
      </c>
    </row>
    <row r="64" spans="1:36" hidden="1" x14ac:dyDescent="0.45">
      <c r="A64" s="518"/>
      <c r="B64" s="907" t="s">
        <v>25</v>
      </c>
      <c r="C64" s="907"/>
      <c r="D64" s="907"/>
      <c r="E64" s="907"/>
      <c r="F64" s="907"/>
      <c r="G64" s="907"/>
      <c r="H64" s="907"/>
      <c r="I64" s="907"/>
      <c r="J64" s="907"/>
      <c r="K64" s="907"/>
      <c r="L64" s="907"/>
      <c r="M64" s="907"/>
      <c r="N64" s="907"/>
      <c r="O64" s="907"/>
      <c r="P64" s="907"/>
      <c r="Q64" s="907"/>
      <c r="R64" s="907"/>
      <c r="S64" s="907"/>
      <c r="T64" s="907"/>
      <c r="U64" s="907"/>
      <c r="V64" s="907"/>
      <c r="W64" s="907"/>
      <c r="X64" s="907"/>
      <c r="Y64" s="907"/>
      <c r="Z64" s="907"/>
      <c r="AA64" s="907"/>
      <c r="AB64" s="907"/>
      <c r="AC64" s="907"/>
      <c r="AD64" s="907"/>
      <c r="AE64" s="907"/>
      <c r="AF64" s="907"/>
      <c r="AG64" s="907"/>
      <c r="AH64" s="518"/>
      <c r="AJ64" s="595"/>
    </row>
    <row r="65" spans="1:36" hidden="1" x14ac:dyDescent="0.45">
      <c r="A65" s="518"/>
      <c r="B65" s="907" t="s">
        <v>58</v>
      </c>
      <c r="C65" s="907"/>
      <c r="D65" s="907"/>
      <c r="E65" s="907"/>
      <c r="F65" s="907"/>
      <c r="G65" s="907"/>
      <c r="H65" s="907"/>
      <c r="I65" s="907"/>
      <c r="J65" s="907"/>
      <c r="K65" s="907"/>
      <c r="L65" s="907"/>
      <c r="M65" s="907"/>
      <c r="N65" s="907"/>
      <c r="O65" s="907"/>
      <c r="P65" s="907"/>
      <c r="Q65" s="907"/>
      <c r="R65" s="907"/>
      <c r="S65" s="907"/>
      <c r="T65" s="907"/>
      <c r="U65" s="907"/>
      <c r="V65" s="907"/>
      <c r="W65" s="907"/>
      <c r="X65" s="907"/>
      <c r="Y65" s="907"/>
      <c r="Z65" s="907"/>
      <c r="AA65" s="907"/>
      <c r="AB65" s="907"/>
      <c r="AC65" s="907"/>
      <c r="AD65" s="907"/>
      <c r="AE65" s="907"/>
      <c r="AF65" s="907"/>
      <c r="AG65" s="907"/>
      <c r="AH65" s="518"/>
      <c r="AJ65" s="595"/>
    </row>
    <row r="66" spans="1:36" hidden="1" x14ac:dyDescent="0.45">
      <c r="A66" s="518"/>
      <c r="B66" s="518"/>
      <c r="C66" s="518"/>
      <c r="D66" s="518"/>
      <c r="E66" s="518"/>
      <c r="F66" s="518"/>
      <c r="G66" s="518"/>
      <c r="H66" s="518"/>
      <c r="I66" s="518"/>
      <c r="J66" s="518"/>
      <c r="K66" s="518"/>
      <c r="L66" s="518"/>
      <c r="M66" s="518"/>
      <c r="N66" s="518"/>
      <c r="O66" s="518"/>
      <c r="P66" s="518"/>
      <c r="Q66" s="518"/>
      <c r="R66" s="518"/>
      <c r="S66" s="518"/>
      <c r="T66" s="518"/>
      <c r="U66" s="518"/>
      <c r="V66" s="518"/>
      <c r="W66" s="518"/>
      <c r="X66" s="518"/>
      <c r="Y66" s="518"/>
      <c r="Z66" s="518"/>
      <c r="AA66" s="518"/>
      <c r="AB66" s="518"/>
      <c r="AC66" s="518"/>
      <c r="AD66" s="518"/>
      <c r="AE66" s="518"/>
      <c r="AF66" s="518"/>
      <c r="AG66" s="518"/>
      <c r="AH66" s="518"/>
      <c r="AJ66" s="595"/>
    </row>
    <row r="67" spans="1:36" ht="27.65" hidden="1" customHeight="1" x14ac:dyDescent="0.45">
      <c r="A67" s="518"/>
      <c r="B67" s="1255">
        <v>1</v>
      </c>
      <c r="C67" s="1256"/>
      <c r="D67" s="1122" t="s">
        <v>59</v>
      </c>
      <c r="E67" s="1122"/>
      <c r="F67" s="1122"/>
      <c r="G67" s="1122"/>
      <c r="H67" s="1122"/>
      <c r="I67" s="1122"/>
      <c r="J67" s="1122"/>
      <c r="K67" s="1122"/>
      <c r="L67" s="1122"/>
      <c r="M67" s="1122"/>
      <c r="N67" s="1122"/>
      <c r="O67" s="1122"/>
      <c r="P67" s="1122"/>
      <c r="Q67" s="1122"/>
      <c r="R67" s="1122"/>
      <c r="S67" s="1122"/>
      <c r="T67" s="1122"/>
      <c r="U67" s="1122"/>
      <c r="V67" s="1122"/>
      <c r="W67" s="1122"/>
      <c r="X67" s="1122"/>
      <c r="Y67" s="1122"/>
      <c r="Z67" s="1122"/>
      <c r="AA67" s="1122"/>
      <c r="AB67" s="1122"/>
      <c r="AC67" s="1122"/>
      <c r="AD67" s="1122"/>
      <c r="AE67" s="519"/>
      <c r="AF67" s="1123"/>
      <c r="AG67" s="1123"/>
      <c r="AH67" s="518"/>
      <c r="AJ67" s="595"/>
    </row>
    <row r="68" spans="1:36" ht="42.65" hidden="1" customHeight="1" x14ac:dyDescent="0.45">
      <c r="A68" s="518"/>
      <c r="B68" s="1255">
        <v>2</v>
      </c>
      <c r="C68" s="1256"/>
      <c r="D68" s="1122" t="s">
        <v>60</v>
      </c>
      <c r="E68" s="1122"/>
      <c r="F68" s="1122"/>
      <c r="G68" s="1122"/>
      <c r="H68" s="1122"/>
      <c r="I68" s="1122"/>
      <c r="J68" s="1122"/>
      <c r="K68" s="1122"/>
      <c r="L68" s="1122"/>
      <c r="M68" s="1122"/>
      <c r="N68" s="1122"/>
      <c r="O68" s="1122"/>
      <c r="P68" s="1122"/>
      <c r="Q68" s="1122"/>
      <c r="R68" s="1122"/>
      <c r="S68" s="1122"/>
      <c r="T68" s="1122"/>
      <c r="U68" s="1122"/>
      <c r="V68" s="1122"/>
      <c r="W68" s="1122"/>
      <c r="X68" s="1122"/>
      <c r="Y68" s="1122"/>
      <c r="Z68" s="1122"/>
      <c r="AA68" s="1122"/>
      <c r="AB68" s="1122"/>
      <c r="AC68" s="1122"/>
      <c r="AD68" s="1122"/>
      <c r="AE68" s="521"/>
      <c r="AF68" s="1257"/>
      <c r="AG68" s="1191"/>
      <c r="AH68" s="518"/>
      <c r="AJ68" s="595"/>
    </row>
    <row r="69" spans="1:36" ht="27.65" hidden="1" customHeight="1" x14ac:dyDescent="0.45">
      <c r="A69" s="518"/>
      <c r="B69" s="1258">
        <v>3</v>
      </c>
      <c r="C69" s="1259"/>
      <c r="D69" s="1125" t="s">
        <v>61</v>
      </c>
      <c r="E69" s="1125"/>
      <c r="F69" s="1125"/>
      <c r="G69" s="1125"/>
      <c r="H69" s="1125"/>
      <c r="I69" s="1125"/>
      <c r="J69" s="1125"/>
      <c r="K69" s="1125"/>
      <c r="L69" s="1125"/>
      <c r="M69" s="1125"/>
      <c r="N69" s="1125"/>
      <c r="O69" s="1125"/>
      <c r="P69" s="1125"/>
      <c r="Q69" s="1125"/>
      <c r="R69" s="1125"/>
      <c r="S69" s="1125"/>
      <c r="T69" s="1125"/>
      <c r="U69" s="1125"/>
      <c r="V69" s="1125"/>
      <c r="W69" s="1125"/>
      <c r="X69" s="1125"/>
      <c r="Y69" s="1125"/>
      <c r="Z69" s="1125"/>
      <c r="AA69" s="1125"/>
      <c r="AB69" s="1125"/>
      <c r="AC69" s="1125"/>
      <c r="AD69" s="1125"/>
      <c r="AE69" s="572"/>
      <c r="AF69" s="1123"/>
      <c r="AG69" s="1123"/>
      <c r="AH69" s="518"/>
      <c r="AJ69" s="595"/>
    </row>
    <row r="70" spans="1:36" hidden="1" x14ac:dyDescent="0.45">
      <c r="A70" s="518"/>
      <c r="B70" s="523"/>
      <c r="C70" s="523"/>
      <c r="D70" s="522"/>
      <c r="E70" s="522"/>
      <c r="F70" s="522"/>
      <c r="G70" s="522"/>
      <c r="H70" s="522"/>
      <c r="I70" s="522"/>
      <c r="J70" s="522"/>
      <c r="K70" s="522"/>
      <c r="L70" s="522"/>
      <c r="M70" s="522"/>
      <c r="N70" s="522"/>
      <c r="O70" s="522"/>
      <c r="P70" s="522"/>
      <c r="Q70" s="522"/>
      <c r="R70" s="522"/>
      <c r="S70" s="522"/>
      <c r="T70" s="522"/>
      <c r="U70" s="522"/>
      <c r="V70" s="522"/>
      <c r="W70" s="522"/>
      <c r="X70" s="522"/>
      <c r="Y70" s="522"/>
      <c r="Z70" s="522"/>
      <c r="AA70" s="522"/>
      <c r="AB70" s="522"/>
      <c r="AC70" s="522"/>
      <c r="AD70" s="522"/>
      <c r="AE70" s="522"/>
      <c r="AF70" s="524"/>
      <c r="AG70" s="524"/>
      <c r="AH70" s="518"/>
      <c r="AJ70" s="595"/>
    </row>
    <row r="71" spans="1:36" hidden="1" x14ac:dyDescent="0.45">
      <c r="A71" s="518"/>
      <c r="B71" s="1269" t="str">
        <f>IF(CH_ER_EligibleApplicant,"APPLICANT IS ELIGIBLE","APPLICANT IS NOT ELIGIBLE")</f>
        <v>APPLICANT IS NOT ELIGIBLE</v>
      </c>
      <c r="C71" s="1269"/>
      <c r="D71" s="1269"/>
      <c r="E71" s="1269"/>
      <c r="F71" s="1269"/>
      <c r="G71" s="1269"/>
      <c r="H71" s="1269"/>
      <c r="I71" s="1269"/>
      <c r="J71" s="1269"/>
      <c r="K71" s="1269"/>
      <c r="L71" s="1269"/>
      <c r="M71" s="1269"/>
      <c r="N71" s="1269"/>
      <c r="O71" s="1269"/>
      <c r="P71" s="1269"/>
      <c r="Q71" s="1269"/>
      <c r="R71" s="1269"/>
      <c r="S71" s="1269"/>
      <c r="T71" s="1269"/>
      <c r="U71" s="1269"/>
      <c r="V71" s="1269"/>
      <c r="W71" s="1269"/>
      <c r="X71" s="1269"/>
      <c r="Y71" s="1269"/>
      <c r="Z71" s="1269"/>
      <c r="AA71" s="1269"/>
      <c r="AB71" s="1269"/>
      <c r="AC71" s="1269"/>
      <c r="AD71" s="1269"/>
      <c r="AE71" s="525"/>
      <c r="AF71" s="1180"/>
      <c r="AG71" s="1180"/>
      <c r="AH71" s="518"/>
      <c r="AJ71" s="595"/>
    </row>
    <row r="72" spans="1:36" hidden="1" x14ac:dyDescent="0.45">
      <c r="A72" s="518"/>
      <c r="B72" s="518"/>
      <c r="C72" s="518"/>
      <c r="D72" s="518"/>
      <c r="E72" s="518"/>
      <c r="F72" s="518"/>
      <c r="G72" s="518"/>
      <c r="H72" s="518"/>
      <c r="I72" s="518"/>
      <c r="J72" s="518"/>
      <c r="K72" s="518"/>
      <c r="L72" s="518"/>
      <c r="M72" s="518"/>
      <c r="N72" s="518"/>
      <c r="O72" s="518"/>
      <c r="P72" s="518"/>
      <c r="Q72" s="518"/>
      <c r="R72" s="518"/>
      <c r="S72" s="518"/>
      <c r="T72" s="518"/>
      <c r="U72" s="518"/>
      <c r="V72" s="518"/>
      <c r="W72" s="518"/>
      <c r="X72" s="518"/>
      <c r="Y72" s="518"/>
      <c r="Z72" s="518"/>
      <c r="AA72" s="518"/>
      <c r="AB72" s="518"/>
      <c r="AC72" s="518"/>
      <c r="AD72" s="518"/>
      <c r="AE72" s="518"/>
      <c r="AF72" s="518"/>
      <c r="AG72" s="518"/>
      <c r="AH72" s="518"/>
      <c r="AJ72" s="595"/>
    </row>
    <row r="73" spans="1:36" hidden="1" x14ac:dyDescent="0.45">
      <c r="A73" s="518"/>
      <c r="B73" s="518"/>
      <c r="C73" s="518"/>
      <c r="D73" s="518"/>
      <c r="E73" s="518"/>
      <c r="F73" s="518"/>
      <c r="G73" s="518"/>
      <c r="H73" s="518"/>
      <c r="I73" s="518"/>
      <c r="J73" s="518"/>
      <c r="K73" s="518"/>
      <c r="L73" s="518"/>
      <c r="M73" s="518"/>
      <c r="N73" s="518"/>
      <c r="O73" s="518"/>
      <c r="P73" s="518"/>
      <c r="Q73" s="518"/>
      <c r="R73" s="518"/>
      <c r="S73" s="518"/>
      <c r="T73" s="518"/>
      <c r="U73" s="518"/>
      <c r="V73" s="518"/>
      <c r="W73" s="518"/>
      <c r="X73" s="518"/>
      <c r="Y73" s="518"/>
      <c r="Z73" s="518"/>
      <c r="AA73" s="518"/>
      <c r="AB73" s="518"/>
      <c r="AC73" s="518"/>
      <c r="AD73" s="518"/>
      <c r="AE73" s="518"/>
      <c r="AF73" s="518"/>
      <c r="AG73" s="518"/>
      <c r="AH73" s="518"/>
      <c r="AJ73" s="595" t="b">
        <f>AND(
APP_ApplyingForCalHome="Yes",
CH_ER_EligibleApplicant,
OR(
APP_Applicant1Type="County Government (All Departments)",
APP_Applicant1Type="City Government (All Departments)",
APP_Applicant1Type="Local Public Housing Authority",
APP_Applicant1Type="Local Public Redevelopment Agency",
APP_Applicant1Type="Other Local Public Entity/Agency"))</f>
        <v>0</v>
      </c>
    </row>
    <row r="74" spans="1:36" hidden="1" x14ac:dyDescent="0.45">
      <c r="A74" s="518"/>
      <c r="B74" s="907" t="s">
        <v>25</v>
      </c>
      <c r="C74" s="907"/>
      <c r="D74" s="907"/>
      <c r="E74" s="907"/>
      <c r="F74" s="907"/>
      <c r="G74" s="907"/>
      <c r="H74" s="907"/>
      <c r="I74" s="907"/>
      <c r="J74" s="907"/>
      <c r="K74" s="907"/>
      <c r="L74" s="907"/>
      <c r="M74" s="907"/>
      <c r="N74" s="907"/>
      <c r="O74" s="907"/>
      <c r="P74" s="907"/>
      <c r="Q74" s="907"/>
      <c r="R74" s="907"/>
      <c r="S74" s="907"/>
      <c r="T74" s="907"/>
      <c r="U74" s="907"/>
      <c r="V74" s="907"/>
      <c r="W74" s="907"/>
      <c r="X74" s="907"/>
      <c r="Y74" s="907"/>
      <c r="Z74" s="907"/>
      <c r="AA74" s="907"/>
      <c r="AB74" s="907"/>
      <c r="AC74" s="907"/>
      <c r="AD74" s="907"/>
      <c r="AE74" s="907"/>
      <c r="AF74" s="907"/>
      <c r="AG74" s="907"/>
      <c r="AH74" s="518"/>
      <c r="AJ74" s="595"/>
    </row>
    <row r="75" spans="1:36" hidden="1" x14ac:dyDescent="0.45">
      <c r="A75" s="518"/>
      <c r="B75" s="907" t="s">
        <v>62</v>
      </c>
      <c r="C75" s="907"/>
      <c r="D75" s="907"/>
      <c r="E75" s="907"/>
      <c r="F75" s="907"/>
      <c r="G75" s="907"/>
      <c r="H75" s="907"/>
      <c r="I75" s="907"/>
      <c r="J75" s="907"/>
      <c r="K75" s="907"/>
      <c r="L75" s="907"/>
      <c r="M75" s="907"/>
      <c r="N75" s="907"/>
      <c r="O75" s="907"/>
      <c r="P75" s="907"/>
      <c r="Q75" s="907"/>
      <c r="R75" s="907"/>
      <c r="S75" s="907"/>
      <c r="T75" s="907"/>
      <c r="U75" s="907"/>
      <c r="V75" s="907"/>
      <c r="W75" s="907"/>
      <c r="X75" s="907"/>
      <c r="Y75" s="907"/>
      <c r="Z75" s="907"/>
      <c r="AA75" s="907"/>
      <c r="AB75" s="907"/>
      <c r="AC75" s="907"/>
      <c r="AD75" s="907"/>
      <c r="AE75" s="907"/>
      <c r="AF75" s="907"/>
      <c r="AG75" s="907"/>
      <c r="AH75" s="518"/>
      <c r="AJ75" s="595"/>
    </row>
    <row r="76" spans="1:36" hidden="1" x14ac:dyDescent="0.45">
      <c r="A76" s="518"/>
      <c r="B76" s="518"/>
      <c r="C76" s="518"/>
      <c r="D76" s="518"/>
      <c r="E76" s="518"/>
      <c r="F76" s="518"/>
      <c r="G76" s="518"/>
      <c r="H76" s="518"/>
      <c r="I76" s="518"/>
      <c r="J76" s="518"/>
      <c r="K76" s="518"/>
      <c r="L76" s="518"/>
      <c r="M76" s="518"/>
      <c r="N76" s="518"/>
      <c r="O76" s="518"/>
      <c r="P76" s="518"/>
      <c r="Q76" s="518"/>
      <c r="R76" s="518"/>
      <c r="S76" s="518"/>
      <c r="T76" s="518"/>
      <c r="U76" s="518"/>
      <c r="V76" s="518"/>
      <c r="W76" s="518"/>
      <c r="X76" s="518"/>
      <c r="Y76" s="518"/>
      <c r="Z76" s="518"/>
      <c r="AA76" s="518"/>
      <c r="AB76" s="518"/>
      <c r="AC76" s="518"/>
      <c r="AD76" s="518"/>
      <c r="AE76" s="518"/>
      <c r="AF76" s="518"/>
      <c r="AG76" s="518"/>
      <c r="AH76" s="518"/>
      <c r="AJ76" s="595"/>
    </row>
    <row r="77" spans="1:36" ht="28.5" hidden="1" customHeight="1" x14ac:dyDescent="0.45">
      <c r="A77" s="518"/>
      <c r="B77" s="1255">
        <v>1</v>
      </c>
      <c r="C77" s="1256"/>
      <c r="D77" s="1122" t="s">
        <v>63</v>
      </c>
      <c r="E77" s="1122"/>
      <c r="F77" s="1122"/>
      <c r="G77" s="1122"/>
      <c r="H77" s="1122"/>
      <c r="I77" s="1122"/>
      <c r="J77" s="1122"/>
      <c r="K77" s="1122"/>
      <c r="L77" s="1122"/>
      <c r="M77" s="1122"/>
      <c r="N77" s="1122"/>
      <c r="O77" s="1122"/>
      <c r="P77" s="1122"/>
      <c r="Q77" s="1122"/>
      <c r="R77" s="1122"/>
      <c r="S77" s="1122"/>
      <c r="T77" s="1122"/>
      <c r="U77" s="1122"/>
      <c r="V77" s="1122"/>
      <c r="W77" s="1122"/>
      <c r="X77" s="1122"/>
      <c r="Y77" s="1122"/>
      <c r="Z77" s="1122"/>
      <c r="AA77" s="1122"/>
      <c r="AB77" s="1122"/>
      <c r="AC77" s="1122"/>
      <c r="AD77" s="1122"/>
      <c r="AE77" s="519"/>
      <c r="AF77" s="1123"/>
      <c r="AG77" s="1123"/>
      <c r="AH77" s="518"/>
      <c r="AJ77" s="595"/>
    </row>
    <row r="78" spans="1:36" ht="28.5" hidden="1" customHeight="1" x14ac:dyDescent="0.45">
      <c r="A78" s="518"/>
      <c r="B78" s="1255">
        <v>2</v>
      </c>
      <c r="C78" s="1256"/>
      <c r="D78" s="1125" t="s">
        <v>64</v>
      </c>
      <c r="E78" s="1125"/>
      <c r="F78" s="1125"/>
      <c r="G78" s="1125"/>
      <c r="H78" s="1125"/>
      <c r="I78" s="1125"/>
      <c r="J78" s="1125"/>
      <c r="K78" s="1125"/>
      <c r="L78" s="1125"/>
      <c r="M78" s="1125"/>
      <c r="N78" s="1125"/>
      <c r="O78" s="1125"/>
      <c r="P78" s="1125"/>
      <c r="Q78" s="1125"/>
      <c r="R78" s="1125"/>
      <c r="S78" s="1125"/>
      <c r="T78" s="1125"/>
      <c r="U78" s="1125"/>
      <c r="V78" s="1125"/>
      <c r="W78" s="1125"/>
      <c r="X78" s="1125"/>
      <c r="Y78" s="1125"/>
      <c r="Z78" s="1125"/>
      <c r="AA78" s="1125"/>
      <c r="AB78" s="1125"/>
      <c r="AC78" s="1125"/>
      <c r="AD78" s="1125"/>
      <c r="AE78" s="521"/>
      <c r="AF78" s="1257"/>
      <c r="AG78" s="1191"/>
      <c r="AH78" s="518"/>
      <c r="AJ78" s="595"/>
    </row>
    <row r="79" spans="1:36" ht="40" hidden="1" customHeight="1" x14ac:dyDescent="0.45">
      <c r="A79" s="518"/>
      <c r="B79" s="1255">
        <v>3</v>
      </c>
      <c r="C79" s="1256"/>
      <c r="D79" s="1122" t="s">
        <v>65</v>
      </c>
      <c r="E79" s="1122"/>
      <c r="F79" s="1122"/>
      <c r="G79" s="1122"/>
      <c r="H79" s="1122"/>
      <c r="I79" s="1122"/>
      <c r="J79" s="1122"/>
      <c r="K79" s="1122"/>
      <c r="L79" s="1122"/>
      <c r="M79" s="1122"/>
      <c r="N79" s="1122"/>
      <c r="O79" s="1122"/>
      <c r="P79" s="1122"/>
      <c r="Q79" s="1122"/>
      <c r="R79" s="1122"/>
      <c r="S79" s="1122"/>
      <c r="T79" s="1122"/>
      <c r="U79" s="1122"/>
      <c r="V79" s="1122"/>
      <c r="W79" s="1122"/>
      <c r="X79" s="1122"/>
      <c r="Y79" s="1122"/>
      <c r="Z79" s="1122"/>
      <c r="AA79" s="1122"/>
      <c r="AB79" s="1122"/>
      <c r="AC79" s="1122"/>
      <c r="AD79" s="1122"/>
      <c r="AE79" s="519"/>
      <c r="AF79" s="1123"/>
      <c r="AG79" s="1123"/>
      <c r="AH79" s="518"/>
      <c r="AJ79" s="595"/>
    </row>
    <row r="80" spans="1:36" ht="28.5" hidden="1" customHeight="1" x14ac:dyDescent="0.45">
      <c r="A80" s="518"/>
      <c r="B80" s="1258">
        <v>4</v>
      </c>
      <c r="C80" s="1259"/>
      <c r="D80" s="1125" t="s">
        <v>1792</v>
      </c>
      <c r="E80" s="1125"/>
      <c r="F80" s="1125"/>
      <c r="G80" s="1125"/>
      <c r="H80" s="1125"/>
      <c r="I80" s="1125"/>
      <c r="J80" s="1125"/>
      <c r="K80" s="1125"/>
      <c r="L80" s="1125"/>
      <c r="M80" s="1125"/>
      <c r="N80" s="1125"/>
      <c r="O80" s="1125"/>
      <c r="P80" s="1125"/>
      <c r="Q80" s="1125"/>
      <c r="R80" s="1125"/>
      <c r="S80" s="1125"/>
      <c r="T80" s="1125"/>
      <c r="U80" s="1125"/>
      <c r="V80" s="1125"/>
      <c r="W80" s="1125"/>
      <c r="X80" s="1125"/>
      <c r="Y80" s="1125"/>
      <c r="Z80" s="1125"/>
      <c r="AA80" s="1125"/>
      <c r="AB80" s="1125"/>
      <c r="AC80" s="1125"/>
      <c r="AD80" s="1125"/>
      <c r="AE80" s="572"/>
      <c r="AF80" s="1123"/>
      <c r="AG80" s="1123"/>
      <c r="AH80" s="518"/>
      <c r="AJ80" s="595"/>
    </row>
    <row r="81" spans="1:36" hidden="1" x14ac:dyDescent="0.45">
      <c r="A81" s="518"/>
      <c r="B81" s="518"/>
      <c r="C81" s="518"/>
      <c r="D81" s="518"/>
      <c r="E81" s="518"/>
      <c r="F81" s="518"/>
      <c r="G81" s="518"/>
      <c r="H81" s="518"/>
      <c r="I81" s="518"/>
      <c r="J81" s="518"/>
      <c r="K81" s="518"/>
      <c r="L81" s="518"/>
      <c r="M81" s="518"/>
      <c r="N81" s="518"/>
      <c r="O81" s="518"/>
      <c r="P81" s="518"/>
      <c r="Q81" s="518"/>
      <c r="R81" s="518"/>
      <c r="S81" s="518"/>
      <c r="T81" s="518"/>
      <c r="U81" s="518"/>
      <c r="V81" s="518"/>
      <c r="W81" s="518"/>
      <c r="X81" s="518"/>
      <c r="Y81" s="518"/>
      <c r="Z81" s="518"/>
      <c r="AA81" s="518"/>
      <c r="AB81" s="518"/>
      <c r="AC81" s="518"/>
      <c r="AD81" s="518"/>
      <c r="AE81" s="518"/>
      <c r="AF81" s="518"/>
      <c r="AG81" s="518"/>
      <c r="AH81" s="518"/>
      <c r="AJ81" s="595"/>
    </row>
    <row r="82" spans="1:36" hidden="1" x14ac:dyDescent="0.45">
      <c r="A82" s="518"/>
      <c r="B82" s="1269" t="str">
        <f>IF(CH_ER_EligibleApplicant,"APPLICANT IS ELIGIBLE","APPLICANT IS NOT ELIGIBLE")</f>
        <v>APPLICANT IS NOT ELIGIBLE</v>
      </c>
      <c r="C82" s="1269"/>
      <c r="D82" s="1269"/>
      <c r="E82" s="1269"/>
      <c r="F82" s="1269"/>
      <c r="G82" s="1269"/>
      <c r="H82" s="1269"/>
      <c r="I82" s="1269"/>
      <c r="J82" s="1269"/>
      <c r="K82" s="1269"/>
      <c r="L82" s="1269"/>
      <c r="M82" s="1269"/>
      <c r="N82" s="1269"/>
      <c r="O82" s="1269"/>
      <c r="P82" s="1269"/>
      <c r="Q82" s="1269"/>
      <c r="R82" s="1269"/>
      <c r="S82" s="1269"/>
      <c r="T82" s="1269"/>
      <c r="U82" s="1269"/>
      <c r="V82" s="1269"/>
      <c r="W82" s="1269"/>
      <c r="X82" s="1269"/>
      <c r="Y82" s="1269"/>
      <c r="Z82" s="1269"/>
      <c r="AA82" s="1269"/>
      <c r="AB82" s="1269"/>
      <c r="AC82" s="1269"/>
      <c r="AD82" s="1269"/>
      <c r="AE82" s="525"/>
      <c r="AF82" s="1180" t="b">
        <v>1</v>
      </c>
      <c r="AG82" s="1180"/>
      <c r="AH82" s="518"/>
      <c r="AJ82" s="595"/>
    </row>
    <row r="83" spans="1:36" hidden="1" x14ac:dyDescent="0.45">
      <c r="A83" s="518"/>
      <c r="B83" s="518"/>
      <c r="C83" s="518"/>
      <c r="D83" s="518"/>
      <c r="E83" s="518"/>
      <c r="F83" s="518"/>
      <c r="G83" s="518"/>
      <c r="H83" s="518"/>
      <c r="I83" s="518"/>
      <c r="J83" s="518"/>
      <c r="K83" s="518"/>
      <c r="L83" s="518"/>
      <c r="M83" s="518"/>
      <c r="N83" s="518"/>
      <c r="O83" s="518"/>
      <c r="P83" s="518"/>
      <c r="Q83" s="518"/>
      <c r="R83" s="518"/>
      <c r="S83" s="518"/>
      <c r="T83" s="518"/>
      <c r="U83" s="518"/>
      <c r="V83" s="518"/>
      <c r="W83" s="518"/>
      <c r="X83" s="518"/>
      <c r="Y83" s="518"/>
      <c r="Z83" s="518"/>
      <c r="AA83" s="518"/>
      <c r="AB83" s="518"/>
      <c r="AC83" s="518"/>
      <c r="AD83" s="518"/>
      <c r="AE83" s="518"/>
      <c r="AF83" s="518"/>
      <c r="AG83" s="518"/>
      <c r="AH83" s="518"/>
      <c r="AJ83" s="595"/>
    </row>
    <row r="84" spans="1:36" hidden="1" x14ac:dyDescent="0.45">
      <c r="A84" s="518"/>
      <c r="B84" s="518"/>
      <c r="C84" s="518"/>
      <c r="D84" s="518"/>
      <c r="E84" s="518"/>
      <c r="F84" s="518"/>
      <c r="G84" s="518"/>
      <c r="H84" s="518"/>
      <c r="I84" s="518"/>
      <c r="J84" s="518"/>
      <c r="K84" s="518"/>
      <c r="L84" s="518"/>
      <c r="M84" s="518"/>
      <c r="N84" s="518"/>
      <c r="O84" s="518"/>
      <c r="P84" s="518"/>
      <c r="Q84" s="518"/>
      <c r="R84" s="518"/>
      <c r="S84" s="518"/>
      <c r="T84" s="518"/>
      <c r="U84" s="518"/>
      <c r="V84" s="518"/>
      <c r="W84" s="518"/>
      <c r="X84" s="518"/>
      <c r="Y84" s="518"/>
      <c r="Z84" s="518"/>
      <c r="AA84" s="518"/>
      <c r="AB84" s="518"/>
      <c r="AC84" s="518"/>
      <c r="AD84" s="518"/>
      <c r="AE84" s="518"/>
      <c r="AF84" s="518"/>
      <c r="AG84" s="518"/>
      <c r="AH84" s="518"/>
      <c r="AJ84" s="595" t="b">
        <f>AND(
APP_ApplyingForCalHome="Yes",
CH_ER_EligibleApplicant,
APP_Applicant1Type="Community-Based Developer")</f>
        <v>0</v>
      </c>
    </row>
    <row r="85" spans="1:36" hidden="1" x14ac:dyDescent="0.45">
      <c r="A85" s="518"/>
      <c r="B85" s="579" t="s">
        <v>1855</v>
      </c>
      <c r="C85" s="532"/>
      <c r="D85" s="518"/>
      <c r="E85" s="518"/>
      <c r="F85" s="518"/>
      <c r="G85" s="518"/>
      <c r="H85" s="518"/>
      <c r="I85" s="518"/>
      <c r="J85" s="518"/>
      <c r="K85" s="518"/>
      <c r="L85" s="518"/>
      <c r="M85" s="518"/>
      <c r="N85" s="518"/>
      <c r="O85" s="518"/>
      <c r="P85" s="518"/>
      <c r="Q85" s="518"/>
      <c r="R85" s="518"/>
      <c r="S85" s="518"/>
      <c r="T85" s="518"/>
      <c r="U85" s="518"/>
      <c r="V85" s="518"/>
      <c r="W85" s="518"/>
      <c r="X85" s="518"/>
      <c r="Y85" s="518"/>
      <c r="Z85" s="518"/>
      <c r="AA85" s="518"/>
      <c r="AB85" s="518"/>
      <c r="AC85" s="518"/>
      <c r="AD85" s="518"/>
      <c r="AE85" s="518"/>
      <c r="AF85" s="518"/>
      <c r="AG85" s="518"/>
      <c r="AJ85" s="595"/>
    </row>
    <row r="86" spans="1:36" hidden="1" x14ac:dyDescent="0.45">
      <c r="A86" s="518"/>
      <c r="B86" s="518"/>
      <c r="C86" s="518"/>
      <c r="D86" s="518"/>
      <c r="E86" s="518"/>
      <c r="F86" s="518"/>
      <c r="G86" s="518"/>
      <c r="H86" s="518"/>
      <c r="I86" s="518"/>
      <c r="J86" s="518"/>
      <c r="K86" s="518"/>
      <c r="L86" s="518"/>
      <c r="M86" s="518"/>
      <c r="N86" s="518"/>
      <c r="O86" s="518"/>
      <c r="P86" s="518"/>
      <c r="Q86" s="518"/>
      <c r="R86" s="518"/>
      <c r="S86" s="518"/>
      <c r="T86" s="518"/>
      <c r="U86" s="518"/>
      <c r="V86" s="518"/>
      <c r="W86" s="518"/>
      <c r="X86" s="518"/>
      <c r="Y86" s="518"/>
      <c r="Z86" s="518"/>
      <c r="AA86" s="518"/>
      <c r="AB86" s="518"/>
      <c r="AC86" s="518"/>
      <c r="AD86" s="518"/>
      <c r="AE86" s="518"/>
      <c r="AF86" s="518"/>
      <c r="AG86" s="518"/>
      <c r="AH86" s="518"/>
      <c r="AJ86" s="595"/>
    </row>
    <row r="87" spans="1:36" ht="40" hidden="1" customHeight="1" x14ac:dyDescent="0.45">
      <c r="A87" s="518"/>
      <c r="B87" s="1310">
        <v>1</v>
      </c>
      <c r="C87" s="1311"/>
      <c r="D87" s="1264" t="s">
        <v>67</v>
      </c>
      <c r="E87" s="1265"/>
      <c r="F87" s="1265"/>
      <c r="G87" s="1265"/>
      <c r="H87" s="1265"/>
      <c r="I87" s="1265"/>
      <c r="J87" s="1265"/>
      <c r="K87" s="1265"/>
      <c r="L87" s="1265"/>
      <c r="M87" s="1265"/>
      <c r="N87" s="1265"/>
      <c r="O87" s="1265"/>
      <c r="P87" s="1265"/>
      <c r="Q87" s="1265"/>
      <c r="R87" s="1265"/>
      <c r="S87" s="1265"/>
      <c r="T87" s="1265"/>
      <c r="U87" s="1265"/>
      <c r="V87" s="1265"/>
      <c r="W87" s="1265"/>
      <c r="X87" s="1265"/>
      <c r="Y87" s="1265"/>
      <c r="Z87" s="1265"/>
      <c r="AA87" s="1265"/>
      <c r="AB87" s="1265"/>
      <c r="AC87" s="1265"/>
      <c r="AD87" s="1124"/>
      <c r="AE87" s="521"/>
      <c r="AF87" s="1123"/>
      <c r="AG87" s="1123"/>
      <c r="AJ87" s="595"/>
    </row>
    <row r="88" spans="1:36" ht="40" hidden="1" customHeight="1" x14ac:dyDescent="0.45">
      <c r="A88" s="518"/>
      <c r="B88" s="1310">
        <v>2</v>
      </c>
      <c r="C88" s="1311"/>
      <c r="D88" s="1264" t="s">
        <v>68</v>
      </c>
      <c r="E88" s="1265"/>
      <c r="F88" s="1265"/>
      <c r="G88" s="1265"/>
      <c r="H88" s="1265"/>
      <c r="I88" s="1265"/>
      <c r="J88" s="1265"/>
      <c r="K88" s="1265"/>
      <c r="L88" s="1265"/>
      <c r="M88" s="1265"/>
      <c r="N88" s="1265"/>
      <c r="O88" s="1265"/>
      <c r="P88" s="1265"/>
      <c r="Q88" s="1265"/>
      <c r="R88" s="1265"/>
      <c r="S88" s="1265"/>
      <c r="T88" s="1265"/>
      <c r="U88" s="1265"/>
      <c r="V88" s="1265"/>
      <c r="W88" s="1265"/>
      <c r="X88" s="1265"/>
      <c r="Y88" s="1265"/>
      <c r="Z88" s="1265"/>
      <c r="AA88" s="1265"/>
      <c r="AB88" s="1265"/>
      <c r="AC88" s="1265"/>
      <c r="AD88" s="1124"/>
      <c r="AE88" s="521"/>
      <c r="AF88" s="1123"/>
      <c r="AG88" s="1123"/>
      <c r="AJ88" s="595"/>
    </row>
    <row r="89" spans="1:36" ht="40" hidden="1" customHeight="1" x14ac:dyDescent="0.45">
      <c r="A89" s="518"/>
      <c r="B89" s="1310">
        <v>3</v>
      </c>
      <c r="C89" s="1311"/>
      <c r="D89" s="1264" t="s">
        <v>69</v>
      </c>
      <c r="E89" s="1265"/>
      <c r="F89" s="1265"/>
      <c r="G89" s="1265"/>
      <c r="H89" s="1265"/>
      <c r="I89" s="1265"/>
      <c r="J89" s="1265"/>
      <c r="K89" s="1265"/>
      <c r="L89" s="1265"/>
      <c r="M89" s="1265"/>
      <c r="N89" s="1265"/>
      <c r="O89" s="1265"/>
      <c r="P89" s="1265"/>
      <c r="Q89" s="1265"/>
      <c r="R89" s="1265"/>
      <c r="S89" s="1265"/>
      <c r="T89" s="1265"/>
      <c r="U89" s="1265"/>
      <c r="V89" s="1265"/>
      <c r="W89" s="1265"/>
      <c r="X89" s="1265"/>
      <c r="Y89" s="1265"/>
      <c r="Z89" s="1265"/>
      <c r="AA89" s="1265"/>
      <c r="AB89" s="1265"/>
      <c r="AC89" s="1265"/>
      <c r="AD89" s="1124"/>
      <c r="AE89" s="521"/>
      <c r="AF89" s="1123"/>
      <c r="AG89" s="1123"/>
      <c r="AJ89" s="595"/>
    </row>
    <row r="90" spans="1:36" ht="66" hidden="1" customHeight="1" x14ac:dyDescent="0.45">
      <c r="A90" s="518"/>
      <c r="B90" s="1315">
        <v>4</v>
      </c>
      <c r="C90" s="1316"/>
      <c r="D90" s="1122" t="s">
        <v>1781</v>
      </c>
      <c r="E90" s="1122"/>
      <c r="F90" s="1122"/>
      <c r="G90" s="1122"/>
      <c r="H90" s="1122"/>
      <c r="I90" s="1122"/>
      <c r="J90" s="1122"/>
      <c r="K90" s="1122"/>
      <c r="L90" s="1122"/>
      <c r="M90" s="1122"/>
      <c r="N90" s="1122"/>
      <c r="O90" s="1122"/>
      <c r="P90" s="1122"/>
      <c r="Q90" s="1122"/>
      <c r="R90" s="1122"/>
      <c r="S90" s="1122"/>
      <c r="T90" s="1122"/>
      <c r="U90" s="1122"/>
      <c r="V90" s="1122"/>
      <c r="W90" s="1122"/>
      <c r="X90" s="1122"/>
      <c r="Y90" s="1122"/>
      <c r="Z90" s="1122"/>
      <c r="AA90" s="1122"/>
      <c r="AB90" s="1122"/>
      <c r="AC90" s="1122"/>
      <c r="AD90" s="1122"/>
      <c r="AE90" s="519"/>
      <c r="AF90" s="1123"/>
      <c r="AG90" s="1123"/>
      <c r="AJ90" s="595"/>
    </row>
    <row r="91" spans="1:36" ht="54" hidden="1" customHeight="1" x14ac:dyDescent="0.45">
      <c r="A91" s="518"/>
      <c r="B91" s="1315" t="s">
        <v>70</v>
      </c>
      <c r="C91" s="1316"/>
      <c r="D91" s="1316"/>
      <c r="E91" s="1122" t="s">
        <v>1586</v>
      </c>
      <c r="F91" s="1122"/>
      <c r="G91" s="1122"/>
      <c r="H91" s="1122"/>
      <c r="I91" s="1122"/>
      <c r="J91" s="1122"/>
      <c r="K91" s="1122"/>
      <c r="L91" s="1122"/>
      <c r="M91" s="1122"/>
      <c r="N91" s="1122"/>
      <c r="O91" s="1122"/>
      <c r="P91" s="1122"/>
      <c r="Q91" s="1122"/>
      <c r="R91" s="1122"/>
      <c r="S91" s="1122"/>
      <c r="T91" s="1122"/>
      <c r="U91" s="1122"/>
      <c r="V91" s="1122"/>
      <c r="W91" s="1122"/>
      <c r="X91" s="1122"/>
      <c r="Y91" s="1122"/>
      <c r="Z91" s="1122"/>
      <c r="AA91" s="1122"/>
      <c r="AB91" s="1122"/>
      <c r="AC91" s="1122"/>
      <c r="AD91" s="1122"/>
      <c r="AE91" s="519"/>
      <c r="AF91" s="1123"/>
      <c r="AG91" s="1123"/>
      <c r="AJ91" s="595"/>
    </row>
    <row r="92" spans="1:36" ht="66" hidden="1" customHeight="1" x14ac:dyDescent="0.45">
      <c r="A92" s="518"/>
      <c r="B92" s="1315" t="s">
        <v>71</v>
      </c>
      <c r="C92" s="1316"/>
      <c r="D92" s="1316"/>
      <c r="E92" s="1122" t="s">
        <v>1587</v>
      </c>
      <c r="F92" s="1122"/>
      <c r="G92" s="1122"/>
      <c r="H92" s="1122"/>
      <c r="I92" s="1122"/>
      <c r="J92" s="1122"/>
      <c r="K92" s="1122"/>
      <c r="L92" s="1122"/>
      <c r="M92" s="1122"/>
      <c r="N92" s="1122"/>
      <c r="O92" s="1122"/>
      <c r="P92" s="1122"/>
      <c r="Q92" s="1122"/>
      <c r="R92" s="1122"/>
      <c r="S92" s="1122"/>
      <c r="T92" s="1122"/>
      <c r="U92" s="1122"/>
      <c r="V92" s="1122"/>
      <c r="W92" s="1122"/>
      <c r="X92" s="1122"/>
      <c r="Y92" s="1122"/>
      <c r="Z92" s="1122"/>
      <c r="AA92" s="1122"/>
      <c r="AB92" s="1122"/>
      <c r="AC92" s="1122"/>
      <c r="AD92" s="1122"/>
      <c r="AE92" s="519"/>
      <c r="AF92" s="1190"/>
      <c r="AG92" s="1191"/>
      <c r="AJ92" s="595"/>
    </row>
    <row r="93" spans="1:36" ht="40" hidden="1" customHeight="1" x14ac:dyDescent="0.45">
      <c r="A93" s="518"/>
      <c r="B93" s="1315" t="s">
        <v>72</v>
      </c>
      <c r="C93" s="1316"/>
      <c r="D93" s="1316"/>
      <c r="E93" s="1122" t="s">
        <v>1588</v>
      </c>
      <c r="F93" s="1122"/>
      <c r="G93" s="1122"/>
      <c r="H93" s="1122"/>
      <c r="I93" s="1122"/>
      <c r="J93" s="1122"/>
      <c r="K93" s="1122"/>
      <c r="L93" s="1122"/>
      <c r="M93" s="1122"/>
      <c r="N93" s="1122"/>
      <c r="O93" s="1122"/>
      <c r="P93" s="1122"/>
      <c r="Q93" s="1122"/>
      <c r="R93" s="1122"/>
      <c r="S93" s="1122"/>
      <c r="T93" s="1122"/>
      <c r="U93" s="1122"/>
      <c r="V93" s="1122"/>
      <c r="W93" s="1122"/>
      <c r="X93" s="1122"/>
      <c r="Y93" s="1122"/>
      <c r="Z93" s="1122"/>
      <c r="AA93" s="1122"/>
      <c r="AB93" s="1122"/>
      <c r="AC93" s="1122"/>
      <c r="AD93" s="1122"/>
      <c r="AE93" s="519"/>
      <c r="AF93" s="1190"/>
      <c r="AG93" s="1191"/>
      <c r="AJ93" s="595"/>
    </row>
    <row r="94" spans="1:36" ht="78.650000000000006" hidden="1" customHeight="1" x14ac:dyDescent="0.45">
      <c r="A94" s="518"/>
      <c r="B94" s="1315" t="s">
        <v>73</v>
      </c>
      <c r="C94" s="1316"/>
      <c r="D94" s="1316"/>
      <c r="E94" s="1122" t="s">
        <v>1589</v>
      </c>
      <c r="F94" s="1122"/>
      <c r="G94" s="1122"/>
      <c r="H94" s="1122"/>
      <c r="I94" s="1122"/>
      <c r="J94" s="1122"/>
      <c r="K94" s="1122"/>
      <c r="L94" s="1122"/>
      <c r="M94" s="1122"/>
      <c r="N94" s="1122"/>
      <c r="O94" s="1122"/>
      <c r="P94" s="1122"/>
      <c r="Q94" s="1122"/>
      <c r="R94" s="1122"/>
      <c r="S94" s="1122"/>
      <c r="T94" s="1122"/>
      <c r="U94" s="1122"/>
      <c r="V94" s="1122"/>
      <c r="W94" s="1122"/>
      <c r="X94" s="1122"/>
      <c r="Y94" s="1122"/>
      <c r="Z94" s="1122"/>
      <c r="AA94" s="1122"/>
      <c r="AB94" s="1122"/>
      <c r="AC94" s="1122"/>
      <c r="AD94" s="1122"/>
      <c r="AE94" s="519"/>
      <c r="AF94" s="1190"/>
      <c r="AG94" s="1191"/>
      <c r="AJ94" s="595"/>
    </row>
    <row r="95" spans="1:36" ht="66" hidden="1" customHeight="1" x14ac:dyDescent="0.45">
      <c r="A95" s="518"/>
      <c r="B95" s="1315" t="s">
        <v>74</v>
      </c>
      <c r="C95" s="1316"/>
      <c r="D95" s="1316"/>
      <c r="E95" s="1122" t="s">
        <v>1590</v>
      </c>
      <c r="F95" s="1122"/>
      <c r="G95" s="1122"/>
      <c r="H95" s="1122"/>
      <c r="I95" s="1122"/>
      <c r="J95" s="1122"/>
      <c r="K95" s="1122"/>
      <c r="L95" s="1122"/>
      <c r="M95" s="1122"/>
      <c r="N95" s="1122"/>
      <c r="O95" s="1122"/>
      <c r="P95" s="1122"/>
      <c r="Q95" s="1122"/>
      <c r="R95" s="1122"/>
      <c r="S95" s="1122"/>
      <c r="T95" s="1122"/>
      <c r="U95" s="1122"/>
      <c r="V95" s="1122"/>
      <c r="W95" s="1122"/>
      <c r="X95" s="1122"/>
      <c r="Y95" s="1122"/>
      <c r="Z95" s="1122"/>
      <c r="AA95" s="1122"/>
      <c r="AB95" s="1122"/>
      <c r="AC95" s="1122"/>
      <c r="AD95" s="1122"/>
      <c r="AE95" s="519"/>
      <c r="AF95" s="1190"/>
      <c r="AG95" s="1191"/>
      <c r="AJ95" s="595"/>
    </row>
    <row r="96" spans="1:36" ht="40" hidden="1" customHeight="1" x14ac:dyDescent="0.45">
      <c r="A96" s="518"/>
      <c r="B96" s="1315" t="s">
        <v>75</v>
      </c>
      <c r="C96" s="1316"/>
      <c r="D96" s="1316"/>
      <c r="E96" s="1122" t="s">
        <v>1799</v>
      </c>
      <c r="F96" s="1122"/>
      <c r="G96" s="1122"/>
      <c r="H96" s="1122"/>
      <c r="I96" s="1122"/>
      <c r="J96" s="1122"/>
      <c r="K96" s="1122"/>
      <c r="L96" s="1122"/>
      <c r="M96" s="1122"/>
      <c r="N96" s="1122"/>
      <c r="O96" s="1122"/>
      <c r="P96" s="1122"/>
      <c r="Q96" s="1122"/>
      <c r="R96" s="1122"/>
      <c r="S96" s="1122"/>
      <c r="T96" s="1122"/>
      <c r="U96" s="1122"/>
      <c r="V96" s="1122"/>
      <c r="W96" s="1122"/>
      <c r="X96" s="1122"/>
      <c r="Y96" s="1122"/>
      <c r="Z96" s="1122"/>
      <c r="AA96" s="1122"/>
      <c r="AB96" s="1122"/>
      <c r="AC96" s="1122"/>
      <c r="AD96" s="1122"/>
      <c r="AE96" s="519"/>
      <c r="AF96" s="1190"/>
      <c r="AG96" s="1191"/>
      <c r="AJ96" s="595"/>
    </row>
    <row r="97" spans="1:36" ht="40" hidden="1" customHeight="1" x14ac:dyDescent="0.45">
      <c r="A97" s="518"/>
      <c r="B97" s="1311" t="s">
        <v>76</v>
      </c>
      <c r="C97" s="1321"/>
      <c r="D97" s="1321"/>
      <c r="E97" s="1125" t="s">
        <v>77</v>
      </c>
      <c r="F97" s="1125"/>
      <c r="G97" s="1125"/>
      <c r="H97" s="1125"/>
      <c r="I97" s="1125"/>
      <c r="J97" s="1125"/>
      <c r="K97" s="1125"/>
      <c r="L97" s="1125"/>
      <c r="M97" s="1125"/>
      <c r="N97" s="1125"/>
      <c r="O97" s="1125"/>
      <c r="P97" s="1125"/>
      <c r="Q97" s="1125"/>
      <c r="R97" s="1125"/>
      <c r="S97" s="1125"/>
      <c r="T97" s="1125"/>
      <c r="U97" s="1125"/>
      <c r="V97" s="1125"/>
      <c r="W97" s="1125"/>
      <c r="X97" s="1125"/>
      <c r="Y97" s="1125"/>
      <c r="Z97" s="1125"/>
      <c r="AA97" s="1125"/>
      <c r="AB97" s="1125"/>
      <c r="AC97" s="1125"/>
      <c r="AD97" s="1125"/>
      <c r="AE97" s="572"/>
      <c r="AF97" s="1192"/>
      <c r="AG97" s="1193"/>
      <c r="AJ97" s="595"/>
    </row>
    <row r="98" spans="1:36" hidden="1" x14ac:dyDescent="0.45">
      <c r="A98" s="518"/>
      <c r="B98" s="518"/>
      <c r="C98" s="518"/>
      <c r="D98" s="518"/>
      <c r="E98" s="518"/>
      <c r="F98" s="518"/>
      <c r="G98" s="518"/>
      <c r="H98" s="518"/>
      <c r="I98" s="518"/>
      <c r="J98" s="518"/>
      <c r="K98" s="518"/>
      <c r="L98" s="518"/>
      <c r="M98" s="518"/>
      <c r="N98" s="518"/>
      <c r="O98" s="518"/>
      <c r="P98" s="518"/>
      <c r="Q98" s="518"/>
      <c r="R98" s="518"/>
      <c r="S98" s="518"/>
      <c r="T98" s="518"/>
      <c r="U98" s="518"/>
      <c r="V98" s="518"/>
      <c r="W98" s="518"/>
      <c r="X98" s="518"/>
      <c r="Y98" s="518"/>
      <c r="Z98" s="518"/>
      <c r="AA98" s="518"/>
      <c r="AB98" s="518"/>
      <c r="AC98" s="518"/>
      <c r="AD98" s="518"/>
      <c r="AE98" s="518"/>
      <c r="AF98" s="518"/>
      <c r="AG98" s="518"/>
      <c r="AH98" s="518"/>
      <c r="AJ98" s="595"/>
    </row>
    <row r="99" spans="1:36" hidden="1" x14ac:dyDescent="0.45">
      <c r="A99" s="518"/>
      <c r="B99" s="518"/>
      <c r="C99" s="518"/>
      <c r="D99" s="518"/>
      <c r="E99" s="518"/>
      <c r="F99" s="518"/>
      <c r="G99" s="518"/>
      <c r="H99" s="518"/>
      <c r="I99" s="518"/>
      <c r="J99" s="518"/>
      <c r="K99" s="518"/>
      <c r="L99" s="518"/>
      <c r="M99" s="518"/>
      <c r="N99" s="518"/>
      <c r="O99" s="518"/>
      <c r="P99" s="518"/>
      <c r="Q99" s="518"/>
      <c r="R99" s="518"/>
      <c r="S99" s="518"/>
      <c r="T99" s="518"/>
      <c r="U99" s="518"/>
      <c r="V99" s="518"/>
      <c r="W99" s="518"/>
      <c r="X99" s="518"/>
      <c r="Y99" s="518"/>
      <c r="Z99" s="518"/>
      <c r="AA99" s="518"/>
      <c r="AB99" s="518"/>
      <c r="AC99" s="518"/>
      <c r="AD99" s="518"/>
      <c r="AE99" s="518"/>
      <c r="AF99" s="518"/>
      <c r="AG99" s="518"/>
      <c r="AH99" s="518"/>
      <c r="AJ99" s="595"/>
    </row>
    <row r="100" spans="1:36" hidden="1" x14ac:dyDescent="0.45">
      <c r="A100" s="518"/>
      <c r="B100" s="923" t="s">
        <v>1591</v>
      </c>
      <c r="C100" s="923"/>
      <c r="D100" s="923"/>
      <c r="E100" s="923"/>
      <c r="F100" s="923"/>
      <c r="G100" s="923"/>
      <c r="H100" s="923"/>
      <c r="I100" s="923"/>
      <c r="J100" s="923"/>
      <c r="K100" s="923"/>
      <c r="L100" s="923"/>
      <c r="M100" s="923"/>
      <c r="N100" s="923"/>
      <c r="O100" s="923"/>
      <c r="P100" s="923"/>
      <c r="Q100" s="923"/>
      <c r="R100" s="923"/>
      <c r="S100" s="923"/>
      <c r="T100" s="923"/>
      <c r="U100" s="923"/>
      <c r="V100" s="923"/>
      <c r="W100" s="923"/>
      <c r="X100" s="923"/>
      <c r="Y100" s="923"/>
      <c r="Z100" s="923"/>
      <c r="AA100" s="923"/>
      <c r="AB100" s="923"/>
      <c r="AC100" s="923"/>
      <c r="AD100" s="923"/>
      <c r="AE100" s="923"/>
      <c r="AF100" s="923"/>
      <c r="AG100" s="923"/>
      <c r="AH100" s="518"/>
      <c r="AJ100" s="595"/>
    </row>
    <row r="101" spans="1:36" hidden="1" x14ac:dyDescent="0.45">
      <c r="A101" s="518"/>
      <c r="B101" s="518"/>
      <c r="C101" s="518"/>
      <c r="D101" s="518"/>
      <c r="E101" s="518"/>
      <c r="F101" s="518"/>
      <c r="G101" s="518"/>
      <c r="H101" s="518"/>
      <c r="I101" s="518"/>
      <c r="J101" s="518"/>
      <c r="K101" s="518"/>
      <c r="L101" s="518"/>
      <c r="M101" s="518"/>
      <c r="N101" s="518"/>
      <c r="O101" s="518"/>
      <c r="P101" s="518"/>
      <c r="Q101" s="518"/>
      <c r="R101" s="518"/>
      <c r="S101" s="518"/>
      <c r="T101" s="518"/>
      <c r="U101" s="518"/>
      <c r="V101" s="518"/>
      <c r="W101" s="518"/>
      <c r="X101" s="518"/>
      <c r="Y101" s="518"/>
      <c r="Z101" s="518"/>
      <c r="AA101" s="518"/>
      <c r="AB101" s="518"/>
      <c r="AC101" s="518"/>
      <c r="AD101" s="518"/>
      <c r="AE101" s="518"/>
      <c r="AF101" s="518"/>
      <c r="AG101" s="518"/>
      <c r="AH101" s="518"/>
      <c r="AJ101" s="595"/>
    </row>
    <row r="102" spans="1:36" ht="66" hidden="1" customHeight="1" x14ac:dyDescent="0.45">
      <c r="B102" s="1315" t="s">
        <v>78</v>
      </c>
      <c r="C102" s="1316"/>
      <c r="D102" s="1316"/>
      <c r="E102" s="1122" t="s">
        <v>79</v>
      </c>
      <c r="F102" s="1122"/>
      <c r="G102" s="1122"/>
      <c r="H102" s="1122"/>
      <c r="I102" s="1122"/>
      <c r="J102" s="1122"/>
      <c r="K102" s="1122"/>
      <c r="L102" s="1122"/>
      <c r="M102" s="1122"/>
      <c r="N102" s="1122"/>
      <c r="O102" s="1122"/>
      <c r="P102" s="1122"/>
      <c r="Q102" s="1122"/>
      <c r="R102" s="1122"/>
      <c r="S102" s="1122"/>
      <c r="T102" s="1122"/>
      <c r="U102" s="1122"/>
      <c r="V102" s="1122"/>
      <c r="W102" s="1122"/>
      <c r="X102" s="1122"/>
      <c r="Y102" s="1122"/>
      <c r="Z102" s="1122"/>
      <c r="AA102" s="1122"/>
      <c r="AB102" s="1122"/>
      <c r="AC102" s="1122"/>
      <c r="AD102" s="1122"/>
      <c r="AE102" s="519"/>
      <c r="AF102" s="1190"/>
      <c r="AG102" s="1191"/>
      <c r="AJ102" s="595"/>
    </row>
    <row r="103" spans="1:36" ht="54" hidden="1" customHeight="1" x14ac:dyDescent="0.45">
      <c r="B103" s="1315">
        <v>5</v>
      </c>
      <c r="C103" s="1316"/>
      <c r="D103" s="1122" t="s">
        <v>80</v>
      </c>
      <c r="E103" s="1122"/>
      <c r="F103" s="1122"/>
      <c r="G103" s="1122"/>
      <c r="H103" s="1122"/>
      <c r="I103" s="1122"/>
      <c r="J103" s="1122"/>
      <c r="K103" s="1122"/>
      <c r="L103" s="1122"/>
      <c r="M103" s="1122"/>
      <c r="N103" s="1122"/>
      <c r="O103" s="1122"/>
      <c r="P103" s="1122"/>
      <c r="Q103" s="1122"/>
      <c r="R103" s="1122"/>
      <c r="S103" s="1122"/>
      <c r="T103" s="1122"/>
      <c r="U103" s="1122"/>
      <c r="V103" s="1122"/>
      <c r="W103" s="1122"/>
      <c r="X103" s="1122"/>
      <c r="Y103" s="1122"/>
      <c r="Z103" s="1122"/>
      <c r="AA103" s="1122"/>
      <c r="AB103" s="1122"/>
      <c r="AC103" s="1122"/>
      <c r="AD103" s="1122"/>
      <c r="AE103" s="519"/>
      <c r="AF103" s="1123"/>
      <c r="AG103" s="1123"/>
      <c r="AJ103" s="595"/>
    </row>
    <row r="104" spans="1:36" ht="27" hidden="1" customHeight="1" x14ac:dyDescent="0.45">
      <c r="B104" s="1315" t="s">
        <v>70</v>
      </c>
      <c r="C104" s="1316"/>
      <c r="D104" s="1316"/>
      <c r="E104" s="1122" t="s">
        <v>81</v>
      </c>
      <c r="F104" s="1122"/>
      <c r="G104" s="1122"/>
      <c r="H104" s="1122"/>
      <c r="I104" s="1122"/>
      <c r="J104" s="1122"/>
      <c r="K104" s="1122"/>
      <c r="L104" s="1122"/>
      <c r="M104" s="1122"/>
      <c r="N104" s="1122"/>
      <c r="O104" s="1122"/>
      <c r="P104" s="1122"/>
      <c r="Q104" s="1122"/>
      <c r="R104" s="1122"/>
      <c r="S104" s="1122"/>
      <c r="T104" s="1122"/>
      <c r="U104" s="1122"/>
      <c r="V104" s="1122"/>
      <c r="W104" s="1122"/>
      <c r="X104" s="1122"/>
      <c r="Y104" s="1122"/>
      <c r="Z104" s="1122"/>
      <c r="AA104" s="1122"/>
      <c r="AB104" s="1122"/>
      <c r="AC104" s="1122"/>
      <c r="AD104" s="1122"/>
      <c r="AE104" s="519"/>
      <c r="AF104" s="1190"/>
      <c r="AG104" s="1191"/>
      <c r="AJ104" s="595"/>
    </row>
    <row r="105" spans="1:36" ht="27" hidden="1" customHeight="1" x14ac:dyDescent="0.45">
      <c r="B105" s="1315" t="s">
        <v>71</v>
      </c>
      <c r="C105" s="1316"/>
      <c r="D105" s="1316"/>
      <c r="E105" s="1122" t="s">
        <v>82</v>
      </c>
      <c r="F105" s="1122"/>
      <c r="G105" s="1122"/>
      <c r="H105" s="1122"/>
      <c r="I105" s="1122"/>
      <c r="J105" s="1122"/>
      <c r="K105" s="1122"/>
      <c r="L105" s="1122"/>
      <c r="M105" s="1122"/>
      <c r="N105" s="1122"/>
      <c r="O105" s="1122"/>
      <c r="P105" s="1122"/>
      <c r="Q105" s="1122"/>
      <c r="R105" s="1122"/>
      <c r="S105" s="1122"/>
      <c r="T105" s="1122"/>
      <c r="U105" s="1122"/>
      <c r="V105" s="1122"/>
      <c r="W105" s="1122"/>
      <c r="X105" s="1122"/>
      <c r="Y105" s="1122"/>
      <c r="Z105" s="1122"/>
      <c r="AA105" s="1122"/>
      <c r="AB105" s="1122"/>
      <c r="AC105" s="1122"/>
      <c r="AD105" s="1122"/>
      <c r="AE105" s="519"/>
      <c r="AF105" s="1123"/>
      <c r="AG105" s="1123"/>
      <c r="AJ105" s="595"/>
    </row>
    <row r="106" spans="1:36" ht="27" hidden="1" customHeight="1" x14ac:dyDescent="0.45">
      <c r="B106" s="1315" t="s">
        <v>72</v>
      </c>
      <c r="C106" s="1316"/>
      <c r="D106" s="1316"/>
      <c r="E106" s="1122" t="s">
        <v>83</v>
      </c>
      <c r="F106" s="1122"/>
      <c r="G106" s="1122"/>
      <c r="H106" s="1122"/>
      <c r="I106" s="1122"/>
      <c r="J106" s="1122"/>
      <c r="K106" s="1122"/>
      <c r="L106" s="1122"/>
      <c r="M106" s="1122"/>
      <c r="N106" s="1122"/>
      <c r="O106" s="1122"/>
      <c r="P106" s="1122"/>
      <c r="Q106" s="1122"/>
      <c r="R106" s="1122"/>
      <c r="S106" s="1122"/>
      <c r="T106" s="1122"/>
      <c r="U106" s="1122"/>
      <c r="V106" s="1122"/>
      <c r="W106" s="1122"/>
      <c r="X106" s="1122"/>
      <c r="Y106" s="1122"/>
      <c r="Z106" s="1122"/>
      <c r="AA106" s="1122"/>
      <c r="AB106" s="1122"/>
      <c r="AC106" s="1122"/>
      <c r="AD106" s="1122"/>
      <c r="AE106" s="519"/>
      <c r="AF106" s="1123"/>
      <c r="AG106" s="1123"/>
      <c r="AJ106" s="595"/>
    </row>
    <row r="107" spans="1:36" ht="27" hidden="1" customHeight="1" x14ac:dyDescent="0.45">
      <c r="B107" s="1311" t="s">
        <v>73</v>
      </c>
      <c r="C107" s="1321"/>
      <c r="D107" s="1321"/>
      <c r="E107" s="1125" t="s">
        <v>84</v>
      </c>
      <c r="F107" s="1125"/>
      <c r="G107" s="1125"/>
      <c r="H107" s="1125"/>
      <c r="I107" s="1125"/>
      <c r="J107" s="1125"/>
      <c r="K107" s="1125"/>
      <c r="L107" s="1125"/>
      <c r="M107" s="1125"/>
      <c r="N107" s="1125"/>
      <c r="O107" s="1125"/>
      <c r="P107" s="1125"/>
      <c r="Q107" s="1125"/>
      <c r="R107" s="1125"/>
      <c r="S107" s="1125"/>
      <c r="T107" s="1125"/>
      <c r="U107" s="1125"/>
      <c r="V107" s="1125"/>
      <c r="W107" s="1125"/>
      <c r="X107" s="1125"/>
      <c r="Y107" s="1125"/>
      <c r="Z107" s="1125"/>
      <c r="AA107" s="1125"/>
      <c r="AB107" s="1125"/>
      <c r="AC107" s="1125"/>
      <c r="AD107" s="1125"/>
      <c r="AE107" s="572"/>
      <c r="AF107" s="1123"/>
      <c r="AG107" s="1123"/>
      <c r="AJ107" s="595"/>
    </row>
    <row r="108" spans="1:36" hidden="1" x14ac:dyDescent="0.45">
      <c r="A108" s="518"/>
      <c r="B108" s="518"/>
      <c r="C108" s="518"/>
      <c r="D108" s="518"/>
      <c r="E108" s="518"/>
      <c r="F108" s="518"/>
      <c r="G108" s="518"/>
      <c r="H108" s="518"/>
      <c r="I108" s="518"/>
      <c r="J108" s="518"/>
      <c r="K108" s="518"/>
      <c r="L108" s="518"/>
      <c r="M108" s="518"/>
      <c r="N108" s="518"/>
      <c r="O108" s="518"/>
      <c r="P108" s="518"/>
      <c r="Q108" s="518"/>
      <c r="R108" s="518"/>
      <c r="S108" s="518"/>
      <c r="T108" s="518"/>
      <c r="U108" s="518"/>
      <c r="V108" s="518"/>
      <c r="W108" s="518"/>
      <c r="X108" s="518"/>
      <c r="Y108" s="518"/>
      <c r="Z108" s="518"/>
      <c r="AA108" s="518"/>
      <c r="AB108" s="518"/>
      <c r="AC108" s="518"/>
      <c r="AD108" s="518"/>
      <c r="AE108" s="518"/>
      <c r="AF108" s="518"/>
      <c r="AG108" s="518"/>
      <c r="AH108" s="518"/>
      <c r="AJ108" s="595"/>
    </row>
    <row r="109" spans="1:36" hidden="1" x14ac:dyDescent="0.45">
      <c r="A109" s="518"/>
      <c r="B109" s="1269" t="str">
        <f>IF(CH_ER_EligibleApplicant,"APPLICANT IS ELIGIBLE","APPLICANT IS NOT ELIGIBLE")</f>
        <v>APPLICANT IS NOT ELIGIBLE</v>
      </c>
      <c r="C109" s="1269"/>
      <c r="D109" s="1269"/>
      <c r="E109" s="1269"/>
      <c r="F109" s="1269"/>
      <c r="G109" s="1269"/>
      <c r="H109" s="1269"/>
      <c r="I109" s="1269"/>
      <c r="J109" s="1269"/>
      <c r="K109" s="1269"/>
      <c r="L109" s="1269"/>
      <c r="M109" s="1269"/>
      <c r="N109" s="1269"/>
      <c r="O109" s="1269"/>
      <c r="P109" s="1269"/>
      <c r="Q109" s="1269"/>
      <c r="R109" s="1269"/>
      <c r="S109" s="1269"/>
      <c r="T109" s="1269"/>
      <c r="U109" s="1269"/>
      <c r="V109" s="1269"/>
      <c r="W109" s="1269"/>
      <c r="X109" s="1269"/>
      <c r="Y109" s="1269"/>
      <c r="Z109" s="1269"/>
      <c r="AA109" s="1269"/>
      <c r="AB109" s="1269"/>
      <c r="AC109" s="1269"/>
      <c r="AD109" s="1269"/>
      <c r="AE109" s="525"/>
      <c r="AF109" s="1180" t="b">
        <v>1</v>
      </c>
      <c r="AG109" s="1180"/>
      <c r="AH109" s="518"/>
      <c r="AJ109" s="595"/>
    </row>
    <row r="110" spans="1:36" hidden="1" x14ac:dyDescent="0.45">
      <c r="A110" s="518"/>
      <c r="B110" s="518"/>
      <c r="C110" s="518"/>
      <c r="D110" s="518"/>
      <c r="E110" s="518"/>
      <c r="F110" s="518"/>
      <c r="G110" s="518"/>
      <c r="H110" s="518"/>
      <c r="I110" s="518"/>
      <c r="J110" s="518"/>
      <c r="K110" s="518"/>
      <c r="L110" s="518"/>
      <c r="M110" s="518"/>
      <c r="N110" s="518"/>
      <c r="O110" s="518"/>
      <c r="P110" s="518"/>
      <c r="Q110" s="518"/>
      <c r="R110" s="518"/>
      <c r="S110" s="518"/>
      <c r="T110" s="518"/>
      <c r="U110" s="518"/>
      <c r="V110" s="518"/>
      <c r="W110" s="518"/>
      <c r="X110" s="518"/>
      <c r="Y110" s="518"/>
      <c r="Z110" s="518"/>
      <c r="AA110" s="518"/>
      <c r="AB110" s="518"/>
      <c r="AC110" s="518"/>
      <c r="AD110" s="518"/>
      <c r="AE110" s="518"/>
      <c r="AF110" s="518"/>
      <c r="AG110" s="518"/>
      <c r="AH110" s="518"/>
      <c r="AJ110" s="595"/>
    </row>
    <row r="111" spans="1:36" hidden="1" x14ac:dyDescent="0.45">
      <c r="A111" s="518"/>
      <c r="B111" s="907" t="s">
        <v>85</v>
      </c>
      <c r="C111" s="907"/>
      <c r="D111" s="907"/>
      <c r="E111" s="907"/>
      <c r="F111" s="907"/>
      <c r="G111" s="907"/>
      <c r="H111" s="907"/>
      <c r="I111" s="907"/>
      <c r="J111" s="907"/>
      <c r="K111" s="907"/>
      <c r="L111" s="907"/>
      <c r="M111" s="907"/>
      <c r="N111" s="907"/>
      <c r="O111" s="907"/>
      <c r="P111" s="907"/>
      <c r="Q111" s="907"/>
      <c r="R111" s="907"/>
      <c r="S111" s="907"/>
      <c r="T111" s="907"/>
      <c r="U111" s="907"/>
      <c r="V111" s="907"/>
      <c r="W111" s="907"/>
      <c r="X111" s="907"/>
      <c r="Y111" s="907"/>
      <c r="Z111" s="907"/>
      <c r="AA111" s="907"/>
      <c r="AB111" s="907"/>
      <c r="AC111" s="907"/>
      <c r="AD111" s="907"/>
      <c r="AE111" s="907"/>
      <c r="AF111" s="907"/>
      <c r="AG111" s="907"/>
      <c r="AH111" s="518"/>
      <c r="AJ111" s="595"/>
    </row>
    <row r="112" spans="1:36" hidden="1" x14ac:dyDescent="0.45">
      <c r="A112" s="518"/>
      <c r="B112" s="518"/>
      <c r="C112" s="518"/>
      <c r="D112" s="518"/>
      <c r="E112" s="518"/>
      <c r="F112" s="518"/>
      <c r="G112" s="518"/>
      <c r="H112" s="518"/>
      <c r="I112" s="518"/>
      <c r="J112" s="518"/>
      <c r="K112" s="518"/>
      <c r="L112" s="518"/>
      <c r="M112" s="518"/>
      <c r="N112" s="518"/>
      <c r="O112" s="518"/>
      <c r="P112" s="518"/>
      <c r="Q112" s="518"/>
      <c r="R112" s="518"/>
      <c r="S112" s="518"/>
      <c r="T112" s="518"/>
      <c r="U112" s="518"/>
      <c r="V112" s="518"/>
      <c r="W112" s="518"/>
      <c r="X112" s="518"/>
      <c r="Y112" s="518"/>
      <c r="Z112" s="518"/>
      <c r="AA112" s="518"/>
      <c r="AB112" s="518"/>
      <c r="AC112" s="518"/>
      <c r="AD112" s="518"/>
      <c r="AE112" s="518"/>
      <c r="AF112" s="518"/>
      <c r="AG112" s="518"/>
      <c r="AH112" s="518"/>
      <c r="AJ112" s="595"/>
    </row>
    <row r="113" spans="1:37" ht="27" hidden="1" customHeight="1" x14ac:dyDescent="0.45">
      <c r="A113" s="518"/>
      <c r="B113" s="1255">
        <v>1</v>
      </c>
      <c r="C113" s="1256"/>
      <c r="D113" s="1260" t="s">
        <v>59</v>
      </c>
      <c r="E113" s="1260"/>
      <c r="F113" s="1260"/>
      <c r="G113" s="1260"/>
      <c r="H113" s="1260"/>
      <c r="I113" s="1260"/>
      <c r="J113" s="1260"/>
      <c r="K113" s="1260"/>
      <c r="L113" s="1260"/>
      <c r="M113" s="1260"/>
      <c r="N113" s="1260"/>
      <c r="O113" s="1260"/>
      <c r="P113" s="1260"/>
      <c r="Q113" s="1260"/>
      <c r="R113" s="1260"/>
      <c r="S113" s="1260"/>
      <c r="T113" s="1260"/>
      <c r="U113" s="1260"/>
      <c r="V113" s="1260"/>
      <c r="W113" s="1260"/>
      <c r="X113" s="1260"/>
      <c r="Y113" s="1260"/>
      <c r="Z113" s="1260"/>
      <c r="AA113" s="1260"/>
      <c r="AB113" s="1260"/>
      <c r="AC113" s="1260"/>
      <c r="AD113" s="1260"/>
      <c r="AE113" s="519"/>
      <c r="AF113" s="1123"/>
      <c r="AG113" s="1123"/>
      <c r="AH113" s="518"/>
      <c r="AJ113" s="595"/>
    </row>
    <row r="114" spans="1:37" ht="41.15" hidden="1" customHeight="1" x14ac:dyDescent="0.45">
      <c r="A114" s="518"/>
      <c r="B114" s="1255">
        <v>2</v>
      </c>
      <c r="C114" s="1256"/>
      <c r="D114" s="1260" t="s">
        <v>60</v>
      </c>
      <c r="E114" s="1260"/>
      <c r="F114" s="1260"/>
      <c r="G114" s="1260"/>
      <c r="H114" s="1260"/>
      <c r="I114" s="1260"/>
      <c r="J114" s="1260"/>
      <c r="K114" s="1260"/>
      <c r="L114" s="1260"/>
      <c r="M114" s="1260"/>
      <c r="N114" s="1260"/>
      <c r="O114" s="1260"/>
      <c r="P114" s="1260"/>
      <c r="Q114" s="1260"/>
      <c r="R114" s="1260"/>
      <c r="S114" s="1260"/>
      <c r="T114" s="1260"/>
      <c r="U114" s="1260"/>
      <c r="V114" s="1260"/>
      <c r="W114" s="1260"/>
      <c r="X114" s="1260"/>
      <c r="Y114" s="1260"/>
      <c r="Z114" s="1260"/>
      <c r="AA114" s="1260"/>
      <c r="AB114" s="1260"/>
      <c r="AC114" s="1260"/>
      <c r="AD114" s="1260"/>
      <c r="AE114" s="519"/>
      <c r="AF114" s="1123"/>
      <c r="AG114" s="1123"/>
      <c r="AH114" s="518"/>
      <c r="AJ114" s="595"/>
    </row>
    <row r="115" spans="1:37" ht="27" hidden="1" customHeight="1" x14ac:dyDescent="0.45">
      <c r="A115" s="518"/>
      <c r="B115" s="1258">
        <v>3</v>
      </c>
      <c r="C115" s="1259"/>
      <c r="D115" s="1261" t="s">
        <v>86</v>
      </c>
      <c r="E115" s="1261"/>
      <c r="F115" s="1261"/>
      <c r="G115" s="1261"/>
      <c r="H115" s="1261"/>
      <c r="I115" s="1261"/>
      <c r="J115" s="1261"/>
      <c r="K115" s="1261"/>
      <c r="L115" s="1261"/>
      <c r="M115" s="1261"/>
      <c r="N115" s="1261"/>
      <c r="O115" s="1261"/>
      <c r="P115" s="1261"/>
      <c r="Q115" s="1261"/>
      <c r="R115" s="1261"/>
      <c r="S115" s="1261"/>
      <c r="T115" s="1261"/>
      <c r="U115" s="1261"/>
      <c r="V115" s="1261"/>
      <c r="W115" s="1261"/>
      <c r="X115" s="1261"/>
      <c r="Y115" s="1261"/>
      <c r="Z115" s="1261"/>
      <c r="AA115" s="1261"/>
      <c r="AB115" s="1261"/>
      <c r="AC115" s="1261"/>
      <c r="AD115" s="1261"/>
      <c r="AE115" s="520"/>
      <c r="AF115" s="1123"/>
      <c r="AG115" s="1123"/>
      <c r="AH115" s="518"/>
      <c r="AJ115" s="595"/>
    </row>
    <row r="116" spans="1:37" hidden="1" x14ac:dyDescent="0.45">
      <c r="A116" s="518"/>
      <c r="B116" s="518"/>
      <c r="C116" s="518"/>
      <c r="D116" s="518"/>
      <c r="E116" s="518"/>
      <c r="F116" s="518"/>
      <c r="G116" s="518"/>
      <c r="H116" s="518"/>
      <c r="I116" s="518"/>
      <c r="J116" s="518"/>
      <c r="K116" s="518"/>
      <c r="L116" s="518"/>
      <c r="M116" s="518"/>
      <c r="N116" s="518"/>
      <c r="O116" s="518"/>
      <c r="P116" s="518"/>
      <c r="Q116" s="518"/>
      <c r="R116" s="518"/>
      <c r="S116" s="518"/>
      <c r="T116" s="518"/>
      <c r="U116" s="518"/>
      <c r="V116" s="518"/>
      <c r="W116" s="518"/>
      <c r="X116" s="518"/>
      <c r="Y116" s="518"/>
      <c r="Z116" s="518"/>
      <c r="AA116" s="518"/>
      <c r="AB116" s="518"/>
      <c r="AC116" s="518"/>
      <c r="AD116" s="518"/>
      <c r="AE116" s="518"/>
      <c r="AF116" s="518"/>
      <c r="AG116" s="518"/>
      <c r="AH116" s="518"/>
      <c r="AJ116" s="595"/>
    </row>
    <row r="117" spans="1:37" hidden="1" x14ac:dyDescent="0.45">
      <c r="A117" s="518"/>
      <c r="B117" s="1269" t="str">
        <f>IF(CH_ER_EligibleApplicant,"CBD IS ALSO AN ELIGIBLE NON-PROFIT","CBD IS NOT AN ELIGIBLE NON-PROFIT")</f>
        <v>CBD IS NOT AN ELIGIBLE NON-PROFIT</v>
      </c>
      <c r="C117" s="1269"/>
      <c r="D117" s="1269"/>
      <c r="E117" s="1269"/>
      <c r="F117" s="1269"/>
      <c r="G117" s="1269"/>
      <c r="H117" s="1269"/>
      <c r="I117" s="1269"/>
      <c r="J117" s="1269"/>
      <c r="K117" s="1269"/>
      <c r="L117" s="1269"/>
      <c r="M117" s="1269"/>
      <c r="N117" s="1269"/>
      <c r="O117" s="1269"/>
      <c r="P117" s="1269"/>
      <c r="Q117" s="1269"/>
      <c r="R117" s="1269"/>
      <c r="S117" s="1269"/>
      <c r="T117" s="1269"/>
      <c r="U117" s="1269"/>
      <c r="V117" s="1269"/>
      <c r="W117" s="1269"/>
      <c r="X117" s="1269"/>
      <c r="Y117" s="1269"/>
      <c r="Z117" s="1269"/>
      <c r="AA117" s="1269"/>
      <c r="AB117" s="1269"/>
      <c r="AC117" s="1269"/>
      <c r="AD117" s="1269"/>
      <c r="AE117" s="525"/>
      <c r="AF117" s="1180"/>
      <c r="AG117" s="1180"/>
      <c r="AH117" s="518"/>
      <c r="AJ117" s="595"/>
    </row>
    <row r="118" spans="1:37" hidden="1" x14ac:dyDescent="0.45">
      <c r="A118" s="518"/>
      <c r="B118" s="518"/>
      <c r="C118" s="518"/>
      <c r="D118" s="518"/>
      <c r="E118" s="518"/>
      <c r="F118" s="518"/>
      <c r="G118" s="518"/>
      <c r="H118" s="518"/>
      <c r="I118" s="518"/>
      <c r="J118" s="518"/>
      <c r="K118" s="518"/>
      <c r="L118" s="518"/>
      <c r="M118" s="518"/>
      <c r="N118" s="518"/>
      <c r="O118" s="518"/>
      <c r="P118" s="518"/>
      <c r="Q118" s="518"/>
      <c r="R118" s="518"/>
      <c r="S118" s="518"/>
      <c r="T118" s="518"/>
      <c r="U118" s="518"/>
      <c r="V118" s="518"/>
      <c r="W118" s="518"/>
      <c r="X118" s="518"/>
      <c r="Y118" s="518"/>
      <c r="Z118" s="518"/>
      <c r="AA118" s="518"/>
      <c r="AB118" s="518"/>
      <c r="AC118" s="518"/>
      <c r="AD118" s="518"/>
      <c r="AE118" s="518"/>
      <c r="AF118" s="518"/>
      <c r="AG118" s="518"/>
      <c r="AH118" s="518"/>
      <c r="AJ118" s="595"/>
    </row>
    <row r="119" spans="1:37" hidden="1" x14ac:dyDescent="0.45">
      <c r="A119" s="518"/>
      <c r="B119" s="518"/>
      <c r="C119" s="518"/>
      <c r="D119" s="518"/>
      <c r="E119" s="518"/>
      <c r="F119" s="518"/>
      <c r="G119" s="518"/>
      <c r="H119" s="518"/>
      <c r="I119" s="518"/>
      <c r="J119" s="518"/>
      <c r="K119" s="518"/>
      <c r="L119" s="518"/>
      <c r="M119" s="518"/>
      <c r="N119" s="518"/>
      <c r="O119" s="518"/>
      <c r="P119" s="518"/>
      <c r="Q119" s="518"/>
      <c r="R119" s="518"/>
      <c r="S119" s="518"/>
      <c r="T119" s="518"/>
      <c r="U119" s="518"/>
      <c r="V119" s="518"/>
      <c r="W119" s="518"/>
      <c r="X119" s="518"/>
      <c r="Y119" s="518"/>
      <c r="Z119" s="518"/>
      <c r="AA119" s="518"/>
      <c r="AB119" s="518"/>
      <c r="AC119" s="518"/>
      <c r="AD119" s="518"/>
      <c r="AE119" s="518"/>
      <c r="AF119" s="518"/>
      <c r="AG119" s="518"/>
      <c r="AH119" s="518"/>
      <c r="AJ119" s="595" t="b">
        <f>AND(
APP_ApplyingForCalHome="Yes",
CH_ER_EligibleApplicant,
CH_MA_CompletionStatus="Final/Complete")</f>
        <v>0</v>
      </c>
      <c r="AK119" s="462" t="s">
        <v>1475</v>
      </c>
    </row>
    <row r="120" spans="1:37" hidden="1" x14ac:dyDescent="0.45">
      <c r="A120" s="518"/>
      <c r="B120" s="923" t="s">
        <v>87</v>
      </c>
      <c r="C120" s="923"/>
      <c r="D120" s="923"/>
      <c r="E120" s="923"/>
      <c r="F120" s="923"/>
      <c r="G120" s="923"/>
      <c r="H120" s="923"/>
      <c r="I120" s="923"/>
      <c r="J120" s="923"/>
      <c r="K120" s="923"/>
      <c r="L120" s="923"/>
      <c r="M120" s="923"/>
      <c r="N120" s="923"/>
      <c r="O120" s="923"/>
      <c r="P120" s="923"/>
      <c r="Q120" s="923"/>
      <c r="R120" s="923"/>
      <c r="S120" s="923"/>
      <c r="T120" s="923"/>
      <c r="U120" s="923"/>
      <c r="V120" s="923"/>
      <c r="W120" s="923"/>
      <c r="X120" s="923"/>
      <c r="Y120" s="923"/>
      <c r="Z120" s="923"/>
      <c r="AA120" s="923"/>
      <c r="AB120" s="923"/>
      <c r="AC120" s="923"/>
      <c r="AD120" s="923"/>
      <c r="AE120" s="923"/>
      <c r="AF120" s="923"/>
      <c r="AG120" s="923"/>
      <c r="AH120" s="518"/>
      <c r="AJ120" s="595"/>
    </row>
    <row r="121" spans="1:37" hidden="1" x14ac:dyDescent="0.45">
      <c r="A121" s="518"/>
      <c r="B121" s="517"/>
      <c r="C121" s="517"/>
      <c r="D121" s="517"/>
      <c r="E121" s="517"/>
      <c r="F121" s="517"/>
      <c r="G121" s="517"/>
      <c r="H121" s="517"/>
      <c r="I121" s="517"/>
      <c r="J121" s="517"/>
      <c r="K121" s="517"/>
      <c r="L121" s="517"/>
      <c r="M121" s="517"/>
      <c r="N121" s="517"/>
      <c r="O121" s="517"/>
      <c r="P121" s="517"/>
      <c r="Q121" s="517"/>
      <c r="R121" s="517"/>
      <c r="S121" s="517"/>
      <c r="T121" s="517"/>
      <c r="U121" s="517"/>
      <c r="V121" s="517"/>
      <c r="W121" s="517"/>
      <c r="X121" s="517"/>
      <c r="Y121" s="517"/>
      <c r="Z121" s="517"/>
      <c r="AA121" s="517"/>
      <c r="AB121" s="517"/>
      <c r="AC121" s="517"/>
      <c r="AD121" s="517"/>
      <c r="AE121" s="517"/>
      <c r="AF121" s="517"/>
      <c r="AG121" s="517"/>
      <c r="AH121" s="518"/>
      <c r="AJ121" s="595"/>
    </row>
    <row r="122" spans="1:37" hidden="1" x14ac:dyDescent="0.45">
      <c r="A122" s="518"/>
      <c r="B122" s="907" t="s">
        <v>88</v>
      </c>
      <c r="C122" s="907"/>
      <c r="D122" s="907"/>
      <c r="E122" s="907"/>
      <c r="F122" s="907"/>
      <c r="G122" s="907"/>
      <c r="H122" s="907"/>
      <c r="I122" s="1214"/>
      <c r="J122" s="1215"/>
      <c r="K122" s="1215"/>
      <c r="L122" s="1215"/>
      <c r="M122" s="1215"/>
      <c r="N122" s="1215"/>
      <c r="O122" s="1216"/>
      <c r="P122" s="517"/>
      <c r="Q122" s="517"/>
      <c r="R122" s="517"/>
      <c r="S122" s="517"/>
      <c r="T122" s="517"/>
      <c r="U122" s="517"/>
      <c r="V122" s="517"/>
      <c r="W122" s="517"/>
      <c r="X122" s="517"/>
      <c r="Y122" s="517"/>
      <c r="Z122" s="517"/>
      <c r="AA122" s="517"/>
      <c r="AB122" s="517"/>
      <c r="AC122" s="517"/>
      <c r="AD122" s="517"/>
      <c r="AE122" s="517"/>
      <c r="AF122" s="1180"/>
      <c r="AG122" s="1180"/>
      <c r="AH122" s="518"/>
      <c r="AJ122" s="595"/>
    </row>
    <row r="123" spans="1:37" hidden="1" x14ac:dyDescent="0.45">
      <c r="A123" s="518"/>
      <c r="B123" s="518"/>
      <c r="C123" s="518"/>
      <c r="D123" s="518"/>
      <c r="E123" s="518"/>
      <c r="F123" s="518"/>
      <c r="G123" s="518"/>
      <c r="H123" s="518"/>
      <c r="I123" s="518"/>
      <c r="J123" s="518"/>
      <c r="K123" s="518"/>
      <c r="L123" s="518"/>
      <c r="M123" s="518"/>
      <c r="N123" s="518"/>
      <c r="O123" s="518"/>
      <c r="P123" s="518"/>
      <c r="Q123" s="518"/>
      <c r="R123" s="518"/>
      <c r="S123" s="518"/>
      <c r="T123" s="518"/>
      <c r="U123" s="518"/>
      <c r="V123" s="518"/>
      <c r="W123" s="518"/>
      <c r="X123" s="518"/>
      <c r="Y123" s="518"/>
      <c r="Z123" s="518"/>
      <c r="AA123" s="518"/>
      <c r="AB123" s="518"/>
      <c r="AC123" s="518"/>
      <c r="AD123" s="518"/>
      <c r="AE123" s="518"/>
      <c r="AF123" s="518"/>
      <c r="AG123" s="518"/>
      <c r="AH123" s="518"/>
      <c r="AJ123" s="595"/>
    </row>
    <row r="124" spans="1:37" ht="41.15" hidden="1" customHeight="1" x14ac:dyDescent="0.45">
      <c r="A124" s="518"/>
      <c r="B124" s="1124" t="s">
        <v>89</v>
      </c>
      <c r="C124" s="1125"/>
      <c r="D124" s="1125"/>
      <c r="E124" s="1125"/>
      <c r="F124" s="1125"/>
      <c r="G124" s="1125"/>
      <c r="H124" s="1125"/>
      <c r="I124" s="1125"/>
      <c r="J124" s="1125"/>
      <c r="K124" s="1125"/>
      <c r="L124" s="1125"/>
      <c r="M124" s="1125"/>
      <c r="N124" s="1125"/>
      <c r="O124" s="1125"/>
      <c r="P124" s="1125"/>
      <c r="Q124" s="1125"/>
      <c r="R124" s="1125"/>
      <c r="S124" s="1125"/>
      <c r="T124" s="1125"/>
      <c r="U124" s="1125"/>
      <c r="V124" s="1125"/>
      <c r="W124" s="1125"/>
      <c r="X124" s="1125"/>
      <c r="Y124" s="1125"/>
      <c r="Z124" s="1125"/>
      <c r="AA124" s="1125"/>
      <c r="AB124" s="1125"/>
      <c r="AC124" s="1125"/>
      <c r="AD124" s="1125"/>
      <c r="AE124" s="573"/>
      <c r="AF124" s="1123"/>
      <c r="AG124" s="1123"/>
      <c r="AH124" s="518"/>
      <c r="AJ124" s="595"/>
    </row>
    <row r="125" spans="1:37" hidden="1" x14ac:dyDescent="0.45">
      <c r="A125" s="518"/>
      <c r="B125" s="518"/>
      <c r="C125" s="518"/>
      <c r="D125" s="518"/>
      <c r="E125" s="518"/>
      <c r="F125" s="518"/>
      <c r="G125" s="518"/>
      <c r="H125" s="518"/>
      <c r="I125" s="518"/>
      <c r="J125" s="518"/>
      <c r="K125" s="518"/>
      <c r="L125" s="518"/>
      <c r="M125" s="518"/>
      <c r="N125" s="518"/>
      <c r="O125" s="518"/>
      <c r="P125" s="518"/>
      <c r="Q125" s="518"/>
      <c r="R125" s="518"/>
      <c r="S125" s="518"/>
      <c r="T125" s="518"/>
      <c r="U125" s="518"/>
      <c r="V125" s="518"/>
      <c r="W125" s="518"/>
      <c r="X125" s="518"/>
      <c r="Y125" s="518"/>
      <c r="Z125" s="518"/>
      <c r="AA125" s="518"/>
      <c r="AB125" s="518"/>
      <c r="AC125" s="518"/>
      <c r="AD125" s="518"/>
      <c r="AE125" s="518"/>
      <c r="AF125" s="518"/>
      <c r="AG125" s="518"/>
      <c r="AH125" s="518"/>
      <c r="AJ125" s="595"/>
    </row>
    <row r="126" spans="1:37" hidden="1" x14ac:dyDescent="0.45">
      <c r="A126" s="518"/>
      <c r="B126" s="1137" t="s">
        <v>90</v>
      </c>
      <c r="C126" s="1138"/>
      <c r="D126" s="1138"/>
      <c r="E126" s="1138"/>
      <c r="F126" s="1138"/>
      <c r="G126" s="1138"/>
      <c r="H126" s="1138"/>
      <c r="I126" s="1138"/>
      <c r="J126" s="1138"/>
      <c r="K126" s="1138"/>
      <c r="L126" s="1138"/>
      <c r="M126" s="1138"/>
      <c r="N126" s="1138"/>
      <c r="O126" s="1138"/>
      <c r="P126" s="1138"/>
      <c r="Q126" s="1138"/>
      <c r="R126" s="1138"/>
      <c r="S126" s="1138"/>
      <c r="T126" s="1138"/>
      <c r="U126" s="1139"/>
      <c r="V126" s="1143" t="s">
        <v>91</v>
      </c>
      <c r="W126" s="1143"/>
      <c r="X126" s="1143"/>
      <c r="Y126" s="1143" t="s">
        <v>92</v>
      </c>
      <c r="Z126" s="1143"/>
      <c r="AA126" s="1143"/>
      <c r="AB126" s="1143" t="s">
        <v>93</v>
      </c>
      <c r="AC126" s="1143"/>
      <c r="AD126" s="1143"/>
      <c r="AE126" s="1143" t="s">
        <v>94</v>
      </c>
      <c r="AF126" s="1143"/>
      <c r="AG126" s="1143"/>
      <c r="AH126" s="518"/>
      <c r="AJ126" s="595"/>
    </row>
    <row r="127" spans="1:37" hidden="1" x14ac:dyDescent="0.45">
      <c r="A127" s="518"/>
      <c r="B127" s="1140"/>
      <c r="C127" s="1141"/>
      <c r="D127" s="1141"/>
      <c r="E127" s="1141"/>
      <c r="F127" s="1141"/>
      <c r="G127" s="1141"/>
      <c r="H127" s="1141"/>
      <c r="I127" s="1141"/>
      <c r="J127" s="1141"/>
      <c r="K127" s="1141"/>
      <c r="L127" s="1141"/>
      <c r="M127" s="1141"/>
      <c r="N127" s="1141"/>
      <c r="O127" s="1141"/>
      <c r="P127" s="1141"/>
      <c r="Q127" s="1141"/>
      <c r="R127" s="1141"/>
      <c r="S127" s="1141"/>
      <c r="T127" s="1141"/>
      <c r="U127" s="1142"/>
      <c r="V127" s="1143"/>
      <c r="W127" s="1143"/>
      <c r="X127" s="1143"/>
      <c r="Y127" s="1143"/>
      <c r="Z127" s="1143"/>
      <c r="AA127" s="1143"/>
      <c r="AB127" s="1143"/>
      <c r="AC127" s="1143"/>
      <c r="AD127" s="1143"/>
      <c r="AE127" s="1143"/>
      <c r="AF127" s="1143"/>
      <c r="AG127" s="1143"/>
      <c r="AH127" s="518"/>
      <c r="AJ127" s="595"/>
    </row>
    <row r="128" spans="1:37" hidden="1" x14ac:dyDescent="0.45">
      <c r="A128" s="518"/>
      <c r="B128" s="1150"/>
      <c r="C128" s="1151"/>
      <c r="D128" s="1151"/>
      <c r="E128" s="1151"/>
      <c r="F128" s="1151"/>
      <c r="G128" s="1151"/>
      <c r="H128" s="1151"/>
      <c r="I128" s="1151"/>
      <c r="J128" s="1151"/>
      <c r="K128" s="1151"/>
      <c r="L128" s="1151"/>
      <c r="M128" s="1151"/>
      <c r="N128" s="1151"/>
      <c r="O128" s="1151"/>
      <c r="P128" s="1151"/>
      <c r="Q128" s="1151"/>
      <c r="R128" s="1151"/>
      <c r="S128" s="1151"/>
      <c r="T128" s="1151"/>
      <c r="U128" s="1152"/>
      <c r="V128" s="894"/>
      <c r="W128" s="895"/>
      <c r="X128" s="896"/>
      <c r="Y128" s="1201"/>
      <c r="Z128" s="1202"/>
      <c r="AA128" s="1203"/>
      <c r="AB128" s="1201"/>
      <c r="AC128" s="1202"/>
      <c r="AD128" s="1203"/>
      <c r="AE128" s="1207" cm="1">
        <f t="array" ref="AE128">wwDateDiff(CH_MA_PreviousProgramStart1,CH_MA_PreviousProgramEnd1)</f>
        <v>0</v>
      </c>
      <c r="AF128" s="1208"/>
      <c r="AG128" s="1209"/>
      <c r="AH128" s="518"/>
      <c r="AJ128" s="595"/>
    </row>
    <row r="129" spans="1:36" hidden="1" x14ac:dyDescent="0.45">
      <c r="A129" s="518"/>
      <c r="B129" s="1153"/>
      <c r="C129" s="1154"/>
      <c r="D129" s="1154"/>
      <c r="E129" s="1154"/>
      <c r="F129" s="1154"/>
      <c r="G129" s="1154"/>
      <c r="H129" s="1154"/>
      <c r="I129" s="1154"/>
      <c r="J129" s="1154"/>
      <c r="K129" s="1154"/>
      <c r="L129" s="1154"/>
      <c r="M129" s="1154"/>
      <c r="N129" s="1154"/>
      <c r="O129" s="1154"/>
      <c r="P129" s="1154"/>
      <c r="Q129" s="1154"/>
      <c r="R129" s="1154"/>
      <c r="S129" s="1154"/>
      <c r="T129" s="1154"/>
      <c r="U129" s="1155"/>
      <c r="V129" s="897"/>
      <c r="W129" s="898"/>
      <c r="X129" s="899"/>
      <c r="Y129" s="1204"/>
      <c r="Z129" s="1205"/>
      <c r="AA129" s="1206"/>
      <c r="AB129" s="1204"/>
      <c r="AC129" s="1205"/>
      <c r="AD129" s="1206"/>
      <c r="AE129" s="1210"/>
      <c r="AF129" s="1211"/>
      <c r="AG129" s="1212"/>
      <c r="AH129" s="518"/>
      <c r="AJ129" s="595"/>
    </row>
    <row r="130" spans="1:36" hidden="1" x14ac:dyDescent="0.45">
      <c r="A130" s="518"/>
      <c r="B130" s="1150"/>
      <c r="C130" s="1151"/>
      <c r="D130" s="1151"/>
      <c r="E130" s="1151"/>
      <c r="F130" s="1151"/>
      <c r="G130" s="1151"/>
      <c r="H130" s="1151"/>
      <c r="I130" s="1151"/>
      <c r="J130" s="1151"/>
      <c r="K130" s="1151"/>
      <c r="L130" s="1151"/>
      <c r="M130" s="1151"/>
      <c r="N130" s="1151"/>
      <c r="O130" s="1151"/>
      <c r="P130" s="1151"/>
      <c r="Q130" s="1151"/>
      <c r="R130" s="1151"/>
      <c r="S130" s="1151"/>
      <c r="T130" s="1151"/>
      <c r="U130" s="1152"/>
      <c r="V130" s="894"/>
      <c r="W130" s="895"/>
      <c r="X130" s="896"/>
      <c r="Y130" s="1201"/>
      <c r="Z130" s="1202"/>
      <c r="AA130" s="1203"/>
      <c r="AB130" s="1201"/>
      <c r="AC130" s="1202"/>
      <c r="AD130" s="1203"/>
      <c r="AE130" s="1207" cm="1">
        <f t="array" ref="AE130">wwDateDiff(CH_MA_PreviousProgramStart1,CH_MA_PreviousProgramEnd1)</f>
        <v>0</v>
      </c>
      <c r="AF130" s="1208"/>
      <c r="AG130" s="1209"/>
      <c r="AH130" s="518"/>
      <c r="AJ130" s="595"/>
    </row>
    <row r="131" spans="1:36" hidden="1" x14ac:dyDescent="0.45">
      <c r="A131" s="518"/>
      <c r="B131" s="1153"/>
      <c r="C131" s="1154"/>
      <c r="D131" s="1154"/>
      <c r="E131" s="1154"/>
      <c r="F131" s="1154"/>
      <c r="G131" s="1154"/>
      <c r="H131" s="1154"/>
      <c r="I131" s="1154"/>
      <c r="J131" s="1154"/>
      <c r="K131" s="1154"/>
      <c r="L131" s="1154"/>
      <c r="M131" s="1154"/>
      <c r="N131" s="1154"/>
      <c r="O131" s="1154"/>
      <c r="P131" s="1154"/>
      <c r="Q131" s="1154"/>
      <c r="R131" s="1154"/>
      <c r="S131" s="1154"/>
      <c r="T131" s="1154"/>
      <c r="U131" s="1155"/>
      <c r="V131" s="897"/>
      <c r="W131" s="898"/>
      <c r="X131" s="899"/>
      <c r="Y131" s="1204"/>
      <c r="Z131" s="1205"/>
      <c r="AA131" s="1206"/>
      <c r="AB131" s="1204"/>
      <c r="AC131" s="1205"/>
      <c r="AD131" s="1206"/>
      <c r="AE131" s="1210"/>
      <c r="AF131" s="1211"/>
      <c r="AG131" s="1212"/>
      <c r="AH131" s="518"/>
      <c r="AJ131" s="595"/>
    </row>
    <row r="132" spans="1:36" hidden="1" x14ac:dyDescent="0.45">
      <c r="A132" s="518"/>
      <c r="B132" s="1150"/>
      <c r="C132" s="1151"/>
      <c r="D132" s="1151"/>
      <c r="E132" s="1151"/>
      <c r="F132" s="1151"/>
      <c r="G132" s="1151"/>
      <c r="H132" s="1151"/>
      <c r="I132" s="1151"/>
      <c r="J132" s="1151"/>
      <c r="K132" s="1151"/>
      <c r="L132" s="1151"/>
      <c r="M132" s="1151"/>
      <c r="N132" s="1151"/>
      <c r="O132" s="1151"/>
      <c r="P132" s="1151"/>
      <c r="Q132" s="1151"/>
      <c r="R132" s="1151"/>
      <c r="S132" s="1151"/>
      <c r="T132" s="1151"/>
      <c r="U132" s="1152"/>
      <c r="V132" s="894"/>
      <c r="W132" s="895"/>
      <c r="X132" s="896"/>
      <c r="Y132" s="1201"/>
      <c r="Z132" s="1202"/>
      <c r="AA132" s="1203"/>
      <c r="AB132" s="1201"/>
      <c r="AC132" s="1202"/>
      <c r="AD132" s="1203"/>
      <c r="AE132" s="1207" cm="1">
        <f t="array" ref="AE132">wwDateDiff(CH_MA_PreviousProgramStart1,CH_MA_PreviousProgramEnd1)</f>
        <v>0</v>
      </c>
      <c r="AF132" s="1208"/>
      <c r="AG132" s="1209"/>
      <c r="AH132" s="518"/>
      <c r="AJ132" s="595"/>
    </row>
    <row r="133" spans="1:36" hidden="1" x14ac:dyDescent="0.45">
      <c r="A133" s="518"/>
      <c r="B133" s="1153"/>
      <c r="C133" s="1154"/>
      <c r="D133" s="1154"/>
      <c r="E133" s="1154"/>
      <c r="F133" s="1154"/>
      <c r="G133" s="1154"/>
      <c r="H133" s="1154"/>
      <c r="I133" s="1154"/>
      <c r="J133" s="1154"/>
      <c r="K133" s="1154"/>
      <c r="L133" s="1154"/>
      <c r="M133" s="1154"/>
      <c r="N133" s="1154"/>
      <c r="O133" s="1154"/>
      <c r="P133" s="1154"/>
      <c r="Q133" s="1154"/>
      <c r="R133" s="1154"/>
      <c r="S133" s="1154"/>
      <c r="T133" s="1154"/>
      <c r="U133" s="1155"/>
      <c r="V133" s="897"/>
      <c r="W133" s="898"/>
      <c r="X133" s="899"/>
      <c r="Y133" s="1204"/>
      <c r="Z133" s="1205"/>
      <c r="AA133" s="1206"/>
      <c r="AB133" s="1204"/>
      <c r="AC133" s="1205"/>
      <c r="AD133" s="1206"/>
      <c r="AE133" s="1210"/>
      <c r="AF133" s="1211"/>
      <c r="AG133" s="1212"/>
      <c r="AH133" s="518"/>
      <c r="AJ133" s="595"/>
    </row>
    <row r="134" spans="1:36" hidden="1" x14ac:dyDescent="0.45">
      <c r="A134" s="518"/>
      <c r="B134" s="1150"/>
      <c r="C134" s="1151"/>
      <c r="D134" s="1151"/>
      <c r="E134" s="1151"/>
      <c r="F134" s="1151"/>
      <c r="G134" s="1151"/>
      <c r="H134" s="1151"/>
      <c r="I134" s="1151"/>
      <c r="J134" s="1151"/>
      <c r="K134" s="1151"/>
      <c r="L134" s="1151"/>
      <c r="M134" s="1151"/>
      <c r="N134" s="1151"/>
      <c r="O134" s="1151"/>
      <c r="P134" s="1151"/>
      <c r="Q134" s="1151"/>
      <c r="R134" s="1151"/>
      <c r="S134" s="1151"/>
      <c r="T134" s="1151"/>
      <c r="U134" s="1152"/>
      <c r="V134" s="894"/>
      <c r="W134" s="895"/>
      <c r="X134" s="896"/>
      <c r="Y134" s="1201"/>
      <c r="Z134" s="1202"/>
      <c r="AA134" s="1203"/>
      <c r="AB134" s="1201"/>
      <c r="AC134" s="1202"/>
      <c r="AD134" s="1203"/>
      <c r="AE134" s="1207" cm="1">
        <f t="array" ref="AE134">wwDateDiff(CH_MA_PreviousProgramStart1,CH_MA_PreviousProgramEnd1)</f>
        <v>0</v>
      </c>
      <c r="AF134" s="1208"/>
      <c r="AG134" s="1209"/>
      <c r="AH134" s="518"/>
      <c r="AJ134" s="595"/>
    </row>
    <row r="135" spans="1:36" hidden="1" x14ac:dyDescent="0.45">
      <c r="A135" s="518"/>
      <c r="B135" s="1153"/>
      <c r="C135" s="1154"/>
      <c r="D135" s="1154"/>
      <c r="E135" s="1154"/>
      <c r="F135" s="1154"/>
      <c r="G135" s="1154"/>
      <c r="H135" s="1154"/>
      <c r="I135" s="1154"/>
      <c r="J135" s="1154"/>
      <c r="K135" s="1154"/>
      <c r="L135" s="1154"/>
      <c r="M135" s="1154"/>
      <c r="N135" s="1154"/>
      <c r="O135" s="1154"/>
      <c r="P135" s="1154"/>
      <c r="Q135" s="1154"/>
      <c r="R135" s="1154"/>
      <c r="S135" s="1154"/>
      <c r="T135" s="1154"/>
      <c r="U135" s="1155"/>
      <c r="V135" s="897"/>
      <c r="W135" s="898"/>
      <c r="X135" s="899"/>
      <c r="Y135" s="1204"/>
      <c r="Z135" s="1205"/>
      <c r="AA135" s="1206"/>
      <c r="AB135" s="1204"/>
      <c r="AC135" s="1205"/>
      <c r="AD135" s="1206"/>
      <c r="AE135" s="1210"/>
      <c r="AF135" s="1211"/>
      <c r="AG135" s="1212"/>
      <c r="AH135" s="518"/>
      <c r="AJ135" s="595"/>
    </row>
    <row r="136" spans="1:36" hidden="1" x14ac:dyDescent="0.45">
      <c r="A136" s="518"/>
      <c r="B136" s="1150"/>
      <c r="C136" s="1151"/>
      <c r="D136" s="1151"/>
      <c r="E136" s="1151"/>
      <c r="F136" s="1151"/>
      <c r="G136" s="1151"/>
      <c r="H136" s="1151"/>
      <c r="I136" s="1151"/>
      <c r="J136" s="1151"/>
      <c r="K136" s="1151"/>
      <c r="L136" s="1151"/>
      <c r="M136" s="1151"/>
      <c r="N136" s="1151"/>
      <c r="O136" s="1151"/>
      <c r="P136" s="1151"/>
      <c r="Q136" s="1151"/>
      <c r="R136" s="1151"/>
      <c r="S136" s="1151"/>
      <c r="T136" s="1151"/>
      <c r="U136" s="1152"/>
      <c r="V136" s="894"/>
      <c r="W136" s="895"/>
      <c r="X136" s="896"/>
      <c r="Y136" s="1201"/>
      <c r="Z136" s="1202"/>
      <c r="AA136" s="1203"/>
      <c r="AB136" s="1201"/>
      <c r="AC136" s="1202"/>
      <c r="AD136" s="1203"/>
      <c r="AE136" s="1207" cm="1">
        <f t="array" ref="AE136">wwDateDiff(CH_MA_PreviousProgramStart1,CH_MA_PreviousProgramEnd1)</f>
        <v>0</v>
      </c>
      <c r="AF136" s="1208"/>
      <c r="AG136" s="1209"/>
      <c r="AH136" s="518"/>
      <c r="AJ136" s="595"/>
    </row>
    <row r="137" spans="1:36" hidden="1" x14ac:dyDescent="0.45">
      <c r="A137" s="518"/>
      <c r="B137" s="1153"/>
      <c r="C137" s="1154"/>
      <c r="D137" s="1154"/>
      <c r="E137" s="1154"/>
      <c r="F137" s="1154"/>
      <c r="G137" s="1154"/>
      <c r="H137" s="1154"/>
      <c r="I137" s="1154"/>
      <c r="J137" s="1154"/>
      <c r="K137" s="1154"/>
      <c r="L137" s="1154"/>
      <c r="M137" s="1154"/>
      <c r="N137" s="1154"/>
      <c r="O137" s="1154"/>
      <c r="P137" s="1154"/>
      <c r="Q137" s="1154"/>
      <c r="R137" s="1154"/>
      <c r="S137" s="1154"/>
      <c r="T137" s="1154"/>
      <c r="U137" s="1155"/>
      <c r="V137" s="897"/>
      <c r="W137" s="898"/>
      <c r="X137" s="899"/>
      <c r="Y137" s="1204"/>
      <c r="Z137" s="1205"/>
      <c r="AA137" s="1206"/>
      <c r="AB137" s="1204"/>
      <c r="AC137" s="1205"/>
      <c r="AD137" s="1206"/>
      <c r="AE137" s="1210"/>
      <c r="AF137" s="1211"/>
      <c r="AG137" s="1212"/>
      <c r="AH137" s="518"/>
      <c r="AJ137" s="595"/>
    </row>
    <row r="138" spans="1:36" hidden="1" x14ac:dyDescent="0.45">
      <c r="A138" s="518"/>
      <c r="B138" s="518"/>
      <c r="C138" s="518"/>
      <c r="D138" s="518"/>
      <c r="E138" s="518"/>
      <c r="F138" s="518"/>
      <c r="G138" s="518"/>
      <c r="H138" s="518"/>
      <c r="I138" s="518"/>
      <c r="J138" s="518"/>
      <c r="K138" s="518"/>
      <c r="L138" s="518"/>
      <c r="M138" s="518"/>
      <c r="N138" s="518"/>
      <c r="O138" s="518"/>
      <c r="P138" s="518"/>
      <c r="Q138" s="518"/>
      <c r="R138" s="518"/>
      <c r="S138" s="518"/>
      <c r="T138" s="518"/>
      <c r="U138" s="518"/>
      <c r="V138" s="518"/>
      <c r="W138" s="518"/>
      <c r="X138" s="518"/>
      <c r="Y138" s="518"/>
      <c r="Z138" s="518"/>
      <c r="AA138" s="518"/>
      <c r="AB138" s="518"/>
      <c r="AC138" s="518"/>
      <c r="AD138" s="518"/>
      <c r="AE138" s="518"/>
      <c r="AF138" s="518"/>
      <c r="AG138" s="518"/>
      <c r="AH138" s="518"/>
      <c r="AJ138" s="595"/>
    </row>
    <row r="139" spans="1:36" ht="40" hidden="1" customHeight="1" x14ac:dyDescent="0.45">
      <c r="A139" s="518"/>
      <c r="B139" s="1121" t="s">
        <v>95</v>
      </c>
      <c r="C139" s="1122"/>
      <c r="D139" s="1122"/>
      <c r="E139" s="1122"/>
      <c r="F139" s="1122"/>
      <c r="G139" s="1122"/>
      <c r="H139" s="1122"/>
      <c r="I139" s="1122"/>
      <c r="J139" s="1122"/>
      <c r="K139" s="1122"/>
      <c r="L139" s="1122"/>
      <c r="M139" s="1122"/>
      <c r="N139" s="1122"/>
      <c r="O139" s="1122"/>
      <c r="P139" s="1122"/>
      <c r="Q139" s="1122"/>
      <c r="R139" s="1122"/>
      <c r="S139" s="1122"/>
      <c r="T139" s="1122"/>
      <c r="U139" s="1122"/>
      <c r="V139" s="1122"/>
      <c r="W139" s="1122"/>
      <c r="X139" s="1122"/>
      <c r="Y139" s="1122"/>
      <c r="Z139" s="1122"/>
      <c r="AA139" s="1122"/>
      <c r="AB139" s="1122"/>
      <c r="AC139" s="1122"/>
      <c r="AD139" s="1122"/>
      <c r="AE139" s="528"/>
      <c r="AF139" s="1123"/>
      <c r="AG139" s="1123"/>
      <c r="AH139" s="518"/>
      <c r="AJ139" s="595"/>
    </row>
    <row r="140" spans="1:36" ht="40" hidden="1" customHeight="1" x14ac:dyDescent="0.45">
      <c r="A140" s="518"/>
      <c r="B140" s="1121" t="s">
        <v>96</v>
      </c>
      <c r="C140" s="1122"/>
      <c r="D140" s="1122"/>
      <c r="E140" s="1122"/>
      <c r="F140" s="1122"/>
      <c r="G140" s="1122"/>
      <c r="H140" s="1122"/>
      <c r="I140" s="1122"/>
      <c r="J140" s="1122"/>
      <c r="K140" s="1122"/>
      <c r="L140" s="1122"/>
      <c r="M140" s="1122"/>
      <c r="N140" s="1122"/>
      <c r="O140" s="1122"/>
      <c r="P140" s="1122"/>
      <c r="Q140" s="1122"/>
      <c r="R140" s="1122"/>
      <c r="S140" s="1122"/>
      <c r="T140" s="1122"/>
      <c r="U140" s="1122"/>
      <c r="V140" s="1122"/>
      <c r="W140" s="1122"/>
      <c r="X140" s="1122"/>
      <c r="Y140" s="1122"/>
      <c r="Z140" s="1122"/>
      <c r="AA140" s="1122"/>
      <c r="AB140" s="1122"/>
      <c r="AC140" s="1122"/>
      <c r="AD140" s="1122"/>
      <c r="AE140" s="528"/>
      <c r="AF140" s="1123"/>
      <c r="AG140" s="1123"/>
      <c r="AH140" s="518"/>
      <c r="AJ140" s="595"/>
    </row>
    <row r="141" spans="1:36" ht="40" hidden="1" customHeight="1" x14ac:dyDescent="0.45">
      <c r="A141" s="518"/>
      <c r="B141" s="1121" t="s">
        <v>97</v>
      </c>
      <c r="C141" s="1122"/>
      <c r="D141" s="1122"/>
      <c r="E141" s="1122"/>
      <c r="F141" s="1122"/>
      <c r="G141" s="1122"/>
      <c r="H141" s="1122"/>
      <c r="I141" s="1122"/>
      <c r="J141" s="1122"/>
      <c r="K141" s="1122"/>
      <c r="L141" s="1122"/>
      <c r="M141" s="1122"/>
      <c r="N141" s="1122"/>
      <c r="O141" s="1122"/>
      <c r="P141" s="1122"/>
      <c r="Q141" s="1122"/>
      <c r="R141" s="1122"/>
      <c r="S141" s="1122"/>
      <c r="T141" s="1122"/>
      <c r="U141" s="1122"/>
      <c r="V141" s="1122"/>
      <c r="W141" s="1122"/>
      <c r="X141" s="1122"/>
      <c r="Y141" s="1122"/>
      <c r="Z141" s="1122"/>
      <c r="AA141" s="1122"/>
      <c r="AB141" s="1122"/>
      <c r="AC141" s="1122"/>
      <c r="AD141" s="1122"/>
      <c r="AE141" s="528"/>
      <c r="AF141" s="1123"/>
      <c r="AG141" s="1123"/>
      <c r="AH141" s="518"/>
      <c r="AJ141" s="595"/>
    </row>
    <row r="142" spans="1:36" ht="26.5" hidden="1" customHeight="1" x14ac:dyDescent="0.45">
      <c r="A142" s="518"/>
      <c r="B142" s="1121" t="s">
        <v>98</v>
      </c>
      <c r="C142" s="1122"/>
      <c r="D142" s="1122"/>
      <c r="E142" s="1122"/>
      <c r="F142" s="1122"/>
      <c r="G142" s="1122"/>
      <c r="H142" s="1122"/>
      <c r="I142" s="1122"/>
      <c r="J142" s="1122"/>
      <c r="K142" s="1122"/>
      <c r="L142" s="1122"/>
      <c r="M142" s="1122"/>
      <c r="N142" s="1122"/>
      <c r="O142" s="1122"/>
      <c r="P142" s="1122"/>
      <c r="Q142" s="1122"/>
      <c r="R142" s="1122"/>
      <c r="S142" s="1122"/>
      <c r="T142" s="1122"/>
      <c r="U142" s="1122"/>
      <c r="V142" s="1122"/>
      <c r="W142" s="1122"/>
      <c r="X142" s="1122"/>
      <c r="Y142" s="1122"/>
      <c r="Z142" s="1122"/>
      <c r="AA142" s="1122"/>
      <c r="AB142" s="1122"/>
      <c r="AC142" s="1122"/>
      <c r="AD142" s="1122"/>
      <c r="AE142" s="528"/>
      <c r="AF142" s="1123"/>
      <c r="AG142" s="1123"/>
      <c r="AH142" s="518"/>
      <c r="AJ142" s="595"/>
    </row>
    <row r="143" spans="1:36" ht="40" hidden="1" customHeight="1" x14ac:dyDescent="0.45">
      <c r="A143" s="518"/>
      <c r="B143" s="1124" t="s">
        <v>99</v>
      </c>
      <c r="C143" s="1125"/>
      <c r="D143" s="1125"/>
      <c r="E143" s="1125"/>
      <c r="F143" s="1125"/>
      <c r="G143" s="1125"/>
      <c r="H143" s="1125"/>
      <c r="I143" s="1125"/>
      <c r="J143" s="1125"/>
      <c r="K143" s="1125"/>
      <c r="L143" s="1125"/>
      <c r="M143" s="1125"/>
      <c r="N143" s="1125"/>
      <c r="O143" s="1125"/>
      <c r="P143" s="1125"/>
      <c r="Q143" s="1125"/>
      <c r="R143" s="1125"/>
      <c r="S143" s="1125"/>
      <c r="T143" s="1125"/>
      <c r="U143" s="1125"/>
      <c r="V143" s="1125"/>
      <c r="W143" s="1125"/>
      <c r="X143" s="1125"/>
      <c r="Y143" s="1125"/>
      <c r="Z143" s="1125"/>
      <c r="AA143" s="1125"/>
      <c r="AB143" s="1125"/>
      <c r="AC143" s="1125"/>
      <c r="AD143" s="1125"/>
      <c r="AE143" s="573"/>
      <c r="AF143" s="1123"/>
      <c r="AG143" s="1123"/>
      <c r="AH143" s="518"/>
      <c r="AJ143" s="595"/>
    </row>
    <row r="144" spans="1:36" hidden="1" x14ac:dyDescent="0.45">
      <c r="A144" s="518"/>
      <c r="B144" s="518"/>
      <c r="C144" s="518"/>
      <c r="D144" s="518"/>
      <c r="E144" s="518"/>
      <c r="F144" s="518"/>
      <c r="G144" s="518"/>
      <c r="H144" s="518"/>
      <c r="I144" s="518"/>
      <c r="J144" s="518"/>
      <c r="K144" s="518"/>
      <c r="L144" s="518"/>
      <c r="M144" s="518"/>
      <c r="N144" s="518"/>
      <c r="O144" s="518"/>
      <c r="P144" s="518"/>
      <c r="Q144" s="518"/>
      <c r="R144" s="518"/>
      <c r="S144" s="518"/>
      <c r="T144" s="518"/>
      <c r="U144" s="518"/>
      <c r="V144" s="518"/>
      <c r="W144" s="518"/>
      <c r="X144" s="518"/>
      <c r="Y144" s="518"/>
      <c r="Z144" s="518"/>
      <c r="AA144" s="518"/>
      <c r="AB144" s="518"/>
      <c r="AC144" s="518"/>
      <c r="AD144" s="518"/>
      <c r="AE144" s="518"/>
      <c r="AF144" s="518"/>
      <c r="AG144" s="518"/>
      <c r="AH144" s="518"/>
      <c r="AJ144" s="595"/>
    </row>
    <row r="145" spans="1:36" hidden="1" x14ac:dyDescent="0.45">
      <c r="A145" s="518"/>
      <c r="B145" s="518"/>
      <c r="C145" s="518"/>
      <c r="D145" s="518"/>
      <c r="E145" s="518"/>
      <c r="F145" s="518"/>
      <c r="G145" s="518"/>
      <c r="H145" s="518"/>
      <c r="I145" s="518"/>
      <c r="J145" s="518"/>
      <c r="K145" s="518"/>
      <c r="L145" s="518"/>
      <c r="M145" s="518"/>
      <c r="N145" s="518"/>
      <c r="O145" s="518"/>
      <c r="P145" s="518"/>
      <c r="Q145" s="518"/>
      <c r="R145" s="518"/>
      <c r="S145" s="518"/>
      <c r="T145" s="518"/>
      <c r="U145" s="518"/>
      <c r="V145" s="518"/>
      <c r="W145" s="518"/>
      <c r="X145" s="518"/>
      <c r="Y145" s="518"/>
      <c r="Z145" s="518"/>
      <c r="AA145" s="518"/>
      <c r="AB145" s="518"/>
      <c r="AC145" s="518"/>
      <c r="AD145" s="518"/>
      <c r="AE145" s="518"/>
      <c r="AF145" s="518"/>
      <c r="AG145" s="518"/>
      <c r="AH145" s="518"/>
      <c r="AJ145" s="595"/>
    </row>
    <row r="146" spans="1:36" hidden="1" x14ac:dyDescent="0.45">
      <c r="A146" s="518"/>
      <c r="B146" s="923" t="s">
        <v>87</v>
      </c>
      <c r="C146" s="923"/>
      <c r="D146" s="923"/>
      <c r="E146" s="923"/>
      <c r="F146" s="923"/>
      <c r="G146" s="923"/>
      <c r="H146" s="923"/>
      <c r="I146" s="923"/>
      <c r="J146" s="923"/>
      <c r="K146" s="923"/>
      <c r="L146" s="923"/>
      <c r="M146" s="923"/>
      <c r="N146" s="923"/>
      <c r="O146" s="923"/>
      <c r="P146" s="923"/>
      <c r="Q146" s="923"/>
      <c r="R146" s="923"/>
      <c r="S146" s="923"/>
      <c r="T146" s="923"/>
      <c r="U146" s="923"/>
      <c r="V146" s="923"/>
      <c r="W146" s="923"/>
      <c r="X146" s="923"/>
      <c r="Y146" s="923"/>
      <c r="Z146" s="923"/>
      <c r="AA146" s="923"/>
      <c r="AB146" s="923"/>
      <c r="AC146" s="923"/>
      <c r="AD146" s="923"/>
      <c r="AE146" s="923"/>
      <c r="AF146" s="923"/>
      <c r="AG146" s="923"/>
      <c r="AH146" s="518"/>
      <c r="AJ146" s="595"/>
    </row>
    <row r="147" spans="1:36" hidden="1" x14ac:dyDescent="0.45">
      <c r="A147" s="518"/>
      <c r="B147" s="518"/>
      <c r="C147" s="518"/>
      <c r="D147" s="518"/>
      <c r="E147" s="518"/>
      <c r="F147" s="518"/>
      <c r="G147" s="518"/>
      <c r="H147" s="518"/>
      <c r="I147" s="518"/>
      <c r="J147" s="518"/>
      <c r="K147" s="518"/>
      <c r="L147" s="518"/>
      <c r="M147" s="518"/>
      <c r="N147" s="518"/>
      <c r="O147" s="518"/>
      <c r="P147" s="518"/>
      <c r="Q147" s="518"/>
      <c r="R147" s="518"/>
      <c r="S147" s="518"/>
      <c r="T147" s="518"/>
      <c r="U147" s="518"/>
      <c r="V147" s="518"/>
      <c r="W147" s="518"/>
      <c r="X147" s="518"/>
      <c r="Y147" s="518"/>
      <c r="Z147" s="518"/>
      <c r="AA147" s="518"/>
      <c r="AB147" s="518"/>
      <c r="AC147" s="518"/>
      <c r="AD147" s="518"/>
      <c r="AE147" s="518"/>
      <c r="AF147" s="518"/>
      <c r="AG147" s="518"/>
      <c r="AH147" s="518"/>
      <c r="AJ147" s="595"/>
    </row>
    <row r="148" spans="1:36" hidden="1" x14ac:dyDescent="0.45">
      <c r="A148" s="518"/>
      <c r="B148" s="907" t="s">
        <v>100</v>
      </c>
      <c r="C148" s="907"/>
      <c r="D148" s="907"/>
      <c r="E148" s="907"/>
      <c r="F148" s="907"/>
      <c r="G148" s="907"/>
      <c r="H148" s="907"/>
      <c r="I148" s="907"/>
      <c r="J148" s="907"/>
      <c r="K148" s="907"/>
      <c r="L148" s="907"/>
      <c r="M148" s="907"/>
      <c r="N148" s="907"/>
      <c r="O148" s="907"/>
      <c r="P148" s="907"/>
      <c r="Q148" s="907"/>
      <c r="R148" s="907"/>
      <c r="S148" s="907"/>
      <c r="T148" s="907"/>
      <c r="U148" s="907"/>
      <c r="V148" s="907"/>
      <c r="W148" s="907"/>
      <c r="X148" s="907"/>
      <c r="Y148" s="907"/>
      <c r="Z148" s="907"/>
      <c r="AA148" s="907"/>
      <c r="AB148" s="907"/>
      <c r="AC148" s="907"/>
      <c r="AD148" s="907"/>
      <c r="AE148" s="907"/>
      <c r="AF148" s="907"/>
      <c r="AG148" s="907"/>
      <c r="AH148" s="518"/>
      <c r="AJ148" s="595"/>
    </row>
    <row r="149" spans="1:36" ht="304" hidden="1" customHeight="1" x14ac:dyDescent="0.45">
      <c r="A149" s="518"/>
      <c r="B149" s="1248"/>
      <c r="C149" s="1248"/>
      <c r="D149" s="1248"/>
      <c r="E149" s="1248"/>
      <c r="F149" s="1248"/>
      <c r="G149" s="1248"/>
      <c r="H149" s="1248"/>
      <c r="I149" s="1248"/>
      <c r="J149" s="1248"/>
      <c r="K149" s="1248"/>
      <c r="L149" s="1248"/>
      <c r="M149" s="1248"/>
      <c r="N149" s="1248"/>
      <c r="O149" s="1248"/>
      <c r="P149" s="1248"/>
      <c r="Q149" s="1248"/>
      <c r="R149" s="1248"/>
      <c r="S149" s="1248"/>
      <c r="T149" s="1248"/>
      <c r="U149" s="1248"/>
      <c r="V149" s="1248"/>
      <c r="W149" s="1248"/>
      <c r="X149" s="1248"/>
      <c r="Y149" s="1248"/>
      <c r="Z149" s="1248"/>
      <c r="AA149" s="1248"/>
      <c r="AB149" s="1248"/>
      <c r="AC149" s="1248"/>
      <c r="AD149" s="1248"/>
      <c r="AE149" s="1248"/>
      <c r="AF149" s="1248"/>
      <c r="AG149" s="1248"/>
      <c r="AH149" s="518"/>
      <c r="AJ149" s="595"/>
    </row>
    <row r="150" spans="1:36" ht="304" hidden="1" customHeight="1" x14ac:dyDescent="0.45">
      <c r="A150" s="518"/>
      <c r="B150" s="1248"/>
      <c r="C150" s="1248"/>
      <c r="D150" s="1248"/>
      <c r="E150" s="1248"/>
      <c r="F150" s="1248"/>
      <c r="G150" s="1248"/>
      <c r="H150" s="1248"/>
      <c r="I150" s="1248"/>
      <c r="J150" s="1248"/>
      <c r="K150" s="1248"/>
      <c r="L150" s="1248"/>
      <c r="M150" s="1248"/>
      <c r="N150" s="1248"/>
      <c r="O150" s="1248"/>
      <c r="P150" s="1248"/>
      <c r="Q150" s="1248"/>
      <c r="R150" s="1248"/>
      <c r="S150" s="1248"/>
      <c r="T150" s="1248"/>
      <c r="U150" s="1248"/>
      <c r="V150" s="1248"/>
      <c r="W150" s="1248"/>
      <c r="X150" s="1248"/>
      <c r="Y150" s="1248"/>
      <c r="Z150" s="1248"/>
      <c r="AA150" s="1248"/>
      <c r="AB150" s="1248"/>
      <c r="AC150" s="1248"/>
      <c r="AD150" s="1248"/>
      <c r="AE150" s="1248"/>
      <c r="AF150" s="1248"/>
      <c r="AG150" s="1248"/>
      <c r="AH150" s="518"/>
      <c r="AJ150" s="595"/>
    </row>
    <row r="151" spans="1:36" hidden="1" x14ac:dyDescent="0.45">
      <c r="A151" s="518"/>
      <c r="B151" s="518"/>
      <c r="C151" s="518"/>
      <c r="D151" s="518"/>
      <c r="E151" s="518"/>
      <c r="F151" s="518"/>
      <c r="G151" s="518"/>
      <c r="H151" s="518"/>
      <c r="I151" s="518"/>
      <c r="J151" s="518"/>
      <c r="K151" s="518"/>
      <c r="L151" s="518"/>
      <c r="M151" s="518"/>
      <c r="N151" s="518"/>
      <c r="O151" s="518"/>
      <c r="P151" s="518"/>
      <c r="Q151" s="518"/>
      <c r="R151" s="518"/>
      <c r="S151" s="518"/>
      <c r="T151" s="518"/>
      <c r="U151" s="518"/>
      <c r="V151" s="518"/>
      <c r="W151" s="518"/>
      <c r="X151" s="518"/>
      <c r="Y151" s="518"/>
      <c r="Z151" s="518"/>
      <c r="AA151" s="518"/>
      <c r="AB151" s="518"/>
      <c r="AC151" s="518"/>
      <c r="AD151" s="518"/>
      <c r="AE151" s="518"/>
      <c r="AF151" s="518"/>
      <c r="AG151" s="518"/>
      <c r="AH151" s="518"/>
      <c r="AJ151" s="595"/>
    </row>
    <row r="152" spans="1:36" hidden="1" x14ac:dyDescent="0.45">
      <c r="A152" s="518"/>
      <c r="B152" s="518"/>
      <c r="C152" s="518"/>
      <c r="D152" s="518"/>
      <c r="E152" s="518"/>
      <c r="F152" s="518"/>
      <c r="G152" s="518"/>
      <c r="H152" s="518"/>
      <c r="I152" s="518"/>
      <c r="J152" s="518"/>
      <c r="K152" s="518"/>
      <c r="L152" s="518"/>
      <c r="M152" s="518"/>
      <c r="N152" s="518"/>
      <c r="O152" s="518"/>
      <c r="P152" s="518"/>
      <c r="Q152" s="518"/>
      <c r="R152" s="518"/>
      <c r="S152" s="518"/>
      <c r="T152" s="518"/>
      <c r="U152" s="518"/>
      <c r="V152" s="518"/>
      <c r="W152" s="518"/>
      <c r="X152" s="518"/>
      <c r="Y152" s="518"/>
      <c r="Z152" s="518"/>
      <c r="AA152" s="518"/>
      <c r="AB152" s="518"/>
      <c r="AC152" s="518"/>
      <c r="AD152" s="518"/>
      <c r="AE152" s="518"/>
      <c r="AF152" s="518"/>
      <c r="AG152" s="518"/>
      <c r="AH152" s="518"/>
      <c r="AJ152" s="595"/>
    </row>
    <row r="153" spans="1:36" hidden="1" x14ac:dyDescent="0.45">
      <c r="A153" s="518"/>
      <c r="B153" s="923" t="s">
        <v>87</v>
      </c>
      <c r="C153" s="923"/>
      <c r="D153" s="923"/>
      <c r="E153" s="923"/>
      <c r="F153" s="923"/>
      <c r="G153" s="923"/>
      <c r="H153" s="923"/>
      <c r="I153" s="923"/>
      <c r="J153" s="923"/>
      <c r="K153" s="923"/>
      <c r="L153" s="923"/>
      <c r="M153" s="923"/>
      <c r="N153" s="923"/>
      <c r="O153" s="923"/>
      <c r="P153" s="923"/>
      <c r="Q153" s="923"/>
      <c r="R153" s="923"/>
      <c r="S153" s="923"/>
      <c r="T153" s="923"/>
      <c r="U153" s="923"/>
      <c r="V153" s="923"/>
      <c r="W153" s="923"/>
      <c r="X153" s="923"/>
      <c r="Y153" s="923"/>
      <c r="Z153" s="923"/>
      <c r="AA153" s="923"/>
      <c r="AB153" s="923"/>
      <c r="AC153" s="923"/>
      <c r="AD153" s="923"/>
      <c r="AE153" s="923"/>
      <c r="AF153" s="923"/>
      <c r="AG153" s="923"/>
      <c r="AH153" s="518"/>
      <c r="AJ153" s="595"/>
    </row>
    <row r="154" spans="1:36" hidden="1" x14ac:dyDescent="0.45">
      <c r="A154" s="518"/>
      <c r="B154" s="518"/>
      <c r="C154" s="518"/>
      <c r="D154" s="518"/>
      <c r="E154" s="518"/>
      <c r="F154" s="518"/>
      <c r="G154" s="518"/>
      <c r="H154" s="518"/>
      <c r="I154" s="518"/>
      <c r="J154" s="518"/>
      <c r="K154" s="518"/>
      <c r="L154" s="518"/>
      <c r="M154" s="518"/>
      <c r="N154" s="518"/>
      <c r="O154" s="518"/>
      <c r="P154" s="518"/>
      <c r="Q154" s="518"/>
      <c r="R154" s="518"/>
      <c r="S154" s="518"/>
      <c r="T154" s="518"/>
      <c r="U154" s="518"/>
      <c r="V154" s="518"/>
      <c r="W154" s="518"/>
      <c r="X154" s="518"/>
      <c r="Y154" s="518"/>
      <c r="Z154" s="518"/>
      <c r="AA154" s="518"/>
      <c r="AB154" s="518"/>
      <c r="AC154" s="518"/>
      <c r="AD154" s="518"/>
      <c r="AE154" s="518"/>
      <c r="AF154" s="518"/>
      <c r="AG154" s="518"/>
      <c r="AH154" s="518"/>
      <c r="AJ154" s="595"/>
    </row>
    <row r="155" spans="1:36" hidden="1" x14ac:dyDescent="0.45">
      <c r="A155" s="518"/>
      <c r="B155" s="907" t="s">
        <v>101</v>
      </c>
      <c r="C155" s="907"/>
      <c r="D155" s="907"/>
      <c r="E155" s="907"/>
      <c r="F155" s="907"/>
      <c r="G155" s="907"/>
      <c r="H155" s="907"/>
      <c r="I155" s="907"/>
      <c r="J155" s="907"/>
      <c r="K155" s="907"/>
      <c r="L155" s="907"/>
      <c r="M155" s="907"/>
      <c r="N155" s="907"/>
      <c r="O155" s="907"/>
      <c r="P155" s="907"/>
      <c r="Q155" s="907"/>
      <c r="R155" s="907"/>
      <c r="S155" s="907"/>
      <c r="T155" s="907"/>
      <c r="U155" s="907"/>
      <c r="V155" s="907"/>
      <c r="W155" s="907"/>
      <c r="X155" s="907"/>
      <c r="Y155" s="907"/>
      <c r="Z155" s="907"/>
      <c r="AA155" s="907"/>
      <c r="AB155" s="907"/>
      <c r="AC155" s="907"/>
      <c r="AD155" s="907"/>
      <c r="AE155" s="907"/>
      <c r="AF155" s="907"/>
      <c r="AG155" s="907"/>
      <c r="AH155" s="518"/>
      <c r="AJ155" s="595"/>
    </row>
    <row r="156" spans="1:36" ht="304" hidden="1" customHeight="1" x14ac:dyDescent="0.45">
      <c r="A156" s="518"/>
      <c r="B156" s="1248"/>
      <c r="C156" s="1248"/>
      <c r="D156" s="1248"/>
      <c r="E156" s="1248"/>
      <c r="F156" s="1248"/>
      <c r="G156" s="1248"/>
      <c r="H156" s="1248"/>
      <c r="I156" s="1248"/>
      <c r="J156" s="1248"/>
      <c r="K156" s="1248"/>
      <c r="L156" s="1248"/>
      <c r="M156" s="1248"/>
      <c r="N156" s="1248"/>
      <c r="O156" s="1248"/>
      <c r="P156" s="1248"/>
      <c r="Q156" s="1248"/>
      <c r="R156" s="1248"/>
      <c r="S156" s="1248"/>
      <c r="T156" s="1248"/>
      <c r="U156" s="1248"/>
      <c r="V156" s="1248"/>
      <c r="W156" s="1248"/>
      <c r="X156" s="1248"/>
      <c r="Y156" s="1248"/>
      <c r="Z156" s="1248"/>
      <c r="AA156" s="1248"/>
      <c r="AB156" s="1248"/>
      <c r="AC156" s="1248"/>
      <c r="AD156" s="1248"/>
      <c r="AE156" s="1248"/>
      <c r="AF156" s="1248"/>
      <c r="AG156" s="1248"/>
      <c r="AH156" s="518"/>
      <c r="AJ156" s="595"/>
    </row>
    <row r="157" spans="1:36" ht="304" hidden="1" customHeight="1" x14ac:dyDescent="0.45">
      <c r="A157" s="518"/>
      <c r="B157" s="1248"/>
      <c r="C157" s="1248"/>
      <c r="D157" s="1248"/>
      <c r="E157" s="1248"/>
      <c r="F157" s="1248"/>
      <c r="G157" s="1248"/>
      <c r="H157" s="1248"/>
      <c r="I157" s="1248"/>
      <c r="J157" s="1248"/>
      <c r="K157" s="1248"/>
      <c r="L157" s="1248"/>
      <c r="M157" s="1248"/>
      <c r="N157" s="1248"/>
      <c r="O157" s="1248"/>
      <c r="P157" s="1248"/>
      <c r="Q157" s="1248"/>
      <c r="R157" s="1248"/>
      <c r="S157" s="1248"/>
      <c r="T157" s="1248"/>
      <c r="U157" s="1248"/>
      <c r="V157" s="1248"/>
      <c r="W157" s="1248"/>
      <c r="X157" s="1248"/>
      <c r="Y157" s="1248"/>
      <c r="Z157" s="1248"/>
      <c r="AA157" s="1248"/>
      <c r="AB157" s="1248"/>
      <c r="AC157" s="1248"/>
      <c r="AD157" s="1248"/>
      <c r="AE157" s="1248"/>
      <c r="AF157" s="1248"/>
      <c r="AG157" s="1248"/>
      <c r="AH157" s="518"/>
      <c r="AJ157" s="595"/>
    </row>
    <row r="158" spans="1:36" hidden="1" x14ac:dyDescent="0.45">
      <c r="A158" s="518"/>
      <c r="B158" s="517"/>
      <c r="C158" s="517"/>
      <c r="D158" s="517"/>
      <c r="E158" s="517"/>
      <c r="F158" s="517"/>
      <c r="G158" s="517"/>
      <c r="H158" s="517"/>
      <c r="I158" s="517"/>
      <c r="J158" s="517"/>
      <c r="K158" s="517"/>
      <c r="L158" s="517"/>
      <c r="M158" s="517"/>
      <c r="N158" s="517"/>
      <c r="O158" s="517"/>
      <c r="P158" s="517"/>
      <c r="Q158" s="517"/>
      <c r="R158" s="517"/>
      <c r="S158" s="517"/>
      <c r="T158" s="517"/>
      <c r="U158" s="517"/>
      <c r="V158" s="517"/>
      <c r="W158" s="517"/>
      <c r="X158" s="517"/>
      <c r="Y158" s="517"/>
      <c r="Z158" s="517"/>
      <c r="AA158" s="517"/>
      <c r="AB158" s="517"/>
      <c r="AC158" s="517"/>
      <c r="AD158" s="517"/>
      <c r="AE158" s="517"/>
      <c r="AF158" s="517"/>
      <c r="AG158" s="517"/>
      <c r="AH158" s="518"/>
      <c r="AJ158" s="595"/>
    </row>
    <row r="159" spans="1:36" hidden="1" x14ac:dyDescent="0.45">
      <c r="A159" s="518"/>
      <c r="B159" s="518"/>
      <c r="C159" s="518"/>
      <c r="D159" s="518"/>
      <c r="E159" s="518"/>
      <c r="F159" s="518"/>
      <c r="G159" s="518"/>
      <c r="H159" s="518"/>
      <c r="I159" s="518"/>
      <c r="J159" s="518"/>
      <c r="K159" s="518"/>
      <c r="L159" s="518"/>
      <c r="M159" s="518"/>
      <c r="N159" s="518"/>
      <c r="O159" s="518"/>
      <c r="P159" s="518"/>
      <c r="Q159" s="518"/>
      <c r="R159" s="518"/>
      <c r="S159" s="518"/>
      <c r="T159" s="518"/>
      <c r="U159" s="518"/>
      <c r="V159" s="518"/>
      <c r="W159" s="518"/>
      <c r="X159" s="518"/>
      <c r="Y159" s="518"/>
      <c r="Z159" s="518"/>
      <c r="AA159" s="518"/>
      <c r="AB159" s="518"/>
      <c r="AC159" s="518"/>
      <c r="AD159" s="518"/>
      <c r="AE159" s="518"/>
      <c r="AF159" s="518"/>
      <c r="AG159" s="518"/>
      <c r="AH159" s="518"/>
      <c r="AJ159" s="595"/>
    </row>
    <row r="160" spans="1:36" hidden="1" x14ac:dyDescent="0.45">
      <c r="A160" s="518"/>
      <c r="B160" s="923" t="s">
        <v>87</v>
      </c>
      <c r="C160" s="923"/>
      <c r="D160" s="923"/>
      <c r="E160" s="923"/>
      <c r="F160" s="923"/>
      <c r="G160" s="923"/>
      <c r="H160" s="923"/>
      <c r="I160" s="923"/>
      <c r="J160" s="923"/>
      <c r="K160" s="923"/>
      <c r="L160" s="923"/>
      <c r="M160" s="923"/>
      <c r="N160" s="923"/>
      <c r="O160" s="923"/>
      <c r="P160" s="923"/>
      <c r="Q160" s="923"/>
      <c r="R160" s="923"/>
      <c r="S160" s="923"/>
      <c r="T160" s="923"/>
      <c r="U160" s="923"/>
      <c r="V160" s="923"/>
      <c r="W160" s="923"/>
      <c r="X160" s="923"/>
      <c r="Y160" s="923"/>
      <c r="Z160" s="923"/>
      <c r="AA160" s="923"/>
      <c r="AB160" s="923"/>
      <c r="AC160" s="923"/>
      <c r="AD160" s="923"/>
      <c r="AE160" s="923"/>
      <c r="AF160" s="923"/>
      <c r="AG160" s="923"/>
      <c r="AH160" s="518"/>
      <c r="AJ160" s="595"/>
    </row>
    <row r="161" spans="1:36" hidden="1" x14ac:dyDescent="0.45">
      <c r="A161" s="518"/>
      <c r="B161" s="566"/>
      <c r="C161" s="566"/>
      <c r="D161" s="566"/>
      <c r="E161" s="566"/>
      <c r="F161" s="566"/>
      <c r="G161" s="566"/>
      <c r="H161" s="566"/>
      <c r="I161" s="566"/>
      <c r="J161" s="566"/>
      <c r="K161" s="566"/>
      <c r="L161" s="566"/>
      <c r="M161" s="566"/>
      <c r="N161" s="566"/>
      <c r="O161" s="566"/>
      <c r="P161" s="566"/>
      <c r="Q161" s="566"/>
      <c r="R161" s="566"/>
      <c r="S161" s="566"/>
      <c r="T161" s="566"/>
      <c r="U161" s="566"/>
      <c r="V161" s="566"/>
      <c r="W161" s="566"/>
      <c r="X161" s="566"/>
      <c r="Y161" s="566"/>
      <c r="Z161" s="566"/>
      <c r="AA161" s="566"/>
      <c r="AB161" s="566"/>
      <c r="AC161" s="566"/>
      <c r="AD161" s="566"/>
      <c r="AE161" s="566"/>
      <c r="AF161" s="566"/>
      <c r="AG161" s="566"/>
      <c r="AH161" s="518"/>
      <c r="AJ161" s="595"/>
    </row>
    <row r="162" spans="1:36" ht="41.15" hidden="1" customHeight="1" x14ac:dyDescent="0.45">
      <c r="A162" s="518"/>
      <c r="B162" s="1183" t="s">
        <v>1786</v>
      </c>
      <c r="C162" s="1183"/>
      <c r="D162" s="1183"/>
      <c r="E162" s="1183"/>
      <c r="F162" s="1183"/>
      <c r="G162" s="1183"/>
      <c r="H162" s="1183"/>
      <c r="I162" s="1183"/>
      <c r="J162" s="1183"/>
      <c r="K162" s="1183"/>
      <c r="L162" s="1183"/>
      <c r="M162" s="1183"/>
      <c r="N162" s="1183"/>
      <c r="O162" s="1183"/>
      <c r="P162" s="1183"/>
      <c r="Q162" s="1183"/>
      <c r="R162" s="1183"/>
      <c r="S162" s="1183"/>
      <c r="T162" s="1183"/>
      <c r="U162" s="1183"/>
      <c r="V162" s="1183"/>
      <c r="W162" s="1183"/>
      <c r="X162" s="1183"/>
      <c r="Y162" s="1183"/>
      <c r="Z162" s="1183"/>
      <c r="AA162" s="1183"/>
      <c r="AB162" s="1183"/>
      <c r="AC162" s="1183"/>
      <c r="AD162" s="1183"/>
      <c r="AE162" s="1183"/>
      <c r="AF162" s="1183"/>
      <c r="AG162" s="1183"/>
      <c r="AH162" s="518"/>
      <c r="AJ162" s="595"/>
    </row>
    <row r="163" spans="1:36" hidden="1" x14ac:dyDescent="0.45">
      <c r="A163" s="518"/>
      <c r="B163" s="518"/>
      <c r="C163" s="518"/>
      <c r="D163" s="518"/>
      <c r="E163" s="518"/>
      <c r="F163" s="518"/>
      <c r="G163" s="518"/>
      <c r="H163" s="518"/>
      <c r="I163" s="518"/>
      <c r="J163" s="518"/>
      <c r="K163" s="518"/>
      <c r="L163" s="518"/>
      <c r="M163" s="518"/>
      <c r="N163" s="518"/>
      <c r="O163" s="518"/>
      <c r="P163" s="518"/>
      <c r="Q163" s="518"/>
      <c r="R163" s="518"/>
      <c r="S163" s="518"/>
      <c r="T163" s="518"/>
      <c r="U163" s="518"/>
      <c r="V163" s="518"/>
      <c r="W163" s="518"/>
      <c r="X163" s="518"/>
      <c r="Y163" s="518"/>
      <c r="Z163" s="518"/>
      <c r="AA163" s="518"/>
      <c r="AB163" s="518"/>
      <c r="AC163" s="518"/>
      <c r="AD163" s="518"/>
      <c r="AE163" s="518"/>
      <c r="AF163" s="518"/>
      <c r="AG163" s="518"/>
      <c r="AH163" s="518"/>
      <c r="AJ163" s="595"/>
    </row>
    <row r="164" spans="1:36" hidden="1" x14ac:dyDescent="0.45">
      <c r="A164" s="518"/>
      <c r="B164" s="1187"/>
      <c r="C164" s="1188"/>
      <c r="D164" s="1189"/>
      <c r="E164" s="518"/>
      <c r="F164" s="986" t="s">
        <v>104</v>
      </c>
      <c r="G164" s="986"/>
      <c r="H164" s="986"/>
      <c r="I164" s="986"/>
      <c r="J164" s="986"/>
      <c r="K164" s="986"/>
      <c r="L164" s="986"/>
      <c r="M164" s="986"/>
      <c r="N164" s="986"/>
      <c r="O164" s="986"/>
      <c r="P164" s="986"/>
      <c r="Q164" s="986"/>
      <c r="R164" s="986"/>
      <c r="S164" s="986"/>
      <c r="T164" s="986"/>
      <c r="U164" s="986"/>
      <c r="V164" s="986"/>
      <c r="W164" s="986"/>
      <c r="X164" s="986"/>
      <c r="Y164" s="986"/>
      <c r="Z164" s="986"/>
      <c r="AA164" s="986"/>
      <c r="AB164" s="986"/>
      <c r="AC164" s="986"/>
      <c r="AD164" s="986"/>
      <c r="AE164" s="986"/>
      <c r="AF164" s="986"/>
      <c r="AG164" s="986"/>
      <c r="AH164" s="518"/>
      <c r="AJ164" s="595"/>
    </row>
    <row r="165" spans="1:36" hidden="1" x14ac:dyDescent="0.45">
      <c r="A165" s="518"/>
      <c r="B165" s="1187"/>
      <c r="C165" s="1188"/>
      <c r="D165" s="1189"/>
      <c r="E165" s="518"/>
      <c r="F165" s="986" t="s">
        <v>105</v>
      </c>
      <c r="G165" s="986"/>
      <c r="H165" s="986"/>
      <c r="I165" s="986"/>
      <c r="J165" s="986"/>
      <c r="K165" s="986"/>
      <c r="L165" s="986"/>
      <c r="M165" s="986"/>
      <c r="N165" s="986"/>
      <c r="O165" s="986"/>
      <c r="P165" s="986"/>
      <c r="Q165" s="986"/>
      <c r="R165" s="986"/>
      <c r="S165" s="986"/>
      <c r="T165" s="986"/>
      <c r="U165" s="986"/>
      <c r="V165" s="986"/>
      <c r="W165" s="986"/>
      <c r="X165" s="986"/>
      <c r="Y165" s="986"/>
      <c r="Z165" s="986"/>
      <c r="AA165" s="986"/>
      <c r="AB165" s="986"/>
      <c r="AC165" s="986"/>
      <c r="AD165" s="986"/>
      <c r="AE165" s="986"/>
      <c r="AF165" s="986"/>
      <c r="AG165" s="986"/>
      <c r="AH165" s="518"/>
      <c r="AJ165" s="595"/>
    </row>
    <row r="166" spans="1:36" hidden="1" x14ac:dyDescent="0.45">
      <c r="A166" s="518"/>
      <c r="B166" s="1187"/>
      <c r="C166" s="1188"/>
      <c r="D166" s="1189"/>
      <c r="E166" s="518"/>
      <c r="F166" s="986" t="s">
        <v>106</v>
      </c>
      <c r="G166" s="986"/>
      <c r="H166" s="986"/>
      <c r="I166" s="986"/>
      <c r="J166" s="986"/>
      <c r="K166" s="986"/>
      <c r="L166" s="986"/>
      <c r="M166" s="986"/>
      <c r="N166" s="986"/>
      <c r="O166" s="986"/>
      <c r="P166" s="986"/>
      <c r="Q166" s="986"/>
      <c r="R166" s="986"/>
      <c r="S166" s="986"/>
      <c r="T166" s="986"/>
      <c r="U166" s="986"/>
      <c r="V166" s="986"/>
      <c r="W166" s="986"/>
      <c r="X166" s="986"/>
      <c r="Y166" s="986"/>
      <c r="Z166" s="986"/>
      <c r="AA166" s="986"/>
      <c r="AB166" s="986"/>
      <c r="AC166" s="986"/>
      <c r="AD166" s="986"/>
      <c r="AE166" s="986"/>
      <c r="AF166" s="986"/>
      <c r="AG166" s="986"/>
      <c r="AH166" s="518"/>
      <c r="AJ166" s="595"/>
    </row>
    <row r="167" spans="1:36" hidden="1" x14ac:dyDescent="0.45">
      <c r="A167" s="518"/>
      <c r="B167" s="518"/>
      <c r="C167" s="518"/>
      <c r="D167" s="518"/>
      <c r="E167" s="518"/>
      <c r="F167" s="518"/>
      <c r="G167" s="518"/>
      <c r="H167" s="518"/>
      <c r="I167" s="518"/>
      <c r="J167" s="518"/>
      <c r="K167" s="518"/>
      <c r="L167" s="518"/>
      <c r="M167" s="518"/>
      <c r="N167" s="518"/>
      <c r="O167" s="518"/>
      <c r="P167" s="518"/>
      <c r="Q167" s="518"/>
      <c r="R167" s="518"/>
      <c r="S167" s="518"/>
      <c r="T167" s="518"/>
      <c r="U167" s="518"/>
      <c r="V167" s="518"/>
      <c r="W167" s="518"/>
      <c r="X167" s="518"/>
      <c r="Y167" s="518"/>
      <c r="Z167" s="518"/>
      <c r="AA167" s="518"/>
      <c r="AB167" s="518"/>
      <c r="AC167" s="518"/>
      <c r="AD167" s="518"/>
      <c r="AE167" s="518"/>
      <c r="AF167" s="518"/>
      <c r="AG167" s="518"/>
      <c r="AH167" s="518"/>
      <c r="AJ167" s="595"/>
    </row>
    <row r="168" spans="1:36" hidden="1" x14ac:dyDescent="0.45">
      <c r="A168" s="518"/>
      <c r="B168" s="518"/>
      <c r="C168" s="518"/>
      <c r="D168" s="518"/>
      <c r="E168" s="518"/>
      <c r="F168" s="518"/>
      <c r="G168" s="518"/>
      <c r="H168" s="518"/>
      <c r="I168" s="518"/>
      <c r="J168" s="518"/>
      <c r="K168" s="518"/>
      <c r="L168" s="518"/>
      <c r="M168" s="518"/>
      <c r="N168" s="518"/>
      <c r="O168" s="518"/>
      <c r="P168" s="518"/>
      <c r="Q168" s="518"/>
      <c r="R168" s="518"/>
      <c r="S168" s="518"/>
      <c r="T168" s="518"/>
      <c r="U168" s="518"/>
      <c r="V168" s="518"/>
      <c r="W168" s="518"/>
      <c r="X168" s="518"/>
      <c r="Y168" s="518"/>
      <c r="Z168" s="518"/>
      <c r="AA168" s="518"/>
      <c r="AB168" s="518"/>
      <c r="AC168" s="518"/>
      <c r="AD168" s="518"/>
      <c r="AE168" s="518"/>
      <c r="AF168" s="518"/>
      <c r="AG168" s="518"/>
      <c r="AH168" s="518"/>
      <c r="AJ168" s="595" t="b">
        <f>AND(AJ$119,CH_MA_UnrestrictedTotalRequested&gt;0)</f>
        <v>0</v>
      </c>
    </row>
    <row r="169" spans="1:36" hidden="1" x14ac:dyDescent="0.45">
      <c r="A169" s="518"/>
      <c r="B169" s="923" t="s">
        <v>87</v>
      </c>
      <c r="C169" s="923"/>
      <c r="D169" s="923"/>
      <c r="E169" s="923"/>
      <c r="F169" s="923"/>
      <c r="G169" s="923"/>
      <c r="H169" s="923"/>
      <c r="I169" s="923"/>
      <c r="J169" s="923"/>
      <c r="K169" s="923"/>
      <c r="L169" s="923"/>
      <c r="M169" s="923"/>
      <c r="N169" s="923"/>
      <c r="O169" s="923"/>
      <c r="P169" s="923"/>
      <c r="Q169" s="923"/>
      <c r="R169" s="923"/>
      <c r="S169" s="923"/>
      <c r="T169" s="923"/>
      <c r="U169" s="923"/>
      <c r="V169" s="923"/>
      <c r="W169" s="923"/>
      <c r="X169" s="923"/>
      <c r="Y169" s="923"/>
      <c r="Z169" s="923"/>
      <c r="AA169" s="923"/>
      <c r="AB169" s="923"/>
      <c r="AC169" s="923"/>
      <c r="AD169" s="923"/>
      <c r="AE169" s="923"/>
      <c r="AF169" s="923"/>
      <c r="AG169" s="923"/>
      <c r="AH169" s="518"/>
      <c r="AJ169" s="595"/>
    </row>
    <row r="170" spans="1:36" hidden="1" x14ac:dyDescent="0.45">
      <c r="A170" s="518"/>
      <c r="B170" s="924" t="s">
        <v>107</v>
      </c>
      <c r="C170" s="925"/>
      <c r="D170" s="925"/>
      <c r="E170" s="925"/>
      <c r="F170" s="925"/>
      <c r="G170" s="925"/>
      <c r="H170" s="925"/>
      <c r="I170" s="925"/>
      <c r="J170" s="925"/>
      <c r="K170" s="925"/>
      <c r="L170" s="925"/>
      <c r="M170" s="925"/>
      <c r="N170" s="925"/>
      <c r="O170" s="925"/>
      <c r="P170" s="925"/>
      <c r="Q170" s="925"/>
      <c r="R170" s="925"/>
      <c r="S170" s="925"/>
      <c r="T170" s="925"/>
      <c r="U170" s="925"/>
      <c r="V170" s="925"/>
      <c r="W170" s="925"/>
      <c r="X170" s="925"/>
      <c r="Y170" s="925"/>
      <c r="Z170" s="925"/>
      <c r="AA170" s="925"/>
      <c r="AB170" s="925"/>
      <c r="AC170" s="925"/>
      <c r="AD170" s="925"/>
      <c r="AE170" s="925"/>
      <c r="AF170" s="925"/>
      <c r="AG170" s="925"/>
      <c r="AH170" s="518"/>
      <c r="AJ170" s="595"/>
    </row>
    <row r="171" spans="1:36" hidden="1" x14ac:dyDescent="0.45">
      <c r="A171" s="518"/>
      <c r="B171" s="1103" t="s">
        <v>1811</v>
      </c>
      <c r="C171" s="1103"/>
      <c r="D171" s="1103"/>
      <c r="E171" s="1103"/>
      <c r="F171" s="1103"/>
      <c r="G171" s="1103"/>
      <c r="H171" s="1103"/>
      <c r="I171" s="1103"/>
      <c r="J171" s="1103"/>
      <c r="K171" s="1103"/>
      <c r="L171" s="1103"/>
      <c r="M171" s="1103"/>
      <c r="N171" s="1103"/>
      <c r="O171" s="1103"/>
      <c r="P171" s="1103"/>
      <c r="Q171" s="1103"/>
      <c r="R171" s="1103"/>
      <c r="S171" s="1103"/>
      <c r="T171" s="1103"/>
      <c r="U171" s="1103"/>
      <c r="V171" s="1103"/>
      <c r="W171" s="1103"/>
      <c r="X171" s="1103"/>
      <c r="Y171" s="1103"/>
      <c r="Z171" s="1103"/>
      <c r="AA171" s="1103"/>
      <c r="AB171" s="1103"/>
      <c r="AC171" s="1103"/>
      <c r="AD171" s="1103"/>
      <c r="AE171" s="1103"/>
      <c r="AF171" s="1103"/>
      <c r="AG171" s="1103"/>
      <c r="AH171" s="518"/>
      <c r="AJ171" s="595"/>
    </row>
    <row r="172" spans="1:36" hidden="1" x14ac:dyDescent="0.45">
      <c r="A172" s="518"/>
      <c r="B172" s="1083" t="s">
        <v>1853</v>
      </c>
      <c r="C172" s="1083"/>
      <c r="D172" s="1083"/>
      <c r="E172" s="1083"/>
      <c r="F172" s="1083"/>
      <c r="G172" s="1083"/>
      <c r="H172" s="1083"/>
      <c r="I172" s="1083"/>
      <c r="J172" s="1083"/>
      <c r="K172" s="1083"/>
      <c r="L172" s="1083"/>
      <c r="M172" s="1083"/>
      <c r="N172" s="1083"/>
      <c r="O172" s="1083"/>
      <c r="P172" s="1083"/>
      <c r="Q172" s="1083"/>
      <c r="R172" s="1083"/>
      <c r="S172" s="1083"/>
      <c r="T172" s="1083"/>
      <c r="U172" s="1083"/>
      <c r="V172" s="1083"/>
      <c r="W172" s="1083"/>
      <c r="X172" s="1083"/>
      <c r="Y172" s="1083"/>
      <c r="Z172" s="1083"/>
      <c r="AA172" s="1083"/>
      <c r="AB172" s="1083"/>
      <c r="AC172" s="1083"/>
      <c r="AD172" s="1083"/>
      <c r="AE172" s="1083"/>
      <c r="AF172" s="1083"/>
      <c r="AG172" s="1083"/>
      <c r="AH172" s="518"/>
      <c r="AJ172" s="595"/>
    </row>
    <row r="173" spans="1:36" hidden="1" x14ac:dyDescent="0.45">
      <c r="A173" s="518"/>
      <c r="B173" s="862" t="s">
        <v>108</v>
      </c>
      <c r="C173" s="863"/>
      <c r="D173" s="863"/>
      <c r="E173" s="863"/>
      <c r="F173" s="892"/>
      <c r="G173" s="862" t="s">
        <v>1462</v>
      </c>
      <c r="H173" s="892"/>
      <c r="I173" s="1249" t="s">
        <v>1485</v>
      </c>
      <c r="J173" s="1249" t="s">
        <v>1486</v>
      </c>
      <c r="K173" s="1182" t="s">
        <v>91</v>
      </c>
      <c r="L173" s="1059"/>
      <c r="M173" s="1251" t="s">
        <v>109</v>
      </c>
      <c r="N173" s="1251"/>
      <c r="O173" s="1251"/>
      <c r="P173" s="1251"/>
      <c r="Q173" s="862" t="s">
        <v>110</v>
      </c>
      <c r="R173" s="863"/>
      <c r="S173" s="863"/>
      <c r="T173" s="892"/>
      <c r="U173" s="862" t="s">
        <v>111</v>
      </c>
      <c r="V173" s="863"/>
      <c r="W173" s="863"/>
      <c r="X173" s="862" t="s">
        <v>1463</v>
      </c>
      <c r="Y173" s="863"/>
      <c r="Z173" s="892"/>
      <c r="AA173" s="1182" t="s">
        <v>113</v>
      </c>
      <c r="AB173" s="1058"/>
      <c r="AC173" s="1058"/>
      <c r="AD173" s="1059"/>
      <c r="AE173" s="862" t="s">
        <v>114</v>
      </c>
      <c r="AF173" s="892"/>
      <c r="AG173" s="529"/>
      <c r="AH173" s="518"/>
      <c r="AJ173" s="595"/>
    </row>
    <row r="174" spans="1:36" hidden="1" x14ac:dyDescent="0.45">
      <c r="A174" s="518"/>
      <c r="B174" s="864"/>
      <c r="C174" s="865"/>
      <c r="D174" s="865"/>
      <c r="E174" s="865"/>
      <c r="F174" s="893"/>
      <c r="G174" s="864"/>
      <c r="H174" s="893"/>
      <c r="I174" s="1250"/>
      <c r="J174" s="1250"/>
      <c r="K174" s="1060"/>
      <c r="L174" s="1062"/>
      <c r="M174" s="1251"/>
      <c r="N174" s="1251"/>
      <c r="O174" s="1251"/>
      <c r="P174" s="1251"/>
      <c r="Q174" s="864"/>
      <c r="R174" s="865"/>
      <c r="S174" s="865"/>
      <c r="T174" s="893"/>
      <c r="U174" s="864"/>
      <c r="V174" s="865"/>
      <c r="W174" s="865"/>
      <c r="X174" s="864"/>
      <c r="Y174" s="865"/>
      <c r="Z174" s="893"/>
      <c r="AA174" s="1060"/>
      <c r="AB174" s="1061"/>
      <c r="AC174" s="1061"/>
      <c r="AD174" s="1062"/>
      <c r="AE174" s="864"/>
      <c r="AF174" s="893"/>
      <c r="AG174" s="529"/>
      <c r="AH174" s="518"/>
      <c r="AJ174" s="595"/>
    </row>
    <row r="175" spans="1:36" hidden="1" x14ac:dyDescent="0.45">
      <c r="A175" s="518"/>
      <c r="B175" s="514" t="s">
        <v>1405</v>
      </c>
      <c r="C175" s="530"/>
      <c r="D175" s="530"/>
      <c r="E175" s="530"/>
      <c r="F175" s="530"/>
      <c r="G175" s="890" t="str">
        <f>IF(CHMAData!W3=0,"",SUBSTITUTE(SUBSTITUTE(CHMAData!W3,"Acquired and Rehabilitated Housing","A/R"),"Newly Constructed Housing","N/C"))</f>
        <v/>
      </c>
      <c r="H175" s="891"/>
      <c r="I175" s="583" t="str">
        <f>IF(CHMAData!BP3=0,"",LEFT(CHMAData!BP3,1))</f>
        <v/>
      </c>
      <c r="J175" s="584" t="str">
        <f>IF(CHMAData!T3=0,"",LEFT(CHMAData!T3,1))</f>
        <v/>
      </c>
      <c r="K175" s="888">
        <f>CHMAData!X3</f>
        <v>0</v>
      </c>
      <c r="L175" s="887"/>
      <c r="M175" s="940">
        <f>CHMAData!Y3</f>
        <v>0</v>
      </c>
      <c r="N175" s="940"/>
      <c r="O175" s="940"/>
      <c r="P175" s="940"/>
      <c r="Q175" s="868">
        <f>CHMAData!Z3</f>
        <v>0</v>
      </c>
      <c r="R175" s="869"/>
      <c r="S175" s="869"/>
      <c r="T175" s="870"/>
      <c r="U175" s="868">
        <f>CHMAData!AA3</f>
        <v>0</v>
      </c>
      <c r="V175" s="869"/>
      <c r="W175" s="870"/>
      <c r="X175" s="868">
        <f>CHMAData!AB3</f>
        <v>0</v>
      </c>
      <c r="Y175" s="869"/>
      <c r="Z175" s="870"/>
      <c r="AA175" s="868">
        <f t="shared" ref="AA175" si="0">SUM(Q175:Z175)</f>
        <v>0</v>
      </c>
      <c r="AB175" s="869"/>
      <c r="AC175" s="869"/>
      <c r="AD175" s="870"/>
      <c r="AE175" s="866">
        <f>CHMAData!AD3</f>
        <v>0</v>
      </c>
      <c r="AF175" s="867"/>
      <c r="AG175" s="529"/>
      <c r="AH175" s="518"/>
      <c r="AJ175" s="595" t="b">
        <f>AND(AJ$168,AA175&gt;0)</f>
        <v>0</v>
      </c>
    </row>
    <row r="176" spans="1:36" hidden="1" x14ac:dyDescent="0.45">
      <c r="A176" s="518"/>
      <c r="B176" s="514" t="s">
        <v>1406</v>
      </c>
      <c r="C176" s="530"/>
      <c r="D176" s="530"/>
      <c r="E176" s="530"/>
      <c r="F176" s="530"/>
      <c r="G176" s="890" t="str">
        <f>IF(CHMAData!W4=0,"",SUBSTITUTE(SUBSTITUTE(CHMAData!W4,"Acquired and Rehabilitated Housing","A/R"),"Newly Constructed Housing","N/C"))</f>
        <v/>
      </c>
      <c r="H176" s="891"/>
      <c r="I176" s="583" t="str">
        <f>IF(CHMAData!BP4=0,"",LEFT(CHMAData!BP4,1))</f>
        <v/>
      </c>
      <c r="J176" s="584" t="str">
        <f>IF(CHMAData!T4=0,"",LEFT(CHMAData!T4,1))</f>
        <v/>
      </c>
      <c r="K176" s="888">
        <f>CHMAData!X4</f>
        <v>0</v>
      </c>
      <c r="L176" s="887"/>
      <c r="M176" s="940">
        <f>CHMAData!Y4</f>
        <v>0</v>
      </c>
      <c r="N176" s="940"/>
      <c r="O176" s="940"/>
      <c r="P176" s="940"/>
      <c r="Q176" s="868">
        <f>CHMAData!Z4</f>
        <v>0</v>
      </c>
      <c r="R176" s="869"/>
      <c r="S176" s="869"/>
      <c r="T176" s="870"/>
      <c r="U176" s="868">
        <f>CHMAData!AA4</f>
        <v>0</v>
      </c>
      <c r="V176" s="869"/>
      <c r="W176" s="870"/>
      <c r="X176" s="868">
        <f>CHMAData!AB4</f>
        <v>0</v>
      </c>
      <c r="Y176" s="869"/>
      <c r="Z176" s="870"/>
      <c r="AA176" s="868">
        <f t="shared" ref="AA176:AA232" si="1">SUM(Q176:Z176)</f>
        <v>0</v>
      </c>
      <c r="AB176" s="869"/>
      <c r="AC176" s="869"/>
      <c r="AD176" s="870"/>
      <c r="AE176" s="866">
        <f>CHMAData!AD4</f>
        <v>0</v>
      </c>
      <c r="AF176" s="867"/>
      <c r="AG176" s="529"/>
      <c r="AH176" s="518"/>
      <c r="AJ176" s="595" t="b">
        <f t="shared" ref="AJ176:AJ232" si="2">AND(AJ$168,AA176&gt;0)</f>
        <v>0</v>
      </c>
    </row>
    <row r="177" spans="1:36" hidden="1" x14ac:dyDescent="0.45">
      <c r="A177" s="518"/>
      <c r="B177" s="514" t="s">
        <v>1407</v>
      </c>
      <c r="C177" s="530"/>
      <c r="D177" s="530"/>
      <c r="E177" s="530"/>
      <c r="F177" s="530"/>
      <c r="G177" s="890" t="str">
        <f>IF(CHMAData!W5=0,"",SUBSTITUTE(SUBSTITUTE(CHMAData!W5,"Acquired and Rehabilitated Housing","A/R"),"Newly Constructed Housing","N/C"))</f>
        <v/>
      </c>
      <c r="H177" s="891"/>
      <c r="I177" s="583" t="str">
        <f>IF(CHMAData!BP5=0,"",LEFT(CHMAData!BP5,1))</f>
        <v/>
      </c>
      <c r="J177" s="584" t="str">
        <f>IF(CHMAData!T5=0,"",LEFT(CHMAData!T5,1))</f>
        <v/>
      </c>
      <c r="K177" s="888">
        <f>CHMAData!X5</f>
        <v>0</v>
      </c>
      <c r="L177" s="887"/>
      <c r="M177" s="940">
        <f>CHMAData!Y5</f>
        <v>0</v>
      </c>
      <c r="N177" s="940"/>
      <c r="O177" s="940"/>
      <c r="P177" s="940"/>
      <c r="Q177" s="868">
        <f>CHMAData!Z5</f>
        <v>0</v>
      </c>
      <c r="R177" s="869"/>
      <c r="S177" s="869"/>
      <c r="T177" s="870"/>
      <c r="U177" s="868">
        <f>CHMAData!AA5</f>
        <v>0</v>
      </c>
      <c r="V177" s="869"/>
      <c r="W177" s="870"/>
      <c r="X177" s="868">
        <f>CHMAData!AB5</f>
        <v>0</v>
      </c>
      <c r="Y177" s="869"/>
      <c r="Z177" s="870"/>
      <c r="AA177" s="868">
        <f t="shared" si="1"/>
        <v>0</v>
      </c>
      <c r="AB177" s="869"/>
      <c r="AC177" s="869"/>
      <c r="AD177" s="870"/>
      <c r="AE177" s="866">
        <f>CHMAData!AD5</f>
        <v>0</v>
      </c>
      <c r="AF177" s="867"/>
      <c r="AG177" s="529"/>
      <c r="AH177" s="518"/>
      <c r="AJ177" s="595" t="b">
        <f t="shared" si="2"/>
        <v>0</v>
      </c>
    </row>
    <row r="178" spans="1:36" hidden="1" x14ac:dyDescent="0.45">
      <c r="A178" s="518"/>
      <c r="B178" s="514" t="s">
        <v>1408</v>
      </c>
      <c r="C178" s="530"/>
      <c r="D178" s="530"/>
      <c r="E178" s="530"/>
      <c r="F178" s="530"/>
      <c r="G178" s="890" t="str">
        <f>IF(CHMAData!W6=0,"",SUBSTITUTE(SUBSTITUTE(CHMAData!W6,"Acquired and Rehabilitated Housing","A/R"),"Newly Constructed Housing","N/C"))</f>
        <v/>
      </c>
      <c r="H178" s="891"/>
      <c r="I178" s="583" t="str">
        <f>IF(CHMAData!BP6=0,"",LEFT(CHMAData!BP6,1))</f>
        <v/>
      </c>
      <c r="J178" s="584" t="str">
        <f>IF(CHMAData!T6=0,"",LEFT(CHMAData!T6,1))</f>
        <v/>
      </c>
      <c r="K178" s="888">
        <f>CHMAData!X6</f>
        <v>0</v>
      </c>
      <c r="L178" s="887"/>
      <c r="M178" s="940">
        <f>CHMAData!Y6</f>
        <v>0</v>
      </c>
      <c r="N178" s="940"/>
      <c r="O178" s="940"/>
      <c r="P178" s="940"/>
      <c r="Q178" s="868">
        <f>CHMAData!Z6</f>
        <v>0</v>
      </c>
      <c r="R178" s="869"/>
      <c r="S178" s="869"/>
      <c r="T178" s="870"/>
      <c r="U178" s="868">
        <f>CHMAData!AA6</f>
        <v>0</v>
      </c>
      <c r="V178" s="869"/>
      <c r="W178" s="870"/>
      <c r="X178" s="868">
        <f>CHMAData!AB6</f>
        <v>0</v>
      </c>
      <c r="Y178" s="869"/>
      <c r="Z178" s="870"/>
      <c r="AA178" s="868">
        <f t="shared" si="1"/>
        <v>0</v>
      </c>
      <c r="AB178" s="869"/>
      <c r="AC178" s="869"/>
      <c r="AD178" s="870"/>
      <c r="AE178" s="866">
        <f>CHMAData!AD6</f>
        <v>0</v>
      </c>
      <c r="AF178" s="867"/>
      <c r="AG178" s="529"/>
      <c r="AH178" s="518"/>
      <c r="AJ178" s="595" t="b">
        <f t="shared" si="2"/>
        <v>0</v>
      </c>
    </row>
    <row r="179" spans="1:36" hidden="1" x14ac:dyDescent="0.45">
      <c r="A179" s="518"/>
      <c r="B179" s="514" t="s">
        <v>1409</v>
      </c>
      <c r="C179" s="530"/>
      <c r="D179" s="530"/>
      <c r="E179" s="530"/>
      <c r="F179" s="530"/>
      <c r="G179" s="890" t="str">
        <f>IF(CHMAData!W7=0,"",SUBSTITUTE(SUBSTITUTE(CHMAData!W7,"Acquired and Rehabilitated Housing","A/R"),"Newly Constructed Housing","N/C"))</f>
        <v/>
      </c>
      <c r="H179" s="891"/>
      <c r="I179" s="583" t="str">
        <f>IF(CHMAData!BP7=0,"",LEFT(CHMAData!BP7,1))</f>
        <v/>
      </c>
      <c r="J179" s="584" t="str">
        <f>IF(CHMAData!T7=0,"",LEFT(CHMAData!T7,1))</f>
        <v/>
      </c>
      <c r="K179" s="888">
        <f>CHMAData!X7</f>
        <v>0</v>
      </c>
      <c r="L179" s="887"/>
      <c r="M179" s="940">
        <f>CHMAData!Y7</f>
        <v>0</v>
      </c>
      <c r="N179" s="940"/>
      <c r="O179" s="940"/>
      <c r="P179" s="940"/>
      <c r="Q179" s="868">
        <f>CHMAData!Z7</f>
        <v>0</v>
      </c>
      <c r="R179" s="869"/>
      <c r="S179" s="869"/>
      <c r="T179" s="870"/>
      <c r="U179" s="868">
        <f>CHMAData!AA7</f>
        <v>0</v>
      </c>
      <c r="V179" s="869"/>
      <c r="W179" s="870"/>
      <c r="X179" s="868">
        <f>CHMAData!AB7</f>
        <v>0</v>
      </c>
      <c r="Y179" s="869"/>
      <c r="Z179" s="870"/>
      <c r="AA179" s="868">
        <f t="shared" si="1"/>
        <v>0</v>
      </c>
      <c r="AB179" s="869"/>
      <c r="AC179" s="869"/>
      <c r="AD179" s="870"/>
      <c r="AE179" s="866">
        <f>CHMAData!AD7</f>
        <v>0</v>
      </c>
      <c r="AF179" s="867"/>
      <c r="AG179" s="529"/>
      <c r="AH179" s="518"/>
      <c r="AJ179" s="595" t="b">
        <f t="shared" si="2"/>
        <v>0</v>
      </c>
    </row>
    <row r="180" spans="1:36" hidden="1" x14ac:dyDescent="0.45">
      <c r="A180" s="518"/>
      <c r="B180" s="514" t="s">
        <v>1410</v>
      </c>
      <c r="C180" s="530"/>
      <c r="D180" s="530"/>
      <c r="E180" s="530"/>
      <c r="F180" s="530"/>
      <c r="G180" s="890" t="str">
        <f>IF(CHMAData!W8=0,"",SUBSTITUTE(SUBSTITUTE(CHMAData!W8,"Acquired and Rehabilitated Housing","A/R"),"Newly Constructed Housing","N/C"))</f>
        <v/>
      </c>
      <c r="H180" s="891"/>
      <c r="I180" s="583" t="str">
        <f>IF(CHMAData!BP8=0,"",LEFT(CHMAData!BP8,1))</f>
        <v/>
      </c>
      <c r="J180" s="584" t="str">
        <f>IF(CHMAData!T8=0,"",LEFT(CHMAData!T8,1))</f>
        <v/>
      </c>
      <c r="K180" s="888">
        <f>CHMAData!X8</f>
        <v>0</v>
      </c>
      <c r="L180" s="887"/>
      <c r="M180" s="940">
        <f>CHMAData!Y8</f>
        <v>0</v>
      </c>
      <c r="N180" s="940"/>
      <c r="O180" s="940"/>
      <c r="P180" s="940"/>
      <c r="Q180" s="868">
        <f>CHMAData!Z8</f>
        <v>0</v>
      </c>
      <c r="R180" s="869"/>
      <c r="S180" s="869"/>
      <c r="T180" s="870"/>
      <c r="U180" s="868">
        <f>CHMAData!AA8</f>
        <v>0</v>
      </c>
      <c r="V180" s="869"/>
      <c r="W180" s="870"/>
      <c r="X180" s="868">
        <f>CHMAData!AB8</f>
        <v>0</v>
      </c>
      <c r="Y180" s="869"/>
      <c r="Z180" s="870"/>
      <c r="AA180" s="868">
        <f t="shared" si="1"/>
        <v>0</v>
      </c>
      <c r="AB180" s="869"/>
      <c r="AC180" s="869"/>
      <c r="AD180" s="870"/>
      <c r="AE180" s="866">
        <f>CHMAData!AD8</f>
        <v>0</v>
      </c>
      <c r="AF180" s="867"/>
      <c r="AG180" s="529"/>
      <c r="AH180" s="518"/>
      <c r="AJ180" s="595" t="b">
        <f t="shared" si="2"/>
        <v>0</v>
      </c>
    </row>
    <row r="181" spans="1:36" hidden="1" x14ac:dyDescent="0.45">
      <c r="A181" s="518"/>
      <c r="B181" s="514" t="s">
        <v>1411</v>
      </c>
      <c r="C181" s="530"/>
      <c r="D181" s="530"/>
      <c r="E181" s="530"/>
      <c r="F181" s="530"/>
      <c r="G181" s="890" t="str">
        <f>IF(CHMAData!W9=0,"",SUBSTITUTE(SUBSTITUTE(CHMAData!W9,"Acquired and Rehabilitated Housing","A/R"),"Newly Constructed Housing","N/C"))</f>
        <v/>
      </c>
      <c r="H181" s="891"/>
      <c r="I181" s="583" t="str">
        <f>IF(CHMAData!BP9=0,"",LEFT(CHMAData!BP9,1))</f>
        <v/>
      </c>
      <c r="J181" s="584" t="str">
        <f>IF(CHMAData!T9=0,"",LEFT(CHMAData!T9,1))</f>
        <v/>
      </c>
      <c r="K181" s="888">
        <f>CHMAData!X9</f>
        <v>0</v>
      </c>
      <c r="L181" s="887"/>
      <c r="M181" s="940">
        <f>CHMAData!Y9</f>
        <v>0</v>
      </c>
      <c r="N181" s="940"/>
      <c r="O181" s="940"/>
      <c r="P181" s="940"/>
      <c r="Q181" s="868">
        <f>CHMAData!Z9</f>
        <v>0</v>
      </c>
      <c r="R181" s="869"/>
      <c r="S181" s="869"/>
      <c r="T181" s="870"/>
      <c r="U181" s="868">
        <f>CHMAData!AA9</f>
        <v>0</v>
      </c>
      <c r="V181" s="869"/>
      <c r="W181" s="870"/>
      <c r="X181" s="868">
        <f>CHMAData!AB9</f>
        <v>0</v>
      </c>
      <c r="Y181" s="869"/>
      <c r="Z181" s="870"/>
      <c r="AA181" s="868">
        <f t="shared" si="1"/>
        <v>0</v>
      </c>
      <c r="AB181" s="869"/>
      <c r="AC181" s="869"/>
      <c r="AD181" s="870"/>
      <c r="AE181" s="866">
        <f>CHMAData!AD9</f>
        <v>0</v>
      </c>
      <c r="AF181" s="867"/>
      <c r="AG181" s="529"/>
      <c r="AH181" s="518"/>
      <c r="AJ181" s="595" t="b">
        <f t="shared" si="2"/>
        <v>0</v>
      </c>
    </row>
    <row r="182" spans="1:36" hidden="1" x14ac:dyDescent="0.45">
      <c r="A182" s="518"/>
      <c r="B182" s="514" t="s">
        <v>1412</v>
      </c>
      <c r="C182" s="530"/>
      <c r="D182" s="530"/>
      <c r="E182" s="530"/>
      <c r="F182" s="530"/>
      <c r="G182" s="890" t="str">
        <f>IF(CHMAData!W10=0,"",SUBSTITUTE(SUBSTITUTE(CHMAData!W10,"Acquired and Rehabilitated Housing","A/R"),"Newly Constructed Housing","N/C"))</f>
        <v/>
      </c>
      <c r="H182" s="891"/>
      <c r="I182" s="583" t="str">
        <f>IF(CHMAData!BP10=0,"",LEFT(CHMAData!BP10,1))</f>
        <v/>
      </c>
      <c r="J182" s="584" t="str">
        <f>IF(CHMAData!T10=0,"",LEFT(CHMAData!T10,1))</f>
        <v/>
      </c>
      <c r="K182" s="888">
        <f>CHMAData!X10</f>
        <v>0</v>
      </c>
      <c r="L182" s="887"/>
      <c r="M182" s="940">
        <f>CHMAData!Y10</f>
        <v>0</v>
      </c>
      <c r="N182" s="940"/>
      <c r="O182" s="940"/>
      <c r="P182" s="940"/>
      <c r="Q182" s="868">
        <f>CHMAData!Z10</f>
        <v>0</v>
      </c>
      <c r="R182" s="869"/>
      <c r="S182" s="869"/>
      <c r="T182" s="870"/>
      <c r="U182" s="868">
        <f>CHMAData!AA10</f>
        <v>0</v>
      </c>
      <c r="V182" s="869"/>
      <c r="W182" s="870"/>
      <c r="X182" s="868">
        <f>CHMAData!AB10</f>
        <v>0</v>
      </c>
      <c r="Y182" s="869"/>
      <c r="Z182" s="870"/>
      <c r="AA182" s="868">
        <f t="shared" si="1"/>
        <v>0</v>
      </c>
      <c r="AB182" s="869"/>
      <c r="AC182" s="869"/>
      <c r="AD182" s="870"/>
      <c r="AE182" s="866">
        <f>CHMAData!AD10</f>
        <v>0</v>
      </c>
      <c r="AF182" s="867"/>
      <c r="AG182" s="529"/>
      <c r="AH182" s="518"/>
      <c r="AJ182" s="595" t="b">
        <f t="shared" si="2"/>
        <v>0</v>
      </c>
    </row>
    <row r="183" spans="1:36" hidden="1" x14ac:dyDescent="0.45">
      <c r="A183" s="518"/>
      <c r="B183" s="514" t="s">
        <v>1413</v>
      </c>
      <c r="C183" s="530"/>
      <c r="D183" s="530"/>
      <c r="E183" s="530"/>
      <c r="F183" s="530"/>
      <c r="G183" s="890" t="str">
        <f>IF(CHMAData!W11=0,"",SUBSTITUTE(SUBSTITUTE(CHMAData!W11,"Acquired and Rehabilitated Housing","A/R"),"Newly Constructed Housing","N/C"))</f>
        <v/>
      </c>
      <c r="H183" s="891"/>
      <c r="I183" s="583" t="str">
        <f>IF(CHMAData!BP11=0,"",LEFT(CHMAData!BP11,1))</f>
        <v/>
      </c>
      <c r="J183" s="584" t="str">
        <f>IF(CHMAData!T11=0,"",LEFT(CHMAData!T11,1))</f>
        <v/>
      </c>
      <c r="K183" s="888">
        <f>CHMAData!X11</f>
        <v>0</v>
      </c>
      <c r="L183" s="887"/>
      <c r="M183" s="940">
        <f>CHMAData!Y11</f>
        <v>0</v>
      </c>
      <c r="N183" s="940"/>
      <c r="O183" s="940"/>
      <c r="P183" s="940"/>
      <c r="Q183" s="868">
        <f>CHMAData!Z11</f>
        <v>0</v>
      </c>
      <c r="R183" s="869"/>
      <c r="S183" s="869"/>
      <c r="T183" s="870"/>
      <c r="U183" s="868">
        <f>CHMAData!AA11</f>
        <v>0</v>
      </c>
      <c r="V183" s="869"/>
      <c r="W183" s="870"/>
      <c r="X183" s="868">
        <f>CHMAData!AB11</f>
        <v>0</v>
      </c>
      <c r="Y183" s="869"/>
      <c r="Z183" s="870"/>
      <c r="AA183" s="868">
        <f t="shared" si="1"/>
        <v>0</v>
      </c>
      <c r="AB183" s="869"/>
      <c r="AC183" s="869"/>
      <c r="AD183" s="870"/>
      <c r="AE183" s="866">
        <f>CHMAData!AD11</f>
        <v>0</v>
      </c>
      <c r="AF183" s="867"/>
      <c r="AG183" s="529"/>
      <c r="AH183" s="518"/>
      <c r="AJ183" s="595" t="b">
        <f t="shared" si="2"/>
        <v>0</v>
      </c>
    </row>
    <row r="184" spans="1:36" hidden="1" x14ac:dyDescent="0.45">
      <c r="A184" s="518"/>
      <c r="B184" s="514" t="s">
        <v>1414</v>
      </c>
      <c r="C184" s="530"/>
      <c r="D184" s="530"/>
      <c r="E184" s="530"/>
      <c r="F184" s="530"/>
      <c r="G184" s="890" t="str">
        <f>IF(CHMAData!W12=0,"",SUBSTITUTE(SUBSTITUTE(CHMAData!W12,"Acquired and Rehabilitated Housing","A/R"),"Newly Constructed Housing","N/C"))</f>
        <v/>
      </c>
      <c r="H184" s="891"/>
      <c r="I184" s="583" t="str">
        <f>IF(CHMAData!BP12=0,"",LEFT(CHMAData!BP12,1))</f>
        <v/>
      </c>
      <c r="J184" s="584" t="str">
        <f>IF(CHMAData!T12=0,"",LEFT(CHMAData!T12,1))</f>
        <v/>
      </c>
      <c r="K184" s="888">
        <f>CHMAData!X12</f>
        <v>0</v>
      </c>
      <c r="L184" s="887"/>
      <c r="M184" s="940">
        <f>CHMAData!Y12</f>
        <v>0</v>
      </c>
      <c r="N184" s="940"/>
      <c r="O184" s="940"/>
      <c r="P184" s="940"/>
      <c r="Q184" s="868">
        <f>CHMAData!Z12</f>
        <v>0</v>
      </c>
      <c r="R184" s="869"/>
      <c r="S184" s="869"/>
      <c r="T184" s="870"/>
      <c r="U184" s="868">
        <f>CHMAData!AA12</f>
        <v>0</v>
      </c>
      <c r="V184" s="869"/>
      <c r="W184" s="870"/>
      <c r="X184" s="868">
        <f>CHMAData!AB12</f>
        <v>0</v>
      </c>
      <c r="Y184" s="869"/>
      <c r="Z184" s="870"/>
      <c r="AA184" s="868">
        <f t="shared" si="1"/>
        <v>0</v>
      </c>
      <c r="AB184" s="869"/>
      <c r="AC184" s="869"/>
      <c r="AD184" s="870"/>
      <c r="AE184" s="866">
        <f>CHMAData!AD12</f>
        <v>0</v>
      </c>
      <c r="AF184" s="867"/>
      <c r="AG184" s="529"/>
      <c r="AH184" s="518"/>
      <c r="AJ184" s="595" t="b">
        <f t="shared" si="2"/>
        <v>0</v>
      </c>
    </row>
    <row r="185" spans="1:36" hidden="1" x14ac:dyDescent="0.45">
      <c r="A185" s="518"/>
      <c r="B185" s="514" t="s">
        <v>1415</v>
      </c>
      <c r="C185" s="530"/>
      <c r="D185" s="530"/>
      <c r="E185" s="530"/>
      <c r="F185" s="530"/>
      <c r="G185" s="890" t="str">
        <f>IF(CHMAData!W13=0,"",SUBSTITUTE(SUBSTITUTE(CHMAData!W13,"Acquired and Rehabilitated Housing","A/R"),"Newly Constructed Housing","N/C"))</f>
        <v/>
      </c>
      <c r="H185" s="891"/>
      <c r="I185" s="583" t="str">
        <f>IF(CHMAData!BP13=0,"",LEFT(CHMAData!BP13,1))</f>
        <v/>
      </c>
      <c r="J185" s="584" t="str">
        <f>IF(CHMAData!T13=0,"",LEFT(CHMAData!T13,1))</f>
        <v/>
      </c>
      <c r="K185" s="888">
        <f>CHMAData!X13</f>
        <v>0</v>
      </c>
      <c r="L185" s="887"/>
      <c r="M185" s="940">
        <f>CHMAData!Y13</f>
        <v>0</v>
      </c>
      <c r="N185" s="940"/>
      <c r="O185" s="940"/>
      <c r="P185" s="940"/>
      <c r="Q185" s="868">
        <f>CHMAData!Z13</f>
        <v>0</v>
      </c>
      <c r="R185" s="869"/>
      <c r="S185" s="869"/>
      <c r="T185" s="870"/>
      <c r="U185" s="868">
        <f>CHMAData!AA13</f>
        <v>0</v>
      </c>
      <c r="V185" s="869"/>
      <c r="W185" s="870"/>
      <c r="X185" s="868">
        <f>CHMAData!AB13</f>
        <v>0</v>
      </c>
      <c r="Y185" s="869"/>
      <c r="Z185" s="870"/>
      <c r="AA185" s="868">
        <f t="shared" si="1"/>
        <v>0</v>
      </c>
      <c r="AB185" s="869"/>
      <c r="AC185" s="869"/>
      <c r="AD185" s="870"/>
      <c r="AE185" s="866">
        <f>CHMAData!AD13</f>
        <v>0</v>
      </c>
      <c r="AF185" s="867"/>
      <c r="AG185" s="529"/>
      <c r="AH185" s="518"/>
      <c r="AJ185" s="595" t="b">
        <f t="shared" si="2"/>
        <v>0</v>
      </c>
    </row>
    <row r="186" spans="1:36" hidden="1" x14ac:dyDescent="0.45">
      <c r="A186" s="518"/>
      <c r="B186" s="514" t="s">
        <v>1416</v>
      </c>
      <c r="C186" s="530"/>
      <c r="D186" s="530"/>
      <c r="E186" s="530"/>
      <c r="F186" s="530"/>
      <c r="G186" s="890" t="str">
        <f>IF(CHMAData!W14=0,"",SUBSTITUTE(SUBSTITUTE(CHMAData!W14,"Acquired and Rehabilitated Housing","A/R"),"Newly Constructed Housing","N/C"))</f>
        <v/>
      </c>
      <c r="H186" s="891"/>
      <c r="I186" s="583" t="str">
        <f>IF(CHMAData!BP14=0,"",LEFT(CHMAData!BP14,1))</f>
        <v/>
      </c>
      <c r="J186" s="584" t="str">
        <f>IF(CHMAData!T14=0,"",LEFT(CHMAData!T14,1))</f>
        <v/>
      </c>
      <c r="K186" s="888">
        <f>CHMAData!X14</f>
        <v>0</v>
      </c>
      <c r="L186" s="887"/>
      <c r="M186" s="940">
        <f>CHMAData!Y14</f>
        <v>0</v>
      </c>
      <c r="N186" s="940"/>
      <c r="O186" s="940"/>
      <c r="P186" s="940"/>
      <c r="Q186" s="868">
        <f>CHMAData!Z14</f>
        <v>0</v>
      </c>
      <c r="R186" s="869"/>
      <c r="S186" s="869"/>
      <c r="T186" s="870"/>
      <c r="U186" s="868">
        <f>CHMAData!AA14</f>
        <v>0</v>
      </c>
      <c r="V186" s="869"/>
      <c r="W186" s="870"/>
      <c r="X186" s="868">
        <f>CHMAData!AB14</f>
        <v>0</v>
      </c>
      <c r="Y186" s="869"/>
      <c r="Z186" s="870"/>
      <c r="AA186" s="868">
        <f t="shared" si="1"/>
        <v>0</v>
      </c>
      <c r="AB186" s="869"/>
      <c r="AC186" s="869"/>
      <c r="AD186" s="870"/>
      <c r="AE186" s="866">
        <f>CHMAData!AD14</f>
        <v>0</v>
      </c>
      <c r="AF186" s="867"/>
      <c r="AG186" s="529"/>
      <c r="AH186" s="518"/>
      <c r="AJ186" s="595" t="b">
        <f t="shared" si="2"/>
        <v>0</v>
      </c>
    </row>
    <row r="187" spans="1:36" hidden="1" x14ac:dyDescent="0.45">
      <c r="A187" s="518"/>
      <c r="B187" s="514" t="s">
        <v>1417</v>
      </c>
      <c r="C187" s="530"/>
      <c r="D187" s="530"/>
      <c r="E187" s="530"/>
      <c r="F187" s="530"/>
      <c r="G187" s="890" t="str">
        <f>IF(CHMAData!W15=0,"",SUBSTITUTE(SUBSTITUTE(CHMAData!W15,"Acquired and Rehabilitated Housing","A/R"),"Newly Constructed Housing","N/C"))</f>
        <v/>
      </c>
      <c r="H187" s="891"/>
      <c r="I187" s="583" t="str">
        <f>IF(CHMAData!BP15=0,"",LEFT(CHMAData!BP15,1))</f>
        <v/>
      </c>
      <c r="J187" s="584" t="str">
        <f>IF(CHMAData!T15=0,"",LEFT(CHMAData!T15,1))</f>
        <v/>
      </c>
      <c r="K187" s="888">
        <f>CHMAData!X15</f>
        <v>0</v>
      </c>
      <c r="L187" s="887"/>
      <c r="M187" s="940">
        <f>CHMAData!Y15</f>
        <v>0</v>
      </c>
      <c r="N187" s="940"/>
      <c r="O187" s="940"/>
      <c r="P187" s="940"/>
      <c r="Q187" s="868">
        <f>CHMAData!Z15</f>
        <v>0</v>
      </c>
      <c r="R187" s="869"/>
      <c r="S187" s="869"/>
      <c r="T187" s="870"/>
      <c r="U187" s="868">
        <f>CHMAData!AA15</f>
        <v>0</v>
      </c>
      <c r="V187" s="869"/>
      <c r="W187" s="870"/>
      <c r="X187" s="868">
        <f>CHMAData!AB15</f>
        <v>0</v>
      </c>
      <c r="Y187" s="869"/>
      <c r="Z187" s="870"/>
      <c r="AA187" s="868">
        <f t="shared" si="1"/>
        <v>0</v>
      </c>
      <c r="AB187" s="869"/>
      <c r="AC187" s="869"/>
      <c r="AD187" s="870"/>
      <c r="AE187" s="866">
        <f>CHMAData!AD15</f>
        <v>0</v>
      </c>
      <c r="AF187" s="867"/>
      <c r="AG187" s="529"/>
      <c r="AH187" s="518"/>
      <c r="AJ187" s="595" t="b">
        <f t="shared" si="2"/>
        <v>0</v>
      </c>
    </row>
    <row r="188" spans="1:36" hidden="1" x14ac:dyDescent="0.45">
      <c r="A188" s="518"/>
      <c r="B188" s="514" t="s">
        <v>1418</v>
      </c>
      <c r="C188" s="530"/>
      <c r="D188" s="530"/>
      <c r="E188" s="530"/>
      <c r="F188" s="530"/>
      <c r="G188" s="890" t="str">
        <f>IF(CHMAData!W16=0,"",SUBSTITUTE(SUBSTITUTE(CHMAData!W16,"Acquired and Rehabilitated Housing","A/R"),"Newly Constructed Housing","N/C"))</f>
        <v/>
      </c>
      <c r="H188" s="891"/>
      <c r="I188" s="583" t="str">
        <f>IF(CHMAData!BP16=0,"",LEFT(CHMAData!BP16,1))</f>
        <v/>
      </c>
      <c r="J188" s="584" t="str">
        <f>IF(CHMAData!T16=0,"",LEFT(CHMAData!T16,1))</f>
        <v/>
      </c>
      <c r="K188" s="888">
        <f>CHMAData!X16</f>
        <v>0</v>
      </c>
      <c r="L188" s="887"/>
      <c r="M188" s="940">
        <f>CHMAData!Y16</f>
        <v>0</v>
      </c>
      <c r="N188" s="940"/>
      <c r="O188" s="940"/>
      <c r="P188" s="940"/>
      <c r="Q188" s="868">
        <f>CHMAData!Z16</f>
        <v>0</v>
      </c>
      <c r="R188" s="869"/>
      <c r="S188" s="869"/>
      <c r="T188" s="870"/>
      <c r="U188" s="868">
        <f>CHMAData!AA16</f>
        <v>0</v>
      </c>
      <c r="V188" s="869"/>
      <c r="W188" s="870"/>
      <c r="X188" s="868">
        <f>CHMAData!AB16</f>
        <v>0</v>
      </c>
      <c r="Y188" s="869"/>
      <c r="Z188" s="870"/>
      <c r="AA188" s="868">
        <f t="shared" si="1"/>
        <v>0</v>
      </c>
      <c r="AB188" s="869"/>
      <c r="AC188" s="869"/>
      <c r="AD188" s="870"/>
      <c r="AE188" s="866">
        <f>CHMAData!AD16</f>
        <v>0</v>
      </c>
      <c r="AF188" s="867"/>
      <c r="AG188" s="529"/>
      <c r="AH188" s="518"/>
      <c r="AJ188" s="595" t="b">
        <f t="shared" si="2"/>
        <v>0</v>
      </c>
    </row>
    <row r="189" spans="1:36" hidden="1" x14ac:dyDescent="0.45">
      <c r="A189" s="518"/>
      <c r="B189" s="514" t="s">
        <v>1419</v>
      </c>
      <c r="C189" s="530"/>
      <c r="D189" s="530"/>
      <c r="E189" s="530"/>
      <c r="F189" s="530"/>
      <c r="G189" s="890" t="str">
        <f>IF(CHMAData!W17=0,"",SUBSTITUTE(SUBSTITUTE(CHMAData!W17,"Acquired and Rehabilitated Housing","A/R"),"Newly Constructed Housing","N/C"))</f>
        <v/>
      </c>
      <c r="H189" s="891"/>
      <c r="I189" s="583" t="str">
        <f>IF(CHMAData!BP17=0,"",LEFT(CHMAData!BP17,1))</f>
        <v/>
      </c>
      <c r="J189" s="584" t="str">
        <f>IF(CHMAData!T17=0,"",LEFT(CHMAData!T17,1))</f>
        <v/>
      </c>
      <c r="K189" s="888">
        <f>CHMAData!X17</f>
        <v>0</v>
      </c>
      <c r="L189" s="887"/>
      <c r="M189" s="940">
        <f>CHMAData!Y17</f>
        <v>0</v>
      </c>
      <c r="N189" s="940"/>
      <c r="O189" s="940"/>
      <c r="P189" s="940"/>
      <c r="Q189" s="868">
        <f>CHMAData!Z17</f>
        <v>0</v>
      </c>
      <c r="R189" s="869"/>
      <c r="S189" s="869"/>
      <c r="T189" s="870"/>
      <c r="U189" s="868">
        <f>CHMAData!AA17</f>
        <v>0</v>
      </c>
      <c r="V189" s="869"/>
      <c r="W189" s="870"/>
      <c r="X189" s="868">
        <f>CHMAData!AB17</f>
        <v>0</v>
      </c>
      <c r="Y189" s="869"/>
      <c r="Z189" s="870"/>
      <c r="AA189" s="868">
        <f t="shared" si="1"/>
        <v>0</v>
      </c>
      <c r="AB189" s="869"/>
      <c r="AC189" s="869"/>
      <c r="AD189" s="870"/>
      <c r="AE189" s="866">
        <f>CHMAData!AD17</f>
        <v>0</v>
      </c>
      <c r="AF189" s="867"/>
      <c r="AG189" s="529"/>
      <c r="AH189" s="518"/>
      <c r="AJ189" s="595" t="b">
        <f t="shared" si="2"/>
        <v>0</v>
      </c>
    </row>
    <row r="190" spans="1:36" hidden="1" x14ac:dyDescent="0.45">
      <c r="A190" s="518"/>
      <c r="B190" s="514" t="s">
        <v>1420</v>
      </c>
      <c r="C190" s="530"/>
      <c r="D190" s="530"/>
      <c r="E190" s="530"/>
      <c r="F190" s="530"/>
      <c r="G190" s="890" t="str">
        <f>IF(CHMAData!W18=0,"",SUBSTITUTE(SUBSTITUTE(CHMAData!W18,"Acquired and Rehabilitated Housing","A/R"),"Newly Constructed Housing","N/C"))</f>
        <v/>
      </c>
      <c r="H190" s="891"/>
      <c r="I190" s="583" t="str">
        <f>IF(CHMAData!BP18=0,"",LEFT(CHMAData!BP18,1))</f>
        <v/>
      </c>
      <c r="J190" s="584" t="str">
        <f>IF(CHMAData!T18=0,"",LEFT(CHMAData!T18,1))</f>
        <v/>
      </c>
      <c r="K190" s="888">
        <f>CHMAData!X18</f>
        <v>0</v>
      </c>
      <c r="L190" s="887"/>
      <c r="M190" s="940">
        <f>CHMAData!Y18</f>
        <v>0</v>
      </c>
      <c r="N190" s="940"/>
      <c r="O190" s="940"/>
      <c r="P190" s="940"/>
      <c r="Q190" s="868">
        <f>CHMAData!Z18</f>
        <v>0</v>
      </c>
      <c r="R190" s="869"/>
      <c r="S190" s="869"/>
      <c r="T190" s="870"/>
      <c r="U190" s="868">
        <f>CHMAData!AA18</f>
        <v>0</v>
      </c>
      <c r="V190" s="869"/>
      <c r="W190" s="870"/>
      <c r="X190" s="868">
        <f>CHMAData!AB18</f>
        <v>0</v>
      </c>
      <c r="Y190" s="869"/>
      <c r="Z190" s="870"/>
      <c r="AA190" s="868">
        <f t="shared" si="1"/>
        <v>0</v>
      </c>
      <c r="AB190" s="869"/>
      <c r="AC190" s="869"/>
      <c r="AD190" s="870"/>
      <c r="AE190" s="866">
        <f>CHMAData!AD18</f>
        <v>0</v>
      </c>
      <c r="AF190" s="867"/>
      <c r="AG190" s="529"/>
      <c r="AH190" s="518"/>
      <c r="AJ190" s="595" t="b">
        <f t="shared" si="2"/>
        <v>0</v>
      </c>
    </row>
    <row r="191" spans="1:36" hidden="1" x14ac:dyDescent="0.45">
      <c r="A191" s="518"/>
      <c r="B191" s="514" t="s">
        <v>1421</v>
      </c>
      <c r="C191" s="530"/>
      <c r="D191" s="530"/>
      <c r="E191" s="530"/>
      <c r="F191" s="530"/>
      <c r="G191" s="890" t="str">
        <f>IF(CHMAData!W19=0,"",SUBSTITUTE(SUBSTITUTE(CHMAData!W19,"Acquired and Rehabilitated Housing","A/R"),"Newly Constructed Housing","N/C"))</f>
        <v/>
      </c>
      <c r="H191" s="891"/>
      <c r="I191" s="583" t="str">
        <f>IF(CHMAData!BP19=0,"",LEFT(CHMAData!BP19,1))</f>
        <v/>
      </c>
      <c r="J191" s="584" t="str">
        <f>IF(CHMAData!T19=0,"",LEFT(CHMAData!T19,1))</f>
        <v/>
      </c>
      <c r="K191" s="888">
        <f>CHMAData!X19</f>
        <v>0</v>
      </c>
      <c r="L191" s="887"/>
      <c r="M191" s="940">
        <f>CHMAData!Y19</f>
        <v>0</v>
      </c>
      <c r="N191" s="940"/>
      <c r="O191" s="940"/>
      <c r="P191" s="940"/>
      <c r="Q191" s="868">
        <f>CHMAData!Z19</f>
        <v>0</v>
      </c>
      <c r="R191" s="869"/>
      <c r="S191" s="869"/>
      <c r="T191" s="870"/>
      <c r="U191" s="868">
        <f>CHMAData!AA19</f>
        <v>0</v>
      </c>
      <c r="V191" s="869"/>
      <c r="W191" s="870"/>
      <c r="X191" s="868">
        <f>CHMAData!AB19</f>
        <v>0</v>
      </c>
      <c r="Y191" s="869"/>
      <c r="Z191" s="870"/>
      <c r="AA191" s="868">
        <f t="shared" si="1"/>
        <v>0</v>
      </c>
      <c r="AB191" s="869"/>
      <c r="AC191" s="869"/>
      <c r="AD191" s="870"/>
      <c r="AE191" s="866">
        <f>CHMAData!AD19</f>
        <v>0</v>
      </c>
      <c r="AF191" s="867"/>
      <c r="AG191" s="529"/>
      <c r="AH191" s="518"/>
      <c r="AJ191" s="595" t="b">
        <f t="shared" si="2"/>
        <v>0</v>
      </c>
    </row>
    <row r="192" spans="1:36" hidden="1" x14ac:dyDescent="0.45">
      <c r="A192" s="518"/>
      <c r="B192" s="514" t="s">
        <v>1422</v>
      </c>
      <c r="C192" s="530"/>
      <c r="D192" s="530"/>
      <c r="E192" s="530"/>
      <c r="F192" s="530"/>
      <c r="G192" s="890" t="str">
        <f>IF(CHMAData!W20=0,"",SUBSTITUTE(SUBSTITUTE(CHMAData!W20,"Acquired and Rehabilitated Housing","A/R"),"Newly Constructed Housing","N/C"))</f>
        <v/>
      </c>
      <c r="H192" s="891"/>
      <c r="I192" s="583" t="str">
        <f>IF(CHMAData!BP20=0,"",LEFT(CHMAData!BP20,1))</f>
        <v/>
      </c>
      <c r="J192" s="584" t="str">
        <f>IF(CHMAData!T20=0,"",LEFT(CHMAData!T20,1))</f>
        <v/>
      </c>
      <c r="K192" s="888">
        <f>CHMAData!X20</f>
        <v>0</v>
      </c>
      <c r="L192" s="887"/>
      <c r="M192" s="940">
        <f>CHMAData!Y20</f>
        <v>0</v>
      </c>
      <c r="N192" s="940"/>
      <c r="O192" s="940"/>
      <c r="P192" s="940"/>
      <c r="Q192" s="868">
        <f>CHMAData!Z20</f>
        <v>0</v>
      </c>
      <c r="R192" s="869"/>
      <c r="S192" s="869"/>
      <c r="T192" s="870"/>
      <c r="U192" s="868">
        <f>CHMAData!AA20</f>
        <v>0</v>
      </c>
      <c r="V192" s="869"/>
      <c r="W192" s="870"/>
      <c r="X192" s="868">
        <f>CHMAData!AB20</f>
        <v>0</v>
      </c>
      <c r="Y192" s="869"/>
      <c r="Z192" s="870"/>
      <c r="AA192" s="868">
        <f t="shared" si="1"/>
        <v>0</v>
      </c>
      <c r="AB192" s="869"/>
      <c r="AC192" s="869"/>
      <c r="AD192" s="870"/>
      <c r="AE192" s="866">
        <f>CHMAData!AD20</f>
        <v>0</v>
      </c>
      <c r="AF192" s="867"/>
      <c r="AG192" s="529"/>
      <c r="AH192" s="518"/>
      <c r="AJ192" s="595" t="b">
        <f t="shared" si="2"/>
        <v>0</v>
      </c>
    </row>
    <row r="193" spans="1:36" hidden="1" x14ac:dyDescent="0.45">
      <c r="A193" s="518"/>
      <c r="B193" s="514" t="s">
        <v>1423</v>
      </c>
      <c r="C193" s="530"/>
      <c r="D193" s="530"/>
      <c r="E193" s="530"/>
      <c r="F193" s="530"/>
      <c r="G193" s="890" t="str">
        <f>IF(CHMAData!W21=0,"",SUBSTITUTE(SUBSTITUTE(CHMAData!W21,"Acquired and Rehabilitated Housing","A/R"),"Newly Constructed Housing","N/C"))</f>
        <v/>
      </c>
      <c r="H193" s="891"/>
      <c r="I193" s="583" t="str">
        <f>IF(CHMAData!BP21=0,"",LEFT(CHMAData!BP21,1))</f>
        <v/>
      </c>
      <c r="J193" s="584" t="str">
        <f>IF(CHMAData!T21=0,"",LEFT(CHMAData!T21,1))</f>
        <v/>
      </c>
      <c r="K193" s="888">
        <f>CHMAData!X21</f>
        <v>0</v>
      </c>
      <c r="L193" s="887"/>
      <c r="M193" s="940">
        <f>CHMAData!Y21</f>
        <v>0</v>
      </c>
      <c r="N193" s="940"/>
      <c r="O193" s="940"/>
      <c r="P193" s="940"/>
      <c r="Q193" s="868">
        <f>CHMAData!Z21</f>
        <v>0</v>
      </c>
      <c r="R193" s="869"/>
      <c r="S193" s="869"/>
      <c r="T193" s="870"/>
      <c r="U193" s="868">
        <f>CHMAData!AA21</f>
        <v>0</v>
      </c>
      <c r="V193" s="869"/>
      <c r="W193" s="870"/>
      <c r="X193" s="868">
        <f>CHMAData!AB21</f>
        <v>0</v>
      </c>
      <c r="Y193" s="869"/>
      <c r="Z193" s="870"/>
      <c r="AA193" s="868">
        <f t="shared" si="1"/>
        <v>0</v>
      </c>
      <c r="AB193" s="869"/>
      <c r="AC193" s="869"/>
      <c r="AD193" s="870"/>
      <c r="AE193" s="866">
        <f>CHMAData!AD21</f>
        <v>0</v>
      </c>
      <c r="AF193" s="867"/>
      <c r="AG193" s="529"/>
      <c r="AH193" s="518"/>
      <c r="AJ193" s="595" t="b">
        <f t="shared" si="2"/>
        <v>0</v>
      </c>
    </row>
    <row r="194" spans="1:36" hidden="1" x14ac:dyDescent="0.45">
      <c r="A194" s="518"/>
      <c r="B194" s="514" t="s">
        <v>1424</v>
      </c>
      <c r="C194" s="530"/>
      <c r="D194" s="530"/>
      <c r="E194" s="530"/>
      <c r="F194" s="530"/>
      <c r="G194" s="890" t="str">
        <f>IF(CHMAData!W22=0,"",SUBSTITUTE(SUBSTITUTE(CHMAData!W22,"Acquired and Rehabilitated Housing","A/R"),"Newly Constructed Housing","N/C"))</f>
        <v/>
      </c>
      <c r="H194" s="891"/>
      <c r="I194" s="583" t="str">
        <f>IF(CHMAData!BP22=0,"",LEFT(CHMAData!BP22,1))</f>
        <v/>
      </c>
      <c r="J194" s="584" t="str">
        <f>IF(CHMAData!T22=0,"",LEFT(CHMAData!T22,1))</f>
        <v/>
      </c>
      <c r="K194" s="888">
        <f>CHMAData!X22</f>
        <v>0</v>
      </c>
      <c r="L194" s="887"/>
      <c r="M194" s="940">
        <f>CHMAData!Y22</f>
        <v>0</v>
      </c>
      <c r="N194" s="940"/>
      <c r="O194" s="940"/>
      <c r="P194" s="940"/>
      <c r="Q194" s="868">
        <f>CHMAData!Z22</f>
        <v>0</v>
      </c>
      <c r="R194" s="869"/>
      <c r="S194" s="869"/>
      <c r="T194" s="870"/>
      <c r="U194" s="868">
        <f>CHMAData!AA22</f>
        <v>0</v>
      </c>
      <c r="V194" s="869"/>
      <c r="W194" s="870"/>
      <c r="X194" s="868">
        <f>CHMAData!AB22</f>
        <v>0</v>
      </c>
      <c r="Y194" s="869"/>
      <c r="Z194" s="870"/>
      <c r="AA194" s="868">
        <f t="shared" si="1"/>
        <v>0</v>
      </c>
      <c r="AB194" s="869"/>
      <c r="AC194" s="869"/>
      <c r="AD194" s="870"/>
      <c r="AE194" s="866">
        <f>CHMAData!AD22</f>
        <v>0</v>
      </c>
      <c r="AF194" s="867"/>
      <c r="AG194" s="529"/>
      <c r="AH194" s="518"/>
      <c r="AJ194" s="595" t="b">
        <f t="shared" si="2"/>
        <v>0</v>
      </c>
    </row>
    <row r="195" spans="1:36" hidden="1" x14ac:dyDescent="0.45">
      <c r="A195" s="518"/>
      <c r="B195" s="514" t="s">
        <v>1425</v>
      </c>
      <c r="C195" s="530"/>
      <c r="D195" s="530"/>
      <c r="E195" s="530"/>
      <c r="F195" s="530"/>
      <c r="G195" s="890" t="str">
        <f>IF(CHMAData!W23=0,"",SUBSTITUTE(SUBSTITUTE(CHMAData!W23,"Acquired and Rehabilitated Housing","A/R"),"Newly Constructed Housing","N/C"))</f>
        <v/>
      </c>
      <c r="H195" s="891"/>
      <c r="I195" s="583" t="str">
        <f>IF(CHMAData!BP23=0,"",LEFT(CHMAData!BP23,1))</f>
        <v/>
      </c>
      <c r="J195" s="584" t="str">
        <f>IF(CHMAData!T23=0,"",LEFT(CHMAData!T23,1))</f>
        <v/>
      </c>
      <c r="K195" s="888">
        <f>CHMAData!X23</f>
        <v>0</v>
      </c>
      <c r="L195" s="887"/>
      <c r="M195" s="940">
        <f>CHMAData!Y23</f>
        <v>0</v>
      </c>
      <c r="N195" s="940"/>
      <c r="O195" s="940"/>
      <c r="P195" s="940"/>
      <c r="Q195" s="868">
        <f>CHMAData!Z23</f>
        <v>0</v>
      </c>
      <c r="R195" s="869"/>
      <c r="S195" s="869"/>
      <c r="T195" s="870"/>
      <c r="U195" s="868">
        <f>CHMAData!AA23</f>
        <v>0</v>
      </c>
      <c r="V195" s="869"/>
      <c r="W195" s="870"/>
      <c r="X195" s="868">
        <f>CHMAData!AB23</f>
        <v>0</v>
      </c>
      <c r="Y195" s="869"/>
      <c r="Z195" s="870"/>
      <c r="AA195" s="868">
        <f t="shared" si="1"/>
        <v>0</v>
      </c>
      <c r="AB195" s="869"/>
      <c r="AC195" s="869"/>
      <c r="AD195" s="870"/>
      <c r="AE195" s="866">
        <f>CHMAData!AD23</f>
        <v>0</v>
      </c>
      <c r="AF195" s="867"/>
      <c r="AG195" s="529"/>
      <c r="AH195" s="518"/>
      <c r="AJ195" s="595" t="b">
        <f t="shared" si="2"/>
        <v>0</v>
      </c>
    </row>
    <row r="196" spans="1:36" hidden="1" x14ac:dyDescent="0.45">
      <c r="A196" s="518"/>
      <c r="B196" s="514" t="s">
        <v>1426</v>
      </c>
      <c r="C196" s="530"/>
      <c r="D196" s="530"/>
      <c r="E196" s="530"/>
      <c r="F196" s="530"/>
      <c r="G196" s="890" t="str">
        <f>IF(CHMAData!W24=0,"",SUBSTITUTE(SUBSTITUTE(CHMAData!W24,"Acquired and Rehabilitated Housing","A/R"),"Newly Constructed Housing","N/C"))</f>
        <v/>
      </c>
      <c r="H196" s="891"/>
      <c r="I196" s="583" t="str">
        <f>IF(CHMAData!BP24=0,"",LEFT(CHMAData!BP24,1))</f>
        <v/>
      </c>
      <c r="J196" s="584" t="str">
        <f>IF(CHMAData!T24=0,"",LEFT(CHMAData!T24,1))</f>
        <v/>
      </c>
      <c r="K196" s="888">
        <f>CHMAData!X24</f>
        <v>0</v>
      </c>
      <c r="L196" s="887"/>
      <c r="M196" s="940">
        <f>CHMAData!Y24</f>
        <v>0</v>
      </c>
      <c r="N196" s="940"/>
      <c r="O196" s="940"/>
      <c r="P196" s="940"/>
      <c r="Q196" s="868">
        <f>CHMAData!Z24</f>
        <v>0</v>
      </c>
      <c r="R196" s="869"/>
      <c r="S196" s="869"/>
      <c r="T196" s="870"/>
      <c r="U196" s="868">
        <f>CHMAData!AA24</f>
        <v>0</v>
      </c>
      <c r="V196" s="869"/>
      <c r="W196" s="870"/>
      <c r="X196" s="868">
        <f>CHMAData!AB24</f>
        <v>0</v>
      </c>
      <c r="Y196" s="869"/>
      <c r="Z196" s="870"/>
      <c r="AA196" s="868">
        <f t="shared" si="1"/>
        <v>0</v>
      </c>
      <c r="AB196" s="869"/>
      <c r="AC196" s="869"/>
      <c r="AD196" s="870"/>
      <c r="AE196" s="866">
        <f>CHMAData!AD24</f>
        <v>0</v>
      </c>
      <c r="AF196" s="867"/>
      <c r="AG196" s="529"/>
      <c r="AH196" s="518"/>
      <c r="AJ196" s="595" t="b">
        <f t="shared" si="2"/>
        <v>0</v>
      </c>
    </row>
    <row r="197" spans="1:36" hidden="1" x14ac:dyDescent="0.45">
      <c r="A197" s="518"/>
      <c r="B197" s="514" t="s">
        <v>1427</v>
      </c>
      <c r="C197" s="530"/>
      <c r="D197" s="530"/>
      <c r="E197" s="530"/>
      <c r="F197" s="530"/>
      <c r="G197" s="890" t="str">
        <f>IF(CHMAData!W25=0,"",SUBSTITUTE(SUBSTITUTE(CHMAData!W25,"Acquired and Rehabilitated Housing","A/R"),"Newly Constructed Housing","N/C"))</f>
        <v/>
      </c>
      <c r="H197" s="891"/>
      <c r="I197" s="583" t="str">
        <f>IF(CHMAData!BP25=0,"",LEFT(CHMAData!BP25,1))</f>
        <v/>
      </c>
      <c r="J197" s="584" t="str">
        <f>IF(CHMAData!T25=0,"",LEFT(CHMAData!T25,1))</f>
        <v/>
      </c>
      <c r="K197" s="888">
        <f>CHMAData!X25</f>
        <v>0</v>
      </c>
      <c r="L197" s="887"/>
      <c r="M197" s="940">
        <f>CHMAData!Y25</f>
        <v>0</v>
      </c>
      <c r="N197" s="940"/>
      <c r="O197" s="940"/>
      <c r="P197" s="940"/>
      <c r="Q197" s="868">
        <f>CHMAData!Z25</f>
        <v>0</v>
      </c>
      <c r="R197" s="869"/>
      <c r="S197" s="869"/>
      <c r="T197" s="870"/>
      <c r="U197" s="868">
        <f>CHMAData!AA25</f>
        <v>0</v>
      </c>
      <c r="V197" s="869"/>
      <c r="W197" s="870"/>
      <c r="X197" s="868">
        <f>CHMAData!AB25</f>
        <v>0</v>
      </c>
      <c r="Y197" s="869"/>
      <c r="Z197" s="870"/>
      <c r="AA197" s="868">
        <f t="shared" si="1"/>
        <v>0</v>
      </c>
      <c r="AB197" s="869"/>
      <c r="AC197" s="869"/>
      <c r="AD197" s="870"/>
      <c r="AE197" s="866">
        <f>CHMAData!AD25</f>
        <v>0</v>
      </c>
      <c r="AF197" s="867"/>
      <c r="AG197" s="529"/>
      <c r="AH197" s="518"/>
      <c r="AJ197" s="595" t="b">
        <f t="shared" si="2"/>
        <v>0</v>
      </c>
    </row>
    <row r="198" spans="1:36" hidden="1" x14ac:dyDescent="0.45">
      <c r="A198" s="518"/>
      <c r="B198" s="514" t="s">
        <v>1428</v>
      </c>
      <c r="C198" s="530"/>
      <c r="D198" s="530"/>
      <c r="E198" s="530"/>
      <c r="F198" s="530"/>
      <c r="G198" s="890" t="str">
        <f>IF(CHMAData!W26=0,"",SUBSTITUTE(SUBSTITUTE(CHMAData!W26,"Acquired and Rehabilitated Housing","A/R"),"Newly Constructed Housing","N/C"))</f>
        <v/>
      </c>
      <c r="H198" s="891"/>
      <c r="I198" s="583" t="str">
        <f>IF(CHMAData!BP26=0,"",LEFT(CHMAData!BP26,1))</f>
        <v/>
      </c>
      <c r="J198" s="584" t="str">
        <f>IF(CHMAData!T26=0,"",LEFT(CHMAData!T26,1))</f>
        <v/>
      </c>
      <c r="K198" s="888">
        <f>CHMAData!X26</f>
        <v>0</v>
      </c>
      <c r="L198" s="887"/>
      <c r="M198" s="940">
        <f>CHMAData!Y26</f>
        <v>0</v>
      </c>
      <c r="N198" s="940"/>
      <c r="O198" s="940"/>
      <c r="P198" s="940"/>
      <c r="Q198" s="868">
        <f>CHMAData!Z26</f>
        <v>0</v>
      </c>
      <c r="R198" s="869"/>
      <c r="S198" s="869"/>
      <c r="T198" s="870"/>
      <c r="U198" s="868">
        <f>CHMAData!AA26</f>
        <v>0</v>
      </c>
      <c r="V198" s="869"/>
      <c r="W198" s="870"/>
      <c r="X198" s="868">
        <f>CHMAData!AB26</f>
        <v>0</v>
      </c>
      <c r="Y198" s="869"/>
      <c r="Z198" s="870"/>
      <c r="AA198" s="868">
        <f t="shared" si="1"/>
        <v>0</v>
      </c>
      <c r="AB198" s="869"/>
      <c r="AC198" s="869"/>
      <c r="AD198" s="870"/>
      <c r="AE198" s="866">
        <f>CHMAData!AD26</f>
        <v>0</v>
      </c>
      <c r="AF198" s="867"/>
      <c r="AG198" s="529"/>
      <c r="AH198" s="518"/>
      <c r="AJ198" s="595" t="b">
        <f t="shared" si="2"/>
        <v>0</v>
      </c>
    </row>
    <row r="199" spans="1:36" hidden="1" x14ac:dyDescent="0.45">
      <c r="A199" s="518"/>
      <c r="B199" s="514" t="s">
        <v>1429</v>
      </c>
      <c r="C199" s="530"/>
      <c r="D199" s="530"/>
      <c r="E199" s="530"/>
      <c r="F199" s="530"/>
      <c r="G199" s="890" t="str">
        <f>IF(CHMAData!W27=0,"",SUBSTITUTE(SUBSTITUTE(CHMAData!W27,"Acquired and Rehabilitated Housing","A/R"),"Newly Constructed Housing","N/C"))</f>
        <v/>
      </c>
      <c r="H199" s="891"/>
      <c r="I199" s="583" t="str">
        <f>IF(CHMAData!BP27=0,"",LEFT(CHMAData!BP27,1))</f>
        <v/>
      </c>
      <c r="J199" s="584" t="str">
        <f>IF(CHMAData!T27=0,"",LEFT(CHMAData!T27,1))</f>
        <v/>
      </c>
      <c r="K199" s="888">
        <f>CHMAData!X27</f>
        <v>0</v>
      </c>
      <c r="L199" s="887"/>
      <c r="M199" s="940">
        <f>CHMAData!Y27</f>
        <v>0</v>
      </c>
      <c r="N199" s="940"/>
      <c r="O199" s="940"/>
      <c r="P199" s="940"/>
      <c r="Q199" s="868">
        <f>CHMAData!Z27</f>
        <v>0</v>
      </c>
      <c r="R199" s="869"/>
      <c r="S199" s="869"/>
      <c r="T199" s="870"/>
      <c r="U199" s="868">
        <f>CHMAData!AA27</f>
        <v>0</v>
      </c>
      <c r="V199" s="869"/>
      <c r="W199" s="870"/>
      <c r="X199" s="868">
        <f>CHMAData!AB27</f>
        <v>0</v>
      </c>
      <c r="Y199" s="869"/>
      <c r="Z199" s="870"/>
      <c r="AA199" s="868">
        <f t="shared" si="1"/>
        <v>0</v>
      </c>
      <c r="AB199" s="869"/>
      <c r="AC199" s="869"/>
      <c r="AD199" s="870"/>
      <c r="AE199" s="866">
        <f>CHMAData!AD27</f>
        <v>0</v>
      </c>
      <c r="AF199" s="867"/>
      <c r="AG199" s="529"/>
      <c r="AH199" s="518"/>
      <c r="AJ199" s="595" t="b">
        <f t="shared" si="2"/>
        <v>0</v>
      </c>
    </row>
    <row r="200" spans="1:36" hidden="1" x14ac:dyDescent="0.45">
      <c r="A200" s="518"/>
      <c r="B200" s="514" t="s">
        <v>1430</v>
      </c>
      <c r="C200" s="530"/>
      <c r="D200" s="530"/>
      <c r="E200" s="530"/>
      <c r="F200" s="530"/>
      <c r="G200" s="890" t="str">
        <f>IF(CHMAData!W28=0,"",SUBSTITUTE(SUBSTITUTE(CHMAData!W28,"Acquired and Rehabilitated Housing","A/R"),"Newly Constructed Housing","N/C"))</f>
        <v/>
      </c>
      <c r="H200" s="891"/>
      <c r="I200" s="583" t="str">
        <f>IF(CHMAData!BP28=0,"",LEFT(CHMAData!BP28,1))</f>
        <v/>
      </c>
      <c r="J200" s="584" t="str">
        <f>IF(CHMAData!T28=0,"",LEFT(CHMAData!T28,1))</f>
        <v/>
      </c>
      <c r="K200" s="888">
        <f>CHMAData!X28</f>
        <v>0</v>
      </c>
      <c r="L200" s="887"/>
      <c r="M200" s="940">
        <f>CHMAData!Y28</f>
        <v>0</v>
      </c>
      <c r="N200" s="940"/>
      <c r="O200" s="940"/>
      <c r="P200" s="940"/>
      <c r="Q200" s="868">
        <f>CHMAData!Z28</f>
        <v>0</v>
      </c>
      <c r="R200" s="869"/>
      <c r="S200" s="869"/>
      <c r="T200" s="870"/>
      <c r="U200" s="868">
        <f>CHMAData!AA28</f>
        <v>0</v>
      </c>
      <c r="V200" s="869"/>
      <c r="W200" s="870"/>
      <c r="X200" s="868">
        <f>CHMAData!AB28</f>
        <v>0</v>
      </c>
      <c r="Y200" s="869"/>
      <c r="Z200" s="870"/>
      <c r="AA200" s="868">
        <f t="shared" si="1"/>
        <v>0</v>
      </c>
      <c r="AB200" s="869"/>
      <c r="AC200" s="869"/>
      <c r="AD200" s="870"/>
      <c r="AE200" s="866">
        <f>CHMAData!AD28</f>
        <v>0</v>
      </c>
      <c r="AF200" s="867"/>
      <c r="AG200" s="529"/>
      <c r="AH200" s="518"/>
      <c r="AJ200" s="595" t="b">
        <f t="shared" si="2"/>
        <v>0</v>
      </c>
    </row>
    <row r="201" spans="1:36" hidden="1" x14ac:dyDescent="0.45">
      <c r="A201" s="518"/>
      <c r="B201" s="514" t="s">
        <v>1431</v>
      </c>
      <c r="C201" s="530"/>
      <c r="D201" s="530"/>
      <c r="E201" s="530"/>
      <c r="F201" s="530"/>
      <c r="G201" s="890" t="str">
        <f>IF(CHMAData!W29=0,"",SUBSTITUTE(SUBSTITUTE(CHMAData!W29,"Acquired and Rehabilitated Housing","A/R"),"Newly Constructed Housing","N/C"))</f>
        <v/>
      </c>
      <c r="H201" s="891"/>
      <c r="I201" s="583" t="str">
        <f>IF(CHMAData!BP29=0,"",LEFT(CHMAData!BP29,1))</f>
        <v/>
      </c>
      <c r="J201" s="584" t="str">
        <f>IF(CHMAData!T29=0,"",LEFT(CHMAData!T29,1))</f>
        <v/>
      </c>
      <c r="K201" s="888">
        <f>CHMAData!X29</f>
        <v>0</v>
      </c>
      <c r="L201" s="887"/>
      <c r="M201" s="940">
        <f>CHMAData!Y29</f>
        <v>0</v>
      </c>
      <c r="N201" s="940"/>
      <c r="O201" s="940"/>
      <c r="P201" s="940"/>
      <c r="Q201" s="868">
        <f>CHMAData!Z29</f>
        <v>0</v>
      </c>
      <c r="R201" s="869"/>
      <c r="S201" s="869"/>
      <c r="T201" s="870"/>
      <c r="U201" s="868">
        <f>CHMAData!AA29</f>
        <v>0</v>
      </c>
      <c r="V201" s="869"/>
      <c r="W201" s="870"/>
      <c r="X201" s="868">
        <f>CHMAData!AB29</f>
        <v>0</v>
      </c>
      <c r="Y201" s="869"/>
      <c r="Z201" s="870"/>
      <c r="AA201" s="868">
        <f t="shared" si="1"/>
        <v>0</v>
      </c>
      <c r="AB201" s="869"/>
      <c r="AC201" s="869"/>
      <c r="AD201" s="870"/>
      <c r="AE201" s="866">
        <f>CHMAData!AD29</f>
        <v>0</v>
      </c>
      <c r="AF201" s="867"/>
      <c r="AG201" s="529"/>
      <c r="AH201" s="518"/>
      <c r="AJ201" s="595" t="b">
        <f t="shared" si="2"/>
        <v>0</v>
      </c>
    </row>
    <row r="202" spans="1:36" hidden="1" x14ac:dyDescent="0.45">
      <c r="A202" s="518"/>
      <c r="B202" s="514" t="s">
        <v>1432</v>
      </c>
      <c r="C202" s="530"/>
      <c r="D202" s="530"/>
      <c r="E202" s="530"/>
      <c r="F202" s="530"/>
      <c r="G202" s="890" t="str">
        <f>IF(CHMAData!W30=0,"",SUBSTITUTE(SUBSTITUTE(CHMAData!W30,"Acquired and Rehabilitated Housing","A/R"),"Newly Constructed Housing","N/C"))</f>
        <v/>
      </c>
      <c r="H202" s="891"/>
      <c r="I202" s="583" t="str">
        <f>IF(CHMAData!BP30=0,"",LEFT(CHMAData!BP30,1))</f>
        <v/>
      </c>
      <c r="J202" s="584" t="str">
        <f>IF(CHMAData!T30=0,"",LEFT(CHMAData!T30,1))</f>
        <v/>
      </c>
      <c r="K202" s="888">
        <f>CHMAData!X30</f>
        <v>0</v>
      </c>
      <c r="L202" s="887"/>
      <c r="M202" s="940">
        <f>CHMAData!Y30</f>
        <v>0</v>
      </c>
      <c r="N202" s="940"/>
      <c r="O202" s="940"/>
      <c r="P202" s="940"/>
      <c r="Q202" s="868">
        <f>CHMAData!Z30</f>
        <v>0</v>
      </c>
      <c r="R202" s="869"/>
      <c r="S202" s="869"/>
      <c r="T202" s="870"/>
      <c r="U202" s="868">
        <f>CHMAData!AA30</f>
        <v>0</v>
      </c>
      <c r="V202" s="869"/>
      <c r="W202" s="870"/>
      <c r="X202" s="868">
        <f>CHMAData!AB30</f>
        <v>0</v>
      </c>
      <c r="Y202" s="869"/>
      <c r="Z202" s="870"/>
      <c r="AA202" s="868">
        <f t="shared" si="1"/>
        <v>0</v>
      </c>
      <c r="AB202" s="869"/>
      <c r="AC202" s="869"/>
      <c r="AD202" s="870"/>
      <c r="AE202" s="866">
        <f>CHMAData!AD30</f>
        <v>0</v>
      </c>
      <c r="AF202" s="867"/>
      <c r="AG202" s="529"/>
      <c r="AH202" s="518"/>
      <c r="AJ202" s="595" t="b">
        <f t="shared" si="2"/>
        <v>0</v>
      </c>
    </row>
    <row r="203" spans="1:36" hidden="1" x14ac:dyDescent="0.45">
      <c r="A203" s="518"/>
      <c r="B203" s="514" t="s">
        <v>1433</v>
      </c>
      <c r="C203" s="530"/>
      <c r="D203" s="530"/>
      <c r="E203" s="530"/>
      <c r="F203" s="530"/>
      <c r="G203" s="890" t="str">
        <f>IF(CHMAData!W31=0,"",SUBSTITUTE(SUBSTITUTE(CHMAData!W31,"Acquired and Rehabilitated Housing","A/R"),"Newly Constructed Housing","N/C"))</f>
        <v/>
      </c>
      <c r="H203" s="891"/>
      <c r="I203" s="583" t="str">
        <f>IF(CHMAData!BP31=0,"",LEFT(CHMAData!BP31,1))</f>
        <v/>
      </c>
      <c r="J203" s="584" t="str">
        <f>IF(CHMAData!T31=0,"",LEFT(CHMAData!T31,1))</f>
        <v/>
      </c>
      <c r="K203" s="888">
        <f>CHMAData!X31</f>
        <v>0</v>
      </c>
      <c r="L203" s="887"/>
      <c r="M203" s="940">
        <f>CHMAData!Y31</f>
        <v>0</v>
      </c>
      <c r="N203" s="940"/>
      <c r="O203" s="940"/>
      <c r="P203" s="940"/>
      <c r="Q203" s="868">
        <f>CHMAData!Z31</f>
        <v>0</v>
      </c>
      <c r="R203" s="869"/>
      <c r="S203" s="869"/>
      <c r="T203" s="870"/>
      <c r="U203" s="868">
        <f>CHMAData!AA31</f>
        <v>0</v>
      </c>
      <c r="V203" s="869"/>
      <c r="W203" s="870"/>
      <c r="X203" s="868">
        <f>CHMAData!AB31</f>
        <v>0</v>
      </c>
      <c r="Y203" s="869"/>
      <c r="Z203" s="870"/>
      <c r="AA203" s="868">
        <f t="shared" si="1"/>
        <v>0</v>
      </c>
      <c r="AB203" s="869"/>
      <c r="AC203" s="869"/>
      <c r="AD203" s="870"/>
      <c r="AE203" s="866">
        <f>CHMAData!AD31</f>
        <v>0</v>
      </c>
      <c r="AF203" s="867"/>
      <c r="AG203" s="529"/>
      <c r="AH203" s="518"/>
      <c r="AJ203" s="595" t="b">
        <f t="shared" si="2"/>
        <v>0</v>
      </c>
    </row>
    <row r="204" spans="1:36" hidden="1" x14ac:dyDescent="0.45">
      <c r="A204" s="518"/>
      <c r="B204" s="514" t="s">
        <v>1434</v>
      </c>
      <c r="C204" s="530"/>
      <c r="D204" s="530"/>
      <c r="E204" s="530"/>
      <c r="F204" s="530"/>
      <c r="G204" s="890" t="str">
        <f>IF(CHMAData!W32=0,"",SUBSTITUTE(SUBSTITUTE(CHMAData!W32,"Acquired and Rehabilitated Housing","A/R"),"Newly Constructed Housing","N/C"))</f>
        <v/>
      </c>
      <c r="H204" s="891"/>
      <c r="I204" s="583" t="str">
        <f>IF(CHMAData!BP32=0,"",LEFT(CHMAData!BP32,1))</f>
        <v/>
      </c>
      <c r="J204" s="584" t="str">
        <f>IF(CHMAData!T32=0,"",LEFT(CHMAData!T32,1))</f>
        <v/>
      </c>
      <c r="K204" s="888">
        <f>CHMAData!X32</f>
        <v>0</v>
      </c>
      <c r="L204" s="887"/>
      <c r="M204" s="940">
        <f>CHMAData!Y32</f>
        <v>0</v>
      </c>
      <c r="N204" s="940"/>
      <c r="O204" s="940"/>
      <c r="P204" s="940"/>
      <c r="Q204" s="868">
        <f>CHMAData!Z32</f>
        <v>0</v>
      </c>
      <c r="R204" s="869"/>
      <c r="S204" s="869"/>
      <c r="T204" s="870"/>
      <c r="U204" s="868">
        <f>CHMAData!AA32</f>
        <v>0</v>
      </c>
      <c r="V204" s="869"/>
      <c r="W204" s="870"/>
      <c r="X204" s="868">
        <f>CHMAData!AB32</f>
        <v>0</v>
      </c>
      <c r="Y204" s="869"/>
      <c r="Z204" s="870"/>
      <c r="AA204" s="868">
        <f t="shared" si="1"/>
        <v>0</v>
      </c>
      <c r="AB204" s="869"/>
      <c r="AC204" s="869"/>
      <c r="AD204" s="870"/>
      <c r="AE204" s="866">
        <f>CHMAData!AD32</f>
        <v>0</v>
      </c>
      <c r="AF204" s="867"/>
      <c r="AG204" s="529"/>
      <c r="AH204" s="518"/>
      <c r="AJ204" s="595" t="b">
        <f t="shared" si="2"/>
        <v>0</v>
      </c>
    </row>
    <row r="205" spans="1:36" hidden="1" x14ac:dyDescent="0.45">
      <c r="A205" s="518"/>
      <c r="B205" s="514" t="s">
        <v>1435</v>
      </c>
      <c r="C205" s="530"/>
      <c r="D205" s="530"/>
      <c r="E205" s="530"/>
      <c r="F205" s="530"/>
      <c r="G205" s="890" t="str">
        <f>IF(CHMAData!W33=0,"",SUBSTITUTE(SUBSTITUTE(CHMAData!W33,"Acquired and Rehabilitated Housing","A/R"),"Newly Constructed Housing","N/C"))</f>
        <v/>
      </c>
      <c r="H205" s="891"/>
      <c r="I205" s="583" t="str">
        <f>IF(CHMAData!BP33=0,"",LEFT(CHMAData!BP33,1))</f>
        <v/>
      </c>
      <c r="J205" s="584" t="str">
        <f>IF(CHMAData!T33=0,"",LEFT(CHMAData!T33,1))</f>
        <v/>
      </c>
      <c r="K205" s="888">
        <f>CHMAData!X33</f>
        <v>0</v>
      </c>
      <c r="L205" s="887"/>
      <c r="M205" s="940">
        <f>CHMAData!Y33</f>
        <v>0</v>
      </c>
      <c r="N205" s="940"/>
      <c r="O205" s="940"/>
      <c r="P205" s="940"/>
      <c r="Q205" s="868">
        <f>CHMAData!Z33</f>
        <v>0</v>
      </c>
      <c r="R205" s="869"/>
      <c r="S205" s="869"/>
      <c r="T205" s="870"/>
      <c r="U205" s="868">
        <f>CHMAData!AA33</f>
        <v>0</v>
      </c>
      <c r="V205" s="869"/>
      <c r="W205" s="870"/>
      <c r="X205" s="868">
        <f>CHMAData!AB33</f>
        <v>0</v>
      </c>
      <c r="Y205" s="869"/>
      <c r="Z205" s="870"/>
      <c r="AA205" s="868">
        <f t="shared" si="1"/>
        <v>0</v>
      </c>
      <c r="AB205" s="869"/>
      <c r="AC205" s="869"/>
      <c r="AD205" s="870"/>
      <c r="AE205" s="866">
        <f>CHMAData!AD33</f>
        <v>0</v>
      </c>
      <c r="AF205" s="867"/>
      <c r="AG205" s="529"/>
      <c r="AH205" s="518"/>
      <c r="AJ205" s="595" t="b">
        <f t="shared" si="2"/>
        <v>0</v>
      </c>
    </row>
    <row r="206" spans="1:36" hidden="1" x14ac:dyDescent="0.45">
      <c r="A206" s="518"/>
      <c r="B206" s="514" t="s">
        <v>1436</v>
      </c>
      <c r="C206" s="530"/>
      <c r="D206" s="530"/>
      <c r="E206" s="530"/>
      <c r="F206" s="530"/>
      <c r="G206" s="890" t="str">
        <f>IF(CHMAData!W34=0,"",SUBSTITUTE(SUBSTITUTE(CHMAData!W34,"Acquired and Rehabilitated Housing","A/R"),"Newly Constructed Housing","N/C"))</f>
        <v/>
      </c>
      <c r="H206" s="891"/>
      <c r="I206" s="583" t="str">
        <f>IF(CHMAData!BP34=0,"",LEFT(CHMAData!BP34,1))</f>
        <v/>
      </c>
      <c r="J206" s="584" t="str">
        <f>IF(CHMAData!T34=0,"",LEFT(CHMAData!T34,1))</f>
        <v/>
      </c>
      <c r="K206" s="888">
        <f>CHMAData!X34</f>
        <v>0</v>
      </c>
      <c r="L206" s="887"/>
      <c r="M206" s="940">
        <f>CHMAData!Y34</f>
        <v>0</v>
      </c>
      <c r="N206" s="940"/>
      <c r="O206" s="940"/>
      <c r="P206" s="940"/>
      <c r="Q206" s="868">
        <f>CHMAData!Z34</f>
        <v>0</v>
      </c>
      <c r="R206" s="869"/>
      <c r="S206" s="869"/>
      <c r="T206" s="870"/>
      <c r="U206" s="868">
        <f>CHMAData!AA34</f>
        <v>0</v>
      </c>
      <c r="V206" s="869"/>
      <c r="W206" s="870"/>
      <c r="X206" s="868">
        <f>CHMAData!AB34</f>
        <v>0</v>
      </c>
      <c r="Y206" s="869"/>
      <c r="Z206" s="870"/>
      <c r="AA206" s="868">
        <f t="shared" si="1"/>
        <v>0</v>
      </c>
      <c r="AB206" s="869"/>
      <c r="AC206" s="869"/>
      <c r="AD206" s="870"/>
      <c r="AE206" s="866">
        <f>CHMAData!AD34</f>
        <v>0</v>
      </c>
      <c r="AF206" s="867"/>
      <c r="AG206" s="529"/>
      <c r="AH206" s="518"/>
      <c r="AJ206" s="595" t="b">
        <f t="shared" si="2"/>
        <v>0</v>
      </c>
    </row>
    <row r="207" spans="1:36" hidden="1" x14ac:dyDescent="0.45">
      <c r="A207" s="518"/>
      <c r="B207" s="514" t="s">
        <v>1437</v>
      </c>
      <c r="C207" s="530"/>
      <c r="D207" s="530"/>
      <c r="E207" s="530"/>
      <c r="F207" s="530"/>
      <c r="G207" s="890" t="str">
        <f>IF(CHMAData!W35=0,"",SUBSTITUTE(SUBSTITUTE(CHMAData!W35,"Acquired and Rehabilitated Housing","A/R"),"Newly Constructed Housing","N/C"))</f>
        <v/>
      </c>
      <c r="H207" s="891"/>
      <c r="I207" s="583" t="str">
        <f>IF(CHMAData!BP35=0,"",LEFT(CHMAData!BP35,1))</f>
        <v/>
      </c>
      <c r="J207" s="584" t="str">
        <f>IF(CHMAData!T35=0,"",LEFT(CHMAData!T35,1))</f>
        <v/>
      </c>
      <c r="K207" s="888">
        <f>CHMAData!X35</f>
        <v>0</v>
      </c>
      <c r="L207" s="887"/>
      <c r="M207" s="940">
        <f>CHMAData!Y35</f>
        <v>0</v>
      </c>
      <c r="N207" s="940"/>
      <c r="O207" s="940"/>
      <c r="P207" s="940"/>
      <c r="Q207" s="868">
        <f>CHMAData!Z35</f>
        <v>0</v>
      </c>
      <c r="R207" s="869"/>
      <c r="S207" s="869"/>
      <c r="T207" s="870"/>
      <c r="U207" s="868">
        <f>CHMAData!AA35</f>
        <v>0</v>
      </c>
      <c r="V207" s="869"/>
      <c r="W207" s="870"/>
      <c r="X207" s="868">
        <f>CHMAData!AB35</f>
        <v>0</v>
      </c>
      <c r="Y207" s="869"/>
      <c r="Z207" s="870"/>
      <c r="AA207" s="868">
        <f t="shared" si="1"/>
        <v>0</v>
      </c>
      <c r="AB207" s="869"/>
      <c r="AC207" s="869"/>
      <c r="AD207" s="870"/>
      <c r="AE207" s="866">
        <f>CHMAData!AD35</f>
        <v>0</v>
      </c>
      <c r="AF207" s="867"/>
      <c r="AG207" s="529"/>
      <c r="AH207" s="518"/>
      <c r="AJ207" s="595" t="b">
        <f t="shared" si="2"/>
        <v>0</v>
      </c>
    </row>
    <row r="208" spans="1:36" hidden="1" x14ac:dyDescent="0.45">
      <c r="A208" s="518"/>
      <c r="B208" s="514" t="s">
        <v>1438</v>
      </c>
      <c r="C208" s="530"/>
      <c r="D208" s="530"/>
      <c r="E208" s="530"/>
      <c r="F208" s="530"/>
      <c r="G208" s="890" t="str">
        <f>IF(CHMAData!W36=0,"",SUBSTITUTE(SUBSTITUTE(CHMAData!W36,"Acquired and Rehabilitated Housing","A/R"),"Newly Constructed Housing","N/C"))</f>
        <v/>
      </c>
      <c r="H208" s="891"/>
      <c r="I208" s="583" t="str">
        <f>IF(CHMAData!BP36=0,"",LEFT(CHMAData!BP36,1))</f>
        <v/>
      </c>
      <c r="J208" s="584" t="str">
        <f>IF(CHMAData!T36=0,"",LEFT(CHMAData!T36,1))</f>
        <v/>
      </c>
      <c r="K208" s="888">
        <f>CHMAData!X36</f>
        <v>0</v>
      </c>
      <c r="L208" s="887"/>
      <c r="M208" s="940">
        <f>CHMAData!Y36</f>
        <v>0</v>
      </c>
      <c r="N208" s="940"/>
      <c r="O208" s="940"/>
      <c r="P208" s="940"/>
      <c r="Q208" s="868">
        <f>CHMAData!Z36</f>
        <v>0</v>
      </c>
      <c r="R208" s="869"/>
      <c r="S208" s="869"/>
      <c r="T208" s="870"/>
      <c r="U208" s="868">
        <f>CHMAData!AA36</f>
        <v>0</v>
      </c>
      <c r="V208" s="869"/>
      <c r="W208" s="870"/>
      <c r="X208" s="868">
        <f>CHMAData!AB36</f>
        <v>0</v>
      </c>
      <c r="Y208" s="869"/>
      <c r="Z208" s="870"/>
      <c r="AA208" s="868">
        <f t="shared" si="1"/>
        <v>0</v>
      </c>
      <c r="AB208" s="869"/>
      <c r="AC208" s="869"/>
      <c r="AD208" s="870"/>
      <c r="AE208" s="866">
        <f>CHMAData!AD36</f>
        <v>0</v>
      </c>
      <c r="AF208" s="867"/>
      <c r="AG208" s="529"/>
      <c r="AH208" s="518"/>
      <c r="AJ208" s="595" t="b">
        <f t="shared" si="2"/>
        <v>0</v>
      </c>
    </row>
    <row r="209" spans="1:36" hidden="1" x14ac:dyDescent="0.45">
      <c r="A209" s="518"/>
      <c r="B209" s="514" t="s">
        <v>1439</v>
      </c>
      <c r="C209" s="530"/>
      <c r="D209" s="530"/>
      <c r="E209" s="530"/>
      <c r="F209" s="530"/>
      <c r="G209" s="890" t="str">
        <f>IF(CHMAData!W37=0,"",SUBSTITUTE(SUBSTITUTE(CHMAData!W37,"Acquired and Rehabilitated Housing","A/R"),"Newly Constructed Housing","N/C"))</f>
        <v/>
      </c>
      <c r="H209" s="891"/>
      <c r="I209" s="583" t="str">
        <f>IF(CHMAData!BP37=0,"",LEFT(CHMAData!BP37,1))</f>
        <v/>
      </c>
      <c r="J209" s="584" t="str">
        <f>IF(CHMAData!T37=0,"",LEFT(CHMAData!T37,1))</f>
        <v/>
      </c>
      <c r="K209" s="888">
        <f>CHMAData!X37</f>
        <v>0</v>
      </c>
      <c r="L209" s="887"/>
      <c r="M209" s="940">
        <f>CHMAData!Y37</f>
        <v>0</v>
      </c>
      <c r="N209" s="940"/>
      <c r="O209" s="940"/>
      <c r="P209" s="940"/>
      <c r="Q209" s="868">
        <f>CHMAData!Z37</f>
        <v>0</v>
      </c>
      <c r="R209" s="869"/>
      <c r="S209" s="869"/>
      <c r="T209" s="870"/>
      <c r="U209" s="868">
        <f>CHMAData!AA37</f>
        <v>0</v>
      </c>
      <c r="V209" s="869"/>
      <c r="W209" s="870"/>
      <c r="X209" s="868">
        <f>CHMAData!AB37</f>
        <v>0</v>
      </c>
      <c r="Y209" s="869"/>
      <c r="Z209" s="870"/>
      <c r="AA209" s="868">
        <f t="shared" si="1"/>
        <v>0</v>
      </c>
      <c r="AB209" s="869"/>
      <c r="AC209" s="869"/>
      <c r="AD209" s="870"/>
      <c r="AE209" s="866">
        <f>CHMAData!AD37</f>
        <v>0</v>
      </c>
      <c r="AF209" s="867"/>
      <c r="AG209" s="529"/>
      <c r="AH209" s="518"/>
      <c r="AJ209" s="595" t="b">
        <f t="shared" si="2"/>
        <v>0</v>
      </c>
    </row>
    <row r="210" spans="1:36" hidden="1" x14ac:dyDescent="0.45">
      <c r="A210" s="518"/>
      <c r="B210" s="514" t="s">
        <v>1440</v>
      </c>
      <c r="C210" s="530"/>
      <c r="D210" s="530"/>
      <c r="E210" s="530"/>
      <c r="F210" s="530"/>
      <c r="G210" s="890" t="str">
        <f>IF(CHMAData!W38=0,"",SUBSTITUTE(SUBSTITUTE(CHMAData!W38,"Acquired and Rehabilitated Housing","A/R"),"Newly Constructed Housing","N/C"))</f>
        <v/>
      </c>
      <c r="H210" s="891"/>
      <c r="I210" s="583" t="str">
        <f>IF(CHMAData!BP38=0,"",LEFT(CHMAData!BP38,1))</f>
        <v/>
      </c>
      <c r="J210" s="584" t="str">
        <f>IF(CHMAData!T38=0,"",LEFT(CHMAData!T38,1))</f>
        <v/>
      </c>
      <c r="K210" s="888">
        <f>CHMAData!X38</f>
        <v>0</v>
      </c>
      <c r="L210" s="887"/>
      <c r="M210" s="940">
        <f>CHMAData!Y38</f>
        <v>0</v>
      </c>
      <c r="N210" s="940"/>
      <c r="O210" s="940"/>
      <c r="P210" s="940"/>
      <c r="Q210" s="868">
        <f>CHMAData!Z38</f>
        <v>0</v>
      </c>
      <c r="R210" s="869"/>
      <c r="S210" s="869"/>
      <c r="T210" s="870"/>
      <c r="U210" s="868">
        <f>CHMAData!AA38</f>
        <v>0</v>
      </c>
      <c r="V210" s="869"/>
      <c r="W210" s="870"/>
      <c r="X210" s="868">
        <f>CHMAData!AB38</f>
        <v>0</v>
      </c>
      <c r="Y210" s="869"/>
      <c r="Z210" s="870"/>
      <c r="AA210" s="868">
        <f t="shared" si="1"/>
        <v>0</v>
      </c>
      <c r="AB210" s="869"/>
      <c r="AC210" s="869"/>
      <c r="AD210" s="870"/>
      <c r="AE210" s="866">
        <f>CHMAData!AD38</f>
        <v>0</v>
      </c>
      <c r="AF210" s="867"/>
      <c r="AG210" s="529"/>
      <c r="AH210" s="518"/>
      <c r="AJ210" s="595" t="b">
        <f t="shared" si="2"/>
        <v>0</v>
      </c>
    </row>
    <row r="211" spans="1:36" hidden="1" x14ac:dyDescent="0.45">
      <c r="A211" s="518"/>
      <c r="B211" s="514" t="s">
        <v>1441</v>
      </c>
      <c r="C211" s="530"/>
      <c r="D211" s="530"/>
      <c r="E211" s="530"/>
      <c r="F211" s="530"/>
      <c r="G211" s="890" t="str">
        <f>IF(CHMAData!W39=0,"",SUBSTITUTE(SUBSTITUTE(CHMAData!W39,"Acquired and Rehabilitated Housing","A/R"),"Newly Constructed Housing","N/C"))</f>
        <v/>
      </c>
      <c r="H211" s="891"/>
      <c r="I211" s="583" t="str">
        <f>IF(CHMAData!BP39=0,"",LEFT(CHMAData!BP39,1))</f>
        <v/>
      </c>
      <c r="J211" s="584" t="str">
        <f>IF(CHMAData!T39=0,"",LEFT(CHMAData!T39,1))</f>
        <v/>
      </c>
      <c r="K211" s="888">
        <f>CHMAData!X39</f>
        <v>0</v>
      </c>
      <c r="L211" s="887"/>
      <c r="M211" s="940">
        <f>CHMAData!Y39</f>
        <v>0</v>
      </c>
      <c r="N211" s="940"/>
      <c r="O211" s="940"/>
      <c r="P211" s="940"/>
      <c r="Q211" s="868">
        <f>CHMAData!Z39</f>
        <v>0</v>
      </c>
      <c r="R211" s="869"/>
      <c r="S211" s="869"/>
      <c r="T211" s="870"/>
      <c r="U211" s="868">
        <f>CHMAData!AA39</f>
        <v>0</v>
      </c>
      <c r="V211" s="869"/>
      <c r="W211" s="870"/>
      <c r="X211" s="868">
        <f>CHMAData!AB39</f>
        <v>0</v>
      </c>
      <c r="Y211" s="869"/>
      <c r="Z211" s="870"/>
      <c r="AA211" s="868">
        <f t="shared" si="1"/>
        <v>0</v>
      </c>
      <c r="AB211" s="869"/>
      <c r="AC211" s="869"/>
      <c r="AD211" s="870"/>
      <c r="AE211" s="866">
        <f>CHMAData!AD39</f>
        <v>0</v>
      </c>
      <c r="AF211" s="867"/>
      <c r="AG211" s="529"/>
      <c r="AH211" s="518"/>
      <c r="AJ211" s="595" t="b">
        <f t="shared" si="2"/>
        <v>0</v>
      </c>
    </row>
    <row r="212" spans="1:36" hidden="1" x14ac:dyDescent="0.45">
      <c r="A212" s="518"/>
      <c r="B212" s="514" t="s">
        <v>152</v>
      </c>
      <c r="C212" s="530"/>
      <c r="D212" s="530"/>
      <c r="E212" s="530"/>
      <c r="F212" s="530"/>
      <c r="G212" s="890" t="str">
        <f>IF(CHMAData!W40=0,"",SUBSTITUTE(SUBSTITUTE(CHMAData!W40,"Acquired and Rehabilitated Housing","A/R"),"Newly Constructed Housing","N/C"))</f>
        <v/>
      </c>
      <c r="H212" s="891"/>
      <c r="I212" s="583" t="str">
        <f>IF(CHMAData!BP40=0,"",LEFT(CHMAData!BP40,1))</f>
        <v/>
      </c>
      <c r="J212" s="584" t="str">
        <f>IF(CHMAData!T40=0,"",LEFT(CHMAData!T40,1))</f>
        <v/>
      </c>
      <c r="K212" s="888">
        <f>CHMAData!X40</f>
        <v>0</v>
      </c>
      <c r="L212" s="887"/>
      <c r="M212" s="940">
        <f>CHMAData!Y40</f>
        <v>0</v>
      </c>
      <c r="N212" s="940"/>
      <c r="O212" s="940"/>
      <c r="P212" s="940"/>
      <c r="Q212" s="868">
        <f>CHMAData!Z40</f>
        <v>0</v>
      </c>
      <c r="R212" s="869"/>
      <c r="S212" s="869"/>
      <c r="T212" s="870"/>
      <c r="U212" s="868">
        <f>CHMAData!AA40</f>
        <v>0</v>
      </c>
      <c r="V212" s="869"/>
      <c r="W212" s="870"/>
      <c r="X212" s="868">
        <f>CHMAData!AB40</f>
        <v>0</v>
      </c>
      <c r="Y212" s="869"/>
      <c r="Z212" s="870"/>
      <c r="AA212" s="868">
        <f t="shared" si="1"/>
        <v>0</v>
      </c>
      <c r="AB212" s="869"/>
      <c r="AC212" s="869"/>
      <c r="AD212" s="870"/>
      <c r="AE212" s="866">
        <f>CHMAData!AD40</f>
        <v>0</v>
      </c>
      <c r="AF212" s="867"/>
      <c r="AG212" s="529"/>
      <c r="AH212" s="518"/>
      <c r="AJ212" s="595" t="b">
        <f t="shared" si="2"/>
        <v>0</v>
      </c>
    </row>
    <row r="213" spans="1:36" hidden="1" x14ac:dyDescent="0.45">
      <c r="A213" s="518"/>
      <c r="B213" s="514" t="s">
        <v>1442</v>
      </c>
      <c r="C213" s="530"/>
      <c r="D213" s="530"/>
      <c r="E213" s="530"/>
      <c r="F213" s="530"/>
      <c r="G213" s="890" t="str">
        <f>IF(CHMAData!W41=0,"",SUBSTITUTE(SUBSTITUTE(CHMAData!W41,"Acquired and Rehabilitated Housing","A/R"),"Newly Constructed Housing","N/C"))</f>
        <v/>
      </c>
      <c r="H213" s="891"/>
      <c r="I213" s="583" t="str">
        <f>IF(CHMAData!BP41=0,"",LEFT(CHMAData!BP41,1))</f>
        <v/>
      </c>
      <c r="J213" s="584" t="str">
        <f>IF(CHMAData!T41=0,"",LEFT(CHMAData!T41,1))</f>
        <v/>
      </c>
      <c r="K213" s="888">
        <f>CHMAData!X41</f>
        <v>0</v>
      </c>
      <c r="L213" s="887"/>
      <c r="M213" s="940">
        <f>CHMAData!Y41</f>
        <v>0</v>
      </c>
      <c r="N213" s="940"/>
      <c r="O213" s="940"/>
      <c r="P213" s="940"/>
      <c r="Q213" s="868">
        <f>CHMAData!Z41</f>
        <v>0</v>
      </c>
      <c r="R213" s="869"/>
      <c r="S213" s="869"/>
      <c r="T213" s="870"/>
      <c r="U213" s="868">
        <f>CHMAData!AA41</f>
        <v>0</v>
      </c>
      <c r="V213" s="869"/>
      <c r="W213" s="870"/>
      <c r="X213" s="868">
        <f>CHMAData!AB41</f>
        <v>0</v>
      </c>
      <c r="Y213" s="869"/>
      <c r="Z213" s="870"/>
      <c r="AA213" s="868">
        <f t="shared" si="1"/>
        <v>0</v>
      </c>
      <c r="AB213" s="869"/>
      <c r="AC213" s="869"/>
      <c r="AD213" s="870"/>
      <c r="AE213" s="866">
        <f>CHMAData!AD41</f>
        <v>0</v>
      </c>
      <c r="AF213" s="867"/>
      <c r="AG213" s="529"/>
      <c r="AH213" s="518"/>
      <c r="AJ213" s="595" t="b">
        <f t="shared" si="2"/>
        <v>0</v>
      </c>
    </row>
    <row r="214" spans="1:36" hidden="1" x14ac:dyDescent="0.45">
      <c r="A214" s="518"/>
      <c r="B214" s="514" t="s">
        <v>1443</v>
      </c>
      <c r="C214" s="530"/>
      <c r="D214" s="530"/>
      <c r="E214" s="530"/>
      <c r="F214" s="530"/>
      <c r="G214" s="890" t="str">
        <f>IF(CHMAData!W42=0,"",SUBSTITUTE(SUBSTITUTE(CHMAData!W42,"Acquired and Rehabilitated Housing","A/R"),"Newly Constructed Housing","N/C"))</f>
        <v/>
      </c>
      <c r="H214" s="891"/>
      <c r="I214" s="583" t="str">
        <f>IF(CHMAData!BP42=0,"",LEFT(CHMAData!BP42,1))</f>
        <v/>
      </c>
      <c r="J214" s="584" t="str">
        <f>IF(CHMAData!T42=0,"",LEFT(CHMAData!T42,1))</f>
        <v/>
      </c>
      <c r="K214" s="888">
        <f>CHMAData!X42</f>
        <v>0</v>
      </c>
      <c r="L214" s="887"/>
      <c r="M214" s="940">
        <f>CHMAData!Y42</f>
        <v>0</v>
      </c>
      <c r="N214" s="940"/>
      <c r="O214" s="940"/>
      <c r="P214" s="940"/>
      <c r="Q214" s="868">
        <f>CHMAData!Z42</f>
        <v>0</v>
      </c>
      <c r="R214" s="869"/>
      <c r="S214" s="869"/>
      <c r="T214" s="870"/>
      <c r="U214" s="868">
        <f>CHMAData!AA42</f>
        <v>0</v>
      </c>
      <c r="V214" s="869"/>
      <c r="W214" s="870"/>
      <c r="X214" s="868">
        <f>CHMAData!AB42</f>
        <v>0</v>
      </c>
      <c r="Y214" s="869"/>
      <c r="Z214" s="870"/>
      <c r="AA214" s="868">
        <f t="shared" si="1"/>
        <v>0</v>
      </c>
      <c r="AB214" s="869"/>
      <c r="AC214" s="869"/>
      <c r="AD214" s="870"/>
      <c r="AE214" s="866">
        <f>CHMAData!AD42</f>
        <v>0</v>
      </c>
      <c r="AF214" s="867"/>
      <c r="AG214" s="529"/>
      <c r="AH214" s="518"/>
      <c r="AJ214" s="595" t="b">
        <f t="shared" si="2"/>
        <v>0</v>
      </c>
    </row>
    <row r="215" spans="1:36" hidden="1" x14ac:dyDescent="0.45">
      <c r="A215" s="518"/>
      <c r="B215" s="514" t="s">
        <v>1444</v>
      </c>
      <c r="C215" s="530"/>
      <c r="D215" s="530"/>
      <c r="E215" s="530"/>
      <c r="F215" s="530"/>
      <c r="G215" s="890" t="str">
        <f>IF(CHMAData!W43=0,"",SUBSTITUTE(SUBSTITUTE(CHMAData!W43,"Acquired and Rehabilitated Housing","A/R"),"Newly Constructed Housing","N/C"))</f>
        <v/>
      </c>
      <c r="H215" s="891"/>
      <c r="I215" s="583" t="str">
        <f>IF(CHMAData!BP43=0,"",LEFT(CHMAData!BP43,1))</f>
        <v/>
      </c>
      <c r="J215" s="584" t="str">
        <f>IF(CHMAData!T43=0,"",LEFT(CHMAData!T43,1))</f>
        <v/>
      </c>
      <c r="K215" s="888">
        <f>CHMAData!X43</f>
        <v>0</v>
      </c>
      <c r="L215" s="887"/>
      <c r="M215" s="940">
        <f>CHMAData!Y43</f>
        <v>0</v>
      </c>
      <c r="N215" s="940"/>
      <c r="O215" s="940"/>
      <c r="P215" s="940"/>
      <c r="Q215" s="868">
        <f>CHMAData!Z43</f>
        <v>0</v>
      </c>
      <c r="R215" s="869"/>
      <c r="S215" s="869"/>
      <c r="T215" s="870"/>
      <c r="U215" s="868">
        <f>CHMAData!AA43</f>
        <v>0</v>
      </c>
      <c r="V215" s="869"/>
      <c r="W215" s="870"/>
      <c r="X215" s="868">
        <f>CHMAData!AB43</f>
        <v>0</v>
      </c>
      <c r="Y215" s="869"/>
      <c r="Z215" s="870"/>
      <c r="AA215" s="868">
        <f t="shared" si="1"/>
        <v>0</v>
      </c>
      <c r="AB215" s="869"/>
      <c r="AC215" s="869"/>
      <c r="AD215" s="870"/>
      <c r="AE215" s="866">
        <f>CHMAData!AD43</f>
        <v>0</v>
      </c>
      <c r="AF215" s="867"/>
      <c r="AG215" s="529"/>
      <c r="AH215" s="518"/>
      <c r="AJ215" s="595" t="b">
        <f t="shared" si="2"/>
        <v>0</v>
      </c>
    </row>
    <row r="216" spans="1:36" hidden="1" x14ac:dyDescent="0.45">
      <c r="A216" s="518"/>
      <c r="B216" s="514" t="s">
        <v>1445</v>
      </c>
      <c r="C216" s="530"/>
      <c r="D216" s="530"/>
      <c r="E216" s="530"/>
      <c r="F216" s="530"/>
      <c r="G216" s="890" t="str">
        <f>IF(CHMAData!W44=0,"",SUBSTITUTE(SUBSTITUTE(CHMAData!W44,"Acquired and Rehabilitated Housing","A/R"),"Newly Constructed Housing","N/C"))</f>
        <v/>
      </c>
      <c r="H216" s="891"/>
      <c r="I216" s="583" t="str">
        <f>IF(CHMAData!BP44=0,"",LEFT(CHMAData!BP44,1))</f>
        <v/>
      </c>
      <c r="J216" s="584" t="str">
        <f>IF(CHMAData!T44=0,"",LEFT(CHMAData!T44,1))</f>
        <v/>
      </c>
      <c r="K216" s="888">
        <f>CHMAData!X44</f>
        <v>0</v>
      </c>
      <c r="L216" s="887"/>
      <c r="M216" s="940">
        <f>CHMAData!Y44</f>
        <v>0</v>
      </c>
      <c r="N216" s="940"/>
      <c r="O216" s="940"/>
      <c r="P216" s="940"/>
      <c r="Q216" s="868">
        <f>CHMAData!Z44</f>
        <v>0</v>
      </c>
      <c r="R216" s="869"/>
      <c r="S216" s="869"/>
      <c r="T216" s="870"/>
      <c r="U216" s="868">
        <f>CHMAData!AA44</f>
        <v>0</v>
      </c>
      <c r="V216" s="869"/>
      <c r="W216" s="870"/>
      <c r="X216" s="868">
        <f>CHMAData!AB44</f>
        <v>0</v>
      </c>
      <c r="Y216" s="869"/>
      <c r="Z216" s="870"/>
      <c r="AA216" s="868">
        <f t="shared" si="1"/>
        <v>0</v>
      </c>
      <c r="AB216" s="869"/>
      <c r="AC216" s="869"/>
      <c r="AD216" s="870"/>
      <c r="AE216" s="866">
        <f>CHMAData!AD44</f>
        <v>0</v>
      </c>
      <c r="AF216" s="867"/>
      <c r="AG216" s="529"/>
      <c r="AH216" s="518"/>
      <c r="AJ216" s="595" t="b">
        <f t="shared" si="2"/>
        <v>0</v>
      </c>
    </row>
    <row r="217" spans="1:36" hidden="1" x14ac:dyDescent="0.45">
      <c r="A217" s="518"/>
      <c r="B217" s="514" t="s">
        <v>1446</v>
      </c>
      <c r="C217" s="530"/>
      <c r="D217" s="530"/>
      <c r="E217" s="530"/>
      <c r="F217" s="530"/>
      <c r="G217" s="890" t="str">
        <f>IF(CHMAData!W45=0,"",SUBSTITUTE(SUBSTITUTE(CHMAData!W45,"Acquired and Rehabilitated Housing","A/R"),"Newly Constructed Housing","N/C"))</f>
        <v/>
      </c>
      <c r="H217" s="891"/>
      <c r="I217" s="583" t="str">
        <f>IF(CHMAData!BP45=0,"",LEFT(CHMAData!BP45,1))</f>
        <v/>
      </c>
      <c r="J217" s="584" t="str">
        <f>IF(CHMAData!T45=0,"",LEFT(CHMAData!T45,1))</f>
        <v/>
      </c>
      <c r="K217" s="888">
        <f>CHMAData!X45</f>
        <v>0</v>
      </c>
      <c r="L217" s="887"/>
      <c r="M217" s="940">
        <f>CHMAData!Y45</f>
        <v>0</v>
      </c>
      <c r="N217" s="940"/>
      <c r="O217" s="940"/>
      <c r="P217" s="940"/>
      <c r="Q217" s="868">
        <f>CHMAData!Z45</f>
        <v>0</v>
      </c>
      <c r="R217" s="869"/>
      <c r="S217" s="869"/>
      <c r="T217" s="870"/>
      <c r="U217" s="868">
        <f>CHMAData!AA45</f>
        <v>0</v>
      </c>
      <c r="V217" s="869"/>
      <c r="W217" s="870"/>
      <c r="X217" s="868">
        <f>CHMAData!AB45</f>
        <v>0</v>
      </c>
      <c r="Y217" s="869"/>
      <c r="Z217" s="870"/>
      <c r="AA217" s="868">
        <f t="shared" si="1"/>
        <v>0</v>
      </c>
      <c r="AB217" s="869"/>
      <c r="AC217" s="869"/>
      <c r="AD217" s="870"/>
      <c r="AE217" s="866">
        <f>CHMAData!AD45</f>
        <v>0</v>
      </c>
      <c r="AF217" s="867"/>
      <c r="AG217" s="529"/>
      <c r="AH217" s="518"/>
      <c r="AJ217" s="595" t="b">
        <f t="shared" si="2"/>
        <v>0</v>
      </c>
    </row>
    <row r="218" spans="1:36" hidden="1" x14ac:dyDescent="0.45">
      <c r="B218" s="514" t="s">
        <v>1447</v>
      </c>
      <c r="C218" s="530"/>
      <c r="D218" s="530"/>
      <c r="E218" s="530"/>
      <c r="F218" s="530"/>
      <c r="G218" s="890" t="str">
        <f>IF(CHMAData!W46=0,"",SUBSTITUTE(SUBSTITUTE(CHMAData!W46,"Acquired and Rehabilitated Housing","A/R"),"Newly Constructed Housing","N/C"))</f>
        <v/>
      </c>
      <c r="H218" s="891"/>
      <c r="I218" s="583" t="str">
        <f>IF(CHMAData!BP46=0,"",LEFT(CHMAData!BP46,1))</f>
        <v/>
      </c>
      <c r="J218" s="584" t="str">
        <f>IF(CHMAData!T46=0,"",LEFT(CHMAData!T46,1))</f>
        <v/>
      </c>
      <c r="K218" s="888">
        <f>CHMAData!X46</f>
        <v>0</v>
      </c>
      <c r="L218" s="887"/>
      <c r="M218" s="940">
        <f>CHMAData!Y46</f>
        <v>0</v>
      </c>
      <c r="N218" s="940"/>
      <c r="O218" s="940"/>
      <c r="P218" s="940"/>
      <c r="Q218" s="868">
        <f>CHMAData!Z46</f>
        <v>0</v>
      </c>
      <c r="R218" s="869"/>
      <c r="S218" s="869"/>
      <c r="T218" s="870"/>
      <c r="U218" s="868">
        <f>CHMAData!AA46</f>
        <v>0</v>
      </c>
      <c r="V218" s="869"/>
      <c r="W218" s="870"/>
      <c r="X218" s="868">
        <f>CHMAData!AB46</f>
        <v>0</v>
      </c>
      <c r="Y218" s="869"/>
      <c r="Z218" s="870"/>
      <c r="AA218" s="868">
        <f t="shared" si="1"/>
        <v>0</v>
      </c>
      <c r="AB218" s="869"/>
      <c r="AC218" s="869"/>
      <c r="AD218" s="870"/>
      <c r="AE218" s="866">
        <f>CHMAData!AD46</f>
        <v>0</v>
      </c>
      <c r="AF218" s="867"/>
      <c r="AG218" s="529"/>
      <c r="AH218" s="518"/>
      <c r="AJ218" s="595" t="b">
        <f t="shared" si="2"/>
        <v>0</v>
      </c>
    </row>
    <row r="219" spans="1:36" hidden="1" x14ac:dyDescent="0.45">
      <c r="B219" s="514" t="s">
        <v>1448</v>
      </c>
      <c r="C219" s="530"/>
      <c r="D219" s="530"/>
      <c r="E219" s="530"/>
      <c r="F219" s="530"/>
      <c r="G219" s="890" t="str">
        <f>IF(CHMAData!W47=0,"",SUBSTITUTE(SUBSTITUTE(CHMAData!W47,"Acquired and Rehabilitated Housing","A/R"),"Newly Constructed Housing","N/C"))</f>
        <v/>
      </c>
      <c r="H219" s="891"/>
      <c r="I219" s="583" t="str">
        <f>IF(CHMAData!BP47=0,"",LEFT(CHMAData!BP47,1))</f>
        <v/>
      </c>
      <c r="J219" s="584" t="str">
        <f>IF(CHMAData!T47=0,"",LEFT(CHMAData!T47,1))</f>
        <v/>
      </c>
      <c r="K219" s="888">
        <f>CHMAData!X47</f>
        <v>0</v>
      </c>
      <c r="L219" s="887"/>
      <c r="M219" s="940">
        <f>CHMAData!Y47</f>
        <v>0</v>
      </c>
      <c r="N219" s="940"/>
      <c r="O219" s="940"/>
      <c r="P219" s="940"/>
      <c r="Q219" s="868">
        <f>CHMAData!Z47</f>
        <v>0</v>
      </c>
      <c r="R219" s="869"/>
      <c r="S219" s="869"/>
      <c r="T219" s="870"/>
      <c r="U219" s="868">
        <f>CHMAData!AA47</f>
        <v>0</v>
      </c>
      <c r="V219" s="869"/>
      <c r="W219" s="870"/>
      <c r="X219" s="868">
        <f>CHMAData!AB47</f>
        <v>0</v>
      </c>
      <c r="Y219" s="869"/>
      <c r="Z219" s="870"/>
      <c r="AA219" s="868">
        <f t="shared" si="1"/>
        <v>0</v>
      </c>
      <c r="AB219" s="869"/>
      <c r="AC219" s="869"/>
      <c r="AD219" s="870"/>
      <c r="AE219" s="866">
        <f>CHMAData!AD47</f>
        <v>0</v>
      </c>
      <c r="AF219" s="867"/>
      <c r="AG219" s="529"/>
      <c r="AH219" s="518"/>
      <c r="AJ219" s="595" t="b">
        <f t="shared" si="2"/>
        <v>0</v>
      </c>
    </row>
    <row r="220" spans="1:36" hidden="1" x14ac:dyDescent="0.45">
      <c r="B220" s="514" t="s">
        <v>1449</v>
      </c>
      <c r="C220" s="530"/>
      <c r="D220" s="530"/>
      <c r="E220" s="530"/>
      <c r="F220" s="530"/>
      <c r="G220" s="890" t="str">
        <f>IF(CHMAData!W48=0,"",SUBSTITUTE(SUBSTITUTE(CHMAData!W48,"Acquired and Rehabilitated Housing","A/R"),"Newly Constructed Housing","N/C"))</f>
        <v/>
      </c>
      <c r="H220" s="891"/>
      <c r="I220" s="583" t="str">
        <f>IF(CHMAData!BP48=0,"",LEFT(CHMAData!BP48,1))</f>
        <v/>
      </c>
      <c r="J220" s="584" t="str">
        <f>IF(CHMAData!T48=0,"",LEFT(CHMAData!T48,1))</f>
        <v/>
      </c>
      <c r="K220" s="888">
        <f>CHMAData!X48</f>
        <v>0</v>
      </c>
      <c r="L220" s="887"/>
      <c r="M220" s="940">
        <f>CHMAData!Y48</f>
        <v>0</v>
      </c>
      <c r="N220" s="940"/>
      <c r="O220" s="940"/>
      <c r="P220" s="940"/>
      <c r="Q220" s="868">
        <f>CHMAData!Z48</f>
        <v>0</v>
      </c>
      <c r="R220" s="869"/>
      <c r="S220" s="869"/>
      <c r="T220" s="870"/>
      <c r="U220" s="868">
        <f>CHMAData!AA48</f>
        <v>0</v>
      </c>
      <c r="V220" s="869"/>
      <c r="W220" s="870"/>
      <c r="X220" s="868">
        <f>CHMAData!AB48</f>
        <v>0</v>
      </c>
      <c r="Y220" s="869"/>
      <c r="Z220" s="870"/>
      <c r="AA220" s="868">
        <f t="shared" si="1"/>
        <v>0</v>
      </c>
      <c r="AB220" s="869"/>
      <c r="AC220" s="869"/>
      <c r="AD220" s="870"/>
      <c r="AE220" s="866">
        <f>CHMAData!AD48</f>
        <v>0</v>
      </c>
      <c r="AF220" s="867"/>
      <c r="AG220" s="529"/>
      <c r="AH220" s="518"/>
      <c r="AJ220" s="595" t="b">
        <f t="shared" si="2"/>
        <v>0</v>
      </c>
    </row>
    <row r="221" spans="1:36" hidden="1" x14ac:dyDescent="0.45">
      <c r="B221" s="514" t="s">
        <v>1450</v>
      </c>
      <c r="C221" s="530"/>
      <c r="D221" s="530"/>
      <c r="E221" s="530"/>
      <c r="F221" s="530"/>
      <c r="G221" s="890" t="str">
        <f>IF(CHMAData!W49=0,"",SUBSTITUTE(SUBSTITUTE(CHMAData!W49,"Acquired and Rehabilitated Housing","A/R"),"Newly Constructed Housing","N/C"))</f>
        <v/>
      </c>
      <c r="H221" s="891"/>
      <c r="I221" s="583" t="str">
        <f>IF(CHMAData!BP49=0,"",LEFT(CHMAData!BP49,1))</f>
        <v/>
      </c>
      <c r="J221" s="584" t="str">
        <f>IF(CHMAData!T49=0,"",LEFT(CHMAData!T49,1))</f>
        <v/>
      </c>
      <c r="K221" s="888">
        <f>CHMAData!X49</f>
        <v>0</v>
      </c>
      <c r="L221" s="887"/>
      <c r="M221" s="940">
        <f>CHMAData!Y49</f>
        <v>0</v>
      </c>
      <c r="N221" s="940"/>
      <c r="O221" s="940"/>
      <c r="P221" s="940"/>
      <c r="Q221" s="868">
        <f>CHMAData!Z49</f>
        <v>0</v>
      </c>
      <c r="R221" s="869"/>
      <c r="S221" s="869"/>
      <c r="T221" s="870"/>
      <c r="U221" s="868">
        <f>CHMAData!AA49</f>
        <v>0</v>
      </c>
      <c r="V221" s="869"/>
      <c r="W221" s="870"/>
      <c r="X221" s="868">
        <f>CHMAData!AB49</f>
        <v>0</v>
      </c>
      <c r="Y221" s="869"/>
      <c r="Z221" s="870"/>
      <c r="AA221" s="868">
        <f t="shared" si="1"/>
        <v>0</v>
      </c>
      <c r="AB221" s="869"/>
      <c r="AC221" s="869"/>
      <c r="AD221" s="870"/>
      <c r="AE221" s="866">
        <f>CHMAData!AD49</f>
        <v>0</v>
      </c>
      <c r="AF221" s="867"/>
      <c r="AG221" s="529"/>
      <c r="AH221" s="518"/>
      <c r="AJ221" s="595" t="b">
        <f t="shared" si="2"/>
        <v>0</v>
      </c>
    </row>
    <row r="222" spans="1:36" hidden="1" x14ac:dyDescent="0.45">
      <c r="B222" s="514" t="s">
        <v>1451</v>
      </c>
      <c r="C222" s="530"/>
      <c r="D222" s="530"/>
      <c r="E222" s="530"/>
      <c r="F222" s="530"/>
      <c r="G222" s="890" t="str">
        <f>IF(CHMAData!W50=0,"",SUBSTITUTE(SUBSTITUTE(CHMAData!W50,"Acquired and Rehabilitated Housing","A/R"),"Newly Constructed Housing","N/C"))</f>
        <v/>
      </c>
      <c r="H222" s="891"/>
      <c r="I222" s="583" t="str">
        <f>IF(CHMAData!BP50=0,"",LEFT(CHMAData!BP50,1))</f>
        <v/>
      </c>
      <c r="J222" s="584" t="str">
        <f>IF(CHMAData!T50=0,"",LEFT(CHMAData!T50,1))</f>
        <v/>
      </c>
      <c r="K222" s="888">
        <f>CHMAData!X50</f>
        <v>0</v>
      </c>
      <c r="L222" s="887"/>
      <c r="M222" s="940">
        <f>CHMAData!Y50</f>
        <v>0</v>
      </c>
      <c r="N222" s="940"/>
      <c r="O222" s="940"/>
      <c r="P222" s="940"/>
      <c r="Q222" s="868">
        <f>CHMAData!Z50</f>
        <v>0</v>
      </c>
      <c r="R222" s="869"/>
      <c r="S222" s="869"/>
      <c r="T222" s="870"/>
      <c r="U222" s="868">
        <f>CHMAData!AA50</f>
        <v>0</v>
      </c>
      <c r="V222" s="869"/>
      <c r="W222" s="870"/>
      <c r="X222" s="868">
        <f>CHMAData!AB50</f>
        <v>0</v>
      </c>
      <c r="Y222" s="869"/>
      <c r="Z222" s="870"/>
      <c r="AA222" s="868">
        <f t="shared" si="1"/>
        <v>0</v>
      </c>
      <c r="AB222" s="869"/>
      <c r="AC222" s="869"/>
      <c r="AD222" s="870"/>
      <c r="AE222" s="866">
        <f>CHMAData!AD50</f>
        <v>0</v>
      </c>
      <c r="AF222" s="867"/>
      <c r="AG222" s="529"/>
      <c r="AH222" s="518"/>
      <c r="AJ222" s="595" t="b">
        <f t="shared" si="2"/>
        <v>0</v>
      </c>
    </row>
    <row r="223" spans="1:36" hidden="1" x14ac:dyDescent="0.45">
      <c r="B223" s="514" t="s">
        <v>1452</v>
      </c>
      <c r="C223" s="530"/>
      <c r="D223" s="530"/>
      <c r="E223" s="530"/>
      <c r="F223" s="530"/>
      <c r="G223" s="890" t="str">
        <f>IF(CHMAData!W51=0,"",SUBSTITUTE(SUBSTITUTE(CHMAData!W51,"Acquired and Rehabilitated Housing","A/R"),"Newly Constructed Housing","N/C"))</f>
        <v/>
      </c>
      <c r="H223" s="891"/>
      <c r="I223" s="583" t="str">
        <f>IF(CHMAData!BP51=0,"",LEFT(CHMAData!BP51,1))</f>
        <v/>
      </c>
      <c r="J223" s="584" t="str">
        <f>IF(CHMAData!T51=0,"",LEFT(CHMAData!T51,1))</f>
        <v/>
      </c>
      <c r="K223" s="888">
        <f>CHMAData!X51</f>
        <v>0</v>
      </c>
      <c r="L223" s="887"/>
      <c r="M223" s="940">
        <f>CHMAData!Y51</f>
        <v>0</v>
      </c>
      <c r="N223" s="940"/>
      <c r="O223" s="940"/>
      <c r="P223" s="940"/>
      <c r="Q223" s="868">
        <f>CHMAData!Z51</f>
        <v>0</v>
      </c>
      <c r="R223" s="869"/>
      <c r="S223" s="869"/>
      <c r="T223" s="870"/>
      <c r="U223" s="868">
        <f>CHMAData!AA51</f>
        <v>0</v>
      </c>
      <c r="V223" s="869"/>
      <c r="W223" s="870"/>
      <c r="X223" s="868">
        <f>CHMAData!AB51</f>
        <v>0</v>
      </c>
      <c r="Y223" s="869"/>
      <c r="Z223" s="870"/>
      <c r="AA223" s="868">
        <f t="shared" si="1"/>
        <v>0</v>
      </c>
      <c r="AB223" s="869"/>
      <c r="AC223" s="869"/>
      <c r="AD223" s="870"/>
      <c r="AE223" s="866">
        <f>CHMAData!AD51</f>
        <v>0</v>
      </c>
      <c r="AF223" s="867"/>
      <c r="AG223" s="529"/>
      <c r="AH223" s="518"/>
      <c r="AJ223" s="595" t="b">
        <f t="shared" si="2"/>
        <v>0</v>
      </c>
    </row>
    <row r="224" spans="1:36" hidden="1" x14ac:dyDescent="0.45">
      <c r="B224" s="514" t="s">
        <v>1453</v>
      </c>
      <c r="C224" s="530"/>
      <c r="D224" s="530"/>
      <c r="E224" s="530"/>
      <c r="F224" s="530"/>
      <c r="G224" s="890" t="str">
        <f>IF(CHMAData!W52=0,"",SUBSTITUTE(SUBSTITUTE(CHMAData!W52,"Acquired and Rehabilitated Housing","A/R"),"Newly Constructed Housing","N/C"))</f>
        <v/>
      </c>
      <c r="H224" s="891"/>
      <c r="I224" s="583" t="str">
        <f>IF(CHMAData!BP52=0,"",LEFT(CHMAData!BP52,1))</f>
        <v/>
      </c>
      <c r="J224" s="584" t="str">
        <f>IF(CHMAData!T52=0,"",LEFT(CHMAData!T52,1))</f>
        <v/>
      </c>
      <c r="K224" s="888">
        <f>CHMAData!X52</f>
        <v>0</v>
      </c>
      <c r="L224" s="887"/>
      <c r="M224" s="940">
        <f>CHMAData!Y52</f>
        <v>0</v>
      </c>
      <c r="N224" s="940"/>
      <c r="O224" s="940"/>
      <c r="P224" s="940"/>
      <c r="Q224" s="868">
        <f>CHMAData!Z52</f>
        <v>0</v>
      </c>
      <c r="R224" s="869"/>
      <c r="S224" s="869"/>
      <c r="T224" s="870"/>
      <c r="U224" s="868">
        <f>CHMAData!AA52</f>
        <v>0</v>
      </c>
      <c r="V224" s="869"/>
      <c r="W224" s="870"/>
      <c r="X224" s="868">
        <f>CHMAData!AB52</f>
        <v>0</v>
      </c>
      <c r="Y224" s="869"/>
      <c r="Z224" s="870"/>
      <c r="AA224" s="868">
        <f t="shared" si="1"/>
        <v>0</v>
      </c>
      <c r="AB224" s="869"/>
      <c r="AC224" s="869"/>
      <c r="AD224" s="870"/>
      <c r="AE224" s="866">
        <f>CHMAData!AD52</f>
        <v>0</v>
      </c>
      <c r="AF224" s="867"/>
      <c r="AG224" s="529"/>
      <c r="AH224" s="518"/>
      <c r="AJ224" s="595" t="b">
        <f t="shared" si="2"/>
        <v>0</v>
      </c>
    </row>
    <row r="225" spans="1:36" hidden="1" x14ac:dyDescent="0.45">
      <c r="B225" s="514" t="s">
        <v>1454</v>
      </c>
      <c r="C225" s="530"/>
      <c r="D225" s="530"/>
      <c r="E225" s="530"/>
      <c r="F225" s="530"/>
      <c r="G225" s="890" t="str">
        <f>IF(CHMAData!W53=0,"",SUBSTITUTE(SUBSTITUTE(CHMAData!W53,"Acquired and Rehabilitated Housing","A/R"),"Newly Constructed Housing","N/C"))</f>
        <v/>
      </c>
      <c r="H225" s="891"/>
      <c r="I225" s="583" t="str">
        <f>IF(CHMAData!BP53=0,"",LEFT(CHMAData!BP53,1))</f>
        <v/>
      </c>
      <c r="J225" s="584" t="str">
        <f>IF(CHMAData!T53=0,"",LEFT(CHMAData!T53,1))</f>
        <v/>
      </c>
      <c r="K225" s="888">
        <f>CHMAData!X53</f>
        <v>0</v>
      </c>
      <c r="L225" s="887"/>
      <c r="M225" s="940">
        <f>CHMAData!Y53</f>
        <v>0</v>
      </c>
      <c r="N225" s="940"/>
      <c r="O225" s="940"/>
      <c r="P225" s="940"/>
      <c r="Q225" s="868">
        <f>CHMAData!Z53</f>
        <v>0</v>
      </c>
      <c r="R225" s="869"/>
      <c r="S225" s="869"/>
      <c r="T225" s="870"/>
      <c r="U225" s="868">
        <f>CHMAData!AA53</f>
        <v>0</v>
      </c>
      <c r="V225" s="869"/>
      <c r="W225" s="870"/>
      <c r="X225" s="868">
        <f>CHMAData!AB53</f>
        <v>0</v>
      </c>
      <c r="Y225" s="869"/>
      <c r="Z225" s="870"/>
      <c r="AA225" s="868">
        <f t="shared" si="1"/>
        <v>0</v>
      </c>
      <c r="AB225" s="869"/>
      <c r="AC225" s="869"/>
      <c r="AD225" s="870"/>
      <c r="AE225" s="866">
        <f>CHMAData!AD53</f>
        <v>0</v>
      </c>
      <c r="AF225" s="867"/>
      <c r="AG225" s="529"/>
      <c r="AH225" s="518"/>
      <c r="AJ225" s="595" t="b">
        <f t="shared" si="2"/>
        <v>0</v>
      </c>
    </row>
    <row r="226" spans="1:36" hidden="1" x14ac:dyDescent="0.45">
      <c r="B226" s="514" t="s">
        <v>1455</v>
      </c>
      <c r="C226" s="530"/>
      <c r="D226" s="530"/>
      <c r="E226" s="530"/>
      <c r="F226" s="530"/>
      <c r="G226" s="890" t="str">
        <f>IF(CHMAData!W54=0,"",SUBSTITUTE(SUBSTITUTE(CHMAData!W54,"Acquired and Rehabilitated Housing","A/R"),"Newly Constructed Housing","N/C"))</f>
        <v/>
      </c>
      <c r="H226" s="891"/>
      <c r="I226" s="583" t="str">
        <f>IF(CHMAData!BP54=0,"",LEFT(CHMAData!BP54,1))</f>
        <v/>
      </c>
      <c r="J226" s="584" t="str">
        <f>IF(CHMAData!T54=0,"",LEFT(CHMAData!T54,1))</f>
        <v/>
      </c>
      <c r="K226" s="888">
        <f>CHMAData!X54</f>
        <v>0</v>
      </c>
      <c r="L226" s="887"/>
      <c r="M226" s="940">
        <f>CHMAData!Y54</f>
        <v>0</v>
      </c>
      <c r="N226" s="940"/>
      <c r="O226" s="940"/>
      <c r="P226" s="940"/>
      <c r="Q226" s="868">
        <f>CHMAData!Z54</f>
        <v>0</v>
      </c>
      <c r="R226" s="869"/>
      <c r="S226" s="869"/>
      <c r="T226" s="870"/>
      <c r="U226" s="868">
        <f>CHMAData!AA54</f>
        <v>0</v>
      </c>
      <c r="V226" s="869"/>
      <c r="W226" s="870"/>
      <c r="X226" s="868">
        <f>CHMAData!AB54</f>
        <v>0</v>
      </c>
      <c r="Y226" s="869"/>
      <c r="Z226" s="870"/>
      <c r="AA226" s="868">
        <f t="shared" si="1"/>
        <v>0</v>
      </c>
      <c r="AB226" s="869"/>
      <c r="AC226" s="869"/>
      <c r="AD226" s="870"/>
      <c r="AE226" s="866">
        <f>CHMAData!AD54</f>
        <v>0</v>
      </c>
      <c r="AF226" s="867"/>
      <c r="AG226" s="529"/>
      <c r="AH226" s="518"/>
      <c r="AJ226" s="595" t="b">
        <f t="shared" si="2"/>
        <v>0</v>
      </c>
    </row>
    <row r="227" spans="1:36" hidden="1" x14ac:dyDescent="0.45">
      <c r="B227" s="514" t="s">
        <v>1456</v>
      </c>
      <c r="C227" s="530"/>
      <c r="D227" s="530"/>
      <c r="E227" s="530"/>
      <c r="F227" s="530"/>
      <c r="G227" s="890" t="str">
        <f>IF(CHMAData!W55=0,"",SUBSTITUTE(SUBSTITUTE(CHMAData!W55,"Acquired and Rehabilitated Housing","A/R"),"Newly Constructed Housing","N/C"))</f>
        <v/>
      </c>
      <c r="H227" s="891"/>
      <c r="I227" s="583" t="str">
        <f>IF(CHMAData!BP55=0,"",LEFT(CHMAData!BP55,1))</f>
        <v/>
      </c>
      <c r="J227" s="584" t="str">
        <f>IF(CHMAData!T55=0,"",LEFT(CHMAData!T55,1))</f>
        <v/>
      </c>
      <c r="K227" s="888">
        <f>CHMAData!X55</f>
        <v>0</v>
      </c>
      <c r="L227" s="887"/>
      <c r="M227" s="940">
        <f>CHMAData!Y55</f>
        <v>0</v>
      </c>
      <c r="N227" s="940"/>
      <c r="O227" s="940"/>
      <c r="P227" s="940"/>
      <c r="Q227" s="868">
        <f>CHMAData!Z55</f>
        <v>0</v>
      </c>
      <c r="R227" s="869"/>
      <c r="S227" s="869"/>
      <c r="T227" s="870"/>
      <c r="U227" s="868">
        <f>CHMAData!AA55</f>
        <v>0</v>
      </c>
      <c r="V227" s="869"/>
      <c r="W227" s="870"/>
      <c r="X227" s="868">
        <f>CHMAData!AB55</f>
        <v>0</v>
      </c>
      <c r="Y227" s="869"/>
      <c r="Z227" s="870"/>
      <c r="AA227" s="868">
        <f t="shared" si="1"/>
        <v>0</v>
      </c>
      <c r="AB227" s="869"/>
      <c r="AC227" s="869"/>
      <c r="AD227" s="870"/>
      <c r="AE227" s="866">
        <f>CHMAData!AD55</f>
        <v>0</v>
      </c>
      <c r="AF227" s="867"/>
      <c r="AG227" s="529"/>
      <c r="AH227" s="518"/>
      <c r="AJ227" s="595" t="b">
        <f t="shared" si="2"/>
        <v>0</v>
      </c>
    </row>
    <row r="228" spans="1:36" hidden="1" x14ac:dyDescent="0.45">
      <c r="B228" s="514" t="s">
        <v>1457</v>
      </c>
      <c r="C228" s="530"/>
      <c r="D228" s="530"/>
      <c r="E228" s="530"/>
      <c r="F228" s="530"/>
      <c r="G228" s="890" t="str">
        <f>IF(CHMAData!W56=0,"",SUBSTITUTE(SUBSTITUTE(CHMAData!W56,"Acquired and Rehabilitated Housing","A/R"),"Newly Constructed Housing","N/C"))</f>
        <v/>
      </c>
      <c r="H228" s="891"/>
      <c r="I228" s="583" t="str">
        <f>IF(CHMAData!BP56=0,"",LEFT(CHMAData!BP56,1))</f>
        <v/>
      </c>
      <c r="J228" s="584" t="str">
        <f>IF(CHMAData!T56=0,"",LEFT(CHMAData!T56,1))</f>
        <v/>
      </c>
      <c r="K228" s="888">
        <f>CHMAData!X56</f>
        <v>0</v>
      </c>
      <c r="L228" s="887"/>
      <c r="M228" s="940">
        <f>CHMAData!Y56</f>
        <v>0</v>
      </c>
      <c r="N228" s="940"/>
      <c r="O228" s="940"/>
      <c r="P228" s="940"/>
      <c r="Q228" s="868">
        <f>CHMAData!Z56</f>
        <v>0</v>
      </c>
      <c r="R228" s="869"/>
      <c r="S228" s="869"/>
      <c r="T228" s="870"/>
      <c r="U228" s="868">
        <f>CHMAData!AA56</f>
        <v>0</v>
      </c>
      <c r="V228" s="869"/>
      <c r="W228" s="870"/>
      <c r="X228" s="868">
        <f>CHMAData!AB56</f>
        <v>0</v>
      </c>
      <c r="Y228" s="869"/>
      <c r="Z228" s="870"/>
      <c r="AA228" s="868">
        <f t="shared" si="1"/>
        <v>0</v>
      </c>
      <c r="AB228" s="869"/>
      <c r="AC228" s="869"/>
      <c r="AD228" s="870"/>
      <c r="AE228" s="866">
        <f>CHMAData!AD56</f>
        <v>0</v>
      </c>
      <c r="AF228" s="867"/>
      <c r="AG228" s="529"/>
      <c r="AH228" s="518"/>
      <c r="AJ228" s="595" t="b">
        <f t="shared" si="2"/>
        <v>0</v>
      </c>
    </row>
    <row r="229" spans="1:36" hidden="1" x14ac:dyDescent="0.45">
      <c r="B229" s="514" t="s">
        <v>1458</v>
      </c>
      <c r="C229" s="530"/>
      <c r="D229" s="530"/>
      <c r="E229" s="530"/>
      <c r="F229" s="530"/>
      <c r="G229" s="890" t="str">
        <f>IF(CHMAData!W57=0,"",SUBSTITUTE(SUBSTITUTE(CHMAData!W57,"Acquired and Rehabilitated Housing","A/R"),"Newly Constructed Housing","N/C"))</f>
        <v/>
      </c>
      <c r="H229" s="891"/>
      <c r="I229" s="583" t="str">
        <f>IF(CHMAData!BP57=0,"",LEFT(CHMAData!BP57,1))</f>
        <v/>
      </c>
      <c r="J229" s="584" t="str">
        <f>IF(CHMAData!T57=0,"",LEFT(CHMAData!T57,1))</f>
        <v/>
      </c>
      <c r="K229" s="888">
        <f>CHMAData!X57</f>
        <v>0</v>
      </c>
      <c r="L229" s="887"/>
      <c r="M229" s="940">
        <f>CHMAData!Y57</f>
        <v>0</v>
      </c>
      <c r="N229" s="940"/>
      <c r="O229" s="940"/>
      <c r="P229" s="940"/>
      <c r="Q229" s="868">
        <f>CHMAData!Z57</f>
        <v>0</v>
      </c>
      <c r="R229" s="869"/>
      <c r="S229" s="869"/>
      <c r="T229" s="870"/>
      <c r="U229" s="868">
        <f>CHMAData!AA57</f>
        <v>0</v>
      </c>
      <c r="V229" s="869"/>
      <c r="W229" s="870"/>
      <c r="X229" s="868">
        <f>CHMAData!AB57</f>
        <v>0</v>
      </c>
      <c r="Y229" s="869"/>
      <c r="Z229" s="870"/>
      <c r="AA229" s="868">
        <f t="shared" si="1"/>
        <v>0</v>
      </c>
      <c r="AB229" s="869"/>
      <c r="AC229" s="869"/>
      <c r="AD229" s="870"/>
      <c r="AE229" s="866">
        <f>CHMAData!AD57</f>
        <v>0</v>
      </c>
      <c r="AF229" s="867"/>
      <c r="AG229" s="529"/>
      <c r="AH229" s="518"/>
      <c r="AJ229" s="595" t="b">
        <f t="shared" si="2"/>
        <v>0</v>
      </c>
    </row>
    <row r="230" spans="1:36" hidden="1" x14ac:dyDescent="0.45">
      <c r="B230" s="514" t="s">
        <v>1459</v>
      </c>
      <c r="C230" s="530"/>
      <c r="D230" s="530"/>
      <c r="E230" s="530"/>
      <c r="F230" s="530"/>
      <c r="G230" s="890" t="str">
        <f>IF(CHMAData!W58=0,"",SUBSTITUTE(SUBSTITUTE(CHMAData!W58,"Acquired and Rehabilitated Housing","A/R"),"Newly Constructed Housing","N/C"))</f>
        <v/>
      </c>
      <c r="H230" s="891"/>
      <c r="I230" s="583" t="str">
        <f>IF(CHMAData!BP58=0,"",LEFT(CHMAData!BP58,1))</f>
        <v/>
      </c>
      <c r="J230" s="584" t="str">
        <f>IF(CHMAData!T58=0,"",LEFT(CHMAData!T58,1))</f>
        <v/>
      </c>
      <c r="K230" s="888">
        <f>CHMAData!X58</f>
        <v>0</v>
      </c>
      <c r="L230" s="887"/>
      <c r="M230" s="940">
        <f>CHMAData!Y58</f>
        <v>0</v>
      </c>
      <c r="N230" s="940"/>
      <c r="O230" s="940"/>
      <c r="P230" s="940"/>
      <c r="Q230" s="868">
        <f>CHMAData!Z58</f>
        <v>0</v>
      </c>
      <c r="R230" s="869"/>
      <c r="S230" s="869"/>
      <c r="T230" s="870"/>
      <c r="U230" s="868">
        <f>CHMAData!AA58</f>
        <v>0</v>
      </c>
      <c r="V230" s="869"/>
      <c r="W230" s="870"/>
      <c r="X230" s="868">
        <f>CHMAData!AB58</f>
        <v>0</v>
      </c>
      <c r="Y230" s="869"/>
      <c r="Z230" s="870"/>
      <c r="AA230" s="868">
        <f t="shared" si="1"/>
        <v>0</v>
      </c>
      <c r="AB230" s="869"/>
      <c r="AC230" s="869"/>
      <c r="AD230" s="870"/>
      <c r="AE230" s="866">
        <f>CHMAData!AD58</f>
        <v>0</v>
      </c>
      <c r="AF230" s="867"/>
      <c r="AG230" s="529"/>
      <c r="AH230" s="518"/>
      <c r="AJ230" s="595" t="b">
        <f t="shared" si="2"/>
        <v>0</v>
      </c>
    </row>
    <row r="231" spans="1:36" hidden="1" x14ac:dyDescent="0.45">
      <c r="A231" s="518"/>
      <c r="B231" s="514" t="s">
        <v>1460</v>
      </c>
      <c r="C231" s="530"/>
      <c r="D231" s="530"/>
      <c r="E231" s="530"/>
      <c r="F231" s="530"/>
      <c r="G231" s="890" t="str">
        <f>IF(CHMAData!W59=0,"",SUBSTITUTE(SUBSTITUTE(CHMAData!W59,"Acquired and Rehabilitated Housing","A/R"),"Newly Constructed Housing","N/C"))</f>
        <v/>
      </c>
      <c r="H231" s="891"/>
      <c r="I231" s="583" t="str">
        <f>IF(CHMAData!BP59=0,"",LEFT(CHMAData!BP59,1))</f>
        <v/>
      </c>
      <c r="J231" s="584" t="str">
        <f>IF(CHMAData!T59=0,"",LEFT(CHMAData!T59,1))</f>
        <v/>
      </c>
      <c r="K231" s="888">
        <f>CHMAData!X59</f>
        <v>0</v>
      </c>
      <c r="L231" s="887"/>
      <c r="M231" s="940">
        <f>CHMAData!Y59</f>
        <v>0</v>
      </c>
      <c r="N231" s="940"/>
      <c r="O231" s="940"/>
      <c r="P231" s="940"/>
      <c r="Q231" s="868">
        <f>CHMAData!Z59</f>
        <v>0</v>
      </c>
      <c r="R231" s="869"/>
      <c r="S231" s="869"/>
      <c r="T231" s="870"/>
      <c r="U231" s="868">
        <f>CHMAData!AA59</f>
        <v>0</v>
      </c>
      <c r="V231" s="869"/>
      <c r="W231" s="870"/>
      <c r="X231" s="868">
        <f>CHMAData!AB59</f>
        <v>0</v>
      </c>
      <c r="Y231" s="869"/>
      <c r="Z231" s="870"/>
      <c r="AA231" s="868">
        <f t="shared" si="1"/>
        <v>0</v>
      </c>
      <c r="AB231" s="869"/>
      <c r="AC231" s="869"/>
      <c r="AD231" s="870"/>
      <c r="AE231" s="866">
        <f>CHMAData!AD59</f>
        <v>0</v>
      </c>
      <c r="AF231" s="867"/>
      <c r="AG231" s="529"/>
      <c r="AH231" s="518"/>
      <c r="AJ231" s="595" t="b">
        <f t="shared" si="2"/>
        <v>0</v>
      </c>
    </row>
    <row r="232" spans="1:36" hidden="1" x14ac:dyDescent="0.45">
      <c r="A232" s="518"/>
      <c r="B232" s="514" t="s">
        <v>1461</v>
      </c>
      <c r="C232" s="530"/>
      <c r="D232" s="530"/>
      <c r="E232" s="530"/>
      <c r="F232" s="530"/>
      <c r="G232" s="890" t="str">
        <f>IF(CHMAData!W60=0,"",SUBSTITUTE(SUBSTITUTE(CHMAData!W60,"Acquired and Rehabilitated Housing","A/R"),"Newly Constructed Housing","N/C"))</f>
        <v/>
      </c>
      <c r="H232" s="891"/>
      <c r="I232" s="583" t="str">
        <f>IF(CHMAData!BP60=0,"",LEFT(CHMAData!BP60,1))</f>
        <v/>
      </c>
      <c r="J232" s="584" t="str">
        <f>IF(CHMAData!T60=0,"",LEFT(CHMAData!T60,1))</f>
        <v/>
      </c>
      <c r="K232" s="888">
        <f>CHMAData!X60</f>
        <v>0</v>
      </c>
      <c r="L232" s="887"/>
      <c r="M232" s="940">
        <f>CHMAData!Y60</f>
        <v>0</v>
      </c>
      <c r="N232" s="940"/>
      <c r="O232" s="940"/>
      <c r="P232" s="940"/>
      <c r="Q232" s="868">
        <f>CHMAData!Z60</f>
        <v>0</v>
      </c>
      <c r="R232" s="869"/>
      <c r="S232" s="869"/>
      <c r="T232" s="870"/>
      <c r="U232" s="868">
        <f>CHMAData!AA60</f>
        <v>0</v>
      </c>
      <c r="V232" s="869"/>
      <c r="W232" s="870"/>
      <c r="X232" s="868">
        <f>CHMAData!AB60</f>
        <v>0</v>
      </c>
      <c r="Y232" s="869"/>
      <c r="Z232" s="870"/>
      <c r="AA232" s="868">
        <f t="shared" si="1"/>
        <v>0</v>
      </c>
      <c r="AB232" s="869"/>
      <c r="AC232" s="869"/>
      <c r="AD232" s="870"/>
      <c r="AE232" s="866">
        <f>CHMAData!AD60</f>
        <v>0</v>
      </c>
      <c r="AF232" s="867"/>
      <c r="AG232" s="529"/>
      <c r="AH232" s="518"/>
      <c r="AJ232" s="595" t="b">
        <f t="shared" si="2"/>
        <v>0</v>
      </c>
    </row>
    <row r="233" spans="1:36" hidden="1" x14ac:dyDescent="0.45">
      <c r="A233" s="518"/>
      <c r="B233" s="518"/>
      <c r="C233" s="518"/>
      <c r="D233" s="518"/>
      <c r="E233" s="518"/>
      <c r="F233" s="518"/>
      <c r="G233" s="518"/>
      <c r="H233" s="518"/>
      <c r="I233" s="518"/>
      <c r="J233" s="518"/>
      <c r="K233" s="518"/>
      <c r="L233" s="518"/>
      <c r="M233" s="518"/>
      <c r="N233" s="518"/>
      <c r="O233" s="518"/>
      <c r="P233" s="518"/>
      <c r="Q233" s="518"/>
      <c r="R233" s="518"/>
      <c r="S233" s="518"/>
      <c r="T233" s="518"/>
      <c r="U233" s="518"/>
      <c r="V233" s="518"/>
      <c r="W233" s="518"/>
      <c r="X233" s="518"/>
      <c r="Y233" s="518"/>
      <c r="Z233" s="518"/>
      <c r="AA233" s="518"/>
      <c r="AB233" s="518"/>
      <c r="AC233" s="518"/>
      <c r="AD233" s="518"/>
      <c r="AE233" s="518"/>
      <c r="AF233" s="518"/>
      <c r="AG233" s="518"/>
      <c r="AH233" s="518"/>
      <c r="AJ233" s="595" t="b">
        <f>AJ168</f>
        <v>0</v>
      </c>
    </row>
    <row r="234" spans="1:36" hidden="1" x14ac:dyDescent="0.45">
      <c r="A234" s="518"/>
      <c r="B234" s="917" t="s">
        <v>173</v>
      </c>
      <c r="C234" s="918"/>
      <c r="D234" s="918"/>
      <c r="E234" s="918"/>
      <c r="F234" s="918"/>
      <c r="G234" s="918"/>
      <c r="H234" s="919">
        <f>CH_MA_UnrestrictedTotalRequested</f>
        <v>0</v>
      </c>
      <c r="I234" s="920"/>
      <c r="J234" s="920"/>
      <c r="K234" s="920"/>
      <c r="L234" s="920"/>
      <c r="M234" s="920"/>
      <c r="N234" s="921"/>
      <c r="O234" s="518"/>
      <c r="P234" s="518"/>
      <c r="Q234" s="518"/>
      <c r="R234" s="518"/>
      <c r="S234" s="518"/>
      <c r="T234" s="518"/>
      <c r="U234" s="518"/>
      <c r="V234" s="518"/>
      <c r="W234" s="518"/>
      <c r="X234" s="518"/>
      <c r="Y234" s="518"/>
      <c r="Z234" s="518"/>
      <c r="AA234" s="518"/>
      <c r="AB234" s="518"/>
      <c r="AC234" s="518"/>
      <c r="AD234" s="518"/>
      <c r="AE234" s="518"/>
      <c r="AF234" s="518"/>
      <c r="AG234" s="518"/>
      <c r="AH234" s="518"/>
      <c r="AJ234" s="595"/>
    </row>
    <row r="235" spans="1:36" hidden="1" x14ac:dyDescent="0.45">
      <c r="A235" s="518"/>
      <c r="B235" s="518"/>
      <c r="C235" s="518"/>
      <c r="D235" s="518"/>
      <c r="E235" s="518"/>
      <c r="F235" s="518"/>
      <c r="G235" s="518"/>
      <c r="H235" s="518"/>
      <c r="I235" s="518"/>
      <c r="J235" s="518"/>
      <c r="K235" s="518"/>
      <c r="L235" s="518"/>
      <c r="M235" s="518"/>
      <c r="N235" s="518"/>
      <c r="O235" s="518"/>
      <c r="P235" s="518"/>
      <c r="Q235" s="518"/>
      <c r="R235" s="518"/>
      <c r="S235" s="518"/>
      <c r="T235" s="518"/>
      <c r="U235" s="518"/>
      <c r="V235" s="518"/>
      <c r="W235" s="518"/>
      <c r="X235" s="518"/>
      <c r="Y235" s="518"/>
      <c r="Z235" s="518"/>
      <c r="AA235" s="518"/>
      <c r="AB235" s="518"/>
      <c r="AC235" s="518"/>
      <c r="AD235" s="518"/>
      <c r="AE235" s="518"/>
      <c r="AF235" s="518"/>
      <c r="AG235" s="518"/>
      <c r="AH235" s="518"/>
      <c r="AJ235" s="595"/>
    </row>
    <row r="236" spans="1:36" hidden="1" x14ac:dyDescent="0.45">
      <c r="A236" s="518"/>
      <c r="B236" s="532" t="s">
        <v>1854</v>
      </c>
      <c r="C236" s="518"/>
      <c r="D236" s="518"/>
      <c r="E236" s="518"/>
      <c r="F236" s="518"/>
      <c r="G236" s="518"/>
      <c r="H236" s="518"/>
      <c r="I236" s="518"/>
      <c r="J236" s="518"/>
      <c r="K236" s="518"/>
      <c r="L236" s="518"/>
      <c r="M236" s="518"/>
      <c r="N236" s="518"/>
      <c r="O236" s="518"/>
      <c r="P236" s="518"/>
      <c r="Q236" s="518"/>
      <c r="R236" s="518"/>
      <c r="S236" s="518"/>
      <c r="T236" s="518"/>
      <c r="U236" s="518"/>
      <c r="V236" s="518"/>
      <c r="W236" s="518"/>
      <c r="X236" s="518"/>
      <c r="Y236" s="518"/>
      <c r="Z236" s="518"/>
      <c r="AA236" s="518"/>
      <c r="AB236" s="518"/>
      <c r="AC236" s="518"/>
      <c r="AD236" s="518"/>
      <c r="AE236" s="518"/>
      <c r="AF236" s="518"/>
      <c r="AG236" s="518"/>
      <c r="AH236" s="518"/>
      <c r="AJ236" s="595"/>
    </row>
    <row r="237" spans="1:36" hidden="1" x14ac:dyDescent="0.45">
      <c r="A237" s="518"/>
      <c r="B237" s="922" t="s">
        <v>174</v>
      </c>
      <c r="C237" s="922"/>
      <c r="D237" s="922"/>
      <c r="E237" s="922"/>
      <c r="F237" s="922"/>
      <c r="G237" s="922"/>
      <c r="H237" s="922"/>
      <c r="I237" s="922"/>
      <c r="J237" s="922"/>
      <c r="K237" s="922"/>
      <c r="L237" s="922"/>
      <c r="M237" s="922"/>
      <c r="N237" s="922"/>
      <c r="O237" s="878"/>
      <c r="P237" s="879"/>
      <c r="Q237" s="880"/>
      <c r="R237" s="518"/>
      <c r="S237" s="518"/>
      <c r="T237" s="518"/>
      <c r="U237" s="518"/>
      <c r="V237" s="518"/>
      <c r="W237" s="518"/>
      <c r="X237" s="518"/>
      <c r="Y237" s="518"/>
      <c r="Z237" s="518"/>
      <c r="AA237" s="518"/>
      <c r="AB237" s="518"/>
      <c r="AC237" s="518"/>
      <c r="AD237" s="518"/>
      <c r="AE237" s="518"/>
      <c r="AF237" s="518"/>
      <c r="AG237" s="518"/>
      <c r="AH237" s="518"/>
      <c r="AJ237" s="595"/>
    </row>
    <row r="238" spans="1:36" hidden="1" x14ac:dyDescent="0.45">
      <c r="A238" s="518"/>
      <c r="B238" s="922" t="s">
        <v>175</v>
      </c>
      <c r="C238" s="922"/>
      <c r="D238" s="922"/>
      <c r="E238" s="922"/>
      <c r="F238" s="922"/>
      <c r="G238" s="922"/>
      <c r="H238" s="922"/>
      <c r="I238" s="922"/>
      <c r="J238" s="922"/>
      <c r="K238" s="922"/>
      <c r="L238" s="922"/>
      <c r="M238" s="922"/>
      <c r="N238" s="922"/>
      <c r="O238" s="878"/>
      <c r="P238" s="879"/>
      <c r="Q238" s="880"/>
      <c r="R238" s="518"/>
      <c r="S238" s="518"/>
      <c r="T238" s="518"/>
      <c r="U238" s="518"/>
      <c r="V238" s="518"/>
      <c r="W238" s="518"/>
      <c r="X238" s="518"/>
      <c r="Y238" s="518"/>
      <c r="Z238" s="518"/>
      <c r="AA238" s="518"/>
      <c r="AB238" s="518"/>
      <c r="AC238" s="518"/>
      <c r="AD238" s="518"/>
      <c r="AE238" s="518"/>
      <c r="AF238" s="518"/>
      <c r="AG238" s="518"/>
      <c r="AH238" s="518"/>
      <c r="AJ238" s="595"/>
    </row>
    <row r="239" spans="1:36" hidden="1" x14ac:dyDescent="0.45">
      <c r="A239" s="518"/>
      <c r="B239" s="922" t="s">
        <v>176</v>
      </c>
      <c r="C239" s="922"/>
      <c r="D239" s="922"/>
      <c r="E239" s="922"/>
      <c r="F239" s="922"/>
      <c r="G239" s="922"/>
      <c r="H239" s="922"/>
      <c r="I239" s="922"/>
      <c r="J239" s="922"/>
      <c r="K239" s="922"/>
      <c r="L239" s="922"/>
      <c r="M239" s="922"/>
      <c r="N239" s="922"/>
      <c r="O239" s="878"/>
      <c r="P239" s="879"/>
      <c r="Q239" s="880"/>
      <c r="R239" s="518"/>
      <c r="S239" s="518"/>
      <c r="T239" s="518"/>
      <c r="U239" s="518"/>
      <c r="V239" s="518"/>
      <c r="W239" s="518"/>
      <c r="X239" s="518"/>
      <c r="Y239" s="518"/>
      <c r="Z239" s="518"/>
      <c r="AA239" s="518"/>
      <c r="AB239" s="518"/>
      <c r="AC239" s="518"/>
      <c r="AD239" s="518"/>
      <c r="AE239" s="518"/>
      <c r="AF239" s="518"/>
      <c r="AG239" s="518"/>
      <c r="AH239" s="518"/>
      <c r="AJ239" s="595"/>
    </row>
    <row r="240" spans="1:36" hidden="1" x14ac:dyDescent="0.45">
      <c r="A240" s="518"/>
      <c r="B240" s="922" t="s">
        <v>177</v>
      </c>
      <c r="C240" s="922"/>
      <c r="D240" s="922"/>
      <c r="E240" s="922"/>
      <c r="F240" s="922"/>
      <c r="G240" s="922"/>
      <c r="H240" s="922"/>
      <c r="I240" s="922"/>
      <c r="J240" s="922"/>
      <c r="K240" s="922"/>
      <c r="L240" s="922"/>
      <c r="M240" s="922"/>
      <c r="N240" s="922"/>
      <c r="O240" s="878"/>
      <c r="P240" s="879"/>
      <c r="Q240" s="880"/>
      <c r="R240" s="518"/>
      <c r="S240" s="518"/>
      <c r="T240" s="518"/>
      <c r="U240" s="518"/>
      <c r="V240" s="518"/>
      <c r="W240" s="518"/>
      <c r="X240" s="518"/>
      <c r="Y240" s="518"/>
      <c r="Z240" s="518"/>
      <c r="AA240" s="518"/>
      <c r="AB240" s="518"/>
      <c r="AC240" s="518"/>
      <c r="AD240" s="518"/>
      <c r="AE240" s="518"/>
      <c r="AF240" s="518"/>
      <c r="AG240" s="518"/>
      <c r="AH240" s="518"/>
      <c r="AJ240" s="595"/>
    </row>
    <row r="241" spans="1:36" hidden="1" x14ac:dyDescent="0.45">
      <c r="A241" s="518"/>
      <c r="B241" s="922" t="s">
        <v>178</v>
      </c>
      <c r="C241" s="922"/>
      <c r="D241" s="922"/>
      <c r="E241" s="922"/>
      <c r="F241" s="922"/>
      <c r="G241" s="922"/>
      <c r="H241" s="922"/>
      <c r="I241" s="922"/>
      <c r="J241" s="922"/>
      <c r="K241" s="922"/>
      <c r="L241" s="922"/>
      <c r="M241" s="922"/>
      <c r="N241" s="922"/>
      <c r="O241" s="878"/>
      <c r="P241" s="879"/>
      <c r="Q241" s="880"/>
      <c r="R241" s="518"/>
      <c r="S241" s="518"/>
      <c r="T241" s="518"/>
      <c r="U241" s="518"/>
      <c r="V241" s="518"/>
      <c r="W241" s="518"/>
      <c r="X241" s="518"/>
      <c r="Y241" s="518"/>
      <c r="Z241" s="518"/>
      <c r="AA241" s="518"/>
      <c r="AB241" s="518"/>
      <c r="AC241" s="518"/>
      <c r="AD241" s="518"/>
      <c r="AE241" s="518"/>
      <c r="AF241" s="518"/>
      <c r="AG241" s="518"/>
      <c r="AH241" s="518"/>
      <c r="AJ241" s="595"/>
    </row>
    <row r="242" spans="1:36" hidden="1" x14ac:dyDescent="0.45">
      <c r="A242" s="518"/>
      <c r="B242" s="922" t="s">
        <v>179</v>
      </c>
      <c r="C242" s="922"/>
      <c r="D242" s="922"/>
      <c r="E242" s="922"/>
      <c r="F242" s="922"/>
      <c r="G242" s="922"/>
      <c r="H242" s="922"/>
      <c r="I242" s="922"/>
      <c r="J242" s="922"/>
      <c r="K242" s="922"/>
      <c r="L242" s="922"/>
      <c r="M242" s="922"/>
      <c r="N242" s="922"/>
      <c r="O242" s="878"/>
      <c r="P242" s="879"/>
      <c r="Q242" s="880"/>
      <c r="R242" s="518"/>
      <c r="S242" s="518"/>
      <c r="T242" s="518"/>
      <c r="U242" s="518"/>
      <c r="V242" s="518"/>
      <c r="W242" s="518"/>
      <c r="X242" s="518"/>
      <c r="Y242" s="518"/>
      <c r="Z242" s="518"/>
      <c r="AA242" s="518"/>
      <c r="AB242" s="518"/>
      <c r="AC242" s="518"/>
      <c r="AD242" s="518"/>
      <c r="AE242" s="518"/>
      <c r="AF242" s="518"/>
      <c r="AG242" s="518"/>
      <c r="AH242" s="518"/>
      <c r="AJ242" s="595"/>
    </row>
    <row r="243" spans="1:36" hidden="1" x14ac:dyDescent="0.45">
      <c r="A243" s="518"/>
      <c r="B243" s="922" t="s">
        <v>180</v>
      </c>
      <c r="C243" s="922"/>
      <c r="D243" s="922"/>
      <c r="E243" s="922"/>
      <c r="F243" s="922"/>
      <c r="G243" s="922"/>
      <c r="H243" s="922"/>
      <c r="I243" s="922"/>
      <c r="J243" s="922"/>
      <c r="K243" s="922"/>
      <c r="L243" s="922"/>
      <c r="M243" s="922"/>
      <c r="N243" s="922"/>
      <c r="O243" s="878"/>
      <c r="P243" s="879"/>
      <c r="Q243" s="880"/>
      <c r="R243" s="518"/>
      <c r="S243" s="518"/>
      <c r="T243" s="518"/>
      <c r="U243" s="518"/>
      <c r="V243" s="518"/>
      <c r="W243" s="518"/>
      <c r="X243" s="518"/>
      <c r="Y243" s="518"/>
      <c r="Z243" s="518"/>
      <c r="AA243" s="518"/>
      <c r="AB243" s="518"/>
      <c r="AC243" s="518"/>
      <c r="AD243" s="518"/>
      <c r="AE243" s="518"/>
      <c r="AF243" s="518"/>
      <c r="AG243" s="518"/>
      <c r="AH243" s="518"/>
      <c r="AJ243" s="595"/>
    </row>
    <row r="244" spans="1:36" hidden="1" x14ac:dyDescent="0.45">
      <c r="A244" s="518"/>
      <c r="B244" s="916" t="s">
        <v>181</v>
      </c>
      <c r="C244" s="916"/>
      <c r="D244" s="916"/>
      <c r="E244" s="916"/>
      <c r="F244" s="916"/>
      <c r="G244" s="916"/>
      <c r="H244" s="916"/>
      <c r="I244" s="916"/>
      <c r="J244" s="916"/>
      <c r="K244" s="916"/>
      <c r="L244" s="916"/>
      <c r="M244" s="916"/>
      <c r="N244" s="916"/>
      <c r="O244" s="927"/>
      <c r="P244" s="928"/>
      <c r="Q244" s="929"/>
      <c r="R244" s="518"/>
      <c r="S244" s="518"/>
      <c r="T244" s="518"/>
      <c r="U244" s="518"/>
      <c r="V244" s="518"/>
      <c r="W244" s="518"/>
      <c r="X244" s="518"/>
      <c r="Y244" s="518"/>
      <c r="Z244" s="518"/>
      <c r="AA244" s="518"/>
      <c r="AB244" s="518"/>
      <c r="AC244" s="518"/>
      <c r="AD244" s="518"/>
      <c r="AE244" s="518"/>
      <c r="AF244" s="518"/>
      <c r="AG244" s="518"/>
      <c r="AH244" s="518"/>
      <c r="AJ244" s="595"/>
    </row>
    <row r="245" spans="1:36" hidden="1" x14ac:dyDescent="0.45">
      <c r="A245" s="518"/>
      <c r="B245" s="930" t="s">
        <v>182</v>
      </c>
      <c r="C245" s="930"/>
      <c r="D245" s="930"/>
      <c r="E245" s="930"/>
      <c r="F245" s="930"/>
      <c r="G245" s="930"/>
      <c r="H245" s="930"/>
      <c r="I245" s="930"/>
      <c r="J245" s="930"/>
      <c r="K245" s="930"/>
      <c r="L245" s="930"/>
      <c r="M245" s="930"/>
      <c r="N245" s="930"/>
      <c r="O245" s="878">
        <f>SUM(O237:Q243)-O244</f>
        <v>0</v>
      </c>
      <c r="P245" s="879"/>
      <c r="Q245" s="880"/>
      <c r="R245" s="518"/>
      <c r="S245" s="518"/>
      <c r="T245" s="518"/>
      <c r="U245" s="518"/>
      <c r="V245" s="518"/>
      <c r="W245" s="518"/>
      <c r="X245" s="518"/>
      <c r="Y245" s="518"/>
      <c r="Z245" s="518"/>
      <c r="AA245" s="518"/>
      <c r="AB245" s="518"/>
      <c r="AC245" s="518"/>
      <c r="AD245" s="518"/>
      <c r="AE245" s="518"/>
      <c r="AF245" s="518"/>
      <c r="AG245" s="518"/>
      <c r="AH245" s="518"/>
      <c r="AJ245" s="595"/>
    </row>
    <row r="246" spans="1:36" hidden="1" x14ac:dyDescent="0.45">
      <c r="A246" s="518"/>
      <c r="B246" s="517"/>
      <c r="C246" s="517"/>
      <c r="D246" s="517"/>
      <c r="E246" s="517"/>
      <c r="F246" s="517"/>
      <c r="G246" s="517"/>
      <c r="H246" s="517"/>
      <c r="I246" s="517"/>
      <c r="J246" s="517"/>
      <c r="K246" s="517"/>
      <c r="L246" s="517"/>
      <c r="M246" s="517"/>
      <c r="N246" s="517"/>
      <c r="O246" s="532"/>
      <c r="P246" s="532"/>
      <c r="Q246" s="532"/>
      <c r="R246" s="518"/>
      <c r="S246" s="533"/>
      <c r="T246" s="533"/>
      <c r="U246" s="533"/>
      <c r="V246" s="533"/>
      <c r="W246" s="533"/>
      <c r="X246" s="533"/>
      <c r="Y246" s="533"/>
      <c r="Z246" s="533"/>
      <c r="AA246" s="533"/>
      <c r="AB246" s="533"/>
      <c r="AC246" s="533"/>
      <c r="AD246" s="533"/>
      <c r="AE246" s="533"/>
      <c r="AF246" s="533"/>
      <c r="AG246" s="533"/>
      <c r="AH246" s="518"/>
      <c r="AJ246" s="595"/>
    </row>
    <row r="247" spans="1:36" ht="200.15" hidden="1" customHeight="1" x14ac:dyDescent="0.45">
      <c r="A247" s="518"/>
      <c r="B247" s="926" t="s">
        <v>183</v>
      </c>
      <c r="C247" s="926"/>
      <c r="D247" s="926"/>
      <c r="E247" s="926"/>
      <c r="F247" s="926"/>
      <c r="G247" s="926"/>
      <c r="H247" s="926"/>
      <c r="I247" s="926"/>
      <c r="J247" s="926"/>
      <c r="K247" s="926"/>
      <c r="L247" s="926"/>
      <c r="M247" s="926"/>
      <c r="N247" s="926"/>
      <c r="O247" s="926"/>
      <c r="P247" s="926"/>
      <c r="Q247" s="926"/>
      <c r="R247" s="926"/>
      <c r="S247" s="926"/>
      <c r="T247" s="926"/>
      <c r="U247" s="926"/>
      <c r="V247" s="926"/>
      <c r="W247" s="926"/>
      <c r="X247" s="926"/>
      <c r="Y247" s="926"/>
      <c r="Z247" s="926"/>
      <c r="AA247" s="926"/>
      <c r="AB247" s="926"/>
      <c r="AC247" s="926"/>
      <c r="AD247" s="926"/>
      <c r="AE247" s="926"/>
      <c r="AF247" s="926"/>
      <c r="AG247" s="926"/>
      <c r="AH247" s="518"/>
      <c r="AJ247" s="595"/>
    </row>
    <row r="248" spans="1:36" hidden="1" x14ac:dyDescent="0.45">
      <c r="A248" s="518"/>
      <c r="B248" s="518"/>
      <c r="C248" s="518"/>
      <c r="D248" s="518"/>
      <c r="E248" s="518"/>
      <c r="F248" s="518"/>
      <c r="G248" s="518"/>
      <c r="H248" s="518"/>
      <c r="I248" s="518"/>
      <c r="J248" s="518"/>
      <c r="K248" s="518"/>
      <c r="L248" s="518"/>
      <c r="M248" s="518"/>
      <c r="N248" s="518"/>
      <c r="O248" s="518"/>
      <c r="P248" s="518"/>
      <c r="Q248" s="518"/>
      <c r="R248" s="518"/>
      <c r="S248" s="518"/>
      <c r="T248" s="518"/>
      <c r="U248" s="518"/>
      <c r="V248" s="518"/>
      <c r="W248" s="518"/>
      <c r="X248" s="518"/>
      <c r="Y248" s="518"/>
      <c r="Z248" s="518"/>
      <c r="AA248" s="518"/>
      <c r="AB248" s="518"/>
      <c r="AC248" s="518"/>
      <c r="AD248" s="518"/>
      <c r="AE248" s="518"/>
      <c r="AF248" s="518"/>
      <c r="AG248" s="518"/>
      <c r="AH248" s="518"/>
      <c r="AJ248" s="595"/>
    </row>
    <row r="249" spans="1:36" hidden="1" x14ac:dyDescent="0.45">
      <c r="A249" s="518"/>
      <c r="B249" s="518"/>
      <c r="C249" s="518"/>
      <c r="D249" s="518"/>
      <c r="E249" s="518"/>
      <c r="F249" s="518"/>
      <c r="G249" s="518"/>
      <c r="H249" s="518"/>
      <c r="I249" s="518"/>
      <c r="J249" s="518"/>
      <c r="K249" s="518"/>
      <c r="L249" s="518"/>
      <c r="M249" s="518"/>
      <c r="N249" s="518"/>
      <c r="O249" s="518"/>
      <c r="P249" s="518"/>
      <c r="Q249" s="518"/>
      <c r="R249" s="518"/>
      <c r="S249" s="518"/>
      <c r="T249" s="518"/>
      <c r="U249" s="518"/>
      <c r="V249" s="518"/>
      <c r="W249" s="518"/>
      <c r="X249" s="518"/>
      <c r="Y249" s="518"/>
      <c r="Z249" s="518"/>
      <c r="AA249" s="518"/>
      <c r="AB249" s="518"/>
      <c r="AC249" s="518"/>
      <c r="AD249" s="518"/>
      <c r="AE249" s="518"/>
      <c r="AF249" s="518"/>
      <c r="AG249" s="518"/>
      <c r="AH249" s="518"/>
      <c r="AJ249" s="595" t="b">
        <f>AND(AJ$119,CH_MA_ManufacturedTotalRequested&gt;0)</f>
        <v>0</v>
      </c>
    </row>
    <row r="250" spans="1:36" hidden="1" x14ac:dyDescent="0.45">
      <c r="A250" s="518"/>
      <c r="B250" s="923" t="s">
        <v>87</v>
      </c>
      <c r="C250" s="923"/>
      <c r="D250" s="923"/>
      <c r="E250" s="923"/>
      <c r="F250" s="923"/>
      <c r="G250" s="923"/>
      <c r="H250" s="923"/>
      <c r="I250" s="923"/>
      <c r="J250" s="923"/>
      <c r="K250" s="923"/>
      <c r="L250" s="923"/>
      <c r="M250" s="923"/>
      <c r="N250" s="923"/>
      <c r="O250" s="923"/>
      <c r="P250" s="923"/>
      <c r="Q250" s="923"/>
      <c r="R250" s="923"/>
      <c r="S250" s="923"/>
      <c r="T250" s="923"/>
      <c r="U250" s="923"/>
      <c r="V250" s="923"/>
      <c r="W250" s="923"/>
      <c r="X250" s="923"/>
      <c r="Y250" s="923"/>
      <c r="Z250" s="923"/>
      <c r="AA250" s="923"/>
      <c r="AB250" s="923"/>
      <c r="AC250" s="923"/>
      <c r="AD250" s="923"/>
      <c r="AE250" s="923"/>
      <c r="AF250" s="923"/>
      <c r="AG250" s="923"/>
      <c r="AH250" s="518"/>
      <c r="AJ250" s="595"/>
    </row>
    <row r="251" spans="1:36" hidden="1" x14ac:dyDescent="0.45">
      <c r="A251" s="518"/>
      <c r="B251" s="924" t="s">
        <v>1834</v>
      </c>
      <c r="C251" s="925"/>
      <c r="D251" s="925"/>
      <c r="E251" s="925"/>
      <c r="F251" s="925"/>
      <c r="G251" s="925"/>
      <c r="H251" s="925"/>
      <c r="I251" s="925"/>
      <c r="J251" s="925"/>
      <c r="K251" s="925"/>
      <c r="L251" s="925"/>
      <c r="M251" s="925"/>
      <c r="N251" s="925"/>
      <c r="O251" s="925"/>
      <c r="P251" s="925"/>
      <c r="Q251" s="925"/>
      <c r="R251" s="925"/>
      <c r="S251" s="925"/>
      <c r="T251" s="925"/>
      <c r="U251" s="925"/>
      <c r="V251" s="925"/>
      <c r="W251" s="925"/>
      <c r="X251" s="925"/>
      <c r="Y251" s="925"/>
      <c r="Z251" s="925"/>
      <c r="AA251" s="925"/>
      <c r="AB251" s="925"/>
      <c r="AC251" s="925"/>
      <c r="AD251" s="925"/>
      <c r="AE251" s="925"/>
      <c r="AF251" s="925"/>
      <c r="AG251" s="925"/>
      <c r="AH251" s="518"/>
      <c r="AJ251" s="595"/>
    </row>
    <row r="252" spans="1:36" hidden="1" x14ac:dyDescent="0.45">
      <c r="A252" s="518"/>
      <c r="B252" s="1103" t="s">
        <v>1811</v>
      </c>
      <c r="C252" s="1103"/>
      <c r="D252" s="1103"/>
      <c r="E252" s="1103"/>
      <c r="F252" s="1103"/>
      <c r="G252" s="1103"/>
      <c r="H252" s="1103"/>
      <c r="I252" s="1103"/>
      <c r="J252" s="1103"/>
      <c r="K252" s="1103"/>
      <c r="L252" s="1103"/>
      <c r="M252" s="1103"/>
      <c r="N252" s="1103"/>
      <c r="O252" s="1103"/>
      <c r="P252" s="1103"/>
      <c r="Q252" s="1103"/>
      <c r="R252" s="1103"/>
      <c r="S252" s="1103"/>
      <c r="T252" s="1103"/>
      <c r="U252" s="1103"/>
      <c r="V252" s="1103"/>
      <c r="W252" s="1103"/>
      <c r="X252" s="1103"/>
      <c r="Y252" s="1103"/>
      <c r="Z252" s="1103"/>
      <c r="AA252" s="1103"/>
      <c r="AB252" s="1103"/>
      <c r="AC252" s="1103"/>
      <c r="AD252" s="1103"/>
      <c r="AE252" s="1103"/>
      <c r="AF252" s="1103"/>
      <c r="AG252" s="1103"/>
      <c r="AH252" s="518"/>
      <c r="AJ252" s="595"/>
    </row>
    <row r="253" spans="1:36" hidden="1" x14ac:dyDescent="0.45">
      <c r="A253" s="518"/>
      <c r="B253" s="1083" t="s">
        <v>1856</v>
      </c>
      <c r="C253" s="1083"/>
      <c r="D253" s="1083"/>
      <c r="E253" s="1083"/>
      <c r="F253" s="1083"/>
      <c r="G253" s="1083"/>
      <c r="H253" s="1083"/>
      <c r="I253" s="1083"/>
      <c r="J253" s="1083"/>
      <c r="K253" s="1083"/>
      <c r="L253" s="1083"/>
      <c r="M253" s="1083"/>
      <c r="N253" s="1083"/>
      <c r="O253" s="1083"/>
      <c r="P253" s="1083"/>
      <c r="Q253" s="1083"/>
      <c r="R253" s="1083"/>
      <c r="S253" s="1083"/>
      <c r="T253" s="1083"/>
      <c r="U253" s="1083"/>
      <c r="V253" s="1083"/>
      <c r="W253" s="1083"/>
      <c r="X253" s="1083"/>
      <c r="Y253" s="1083"/>
      <c r="Z253" s="1083"/>
      <c r="AA253" s="1083"/>
      <c r="AB253" s="1083"/>
      <c r="AC253" s="1083"/>
      <c r="AD253" s="1083"/>
      <c r="AE253" s="1083"/>
      <c r="AF253" s="1083"/>
      <c r="AG253" s="1083"/>
      <c r="AH253" s="518"/>
      <c r="AJ253" s="595"/>
    </row>
    <row r="254" spans="1:36" hidden="1" x14ac:dyDescent="0.45">
      <c r="A254" s="518"/>
      <c r="B254" s="862" t="s">
        <v>108</v>
      </c>
      <c r="C254" s="863"/>
      <c r="D254" s="863"/>
      <c r="E254" s="863"/>
      <c r="F254" s="892"/>
      <c r="G254" s="862" t="s">
        <v>1462</v>
      </c>
      <c r="H254" s="892"/>
      <c r="I254" s="1249" t="s">
        <v>1485</v>
      </c>
      <c r="J254" s="1249" t="s">
        <v>1486</v>
      </c>
      <c r="K254" s="1182" t="s">
        <v>91</v>
      </c>
      <c r="L254" s="1059"/>
      <c r="M254" s="1251" t="s">
        <v>109</v>
      </c>
      <c r="N254" s="1251"/>
      <c r="O254" s="1251"/>
      <c r="P254" s="1251"/>
      <c r="Q254" s="862" t="s">
        <v>110</v>
      </c>
      <c r="R254" s="863"/>
      <c r="S254" s="863"/>
      <c r="T254" s="892"/>
      <c r="U254" s="862" t="s">
        <v>111</v>
      </c>
      <c r="V254" s="863"/>
      <c r="W254" s="863"/>
      <c r="X254" s="862" t="s">
        <v>1463</v>
      </c>
      <c r="Y254" s="863"/>
      <c r="Z254" s="892"/>
      <c r="AA254" s="1182" t="s">
        <v>113</v>
      </c>
      <c r="AB254" s="1058"/>
      <c r="AC254" s="1058"/>
      <c r="AD254" s="1059"/>
      <c r="AE254" s="862" t="s">
        <v>114</v>
      </c>
      <c r="AF254" s="892"/>
      <c r="AG254" s="529"/>
      <c r="AH254" s="518"/>
      <c r="AJ254" s="595"/>
    </row>
    <row r="255" spans="1:36" hidden="1" x14ac:dyDescent="0.45">
      <c r="A255" s="518"/>
      <c r="B255" s="864"/>
      <c r="C255" s="865"/>
      <c r="D255" s="865"/>
      <c r="E255" s="865"/>
      <c r="F255" s="893"/>
      <c r="G255" s="864"/>
      <c r="H255" s="893"/>
      <c r="I255" s="1250"/>
      <c r="J255" s="1250"/>
      <c r="K255" s="1060"/>
      <c r="L255" s="1062"/>
      <c r="M255" s="1251"/>
      <c r="N255" s="1251"/>
      <c r="O255" s="1251"/>
      <c r="P255" s="1251"/>
      <c r="Q255" s="864"/>
      <c r="R255" s="865"/>
      <c r="S255" s="865"/>
      <c r="T255" s="893"/>
      <c r="U255" s="864"/>
      <c r="V255" s="865"/>
      <c r="W255" s="865"/>
      <c r="X255" s="864"/>
      <c r="Y255" s="865"/>
      <c r="Z255" s="893"/>
      <c r="AA255" s="1060"/>
      <c r="AB255" s="1061"/>
      <c r="AC255" s="1061"/>
      <c r="AD255" s="1062"/>
      <c r="AE255" s="864"/>
      <c r="AF255" s="893"/>
      <c r="AG255" s="529"/>
      <c r="AH255" s="518"/>
      <c r="AJ255" s="595"/>
    </row>
    <row r="256" spans="1:36" hidden="1" x14ac:dyDescent="0.45">
      <c r="A256" s="518"/>
      <c r="B256" s="514" t="s">
        <v>1405</v>
      </c>
      <c r="C256" s="515"/>
      <c r="D256" s="515"/>
      <c r="E256" s="515"/>
      <c r="F256" s="515"/>
      <c r="G256" s="890" t="str">
        <f>IF(CHMAData!W3=0,"",SUBSTITUTE(SUBSTITUTE(CHMAData!W3,"Acquired and Rehabilitated Housing","A/R"),"Newly Constructed Housing","N/C"))</f>
        <v/>
      </c>
      <c r="H256" s="891"/>
      <c r="I256" s="583" t="str">
        <f>IF(CHMAData!BP3=0,"",LEFT(CHMAData!BP3,1))</f>
        <v/>
      </c>
      <c r="J256" s="584" t="str">
        <f>IF(CHMAData!T3=0,"",LEFT(CHMAData!T3,1))</f>
        <v/>
      </c>
      <c r="K256" s="888">
        <f>CHMAData!AI3</f>
        <v>0</v>
      </c>
      <c r="L256" s="887"/>
      <c r="M256" s="868">
        <f>CHMAData!AJ3</f>
        <v>0</v>
      </c>
      <c r="N256" s="869"/>
      <c r="O256" s="869"/>
      <c r="P256" s="870"/>
      <c r="Q256" s="868">
        <f>CHMAData!AK3</f>
        <v>0</v>
      </c>
      <c r="R256" s="869"/>
      <c r="S256" s="869"/>
      <c r="T256" s="870"/>
      <c r="U256" s="868">
        <f>CHMAData!AL3</f>
        <v>0</v>
      </c>
      <c r="V256" s="869"/>
      <c r="W256" s="870"/>
      <c r="X256" s="868">
        <f>CHMAData!AM3</f>
        <v>0</v>
      </c>
      <c r="Y256" s="869"/>
      <c r="Z256" s="870"/>
      <c r="AA256" s="868">
        <f t="shared" ref="AA256" si="3">SUM(Q256:Z256)</f>
        <v>0</v>
      </c>
      <c r="AB256" s="869"/>
      <c r="AC256" s="869"/>
      <c r="AD256" s="870"/>
      <c r="AE256" s="866">
        <f>CHMAData!AO3</f>
        <v>0</v>
      </c>
      <c r="AF256" s="867"/>
      <c r="AG256" s="529"/>
      <c r="AH256" s="518"/>
      <c r="AJ256" s="595" t="b">
        <f t="shared" ref="AJ256:AJ287" si="4">AND(AJ$249,AA256&gt;0)</f>
        <v>0</v>
      </c>
    </row>
    <row r="257" spans="1:36" hidden="1" x14ac:dyDescent="0.45">
      <c r="A257" s="518"/>
      <c r="B257" s="514" t="s">
        <v>1406</v>
      </c>
      <c r="C257" s="515"/>
      <c r="D257" s="515"/>
      <c r="E257" s="515"/>
      <c r="F257" s="515"/>
      <c r="G257" s="890" t="str">
        <f>IF(CHMAData!W4=0,"",SUBSTITUTE(SUBSTITUTE(CHMAData!W4,"Acquired and Rehabilitated Housing","A/R"),"Newly Constructed Housing","N/C"))</f>
        <v/>
      </c>
      <c r="H257" s="891"/>
      <c r="I257" s="583" t="str">
        <f>IF(CHMAData!BP4=0,"",LEFT(CHMAData!BP4,1))</f>
        <v/>
      </c>
      <c r="J257" s="584" t="str">
        <f>IF(CHMAData!T4=0,"",LEFT(CHMAData!T4,1))</f>
        <v/>
      </c>
      <c r="K257" s="888">
        <f>CHMAData!AI4</f>
        <v>0</v>
      </c>
      <c r="L257" s="887"/>
      <c r="M257" s="868">
        <f>CHMAData!AJ4</f>
        <v>0</v>
      </c>
      <c r="N257" s="869"/>
      <c r="O257" s="869"/>
      <c r="P257" s="870"/>
      <c r="Q257" s="868">
        <f>CHMAData!AK4</f>
        <v>0</v>
      </c>
      <c r="R257" s="869"/>
      <c r="S257" s="869"/>
      <c r="T257" s="870"/>
      <c r="U257" s="868">
        <f>CHMAData!AL4</f>
        <v>0</v>
      </c>
      <c r="V257" s="869"/>
      <c r="W257" s="870"/>
      <c r="X257" s="868">
        <f>CHMAData!AM4</f>
        <v>0</v>
      </c>
      <c r="Y257" s="869"/>
      <c r="Z257" s="870"/>
      <c r="AA257" s="868">
        <f t="shared" ref="AA257:AA313" si="5">SUM(Q257:Z257)</f>
        <v>0</v>
      </c>
      <c r="AB257" s="869"/>
      <c r="AC257" s="869"/>
      <c r="AD257" s="870"/>
      <c r="AE257" s="866">
        <f>CHMAData!AO4</f>
        <v>0</v>
      </c>
      <c r="AF257" s="867"/>
      <c r="AG257" s="529"/>
      <c r="AH257" s="518"/>
      <c r="AJ257" s="595" t="b">
        <f t="shared" si="4"/>
        <v>0</v>
      </c>
    </row>
    <row r="258" spans="1:36" hidden="1" x14ac:dyDescent="0.45">
      <c r="A258" s="518"/>
      <c r="B258" s="514" t="s">
        <v>1407</v>
      </c>
      <c r="C258" s="515"/>
      <c r="D258" s="515"/>
      <c r="E258" s="515"/>
      <c r="F258" s="515"/>
      <c r="G258" s="890" t="str">
        <f>IF(CHMAData!W5=0,"",SUBSTITUTE(SUBSTITUTE(CHMAData!W5,"Acquired and Rehabilitated Housing","A/R"),"Newly Constructed Housing","N/C"))</f>
        <v/>
      </c>
      <c r="H258" s="891"/>
      <c r="I258" s="583" t="str">
        <f>IF(CHMAData!BP5=0,"",LEFT(CHMAData!BP5,1))</f>
        <v/>
      </c>
      <c r="J258" s="584" t="str">
        <f>IF(CHMAData!T5=0,"",LEFT(CHMAData!T5,1))</f>
        <v/>
      </c>
      <c r="K258" s="888">
        <f>CHMAData!AI5</f>
        <v>0</v>
      </c>
      <c r="L258" s="887"/>
      <c r="M258" s="868">
        <f>CHMAData!AJ5</f>
        <v>0</v>
      </c>
      <c r="N258" s="869"/>
      <c r="O258" s="869"/>
      <c r="P258" s="870"/>
      <c r="Q258" s="868">
        <f>CHMAData!AK5</f>
        <v>0</v>
      </c>
      <c r="R258" s="869"/>
      <c r="S258" s="869"/>
      <c r="T258" s="870"/>
      <c r="U258" s="868">
        <f>CHMAData!AL5</f>
        <v>0</v>
      </c>
      <c r="V258" s="869"/>
      <c r="W258" s="870"/>
      <c r="X258" s="868">
        <f>CHMAData!AM5</f>
        <v>0</v>
      </c>
      <c r="Y258" s="869"/>
      <c r="Z258" s="870"/>
      <c r="AA258" s="868">
        <f t="shared" si="5"/>
        <v>0</v>
      </c>
      <c r="AB258" s="869"/>
      <c r="AC258" s="869"/>
      <c r="AD258" s="870"/>
      <c r="AE258" s="866">
        <f>CHMAData!AO5</f>
        <v>0</v>
      </c>
      <c r="AF258" s="867"/>
      <c r="AG258" s="529"/>
      <c r="AH258" s="518"/>
      <c r="AJ258" s="595" t="b">
        <f t="shared" si="4"/>
        <v>0</v>
      </c>
    </row>
    <row r="259" spans="1:36" hidden="1" x14ac:dyDescent="0.45">
      <c r="A259" s="518"/>
      <c r="B259" s="514" t="s">
        <v>1408</v>
      </c>
      <c r="C259" s="515"/>
      <c r="D259" s="515"/>
      <c r="E259" s="515"/>
      <c r="F259" s="515"/>
      <c r="G259" s="890" t="str">
        <f>IF(CHMAData!W6=0,"",SUBSTITUTE(SUBSTITUTE(CHMAData!W6,"Acquired and Rehabilitated Housing","A/R"),"Newly Constructed Housing","N/C"))</f>
        <v/>
      </c>
      <c r="H259" s="891"/>
      <c r="I259" s="583" t="str">
        <f>IF(CHMAData!BP6=0,"",LEFT(CHMAData!BP6,1))</f>
        <v/>
      </c>
      <c r="J259" s="584" t="str">
        <f>IF(CHMAData!T6=0,"",LEFT(CHMAData!T6,1))</f>
        <v/>
      </c>
      <c r="K259" s="888">
        <f>CHMAData!AI6</f>
        <v>0</v>
      </c>
      <c r="L259" s="887"/>
      <c r="M259" s="868">
        <f>CHMAData!AJ6</f>
        <v>0</v>
      </c>
      <c r="N259" s="869"/>
      <c r="O259" s="869"/>
      <c r="P259" s="870"/>
      <c r="Q259" s="868">
        <f>CHMAData!AK6</f>
        <v>0</v>
      </c>
      <c r="R259" s="869"/>
      <c r="S259" s="869"/>
      <c r="T259" s="870"/>
      <c r="U259" s="868">
        <f>CHMAData!AL6</f>
        <v>0</v>
      </c>
      <c r="V259" s="869"/>
      <c r="W259" s="870"/>
      <c r="X259" s="868">
        <f>CHMAData!AM6</f>
        <v>0</v>
      </c>
      <c r="Y259" s="869"/>
      <c r="Z259" s="870"/>
      <c r="AA259" s="868">
        <f t="shared" si="5"/>
        <v>0</v>
      </c>
      <c r="AB259" s="869"/>
      <c r="AC259" s="869"/>
      <c r="AD259" s="870"/>
      <c r="AE259" s="866">
        <f>CHMAData!AO6</f>
        <v>0</v>
      </c>
      <c r="AF259" s="867"/>
      <c r="AG259" s="529"/>
      <c r="AH259" s="518"/>
      <c r="AJ259" s="595" t="b">
        <f t="shared" si="4"/>
        <v>0</v>
      </c>
    </row>
    <row r="260" spans="1:36" hidden="1" x14ac:dyDescent="0.45">
      <c r="A260" s="518"/>
      <c r="B260" s="514" t="s">
        <v>1409</v>
      </c>
      <c r="C260" s="515"/>
      <c r="D260" s="515"/>
      <c r="E260" s="515"/>
      <c r="F260" s="515"/>
      <c r="G260" s="890" t="str">
        <f>IF(CHMAData!W7=0,"",SUBSTITUTE(SUBSTITUTE(CHMAData!W7,"Acquired and Rehabilitated Housing","A/R"),"Newly Constructed Housing","N/C"))</f>
        <v/>
      </c>
      <c r="H260" s="891"/>
      <c r="I260" s="583" t="str">
        <f>IF(CHMAData!BP7=0,"",LEFT(CHMAData!BP7,1))</f>
        <v/>
      </c>
      <c r="J260" s="584" t="str">
        <f>IF(CHMAData!T7=0,"",LEFT(CHMAData!T7,1))</f>
        <v/>
      </c>
      <c r="K260" s="888">
        <f>CHMAData!AI7</f>
        <v>0</v>
      </c>
      <c r="L260" s="887"/>
      <c r="M260" s="868">
        <f>CHMAData!AJ7</f>
        <v>0</v>
      </c>
      <c r="N260" s="869"/>
      <c r="O260" s="869"/>
      <c r="P260" s="870"/>
      <c r="Q260" s="868">
        <f>CHMAData!AK7</f>
        <v>0</v>
      </c>
      <c r="R260" s="869"/>
      <c r="S260" s="869"/>
      <c r="T260" s="870"/>
      <c r="U260" s="868">
        <f>CHMAData!AL7</f>
        <v>0</v>
      </c>
      <c r="V260" s="869"/>
      <c r="W260" s="870"/>
      <c r="X260" s="868">
        <f>CHMAData!AM7</f>
        <v>0</v>
      </c>
      <c r="Y260" s="869"/>
      <c r="Z260" s="870"/>
      <c r="AA260" s="868">
        <f t="shared" si="5"/>
        <v>0</v>
      </c>
      <c r="AB260" s="869"/>
      <c r="AC260" s="869"/>
      <c r="AD260" s="870"/>
      <c r="AE260" s="866">
        <f>CHMAData!AO7</f>
        <v>0</v>
      </c>
      <c r="AF260" s="867"/>
      <c r="AG260" s="529"/>
      <c r="AH260" s="518"/>
      <c r="AJ260" s="595" t="b">
        <f t="shared" si="4"/>
        <v>0</v>
      </c>
    </row>
    <row r="261" spans="1:36" hidden="1" x14ac:dyDescent="0.45">
      <c r="A261" s="518"/>
      <c r="B261" s="514" t="s">
        <v>1410</v>
      </c>
      <c r="C261" s="515"/>
      <c r="D261" s="515"/>
      <c r="E261" s="515"/>
      <c r="F261" s="515"/>
      <c r="G261" s="890" t="str">
        <f>IF(CHMAData!W8=0,"",SUBSTITUTE(SUBSTITUTE(CHMAData!W8,"Acquired and Rehabilitated Housing","A/R"),"Newly Constructed Housing","N/C"))</f>
        <v/>
      </c>
      <c r="H261" s="891"/>
      <c r="I261" s="583" t="str">
        <f>IF(CHMAData!BP8=0,"",LEFT(CHMAData!BP8,1))</f>
        <v/>
      </c>
      <c r="J261" s="584" t="str">
        <f>IF(CHMAData!T8=0,"",LEFT(CHMAData!T8,1))</f>
        <v/>
      </c>
      <c r="K261" s="888">
        <f>CHMAData!AI8</f>
        <v>0</v>
      </c>
      <c r="L261" s="887"/>
      <c r="M261" s="868">
        <f>CHMAData!AJ8</f>
        <v>0</v>
      </c>
      <c r="N261" s="869"/>
      <c r="O261" s="869"/>
      <c r="P261" s="870"/>
      <c r="Q261" s="868">
        <f>CHMAData!AK8</f>
        <v>0</v>
      </c>
      <c r="R261" s="869"/>
      <c r="S261" s="869"/>
      <c r="T261" s="870"/>
      <c r="U261" s="868">
        <f>CHMAData!AL8</f>
        <v>0</v>
      </c>
      <c r="V261" s="869"/>
      <c r="W261" s="870"/>
      <c r="X261" s="868">
        <f>CHMAData!AM8</f>
        <v>0</v>
      </c>
      <c r="Y261" s="869"/>
      <c r="Z261" s="870"/>
      <c r="AA261" s="868">
        <f t="shared" si="5"/>
        <v>0</v>
      </c>
      <c r="AB261" s="869"/>
      <c r="AC261" s="869"/>
      <c r="AD261" s="870"/>
      <c r="AE261" s="866">
        <f>CHMAData!AO8</f>
        <v>0</v>
      </c>
      <c r="AF261" s="867"/>
      <c r="AG261" s="529"/>
      <c r="AH261" s="518"/>
      <c r="AJ261" s="595" t="b">
        <f t="shared" si="4"/>
        <v>0</v>
      </c>
    </row>
    <row r="262" spans="1:36" hidden="1" x14ac:dyDescent="0.45">
      <c r="A262" s="518"/>
      <c r="B262" s="514" t="s">
        <v>1411</v>
      </c>
      <c r="C262" s="515"/>
      <c r="D262" s="515"/>
      <c r="E262" s="515"/>
      <c r="F262" s="515"/>
      <c r="G262" s="890" t="str">
        <f>IF(CHMAData!W9=0,"",SUBSTITUTE(SUBSTITUTE(CHMAData!W9,"Acquired and Rehabilitated Housing","A/R"),"Newly Constructed Housing","N/C"))</f>
        <v/>
      </c>
      <c r="H262" s="891"/>
      <c r="I262" s="583" t="str">
        <f>IF(CHMAData!BP9=0,"",LEFT(CHMAData!BP9,1))</f>
        <v/>
      </c>
      <c r="J262" s="584" t="str">
        <f>IF(CHMAData!T9=0,"",LEFT(CHMAData!T9,1))</f>
        <v/>
      </c>
      <c r="K262" s="888">
        <f>CHMAData!AI9</f>
        <v>0</v>
      </c>
      <c r="L262" s="887"/>
      <c r="M262" s="868">
        <f>CHMAData!AJ9</f>
        <v>0</v>
      </c>
      <c r="N262" s="869"/>
      <c r="O262" s="869"/>
      <c r="P262" s="870"/>
      <c r="Q262" s="868">
        <f>CHMAData!AK9</f>
        <v>0</v>
      </c>
      <c r="R262" s="869"/>
      <c r="S262" s="869"/>
      <c r="T262" s="870"/>
      <c r="U262" s="868">
        <f>CHMAData!AL9</f>
        <v>0</v>
      </c>
      <c r="V262" s="869"/>
      <c r="W262" s="870"/>
      <c r="X262" s="868">
        <f>CHMAData!AM9</f>
        <v>0</v>
      </c>
      <c r="Y262" s="869"/>
      <c r="Z262" s="870"/>
      <c r="AA262" s="868">
        <f t="shared" si="5"/>
        <v>0</v>
      </c>
      <c r="AB262" s="869"/>
      <c r="AC262" s="869"/>
      <c r="AD262" s="870"/>
      <c r="AE262" s="866">
        <f>CHMAData!AO9</f>
        <v>0</v>
      </c>
      <c r="AF262" s="867"/>
      <c r="AG262" s="529"/>
      <c r="AH262" s="518"/>
      <c r="AJ262" s="595" t="b">
        <f t="shared" si="4"/>
        <v>0</v>
      </c>
    </row>
    <row r="263" spans="1:36" hidden="1" x14ac:dyDescent="0.45">
      <c r="A263" s="518"/>
      <c r="B263" s="514" t="s">
        <v>1412</v>
      </c>
      <c r="C263" s="515"/>
      <c r="D263" s="515"/>
      <c r="E263" s="515"/>
      <c r="F263" s="515"/>
      <c r="G263" s="890" t="str">
        <f>IF(CHMAData!W10=0,"",SUBSTITUTE(SUBSTITUTE(CHMAData!W10,"Acquired and Rehabilitated Housing","A/R"),"Newly Constructed Housing","N/C"))</f>
        <v/>
      </c>
      <c r="H263" s="891"/>
      <c r="I263" s="583" t="str">
        <f>IF(CHMAData!BP10=0,"",LEFT(CHMAData!BP10,1))</f>
        <v/>
      </c>
      <c r="J263" s="584" t="str">
        <f>IF(CHMAData!T10=0,"",LEFT(CHMAData!T10,1))</f>
        <v/>
      </c>
      <c r="K263" s="888">
        <f>CHMAData!AI10</f>
        <v>0</v>
      </c>
      <c r="L263" s="887"/>
      <c r="M263" s="868">
        <f>CHMAData!AJ10</f>
        <v>0</v>
      </c>
      <c r="N263" s="869"/>
      <c r="O263" s="869"/>
      <c r="P263" s="870"/>
      <c r="Q263" s="868">
        <f>CHMAData!AK10</f>
        <v>0</v>
      </c>
      <c r="R263" s="869"/>
      <c r="S263" s="869"/>
      <c r="T263" s="870"/>
      <c r="U263" s="868">
        <f>CHMAData!AL10</f>
        <v>0</v>
      </c>
      <c r="V263" s="869"/>
      <c r="W263" s="870"/>
      <c r="X263" s="868">
        <f>CHMAData!AM10</f>
        <v>0</v>
      </c>
      <c r="Y263" s="869"/>
      <c r="Z263" s="870"/>
      <c r="AA263" s="868">
        <f t="shared" si="5"/>
        <v>0</v>
      </c>
      <c r="AB263" s="869"/>
      <c r="AC263" s="869"/>
      <c r="AD263" s="870"/>
      <c r="AE263" s="866">
        <f>CHMAData!AO10</f>
        <v>0</v>
      </c>
      <c r="AF263" s="867"/>
      <c r="AG263" s="529"/>
      <c r="AH263" s="518"/>
      <c r="AJ263" s="595" t="b">
        <f t="shared" si="4"/>
        <v>0</v>
      </c>
    </row>
    <row r="264" spans="1:36" hidden="1" x14ac:dyDescent="0.45">
      <c r="A264" s="518"/>
      <c r="B264" s="514" t="s">
        <v>1413</v>
      </c>
      <c r="C264" s="515"/>
      <c r="D264" s="515"/>
      <c r="E264" s="515"/>
      <c r="F264" s="515"/>
      <c r="G264" s="890" t="str">
        <f>IF(CHMAData!W11=0,"",SUBSTITUTE(SUBSTITUTE(CHMAData!W11,"Acquired and Rehabilitated Housing","A/R"),"Newly Constructed Housing","N/C"))</f>
        <v/>
      </c>
      <c r="H264" s="891"/>
      <c r="I264" s="583" t="str">
        <f>IF(CHMAData!BP11=0,"",LEFT(CHMAData!BP11,1))</f>
        <v/>
      </c>
      <c r="J264" s="584" t="str">
        <f>IF(CHMAData!T11=0,"",LEFT(CHMAData!T11,1))</f>
        <v/>
      </c>
      <c r="K264" s="888">
        <f>CHMAData!AI11</f>
        <v>0</v>
      </c>
      <c r="L264" s="887"/>
      <c r="M264" s="868">
        <f>CHMAData!AJ11</f>
        <v>0</v>
      </c>
      <c r="N264" s="869"/>
      <c r="O264" s="869"/>
      <c r="P264" s="870"/>
      <c r="Q264" s="868">
        <f>CHMAData!AK11</f>
        <v>0</v>
      </c>
      <c r="R264" s="869"/>
      <c r="S264" s="869"/>
      <c r="T264" s="870"/>
      <c r="U264" s="868">
        <f>CHMAData!AL11</f>
        <v>0</v>
      </c>
      <c r="V264" s="869"/>
      <c r="W264" s="870"/>
      <c r="X264" s="868">
        <f>CHMAData!AM11</f>
        <v>0</v>
      </c>
      <c r="Y264" s="869"/>
      <c r="Z264" s="870"/>
      <c r="AA264" s="868">
        <f t="shared" si="5"/>
        <v>0</v>
      </c>
      <c r="AB264" s="869"/>
      <c r="AC264" s="869"/>
      <c r="AD264" s="870"/>
      <c r="AE264" s="866">
        <f>CHMAData!AO11</f>
        <v>0</v>
      </c>
      <c r="AF264" s="867"/>
      <c r="AG264" s="529"/>
      <c r="AH264" s="518"/>
      <c r="AJ264" s="595" t="b">
        <f t="shared" si="4"/>
        <v>0</v>
      </c>
    </row>
    <row r="265" spans="1:36" hidden="1" x14ac:dyDescent="0.45">
      <c r="A265" s="518"/>
      <c r="B265" s="514" t="s">
        <v>1414</v>
      </c>
      <c r="C265" s="515"/>
      <c r="D265" s="515"/>
      <c r="E265" s="515"/>
      <c r="F265" s="515"/>
      <c r="G265" s="890" t="str">
        <f>IF(CHMAData!W12=0,"",SUBSTITUTE(SUBSTITUTE(CHMAData!W12,"Acquired and Rehabilitated Housing","A/R"),"Newly Constructed Housing","N/C"))</f>
        <v/>
      </c>
      <c r="H265" s="891"/>
      <c r="I265" s="583" t="str">
        <f>IF(CHMAData!BP12=0,"",LEFT(CHMAData!BP12,1))</f>
        <v/>
      </c>
      <c r="J265" s="584" t="str">
        <f>IF(CHMAData!T12=0,"",LEFT(CHMAData!T12,1))</f>
        <v/>
      </c>
      <c r="K265" s="888">
        <f>CHMAData!AI12</f>
        <v>0</v>
      </c>
      <c r="L265" s="887"/>
      <c r="M265" s="868">
        <f>CHMAData!AJ12</f>
        <v>0</v>
      </c>
      <c r="N265" s="869"/>
      <c r="O265" s="869"/>
      <c r="P265" s="870"/>
      <c r="Q265" s="868">
        <f>CHMAData!AK12</f>
        <v>0</v>
      </c>
      <c r="R265" s="869"/>
      <c r="S265" s="869"/>
      <c r="T265" s="870"/>
      <c r="U265" s="868">
        <f>CHMAData!AL12</f>
        <v>0</v>
      </c>
      <c r="V265" s="869"/>
      <c r="W265" s="870"/>
      <c r="X265" s="868">
        <f>CHMAData!AM12</f>
        <v>0</v>
      </c>
      <c r="Y265" s="869"/>
      <c r="Z265" s="870"/>
      <c r="AA265" s="868">
        <f t="shared" si="5"/>
        <v>0</v>
      </c>
      <c r="AB265" s="869"/>
      <c r="AC265" s="869"/>
      <c r="AD265" s="870"/>
      <c r="AE265" s="866">
        <f>CHMAData!AO12</f>
        <v>0</v>
      </c>
      <c r="AF265" s="867"/>
      <c r="AG265" s="529"/>
      <c r="AH265" s="518"/>
      <c r="AJ265" s="595" t="b">
        <f t="shared" si="4"/>
        <v>0</v>
      </c>
    </row>
    <row r="266" spans="1:36" hidden="1" x14ac:dyDescent="0.45">
      <c r="A266" s="518"/>
      <c r="B266" s="514" t="s">
        <v>1415</v>
      </c>
      <c r="C266" s="515"/>
      <c r="D266" s="515"/>
      <c r="E266" s="515"/>
      <c r="F266" s="515"/>
      <c r="G266" s="890" t="str">
        <f>IF(CHMAData!W13=0,"",SUBSTITUTE(SUBSTITUTE(CHMAData!W13,"Acquired and Rehabilitated Housing","A/R"),"Newly Constructed Housing","N/C"))</f>
        <v/>
      </c>
      <c r="H266" s="891"/>
      <c r="I266" s="583" t="str">
        <f>IF(CHMAData!BP13=0,"",LEFT(CHMAData!BP13,1))</f>
        <v/>
      </c>
      <c r="J266" s="584" t="str">
        <f>IF(CHMAData!T13=0,"",LEFT(CHMAData!T13,1))</f>
        <v/>
      </c>
      <c r="K266" s="888">
        <f>CHMAData!AI13</f>
        <v>0</v>
      </c>
      <c r="L266" s="887"/>
      <c r="M266" s="868">
        <f>CHMAData!AJ13</f>
        <v>0</v>
      </c>
      <c r="N266" s="869"/>
      <c r="O266" s="869"/>
      <c r="P266" s="870"/>
      <c r="Q266" s="868">
        <f>CHMAData!AK13</f>
        <v>0</v>
      </c>
      <c r="R266" s="869"/>
      <c r="S266" s="869"/>
      <c r="T266" s="870"/>
      <c r="U266" s="868">
        <f>CHMAData!AL13</f>
        <v>0</v>
      </c>
      <c r="V266" s="869"/>
      <c r="W266" s="870"/>
      <c r="X266" s="868">
        <f>CHMAData!AM13</f>
        <v>0</v>
      </c>
      <c r="Y266" s="869"/>
      <c r="Z266" s="870"/>
      <c r="AA266" s="868">
        <f t="shared" si="5"/>
        <v>0</v>
      </c>
      <c r="AB266" s="869"/>
      <c r="AC266" s="869"/>
      <c r="AD266" s="870"/>
      <c r="AE266" s="866">
        <f>CHMAData!AO13</f>
        <v>0</v>
      </c>
      <c r="AF266" s="867"/>
      <c r="AG266" s="529"/>
      <c r="AH266" s="518"/>
      <c r="AJ266" s="595" t="b">
        <f t="shared" si="4"/>
        <v>0</v>
      </c>
    </row>
    <row r="267" spans="1:36" hidden="1" x14ac:dyDescent="0.45">
      <c r="A267" s="518"/>
      <c r="B267" s="514" t="s">
        <v>1416</v>
      </c>
      <c r="C267" s="515"/>
      <c r="D267" s="515"/>
      <c r="E267" s="515"/>
      <c r="F267" s="515"/>
      <c r="G267" s="890" t="str">
        <f>IF(CHMAData!W14=0,"",SUBSTITUTE(SUBSTITUTE(CHMAData!W14,"Acquired and Rehabilitated Housing","A/R"),"Newly Constructed Housing","N/C"))</f>
        <v/>
      </c>
      <c r="H267" s="891"/>
      <c r="I267" s="583" t="str">
        <f>IF(CHMAData!BP14=0,"",LEFT(CHMAData!BP14,1))</f>
        <v/>
      </c>
      <c r="J267" s="584" t="str">
        <f>IF(CHMAData!T14=0,"",LEFT(CHMAData!T14,1))</f>
        <v/>
      </c>
      <c r="K267" s="888">
        <f>CHMAData!AI14</f>
        <v>0</v>
      </c>
      <c r="L267" s="887"/>
      <c r="M267" s="868">
        <f>CHMAData!AJ14</f>
        <v>0</v>
      </c>
      <c r="N267" s="869"/>
      <c r="O267" s="869"/>
      <c r="P267" s="870"/>
      <c r="Q267" s="868">
        <f>CHMAData!AK14</f>
        <v>0</v>
      </c>
      <c r="R267" s="869"/>
      <c r="S267" s="869"/>
      <c r="T267" s="870"/>
      <c r="U267" s="868">
        <f>CHMAData!AL14</f>
        <v>0</v>
      </c>
      <c r="V267" s="869"/>
      <c r="W267" s="870"/>
      <c r="X267" s="868">
        <f>CHMAData!AM14</f>
        <v>0</v>
      </c>
      <c r="Y267" s="869"/>
      <c r="Z267" s="870"/>
      <c r="AA267" s="868">
        <f t="shared" si="5"/>
        <v>0</v>
      </c>
      <c r="AB267" s="869"/>
      <c r="AC267" s="869"/>
      <c r="AD267" s="870"/>
      <c r="AE267" s="866">
        <f>CHMAData!AO14</f>
        <v>0</v>
      </c>
      <c r="AF267" s="867"/>
      <c r="AG267" s="529"/>
      <c r="AH267" s="518"/>
      <c r="AJ267" s="595" t="b">
        <f t="shared" si="4"/>
        <v>0</v>
      </c>
    </row>
    <row r="268" spans="1:36" hidden="1" x14ac:dyDescent="0.45">
      <c r="A268" s="518"/>
      <c r="B268" s="514" t="s">
        <v>1417</v>
      </c>
      <c r="C268" s="515"/>
      <c r="D268" s="515"/>
      <c r="E268" s="515"/>
      <c r="F268" s="515"/>
      <c r="G268" s="890" t="str">
        <f>IF(CHMAData!W15=0,"",SUBSTITUTE(SUBSTITUTE(CHMAData!W15,"Acquired and Rehabilitated Housing","A/R"),"Newly Constructed Housing","N/C"))</f>
        <v/>
      </c>
      <c r="H268" s="891"/>
      <c r="I268" s="583" t="str">
        <f>IF(CHMAData!BP15=0,"",LEFT(CHMAData!BP15,1))</f>
        <v/>
      </c>
      <c r="J268" s="584" t="str">
        <f>IF(CHMAData!T15=0,"",LEFT(CHMAData!T15,1))</f>
        <v/>
      </c>
      <c r="K268" s="888">
        <f>CHMAData!AI15</f>
        <v>0</v>
      </c>
      <c r="L268" s="887"/>
      <c r="M268" s="868">
        <f>CHMAData!AJ15</f>
        <v>0</v>
      </c>
      <c r="N268" s="869"/>
      <c r="O268" s="869"/>
      <c r="P268" s="870"/>
      <c r="Q268" s="868">
        <f>CHMAData!AK15</f>
        <v>0</v>
      </c>
      <c r="R268" s="869"/>
      <c r="S268" s="869"/>
      <c r="T268" s="870"/>
      <c r="U268" s="868">
        <f>CHMAData!AL15</f>
        <v>0</v>
      </c>
      <c r="V268" s="869"/>
      <c r="W268" s="870"/>
      <c r="X268" s="868">
        <f>CHMAData!AM15</f>
        <v>0</v>
      </c>
      <c r="Y268" s="869"/>
      <c r="Z268" s="870"/>
      <c r="AA268" s="868">
        <f t="shared" si="5"/>
        <v>0</v>
      </c>
      <c r="AB268" s="869"/>
      <c r="AC268" s="869"/>
      <c r="AD268" s="870"/>
      <c r="AE268" s="866">
        <f>CHMAData!AO15</f>
        <v>0</v>
      </c>
      <c r="AF268" s="867"/>
      <c r="AG268" s="529"/>
      <c r="AH268" s="518"/>
      <c r="AJ268" s="595" t="b">
        <f t="shared" si="4"/>
        <v>0</v>
      </c>
    </row>
    <row r="269" spans="1:36" hidden="1" x14ac:dyDescent="0.45">
      <c r="A269" s="518"/>
      <c r="B269" s="514" t="s">
        <v>1418</v>
      </c>
      <c r="C269" s="515"/>
      <c r="D269" s="515"/>
      <c r="E269" s="515"/>
      <c r="F269" s="515"/>
      <c r="G269" s="890" t="str">
        <f>IF(CHMAData!W16=0,"",SUBSTITUTE(SUBSTITUTE(CHMAData!W16,"Acquired and Rehabilitated Housing","A/R"),"Newly Constructed Housing","N/C"))</f>
        <v/>
      </c>
      <c r="H269" s="891"/>
      <c r="I269" s="583" t="str">
        <f>IF(CHMAData!BP16=0,"",LEFT(CHMAData!BP16,1))</f>
        <v/>
      </c>
      <c r="J269" s="584" t="str">
        <f>IF(CHMAData!T16=0,"",LEFT(CHMAData!T16,1))</f>
        <v/>
      </c>
      <c r="K269" s="888">
        <f>CHMAData!AI16</f>
        <v>0</v>
      </c>
      <c r="L269" s="887"/>
      <c r="M269" s="868">
        <f>CHMAData!AJ16</f>
        <v>0</v>
      </c>
      <c r="N269" s="869"/>
      <c r="O269" s="869"/>
      <c r="P269" s="870"/>
      <c r="Q269" s="868">
        <f>CHMAData!AK16</f>
        <v>0</v>
      </c>
      <c r="R269" s="869"/>
      <c r="S269" s="869"/>
      <c r="T269" s="870"/>
      <c r="U269" s="868">
        <f>CHMAData!AL16</f>
        <v>0</v>
      </c>
      <c r="V269" s="869"/>
      <c r="W269" s="870"/>
      <c r="X269" s="868">
        <f>CHMAData!AM16</f>
        <v>0</v>
      </c>
      <c r="Y269" s="869"/>
      <c r="Z269" s="870"/>
      <c r="AA269" s="868">
        <f t="shared" si="5"/>
        <v>0</v>
      </c>
      <c r="AB269" s="869"/>
      <c r="AC269" s="869"/>
      <c r="AD269" s="870"/>
      <c r="AE269" s="866">
        <f>CHMAData!AO16</f>
        <v>0</v>
      </c>
      <c r="AF269" s="867"/>
      <c r="AG269" s="529"/>
      <c r="AH269" s="518"/>
      <c r="AJ269" s="595" t="b">
        <f t="shared" si="4"/>
        <v>0</v>
      </c>
    </row>
    <row r="270" spans="1:36" hidden="1" x14ac:dyDescent="0.45">
      <c r="A270" s="518"/>
      <c r="B270" s="514" t="s">
        <v>1419</v>
      </c>
      <c r="C270" s="515"/>
      <c r="D270" s="515"/>
      <c r="E270" s="515"/>
      <c r="F270" s="515"/>
      <c r="G270" s="890" t="str">
        <f>IF(CHMAData!W17=0,"",SUBSTITUTE(SUBSTITUTE(CHMAData!W17,"Acquired and Rehabilitated Housing","A/R"),"Newly Constructed Housing","N/C"))</f>
        <v/>
      </c>
      <c r="H270" s="891"/>
      <c r="I270" s="583" t="str">
        <f>IF(CHMAData!BP17=0,"",LEFT(CHMAData!BP17,1))</f>
        <v/>
      </c>
      <c r="J270" s="584" t="str">
        <f>IF(CHMAData!T17=0,"",LEFT(CHMAData!T17,1))</f>
        <v/>
      </c>
      <c r="K270" s="888">
        <f>CHMAData!AI17</f>
        <v>0</v>
      </c>
      <c r="L270" s="887"/>
      <c r="M270" s="868">
        <f>CHMAData!AJ17</f>
        <v>0</v>
      </c>
      <c r="N270" s="869"/>
      <c r="O270" s="869"/>
      <c r="P270" s="870"/>
      <c r="Q270" s="868">
        <f>CHMAData!AK17</f>
        <v>0</v>
      </c>
      <c r="R270" s="869"/>
      <c r="S270" s="869"/>
      <c r="T270" s="870"/>
      <c r="U270" s="868">
        <f>CHMAData!AL17</f>
        <v>0</v>
      </c>
      <c r="V270" s="869"/>
      <c r="W270" s="870"/>
      <c r="X270" s="868">
        <f>CHMAData!AM17</f>
        <v>0</v>
      </c>
      <c r="Y270" s="869"/>
      <c r="Z270" s="870"/>
      <c r="AA270" s="868">
        <f t="shared" si="5"/>
        <v>0</v>
      </c>
      <c r="AB270" s="869"/>
      <c r="AC270" s="869"/>
      <c r="AD270" s="870"/>
      <c r="AE270" s="866">
        <f>CHMAData!AO17</f>
        <v>0</v>
      </c>
      <c r="AF270" s="867"/>
      <c r="AG270" s="529"/>
      <c r="AH270" s="518"/>
      <c r="AJ270" s="595" t="b">
        <f t="shared" si="4"/>
        <v>0</v>
      </c>
    </row>
    <row r="271" spans="1:36" hidden="1" x14ac:dyDescent="0.45">
      <c r="A271" s="518"/>
      <c r="B271" s="514" t="s">
        <v>1420</v>
      </c>
      <c r="C271" s="515"/>
      <c r="D271" s="515"/>
      <c r="E271" s="515"/>
      <c r="F271" s="515"/>
      <c r="G271" s="890" t="str">
        <f>IF(CHMAData!W18=0,"",SUBSTITUTE(SUBSTITUTE(CHMAData!W18,"Acquired and Rehabilitated Housing","A/R"),"Newly Constructed Housing","N/C"))</f>
        <v/>
      </c>
      <c r="H271" s="891"/>
      <c r="I271" s="583" t="str">
        <f>IF(CHMAData!BP18=0,"",LEFT(CHMAData!BP18,1))</f>
        <v/>
      </c>
      <c r="J271" s="584" t="str">
        <f>IF(CHMAData!T18=0,"",LEFT(CHMAData!T18,1))</f>
        <v/>
      </c>
      <c r="K271" s="888">
        <f>CHMAData!AI18</f>
        <v>0</v>
      </c>
      <c r="L271" s="887"/>
      <c r="M271" s="868">
        <f>CHMAData!AJ18</f>
        <v>0</v>
      </c>
      <c r="N271" s="869"/>
      <c r="O271" s="869"/>
      <c r="P271" s="870"/>
      <c r="Q271" s="868">
        <f>CHMAData!AK18</f>
        <v>0</v>
      </c>
      <c r="R271" s="869"/>
      <c r="S271" s="869"/>
      <c r="T271" s="870"/>
      <c r="U271" s="868">
        <f>CHMAData!AL18</f>
        <v>0</v>
      </c>
      <c r="V271" s="869"/>
      <c r="W271" s="870"/>
      <c r="X271" s="868">
        <f>CHMAData!AM18</f>
        <v>0</v>
      </c>
      <c r="Y271" s="869"/>
      <c r="Z271" s="870"/>
      <c r="AA271" s="868">
        <f t="shared" si="5"/>
        <v>0</v>
      </c>
      <c r="AB271" s="869"/>
      <c r="AC271" s="869"/>
      <c r="AD271" s="870"/>
      <c r="AE271" s="866">
        <f>CHMAData!AO18</f>
        <v>0</v>
      </c>
      <c r="AF271" s="867"/>
      <c r="AG271" s="529"/>
      <c r="AH271" s="518"/>
      <c r="AJ271" s="595" t="b">
        <f t="shared" si="4"/>
        <v>0</v>
      </c>
    </row>
    <row r="272" spans="1:36" hidden="1" x14ac:dyDescent="0.45">
      <c r="A272" s="518"/>
      <c r="B272" s="514" t="s">
        <v>1421</v>
      </c>
      <c r="C272" s="515"/>
      <c r="D272" s="515"/>
      <c r="E272" s="515"/>
      <c r="F272" s="515"/>
      <c r="G272" s="890" t="str">
        <f>IF(CHMAData!W19=0,"",SUBSTITUTE(SUBSTITUTE(CHMAData!W19,"Acquired and Rehabilitated Housing","A/R"),"Newly Constructed Housing","N/C"))</f>
        <v/>
      </c>
      <c r="H272" s="891"/>
      <c r="I272" s="583" t="str">
        <f>IF(CHMAData!BP19=0,"",LEFT(CHMAData!BP19,1))</f>
        <v/>
      </c>
      <c r="J272" s="584" t="str">
        <f>IF(CHMAData!T19=0,"",LEFT(CHMAData!T19,1))</f>
        <v/>
      </c>
      <c r="K272" s="888">
        <f>CHMAData!AI19</f>
        <v>0</v>
      </c>
      <c r="L272" s="887"/>
      <c r="M272" s="868">
        <f>CHMAData!AJ19</f>
        <v>0</v>
      </c>
      <c r="N272" s="869"/>
      <c r="O272" s="869"/>
      <c r="P272" s="870"/>
      <c r="Q272" s="868">
        <f>CHMAData!AK19</f>
        <v>0</v>
      </c>
      <c r="R272" s="869"/>
      <c r="S272" s="869"/>
      <c r="T272" s="870"/>
      <c r="U272" s="868">
        <f>CHMAData!AL19</f>
        <v>0</v>
      </c>
      <c r="V272" s="869"/>
      <c r="W272" s="870"/>
      <c r="X272" s="868">
        <f>CHMAData!AM19</f>
        <v>0</v>
      </c>
      <c r="Y272" s="869"/>
      <c r="Z272" s="870"/>
      <c r="AA272" s="868">
        <f t="shared" si="5"/>
        <v>0</v>
      </c>
      <c r="AB272" s="869"/>
      <c r="AC272" s="869"/>
      <c r="AD272" s="870"/>
      <c r="AE272" s="866">
        <f>CHMAData!AO19</f>
        <v>0</v>
      </c>
      <c r="AF272" s="867"/>
      <c r="AG272" s="529"/>
      <c r="AH272" s="518"/>
      <c r="AJ272" s="595" t="b">
        <f t="shared" si="4"/>
        <v>0</v>
      </c>
    </row>
    <row r="273" spans="1:36" hidden="1" x14ac:dyDescent="0.45">
      <c r="A273" s="518"/>
      <c r="B273" s="514" t="s">
        <v>1422</v>
      </c>
      <c r="C273" s="515"/>
      <c r="D273" s="515"/>
      <c r="E273" s="515"/>
      <c r="F273" s="515"/>
      <c r="G273" s="890" t="str">
        <f>IF(CHMAData!W20=0,"",SUBSTITUTE(SUBSTITUTE(CHMAData!W20,"Acquired and Rehabilitated Housing","A/R"),"Newly Constructed Housing","N/C"))</f>
        <v/>
      </c>
      <c r="H273" s="891"/>
      <c r="I273" s="583" t="str">
        <f>IF(CHMAData!BP20=0,"",LEFT(CHMAData!BP20,1))</f>
        <v/>
      </c>
      <c r="J273" s="584" t="str">
        <f>IF(CHMAData!T20=0,"",LEFT(CHMAData!T20,1))</f>
        <v/>
      </c>
      <c r="K273" s="888">
        <f>CHMAData!AI20</f>
        <v>0</v>
      </c>
      <c r="L273" s="887"/>
      <c r="M273" s="868">
        <f>CHMAData!AJ20</f>
        <v>0</v>
      </c>
      <c r="N273" s="869"/>
      <c r="O273" s="869"/>
      <c r="P273" s="870"/>
      <c r="Q273" s="868">
        <f>CHMAData!AK20</f>
        <v>0</v>
      </c>
      <c r="R273" s="869"/>
      <c r="S273" s="869"/>
      <c r="T273" s="870"/>
      <c r="U273" s="868">
        <f>CHMAData!AL20</f>
        <v>0</v>
      </c>
      <c r="V273" s="869"/>
      <c r="W273" s="870"/>
      <c r="X273" s="868">
        <f>CHMAData!AM20</f>
        <v>0</v>
      </c>
      <c r="Y273" s="869"/>
      <c r="Z273" s="870"/>
      <c r="AA273" s="868">
        <f t="shared" si="5"/>
        <v>0</v>
      </c>
      <c r="AB273" s="869"/>
      <c r="AC273" s="869"/>
      <c r="AD273" s="870"/>
      <c r="AE273" s="866">
        <f>CHMAData!AO20</f>
        <v>0</v>
      </c>
      <c r="AF273" s="867"/>
      <c r="AG273" s="529"/>
      <c r="AH273" s="518"/>
      <c r="AJ273" s="595" t="b">
        <f t="shared" si="4"/>
        <v>0</v>
      </c>
    </row>
    <row r="274" spans="1:36" hidden="1" x14ac:dyDescent="0.45">
      <c r="A274" s="518"/>
      <c r="B274" s="514" t="s">
        <v>1423</v>
      </c>
      <c r="C274" s="515"/>
      <c r="D274" s="515"/>
      <c r="E274" s="515"/>
      <c r="F274" s="515"/>
      <c r="G274" s="890" t="str">
        <f>IF(CHMAData!W21=0,"",SUBSTITUTE(SUBSTITUTE(CHMAData!W21,"Acquired and Rehabilitated Housing","A/R"),"Newly Constructed Housing","N/C"))</f>
        <v/>
      </c>
      <c r="H274" s="891"/>
      <c r="I274" s="583" t="str">
        <f>IF(CHMAData!BP21=0,"",LEFT(CHMAData!BP21,1))</f>
        <v/>
      </c>
      <c r="J274" s="584" t="str">
        <f>IF(CHMAData!T21=0,"",LEFT(CHMAData!T21,1))</f>
        <v/>
      </c>
      <c r="K274" s="888">
        <f>CHMAData!AI21</f>
        <v>0</v>
      </c>
      <c r="L274" s="887"/>
      <c r="M274" s="868">
        <f>CHMAData!AJ21</f>
        <v>0</v>
      </c>
      <c r="N274" s="869"/>
      <c r="O274" s="869"/>
      <c r="P274" s="870"/>
      <c r="Q274" s="868">
        <f>CHMAData!AK21</f>
        <v>0</v>
      </c>
      <c r="R274" s="869"/>
      <c r="S274" s="869"/>
      <c r="T274" s="870"/>
      <c r="U274" s="868">
        <f>CHMAData!AL21</f>
        <v>0</v>
      </c>
      <c r="V274" s="869"/>
      <c r="W274" s="870"/>
      <c r="X274" s="868">
        <f>CHMAData!AM21</f>
        <v>0</v>
      </c>
      <c r="Y274" s="869"/>
      <c r="Z274" s="870"/>
      <c r="AA274" s="868">
        <f t="shared" si="5"/>
        <v>0</v>
      </c>
      <c r="AB274" s="869"/>
      <c r="AC274" s="869"/>
      <c r="AD274" s="870"/>
      <c r="AE274" s="866">
        <f>CHMAData!AO21</f>
        <v>0</v>
      </c>
      <c r="AF274" s="867"/>
      <c r="AG274" s="529"/>
      <c r="AH274" s="518"/>
      <c r="AJ274" s="595" t="b">
        <f t="shared" si="4"/>
        <v>0</v>
      </c>
    </row>
    <row r="275" spans="1:36" hidden="1" x14ac:dyDescent="0.45">
      <c r="A275" s="518"/>
      <c r="B275" s="514" t="s">
        <v>1424</v>
      </c>
      <c r="C275" s="515"/>
      <c r="D275" s="515"/>
      <c r="E275" s="515"/>
      <c r="F275" s="515"/>
      <c r="G275" s="890" t="str">
        <f>IF(CHMAData!W22=0,"",SUBSTITUTE(SUBSTITUTE(CHMAData!W22,"Acquired and Rehabilitated Housing","A/R"),"Newly Constructed Housing","N/C"))</f>
        <v/>
      </c>
      <c r="H275" s="891"/>
      <c r="I275" s="583" t="str">
        <f>IF(CHMAData!BP22=0,"",LEFT(CHMAData!BP22,1))</f>
        <v/>
      </c>
      <c r="J275" s="584" t="str">
        <f>IF(CHMAData!T22=0,"",LEFT(CHMAData!T22,1))</f>
        <v/>
      </c>
      <c r="K275" s="888">
        <f>CHMAData!AI22</f>
        <v>0</v>
      </c>
      <c r="L275" s="887"/>
      <c r="M275" s="868">
        <f>CHMAData!AJ22</f>
        <v>0</v>
      </c>
      <c r="N275" s="869"/>
      <c r="O275" s="869"/>
      <c r="P275" s="870"/>
      <c r="Q275" s="868">
        <f>CHMAData!AK22</f>
        <v>0</v>
      </c>
      <c r="R275" s="869"/>
      <c r="S275" s="869"/>
      <c r="T275" s="870"/>
      <c r="U275" s="868">
        <f>CHMAData!AL22</f>
        <v>0</v>
      </c>
      <c r="V275" s="869"/>
      <c r="W275" s="870"/>
      <c r="X275" s="868">
        <f>CHMAData!AM22</f>
        <v>0</v>
      </c>
      <c r="Y275" s="869"/>
      <c r="Z275" s="870"/>
      <c r="AA275" s="868">
        <f t="shared" si="5"/>
        <v>0</v>
      </c>
      <c r="AB275" s="869"/>
      <c r="AC275" s="869"/>
      <c r="AD275" s="870"/>
      <c r="AE275" s="866">
        <f>CHMAData!AO22</f>
        <v>0</v>
      </c>
      <c r="AF275" s="867"/>
      <c r="AG275" s="529"/>
      <c r="AH275" s="518"/>
      <c r="AJ275" s="595" t="b">
        <f t="shared" si="4"/>
        <v>0</v>
      </c>
    </row>
    <row r="276" spans="1:36" hidden="1" x14ac:dyDescent="0.45">
      <c r="A276" s="518"/>
      <c r="B276" s="514" t="s">
        <v>1425</v>
      </c>
      <c r="C276" s="515"/>
      <c r="D276" s="515"/>
      <c r="E276" s="515"/>
      <c r="F276" s="515"/>
      <c r="G276" s="890" t="str">
        <f>IF(CHMAData!W23=0,"",SUBSTITUTE(SUBSTITUTE(CHMAData!W23,"Acquired and Rehabilitated Housing","A/R"),"Newly Constructed Housing","N/C"))</f>
        <v/>
      </c>
      <c r="H276" s="891"/>
      <c r="I276" s="583" t="str">
        <f>IF(CHMAData!BP23=0,"",LEFT(CHMAData!BP23,1))</f>
        <v/>
      </c>
      <c r="J276" s="584" t="str">
        <f>IF(CHMAData!T23=0,"",LEFT(CHMAData!T23,1))</f>
        <v/>
      </c>
      <c r="K276" s="888">
        <f>CHMAData!AI23</f>
        <v>0</v>
      </c>
      <c r="L276" s="887"/>
      <c r="M276" s="868">
        <f>CHMAData!AJ23</f>
        <v>0</v>
      </c>
      <c r="N276" s="869"/>
      <c r="O276" s="869"/>
      <c r="P276" s="870"/>
      <c r="Q276" s="868">
        <f>CHMAData!AK23</f>
        <v>0</v>
      </c>
      <c r="R276" s="869"/>
      <c r="S276" s="869"/>
      <c r="T276" s="870"/>
      <c r="U276" s="868">
        <f>CHMAData!AL23</f>
        <v>0</v>
      </c>
      <c r="V276" s="869"/>
      <c r="W276" s="870"/>
      <c r="X276" s="868">
        <f>CHMAData!AM23</f>
        <v>0</v>
      </c>
      <c r="Y276" s="869"/>
      <c r="Z276" s="870"/>
      <c r="AA276" s="868">
        <f t="shared" si="5"/>
        <v>0</v>
      </c>
      <c r="AB276" s="869"/>
      <c r="AC276" s="869"/>
      <c r="AD276" s="870"/>
      <c r="AE276" s="866">
        <f>CHMAData!AO23</f>
        <v>0</v>
      </c>
      <c r="AF276" s="867"/>
      <c r="AG276" s="529"/>
      <c r="AH276" s="518"/>
      <c r="AJ276" s="595" t="b">
        <f t="shared" si="4"/>
        <v>0</v>
      </c>
    </row>
    <row r="277" spans="1:36" hidden="1" x14ac:dyDescent="0.45">
      <c r="A277" s="518"/>
      <c r="B277" s="514" t="s">
        <v>1426</v>
      </c>
      <c r="C277" s="515"/>
      <c r="D277" s="515"/>
      <c r="E277" s="515"/>
      <c r="F277" s="515"/>
      <c r="G277" s="890" t="str">
        <f>IF(CHMAData!W24=0,"",SUBSTITUTE(SUBSTITUTE(CHMAData!W24,"Acquired and Rehabilitated Housing","A/R"),"Newly Constructed Housing","N/C"))</f>
        <v/>
      </c>
      <c r="H277" s="891"/>
      <c r="I277" s="583" t="str">
        <f>IF(CHMAData!BP24=0,"",LEFT(CHMAData!BP24,1))</f>
        <v/>
      </c>
      <c r="J277" s="584" t="str">
        <f>IF(CHMAData!T24=0,"",LEFT(CHMAData!T24,1))</f>
        <v/>
      </c>
      <c r="K277" s="888">
        <f>CHMAData!AI24</f>
        <v>0</v>
      </c>
      <c r="L277" s="887"/>
      <c r="M277" s="868">
        <f>CHMAData!AJ24</f>
        <v>0</v>
      </c>
      <c r="N277" s="869"/>
      <c r="O277" s="869"/>
      <c r="P277" s="870"/>
      <c r="Q277" s="868">
        <f>CHMAData!AK24</f>
        <v>0</v>
      </c>
      <c r="R277" s="869"/>
      <c r="S277" s="869"/>
      <c r="T277" s="870"/>
      <c r="U277" s="868">
        <f>CHMAData!AL24</f>
        <v>0</v>
      </c>
      <c r="V277" s="869"/>
      <c r="W277" s="870"/>
      <c r="X277" s="868">
        <f>CHMAData!AM24</f>
        <v>0</v>
      </c>
      <c r="Y277" s="869"/>
      <c r="Z277" s="870"/>
      <c r="AA277" s="868">
        <f t="shared" si="5"/>
        <v>0</v>
      </c>
      <c r="AB277" s="869"/>
      <c r="AC277" s="869"/>
      <c r="AD277" s="870"/>
      <c r="AE277" s="866">
        <f>CHMAData!AO24</f>
        <v>0</v>
      </c>
      <c r="AF277" s="867"/>
      <c r="AG277" s="529"/>
      <c r="AH277" s="518"/>
      <c r="AJ277" s="595" t="b">
        <f t="shared" si="4"/>
        <v>0</v>
      </c>
    </row>
    <row r="278" spans="1:36" hidden="1" x14ac:dyDescent="0.45">
      <c r="A278" s="518"/>
      <c r="B278" s="514" t="s">
        <v>1427</v>
      </c>
      <c r="C278" s="515"/>
      <c r="D278" s="515"/>
      <c r="E278" s="515"/>
      <c r="F278" s="515"/>
      <c r="G278" s="890" t="str">
        <f>IF(CHMAData!W25=0,"",SUBSTITUTE(SUBSTITUTE(CHMAData!W25,"Acquired and Rehabilitated Housing","A/R"),"Newly Constructed Housing","N/C"))</f>
        <v/>
      </c>
      <c r="H278" s="891"/>
      <c r="I278" s="583" t="str">
        <f>IF(CHMAData!BP25=0,"",LEFT(CHMAData!BP25,1))</f>
        <v/>
      </c>
      <c r="J278" s="584" t="str">
        <f>IF(CHMAData!T25=0,"",LEFT(CHMAData!T25,1))</f>
        <v/>
      </c>
      <c r="K278" s="888">
        <f>CHMAData!AI25</f>
        <v>0</v>
      </c>
      <c r="L278" s="887"/>
      <c r="M278" s="868">
        <f>CHMAData!AJ25</f>
        <v>0</v>
      </c>
      <c r="N278" s="869"/>
      <c r="O278" s="869"/>
      <c r="P278" s="870"/>
      <c r="Q278" s="868">
        <f>CHMAData!AK25</f>
        <v>0</v>
      </c>
      <c r="R278" s="869"/>
      <c r="S278" s="869"/>
      <c r="T278" s="870"/>
      <c r="U278" s="868">
        <f>CHMAData!AL25</f>
        <v>0</v>
      </c>
      <c r="V278" s="869"/>
      <c r="W278" s="870"/>
      <c r="X278" s="868">
        <f>CHMAData!AM25</f>
        <v>0</v>
      </c>
      <c r="Y278" s="869"/>
      <c r="Z278" s="870"/>
      <c r="AA278" s="868">
        <f t="shared" si="5"/>
        <v>0</v>
      </c>
      <c r="AB278" s="869"/>
      <c r="AC278" s="869"/>
      <c r="AD278" s="870"/>
      <c r="AE278" s="866">
        <f>CHMAData!AO25</f>
        <v>0</v>
      </c>
      <c r="AF278" s="867"/>
      <c r="AG278" s="529"/>
      <c r="AH278" s="518"/>
      <c r="AJ278" s="595" t="b">
        <f t="shared" si="4"/>
        <v>0</v>
      </c>
    </row>
    <row r="279" spans="1:36" hidden="1" x14ac:dyDescent="0.45">
      <c r="A279" s="518"/>
      <c r="B279" s="514" t="s">
        <v>1428</v>
      </c>
      <c r="C279" s="515"/>
      <c r="D279" s="515"/>
      <c r="E279" s="515"/>
      <c r="F279" s="515"/>
      <c r="G279" s="890" t="str">
        <f>IF(CHMAData!W26=0,"",SUBSTITUTE(SUBSTITUTE(CHMAData!W26,"Acquired and Rehabilitated Housing","A/R"),"Newly Constructed Housing","N/C"))</f>
        <v/>
      </c>
      <c r="H279" s="891"/>
      <c r="I279" s="583" t="str">
        <f>IF(CHMAData!BP26=0,"",LEFT(CHMAData!BP26,1))</f>
        <v/>
      </c>
      <c r="J279" s="584" t="str">
        <f>IF(CHMAData!T26=0,"",LEFT(CHMAData!T26,1))</f>
        <v/>
      </c>
      <c r="K279" s="888">
        <f>CHMAData!AI26</f>
        <v>0</v>
      </c>
      <c r="L279" s="887"/>
      <c r="M279" s="868">
        <f>CHMAData!AJ26</f>
        <v>0</v>
      </c>
      <c r="N279" s="869"/>
      <c r="O279" s="869"/>
      <c r="P279" s="870"/>
      <c r="Q279" s="868">
        <f>CHMAData!AK26</f>
        <v>0</v>
      </c>
      <c r="R279" s="869"/>
      <c r="S279" s="869"/>
      <c r="T279" s="870"/>
      <c r="U279" s="868">
        <f>CHMAData!AL26</f>
        <v>0</v>
      </c>
      <c r="V279" s="869"/>
      <c r="W279" s="870"/>
      <c r="X279" s="868">
        <f>CHMAData!AM26</f>
        <v>0</v>
      </c>
      <c r="Y279" s="869"/>
      <c r="Z279" s="870"/>
      <c r="AA279" s="868">
        <f t="shared" si="5"/>
        <v>0</v>
      </c>
      <c r="AB279" s="869"/>
      <c r="AC279" s="869"/>
      <c r="AD279" s="870"/>
      <c r="AE279" s="866">
        <f>CHMAData!AO26</f>
        <v>0</v>
      </c>
      <c r="AF279" s="867"/>
      <c r="AG279" s="529"/>
      <c r="AH279" s="518"/>
      <c r="AJ279" s="595" t="b">
        <f t="shared" si="4"/>
        <v>0</v>
      </c>
    </row>
    <row r="280" spans="1:36" hidden="1" x14ac:dyDescent="0.45">
      <c r="A280" s="518"/>
      <c r="B280" s="514" t="s">
        <v>1429</v>
      </c>
      <c r="C280" s="515"/>
      <c r="D280" s="515"/>
      <c r="E280" s="515"/>
      <c r="F280" s="515"/>
      <c r="G280" s="890" t="str">
        <f>IF(CHMAData!W27=0,"",SUBSTITUTE(SUBSTITUTE(CHMAData!W27,"Acquired and Rehabilitated Housing","A/R"),"Newly Constructed Housing","N/C"))</f>
        <v/>
      </c>
      <c r="H280" s="891"/>
      <c r="I280" s="583" t="str">
        <f>IF(CHMAData!BP27=0,"",LEFT(CHMAData!BP27,1))</f>
        <v/>
      </c>
      <c r="J280" s="584" t="str">
        <f>IF(CHMAData!T27=0,"",LEFT(CHMAData!T27,1))</f>
        <v/>
      </c>
      <c r="K280" s="888">
        <f>CHMAData!AI27</f>
        <v>0</v>
      </c>
      <c r="L280" s="887"/>
      <c r="M280" s="868">
        <f>CHMAData!AJ27</f>
        <v>0</v>
      </c>
      <c r="N280" s="869"/>
      <c r="O280" s="869"/>
      <c r="P280" s="870"/>
      <c r="Q280" s="868">
        <f>CHMAData!AK27</f>
        <v>0</v>
      </c>
      <c r="R280" s="869"/>
      <c r="S280" s="869"/>
      <c r="T280" s="870"/>
      <c r="U280" s="868">
        <f>CHMAData!AL27</f>
        <v>0</v>
      </c>
      <c r="V280" s="869"/>
      <c r="W280" s="870"/>
      <c r="X280" s="868">
        <f>CHMAData!AM27</f>
        <v>0</v>
      </c>
      <c r="Y280" s="869"/>
      <c r="Z280" s="870"/>
      <c r="AA280" s="868">
        <f t="shared" si="5"/>
        <v>0</v>
      </c>
      <c r="AB280" s="869"/>
      <c r="AC280" s="869"/>
      <c r="AD280" s="870"/>
      <c r="AE280" s="866">
        <f>CHMAData!AO27</f>
        <v>0</v>
      </c>
      <c r="AF280" s="867"/>
      <c r="AG280" s="529"/>
      <c r="AH280" s="518"/>
      <c r="AJ280" s="595" t="b">
        <f t="shared" si="4"/>
        <v>0</v>
      </c>
    </row>
    <row r="281" spans="1:36" hidden="1" x14ac:dyDescent="0.45">
      <c r="A281" s="518"/>
      <c r="B281" s="514" t="s">
        <v>1430</v>
      </c>
      <c r="C281" s="515"/>
      <c r="D281" s="515"/>
      <c r="E281" s="515"/>
      <c r="F281" s="515"/>
      <c r="G281" s="890" t="str">
        <f>IF(CHMAData!W28=0,"",SUBSTITUTE(SUBSTITUTE(CHMAData!W28,"Acquired and Rehabilitated Housing","A/R"),"Newly Constructed Housing","N/C"))</f>
        <v/>
      </c>
      <c r="H281" s="891"/>
      <c r="I281" s="583" t="str">
        <f>IF(CHMAData!BP28=0,"",LEFT(CHMAData!BP28,1))</f>
        <v/>
      </c>
      <c r="J281" s="584" t="str">
        <f>IF(CHMAData!T28=0,"",LEFT(CHMAData!T28,1))</f>
        <v/>
      </c>
      <c r="K281" s="888">
        <f>CHMAData!AI28</f>
        <v>0</v>
      </c>
      <c r="L281" s="887"/>
      <c r="M281" s="868">
        <f>CHMAData!AJ28</f>
        <v>0</v>
      </c>
      <c r="N281" s="869"/>
      <c r="O281" s="869"/>
      <c r="P281" s="870"/>
      <c r="Q281" s="868">
        <f>CHMAData!AK28</f>
        <v>0</v>
      </c>
      <c r="R281" s="869"/>
      <c r="S281" s="869"/>
      <c r="T281" s="870"/>
      <c r="U281" s="868">
        <f>CHMAData!AL28</f>
        <v>0</v>
      </c>
      <c r="V281" s="869"/>
      <c r="W281" s="870"/>
      <c r="X281" s="868">
        <f>CHMAData!AM28</f>
        <v>0</v>
      </c>
      <c r="Y281" s="869"/>
      <c r="Z281" s="870"/>
      <c r="AA281" s="868">
        <f t="shared" si="5"/>
        <v>0</v>
      </c>
      <c r="AB281" s="869"/>
      <c r="AC281" s="869"/>
      <c r="AD281" s="870"/>
      <c r="AE281" s="866">
        <f>CHMAData!AO28</f>
        <v>0</v>
      </c>
      <c r="AF281" s="867"/>
      <c r="AG281" s="529"/>
      <c r="AH281" s="518"/>
      <c r="AJ281" s="595" t="b">
        <f t="shared" si="4"/>
        <v>0</v>
      </c>
    </row>
    <row r="282" spans="1:36" hidden="1" x14ac:dyDescent="0.45">
      <c r="A282" s="518"/>
      <c r="B282" s="514" t="s">
        <v>1431</v>
      </c>
      <c r="C282" s="515"/>
      <c r="D282" s="515"/>
      <c r="E282" s="515"/>
      <c r="F282" s="515"/>
      <c r="G282" s="890" t="str">
        <f>IF(CHMAData!W29=0,"",SUBSTITUTE(SUBSTITUTE(CHMAData!W29,"Acquired and Rehabilitated Housing","A/R"),"Newly Constructed Housing","N/C"))</f>
        <v/>
      </c>
      <c r="H282" s="891"/>
      <c r="I282" s="583" t="str">
        <f>IF(CHMAData!BP29=0,"",LEFT(CHMAData!BP29,1))</f>
        <v/>
      </c>
      <c r="J282" s="584" t="str">
        <f>IF(CHMAData!T29=0,"",LEFT(CHMAData!T29,1))</f>
        <v/>
      </c>
      <c r="K282" s="888">
        <f>CHMAData!AI29</f>
        <v>0</v>
      </c>
      <c r="L282" s="887"/>
      <c r="M282" s="868">
        <f>CHMAData!AJ29</f>
        <v>0</v>
      </c>
      <c r="N282" s="869"/>
      <c r="O282" s="869"/>
      <c r="P282" s="870"/>
      <c r="Q282" s="868">
        <f>CHMAData!AK29</f>
        <v>0</v>
      </c>
      <c r="R282" s="869"/>
      <c r="S282" s="869"/>
      <c r="T282" s="870"/>
      <c r="U282" s="868">
        <f>CHMAData!AL29</f>
        <v>0</v>
      </c>
      <c r="V282" s="869"/>
      <c r="W282" s="870"/>
      <c r="X282" s="868">
        <f>CHMAData!AM29</f>
        <v>0</v>
      </c>
      <c r="Y282" s="869"/>
      <c r="Z282" s="870"/>
      <c r="AA282" s="868">
        <f t="shared" si="5"/>
        <v>0</v>
      </c>
      <c r="AB282" s="869"/>
      <c r="AC282" s="869"/>
      <c r="AD282" s="870"/>
      <c r="AE282" s="866">
        <f>CHMAData!AO29</f>
        <v>0</v>
      </c>
      <c r="AF282" s="867"/>
      <c r="AG282" s="529"/>
      <c r="AH282" s="518"/>
      <c r="AJ282" s="595" t="b">
        <f t="shared" si="4"/>
        <v>0</v>
      </c>
    </row>
    <row r="283" spans="1:36" hidden="1" x14ac:dyDescent="0.45">
      <c r="A283" s="518"/>
      <c r="B283" s="514" t="s">
        <v>1432</v>
      </c>
      <c r="C283" s="515"/>
      <c r="D283" s="515"/>
      <c r="E283" s="515"/>
      <c r="F283" s="515"/>
      <c r="G283" s="890" t="str">
        <f>IF(CHMAData!W30=0,"",SUBSTITUTE(SUBSTITUTE(CHMAData!W30,"Acquired and Rehabilitated Housing","A/R"),"Newly Constructed Housing","N/C"))</f>
        <v/>
      </c>
      <c r="H283" s="891"/>
      <c r="I283" s="583" t="str">
        <f>IF(CHMAData!BP30=0,"",LEFT(CHMAData!BP30,1))</f>
        <v/>
      </c>
      <c r="J283" s="584" t="str">
        <f>IF(CHMAData!T30=0,"",LEFT(CHMAData!T30,1))</f>
        <v/>
      </c>
      <c r="K283" s="888">
        <f>CHMAData!AI30</f>
        <v>0</v>
      </c>
      <c r="L283" s="887"/>
      <c r="M283" s="868">
        <f>CHMAData!AJ30</f>
        <v>0</v>
      </c>
      <c r="N283" s="869"/>
      <c r="O283" s="869"/>
      <c r="P283" s="870"/>
      <c r="Q283" s="868">
        <f>CHMAData!AK30</f>
        <v>0</v>
      </c>
      <c r="R283" s="869"/>
      <c r="S283" s="869"/>
      <c r="T283" s="870"/>
      <c r="U283" s="868">
        <f>CHMAData!AL30</f>
        <v>0</v>
      </c>
      <c r="V283" s="869"/>
      <c r="W283" s="870"/>
      <c r="X283" s="868">
        <f>CHMAData!AM30</f>
        <v>0</v>
      </c>
      <c r="Y283" s="869"/>
      <c r="Z283" s="870"/>
      <c r="AA283" s="868">
        <f t="shared" si="5"/>
        <v>0</v>
      </c>
      <c r="AB283" s="869"/>
      <c r="AC283" s="869"/>
      <c r="AD283" s="870"/>
      <c r="AE283" s="866">
        <f>CHMAData!AO30</f>
        <v>0</v>
      </c>
      <c r="AF283" s="867"/>
      <c r="AG283" s="529"/>
      <c r="AH283" s="518"/>
      <c r="AJ283" s="595" t="b">
        <f t="shared" si="4"/>
        <v>0</v>
      </c>
    </row>
    <row r="284" spans="1:36" hidden="1" x14ac:dyDescent="0.45">
      <c r="A284" s="518"/>
      <c r="B284" s="514" t="s">
        <v>1433</v>
      </c>
      <c r="C284" s="515"/>
      <c r="D284" s="515"/>
      <c r="E284" s="515"/>
      <c r="F284" s="515"/>
      <c r="G284" s="890" t="str">
        <f>IF(CHMAData!W31=0,"",SUBSTITUTE(SUBSTITUTE(CHMAData!W31,"Acquired and Rehabilitated Housing","A/R"),"Newly Constructed Housing","N/C"))</f>
        <v/>
      </c>
      <c r="H284" s="891"/>
      <c r="I284" s="583" t="str">
        <f>IF(CHMAData!BP31=0,"",LEFT(CHMAData!BP31,1))</f>
        <v/>
      </c>
      <c r="J284" s="584" t="str">
        <f>IF(CHMAData!T31=0,"",LEFT(CHMAData!T31,1))</f>
        <v/>
      </c>
      <c r="K284" s="888">
        <f>CHMAData!AI31</f>
        <v>0</v>
      </c>
      <c r="L284" s="887"/>
      <c r="M284" s="868">
        <f>CHMAData!AJ31</f>
        <v>0</v>
      </c>
      <c r="N284" s="869"/>
      <c r="O284" s="869"/>
      <c r="P284" s="870"/>
      <c r="Q284" s="868">
        <f>CHMAData!AK31</f>
        <v>0</v>
      </c>
      <c r="R284" s="869"/>
      <c r="S284" s="869"/>
      <c r="T284" s="870"/>
      <c r="U284" s="868">
        <f>CHMAData!AL31</f>
        <v>0</v>
      </c>
      <c r="V284" s="869"/>
      <c r="W284" s="870"/>
      <c r="X284" s="868">
        <f>CHMAData!AM31</f>
        <v>0</v>
      </c>
      <c r="Y284" s="869"/>
      <c r="Z284" s="870"/>
      <c r="AA284" s="868">
        <f t="shared" si="5"/>
        <v>0</v>
      </c>
      <c r="AB284" s="869"/>
      <c r="AC284" s="869"/>
      <c r="AD284" s="870"/>
      <c r="AE284" s="866">
        <f>CHMAData!AO31</f>
        <v>0</v>
      </c>
      <c r="AF284" s="867"/>
      <c r="AG284" s="529"/>
      <c r="AH284" s="518"/>
      <c r="AJ284" s="595" t="b">
        <f t="shared" si="4"/>
        <v>0</v>
      </c>
    </row>
    <row r="285" spans="1:36" hidden="1" x14ac:dyDescent="0.45">
      <c r="A285" s="518"/>
      <c r="B285" s="514" t="s">
        <v>1434</v>
      </c>
      <c r="C285" s="515"/>
      <c r="D285" s="515"/>
      <c r="E285" s="515"/>
      <c r="F285" s="515"/>
      <c r="G285" s="890" t="str">
        <f>IF(CHMAData!W32=0,"",SUBSTITUTE(SUBSTITUTE(CHMAData!W32,"Acquired and Rehabilitated Housing","A/R"),"Newly Constructed Housing","N/C"))</f>
        <v/>
      </c>
      <c r="H285" s="891"/>
      <c r="I285" s="583" t="str">
        <f>IF(CHMAData!BP32=0,"",LEFT(CHMAData!BP32,1))</f>
        <v/>
      </c>
      <c r="J285" s="584" t="str">
        <f>IF(CHMAData!T32=0,"",LEFT(CHMAData!T32,1))</f>
        <v/>
      </c>
      <c r="K285" s="888">
        <f>CHMAData!AI32</f>
        <v>0</v>
      </c>
      <c r="L285" s="887"/>
      <c r="M285" s="868">
        <f>CHMAData!AJ32</f>
        <v>0</v>
      </c>
      <c r="N285" s="869"/>
      <c r="O285" s="869"/>
      <c r="P285" s="870"/>
      <c r="Q285" s="868">
        <f>CHMAData!AK32</f>
        <v>0</v>
      </c>
      <c r="R285" s="869"/>
      <c r="S285" s="869"/>
      <c r="T285" s="870"/>
      <c r="U285" s="868">
        <f>CHMAData!AL32</f>
        <v>0</v>
      </c>
      <c r="V285" s="869"/>
      <c r="W285" s="870"/>
      <c r="X285" s="868">
        <f>CHMAData!AM32</f>
        <v>0</v>
      </c>
      <c r="Y285" s="869"/>
      <c r="Z285" s="870"/>
      <c r="AA285" s="868">
        <f t="shared" si="5"/>
        <v>0</v>
      </c>
      <c r="AB285" s="869"/>
      <c r="AC285" s="869"/>
      <c r="AD285" s="870"/>
      <c r="AE285" s="866">
        <f>CHMAData!AO32</f>
        <v>0</v>
      </c>
      <c r="AF285" s="867"/>
      <c r="AG285" s="529"/>
      <c r="AH285" s="518"/>
      <c r="AJ285" s="595" t="b">
        <f t="shared" si="4"/>
        <v>0</v>
      </c>
    </row>
    <row r="286" spans="1:36" hidden="1" x14ac:dyDescent="0.45">
      <c r="A286" s="518"/>
      <c r="B286" s="514" t="s">
        <v>1435</v>
      </c>
      <c r="C286" s="515"/>
      <c r="D286" s="515"/>
      <c r="E286" s="515"/>
      <c r="F286" s="515"/>
      <c r="G286" s="890" t="str">
        <f>IF(CHMAData!W33=0,"",SUBSTITUTE(SUBSTITUTE(CHMAData!W33,"Acquired and Rehabilitated Housing","A/R"),"Newly Constructed Housing","N/C"))</f>
        <v/>
      </c>
      <c r="H286" s="891"/>
      <c r="I286" s="583" t="str">
        <f>IF(CHMAData!BP33=0,"",LEFT(CHMAData!BP33,1))</f>
        <v/>
      </c>
      <c r="J286" s="584" t="str">
        <f>IF(CHMAData!T33=0,"",LEFT(CHMAData!T33,1))</f>
        <v/>
      </c>
      <c r="K286" s="888">
        <f>CHMAData!AI33</f>
        <v>0</v>
      </c>
      <c r="L286" s="887"/>
      <c r="M286" s="868">
        <f>CHMAData!AJ33</f>
        <v>0</v>
      </c>
      <c r="N286" s="869"/>
      <c r="O286" s="869"/>
      <c r="P286" s="870"/>
      <c r="Q286" s="868">
        <f>CHMAData!AK33</f>
        <v>0</v>
      </c>
      <c r="R286" s="869"/>
      <c r="S286" s="869"/>
      <c r="T286" s="870"/>
      <c r="U286" s="868">
        <f>CHMAData!AL33</f>
        <v>0</v>
      </c>
      <c r="V286" s="869"/>
      <c r="W286" s="870"/>
      <c r="X286" s="868">
        <f>CHMAData!AM33</f>
        <v>0</v>
      </c>
      <c r="Y286" s="869"/>
      <c r="Z286" s="870"/>
      <c r="AA286" s="868">
        <f t="shared" si="5"/>
        <v>0</v>
      </c>
      <c r="AB286" s="869"/>
      <c r="AC286" s="869"/>
      <c r="AD286" s="870"/>
      <c r="AE286" s="866">
        <f>CHMAData!AO33</f>
        <v>0</v>
      </c>
      <c r="AF286" s="867"/>
      <c r="AG286" s="529"/>
      <c r="AH286" s="518"/>
      <c r="AJ286" s="595" t="b">
        <f t="shared" si="4"/>
        <v>0</v>
      </c>
    </row>
    <row r="287" spans="1:36" hidden="1" x14ac:dyDescent="0.45">
      <c r="A287" s="518"/>
      <c r="B287" s="514" t="s">
        <v>1436</v>
      </c>
      <c r="C287" s="515"/>
      <c r="D287" s="515"/>
      <c r="E287" s="515"/>
      <c r="F287" s="515"/>
      <c r="G287" s="890" t="str">
        <f>IF(CHMAData!W34=0,"",SUBSTITUTE(SUBSTITUTE(CHMAData!W34,"Acquired and Rehabilitated Housing","A/R"),"Newly Constructed Housing","N/C"))</f>
        <v/>
      </c>
      <c r="H287" s="891"/>
      <c r="I287" s="583" t="str">
        <f>IF(CHMAData!BP34=0,"",LEFT(CHMAData!BP34,1))</f>
        <v/>
      </c>
      <c r="J287" s="584" t="str">
        <f>IF(CHMAData!T34=0,"",LEFT(CHMAData!T34,1))</f>
        <v/>
      </c>
      <c r="K287" s="888">
        <f>CHMAData!AI34</f>
        <v>0</v>
      </c>
      <c r="L287" s="887"/>
      <c r="M287" s="868">
        <f>CHMAData!AJ34</f>
        <v>0</v>
      </c>
      <c r="N287" s="869"/>
      <c r="O287" s="869"/>
      <c r="P287" s="870"/>
      <c r="Q287" s="868">
        <f>CHMAData!AK34</f>
        <v>0</v>
      </c>
      <c r="R287" s="869"/>
      <c r="S287" s="869"/>
      <c r="T287" s="870"/>
      <c r="U287" s="868">
        <f>CHMAData!AL34</f>
        <v>0</v>
      </c>
      <c r="V287" s="869"/>
      <c r="W287" s="870"/>
      <c r="X287" s="868">
        <f>CHMAData!AM34</f>
        <v>0</v>
      </c>
      <c r="Y287" s="869"/>
      <c r="Z287" s="870"/>
      <c r="AA287" s="868">
        <f t="shared" si="5"/>
        <v>0</v>
      </c>
      <c r="AB287" s="869"/>
      <c r="AC287" s="869"/>
      <c r="AD287" s="870"/>
      <c r="AE287" s="866">
        <f>CHMAData!AO34</f>
        <v>0</v>
      </c>
      <c r="AF287" s="867"/>
      <c r="AG287" s="529"/>
      <c r="AH287" s="518"/>
      <c r="AJ287" s="595" t="b">
        <f t="shared" si="4"/>
        <v>0</v>
      </c>
    </row>
    <row r="288" spans="1:36" hidden="1" x14ac:dyDescent="0.45">
      <c r="A288" s="518"/>
      <c r="B288" s="514" t="s">
        <v>1437</v>
      </c>
      <c r="C288" s="515"/>
      <c r="D288" s="515"/>
      <c r="E288" s="515"/>
      <c r="F288" s="515"/>
      <c r="G288" s="890" t="str">
        <f>IF(CHMAData!W35=0,"",SUBSTITUTE(SUBSTITUTE(CHMAData!W35,"Acquired and Rehabilitated Housing","A/R"),"Newly Constructed Housing","N/C"))</f>
        <v/>
      </c>
      <c r="H288" s="891"/>
      <c r="I288" s="583" t="str">
        <f>IF(CHMAData!BP35=0,"",LEFT(CHMAData!BP35,1))</f>
        <v/>
      </c>
      <c r="J288" s="584" t="str">
        <f>IF(CHMAData!T35=0,"",LEFT(CHMAData!T35,1))</f>
        <v/>
      </c>
      <c r="K288" s="888">
        <f>CHMAData!AI35</f>
        <v>0</v>
      </c>
      <c r="L288" s="887"/>
      <c r="M288" s="868">
        <f>CHMAData!AJ35</f>
        <v>0</v>
      </c>
      <c r="N288" s="869"/>
      <c r="O288" s="869"/>
      <c r="P288" s="870"/>
      <c r="Q288" s="868">
        <f>CHMAData!AK35</f>
        <v>0</v>
      </c>
      <c r="R288" s="869"/>
      <c r="S288" s="869"/>
      <c r="T288" s="870"/>
      <c r="U288" s="868">
        <f>CHMAData!AL35</f>
        <v>0</v>
      </c>
      <c r="V288" s="869"/>
      <c r="W288" s="870"/>
      <c r="X288" s="868">
        <f>CHMAData!AM35</f>
        <v>0</v>
      </c>
      <c r="Y288" s="869"/>
      <c r="Z288" s="870"/>
      <c r="AA288" s="868">
        <f t="shared" si="5"/>
        <v>0</v>
      </c>
      <c r="AB288" s="869"/>
      <c r="AC288" s="869"/>
      <c r="AD288" s="870"/>
      <c r="AE288" s="866">
        <f>CHMAData!AO35</f>
        <v>0</v>
      </c>
      <c r="AF288" s="867"/>
      <c r="AG288" s="529"/>
      <c r="AH288" s="518"/>
      <c r="AJ288" s="595" t="b">
        <f t="shared" ref="AJ288:AJ313" si="6">AND(AJ$249,AA288&gt;0)</f>
        <v>0</v>
      </c>
    </row>
    <row r="289" spans="1:36" hidden="1" x14ac:dyDescent="0.45">
      <c r="A289" s="518"/>
      <c r="B289" s="514" t="s">
        <v>1438</v>
      </c>
      <c r="C289" s="515"/>
      <c r="D289" s="515"/>
      <c r="E289" s="515"/>
      <c r="F289" s="515"/>
      <c r="G289" s="890" t="str">
        <f>IF(CHMAData!W36=0,"",SUBSTITUTE(SUBSTITUTE(CHMAData!W36,"Acquired and Rehabilitated Housing","A/R"),"Newly Constructed Housing","N/C"))</f>
        <v/>
      </c>
      <c r="H289" s="891"/>
      <c r="I289" s="583" t="str">
        <f>IF(CHMAData!BP36=0,"",LEFT(CHMAData!BP36,1))</f>
        <v/>
      </c>
      <c r="J289" s="584" t="str">
        <f>IF(CHMAData!T36=0,"",LEFT(CHMAData!T36,1))</f>
        <v/>
      </c>
      <c r="K289" s="888">
        <f>CHMAData!AI36</f>
        <v>0</v>
      </c>
      <c r="L289" s="887"/>
      <c r="M289" s="868">
        <f>CHMAData!AJ36</f>
        <v>0</v>
      </c>
      <c r="N289" s="869"/>
      <c r="O289" s="869"/>
      <c r="P289" s="870"/>
      <c r="Q289" s="868">
        <f>CHMAData!AK36</f>
        <v>0</v>
      </c>
      <c r="R289" s="869"/>
      <c r="S289" s="869"/>
      <c r="T289" s="870"/>
      <c r="U289" s="868">
        <f>CHMAData!AL36</f>
        <v>0</v>
      </c>
      <c r="V289" s="869"/>
      <c r="W289" s="870"/>
      <c r="X289" s="868">
        <f>CHMAData!AM36</f>
        <v>0</v>
      </c>
      <c r="Y289" s="869"/>
      <c r="Z289" s="870"/>
      <c r="AA289" s="868">
        <f t="shared" si="5"/>
        <v>0</v>
      </c>
      <c r="AB289" s="869"/>
      <c r="AC289" s="869"/>
      <c r="AD289" s="870"/>
      <c r="AE289" s="866">
        <f>CHMAData!AO36</f>
        <v>0</v>
      </c>
      <c r="AF289" s="867"/>
      <c r="AG289" s="529"/>
      <c r="AH289" s="518"/>
      <c r="AJ289" s="595" t="b">
        <f t="shared" si="6"/>
        <v>0</v>
      </c>
    </row>
    <row r="290" spans="1:36" hidden="1" x14ac:dyDescent="0.45">
      <c r="A290" s="518"/>
      <c r="B290" s="514" t="s">
        <v>1439</v>
      </c>
      <c r="C290" s="515"/>
      <c r="D290" s="515"/>
      <c r="E290" s="515"/>
      <c r="F290" s="515"/>
      <c r="G290" s="890" t="str">
        <f>IF(CHMAData!W37=0,"",SUBSTITUTE(SUBSTITUTE(CHMAData!W37,"Acquired and Rehabilitated Housing","A/R"),"Newly Constructed Housing","N/C"))</f>
        <v/>
      </c>
      <c r="H290" s="891"/>
      <c r="I290" s="583" t="str">
        <f>IF(CHMAData!BP37=0,"",LEFT(CHMAData!BP37,1))</f>
        <v/>
      </c>
      <c r="J290" s="584" t="str">
        <f>IF(CHMAData!T37=0,"",LEFT(CHMAData!T37,1))</f>
        <v/>
      </c>
      <c r="K290" s="888">
        <f>CHMAData!AI37</f>
        <v>0</v>
      </c>
      <c r="L290" s="887"/>
      <c r="M290" s="868">
        <f>CHMAData!AJ37</f>
        <v>0</v>
      </c>
      <c r="N290" s="869"/>
      <c r="O290" s="869"/>
      <c r="P290" s="870"/>
      <c r="Q290" s="868">
        <f>CHMAData!AK37</f>
        <v>0</v>
      </c>
      <c r="R290" s="869"/>
      <c r="S290" s="869"/>
      <c r="T290" s="870"/>
      <c r="U290" s="868">
        <f>CHMAData!AL37</f>
        <v>0</v>
      </c>
      <c r="V290" s="869"/>
      <c r="W290" s="870"/>
      <c r="X290" s="868">
        <f>CHMAData!AM37</f>
        <v>0</v>
      </c>
      <c r="Y290" s="869"/>
      <c r="Z290" s="870"/>
      <c r="AA290" s="868">
        <f t="shared" si="5"/>
        <v>0</v>
      </c>
      <c r="AB290" s="869"/>
      <c r="AC290" s="869"/>
      <c r="AD290" s="870"/>
      <c r="AE290" s="866">
        <f>CHMAData!AO37</f>
        <v>0</v>
      </c>
      <c r="AF290" s="867"/>
      <c r="AG290" s="529"/>
      <c r="AH290" s="518"/>
      <c r="AJ290" s="595" t="b">
        <f t="shared" si="6"/>
        <v>0</v>
      </c>
    </row>
    <row r="291" spans="1:36" hidden="1" x14ac:dyDescent="0.45">
      <c r="A291" s="518"/>
      <c r="B291" s="514" t="s">
        <v>1440</v>
      </c>
      <c r="C291" s="515"/>
      <c r="D291" s="515"/>
      <c r="E291" s="515"/>
      <c r="F291" s="515"/>
      <c r="G291" s="890" t="str">
        <f>IF(CHMAData!W38=0,"",SUBSTITUTE(SUBSTITUTE(CHMAData!W38,"Acquired and Rehabilitated Housing","A/R"),"Newly Constructed Housing","N/C"))</f>
        <v/>
      </c>
      <c r="H291" s="891"/>
      <c r="I291" s="583" t="str">
        <f>IF(CHMAData!BP38=0,"",LEFT(CHMAData!BP38,1))</f>
        <v/>
      </c>
      <c r="J291" s="584" t="str">
        <f>IF(CHMAData!T38=0,"",LEFT(CHMAData!T38,1))</f>
        <v/>
      </c>
      <c r="K291" s="888">
        <f>CHMAData!AI38</f>
        <v>0</v>
      </c>
      <c r="L291" s="887"/>
      <c r="M291" s="868">
        <f>CHMAData!AJ38</f>
        <v>0</v>
      </c>
      <c r="N291" s="869"/>
      <c r="O291" s="869"/>
      <c r="P291" s="870"/>
      <c r="Q291" s="868">
        <f>CHMAData!AK38</f>
        <v>0</v>
      </c>
      <c r="R291" s="869"/>
      <c r="S291" s="869"/>
      <c r="T291" s="870"/>
      <c r="U291" s="868">
        <f>CHMAData!AL38</f>
        <v>0</v>
      </c>
      <c r="V291" s="869"/>
      <c r="W291" s="870"/>
      <c r="X291" s="868">
        <f>CHMAData!AM38</f>
        <v>0</v>
      </c>
      <c r="Y291" s="869"/>
      <c r="Z291" s="870"/>
      <c r="AA291" s="868">
        <f t="shared" si="5"/>
        <v>0</v>
      </c>
      <c r="AB291" s="869"/>
      <c r="AC291" s="869"/>
      <c r="AD291" s="870"/>
      <c r="AE291" s="866">
        <f>CHMAData!AO38</f>
        <v>0</v>
      </c>
      <c r="AF291" s="867"/>
      <c r="AG291" s="529"/>
      <c r="AH291" s="518"/>
      <c r="AJ291" s="595" t="b">
        <f t="shared" si="6"/>
        <v>0</v>
      </c>
    </row>
    <row r="292" spans="1:36" hidden="1" x14ac:dyDescent="0.45">
      <c r="A292" s="518"/>
      <c r="B292" s="514" t="s">
        <v>1441</v>
      </c>
      <c r="C292" s="515"/>
      <c r="D292" s="515"/>
      <c r="E292" s="515"/>
      <c r="F292" s="515"/>
      <c r="G292" s="890" t="str">
        <f>IF(CHMAData!W39=0,"",SUBSTITUTE(SUBSTITUTE(CHMAData!W39,"Acquired and Rehabilitated Housing","A/R"),"Newly Constructed Housing","N/C"))</f>
        <v/>
      </c>
      <c r="H292" s="891"/>
      <c r="I292" s="583" t="str">
        <f>IF(CHMAData!BP39=0,"",LEFT(CHMAData!BP39,1))</f>
        <v/>
      </c>
      <c r="J292" s="584" t="str">
        <f>IF(CHMAData!T39=0,"",LEFT(CHMAData!T39,1))</f>
        <v/>
      </c>
      <c r="K292" s="888">
        <f>CHMAData!AI39</f>
        <v>0</v>
      </c>
      <c r="L292" s="887"/>
      <c r="M292" s="868">
        <f>CHMAData!AJ39</f>
        <v>0</v>
      </c>
      <c r="N292" s="869"/>
      <c r="O292" s="869"/>
      <c r="P292" s="870"/>
      <c r="Q292" s="868">
        <f>CHMAData!AK39</f>
        <v>0</v>
      </c>
      <c r="R292" s="869"/>
      <c r="S292" s="869"/>
      <c r="T292" s="870"/>
      <c r="U292" s="868">
        <f>CHMAData!AL39</f>
        <v>0</v>
      </c>
      <c r="V292" s="869"/>
      <c r="W292" s="870"/>
      <c r="X292" s="868">
        <f>CHMAData!AM39</f>
        <v>0</v>
      </c>
      <c r="Y292" s="869"/>
      <c r="Z292" s="870"/>
      <c r="AA292" s="868">
        <f t="shared" si="5"/>
        <v>0</v>
      </c>
      <c r="AB292" s="869"/>
      <c r="AC292" s="869"/>
      <c r="AD292" s="870"/>
      <c r="AE292" s="866">
        <f>CHMAData!AO39</f>
        <v>0</v>
      </c>
      <c r="AF292" s="867"/>
      <c r="AG292" s="529"/>
      <c r="AH292" s="518"/>
      <c r="AJ292" s="595" t="b">
        <f t="shared" si="6"/>
        <v>0</v>
      </c>
    </row>
    <row r="293" spans="1:36" hidden="1" x14ac:dyDescent="0.45">
      <c r="A293" s="518"/>
      <c r="B293" s="514" t="s">
        <v>152</v>
      </c>
      <c r="C293" s="515"/>
      <c r="D293" s="515"/>
      <c r="E293" s="515"/>
      <c r="F293" s="515"/>
      <c r="G293" s="890" t="str">
        <f>IF(CHMAData!W40=0,"",SUBSTITUTE(SUBSTITUTE(CHMAData!W40,"Acquired and Rehabilitated Housing","A/R"),"Newly Constructed Housing","N/C"))</f>
        <v/>
      </c>
      <c r="H293" s="891"/>
      <c r="I293" s="583" t="str">
        <f>IF(CHMAData!BP40=0,"",LEFT(CHMAData!BP40,1))</f>
        <v/>
      </c>
      <c r="J293" s="584" t="str">
        <f>IF(CHMAData!T40=0,"",LEFT(CHMAData!T40,1))</f>
        <v/>
      </c>
      <c r="K293" s="888">
        <f>CHMAData!AI40</f>
        <v>0</v>
      </c>
      <c r="L293" s="887"/>
      <c r="M293" s="868">
        <f>CHMAData!AJ40</f>
        <v>0</v>
      </c>
      <c r="N293" s="869"/>
      <c r="O293" s="869"/>
      <c r="P293" s="870"/>
      <c r="Q293" s="868">
        <f>CHMAData!AK40</f>
        <v>0</v>
      </c>
      <c r="R293" s="869"/>
      <c r="S293" s="869"/>
      <c r="T293" s="870"/>
      <c r="U293" s="868">
        <f>CHMAData!AL40</f>
        <v>0</v>
      </c>
      <c r="V293" s="869"/>
      <c r="W293" s="870"/>
      <c r="X293" s="868">
        <f>CHMAData!AM40</f>
        <v>0</v>
      </c>
      <c r="Y293" s="869"/>
      <c r="Z293" s="870"/>
      <c r="AA293" s="868">
        <f t="shared" si="5"/>
        <v>0</v>
      </c>
      <c r="AB293" s="869"/>
      <c r="AC293" s="869"/>
      <c r="AD293" s="870"/>
      <c r="AE293" s="866">
        <f>CHMAData!AO40</f>
        <v>0</v>
      </c>
      <c r="AF293" s="867"/>
      <c r="AG293" s="529"/>
      <c r="AH293" s="518"/>
      <c r="AJ293" s="595" t="b">
        <f t="shared" si="6"/>
        <v>0</v>
      </c>
    </row>
    <row r="294" spans="1:36" hidden="1" x14ac:dyDescent="0.45">
      <c r="A294" s="518"/>
      <c r="B294" s="514" t="s">
        <v>1442</v>
      </c>
      <c r="C294" s="515"/>
      <c r="D294" s="515"/>
      <c r="E294" s="515"/>
      <c r="F294" s="515"/>
      <c r="G294" s="890" t="str">
        <f>IF(CHMAData!W41=0,"",SUBSTITUTE(SUBSTITUTE(CHMAData!W41,"Acquired and Rehabilitated Housing","A/R"),"Newly Constructed Housing","N/C"))</f>
        <v/>
      </c>
      <c r="H294" s="891"/>
      <c r="I294" s="583" t="str">
        <f>IF(CHMAData!BP41=0,"",LEFT(CHMAData!BP41,1))</f>
        <v/>
      </c>
      <c r="J294" s="584" t="str">
        <f>IF(CHMAData!T41=0,"",LEFT(CHMAData!T41,1))</f>
        <v/>
      </c>
      <c r="K294" s="888">
        <f>CHMAData!AI41</f>
        <v>0</v>
      </c>
      <c r="L294" s="887"/>
      <c r="M294" s="868">
        <f>CHMAData!AJ41</f>
        <v>0</v>
      </c>
      <c r="N294" s="869"/>
      <c r="O294" s="869"/>
      <c r="P294" s="870"/>
      <c r="Q294" s="868">
        <f>CHMAData!AK41</f>
        <v>0</v>
      </c>
      <c r="R294" s="869"/>
      <c r="S294" s="869"/>
      <c r="T294" s="870"/>
      <c r="U294" s="868">
        <f>CHMAData!AL41</f>
        <v>0</v>
      </c>
      <c r="V294" s="869"/>
      <c r="W294" s="870"/>
      <c r="X294" s="868">
        <f>CHMAData!AM41</f>
        <v>0</v>
      </c>
      <c r="Y294" s="869"/>
      <c r="Z294" s="870"/>
      <c r="AA294" s="868">
        <f t="shared" si="5"/>
        <v>0</v>
      </c>
      <c r="AB294" s="869"/>
      <c r="AC294" s="869"/>
      <c r="AD294" s="870"/>
      <c r="AE294" s="866">
        <f>CHMAData!AO41</f>
        <v>0</v>
      </c>
      <c r="AF294" s="867"/>
      <c r="AG294" s="529"/>
      <c r="AH294" s="518"/>
      <c r="AJ294" s="595" t="b">
        <f t="shared" si="6"/>
        <v>0</v>
      </c>
    </row>
    <row r="295" spans="1:36" hidden="1" x14ac:dyDescent="0.45">
      <c r="A295" s="518"/>
      <c r="B295" s="514" t="s">
        <v>1443</v>
      </c>
      <c r="C295" s="515"/>
      <c r="D295" s="515"/>
      <c r="E295" s="515"/>
      <c r="F295" s="515"/>
      <c r="G295" s="890" t="str">
        <f>IF(CHMAData!W42=0,"",SUBSTITUTE(SUBSTITUTE(CHMAData!W42,"Acquired and Rehabilitated Housing","A/R"),"Newly Constructed Housing","N/C"))</f>
        <v/>
      </c>
      <c r="H295" s="891"/>
      <c r="I295" s="583" t="str">
        <f>IF(CHMAData!BP42=0,"",LEFT(CHMAData!BP42,1))</f>
        <v/>
      </c>
      <c r="J295" s="584" t="str">
        <f>IF(CHMAData!T42=0,"",LEFT(CHMAData!T42,1))</f>
        <v/>
      </c>
      <c r="K295" s="888">
        <f>CHMAData!AI42</f>
        <v>0</v>
      </c>
      <c r="L295" s="887"/>
      <c r="M295" s="868">
        <f>CHMAData!AJ42</f>
        <v>0</v>
      </c>
      <c r="N295" s="869"/>
      <c r="O295" s="869"/>
      <c r="P295" s="870"/>
      <c r="Q295" s="868">
        <f>CHMAData!AK42</f>
        <v>0</v>
      </c>
      <c r="R295" s="869"/>
      <c r="S295" s="869"/>
      <c r="T295" s="870"/>
      <c r="U295" s="868">
        <f>CHMAData!AL42</f>
        <v>0</v>
      </c>
      <c r="V295" s="869"/>
      <c r="W295" s="870"/>
      <c r="X295" s="868">
        <f>CHMAData!AM42</f>
        <v>0</v>
      </c>
      <c r="Y295" s="869"/>
      <c r="Z295" s="870"/>
      <c r="AA295" s="868">
        <f t="shared" si="5"/>
        <v>0</v>
      </c>
      <c r="AB295" s="869"/>
      <c r="AC295" s="869"/>
      <c r="AD295" s="870"/>
      <c r="AE295" s="866">
        <f>CHMAData!AO42</f>
        <v>0</v>
      </c>
      <c r="AF295" s="867"/>
      <c r="AG295" s="529"/>
      <c r="AH295" s="518"/>
      <c r="AJ295" s="595" t="b">
        <f t="shared" si="6"/>
        <v>0</v>
      </c>
    </row>
    <row r="296" spans="1:36" hidden="1" x14ac:dyDescent="0.45">
      <c r="A296" s="518"/>
      <c r="B296" s="514" t="s">
        <v>1444</v>
      </c>
      <c r="C296" s="515"/>
      <c r="D296" s="515"/>
      <c r="E296" s="515"/>
      <c r="F296" s="515"/>
      <c r="G296" s="890" t="str">
        <f>IF(CHMAData!W43=0,"",SUBSTITUTE(SUBSTITUTE(CHMAData!W43,"Acquired and Rehabilitated Housing","A/R"),"Newly Constructed Housing","N/C"))</f>
        <v/>
      </c>
      <c r="H296" s="891"/>
      <c r="I296" s="583" t="str">
        <f>IF(CHMAData!BP43=0,"",LEFT(CHMAData!BP43,1))</f>
        <v/>
      </c>
      <c r="J296" s="584" t="str">
        <f>IF(CHMAData!T43=0,"",LEFT(CHMAData!T43,1))</f>
        <v/>
      </c>
      <c r="K296" s="888">
        <f>CHMAData!AI43</f>
        <v>0</v>
      </c>
      <c r="L296" s="887"/>
      <c r="M296" s="868">
        <f>CHMAData!AJ43</f>
        <v>0</v>
      </c>
      <c r="N296" s="869"/>
      <c r="O296" s="869"/>
      <c r="P296" s="870"/>
      <c r="Q296" s="868">
        <f>CHMAData!AK43</f>
        <v>0</v>
      </c>
      <c r="R296" s="869"/>
      <c r="S296" s="869"/>
      <c r="T296" s="870"/>
      <c r="U296" s="868">
        <f>CHMAData!AL43</f>
        <v>0</v>
      </c>
      <c r="V296" s="869"/>
      <c r="W296" s="870"/>
      <c r="X296" s="868">
        <f>CHMAData!AM43</f>
        <v>0</v>
      </c>
      <c r="Y296" s="869"/>
      <c r="Z296" s="870"/>
      <c r="AA296" s="868">
        <f t="shared" si="5"/>
        <v>0</v>
      </c>
      <c r="AB296" s="869"/>
      <c r="AC296" s="869"/>
      <c r="AD296" s="870"/>
      <c r="AE296" s="866">
        <f>CHMAData!AO43</f>
        <v>0</v>
      </c>
      <c r="AF296" s="867"/>
      <c r="AG296" s="529"/>
      <c r="AH296" s="518"/>
      <c r="AJ296" s="595" t="b">
        <f t="shared" si="6"/>
        <v>0</v>
      </c>
    </row>
    <row r="297" spans="1:36" hidden="1" x14ac:dyDescent="0.45">
      <c r="A297" s="518"/>
      <c r="B297" s="514" t="s">
        <v>1445</v>
      </c>
      <c r="C297" s="515"/>
      <c r="D297" s="515"/>
      <c r="E297" s="515"/>
      <c r="F297" s="515"/>
      <c r="G297" s="890" t="str">
        <f>IF(CHMAData!W44=0,"",SUBSTITUTE(SUBSTITUTE(CHMAData!W44,"Acquired and Rehabilitated Housing","A/R"),"Newly Constructed Housing","N/C"))</f>
        <v/>
      </c>
      <c r="H297" s="891"/>
      <c r="I297" s="583" t="str">
        <f>IF(CHMAData!BP44=0,"",LEFT(CHMAData!BP44,1))</f>
        <v/>
      </c>
      <c r="J297" s="584" t="str">
        <f>IF(CHMAData!T44=0,"",LEFT(CHMAData!T44,1))</f>
        <v/>
      </c>
      <c r="K297" s="888">
        <f>CHMAData!AI44</f>
        <v>0</v>
      </c>
      <c r="L297" s="887"/>
      <c r="M297" s="868">
        <f>CHMAData!AJ44</f>
        <v>0</v>
      </c>
      <c r="N297" s="869"/>
      <c r="O297" s="869"/>
      <c r="P297" s="870"/>
      <c r="Q297" s="868">
        <f>CHMAData!AK44</f>
        <v>0</v>
      </c>
      <c r="R297" s="869"/>
      <c r="S297" s="869"/>
      <c r="T297" s="870"/>
      <c r="U297" s="868">
        <f>CHMAData!AL44</f>
        <v>0</v>
      </c>
      <c r="V297" s="869"/>
      <c r="W297" s="870"/>
      <c r="X297" s="868">
        <f>CHMAData!AM44</f>
        <v>0</v>
      </c>
      <c r="Y297" s="869"/>
      <c r="Z297" s="870"/>
      <c r="AA297" s="868">
        <f t="shared" si="5"/>
        <v>0</v>
      </c>
      <c r="AB297" s="869"/>
      <c r="AC297" s="869"/>
      <c r="AD297" s="870"/>
      <c r="AE297" s="866">
        <f>CHMAData!AO44</f>
        <v>0</v>
      </c>
      <c r="AF297" s="867"/>
      <c r="AG297" s="529"/>
      <c r="AH297" s="518"/>
      <c r="AJ297" s="595" t="b">
        <f t="shared" si="6"/>
        <v>0</v>
      </c>
    </row>
    <row r="298" spans="1:36" hidden="1" x14ac:dyDescent="0.45">
      <c r="A298" s="518"/>
      <c r="B298" s="514" t="s">
        <v>1446</v>
      </c>
      <c r="C298" s="515"/>
      <c r="D298" s="515"/>
      <c r="E298" s="515"/>
      <c r="F298" s="515"/>
      <c r="G298" s="890" t="str">
        <f>IF(CHMAData!W45=0,"",SUBSTITUTE(SUBSTITUTE(CHMAData!W45,"Acquired and Rehabilitated Housing","A/R"),"Newly Constructed Housing","N/C"))</f>
        <v/>
      </c>
      <c r="H298" s="891"/>
      <c r="I298" s="583" t="str">
        <f>IF(CHMAData!BP45=0,"",LEFT(CHMAData!BP45,1))</f>
        <v/>
      </c>
      <c r="J298" s="584" t="str">
        <f>IF(CHMAData!T45=0,"",LEFT(CHMAData!T45,1))</f>
        <v/>
      </c>
      <c r="K298" s="888">
        <f>CHMAData!AI45</f>
        <v>0</v>
      </c>
      <c r="L298" s="887"/>
      <c r="M298" s="868">
        <f>CHMAData!AJ45</f>
        <v>0</v>
      </c>
      <c r="N298" s="869"/>
      <c r="O298" s="869"/>
      <c r="P298" s="870"/>
      <c r="Q298" s="868">
        <f>CHMAData!AK45</f>
        <v>0</v>
      </c>
      <c r="R298" s="869"/>
      <c r="S298" s="869"/>
      <c r="T298" s="870"/>
      <c r="U298" s="868">
        <f>CHMAData!AL45</f>
        <v>0</v>
      </c>
      <c r="V298" s="869"/>
      <c r="W298" s="870"/>
      <c r="X298" s="868">
        <f>CHMAData!AM45</f>
        <v>0</v>
      </c>
      <c r="Y298" s="869"/>
      <c r="Z298" s="870"/>
      <c r="AA298" s="868">
        <f t="shared" si="5"/>
        <v>0</v>
      </c>
      <c r="AB298" s="869"/>
      <c r="AC298" s="869"/>
      <c r="AD298" s="870"/>
      <c r="AE298" s="866">
        <f>CHMAData!AO45</f>
        <v>0</v>
      </c>
      <c r="AF298" s="867"/>
      <c r="AG298" s="529"/>
      <c r="AH298" s="518"/>
      <c r="AJ298" s="595" t="b">
        <f t="shared" si="6"/>
        <v>0</v>
      </c>
    </row>
    <row r="299" spans="1:36" hidden="1" x14ac:dyDescent="0.45">
      <c r="B299" s="514" t="s">
        <v>1447</v>
      </c>
      <c r="C299" s="515"/>
      <c r="D299" s="515"/>
      <c r="E299" s="515"/>
      <c r="F299" s="515"/>
      <c r="G299" s="890" t="str">
        <f>IF(CHMAData!W46=0,"",SUBSTITUTE(SUBSTITUTE(CHMAData!W46,"Acquired and Rehabilitated Housing","A/R"),"Newly Constructed Housing","N/C"))</f>
        <v/>
      </c>
      <c r="H299" s="891"/>
      <c r="I299" s="583" t="str">
        <f>IF(CHMAData!BP46=0,"",LEFT(CHMAData!BP46,1))</f>
        <v/>
      </c>
      <c r="J299" s="584" t="str">
        <f>IF(CHMAData!T46=0,"",LEFT(CHMAData!T46,1))</f>
        <v/>
      </c>
      <c r="K299" s="888">
        <f>CHMAData!AI46</f>
        <v>0</v>
      </c>
      <c r="L299" s="887"/>
      <c r="M299" s="868">
        <f>CHMAData!AJ46</f>
        <v>0</v>
      </c>
      <c r="N299" s="869"/>
      <c r="O299" s="869"/>
      <c r="P299" s="870"/>
      <c r="Q299" s="868">
        <f>CHMAData!AK46</f>
        <v>0</v>
      </c>
      <c r="R299" s="869"/>
      <c r="S299" s="869"/>
      <c r="T299" s="870"/>
      <c r="U299" s="868">
        <f>CHMAData!AL46</f>
        <v>0</v>
      </c>
      <c r="V299" s="869"/>
      <c r="W299" s="870"/>
      <c r="X299" s="868">
        <f>CHMAData!AM46</f>
        <v>0</v>
      </c>
      <c r="Y299" s="869"/>
      <c r="Z299" s="870"/>
      <c r="AA299" s="868">
        <f t="shared" si="5"/>
        <v>0</v>
      </c>
      <c r="AB299" s="869"/>
      <c r="AC299" s="869"/>
      <c r="AD299" s="870"/>
      <c r="AE299" s="866">
        <f>CHMAData!AO46</f>
        <v>0</v>
      </c>
      <c r="AF299" s="867"/>
      <c r="AG299" s="529"/>
      <c r="AH299" s="518"/>
      <c r="AJ299" s="595" t="b">
        <f t="shared" si="6"/>
        <v>0</v>
      </c>
    </row>
    <row r="300" spans="1:36" hidden="1" x14ac:dyDescent="0.45">
      <c r="B300" s="514" t="s">
        <v>1448</v>
      </c>
      <c r="C300" s="515"/>
      <c r="D300" s="515"/>
      <c r="E300" s="515"/>
      <c r="F300" s="515"/>
      <c r="G300" s="890" t="str">
        <f>IF(CHMAData!W47=0,"",SUBSTITUTE(SUBSTITUTE(CHMAData!W47,"Acquired and Rehabilitated Housing","A/R"),"Newly Constructed Housing","N/C"))</f>
        <v/>
      </c>
      <c r="H300" s="891"/>
      <c r="I300" s="583" t="str">
        <f>IF(CHMAData!BP47=0,"",LEFT(CHMAData!BP47,1))</f>
        <v/>
      </c>
      <c r="J300" s="584" t="str">
        <f>IF(CHMAData!T47=0,"",LEFT(CHMAData!T47,1))</f>
        <v/>
      </c>
      <c r="K300" s="888">
        <f>CHMAData!AI47</f>
        <v>0</v>
      </c>
      <c r="L300" s="887"/>
      <c r="M300" s="868">
        <f>CHMAData!AJ47</f>
        <v>0</v>
      </c>
      <c r="N300" s="869"/>
      <c r="O300" s="869"/>
      <c r="P300" s="870"/>
      <c r="Q300" s="868">
        <f>CHMAData!AK47</f>
        <v>0</v>
      </c>
      <c r="R300" s="869"/>
      <c r="S300" s="869"/>
      <c r="T300" s="870"/>
      <c r="U300" s="868">
        <f>CHMAData!AL47</f>
        <v>0</v>
      </c>
      <c r="V300" s="869"/>
      <c r="W300" s="870"/>
      <c r="X300" s="868">
        <f>CHMAData!AM47</f>
        <v>0</v>
      </c>
      <c r="Y300" s="869"/>
      <c r="Z300" s="870"/>
      <c r="AA300" s="868">
        <f t="shared" si="5"/>
        <v>0</v>
      </c>
      <c r="AB300" s="869"/>
      <c r="AC300" s="869"/>
      <c r="AD300" s="870"/>
      <c r="AE300" s="866">
        <f>CHMAData!AO47</f>
        <v>0</v>
      </c>
      <c r="AF300" s="867"/>
      <c r="AG300" s="529"/>
      <c r="AH300" s="518"/>
      <c r="AJ300" s="595" t="b">
        <f t="shared" si="6"/>
        <v>0</v>
      </c>
    </row>
    <row r="301" spans="1:36" hidden="1" x14ac:dyDescent="0.45">
      <c r="B301" s="514" t="s">
        <v>1449</v>
      </c>
      <c r="C301" s="515"/>
      <c r="D301" s="515"/>
      <c r="E301" s="515"/>
      <c r="F301" s="515"/>
      <c r="G301" s="890" t="str">
        <f>IF(CHMAData!W48=0,"",SUBSTITUTE(SUBSTITUTE(CHMAData!W48,"Acquired and Rehabilitated Housing","A/R"),"Newly Constructed Housing","N/C"))</f>
        <v/>
      </c>
      <c r="H301" s="891"/>
      <c r="I301" s="583" t="str">
        <f>IF(CHMAData!BP48=0,"",LEFT(CHMAData!BP48,1))</f>
        <v/>
      </c>
      <c r="J301" s="584" t="str">
        <f>IF(CHMAData!T48=0,"",LEFT(CHMAData!T48,1))</f>
        <v/>
      </c>
      <c r="K301" s="888">
        <f>CHMAData!AI48</f>
        <v>0</v>
      </c>
      <c r="L301" s="887"/>
      <c r="M301" s="868">
        <f>CHMAData!AJ48</f>
        <v>0</v>
      </c>
      <c r="N301" s="869"/>
      <c r="O301" s="869"/>
      <c r="P301" s="870"/>
      <c r="Q301" s="868">
        <f>CHMAData!AK48</f>
        <v>0</v>
      </c>
      <c r="R301" s="869"/>
      <c r="S301" s="869"/>
      <c r="T301" s="870"/>
      <c r="U301" s="868">
        <f>CHMAData!AL48</f>
        <v>0</v>
      </c>
      <c r="V301" s="869"/>
      <c r="W301" s="870"/>
      <c r="X301" s="868">
        <f>CHMAData!AM48</f>
        <v>0</v>
      </c>
      <c r="Y301" s="869"/>
      <c r="Z301" s="870"/>
      <c r="AA301" s="868">
        <f t="shared" si="5"/>
        <v>0</v>
      </c>
      <c r="AB301" s="869"/>
      <c r="AC301" s="869"/>
      <c r="AD301" s="870"/>
      <c r="AE301" s="866">
        <f>CHMAData!AO48</f>
        <v>0</v>
      </c>
      <c r="AF301" s="867"/>
      <c r="AG301" s="529"/>
      <c r="AH301" s="518"/>
      <c r="AJ301" s="595" t="b">
        <f t="shared" si="6"/>
        <v>0</v>
      </c>
    </row>
    <row r="302" spans="1:36" hidden="1" x14ac:dyDescent="0.45">
      <c r="B302" s="514" t="s">
        <v>1450</v>
      </c>
      <c r="C302" s="515"/>
      <c r="D302" s="515"/>
      <c r="E302" s="515"/>
      <c r="F302" s="515"/>
      <c r="G302" s="890" t="str">
        <f>IF(CHMAData!W49=0,"",SUBSTITUTE(SUBSTITUTE(CHMAData!W49,"Acquired and Rehabilitated Housing","A/R"),"Newly Constructed Housing","N/C"))</f>
        <v/>
      </c>
      <c r="H302" s="891"/>
      <c r="I302" s="583" t="str">
        <f>IF(CHMAData!BP49=0,"",LEFT(CHMAData!BP49,1))</f>
        <v/>
      </c>
      <c r="J302" s="584" t="str">
        <f>IF(CHMAData!T49=0,"",LEFT(CHMAData!T49,1))</f>
        <v/>
      </c>
      <c r="K302" s="888">
        <f>CHMAData!AI49</f>
        <v>0</v>
      </c>
      <c r="L302" s="887"/>
      <c r="M302" s="868">
        <f>CHMAData!AJ49</f>
        <v>0</v>
      </c>
      <c r="N302" s="869"/>
      <c r="O302" s="869"/>
      <c r="P302" s="870"/>
      <c r="Q302" s="868">
        <f>CHMAData!AK49</f>
        <v>0</v>
      </c>
      <c r="R302" s="869"/>
      <c r="S302" s="869"/>
      <c r="T302" s="870"/>
      <c r="U302" s="868">
        <f>CHMAData!AL49</f>
        <v>0</v>
      </c>
      <c r="V302" s="869"/>
      <c r="W302" s="870"/>
      <c r="X302" s="868">
        <f>CHMAData!AM49</f>
        <v>0</v>
      </c>
      <c r="Y302" s="869"/>
      <c r="Z302" s="870"/>
      <c r="AA302" s="868">
        <f t="shared" si="5"/>
        <v>0</v>
      </c>
      <c r="AB302" s="869"/>
      <c r="AC302" s="869"/>
      <c r="AD302" s="870"/>
      <c r="AE302" s="866">
        <f>CHMAData!AO49</f>
        <v>0</v>
      </c>
      <c r="AF302" s="867"/>
      <c r="AG302" s="529"/>
      <c r="AH302" s="518"/>
      <c r="AJ302" s="595" t="b">
        <f t="shared" si="6"/>
        <v>0</v>
      </c>
    </row>
    <row r="303" spans="1:36" hidden="1" x14ac:dyDescent="0.45">
      <c r="B303" s="514" t="s">
        <v>1451</v>
      </c>
      <c r="C303" s="515"/>
      <c r="D303" s="515"/>
      <c r="E303" s="515"/>
      <c r="F303" s="515"/>
      <c r="G303" s="890" t="str">
        <f>IF(CHMAData!W50=0,"",SUBSTITUTE(SUBSTITUTE(CHMAData!W50,"Acquired and Rehabilitated Housing","A/R"),"Newly Constructed Housing","N/C"))</f>
        <v/>
      </c>
      <c r="H303" s="891"/>
      <c r="I303" s="583" t="str">
        <f>IF(CHMAData!BP50=0,"",LEFT(CHMAData!BP50,1))</f>
        <v/>
      </c>
      <c r="J303" s="584" t="str">
        <f>IF(CHMAData!T50=0,"",LEFT(CHMAData!T50,1))</f>
        <v/>
      </c>
      <c r="K303" s="888">
        <f>CHMAData!AI50</f>
        <v>0</v>
      </c>
      <c r="L303" s="887"/>
      <c r="M303" s="868">
        <f>CHMAData!AJ50</f>
        <v>0</v>
      </c>
      <c r="N303" s="869"/>
      <c r="O303" s="869"/>
      <c r="P303" s="870"/>
      <c r="Q303" s="868">
        <f>CHMAData!AK50</f>
        <v>0</v>
      </c>
      <c r="R303" s="869"/>
      <c r="S303" s="869"/>
      <c r="T303" s="870"/>
      <c r="U303" s="868">
        <f>CHMAData!AL50</f>
        <v>0</v>
      </c>
      <c r="V303" s="869"/>
      <c r="W303" s="870"/>
      <c r="X303" s="868">
        <f>CHMAData!AM50</f>
        <v>0</v>
      </c>
      <c r="Y303" s="869"/>
      <c r="Z303" s="870"/>
      <c r="AA303" s="868">
        <f t="shared" si="5"/>
        <v>0</v>
      </c>
      <c r="AB303" s="869"/>
      <c r="AC303" s="869"/>
      <c r="AD303" s="870"/>
      <c r="AE303" s="866">
        <f>CHMAData!AO50</f>
        <v>0</v>
      </c>
      <c r="AF303" s="867"/>
      <c r="AG303" s="529"/>
      <c r="AH303" s="518"/>
      <c r="AJ303" s="595" t="b">
        <f t="shared" si="6"/>
        <v>0</v>
      </c>
    </row>
    <row r="304" spans="1:36" hidden="1" x14ac:dyDescent="0.45">
      <c r="B304" s="514" t="s">
        <v>1452</v>
      </c>
      <c r="C304" s="515"/>
      <c r="D304" s="515"/>
      <c r="E304" s="515"/>
      <c r="F304" s="515"/>
      <c r="G304" s="890" t="str">
        <f>IF(CHMAData!W51=0,"",SUBSTITUTE(SUBSTITUTE(CHMAData!W51,"Acquired and Rehabilitated Housing","A/R"),"Newly Constructed Housing","N/C"))</f>
        <v/>
      </c>
      <c r="H304" s="891"/>
      <c r="I304" s="583" t="str">
        <f>IF(CHMAData!BP51=0,"",LEFT(CHMAData!BP51,1))</f>
        <v/>
      </c>
      <c r="J304" s="584" t="str">
        <f>IF(CHMAData!T51=0,"",LEFT(CHMAData!T51,1))</f>
        <v/>
      </c>
      <c r="K304" s="888">
        <f>CHMAData!AI51</f>
        <v>0</v>
      </c>
      <c r="L304" s="887"/>
      <c r="M304" s="868">
        <f>CHMAData!AJ51</f>
        <v>0</v>
      </c>
      <c r="N304" s="869"/>
      <c r="O304" s="869"/>
      <c r="P304" s="870"/>
      <c r="Q304" s="868">
        <f>CHMAData!AK51</f>
        <v>0</v>
      </c>
      <c r="R304" s="869"/>
      <c r="S304" s="869"/>
      <c r="T304" s="870"/>
      <c r="U304" s="868">
        <f>CHMAData!AL51</f>
        <v>0</v>
      </c>
      <c r="V304" s="869"/>
      <c r="W304" s="870"/>
      <c r="X304" s="868">
        <f>CHMAData!AM51</f>
        <v>0</v>
      </c>
      <c r="Y304" s="869"/>
      <c r="Z304" s="870"/>
      <c r="AA304" s="868">
        <f t="shared" si="5"/>
        <v>0</v>
      </c>
      <c r="AB304" s="869"/>
      <c r="AC304" s="869"/>
      <c r="AD304" s="870"/>
      <c r="AE304" s="866">
        <f>CHMAData!AO51</f>
        <v>0</v>
      </c>
      <c r="AF304" s="867"/>
      <c r="AG304" s="529"/>
      <c r="AH304" s="518"/>
      <c r="AJ304" s="595" t="b">
        <f t="shared" si="6"/>
        <v>0</v>
      </c>
    </row>
    <row r="305" spans="1:36" hidden="1" x14ac:dyDescent="0.45">
      <c r="B305" s="514" t="s">
        <v>1453</v>
      </c>
      <c r="C305" s="515"/>
      <c r="D305" s="515"/>
      <c r="E305" s="515"/>
      <c r="F305" s="515"/>
      <c r="G305" s="890" t="str">
        <f>IF(CHMAData!W52=0,"",SUBSTITUTE(SUBSTITUTE(CHMAData!W52,"Acquired and Rehabilitated Housing","A/R"),"Newly Constructed Housing","N/C"))</f>
        <v/>
      </c>
      <c r="H305" s="891"/>
      <c r="I305" s="583" t="str">
        <f>IF(CHMAData!BP52=0,"",LEFT(CHMAData!BP52,1))</f>
        <v/>
      </c>
      <c r="J305" s="584" t="str">
        <f>IF(CHMAData!T52=0,"",LEFT(CHMAData!T52,1))</f>
        <v/>
      </c>
      <c r="K305" s="888">
        <f>CHMAData!AI52</f>
        <v>0</v>
      </c>
      <c r="L305" s="887"/>
      <c r="M305" s="868">
        <f>CHMAData!AJ52</f>
        <v>0</v>
      </c>
      <c r="N305" s="869"/>
      <c r="O305" s="869"/>
      <c r="P305" s="870"/>
      <c r="Q305" s="868">
        <f>CHMAData!AK52</f>
        <v>0</v>
      </c>
      <c r="R305" s="869"/>
      <c r="S305" s="869"/>
      <c r="T305" s="870"/>
      <c r="U305" s="868">
        <f>CHMAData!AL52</f>
        <v>0</v>
      </c>
      <c r="V305" s="869"/>
      <c r="W305" s="870"/>
      <c r="X305" s="868">
        <f>CHMAData!AM52</f>
        <v>0</v>
      </c>
      <c r="Y305" s="869"/>
      <c r="Z305" s="870"/>
      <c r="AA305" s="868">
        <f t="shared" si="5"/>
        <v>0</v>
      </c>
      <c r="AB305" s="869"/>
      <c r="AC305" s="869"/>
      <c r="AD305" s="870"/>
      <c r="AE305" s="866">
        <f>CHMAData!AO52</f>
        <v>0</v>
      </c>
      <c r="AF305" s="867"/>
      <c r="AG305" s="529"/>
      <c r="AH305" s="518"/>
      <c r="AJ305" s="595" t="b">
        <f t="shared" si="6"/>
        <v>0</v>
      </c>
    </row>
    <row r="306" spans="1:36" hidden="1" x14ac:dyDescent="0.45">
      <c r="B306" s="514" t="s">
        <v>1454</v>
      </c>
      <c r="C306" s="515"/>
      <c r="D306" s="515"/>
      <c r="E306" s="515"/>
      <c r="F306" s="515"/>
      <c r="G306" s="890" t="str">
        <f>IF(CHMAData!W53=0,"",SUBSTITUTE(SUBSTITUTE(CHMAData!W53,"Acquired and Rehabilitated Housing","A/R"),"Newly Constructed Housing","N/C"))</f>
        <v/>
      </c>
      <c r="H306" s="891"/>
      <c r="I306" s="583" t="str">
        <f>IF(CHMAData!BP53=0,"",LEFT(CHMAData!BP53,1))</f>
        <v/>
      </c>
      <c r="J306" s="584" t="str">
        <f>IF(CHMAData!T53=0,"",LEFT(CHMAData!T53,1))</f>
        <v/>
      </c>
      <c r="K306" s="888">
        <f>CHMAData!AI53</f>
        <v>0</v>
      </c>
      <c r="L306" s="887"/>
      <c r="M306" s="868">
        <f>CHMAData!AJ53</f>
        <v>0</v>
      </c>
      <c r="N306" s="869"/>
      <c r="O306" s="869"/>
      <c r="P306" s="870"/>
      <c r="Q306" s="868">
        <f>CHMAData!AK53</f>
        <v>0</v>
      </c>
      <c r="R306" s="869"/>
      <c r="S306" s="869"/>
      <c r="T306" s="870"/>
      <c r="U306" s="868">
        <f>CHMAData!AL53</f>
        <v>0</v>
      </c>
      <c r="V306" s="869"/>
      <c r="W306" s="870"/>
      <c r="X306" s="868">
        <f>CHMAData!AM53</f>
        <v>0</v>
      </c>
      <c r="Y306" s="869"/>
      <c r="Z306" s="870"/>
      <c r="AA306" s="868">
        <f t="shared" si="5"/>
        <v>0</v>
      </c>
      <c r="AB306" s="869"/>
      <c r="AC306" s="869"/>
      <c r="AD306" s="870"/>
      <c r="AE306" s="866">
        <f>CHMAData!AO53</f>
        <v>0</v>
      </c>
      <c r="AF306" s="867"/>
      <c r="AG306" s="529"/>
      <c r="AH306" s="518"/>
      <c r="AJ306" s="595" t="b">
        <f t="shared" si="6"/>
        <v>0</v>
      </c>
    </row>
    <row r="307" spans="1:36" hidden="1" x14ac:dyDescent="0.45">
      <c r="B307" s="514" t="s">
        <v>1455</v>
      </c>
      <c r="C307" s="515"/>
      <c r="D307" s="515"/>
      <c r="E307" s="515"/>
      <c r="F307" s="515"/>
      <c r="G307" s="890" t="str">
        <f>IF(CHMAData!W54=0,"",SUBSTITUTE(SUBSTITUTE(CHMAData!W54,"Acquired and Rehabilitated Housing","A/R"),"Newly Constructed Housing","N/C"))</f>
        <v/>
      </c>
      <c r="H307" s="891"/>
      <c r="I307" s="583" t="str">
        <f>IF(CHMAData!BP54=0,"",LEFT(CHMAData!BP54,1))</f>
        <v/>
      </c>
      <c r="J307" s="584" t="str">
        <f>IF(CHMAData!T54=0,"",LEFT(CHMAData!T54,1))</f>
        <v/>
      </c>
      <c r="K307" s="888">
        <f>CHMAData!AI54</f>
        <v>0</v>
      </c>
      <c r="L307" s="887"/>
      <c r="M307" s="868">
        <f>CHMAData!AJ54</f>
        <v>0</v>
      </c>
      <c r="N307" s="869"/>
      <c r="O307" s="869"/>
      <c r="P307" s="870"/>
      <c r="Q307" s="868">
        <f>CHMAData!AK54</f>
        <v>0</v>
      </c>
      <c r="R307" s="869"/>
      <c r="S307" s="869"/>
      <c r="T307" s="870"/>
      <c r="U307" s="868">
        <f>CHMAData!AL54</f>
        <v>0</v>
      </c>
      <c r="V307" s="869"/>
      <c r="W307" s="870"/>
      <c r="X307" s="868">
        <f>CHMAData!AM54</f>
        <v>0</v>
      </c>
      <c r="Y307" s="869"/>
      <c r="Z307" s="870"/>
      <c r="AA307" s="868">
        <f t="shared" si="5"/>
        <v>0</v>
      </c>
      <c r="AB307" s="869"/>
      <c r="AC307" s="869"/>
      <c r="AD307" s="870"/>
      <c r="AE307" s="866">
        <f>CHMAData!AO54</f>
        <v>0</v>
      </c>
      <c r="AF307" s="867"/>
      <c r="AG307" s="529"/>
      <c r="AH307" s="518"/>
      <c r="AJ307" s="595" t="b">
        <f t="shared" si="6"/>
        <v>0</v>
      </c>
    </row>
    <row r="308" spans="1:36" hidden="1" x14ac:dyDescent="0.45">
      <c r="B308" s="514" t="s">
        <v>1456</v>
      </c>
      <c r="C308" s="515"/>
      <c r="D308" s="515"/>
      <c r="E308" s="515"/>
      <c r="F308" s="515"/>
      <c r="G308" s="890" t="str">
        <f>IF(CHMAData!W55=0,"",SUBSTITUTE(SUBSTITUTE(CHMAData!W55,"Acquired and Rehabilitated Housing","A/R"),"Newly Constructed Housing","N/C"))</f>
        <v/>
      </c>
      <c r="H308" s="891"/>
      <c r="I308" s="583" t="str">
        <f>IF(CHMAData!BP55=0,"",LEFT(CHMAData!BP55,1))</f>
        <v/>
      </c>
      <c r="J308" s="584" t="str">
        <f>IF(CHMAData!T55=0,"",LEFT(CHMAData!T55,1))</f>
        <v/>
      </c>
      <c r="K308" s="888">
        <f>CHMAData!AI55</f>
        <v>0</v>
      </c>
      <c r="L308" s="887"/>
      <c r="M308" s="868">
        <f>CHMAData!AJ55</f>
        <v>0</v>
      </c>
      <c r="N308" s="869"/>
      <c r="O308" s="869"/>
      <c r="P308" s="870"/>
      <c r="Q308" s="868">
        <f>CHMAData!AK55</f>
        <v>0</v>
      </c>
      <c r="R308" s="869"/>
      <c r="S308" s="869"/>
      <c r="T308" s="870"/>
      <c r="U308" s="868">
        <f>CHMAData!AL55</f>
        <v>0</v>
      </c>
      <c r="V308" s="869"/>
      <c r="W308" s="870"/>
      <c r="X308" s="868">
        <f>CHMAData!AM55</f>
        <v>0</v>
      </c>
      <c r="Y308" s="869"/>
      <c r="Z308" s="870"/>
      <c r="AA308" s="868">
        <f t="shared" si="5"/>
        <v>0</v>
      </c>
      <c r="AB308" s="869"/>
      <c r="AC308" s="869"/>
      <c r="AD308" s="870"/>
      <c r="AE308" s="866">
        <f>CHMAData!AO55</f>
        <v>0</v>
      </c>
      <c r="AF308" s="867"/>
      <c r="AG308" s="529"/>
      <c r="AH308" s="518"/>
      <c r="AJ308" s="595" t="b">
        <f t="shared" si="6"/>
        <v>0</v>
      </c>
    </row>
    <row r="309" spans="1:36" hidden="1" x14ac:dyDescent="0.45">
      <c r="B309" s="514" t="s">
        <v>1457</v>
      </c>
      <c r="C309" s="515"/>
      <c r="D309" s="515"/>
      <c r="E309" s="515"/>
      <c r="F309" s="515"/>
      <c r="G309" s="890" t="str">
        <f>IF(CHMAData!W56=0,"",SUBSTITUTE(SUBSTITUTE(CHMAData!W56,"Acquired and Rehabilitated Housing","A/R"),"Newly Constructed Housing","N/C"))</f>
        <v/>
      </c>
      <c r="H309" s="891"/>
      <c r="I309" s="583" t="str">
        <f>IF(CHMAData!BP56=0,"",LEFT(CHMAData!BP56,1))</f>
        <v/>
      </c>
      <c r="J309" s="584" t="str">
        <f>IF(CHMAData!T56=0,"",LEFT(CHMAData!T56,1))</f>
        <v/>
      </c>
      <c r="K309" s="888">
        <f>CHMAData!AI56</f>
        <v>0</v>
      </c>
      <c r="L309" s="887"/>
      <c r="M309" s="868">
        <f>CHMAData!AJ56</f>
        <v>0</v>
      </c>
      <c r="N309" s="869"/>
      <c r="O309" s="869"/>
      <c r="P309" s="870"/>
      <c r="Q309" s="868">
        <f>CHMAData!AK56</f>
        <v>0</v>
      </c>
      <c r="R309" s="869"/>
      <c r="S309" s="869"/>
      <c r="T309" s="870"/>
      <c r="U309" s="868">
        <f>CHMAData!AL56</f>
        <v>0</v>
      </c>
      <c r="V309" s="869"/>
      <c r="W309" s="870"/>
      <c r="X309" s="868">
        <f>CHMAData!AM56</f>
        <v>0</v>
      </c>
      <c r="Y309" s="869"/>
      <c r="Z309" s="870"/>
      <c r="AA309" s="868">
        <f t="shared" si="5"/>
        <v>0</v>
      </c>
      <c r="AB309" s="869"/>
      <c r="AC309" s="869"/>
      <c r="AD309" s="870"/>
      <c r="AE309" s="866">
        <f>CHMAData!AO56</f>
        <v>0</v>
      </c>
      <c r="AF309" s="867"/>
      <c r="AG309" s="529"/>
      <c r="AH309" s="518"/>
      <c r="AJ309" s="595" t="b">
        <f t="shared" si="6"/>
        <v>0</v>
      </c>
    </row>
    <row r="310" spans="1:36" hidden="1" x14ac:dyDescent="0.45">
      <c r="B310" s="514" t="s">
        <v>1458</v>
      </c>
      <c r="C310" s="515"/>
      <c r="D310" s="515"/>
      <c r="E310" s="515"/>
      <c r="F310" s="515"/>
      <c r="G310" s="890" t="str">
        <f>IF(CHMAData!W57=0,"",SUBSTITUTE(SUBSTITUTE(CHMAData!W57,"Acquired and Rehabilitated Housing","A/R"),"Newly Constructed Housing","N/C"))</f>
        <v/>
      </c>
      <c r="H310" s="891"/>
      <c r="I310" s="583" t="str">
        <f>IF(CHMAData!BP57=0,"",LEFT(CHMAData!BP57,1))</f>
        <v/>
      </c>
      <c r="J310" s="584" t="str">
        <f>IF(CHMAData!T57=0,"",LEFT(CHMAData!T57,1))</f>
        <v/>
      </c>
      <c r="K310" s="888">
        <f>CHMAData!AI57</f>
        <v>0</v>
      </c>
      <c r="L310" s="887"/>
      <c r="M310" s="868">
        <f>CHMAData!AJ57</f>
        <v>0</v>
      </c>
      <c r="N310" s="869"/>
      <c r="O310" s="869"/>
      <c r="P310" s="870"/>
      <c r="Q310" s="868">
        <f>CHMAData!AK57</f>
        <v>0</v>
      </c>
      <c r="R310" s="869"/>
      <c r="S310" s="869"/>
      <c r="T310" s="870"/>
      <c r="U310" s="868">
        <f>CHMAData!AL57</f>
        <v>0</v>
      </c>
      <c r="V310" s="869"/>
      <c r="W310" s="870"/>
      <c r="X310" s="868">
        <f>CHMAData!AM57</f>
        <v>0</v>
      </c>
      <c r="Y310" s="869"/>
      <c r="Z310" s="870"/>
      <c r="AA310" s="868">
        <f t="shared" si="5"/>
        <v>0</v>
      </c>
      <c r="AB310" s="869"/>
      <c r="AC310" s="869"/>
      <c r="AD310" s="870"/>
      <c r="AE310" s="866">
        <f>CHMAData!AO57</f>
        <v>0</v>
      </c>
      <c r="AF310" s="867"/>
      <c r="AG310" s="529"/>
      <c r="AH310" s="518"/>
      <c r="AJ310" s="595" t="b">
        <f t="shared" si="6"/>
        <v>0</v>
      </c>
    </row>
    <row r="311" spans="1:36" hidden="1" x14ac:dyDescent="0.45">
      <c r="B311" s="514" t="s">
        <v>1459</v>
      </c>
      <c r="C311" s="515"/>
      <c r="D311" s="515"/>
      <c r="E311" s="515"/>
      <c r="F311" s="515"/>
      <c r="G311" s="890" t="str">
        <f>IF(CHMAData!W58=0,"",SUBSTITUTE(SUBSTITUTE(CHMAData!W58,"Acquired and Rehabilitated Housing","A/R"),"Newly Constructed Housing","N/C"))</f>
        <v/>
      </c>
      <c r="H311" s="891"/>
      <c r="I311" s="583" t="str">
        <f>IF(CHMAData!BP58=0,"",LEFT(CHMAData!BP58,1))</f>
        <v/>
      </c>
      <c r="J311" s="584" t="str">
        <f>IF(CHMAData!T58=0,"",LEFT(CHMAData!T58,1))</f>
        <v/>
      </c>
      <c r="K311" s="888">
        <f>CHMAData!AI58</f>
        <v>0</v>
      </c>
      <c r="L311" s="887"/>
      <c r="M311" s="868">
        <f>CHMAData!AJ58</f>
        <v>0</v>
      </c>
      <c r="N311" s="869"/>
      <c r="O311" s="869"/>
      <c r="P311" s="870"/>
      <c r="Q311" s="868">
        <f>CHMAData!AK58</f>
        <v>0</v>
      </c>
      <c r="R311" s="869"/>
      <c r="S311" s="869"/>
      <c r="T311" s="870"/>
      <c r="U311" s="868">
        <f>CHMAData!AL58</f>
        <v>0</v>
      </c>
      <c r="V311" s="869"/>
      <c r="W311" s="870"/>
      <c r="X311" s="868">
        <f>CHMAData!AM58</f>
        <v>0</v>
      </c>
      <c r="Y311" s="869"/>
      <c r="Z311" s="870"/>
      <c r="AA311" s="868">
        <f t="shared" si="5"/>
        <v>0</v>
      </c>
      <c r="AB311" s="869"/>
      <c r="AC311" s="869"/>
      <c r="AD311" s="870"/>
      <c r="AE311" s="866">
        <f>CHMAData!AO58</f>
        <v>0</v>
      </c>
      <c r="AF311" s="867"/>
      <c r="AG311" s="529"/>
      <c r="AH311" s="518"/>
      <c r="AJ311" s="595" t="b">
        <f t="shared" si="6"/>
        <v>0</v>
      </c>
    </row>
    <row r="312" spans="1:36" hidden="1" x14ac:dyDescent="0.45">
      <c r="A312" s="518"/>
      <c r="B312" s="514" t="s">
        <v>1460</v>
      </c>
      <c r="C312" s="515"/>
      <c r="D312" s="515"/>
      <c r="E312" s="515"/>
      <c r="F312" s="515"/>
      <c r="G312" s="890" t="str">
        <f>IF(CHMAData!W59=0,"",SUBSTITUTE(SUBSTITUTE(CHMAData!W59,"Acquired and Rehabilitated Housing","A/R"),"Newly Constructed Housing","N/C"))</f>
        <v/>
      </c>
      <c r="H312" s="891"/>
      <c r="I312" s="583" t="str">
        <f>IF(CHMAData!BP59=0,"",LEFT(CHMAData!BP59,1))</f>
        <v/>
      </c>
      <c r="J312" s="584" t="str">
        <f>IF(CHMAData!T59=0,"",LEFT(CHMAData!T59,1))</f>
        <v/>
      </c>
      <c r="K312" s="888">
        <f>CHMAData!AI59</f>
        <v>0</v>
      </c>
      <c r="L312" s="887"/>
      <c r="M312" s="868">
        <f>CHMAData!AJ59</f>
        <v>0</v>
      </c>
      <c r="N312" s="869"/>
      <c r="O312" s="869"/>
      <c r="P312" s="870"/>
      <c r="Q312" s="868">
        <f>CHMAData!AK59</f>
        <v>0</v>
      </c>
      <c r="R312" s="869"/>
      <c r="S312" s="869"/>
      <c r="T312" s="870"/>
      <c r="U312" s="868">
        <f>CHMAData!AL59</f>
        <v>0</v>
      </c>
      <c r="V312" s="869"/>
      <c r="W312" s="870"/>
      <c r="X312" s="868">
        <f>CHMAData!AM59</f>
        <v>0</v>
      </c>
      <c r="Y312" s="869"/>
      <c r="Z312" s="870"/>
      <c r="AA312" s="868">
        <f t="shared" si="5"/>
        <v>0</v>
      </c>
      <c r="AB312" s="869"/>
      <c r="AC312" s="869"/>
      <c r="AD312" s="870"/>
      <c r="AE312" s="866">
        <f>CHMAData!AO59</f>
        <v>0</v>
      </c>
      <c r="AF312" s="867"/>
      <c r="AG312" s="529"/>
      <c r="AH312" s="518"/>
      <c r="AJ312" s="595" t="b">
        <f t="shared" si="6"/>
        <v>0</v>
      </c>
    </row>
    <row r="313" spans="1:36" hidden="1" x14ac:dyDescent="0.45">
      <c r="A313" s="518"/>
      <c r="B313" s="514" t="s">
        <v>1461</v>
      </c>
      <c r="C313" s="515"/>
      <c r="D313" s="515"/>
      <c r="E313" s="515"/>
      <c r="F313" s="515"/>
      <c r="G313" s="890" t="str">
        <f>IF(CHMAData!W60=0,"",SUBSTITUTE(SUBSTITUTE(CHMAData!W60,"Acquired and Rehabilitated Housing","A/R"),"Newly Constructed Housing","N/C"))</f>
        <v/>
      </c>
      <c r="H313" s="891"/>
      <c r="I313" s="583" t="str">
        <f>IF(CHMAData!BP60=0,"",LEFT(CHMAData!BP60,1))</f>
        <v/>
      </c>
      <c r="J313" s="584" t="str">
        <f>IF(CHMAData!T60=0,"",LEFT(CHMAData!T60,1))</f>
        <v/>
      </c>
      <c r="K313" s="888">
        <f>CHMAData!AI60</f>
        <v>0</v>
      </c>
      <c r="L313" s="887"/>
      <c r="M313" s="868">
        <f>CHMAData!AJ60</f>
        <v>0</v>
      </c>
      <c r="N313" s="869"/>
      <c r="O313" s="869"/>
      <c r="P313" s="870"/>
      <c r="Q313" s="868">
        <f>CHMAData!AK60</f>
        <v>0</v>
      </c>
      <c r="R313" s="869"/>
      <c r="S313" s="869"/>
      <c r="T313" s="870"/>
      <c r="U313" s="868">
        <f>CHMAData!AL60</f>
        <v>0</v>
      </c>
      <c r="V313" s="869"/>
      <c r="W313" s="870"/>
      <c r="X313" s="868">
        <f>CHMAData!AM60</f>
        <v>0</v>
      </c>
      <c r="Y313" s="869"/>
      <c r="Z313" s="870"/>
      <c r="AA313" s="868">
        <f t="shared" si="5"/>
        <v>0</v>
      </c>
      <c r="AB313" s="869"/>
      <c r="AC313" s="869"/>
      <c r="AD313" s="870"/>
      <c r="AE313" s="866">
        <f>CHMAData!AO60</f>
        <v>0</v>
      </c>
      <c r="AF313" s="867"/>
      <c r="AG313" s="529"/>
      <c r="AH313" s="518"/>
      <c r="AJ313" s="595" t="b">
        <f t="shared" si="6"/>
        <v>0</v>
      </c>
    </row>
    <row r="314" spans="1:36" hidden="1" x14ac:dyDescent="0.45">
      <c r="A314" s="518"/>
      <c r="B314" s="518"/>
      <c r="C314" s="518"/>
      <c r="D314" s="518"/>
      <c r="E314" s="518"/>
      <c r="F314" s="518"/>
      <c r="G314" s="518"/>
      <c r="H314" s="518"/>
      <c r="I314" s="518"/>
      <c r="J314" s="518"/>
      <c r="K314" s="518"/>
      <c r="L314" s="518"/>
      <c r="M314" s="518"/>
      <c r="N314" s="518"/>
      <c r="O314" s="518"/>
      <c r="P314" s="518"/>
      <c r="Q314" s="518"/>
      <c r="R314" s="518"/>
      <c r="S314" s="518"/>
      <c r="T314" s="518"/>
      <c r="U314" s="518"/>
      <c r="V314" s="518"/>
      <c r="W314" s="518"/>
      <c r="X314" s="518"/>
      <c r="Y314" s="518"/>
      <c r="Z314" s="518"/>
      <c r="AA314" s="518"/>
      <c r="AB314" s="518"/>
      <c r="AC314" s="518"/>
      <c r="AD314" s="518"/>
      <c r="AE314" s="518"/>
      <c r="AF314" s="518"/>
      <c r="AG314" s="518"/>
      <c r="AH314" s="518"/>
      <c r="AJ314" s="595" t="b">
        <f>AJ249</f>
        <v>0</v>
      </c>
    </row>
    <row r="315" spans="1:36" hidden="1" x14ac:dyDescent="0.45">
      <c r="A315" s="518"/>
      <c r="B315" s="917" t="s">
        <v>173</v>
      </c>
      <c r="C315" s="918"/>
      <c r="D315" s="918"/>
      <c r="E315" s="918"/>
      <c r="F315" s="918"/>
      <c r="G315" s="918"/>
      <c r="H315" s="919">
        <f>CH_MA_ManufacturedTotalRequested</f>
        <v>0</v>
      </c>
      <c r="I315" s="920"/>
      <c r="J315" s="920"/>
      <c r="K315" s="920"/>
      <c r="L315" s="920"/>
      <c r="M315" s="920"/>
      <c r="N315" s="921"/>
      <c r="O315" s="518"/>
      <c r="P315" s="518"/>
      <c r="Q315" s="518"/>
      <c r="R315" s="518"/>
      <c r="S315" s="518"/>
      <c r="T315" s="518"/>
      <c r="U315" s="518"/>
      <c r="V315" s="518"/>
      <c r="W315" s="518"/>
      <c r="X315" s="518"/>
      <c r="Y315" s="518"/>
      <c r="Z315" s="518"/>
      <c r="AA315" s="518"/>
      <c r="AB315" s="518"/>
      <c r="AC315" s="518"/>
      <c r="AD315" s="518"/>
      <c r="AE315" s="518"/>
      <c r="AF315" s="518"/>
      <c r="AG315" s="518"/>
      <c r="AH315" s="518"/>
      <c r="AJ315" s="595"/>
    </row>
    <row r="316" spans="1:36" hidden="1" x14ac:dyDescent="0.45">
      <c r="A316" s="518"/>
      <c r="B316" s="518"/>
      <c r="C316" s="518"/>
      <c r="D316" s="518"/>
      <c r="E316" s="518"/>
      <c r="F316" s="518"/>
      <c r="G316" s="518"/>
      <c r="H316" s="518"/>
      <c r="I316" s="518"/>
      <c r="J316" s="518"/>
      <c r="K316" s="518"/>
      <c r="L316" s="518"/>
      <c r="M316" s="518"/>
      <c r="N316" s="518"/>
      <c r="O316" s="518"/>
      <c r="P316" s="518"/>
      <c r="Q316" s="518"/>
      <c r="R316" s="518"/>
      <c r="S316" s="518"/>
      <c r="T316" s="518"/>
      <c r="U316" s="518"/>
      <c r="V316" s="518"/>
      <c r="W316" s="518"/>
      <c r="X316" s="518"/>
      <c r="Y316" s="518"/>
      <c r="Z316" s="518"/>
      <c r="AA316" s="518"/>
      <c r="AB316" s="518"/>
      <c r="AC316" s="518"/>
      <c r="AD316" s="518"/>
      <c r="AE316" s="518"/>
      <c r="AF316" s="518"/>
      <c r="AG316" s="518"/>
      <c r="AH316" s="518"/>
      <c r="AJ316" s="595"/>
    </row>
    <row r="317" spans="1:36" hidden="1" x14ac:dyDescent="0.45">
      <c r="A317" s="518"/>
      <c r="B317" s="923" t="s">
        <v>1854</v>
      </c>
      <c r="C317" s="923"/>
      <c r="D317" s="923"/>
      <c r="E317" s="923"/>
      <c r="F317" s="923"/>
      <c r="G317" s="923"/>
      <c r="H317" s="923"/>
      <c r="I317" s="923"/>
      <c r="J317" s="923"/>
      <c r="K317" s="923"/>
      <c r="L317" s="923"/>
      <c r="M317" s="923"/>
      <c r="N317" s="923"/>
      <c r="O317" s="923"/>
      <c r="P317" s="923"/>
      <c r="Q317" s="923"/>
      <c r="R317" s="923"/>
      <c r="S317" s="923"/>
      <c r="T317" s="923"/>
      <c r="U317" s="923"/>
      <c r="V317" s="923"/>
      <c r="W317" s="923"/>
      <c r="X317" s="923"/>
      <c r="Y317" s="923"/>
      <c r="Z317" s="923"/>
      <c r="AA317" s="923"/>
      <c r="AB317" s="923"/>
      <c r="AC317" s="923"/>
      <c r="AD317" s="923"/>
      <c r="AE317" s="923"/>
      <c r="AF317" s="923"/>
      <c r="AG317" s="923"/>
      <c r="AH317" s="518"/>
      <c r="AJ317" s="595"/>
    </row>
    <row r="318" spans="1:36" hidden="1" x14ac:dyDescent="0.45">
      <c r="A318" s="518"/>
      <c r="B318" s="922" t="s">
        <v>174</v>
      </c>
      <c r="C318" s="922"/>
      <c r="D318" s="922"/>
      <c r="E318" s="922"/>
      <c r="F318" s="922"/>
      <c r="G318" s="922"/>
      <c r="H318" s="922"/>
      <c r="I318" s="922"/>
      <c r="J318" s="922"/>
      <c r="K318" s="922"/>
      <c r="L318" s="922"/>
      <c r="M318" s="922"/>
      <c r="N318" s="922"/>
      <c r="O318" s="878"/>
      <c r="P318" s="879"/>
      <c r="Q318" s="880"/>
      <c r="R318" s="518"/>
      <c r="S318" s="518"/>
      <c r="T318" s="518"/>
      <c r="U318" s="518"/>
      <c r="V318" s="518"/>
      <c r="W318" s="518"/>
      <c r="X318" s="518"/>
      <c r="Y318" s="518"/>
      <c r="Z318" s="518"/>
      <c r="AA318" s="518"/>
      <c r="AB318" s="518"/>
      <c r="AC318" s="518"/>
      <c r="AD318" s="518"/>
      <c r="AE318" s="518"/>
      <c r="AF318" s="518"/>
      <c r="AG318" s="518"/>
      <c r="AH318" s="518"/>
      <c r="AJ318" s="595"/>
    </row>
    <row r="319" spans="1:36" hidden="1" x14ac:dyDescent="0.45">
      <c r="A319" s="518"/>
      <c r="B319" s="922" t="s">
        <v>175</v>
      </c>
      <c r="C319" s="922"/>
      <c r="D319" s="922"/>
      <c r="E319" s="922"/>
      <c r="F319" s="922"/>
      <c r="G319" s="922"/>
      <c r="H319" s="922"/>
      <c r="I319" s="922"/>
      <c r="J319" s="922"/>
      <c r="K319" s="922"/>
      <c r="L319" s="922"/>
      <c r="M319" s="922"/>
      <c r="N319" s="922"/>
      <c r="O319" s="878"/>
      <c r="P319" s="879"/>
      <c r="Q319" s="880"/>
      <c r="R319" s="518"/>
      <c r="S319" s="518"/>
      <c r="T319" s="518"/>
      <c r="U319" s="518"/>
      <c r="V319" s="518"/>
      <c r="W319" s="518"/>
      <c r="X319" s="518"/>
      <c r="Y319" s="518"/>
      <c r="Z319" s="518"/>
      <c r="AA319" s="518"/>
      <c r="AB319" s="518"/>
      <c r="AC319" s="518"/>
      <c r="AD319" s="518"/>
      <c r="AE319" s="518"/>
      <c r="AF319" s="518"/>
      <c r="AG319" s="518"/>
      <c r="AH319" s="518"/>
      <c r="AJ319" s="595"/>
    </row>
    <row r="320" spans="1:36" hidden="1" x14ac:dyDescent="0.45">
      <c r="A320" s="518"/>
      <c r="B320" s="922" t="s">
        <v>176</v>
      </c>
      <c r="C320" s="922"/>
      <c r="D320" s="922"/>
      <c r="E320" s="922"/>
      <c r="F320" s="922"/>
      <c r="G320" s="922"/>
      <c r="H320" s="922"/>
      <c r="I320" s="922"/>
      <c r="J320" s="922"/>
      <c r="K320" s="922"/>
      <c r="L320" s="922"/>
      <c r="M320" s="922"/>
      <c r="N320" s="922"/>
      <c r="O320" s="878"/>
      <c r="P320" s="879"/>
      <c r="Q320" s="880"/>
      <c r="R320" s="518"/>
      <c r="S320" s="518"/>
      <c r="T320" s="518"/>
      <c r="U320" s="518"/>
      <c r="V320" s="518"/>
      <c r="W320" s="518"/>
      <c r="X320" s="518"/>
      <c r="Y320" s="518"/>
      <c r="Z320" s="518"/>
      <c r="AA320" s="518"/>
      <c r="AB320" s="518"/>
      <c r="AC320" s="518"/>
      <c r="AD320" s="518"/>
      <c r="AE320" s="518"/>
      <c r="AF320" s="518"/>
      <c r="AG320" s="518"/>
      <c r="AH320" s="518"/>
      <c r="AJ320" s="595"/>
    </row>
    <row r="321" spans="1:36" hidden="1" x14ac:dyDescent="0.45">
      <c r="A321" s="518"/>
      <c r="B321" s="922" t="s">
        <v>177</v>
      </c>
      <c r="C321" s="922"/>
      <c r="D321" s="922"/>
      <c r="E321" s="922"/>
      <c r="F321" s="922"/>
      <c r="G321" s="922"/>
      <c r="H321" s="922"/>
      <c r="I321" s="922"/>
      <c r="J321" s="922"/>
      <c r="K321" s="922"/>
      <c r="L321" s="922"/>
      <c r="M321" s="922"/>
      <c r="N321" s="922"/>
      <c r="O321" s="878"/>
      <c r="P321" s="879"/>
      <c r="Q321" s="880"/>
      <c r="R321" s="518"/>
      <c r="S321" s="518"/>
      <c r="T321" s="518"/>
      <c r="U321" s="518"/>
      <c r="V321" s="518"/>
      <c r="W321" s="518"/>
      <c r="X321" s="518"/>
      <c r="Y321" s="518"/>
      <c r="Z321" s="518"/>
      <c r="AA321" s="518"/>
      <c r="AB321" s="518"/>
      <c r="AC321" s="518"/>
      <c r="AD321" s="518"/>
      <c r="AE321" s="518"/>
      <c r="AF321" s="518"/>
      <c r="AG321" s="518"/>
      <c r="AH321" s="518"/>
      <c r="AJ321" s="595"/>
    </row>
    <row r="322" spans="1:36" hidden="1" x14ac:dyDescent="0.45">
      <c r="A322" s="518"/>
      <c r="B322" s="922" t="s">
        <v>178</v>
      </c>
      <c r="C322" s="922"/>
      <c r="D322" s="922"/>
      <c r="E322" s="922"/>
      <c r="F322" s="922"/>
      <c r="G322" s="922"/>
      <c r="H322" s="922"/>
      <c r="I322" s="922"/>
      <c r="J322" s="922"/>
      <c r="K322" s="922"/>
      <c r="L322" s="922"/>
      <c r="M322" s="922"/>
      <c r="N322" s="922"/>
      <c r="O322" s="878"/>
      <c r="P322" s="879"/>
      <c r="Q322" s="880"/>
      <c r="R322" s="518"/>
      <c r="S322" s="518"/>
      <c r="T322" s="518"/>
      <c r="U322" s="518"/>
      <c r="V322" s="518"/>
      <c r="W322" s="518"/>
      <c r="X322" s="518"/>
      <c r="Y322" s="518"/>
      <c r="Z322" s="518"/>
      <c r="AA322" s="518"/>
      <c r="AB322" s="518"/>
      <c r="AC322" s="518"/>
      <c r="AD322" s="518"/>
      <c r="AE322" s="518"/>
      <c r="AF322" s="518"/>
      <c r="AG322" s="518"/>
      <c r="AH322" s="518"/>
      <c r="AJ322" s="595"/>
    </row>
    <row r="323" spans="1:36" hidden="1" x14ac:dyDescent="0.45">
      <c r="A323" s="518"/>
      <c r="B323" s="922" t="s">
        <v>179</v>
      </c>
      <c r="C323" s="922"/>
      <c r="D323" s="922"/>
      <c r="E323" s="922"/>
      <c r="F323" s="922"/>
      <c r="G323" s="922"/>
      <c r="H323" s="922"/>
      <c r="I323" s="922"/>
      <c r="J323" s="922"/>
      <c r="K323" s="922"/>
      <c r="L323" s="922"/>
      <c r="M323" s="922"/>
      <c r="N323" s="922"/>
      <c r="O323" s="878"/>
      <c r="P323" s="879"/>
      <c r="Q323" s="880"/>
      <c r="R323" s="518"/>
      <c r="S323" s="518"/>
      <c r="T323" s="518"/>
      <c r="U323" s="518"/>
      <c r="V323" s="518"/>
      <c r="W323" s="518"/>
      <c r="X323" s="518"/>
      <c r="Y323" s="518"/>
      <c r="Z323" s="518"/>
      <c r="AA323" s="518"/>
      <c r="AB323" s="518"/>
      <c r="AC323" s="518"/>
      <c r="AD323" s="518"/>
      <c r="AE323" s="518"/>
      <c r="AF323" s="518"/>
      <c r="AG323" s="518"/>
      <c r="AH323" s="518"/>
      <c r="AJ323" s="595"/>
    </row>
    <row r="324" spans="1:36" hidden="1" x14ac:dyDescent="0.45">
      <c r="A324" s="518"/>
      <c r="B324" s="922" t="s">
        <v>180</v>
      </c>
      <c r="C324" s="922"/>
      <c r="D324" s="922"/>
      <c r="E324" s="922"/>
      <c r="F324" s="922"/>
      <c r="G324" s="922"/>
      <c r="H324" s="922"/>
      <c r="I324" s="922"/>
      <c r="J324" s="922"/>
      <c r="K324" s="922"/>
      <c r="L324" s="922"/>
      <c r="M324" s="922"/>
      <c r="N324" s="922"/>
      <c r="O324" s="878"/>
      <c r="P324" s="879"/>
      <c r="Q324" s="880"/>
      <c r="R324" s="518"/>
      <c r="S324" s="518"/>
      <c r="T324" s="518"/>
      <c r="U324" s="518"/>
      <c r="V324" s="518"/>
      <c r="W324" s="518"/>
      <c r="X324" s="518"/>
      <c r="Y324" s="518"/>
      <c r="Z324" s="518"/>
      <c r="AA324" s="518"/>
      <c r="AB324" s="518"/>
      <c r="AC324" s="518"/>
      <c r="AD324" s="518"/>
      <c r="AE324" s="518"/>
      <c r="AF324" s="518"/>
      <c r="AG324" s="518"/>
      <c r="AH324" s="518"/>
      <c r="AJ324" s="595"/>
    </row>
    <row r="325" spans="1:36" hidden="1" x14ac:dyDescent="0.45">
      <c r="A325" s="518"/>
      <c r="B325" s="916" t="s">
        <v>181</v>
      </c>
      <c r="C325" s="916"/>
      <c r="D325" s="916"/>
      <c r="E325" s="916"/>
      <c r="F325" s="916"/>
      <c r="G325" s="916"/>
      <c r="H325" s="916"/>
      <c r="I325" s="916"/>
      <c r="J325" s="916"/>
      <c r="K325" s="916"/>
      <c r="L325" s="916"/>
      <c r="M325" s="916"/>
      <c r="N325" s="916"/>
      <c r="O325" s="927"/>
      <c r="P325" s="928"/>
      <c r="Q325" s="929"/>
      <c r="R325" s="518"/>
      <c r="S325" s="518"/>
      <c r="T325" s="518"/>
      <c r="U325" s="518"/>
      <c r="V325" s="518"/>
      <c r="W325" s="518"/>
      <c r="X325" s="518"/>
      <c r="Y325" s="518"/>
      <c r="Z325" s="518"/>
      <c r="AA325" s="518"/>
      <c r="AB325" s="518"/>
      <c r="AC325" s="518"/>
      <c r="AD325" s="518"/>
      <c r="AE325" s="518"/>
      <c r="AF325" s="518"/>
      <c r="AG325" s="518"/>
      <c r="AH325" s="518"/>
      <c r="AJ325" s="595"/>
    </row>
    <row r="326" spans="1:36" hidden="1" x14ac:dyDescent="0.45">
      <c r="A326" s="518"/>
      <c r="B326" s="930" t="s">
        <v>182</v>
      </c>
      <c r="C326" s="930"/>
      <c r="D326" s="930"/>
      <c r="E326" s="930"/>
      <c r="F326" s="930"/>
      <c r="G326" s="930"/>
      <c r="H326" s="930"/>
      <c r="I326" s="930"/>
      <c r="J326" s="930"/>
      <c r="K326" s="930"/>
      <c r="L326" s="930"/>
      <c r="M326" s="930"/>
      <c r="N326" s="930"/>
      <c r="O326" s="878">
        <f>SUM(O318:Q324)-O325</f>
        <v>0</v>
      </c>
      <c r="P326" s="879"/>
      <c r="Q326" s="880"/>
      <c r="R326" s="518"/>
      <c r="S326" s="518"/>
      <c r="T326" s="518"/>
      <c r="U326" s="518"/>
      <c r="V326" s="518"/>
      <c r="W326" s="518"/>
      <c r="X326" s="518"/>
      <c r="Y326" s="518"/>
      <c r="Z326" s="518"/>
      <c r="AA326" s="518"/>
      <c r="AB326" s="518"/>
      <c r="AC326" s="518"/>
      <c r="AD326" s="518"/>
      <c r="AE326" s="518"/>
      <c r="AF326" s="518"/>
      <c r="AG326" s="518"/>
      <c r="AH326" s="518"/>
      <c r="AJ326" s="595"/>
    </row>
    <row r="327" spans="1:36" hidden="1" x14ac:dyDescent="0.45">
      <c r="A327" s="518"/>
      <c r="B327" s="517"/>
      <c r="C327" s="517"/>
      <c r="D327" s="517"/>
      <c r="E327" s="517"/>
      <c r="F327" s="517"/>
      <c r="G327" s="517"/>
      <c r="H327" s="517"/>
      <c r="I327" s="517"/>
      <c r="J327" s="517"/>
      <c r="K327" s="517"/>
      <c r="L327" s="517"/>
      <c r="M327" s="517"/>
      <c r="N327" s="517"/>
      <c r="O327" s="532"/>
      <c r="P327" s="532"/>
      <c r="Q327" s="532"/>
      <c r="R327" s="518"/>
      <c r="S327" s="533"/>
      <c r="T327" s="533"/>
      <c r="U327" s="533"/>
      <c r="V327" s="533"/>
      <c r="W327" s="533"/>
      <c r="X327" s="533"/>
      <c r="Y327" s="533"/>
      <c r="Z327" s="533"/>
      <c r="AA327" s="533"/>
      <c r="AB327" s="533"/>
      <c r="AC327" s="533"/>
      <c r="AD327" s="533"/>
      <c r="AE327" s="533"/>
      <c r="AF327" s="533"/>
      <c r="AG327" s="533"/>
      <c r="AH327" s="518"/>
      <c r="AJ327" s="595"/>
    </row>
    <row r="328" spans="1:36" ht="200.15" hidden="1" customHeight="1" x14ac:dyDescent="0.45">
      <c r="A328" s="518"/>
      <c r="B328" s="926" t="s">
        <v>183</v>
      </c>
      <c r="C328" s="926"/>
      <c r="D328" s="926"/>
      <c r="E328" s="926"/>
      <c r="F328" s="926"/>
      <c r="G328" s="926"/>
      <c r="H328" s="926"/>
      <c r="I328" s="926"/>
      <c r="J328" s="926"/>
      <c r="K328" s="926"/>
      <c r="L328" s="926"/>
      <c r="M328" s="926"/>
      <c r="N328" s="926"/>
      <c r="O328" s="926"/>
      <c r="P328" s="926"/>
      <c r="Q328" s="926"/>
      <c r="R328" s="926"/>
      <c r="S328" s="926"/>
      <c r="T328" s="926"/>
      <c r="U328" s="926"/>
      <c r="V328" s="926"/>
      <c r="W328" s="926"/>
      <c r="X328" s="926"/>
      <c r="Y328" s="926"/>
      <c r="Z328" s="926"/>
      <c r="AA328" s="926"/>
      <c r="AB328" s="926"/>
      <c r="AC328" s="926"/>
      <c r="AD328" s="926"/>
      <c r="AE328" s="926"/>
      <c r="AF328" s="926"/>
      <c r="AG328" s="926"/>
      <c r="AH328" s="518"/>
      <c r="AJ328" s="595"/>
    </row>
    <row r="329" spans="1:36" hidden="1" x14ac:dyDescent="0.45">
      <c r="A329" s="518"/>
      <c r="B329" s="518"/>
      <c r="C329" s="518"/>
      <c r="D329" s="518"/>
      <c r="E329" s="518"/>
      <c r="F329" s="518"/>
      <c r="G329" s="518"/>
      <c r="H329" s="518"/>
      <c r="I329" s="518"/>
      <c r="J329" s="518"/>
      <c r="K329" s="518"/>
      <c r="L329" s="518"/>
      <c r="M329" s="518"/>
      <c r="N329" s="518"/>
      <c r="O329" s="518"/>
      <c r="P329" s="518"/>
      <c r="Q329" s="518"/>
      <c r="R329" s="518"/>
      <c r="S329" s="518"/>
      <c r="T329" s="518"/>
      <c r="U329" s="518"/>
      <c r="V329" s="518"/>
      <c r="W329" s="518"/>
      <c r="X329" s="518"/>
      <c r="Y329" s="518"/>
      <c r="Z329" s="518"/>
      <c r="AA329" s="518"/>
      <c r="AB329" s="518"/>
      <c r="AC329" s="518"/>
      <c r="AD329" s="518"/>
      <c r="AE329" s="518"/>
      <c r="AF329" s="518"/>
      <c r="AG329" s="518"/>
      <c r="AH329" s="518"/>
      <c r="AJ329" s="595"/>
    </row>
    <row r="330" spans="1:36" hidden="1" x14ac:dyDescent="0.45">
      <c r="A330" s="518"/>
      <c r="B330" s="518"/>
      <c r="C330" s="518"/>
      <c r="D330" s="518"/>
      <c r="E330" s="518"/>
      <c r="F330" s="518"/>
      <c r="G330" s="518"/>
      <c r="H330" s="518"/>
      <c r="I330" s="518"/>
      <c r="J330" s="518"/>
      <c r="K330" s="518"/>
      <c r="L330" s="518"/>
      <c r="M330" s="518"/>
      <c r="N330" s="518"/>
      <c r="O330" s="518"/>
      <c r="P330" s="518"/>
      <c r="Q330" s="518"/>
      <c r="R330" s="518"/>
      <c r="S330" s="518"/>
      <c r="T330" s="518"/>
      <c r="U330" s="518"/>
      <c r="V330" s="518"/>
      <c r="W330" s="518"/>
      <c r="X330" s="518"/>
      <c r="Y330" s="518"/>
      <c r="Z330" s="518"/>
      <c r="AA330" s="518"/>
      <c r="AB330" s="518"/>
      <c r="AC330" s="518"/>
      <c r="AD330" s="518"/>
      <c r="AE330" s="518"/>
      <c r="AF330" s="518"/>
      <c r="AG330" s="518"/>
      <c r="AH330" s="518"/>
      <c r="AJ330" s="595" t="b">
        <f>AND(AJ$119,CH_MA_RuralTotalRequested&gt;0)</f>
        <v>0</v>
      </c>
    </row>
    <row r="331" spans="1:36" hidden="1" x14ac:dyDescent="0.45">
      <c r="A331" s="518"/>
      <c r="B331" s="923" t="s">
        <v>87</v>
      </c>
      <c r="C331" s="923"/>
      <c r="D331" s="923"/>
      <c r="E331" s="923"/>
      <c r="F331" s="923"/>
      <c r="G331" s="923"/>
      <c r="H331" s="923"/>
      <c r="I331" s="923"/>
      <c r="J331" s="923"/>
      <c r="K331" s="923"/>
      <c r="L331" s="923"/>
      <c r="M331" s="923"/>
      <c r="N331" s="923"/>
      <c r="O331" s="923"/>
      <c r="P331" s="923"/>
      <c r="Q331" s="923"/>
      <c r="R331" s="923"/>
      <c r="S331" s="923"/>
      <c r="T331" s="923"/>
      <c r="U331" s="923"/>
      <c r="V331" s="923"/>
      <c r="W331" s="923"/>
      <c r="X331" s="923"/>
      <c r="Y331" s="923"/>
      <c r="Z331" s="923"/>
      <c r="AA331" s="923"/>
      <c r="AB331" s="923"/>
      <c r="AC331" s="923"/>
      <c r="AD331" s="923"/>
      <c r="AE331" s="923"/>
      <c r="AF331" s="923"/>
      <c r="AG331" s="923"/>
      <c r="AH331" s="518"/>
      <c r="AJ331" s="595"/>
    </row>
    <row r="332" spans="1:36" hidden="1" x14ac:dyDescent="0.45">
      <c r="A332" s="518"/>
      <c r="B332" s="924" t="s">
        <v>1857</v>
      </c>
      <c r="C332" s="1296"/>
      <c r="D332" s="1296"/>
      <c r="E332" s="1296"/>
      <c r="F332" s="1296"/>
      <c r="G332" s="1296"/>
      <c r="H332" s="1296"/>
      <c r="I332" s="1296"/>
      <c r="J332" s="1296"/>
      <c r="K332" s="1296"/>
      <c r="L332" s="1296"/>
      <c r="M332" s="1296"/>
      <c r="N332" s="1296"/>
      <c r="O332" s="1296"/>
      <c r="P332" s="1296"/>
      <c r="Q332" s="1296"/>
      <c r="R332" s="1296"/>
      <c r="S332" s="1296"/>
      <c r="T332" s="1296"/>
      <c r="U332" s="1296"/>
      <c r="V332" s="1296"/>
      <c r="W332" s="1296"/>
      <c r="X332" s="1296"/>
      <c r="Y332" s="1296"/>
      <c r="Z332" s="1296"/>
      <c r="AA332" s="1296"/>
      <c r="AB332" s="1296"/>
      <c r="AC332" s="1296"/>
      <c r="AD332" s="1296"/>
      <c r="AE332" s="1296"/>
      <c r="AF332" s="1296"/>
      <c r="AG332" s="1296"/>
      <c r="AH332" s="518"/>
      <c r="AJ332" s="595"/>
    </row>
    <row r="333" spans="1:36" hidden="1" x14ac:dyDescent="0.45">
      <c r="A333" s="518"/>
      <c r="B333" s="544" t="s">
        <v>1782</v>
      </c>
      <c r="C333" s="518"/>
      <c r="D333" s="518"/>
      <c r="E333" s="518"/>
      <c r="F333" s="518"/>
      <c r="G333" s="518"/>
      <c r="H333" s="518"/>
      <c r="I333" s="518"/>
      <c r="J333" s="518"/>
      <c r="K333" s="518"/>
      <c r="L333" s="518"/>
      <c r="M333" s="518"/>
      <c r="N333" s="518"/>
      <c r="O333" s="518"/>
      <c r="P333" s="518"/>
      <c r="Q333" s="518"/>
      <c r="R333" s="518"/>
      <c r="S333" s="518"/>
      <c r="T333" s="518"/>
      <c r="U333" s="518"/>
      <c r="V333" s="518"/>
      <c r="W333" s="518"/>
      <c r="X333" s="518"/>
      <c r="Y333" s="518"/>
      <c r="Z333" s="518"/>
      <c r="AA333" s="518"/>
      <c r="AB333" s="518"/>
      <c r="AC333" s="518"/>
      <c r="AD333" s="518"/>
      <c r="AE333" s="518"/>
      <c r="AF333" s="518"/>
      <c r="AG333" s="518"/>
      <c r="AH333" s="518"/>
      <c r="AJ333" s="595"/>
    </row>
    <row r="334" spans="1:36" hidden="1" x14ac:dyDescent="0.45">
      <c r="A334" s="518"/>
      <c r="B334" s="1083" t="s">
        <v>1856</v>
      </c>
      <c r="C334" s="1083"/>
      <c r="D334" s="1083"/>
      <c r="E334" s="1083"/>
      <c r="F334" s="1083"/>
      <c r="G334" s="1083"/>
      <c r="H334" s="1083"/>
      <c r="I334" s="1083"/>
      <c r="J334" s="1083"/>
      <c r="K334" s="1083"/>
      <c r="L334" s="1083"/>
      <c r="M334" s="1083"/>
      <c r="N334" s="1083"/>
      <c r="O334" s="1083"/>
      <c r="P334" s="1083"/>
      <c r="Q334" s="1083"/>
      <c r="R334" s="1083"/>
      <c r="S334" s="1083"/>
      <c r="T334" s="1083"/>
      <c r="U334" s="1083"/>
      <c r="V334" s="1083"/>
      <c r="W334" s="1083"/>
      <c r="X334" s="1083"/>
      <c r="Y334" s="1083"/>
      <c r="Z334" s="1083"/>
      <c r="AA334" s="1083"/>
      <c r="AB334" s="1083"/>
      <c r="AC334" s="1083"/>
      <c r="AD334" s="1083"/>
      <c r="AE334" s="1083"/>
      <c r="AF334" s="1083"/>
      <c r="AG334" s="1083"/>
      <c r="AH334" s="518"/>
      <c r="AJ334" s="595"/>
    </row>
    <row r="335" spans="1:36" hidden="1" x14ac:dyDescent="0.45">
      <c r="A335" s="518"/>
      <c r="B335" s="862" t="s">
        <v>108</v>
      </c>
      <c r="C335" s="863"/>
      <c r="D335" s="863"/>
      <c r="E335" s="863"/>
      <c r="F335" s="892"/>
      <c r="G335" s="862" t="s">
        <v>1462</v>
      </c>
      <c r="H335" s="892"/>
      <c r="I335" s="1249" t="s">
        <v>1485</v>
      </c>
      <c r="J335" s="1249" t="s">
        <v>1486</v>
      </c>
      <c r="K335" s="1182" t="s">
        <v>91</v>
      </c>
      <c r="L335" s="1059"/>
      <c r="M335" s="1251" t="s">
        <v>109</v>
      </c>
      <c r="N335" s="1251"/>
      <c r="O335" s="1251"/>
      <c r="P335" s="1251"/>
      <c r="Q335" s="862" t="s">
        <v>110</v>
      </c>
      <c r="R335" s="863"/>
      <c r="S335" s="863"/>
      <c r="T335" s="892"/>
      <c r="U335" s="862" t="s">
        <v>111</v>
      </c>
      <c r="V335" s="863"/>
      <c r="W335" s="863"/>
      <c r="X335" s="862" t="s">
        <v>1463</v>
      </c>
      <c r="Y335" s="863"/>
      <c r="Z335" s="892"/>
      <c r="AA335" s="1182" t="s">
        <v>113</v>
      </c>
      <c r="AB335" s="1058"/>
      <c r="AC335" s="1058"/>
      <c r="AD335" s="1059"/>
      <c r="AE335" s="862" t="s">
        <v>114</v>
      </c>
      <c r="AF335" s="892"/>
      <c r="AG335" s="529"/>
      <c r="AH335" s="518"/>
      <c r="AJ335" s="595"/>
    </row>
    <row r="336" spans="1:36" hidden="1" x14ac:dyDescent="0.45">
      <c r="A336" s="518"/>
      <c r="B336" s="864"/>
      <c r="C336" s="865"/>
      <c r="D336" s="865"/>
      <c r="E336" s="865"/>
      <c r="F336" s="893"/>
      <c r="G336" s="864"/>
      <c r="H336" s="893"/>
      <c r="I336" s="1250"/>
      <c r="J336" s="1250"/>
      <c r="K336" s="1060"/>
      <c r="L336" s="1062"/>
      <c r="M336" s="1251"/>
      <c r="N336" s="1251"/>
      <c r="O336" s="1251"/>
      <c r="P336" s="1251"/>
      <c r="Q336" s="864"/>
      <c r="R336" s="865"/>
      <c r="S336" s="865"/>
      <c r="T336" s="893"/>
      <c r="U336" s="864"/>
      <c r="V336" s="865"/>
      <c r="W336" s="865"/>
      <c r="X336" s="864"/>
      <c r="Y336" s="865"/>
      <c r="Z336" s="893"/>
      <c r="AA336" s="1060"/>
      <c r="AB336" s="1061"/>
      <c r="AC336" s="1061"/>
      <c r="AD336" s="1062"/>
      <c r="AE336" s="864"/>
      <c r="AF336" s="893"/>
      <c r="AG336" s="529"/>
      <c r="AH336" s="518"/>
      <c r="AJ336" s="595"/>
    </row>
    <row r="337" spans="1:36" hidden="1" x14ac:dyDescent="0.45">
      <c r="A337" s="518"/>
      <c r="B337" s="514" t="s">
        <v>1405</v>
      </c>
      <c r="C337" s="515"/>
      <c r="D337" s="515"/>
      <c r="E337" s="515"/>
      <c r="F337" s="515"/>
      <c r="G337" s="890" t="str">
        <f>IF(CHMAData!W3=0,"",SUBSTITUTE(SUBSTITUTE(CHMAData!W3,"Acquired and Rehabilitated Housing","A/R"),"Newly Constructed Housing","N/C"))</f>
        <v/>
      </c>
      <c r="H337" s="891"/>
      <c r="I337" s="583" t="str">
        <f>IF(CHMAData!BP3=0,"",LEFT(CHMAData!BP3,1))</f>
        <v/>
      </c>
      <c r="J337" s="584" t="str">
        <f>IF(CHMAData!T3=0,"",LEFT(CHMAData!T3,1))</f>
        <v/>
      </c>
      <c r="K337" s="888">
        <f>CHMAData!AT3</f>
        <v>0</v>
      </c>
      <c r="L337" s="887"/>
      <c r="M337" s="940">
        <f>CHMAData!AU3</f>
        <v>0</v>
      </c>
      <c r="N337" s="940"/>
      <c r="O337" s="940"/>
      <c r="P337" s="940"/>
      <c r="Q337" s="868">
        <f>CHMAData!AV3</f>
        <v>0</v>
      </c>
      <c r="R337" s="869"/>
      <c r="S337" s="869"/>
      <c r="T337" s="870"/>
      <c r="U337" s="868">
        <f>CHMAData!AW3</f>
        <v>0</v>
      </c>
      <c r="V337" s="869"/>
      <c r="W337" s="870"/>
      <c r="X337" s="868">
        <f>CHMAData!AX3</f>
        <v>0</v>
      </c>
      <c r="Y337" s="869"/>
      <c r="Z337" s="870"/>
      <c r="AA337" s="1300">
        <f>SUM(Q337:Z337)</f>
        <v>0</v>
      </c>
      <c r="AB337" s="1301"/>
      <c r="AC337" s="1301"/>
      <c r="AD337" s="1302"/>
      <c r="AE337" s="866" t="str">
        <f>IF(CHMAData!AZ3=0,"",CHMAData!AZ3)</f>
        <v/>
      </c>
      <c r="AF337" s="867"/>
      <c r="AG337" s="529"/>
      <c r="AH337" s="518"/>
      <c r="AJ337" s="595" t="b">
        <f>AND(AJ$330,AA337&gt;0)</f>
        <v>0</v>
      </c>
    </row>
    <row r="338" spans="1:36" hidden="1" x14ac:dyDescent="0.45">
      <c r="A338" s="518"/>
      <c r="B338" s="514" t="s">
        <v>1406</v>
      </c>
      <c r="C338" s="515"/>
      <c r="D338" s="515"/>
      <c r="E338" s="515"/>
      <c r="F338" s="515"/>
      <c r="G338" s="890" t="str">
        <f>IF(CHMAData!W4=0,"",SUBSTITUTE(SUBSTITUTE(CHMAData!W4,"Acquired and Rehabilitated Housing","A/R"),"Newly Constructed Housing","N/C"))</f>
        <v/>
      </c>
      <c r="H338" s="891"/>
      <c r="I338" s="583" t="str">
        <f>IF(CHMAData!BP4=0,"",LEFT(CHMAData!BP4,1))</f>
        <v/>
      </c>
      <c r="J338" s="584" t="str">
        <f>IF(CHMAData!T4=0,"",LEFT(CHMAData!T4,1))</f>
        <v/>
      </c>
      <c r="K338" s="888">
        <f>CHMAData!AT4</f>
        <v>0</v>
      </c>
      <c r="L338" s="887"/>
      <c r="M338" s="940">
        <f>CHMAData!AU4</f>
        <v>0</v>
      </c>
      <c r="N338" s="940"/>
      <c r="O338" s="940"/>
      <c r="P338" s="940"/>
      <c r="Q338" s="868">
        <f>CHMAData!AV4</f>
        <v>0</v>
      </c>
      <c r="R338" s="869"/>
      <c r="S338" s="869"/>
      <c r="T338" s="870"/>
      <c r="U338" s="868">
        <f>CHMAData!AW4</f>
        <v>0</v>
      </c>
      <c r="V338" s="869"/>
      <c r="W338" s="870"/>
      <c r="X338" s="868">
        <f>CHMAData!AX4</f>
        <v>0</v>
      </c>
      <c r="Y338" s="869"/>
      <c r="Z338" s="870"/>
      <c r="AA338" s="1300">
        <f t="shared" ref="AA338:AA394" si="7">SUM(Q338:Z338)</f>
        <v>0</v>
      </c>
      <c r="AB338" s="1301"/>
      <c r="AC338" s="1301"/>
      <c r="AD338" s="1302"/>
      <c r="AE338" s="866" t="str">
        <f>IF(CHMAData!AZ4=0,"",CHMAData!AZ4)</f>
        <v/>
      </c>
      <c r="AF338" s="867"/>
      <c r="AG338" s="529"/>
      <c r="AH338" s="518"/>
      <c r="AJ338" s="595" t="b">
        <f t="shared" ref="AJ338:AJ394" si="8">AND(AJ$330,AA338&gt;0)</f>
        <v>0</v>
      </c>
    </row>
    <row r="339" spans="1:36" hidden="1" x14ac:dyDescent="0.45">
      <c r="A339" s="518"/>
      <c r="B339" s="514" t="s">
        <v>1407</v>
      </c>
      <c r="C339" s="515"/>
      <c r="D339" s="515"/>
      <c r="E339" s="515"/>
      <c r="F339" s="515"/>
      <c r="G339" s="890" t="str">
        <f>IF(CHMAData!W5=0,"",SUBSTITUTE(SUBSTITUTE(CHMAData!W5,"Acquired and Rehabilitated Housing","A/R"),"Newly Constructed Housing","N/C"))</f>
        <v/>
      </c>
      <c r="H339" s="891"/>
      <c r="I339" s="583" t="str">
        <f>IF(CHMAData!BP5=0,"",LEFT(CHMAData!BP5,1))</f>
        <v/>
      </c>
      <c r="J339" s="584" t="str">
        <f>IF(CHMAData!T5=0,"",LEFT(CHMAData!T5,1))</f>
        <v/>
      </c>
      <c r="K339" s="888">
        <f>CHMAData!AT5</f>
        <v>0</v>
      </c>
      <c r="L339" s="887"/>
      <c r="M339" s="940">
        <f>CHMAData!AU5</f>
        <v>0</v>
      </c>
      <c r="N339" s="940"/>
      <c r="O339" s="940"/>
      <c r="P339" s="940"/>
      <c r="Q339" s="868">
        <f>CHMAData!AV5</f>
        <v>0</v>
      </c>
      <c r="R339" s="869"/>
      <c r="S339" s="869"/>
      <c r="T339" s="870"/>
      <c r="U339" s="868">
        <f>CHMAData!AW5</f>
        <v>0</v>
      </c>
      <c r="V339" s="869"/>
      <c r="W339" s="870"/>
      <c r="X339" s="868">
        <f>CHMAData!AX5</f>
        <v>0</v>
      </c>
      <c r="Y339" s="869"/>
      <c r="Z339" s="870"/>
      <c r="AA339" s="1300">
        <f t="shared" si="7"/>
        <v>0</v>
      </c>
      <c r="AB339" s="1301"/>
      <c r="AC339" s="1301"/>
      <c r="AD339" s="1302"/>
      <c r="AE339" s="866" t="str">
        <f>IF(CHMAData!AZ5=0,"",CHMAData!AZ5)</f>
        <v/>
      </c>
      <c r="AF339" s="867"/>
      <c r="AG339" s="529"/>
      <c r="AH339" s="518"/>
      <c r="AJ339" s="595" t="b">
        <f t="shared" si="8"/>
        <v>0</v>
      </c>
    </row>
    <row r="340" spans="1:36" hidden="1" x14ac:dyDescent="0.45">
      <c r="A340" s="518"/>
      <c r="B340" s="514" t="s">
        <v>1408</v>
      </c>
      <c r="C340" s="515"/>
      <c r="D340" s="515"/>
      <c r="E340" s="515"/>
      <c r="F340" s="515"/>
      <c r="G340" s="890" t="str">
        <f>IF(CHMAData!W6=0,"",SUBSTITUTE(SUBSTITUTE(CHMAData!W6,"Acquired and Rehabilitated Housing","A/R"),"Newly Constructed Housing","N/C"))</f>
        <v/>
      </c>
      <c r="H340" s="891"/>
      <c r="I340" s="583" t="str">
        <f>IF(CHMAData!BP6=0,"",LEFT(CHMAData!BP6,1))</f>
        <v/>
      </c>
      <c r="J340" s="584" t="str">
        <f>IF(CHMAData!T6=0,"",LEFT(CHMAData!T6,1))</f>
        <v/>
      </c>
      <c r="K340" s="888">
        <f>CHMAData!AT6</f>
        <v>0</v>
      </c>
      <c r="L340" s="887"/>
      <c r="M340" s="940">
        <f>CHMAData!AU6</f>
        <v>0</v>
      </c>
      <c r="N340" s="940"/>
      <c r="O340" s="940"/>
      <c r="P340" s="940"/>
      <c r="Q340" s="868">
        <f>CHMAData!AV6</f>
        <v>0</v>
      </c>
      <c r="R340" s="869"/>
      <c r="S340" s="869"/>
      <c r="T340" s="870"/>
      <c r="U340" s="868">
        <f>CHMAData!AW6</f>
        <v>0</v>
      </c>
      <c r="V340" s="869"/>
      <c r="W340" s="870"/>
      <c r="X340" s="868">
        <f>CHMAData!AX6</f>
        <v>0</v>
      </c>
      <c r="Y340" s="869"/>
      <c r="Z340" s="870"/>
      <c r="AA340" s="1300">
        <f t="shared" si="7"/>
        <v>0</v>
      </c>
      <c r="AB340" s="1301"/>
      <c r="AC340" s="1301"/>
      <c r="AD340" s="1302"/>
      <c r="AE340" s="866" t="str">
        <f>IF(CHMAData!AZ6=0,"",CHMAData!AZ6)</f>
        <v/>
      </c>
      <c r="AF340" s="867"/>
      <c r="AG340" s="529"/>
      <c r="AH340" s="518"/>
      <c r="AJ340" s="595" t="b">
        <f t="shared" si="8"/>
        <v>0</v>
      </c>
    </row>
    <row r="341" spans="1:36" hidden="1" x14ac:dyDescent="0.45">
      <c r="A341" s="518"/>
      <c r="B341" s="514" t="s">
        <v>1409</v>
      </c>
      <c r="C341" s="515"/>
      <c r="D341" s="515"/>
      <c r="E341" s="515"/>
      <c r="F341" s="515"/>
      <c r="G341" s="890" t="str">
        <f>IF(CHMAData!W7=0,"",SUBSTITUTE(SUBSTITUTE(CHMAData!W7,"Acquired and Rehabilitated Housing","A/R"),"Newly Constructed Housing","N/C"))</f>
        <v/>
      </c>
      <c r="H341" s="891"/>
      <c r="I341" s="583" t="str">
        <f>IF(CHMAData!BP7=0,"",LEFT(CHMAData!BP7,1))</f>
        <v/>
      </c>
      <c r="J341" s="584" t="str">
        <f>IF(CHMAData!T7=0,"",LEFT(CHMAData!T7,1))</f>
        <v/>
      </c>
      <c r="K341" s="888">
        <f>CHMAData!AT7</f>
        <v>0</v>
      </c>
      <c r="L341" s="887"/>
      <c r="M341" s="940">
        <f>CHMAData!AU7</f>
        <v>0</v>
      </c>
      <c r="N341" s="940"/>
      <c r="O341" s="940"/>
      <c r="P341" s="940"/>
      <c r="Q341" s="868">
        <f>CHMAData!AV7</f>
        <v>0</v>
      </c>
      <c r="R341" s="869"/>
      <c r="S341" s="869"/>
      <c r="T341" s="870"/>
      <c r="U341" s="868">
        <f>CHMAData!AW7</f>
        <v>0</v>
      </c>
      <c r="V341" s="869"/>
      <c r="W341" s="870"/>
      <c r="X341" s="868">
        <f>CHMAData!AX7</f>
        <v>0</v>
      </c>
      <c r="Y341" s="869"/>
      <c r="Z341" s="870"/>
      <c r="AA341" s="1300">
        <f t="shared" si="7"/>
        <v>0</v>
      </c>
      <c r="AB341" s="1301"/>
      <c r="AC341" s="1301"/>
      <c r="AD341" s="1302"/>
      <c r="AE341" s="866" t="str">
        <f>IF(CHMAData!AZ7=0,"",CHMAData!AZ7)</f>
        <v/>
      </c>
      <c r="AF341" s="867"/>
      <c r="AG341" s="529"/>
      <c r="AH341" s="518"/>
      <c r="AJ341" s="595" t="b">
        <f t="shared" si="8"/>
        <v>0</v>
      </c>
    </row>
    <row r="342" spans="1:36" hidden="1" x14ac:dyDescent="0.45">
      <c r="A342" s="518"/>
      <c r="B342" s="514" t="s">
        <v>1410</v>
      </c>
      <c r="C342" s="515"/>
      <c r="D342" s="515"/>
      <c r="E342" s="515"/>
      <c r="F342" s="515"/>
      <c r="G342" s="890" t="str">
        <f>IF(CHMAData!W8=0,"",SUBSTITUTE(SUBSTITUTE(CHMAData!W8,"Acquired and Rehabilitated Housing","A/R"),"Newly Constructed Housing","N/C"))</f>
        <v/>
      </c>
      <c r="H342" s="891"/>
      <c r="I342" s="583" t="str">
        <f>IF(CHMAData!BP8=0,"",LEFT(CHMAData!BP8,1))</f>
        <v/>
      </c>
      <c r="J342" s="584" t="str">
        <f>IF(CHMAData!T8=0,"",LEFT(CHMAData!T8,1))</f>
        <v/>
      </c>
      <c r="K342" s="888">
        <f>CHMAData!AT8</f>
        <v>0</v>
      </c>
      <c r="L342" s="887"/>
      <c r="M342" s="940">
        <f>CHMAData!AU8</f>
        <v>0</v>
      </c>
      <c r="N342" s="940"/>
      <c r="O342" s="940"/>
      <c r="P342" s="940"/>
      <c r="Q342" s="868">
        <f>CHMAData!AV8</f>
        <v>0</v>
      </c>
      <c r="R342" s="869"/>
      <c r="S342" s="869"/>
      <c r="T342" s="870"/>
      <c r="U342" s="868">
        <f>CHMAData!AW8</f>
        <v>0</v>
      </c>
      <c r="V342" s="869"/>
      <c r="W342" s="870"/>
      <c r="X342" s="868">
        <f>CHMAData!AX8</f>
        <v>0</v>
      </c>
      <c r="Y342" s="869"/>
      <c r="Z342" s="870"/>
      <c r="AA342" s="1300">
        <f t="shared" si="7"/>
        <v>0</v>
      </c>
      <c r="AB342" s="1301"/>
      <c r="AC342" s="1301"/>
      <c r="AD342" s="1302"/>
      <c r="AE342" s="866" t="str">
        <f>IF(CHMAData!AZ8=0,"",CHMAData!AZ8)</f>
        <v/>
      </c>
      <c r="AF342" s="867"/>
      <c r="AG342" s="529"/>
      <c r="AH342" s="518"/>
      <c r="AJ342" s="595" t="b">
        <f t="shared" si="8"/>
        <v>0</v>
      </c>
    </row>
    <row r="343" spans="1:36" hidden="1" x14ac:dyDescent="0.45">
      <c r="A343" s="518"/>
      <c r="B343" s="514" t="s">
        <v>1411</v>
      </c>
      <c r="C343" s="515"/>
      <c r="D343" s="515"/>
      <c r="E343" s="515"/>
      <c r="F343" s="515"/>
      <c r="G343" s="890" t="str">
        <f>IF(CHMAData!W9=0,"",SUBSTITUTE(SUBSTITUTE(CHMAData!W9,"Acquired and Rehabilitated Housing","A/R"),"Newly Constructed Housing","N/C"))</f>
        <v/>
      </c>
      <c r="H343" s="891"/>
      <c r="I343" s="583" t="str">
        <f>IF(CHMAData!BP9=0,"",LEFT(CHMAData!BP9,1))</f>
        <v/>
      </c>
      <c r="J343" s="584" t="str">
        <f>IF(CHMAData!T9=0,"",LEFT(CHMAData!T9,1))</f>
        <v/>
      </c>
      <c r="K343" s="888">
        <f>CHMAData!AT9</f>
        <v>0</v>
      </c>
      <c r="L343" s="887"/>
      <c r="M343" s="940">
        <f>CHMAData!AU9</f>
        <v>0</v>
      </c>
      <c r="N343" s="940"/>
      <c r="O343" s="940"/>
      <c r="P343" s="940"/>
      <c r="Q343" s="868">
        <f>CHMAData!AV9</f>
        <v>0</v>
      </c>
      <c r="R343" s="869"/>
      <c r="S343" s="869"/>
      <c r="T343" s="870"/>
      <c r="U343" s="868">
        <f>CHMAData!AW9</f>
        <v>0</v>
      </c>
      <c r="V343" s="869"/>
      <c r="W343" s="870"/>
      <c r="X343" s="868">
        <f>CHMAData!AX9</f>
        <v>0</v>
      </c>
      <c r="Y343" s="869"/>
      <c r="Z343" s="870"/>
      <c r="AA343" s="1300">
        <f t="shared" si="7"/>
        <v>0</v>
      </c>
      <c r="AB343" s="1301"/>
      <c r="AC343" s="1301"/>
      <c r="AD343" s="1302"/>
      <c r="AE343" s="866" t="str">
        <f>IF(CHMAData!AZ9=0,"",CHMAData!AZ9)</f>
        <v/>
      </c>
      <c r="AF343" s="867"/>
      <c r="AG343" s="529"/>
      <c r="AH343" s="518"/>
      <c r="AJ343" s="595" t="b">
        <f t="shared" si="8"/>
        <v>0</v>
      </c>
    </row>
    <row r="344" spans="1:36" hidden="1" x14ac:dyDescent="0.45">
      <c r="A344" s="518"/>
      <c r="B344" s="514" t="s">
        <v>1412</v>
      </c>
      <c r="C344" s="515"/>
      <c r="D344" s="515"/>
      <c r="E344" s="515"/>
      <c r="F344" s="515"/>
      <c r="G344" s="890" t="str">
        <f>IF(CHMAData!W10=0,"",SUBSTITUTE(SUBSTITUTE(CHMAData!W10,"Acquired and Rehabilitated Housing","A/R"),"Newly Constructed Housing","N/C"))</f>
        <v/>
      </c>
      <c r="H344" s="891"/>
      <c r="I344" s="583" t="str">
        <f>IF(CHMAData!BP10=0,"",LEFT(CHMAData!BP10,1))</f>
        <v/>
      </c>
      <c r="J344" s="584" t="str">
        <f>IF(CHMAData!T10=0,"",LEFT(CHMAData!T10,1))</f>
        <v/>
      </c>
      <c r="K344" s="888">
        <f>CHMAData!AT10</f>
        <v>0</v>
      </c>
      <c r="L344" s="887"/>
      <c r="M344" s="940">
        <f>CHMAData!AU10</f>
        <v>0</v>
      </c>
      <c r="N344" s="940"/>
      <c r="O344" s="940"/>
      <c r="P344" s="940"/>
      <c r="Q344" s="868">
        <f>CHMAData!AV10</f>
        <v>0</v>
      </c>
      <c r="R344" s="869"/>
      <c r="S344" s="869"/>
      <c r="T344" s="870"/>
      <c r="U344" s="868">
        <f>CHMAData!AW10</f>
        <v>0</v>
      </c>
      <c r="V344" s="869"/>
      <c r="W344" s="870"/>
      <c r="X344" s="868">
        <f>CHMAData!AX10</f>
        <v>0</v>
      </c>
      <c r="Y344" s="869"/>
      <c r="Z344" s="870"/>
      <c r="AA344" s="1300">
        <f t="shared" si="7"/>
        <v>0</v>
      </c>
      <c r="AB344" s="1301"/>
      <c r="AC344" s="1301"/>
      <c r="AD344" s="1302"/>
      <c r="AE344" s="866" t="str">
        <f>IF(CHMAData!AZ10=0,"",CHMAData!AZ10)</f>
        <v/>
      </c>
      <c r="AF344" s="867"/>
      <c r="AG344" s="529"/>
      <c r="AH344" s="518"/>
      <c r="AJ344" s="595" t="b">
        <f t="shared" si="8"/>
        <v>0</v>
      </c>
    </row>
    <row r="345" spans="1:36" hidden="1" x14ac:dyDescent="0.45">
      <c r="A345" s="518"/>
      <c r="B345" s="514" t="s">
        <v>1413</v>
      </c>
      <c r="C345" s="515"/>
      <c r="D345" s="515"/>
      <c r="E345" s="515"/>
      <c r="F345" s="515"/>
      <c r="G345" s="890" t="str">
        <f>IF(CHMAData!W11=0,"",SUBSTITUTE(SUBSTITUTE(CHMAData!W11,"Acquired and Rehabilitated Housing","A/R"),"Newly Constructed Housing","N/C"))</f>
        <v/>
      </c>
      <c r="H345" s="891"/>
      <c r="I345" s="583" t="str">
        <f>IF(CHMAData!BP11=0,"",LEFT(CHMAData!BP11,1))</f>
        <v/>
      </c>
      <c r="J345" s="584" t="str">
        <f>IF(CHMAData!T11=0,"",LEFT(CHMAData!T11,1))</f>
        <v/>
      </c>
      <c r="K345" s="888">
        <f>CHMAData!AT11</f>
        <v>0</v>
      </c>
      <c r="L345" s="887"/>
      <c r="M345" s="940">
        <f>CHMAData!AU11</f>
        <v>0</v>
      </c>
      <c r="N345" s="940"/>
      <c r="O345" s="940"/>
      <c r="P345" s="940"/>
      <c r="Q345" s="868">
        <f>CHMAData!AV11</f>
        <v>0</v>
      </c>
      <c r="R345" s="869"/>
      <c r="S345" s="869"/>
      <c r="T345" s="870"/>
      <c r="U345" s="868">
        <f>CHMAData!AW11</f>
        <v>0</v>
      </c>
      <c r="V345" s="869"/>
      <c r="W345" s="870"/>
      <c r="X345" s="868">
        <f>CHMAData!AX11</f>
        <v>0</v>
      </c>
      <c r="Y345" s="869"/>
      <c r="Z345" s="870"/>
      <c r="AA345" s="1300">
        <f t="shared" si="7"/>
        <v>0</v>
      </c>
      <c r="AB345" s="1301"/>
      <c r="AC345" s="1301"/>
      <c r="AD345" s="1302"/>
      <c r="AE345" s="866" t="str">
        <f>IF(CHMAData!AZ11=0,"",CHMAData!AZ11)</f>
        <v/>
      </c>
      <c r="AF345" s="867"/>
      <c r="AG345" s="529"/>
      <c r="AH345" s="518"/>
      <c r="AJ345" s="595" t="b">
        <f t="shared" si="8"/>
        <v>0</v>
      </c>
    </row>
    <row r="346" spans="1:36" hidden="1" x14ac:dyDescent="0.45">
      <c r="A346" s="518"/>
      <c r="B346" s="514" t="s">
        <v>1414</v>
      </c>
      <c r="C346" s="515"/>
      <c r="D346" s="515"/>
      <c r="E346" s="515"/>
      <c r="F346" s="515"/>
      <c r="G346" s="890" t="str">
        <f>IF(CHMAData!W12=0,"",SUBSTITUTE(SUBSTITUTE(CHMAData!W12,"Acquired and Rehabilitated Housing","A/R"),"Newly Constructed Housing","N/C"))</f>
        <v/>
      </c>
      <c r="H346" s="891"/>
      <c r="I346" s="583" t="str">
        <f>IF(CHMAData!BP12=0,"",LEFT(CHMAData!BP12,1))</f>
        <v/>
      </c>
      <c r="J346" s="584" t="str">
        <f>IF(CHMAData!T12=0,"",LEFT(CHMAData!T12,1))</f>
        <v/>
      </c>
      <c r="K346" s="888">
        <f>CHMAData!AT12</f>
        <v>0</v>
      </c>
      <c r="L346" s="887"/>
      <c r="M346" s="940">
        <f>CHMAData!AU12</f>
        <v>0</v>
      </c>
      <c r="N346" s="940"/>
      <c r="O346" s="940"/>
      <c r="P346" s="940"/>
      <c r="Q346" s="868">
        <f>CHMAData!AV12</f>
        <v>0</v>
      </c>
      <c r="R346" s="869"/>
      <c r="S346" s="869"/>
      <c r="T346" s="870"/>
      <c r="U346" s="868">
        <f>CHMAData!AW12</f>
        <v>0</v>
      </c>
      <c r="V346" s="869"/>
      <c r="W346" s="870"/>
      <c r="X346" s="868">
        <f>CHMAData!AX12</f>
        <v>0</v>
      </c>
      <c r="Y346" s="869"/>
      <c r="Z346" s="870"/>
      <c r="AA346" s="1300">
        <f t="shared" si="7"/>
        <v>0</v>
      </c>
      <c r="AB346" s="1301"/>
      <c r="AC346" s="1301"/>
      <c r="AD346" s="1302"/>
      <c r="AE346" s="866" t="str">
        <f>IF(CHMAData!AZ12=0,"",CHMAData!AZ12)</f>
        <v/>
      </c>
      <c r="AF346" s="867"/>
      <c r="AG346" s="529"/>
      <c r="AH346" s="518"/>
      <c r="AJ346" s="595" t="b">
        <f t="shared" si="8"/>
        <v>0</v>
      </c>
    </row>
    <row r="347" spans="1:36" hidden="1" x14ac:dyDescent="0.45">
      <c r="A347" s="518"/>
      <c r="B347" s="514" t="s">
        <v>1415</v>
      </c>
      <c r="C347" s="515"/>
      <c r="D347" s="515"/>
      <c r="E347" s="515"/>
      <c r="F347" s="515"/>
      <c r="G347" s="890" t="str">
        <f>IF(CHMAData!W13=0,"",SUBSTITUTE(SUBSTITUTE(CHMAData!W13,"Acquired and Rehabilitated Housing","A/R"),"Newly Constructed Housing","N/C"))</f>
        <v/>
      </c>
      <c r="H347" s="891"/>
      <c r="I347" s="583" t="str">
        <f>IF(CHMAData!BP13=0,"",LEFT(CHMAData!BP13,1))</f>
        <v/>
      </c>
      <c r="J347" s="584" t="str">
        <f>IF(CHMAData!T13=0,"",LEFT(CHMAData!T13,1))</f>
        <v/>
      </c>
      <c r="K347" s="888">
        <f>CHMAData!AT13</f>
        <v>0</v>
      </c>
      <c r="L347" s="887"/>
      <c r="M347" s="940">
        <f>CHMAData!AU13</f>
        <v>0</v>
      </c>
      <c r="N347" s="940"/>
      <c r="O347" s="940"/>
      <c r="P347" s="940"/>
      <c r="Q347" s="868">
        <f>CHMAData!AV13</f>
        <v>0</v>
      </c>
      <c r="R347" s="869"/>
      <c r="S347" s="869"/>
      <c r="T347" s="870"/>
      <c r="U347" s="868">
        <f>CHMAData!AW13</f>
        <v>0</v>
      </c>
      <c r="V347" s="869"/>
      <c r="W347" s="870"/>
      <c r="X347" s="868">
        <f>CHMAData!AX13</f>
        <v>0</v>
      </c>
      <c r="Y347" s="869"/>
      <c r="Z347" s="870"/>
      <c r="AA347" s="1300">
        <f t="shared" si="7"/>
        <v>0</v>
      </c>
      <c r="AB347" s="1301"/>
      <c r="AC347" s="1301"/>
      <c r="AD347" s="1302"/>
      <c r="AE347" s="866" t="str">
        <f>IF(CHMAData!AZ13=0,"",CHMAData!AZ13)</f>
        <v/>
      </c>
      <c r="AF347" s="867"/>
      <c r="AG347" s="529"/>
      <c r="AH347" s="518"/>
      <c r="AJ347" s="595" t="b">
        <f t="shared" si="8"/>
        <v>0</v>
      </c>
    </row>
    <row r="348" spans="1:36" hidden="1" x14ac:dyDescent="0.45">
      <c r="A348" s="518"/>
      <c r="B348" s="514" t="s">
        <v>1416</v>
      </c>
      <c r="C348" s="515"/>
      <c r="D348" s="515"/>
      <c r="E348" s="515"/>
      <c r="F348" s="515"/>
      <c r="G348" s="890" t="str">
        <f>IF(CHMAData!W14=0,"",SUBSTITUTE(SUBSTITUTE(CHMAData!W14,"Acquired and Rehabilitated Housing","A/R"),"Newly Constructed Housing","N/C"))</f>
        <v/>
      </c>
      <c r="H348" s="891"/>
      <c r="I348" s="583" t="str">
        <f>IF(CHMAData!BP14=0,"",LEFT(CHMAData!BP14,1))</f>
        <v/>
      </c>
      <c r="J348" s="584" t="str">
        <f>IF(CHMAData!T14=0,"",LEFT(CHMAData!T14,1))</f>
        <v/>
      </c>
      <c r="K348" s="888">
        <f>CHMAData!AT14</f>
        <v>0</v>
      </c>
      <c r="L348" s="887"/>
      <c r="M348" s="940">
        <f>CHMAData!AU14</f>
        <v>0</v>
      </c>
      <c r="N348" s="940"/>
      <c r="O348" s="940"/>
      <c r="P348" s="940"/>
      <c r="Q348" s="868">
        <f>CHMAData!AV14</f>
        <v>0</v>
      </c>
      <c r="R348" s="869"/>
      <c r="S348" s="869"/>
      <c r="T348" s="870"/>
      <c r="U348" s="868">
        <f>CHMAData!AW14</f>
        <v>0</v>
      </c>
      <c r="V348" s="869"/>
      <c r="W348" s="870"/>
      <c r="X348" s="868">
        <f>CHMAData!AX14</f>
        <v>0</v>
      </c>
      <c r="Y348" s="869"/>
      <c r="Z348" s="870"/>
      <c r="AA348" s="1300">
        <f t="shared" si="7"/>
        <v>0</v>
      </c>
      <c r="AB348" s="1301"/>
      <c r="AC348" s="1301"/>
      <c r="AD348" s="1302"/>
      <c r="AE348" s="866" t="str">
        <f>IF(CHMAData!AZ14=0,"",CHMAData!AZ14)</f>
        <v/>
      </c>
      <c r="AF348" s="867"/>
      <c r="AG348" s="529"/>
      <c r="AH348" s="518"/>
      <c r="AJ348" s="595" t="b">
        <f t="shared" si="8"/>
        <v>0</v>
      </c>
    </row>
    <row r="349" spans="1:36" hidden="1" x14ac:dyDescent="0.45">
      <c r="A349" s="518"/>
      <c r="B349" s="514" t="s">
        <v>1417</v>
      </c>
      <c r="C349" s="515"/>
      <c r="D349" s="515"/>
      <c r="E349" s="515"/>
      <c r="F349" s="515"/>
      <c r="G349" s="890" t="str">
        <f>IF(CHMAData!W15=0,"",SUBSTITUTE(SUBSTITUTE(CHMAData!W15,"Acquired and Rehabilitated Housing","A/R"),"Newly Constructed Housing","N/C"))</f>
        <v/>
      </c>
      <c r="H349" s="891"/>
      <c r="I349" s="583" t="str">
        <f>IF(CHMAData!BP15=0,"",LEFT(CHMAData!BP15,1))</f>
        <v/>
      </c>
      <c r="J349" s="584" t="str">
        <f>IF(CHMAData!T15=0,"",LEFT(CHMAData!T15,1))</f>
        <v/>
      </c>
      <c r="K349" s="888">
        <f>CHMAData!AT15</f>
        <v>0</v>
      </c>
      <c r="L349" s="887"/>
      <c r="M349" s="940">
        <f>CHMAData!AU15</f>
        <v>0</v>
      </c>
      <c r="N349" s="940"/>
      <c r="O349" s="940"/>
      <c r="P349" s="940"/>
      <c r="Q349" s="868">
        <f>CHMAData!AV15</f>
        <v>0</v>
      </c>
      <c r="R349" s="869"/>
      <c r="S349" s="869"/>
      <c r="T349" s="870"/>
      <c r="U349" s="868">
        <f>CHMAData!AW15</f>
        <v>0</v>
      </c>
      <c r="V349" s="869"/>
      <c r="W349" s="870"/>
      <c r="X349" s="868">
        <f>CHMAData!AX15</f>
        <v>0</v>
      </c>
      <c r="Y349" s="869"/>
      <c r="Z349" s="870"/>
      <c r="AA349" s="1300">
        <f t="shared" si="7"/>
        <v>0</v>
      </c>
      <c r="AB349" s="1301"/>
      <c r="AC349" s="1301"/>
      <c r="AD349" s="1302"/>
      <c r="AE349" s="866" t="str">
        <f>IF(CHMAData!AZ15=0,"",CHMAData!AZ15)</f>
        <v/>
      </c>
      <c r="AF349" s="867"/>
      <c r="AG349" s="529"/>
      <c r="AH349" s="518"/>
      <c r="AJ349" s="595" t="b">
        <f t="shared" si="8"/>
        <v>0</v>
      </c>
    </row>
    <row r="350" spans="1:36" hidden="1" x14ac:dyDescent="0.45">
      <c r="A350" s="518"/>
      <c r="B350" s="514" t="s">
        <v>1418</v>
      </c>
      <c r="C350" s="515"/>
      <c r="D350" s="515"/>
      <c r="E350" s="515"/>
      <c r="F350" s="515"/>
      <c r="G350" s="890" t="str">
        <f>IF(CHMAData!W16=0,"",SUBSTITUTE(SUBSTITUTE(CHMAData!W16,"Acquired and Rehabilitated Housing","A/R"),"Newly Constructed Housing","N/C"))</f>
        <v/>
      </c>
      <c r="H350" s="891"/>
      <c r="I350" s="583" t="str">
        <f>IF(CHMAData!BP16=0,"",LEFT(CHMAData!BP16,1))</f>
        <v/>
      </c>
      <c r="J350" s="584" t="str">
        <f>IF(CHMAData!T16=0,"",LEFT(CHMAData!T16,1))</f>
        <v/>
      </c>
      <c r="K350" s="888">
        <f>CHMAData!AT16</f>
        <v>0</v>
      </c>
      <c r="L350" s="887"/>
      <c r="M350" s="940">
        <f>CHMAData!AU16</f>
        <v>0</v>
      </c>
      <c r="N350" s="940"/>
      <c r="O350" s="940"/>
      <c r="P350" s="940"/>
      <c r="Q350" s="868">
        <f>CHMAData!AV16</f>
        <v>0</v>
      </c>
      <c r="R350" s="869"/>
      <c r="S350" s="869"/>
      <c r="T350" s="870"/>
      <c r="U350" s="868">
        <f>CHMAData!AW16</f>
        <v>0</v>
      </c>
      <c r="V350" s="869"/>
      <c r="W350" s="870"/>
      <c r="X350" s="868">
        <f>CHMAData!AX16</f>
        <v>0</v>
      </c>
      <c r="Y350" s="869"/>
      <c r="Z350" s="870"/>
      <c r="AA350" s="1300">
        <f t="shared" si="7"/>
        <v>0</v>
      </c>
      <c r="AB350" s="1301"/>
      <c r="AC350" s="1301"/>
      <c r="AD350" s="1302"/>
      <c r="AE350" s="866" t="str">
        <f>IF(CHMAData!AZ16=0,"",CHMAData!AZ16)</f>
        <v/>
      </c>
      <c r="AF350" s="867"/>
      <c r="AG350" s="529"/>
      <c r="AH350" s="518"/>
      <c r="AJ350" s="595" t="b">
        <f t="shared" si="8"/>
        <v>0</v>
      </c>
    </row>
    <row r="351" spans="1:36" hidden="1" x14ac:dyDescent="0.45">
      <c r="A351" s="518"/>
      <c r="B351" s="514" t="s">
        <v>1419</v>
      </c>
      <c r="C351" s="515"/>
      <c r="D351" s="515"/>
      <c r="E351" s="515"/>
      <c r="F351" s="515"/>
      <c r="G351" s="890" t="str">
        <f>IF(CHMAData!W17=0,"",SUBSTITUTE(SUBSTITUTE(CHMAData!W17,"Acquired and Rehabilitated Housing","A/R"),"Newly Constructed Housing","N/C"))</f>
        <v/>
      </c>
      <c r="H351" s="891"/>
      <c r="I351" s="583" t="str">
        <f>IF(CHMAData!BP17=0,"",LEFT(CHMAData!BP17,1))</f>
        <v/>
      </c>
      <c r="J351" s="584" t="str">
        <f>IF(CHMAData!T17=0,"",LEFT(CHMAData!T17,1))</f>
        <v/>
      </c>
      <c r="K351" s="888">
        <f>CHMAData!AT17</f>
        <v>0</v>
      </c>
      <c r="L351" s="887"/>
      <c r="M351" s="940">
        <f>CHMAData!AU17</f>
        <v>0</v>
      </c>
      <c r="N351" s="940"/>
      <c r="O351" s="940"/>
      <c r="P351" s="940"/>
      <c r="Q351" s="868">
        <f>CHMAData!AV17</f>
        <v>0</v>
      </c>
      <c r="R351" s="869"/>
      <c r="S351" s="869"/>
      <c r="T351" s="870"/>
      <c r="U351" s="868">
        <f>CHMAData!AW17</f>
        <v>0</v>
      </c>
      <c r="V351" s="869"/>
      <c r="W351" s="870"/>
      <c r="X351" s="868">
        <f>CHMAData!AX17</f>
        <v>0</v>
      </c>
      <c r="Y351" s="869"/>
      <c r="Z351" s="870"/>
      <c r="AA351" s="1300">
        <f t="shared" si="7"/>
        <v>0</v>
      </c>
      <c r="AB351" s="1301"/>
      <c r="AC351" s="1301"/>
      <c r="AD351" s="1302"/>
      <c r="AE351" s="866" t="str">
        <f>IF(CHMAData!AZ17=0,"",CHMAData!AZ17)</f>
        <v/>
      </c>
      <c r="AF351" s="867"/>
      <c r="AG351" s="529"/>
      <c r="AH351" s="518"/>
      <c r="AJ351" s="595" t="b">
        <f t="shared" si="8"/>
        <v>0</v>
      </c>
    </row>
    <row r="352" spans="1:36" hidden="1" x14ac:dyDescent="0.45">
      <c r="A352" s="518"/>
      <c r="B352" s="514" t="s">
        <v>1420</v>
      </c>
      <c r="C352" s="515"/>
      <c r="D352" s="515"/>
      <c r="E352" s="515"/>
      <c r="F352" s="515"/>
      <c r="G352" s="890" t="str">
        <f>IF(CHMAData!W18=0,"",SUBSTITUTE(SUBSTITUTE(CHMAData!W18,"Acquired and Rehabilitated Housing","A/R"),"Newly Constructed Housing","N/C"))</f>
        <v/>
      </c>
      <c r="H352" s="891"/>
      <c r="I352" s="583" t="str">
        <f>IF(CHMAData!BP18=0,"",LEFT(CHMAData!BP18,1))</f>
        <v/>
      </c>
      <c r="J352" s="584" t="str">
        <f>IF(CHMAData!T18=0,"",LEFT(CHMAData!T18,1))</f>
        <v/>
      </c>
      <c r="K352" s="888">
        <f>CHMAData!AT18</f>
        <v>0</v>
      </c>
      <c r="L352" s="887"/>
      <c r="M352" s="940">
        <f>CHMAData!AU18</f>
        <v>0</v>
      </c>
      <c r="N352" s="940"/>
      <c r="O352" s="940"/>
      <c r="P352" s="940"/>
      <c r="Q352" s="868">
        <f>CHMAData!AV18</f>
        <v>0</v>
      </c>
      <c r="R352" s="869"/>
      <c r="S352" s="869"/>
      <c r="T352" s="870"/>
      <c r="U352" s="868">
        <f>CHMAData!AW18</f>
        <v>0</v>
      </c>
      <c r="V352" s="869"/>
      <c r="W352" s="870"/>
      <c r="X352" s="868">
        <f>CHMAData!AX18</f>
        <v>0</v>
      </c>
      <c r="Y352" s="869"/>
      <c r="Z352" s="870"/>
      <c r="AA352" s="1300">
        <f t="shared" si="7"/>
        <v>0</v>
      </c>
      <c r="AB352" s="1301"/>
      <c r="AC352" s="1301"/>
      <c r="AD352" s="1302"/>
      <c r="AE352" s="866" t="str">
        <f>IF(CHMAData!AZ18=0,"",CHMAData!AZ18)</f>
        <v/>
      </c>
      <c r="AF352" s="867"/>
      <c r="AG352" s="529"/>
      <c r="AH352" s="518"/>
      <c r="AJ352" s="595" t="b">
        <f t="shared" si="8"/>
        <v>0</v>
      </c>
    </row>
    <row r="353" spans="1:36" hidden="1" x14ac:dyDescent="0.45">
      <c r="A353" s="518"/>
      <c r="B353" s="514" t="s">
        <v>1421</v>
      </c>
      <c r="C353" s="515"/>
      <c r="D353" s="515"/>
      <c r="E353" s="515"/>
      <c r="F353" s="515"/>
      <c r="G353" s="890" t="str">
        <f>IF(CHMAData!W19=0,"",SUBSTITUTE(SUBSTITUTE(CHMAData!W19,"Acquired and Rehabilitated Housing","A/R"),"Newly Constructed Housing","N/C"))</f>
        <v/>
      </c>
      <c r="H353" s="891"/>
      <c r="I353" s="583" t="str">
        <f>IF(CHMAData!BP19=0,"",LEFT(CHMAData!BP19,1))</f>
        <v/>
      </c>
      <c r="J353" s="584" t="str">
        <f>IF(CHMAData!T19=0,"",LEFT(CHMAData!T19,1))</f>
        <v/>
      </c>
      <c r="K353" s="888">
        <f>CHMAData!AT19</f>
        <v>0</v>
      </c>
      <c r="L353" s="887"/>
      <c r="M353" s="940">
        <f>CHMAData!AU19</f>
        <v>0</v>
      </c>
      <c r="N353" s="940"/>
      <c r="O353" s="940"/>
      <c r="P353" s="940"/>
      <c r="Q353" s="868">
        <f>CHMAData!AV19</f>
        <v>0</v>
      </c>
      <c r="R353" s="869"/>
      <c r="S353" s="869"/>
      <c r="T353" s="870"/>
      <c r="U353" s="868">
        <f>CHMAData!AW19</f>
        <v>0</v>
      </c>
      <c r="V353" s="869"/>
      <c r="W353" s="870"/>
      <c r="X353" s="868">
        <f>CHMAData!AX19</f>
        <v>0</v>
      </c>
      <c r="Y353" s="869"/>
      <c r="Z353" s="870"/>
      <c r="AA353" s="1300">
        <f t="shared" si="7"/>
        <v>0</v>
      </c>
      <c r="AB353" s="1301"/>
      <c r="AC353" s="1301"/>
      <c r="AD353" s="1302"/>
      <c r="AE353" s="866" t="str">
        <f>IF(CHMAData!AZ19=0,"",CHMAData!AZ19)</f>
        <v/>
      </c>
      <c r="AF353" s="867"/>
      <c r="AG353" s="529"/>
      <c r="AH353" s="518"/>
      <c r="AJ353" s="595" t="b">
        <f t="shared" si="8"/>
        <v>0</v>
      </c>
    </row>
    <row r="354" spans="1:36" hidden="1" x14ac:dyDescent="0.45">
      <c r="A354" s="518"/>
      <c r="B354" s="514" t="s">
        <v>1422</v>
      </c>
      <c r="C354" s="515"/>
      <c r="D354" s="515"/>
      <c r="E354" s="515"/>
      <c r="F354" s="515"/>
      <c r="G354" s="890" t="str">
        <f>IF(CHMAData!W20=0,"",SUBSTITUTE(SUBSTITUTE(CHMAData!W20,"Acquired and Rehabilitated Housing","A/R"),"Newly Constructed Housing","N/C"))</f>
        <v/>
      </c>
      <c r="H354" s="891"/>
      <c r="I354" s="583" t="str">
        <f>IF(CHMAData!BP20=0,"",LEFT(CHMAData!BP20,1))</f>
        <v/>
      </c>
      <c r="J354" s="584" t="str">
        <f>IF(CHMAData!T20=0,"",LEFT(CHMAData!T20,1))</f>
        <v/>
      </c>
      <c r="K354" s="888">
        <f>CHMAData!AT20</f>
        <v>0</v>
      </c>
      <c r="L354" s="887"/>
      <c r="M354" s="940">
        <f>CHMAData!AU20</f>
        <v>0</v>
      </c>
      <c r="N354" s="940"/>
      <c r="O354" s="940"/>
      <c r="P354" s="940"/>
      <c r="Q354" s="868">
        <f>CHMAData!AV20</f>
        <v>0</v>
      </c>
      <c r="R354" s="869"/>
      <c r="S354" s="869"/>
      <c r="T354" s="870"/>
      <c r="U354" s="868">
        <f>CHMAData!AW20</f>
        <v>0</v>
      </c>
      <c r="V354" s="869"/>
      <c r="W354" s="870"/>
      <c r="X354" s="868">
        <f>CHMAData!AX20</f>
        <v>0</v>
      </c>
      <c r="Y354" s="869"/>
      <c r="Z354" s="870"/>
      <c r="AA354" s="1300">
        <f t="shared" si="7"/>
        <v>0</v>
      </c>
      <c r="AB354" s="1301"/>
      <c r="AC354" s="1301"/>
      <c r="AD354" s="1302"/>
      <c r="AE354" s="866" t="str">
        <f>IF(CHMAData!AZ20=0,"",CHMAData!AZ20)</f>
        <v/>
      </c>
      <c r="AF354" s="867"/>
      <c r="AG354" s="529"/>
      <c r="AH354" s="518"/>
      <c r="AJ354" s="595" t="b">
        <f t="shared" si="8"/>
        <v>0</v>
      </c>
    </row>
    <row r="355" spans="1:36" hidden="1" x14ac:dyDescent="0.45">
      <c r="A355" s="518"/>
      <c r="B355" s="514" t="s">
        <v>1423</v>
      </c>
      <c r="C355" s="515"/>
      <c r="D355" s="515"/>
      <c r="E355" s="515"/>
      <c r="F355" s="515"/>
      <c r="G355" s="890" t="str">
        <f>IF(CHMAData!W21=0,"",SUBSTITUTE(SUBSTITUTE(CHMAData!W21,"Acquired and Rehabilitated Housing","A/R"),"Newly Constructed Housing","N/C"))</f>
        <v/>
      </c>
      <c r="H355" s="891"/>
      <c r="I355" s="583" t="str">
        <f>IF(CHMAData!BP21=0,"",LEFT(CHMAData!BP21,1))</f>
        <v/>
      </c>
      <c r="J355" s="584" t="str">
        <f>IF(CHMAData!T21=0,"",LEFT(CHMAData!T21,1))</f>
        <v/>
      </c>
      <c r="K355" s="888">
        <f>CHMAData!AT21</f>
        <v>0</v>
      </c>
      <c r="L355" s="887"/>
      <c r="M355" s="940">
        <f>CHMAData!AU21</f>
        <v>0</v>
      </c>
      <c r="N355" s="940"/>
      <c r="O355" s="940"/>
      <c r="P355" s="940"/>
      <c r="Q355" s="868">
        <f>CHMAData!AV21</f>
        <v>0</v>
      </c>
      <c r="R355" s="869"/>
      <c r="S355" s="869"/>
      <c r="T355" s="870"/>
      <c r="U355" s="868">
        <f>CHMAData!AW21</f>
        <v>0</v>
      </c>
      <c r="V355" s="869"/>
      <c r="W355" s="870"/>
      <c r="X355" s="868">
        <f>CHMAData!AX21</f>
        <v>0</v>
      </c>
      <c r="Y355" s="869"/>
      <c r="Z355" s="870"/>
      <c r="AA355" s="1300">
        <f t="shared" si="7"/>
        <v>0</v>
      </c>
      <c r="AB355" s="1301"/>
      <c r="AC355" s="1301"/>
      <c r="AD355" s="1302"/>
      <c r="AE355" s="866" t="str">
        <f>IF(CHMAData!AZ21=0,"",CHMAData!AZ21)</f>
        <v/>
      </c>
      <c r="AF355" s="867"/>
      <c r="AG355" s="529"/>
      <c r="AH355" s="518"/>
      <c r="AJ355" s="595" t="b">
        <f t="shared" si="8"/>
        <v>0</v>
      </c>
    </row>
    <row r="356" spans="1:36" hidden="1" x14ac:dyDescent="0.45">
      <c r="A356" s="518"/>
      <c r="B356" s="514" t="s">
        <v>1424</v>
      </c>
      <c r="C356" s="515"/>
      <c r="D356" s="515"/>
      <c r="E356" s="515"/>
      <c r="F356" s="515"/>
      <c r="G356" s="890" t="str">
        <f>IF(CHMAData!W22=0,"",SUBSTITUTE(SUBSTITUTE(CHMAData!W22,"Acquired and Rehabilitated Housing","A/R"),"Newly Constructed Housing","N/C"))</f>
        <v/>
      </c>
      <c r="H356" s="891"/>
      <c r="I356" s="583" t="str">
        <f>IF(CHMAData!BP22=0,"",LEFT(CHMAData!BP22,1))</f>
        <v/>
      </c>
      <c r="J356" s="584" t="str">
        <f>IF(CHMAData!T22=0,"",LEFT(CHMAData!T22,1))</f>
        <v/>
      </c>
      <c r="K356" s="888">
        <f>CHMAData!AT22</f>
        <v>0</v>
      </c>
      <c r="L356" s="887"/>
      <c r="M356" s="940">
        <f>CHMAData!AU22</f>
        <v>0</v>
      </c>
      <c r="N356" s="940"/>
      <c r="O356" s="940"/>
      <c r="P356" s="940"/>
      <c r="Q356" s="868">
        <f>CHMAData!AV22</f>
        <v>0</v>
      </c>
      <c r="R356" s="869"/>
      <c r="S356" s="869"/>
      <c r="T356" s="870"/>
      <c r="U356" s="868">
        <f>CHMAData!AW22</f>
        <v>0</v>
      </c>
      <c r="V356" s="869"/>
      <c r="W356" s="870"/>
      <c r="X356" s="868">
        <f>CHMAData!AX22</f>
        <v>0</v>
      </c>
      <c r="Y356" s="869"/>
      <c r="Z356" s="870"/>
      <c r="AA356" s="1300">
        <f t="shared" si="7"/>
        <v>0</v>
      </c>
      <c r="AB356" s="1301"/>
      <c r="AC356" s="1301"/>
      <c r="AD356" s="1302"/>
      <c r="AE356" s="866" t="str">
        <f>IF(CHMAData!AZ22=0,"",CHMAData!AZ22)</f>
        <v/>
      </c>
      <c r="AF356" s="867"/>
      <c r="AG356" s="529"/>
      <c r="AH356" s="518"/>
      <c r="AJ356" s="595" t="b">
        <f t="shared" si="8"/>
        <v>0</v>
      </c>
    </row>
    <row r="357" spans="1:36" hidden="1" x14ac:dyDescent="0.45">
      <c r="A357" s="518"/>
      <c r="B357" s="514" t="s">
        <v>1425</v>
      </c>
      <c r="C357" s="515"/>
      <c r="D357" s="515"/>
      <c r="E357" s="515"/>
      <c r="F357" s="515"/>
      <c r="G357" s="890" t="str">
        <f>IF(CHMAData!W23=0,"",SUBSTITUTE(SUBSTITUTE(CHMAData!W23,"Acquired and Rehabilitated Housing","A/R"),"Newly Constructed Housing","N/C"))</f>
        <v/>
      </c>
      <c r="H357" s="891"/>
      <c r="I357" s="583" t="str">
        <f>IF(CHMAData!BP23=0,"",LEFT(CHMAData!BP23,1))</f>
        <v/>
      </c>
      <c r="J357" s="584" t="str">
        <f>IF(CHMAData!T23=0,"",LEFT(CHMAData!T23,1))</f>
        <v/>
      </c>
      <c r="K357" s="888">
        <f>CHMAData!AT23</f>
        <v>0</v>
      </c>
      <c r="L357" s="887"/>
      <c r="M357" s="940">
        <f>CHMAData!AU23</f>
        <v>0</v>
      </c>
      <c r="N357" s="940"/>
      <c r="O357" s="940"/>
      <c r="P357" s="940"/>
      <c r="Q357" s="868">
        <f>CHMAData!AV23</f>
        <v>0</v>
      </c>
      <c r="R357" s="869"/>
      <c r="S357" s="869"/>
      <c r="T357" s="870"/>
      <c r="U357" s="868">
        <f>CHMAData!AW23</f>
        <v>0</v>
      </c>
      <c r="V357" s="869"/>
      <c r="W357" s="870"/>
      <c r="X357" s="868">
        <f>CHMAData!AX23</f>
        <v>0</v>
      </c>
      <c r="Y357" s="869"/>
      <c r="Z357" s="870"/>
      <c r="AA357" s="1300">
        <f t="shared" si="7"/>
        <v>0</v>
      </c>
      <c r="AB357" s="1301"/>
      <c r="AC357" s="1301"/>
      <c r="AD357" s="1302"/>
      <c r="AE357" s="866" t="str">
        <f>IF(CHMAData!AZ23=0,"",CHMAData!AZ23)</f>
        <v/>
      </c>
      <c r="AF357" s="867"/>
      <c r="AG357" s="529"/>
      <c r="AH357" s="518"/>
      <c r="AJ357" s="595" t="b">
        <f t="shared" si="8"/>
        <v>0</v>
      </c>
    </row>
    <row r="358" spans="1:36" hidden="1" x14ac:dyDescent="0.45">
      <c r="A358" s="518"/>
      <c r="B358" s="514" t="s">
        <v>1426</v>
      </c>
      <c r="C358" s="515"/>
      <c r="D358" s="515"/>
      <c r="E358" s="515"/>
      <c r="F358" s="515"/>
      <c r="G358" s="890" t="str">
        <f>IF(CHMAData!W24=0,"",SUBSTITUTE(SUBSTITUTE(CHMAData!W24,"Acquired and Rehabilitated Housing","A/R"),"Newly Constructed Housing","N/C"))</f>
        <v/>
      </c>
      <c r="H358" s="891"/>
      <c r="I358" s="583" t="str">
        <f>IF(CHMAData!BP24=0,"",LEFT(CHMAData!BP24,1))</f>
        <v/>
      </c>
      <c r="J358" s="584" t="str">
        <f>IF(CHMAData!T24=0,"",LEFT(CHMAData!T24,1))</f>
        <v/>
      </c>
      <c r="K358" s="888">
        <f>CHMAData!AT24</f>
        <v>0</v>
      </c>
      <c r="L358" s="887"/>
      <c r="M358" s="940">
        <f>CHMAData!AU24</f>
        <v>0</v>
      </c>
      <c r="N358" s="940"/>
      <c r="O358" s="940"/>
      <c r="P358" s="940"/>
      <c r="Q358" s="868">
        <f>CHMAData!AV24</f>
        <v>0</v>
      </c>
      <c r="R358" s="869"/>
      <c r="S358" s="869"/>
      <c r="T358" s="870"/>
      <c r="U358" s="868">
        <f>CHMAData!AW24</f>
        <v>0</v>
      </c>
      <c r="V358" s="869"/>
      <c r="W358" s="870"/>
      <c r="X358" s="868">
        <f>CHMAData!AX24</f>
        <v>0</v>
      </c>
      <c r="Y358" s="869"/>
      <c r="Z358" s="870"/>
      <c r="AA358" s="1300">
        <f t="shared" si="7"/>
        <v>0</v>
      </c>
      <c r="AB358" s="1301"/>
      <c r="AC358" s="1301"/>
      <c r="AD358" s="1302"/>
      <c r="AE358" s="866" t="str">
        <f>IF(CHMAData!AZ24=0,"",CHMAData!AZ24)</f>
        <v/>
      </c>
      <c r="AF358" s="867"/>
      <c r="AG358" s="529"/>
      <c r="AH358" s="518"/>
      <c r="AJ358" s="595" t="b">
        <f t="shared" si="8"/>
        <v>0</v>
      </c>
    </row>
    <row r="359" spans="1:36" hidden="1" x14ac:dyDescent="0.45">
      <c r="A359" s="518"/>
      <c r="B359" s="514" t="s">
        <v>1427</v>
      </c>
      <c r="C359" s="515"/>
      <c r="D359" s="515"/>
      <c r="E359" s="515"/>
      <c r="F359" s="515"/>
      <c r="G359" s="890" t="str">
        <f>IF(CHMAData!W25=0,"",SUBSTITUTE(SUBSTITUTE(CHMAData!W25,"Acquired and Rehabilitated Housing","A/R"),"Newly Constructed Housing","N/C"))</f>
        <v/>
      </c>
      <c r="H359" s="891"/>
      <c r="I359" s="583" t="str">
        <f>IF(CHMAData!BP25=0,"",LEFT(CHMAData!BP25,1))</f>
        <v/>
      </c>
      <c r="J359" s="584" t="str">
        <f>IF(CHMAData!T25=0,"",LEFT(CHMAData!T25,1))</f>
        <v/>
      </c>
      <c r="K359" s="888">
        <f>CHMAData!AT25</f>
        <v>0</v>
      </c>
      <c r="L359" s="887"/>
      <c r="M359" s="940">
        <f>CHMAData!AU25</f>
        <v>0</v>
      </c>
      <c r="N359" s="940"/>
      <c r="O359" s="940"/>
      <c r="P359" s="940"/>
      <c r="Q359" s="868">
        <f>CHMAData!AV25</f>
        <v>0</v>
      </c>
      <c r="R359" s="869"/>
      <c r="S359" s="869"/>
      <c r="T359" s="870"/>
      <c r="U359" s="868">
        <f>CHMAData!AW25</f>
        <v>0</v>
      </c>
      <c r="V359" s="869"/>
      <c r="W359" s="870"/>
      <c r="X359" s="868">
        <f>CHMAData!AX25</f>
        <v>0</v>
      </c>
      <c r="Y359" s="869"/>
      <c r="Z359" s="870"/>
      <c r="AA359" s="1300">
        <f t="shared" si="7"/>
        <v>0</v>
      </c>
      <c r="AB359" s="1301"/>
      <c r="AC359" s="1301"/>
      <c r="AD359" s="1302"/>
      <c r="AE359" s="866" t="str">
        <f>IF(CHMAData!AZ25=0,"",CHMAData!AZ25)</f>
        <v/>
      </c>
      <c r="AF359" s="867"/>
      <c r="AG359" s="529"/>
      <c r="AH359" s="518"/>
      <c r="AJ359" s="595" t="b">
        <f t="shared" si="8"/>
        <v>0</v>
      </c>
    </row>
    <row r="360" spans="1:36" hidden="1" x14ac:dyDescent="0.45">
      <c r="A360" s="518"/>
      <c r="B360" s="514" t="s">
        <v>1428</v>
      </c>
      <c r="C360" s="515"/>
      <c r="D360" s="515"/>
      <c r="E360" s="515"/>
      <c r="F360" s="515"/>
      <c r="G360" s="890" t="str">
        <f>IF(CHMAData!W26=0,"",SUBSTITUTE(SUBSTITUTE(CHMAData!W26,"Acquired and Rehabilitated Housing","A/R"),"Newly Constructed Housing","N/C"))</f>
        <v/>
      </c>
      <c r="H360" s="891"/>
      <c r="I360" s="583" t="str">
        <f>IF(CHMAData!BP26=0,"",LEFT(CHMAData!BP26,1))</f>
        <v/>
      </c>
      <c r="J360" s="584" t="str">
        <f>IF(CHMAData!T26=0,"",LEFT(CHMAData!T26,1))</f>
        <v/>
      </c>
      <c r="K360" s="888">
        <f>CHMAData!AT26</f>
        <v>0</v>
      </c>
      <c r="L360" s="887"/>
      <c r="M360" s="940">
        <f>CHMAData!AU26</f>
        <v>0</v>
      </c>
      <c r="N360" s="940"/>
      <c r="O360" s="940"/>
      <c r="P360" s="940"/>
      <c r="Q360" s="868">
        <f>CHMAData!AV26</f>
        <v>0</v>
      </c>
      <c r="R360" s="869"/>
      <c r="S360" s="869"/>
      <c r="T360" s="870"/>
      <c r="U360" s="868">
        <f>CHMAData!AW26</f>
        <v>0</v>
      </c>
      <c r="V360" s="869"/>
      <c r="W360" s="870"/>
      <c r="X360" s="868">
        <f>CHMAData!AX26</f>
        <v>0</v>
      </c>
      <c r="Y360" s="869"/>
      <c r="Z360" s="870"/>
      <c r="AA360" s="1300">
        <f t="shared" si="7"/>
        <v>0</v>
      </c>
      <c r="AB360" s="1301"/>
      <c r="AC360" s="1301"/>
      <c r="AD360" s="1302"/>
      <c r="AE360" s="866" t="str">
        <f>IF(CHMAData!AZ26=0,"",CHMAData!AZ26)</f>
        <v/>
      </c>
      <c r="AF360" s="867"/>
      <c r="AG360" s="529"/>
      <c r="AH360" s="518"/>
      <c r="AJ360" s="595" t="b">
        <f t="shared" si="8"/>
        <v>0</v>
      </c>
    </row>
    <row r="361" spans="1:36" hidden="1" x14ac:dyDescent="0.45">
      <c r="A361" s="518"/>
      <c r="B361" s="514" t="s">
        <v>1429</v>
      </c>
      <c r="C361" s="515"/>
      <c r="D361" s="515"/>
      <c r="E361" s="515"/>
      <c r="F361" s="515"/>
      <c r="G361" s="890" t="str">
        <f>IF(CHMAData!W27=0,"",SUBSTITUTE(SUBSTITUTE(CHMAData!W27,"Acquired and Rehabilitated Housing","A/R"),"Newly Constructed Housing","N/C"))</f>
        <v/>
      </c>
      <c r="H361" s="891"/>
      <c r="I361" s="583" t="str">
        <f>IF(CHMAData!BP27=0,"",LEFT(CHMAData!BP27,1))</f>
        <v/>
      </c>
      <c r="J361" s="584" t="str">
        <f>IF(CHMAData!T27=0,"",LEFT(CHMAData!T27,1))</f>
        <v/>
      </c>
      <c r="K361" s="888">
        <f>CHMAData!AT27</f>
        <v>0</v>
      </c>
      <c r="L361" s="887"/>
      <c r="M361" s="940">
        <f>CHMAData!AU27</f>
        <v>0</v>
      </c>
      <c r="N361" s="940"/>
      <c r="O361" s="940"/>
      <c r="P361" s="940"/>
      <c r="Q361" s="868">
        <f>CHMAData!AV27</f>
        <v>0</v>
      </c>
      <c r="R361" s="869"/>
      <c r="S361" s="869"/>
      <c r="T361" s="870"/>
      <c r="U361" s="868">
        <f>CHMAData!AW27</f>
        <v>0</v>
      </c>
      <c r="V361" s="869"/>
      <c r="W361" s="870"/>
      <c r="X361" s="868">
        <f>CHMAData!AX27</f>
        <v>0</v>
      </c>
      <c r="Y361" s="869"/>
      <c r="Z361" s="870"/>
      <c r="AA361" s="1300">
        <f t="shared" si="7"/>
        <v>0</v>
      </c>
      <c r="AB361" s="1301"/>
      <c r="AC361" s="1301"/>
      <c r="AD361" s="1302"/>
      <c r="AE361" s="866" t="str">
        <f>IF(CHMAData!AZ27=0,"",CHMAData!AZ27)</f>
        <v/>
      </c>
      <c r="AF361" s="867"/>
      <c r="AG361" s="529"/>
      <c r="AH361" s="518"/>
      <c r="AJ361" s="595" t="b">
        <f t="shared" si="8"/>
        <v>0</v>
      </c>
    </row>
    <row r="362" spans="1:36" hidden="1" x14ac:dyDescent="0.45">
      <c r="A362" s="518"/>
      <c r="B362" s="514" t="s">
        <v>1430</v>
      </c>
      <c r="C362" s="515"/>
      <c r="D362" s="515"/>
      <c r="E362" s="515"/>
      <c r="F362" s="515"/>
      <c r="G362" s="890" t="str">
        <f>IF(CHMAData!W28=0,"",SUBSTITUTE(SUBSTITUTE(CHMAData!W28,"Acquired and Rehabilitated Housing","A/R"),"Newly Constructed Housing","N/C"))</f>
        <v/>
      </c>
      <c r="H362" s="891"/>
      <c r="I362" s="583" t="str">
        <f>IF(CHMAData!BP28=0,"",LEFT(CHMAData!BP28,1))</f>
        <v/>
      </c>
      <c r="J362" s="584" t="str">
        <f>IF(CHMAData!T28=0,"",LEFT(CHMAData!T28,1))</f>
        <v/>
      </c>
      <c r="K362" s="888">
        <f>CHMAData!AT28</f>
        <v>0</v>
      </c>
      <c r="L362" s="887"/>
      <c r="M362" s="940">
        <f>CHMAData!AU28</f>
        <v>0</v>
      </c>
      <c r="N362" s="940"/>
      <c r="O362" s="940"/>
      <c r="P362" s="940"/>
      <c r="Q362" s="868">
        <f>CHMAData!AV28</f>
        <v>0</v>
      </c>
      <c r="R362" s="869"/>
      <c r="S362" s="869"/>
      <c r="T362" s="870"/>
      <c r="U362" s="868">
        <f>CHMAData!AW28</f>
        <v>0</v>
      </c>
      <c r="V362" s="869"/>
      <c r="W362" s="870"/>
      <c r="X362" s="868">
        <f>CHMAData!AX28</f>
        <v>0</v>
      </c>
      <c r="Y362" s="869"/>
      <c r="Z362" s="870"/>
      <c r="AA362" s="1300">
        <f t="shared" si="7"/>
        <v>0</v>
      </c>
      <c r="AB362" s="1301"/>
      <c r="AC362" s="1301"/>
      <c r="AD362" s="1302"/>
      <c r="AE362" s="866" t="str">
        <f>IF(CHMAData!AZ28=0,"",CHMAData!AZ28)</f>
        <v/>
      </c>
      <c r="AF362" s="867"/>
      <c r="AG362" s="529"/>
      <c r="AH362" s="518"/>
      <c r="AJ362" s="595" t="b">
        <f t="shared" si="8"/>
        <v>0</v>
      </c>
    </row>
    <row r="363" spans="1:36" hidden="1" x14ac:dyDescent="0.45">
      <c r="A363" s="518"/>
      <c r="B363" s="514" t="s">
        <v>1431</v>
      </c>
      <c r="C363" s="515"/>
      <c r="D363" s="515"/>
      <c r="E363" s="515"/>
      <c r="F363" s="515"/>
      <c r="G363" s="890" t="str">
        <f>IF(CHMAData!W29=0,"",SUBSTITUTE(SUBSTITUTE(CHMAData!W29,"Acquired and Rehabilitated Housing","A/R"),"Newly Constructed Housing","N/C"))</f>
        <v/>
      </c>
      <c r="H363" s="891"/>
      <c r="I363" s="583" t="str">
        <f>IF(CHMAData!BP29=0,"",LEFT(CHMAData!BP29,1))</f>
        <v/>
      </c>
      <c r="J363" s="584" t="str">
        <f>IF(CHMAData!T29=0,"",LEFT(CHMAData!T29,1))</f>
        <v/>
      </c>
      <c r="K363" s="888">
        <f>CHMAData!AT29</f>
        <v>0</v>
      </c>
      <c r="L363" s="887"/>
      <c r="M363" s="940">
        <f>CHMAData!AU29</f>
        <v>0</v>
      </c>
      <c r="N363" s="940"/>
      <c r="O363" s="940"/>
      <c r="P363" s="940"/>
      <c r="Q363" s="868">
        <f>CHMAData!AV29</f>
        <v>0</v>
      </c>
      <c r="R363" s="869"/>
      <c r="S363" s="869"/>
      <c r="T363" s="870"/>
      <c r="U363" s="868">
        <f>CHMAData!AW29</f>
        <v>0</v>
      </c>
      <c r="V363" s="869"/>
      <c r="W363" s="870"/>
      <c r="X363" s="868">
        <f>CHMAData!AX29</f>
        <v>0</v>
      </c>
      <c r="Y363" s="869"/>
      <c r="Z363" s="870"/>
      <c r="AA363" s="1300">
        <f t="shared" si="7"/>
        <v>0</v>
      </c>
      <c r="AB363" s="1301"/>
      <c r="AC363" s="1301"/>
      <c r="AD363" s="1302"/>
      <c r="AE363" s="866" t="str">
        <f>IF(CHMAData!AZ29=0,"",CHMAData!AZ29)</f>
        <v/>
      </c>
      <c r="AF363" s="867"/>
      <c r="AG363" s="529"/>
      <c r="AH363" s="518"/>
      <c r="AJ363" s="595" t="b">
        <f t="shared" si="8"/>
        <v>0</v>
      </c>
    </row>
    <row r="364" spans="1:36" hidden="1" x14ac:dyDescent="0.45">
      <c r="A364" s="518"/>
      <c r="B364" s="514" t="s">
        <v>1432</v>
      </c>
      <c r="C364" s="515"/>
      <c r="D364" s="515"/>
      <c r="E364" s="515"/>
      <c r="F364" s="515"/>
      <c r="G364" s="890" t="str">
        <f>IF(CHMAData!W30=0,"",SUBSTITUTE(SUBSTITUTE(CHMAData!W30,"Acquired and Rehabilitated Housing","A/R"),"Newly Constructed Housing","N/C"))</f>
        <v/>
      </c>
      <c r="H364" s="891"/>
      <c r="I364" s="583" t="str">
        <f>IF(CHMAData!BP30=0,"",LEFT(CHMAData!BP30,1))</f>
        <v/>
      </c>
      <c r="J364" s="584" t="str">
        <f>IF(CHMAData!T30=0,"",LEFT(CHMAData!T30,1))</f>
        <v/>
      </c>
      <c r="K364" s="888">
        <f>CHMAData!AT30</f>
        <v>0</v>
      </c>
      <c r="L364" s="887"/>
      <c r="M364" s="940">
        <f>CHMAData!AU30</f>
        <v>0</v>
      </c>
      <c r="N364" s="940"/>
      <c r="O364" s="940"/>
      <c r="P364" s="940"/>
      <c r="Q364" s="868">
        <f>CHMAData!AV30</f>
        <v>0</v>
      </c>
      <c r="R364" s="869"/>
      <c r="S364" s="869"/>
      <c r="T364" s="870"/>
      <c r="U364" s="868">
        <f>CHMAData!AW30</f>
        <v>0</v>
      </c>
      <c r="V364" s="869"/>
      <c r="W364" s="870"/>
      <c r="X364" s="868">
        <f>CHMAData!AX30</f>
        <v>0</v>
      </c>
      <c r="Y364" s="869"/>
      <c r="Z364" s="870"/>
      <c r="AA364" s="1300">
        <f t="shared" si="7"/>
        <v>0</v>
      </c>
      <c r="AB364" s="1301"/>
      <c r="AC364" s="1301"/>
      <c r="AD364" s="1302"/>
      <c r="AE364" s="866" t="str">
        <f>IF(CHMAData!AZ30=0,"",CHMAData!AZ30)</f>
        <v/>
      </c>
      <c r="AF364" s="867"/>
      <c r="AG364" s="529"/>
      <c r="AH364" s="518"/>
      <c r="AJ364" s="595" t="b">
        <f t="shared" si="8"/>
        <v>0</v>
      </c>
    </row>
    <row r="365" spans="1:36" hidden="1" x14ac:dyDescent="0.45">
      <c r="A365" s="518"/>
      <c r="B365" s="514" t="s">
        <v>1433</v>
      </c>
      <c r="C365" s="515"/>
      <c r="D365" s="515"/>
      <c r="E365" s="515"/>
      <c r="F365" s="515"/>
      <c r="G365" s="890" t="str">
        <f>IF(CHMAData!W31=0,"",SUBSTITUTE(SUBSTITUTE(CHMAData!W31,"Acquired and Rehabilitated Housing","A/R"),"Newly Constructed Housing","N/C"))</f>
        <v/>
      </c>
      <c r="H365" s="891"/>
      <c r="I365" s="583" t="str">
        <f>IF(CHMAData!BP31=0,"",LEFT(CHMAData!BP31,1))</f>
        <v/>
      </c>
      <c r="J365" s="584" t="str">
        <f>IF(CHMAData!T31=0,"",LEFT(CHMAData!T31,1))</f>
        <v/>
      </c>
      <c r="K365" s="888">
        <f>CHMAData!AT31</f>
        <v>0</v>
      </c>
      <c r="L365" s="887"/>
      <c r="M365" s="940">
        <f>CHMAData!AU31</f>
        <v>0</v>
      </c>
      <c r="N365" s="940"/>
      <c r="O365" s="940"/>
      <c r="P365" s="940"/>
      <c r="Q365" s="868">
        <f>CHMAData!AV31</f>
        <v>0</v>
      </c>
      <c r="R365" s="869"/>
      <c r="S365" s="869"/>
      <c r="T365" s="870"/>
      <c r="U365" s="868">
        <f>CHMAData!AW31</f>
        <v>0</v>
      </c>
      <c r="V365" s="869"/>
      <c r="W365" s="870"/>
      <c r="X365" s="868">
        <f>CHMAData!AX31</f>
        <v>0</v>
      </c>
      <c r="Y365" s="869"/>
      <c r="Z365" s="870"/>
      <c r="AA365" s="1300">
        <f t="shared" si="7"/>
        <v>0</v>
      </c>
      <c r="AB365" s="1301"/>
      <c r="AC365" s="1301"/>
      <c r="AD365" s="1302"/>
      <c r="AE365" s="866" t="str">
        <f>IF(CHMAData!AZ31=0,"",CHMAData!AZ31)</f>
        <v/>
      </c>
      <c r="AF365" s="867"/>
      <c r="AG365" s="529"/>
      <c r="AH365" s="518"/>
      <c r="AJ365" s="595" t="b">
        <f t="shared" si="8"/>
        <v>0</v>
      </c>
    </row>
    <row r="366" spans="1:36" hidden="1" x14ac:dyDescent="0.45">
      <c r="A366" s="518"/>
      <c r="B366" s="514" t="s">
        <v>1434</v>
      </c>
      <c r="C366" s="515"/>
      <c r="D366" s="515"/>
      <c r="E366" s="515"/>
      <c r="F366" s="515"/>
      <c r="G366" s="890" t="str">
        <f>IF(CHMAData!W32=0,"",SUBSTITUTE(SUBSTITUTE(CHMAData!W32,"Acquired and Rehabilitated Housing","A/R"),"Newly Constructed Housing","N/C"))</f>
        <v/>
      </c>
      <c r="H366" s="891"/>
      <c r="I366" s="583" t="str">
        <f>IF(CHMAData!BP32=0,"",LEFT(CHMAData!BP32,1))</f>
        <v/>
      </c>
      <c r="J366" s="584" t="str">
        <f>IF(CHMAData!T32=0,"",LEFT(CHMAData!T32,1))</f>
        <v/>
      </c>
      <c r="K366" s="888">
        <f>CHMAData!AT32</f>
        <v>0</v>
      </c>
      <c r="L366" s="887"/>
      <c r="M366" s="940">
        <f>CHMAData!AU32</f>
        <v>0</v>
      </c>
      <c r="N366" s="940"/>
      <c r="O366" s="940"/>
      <c r="P366" s="940"/>
      <c r="Q366" s="868">
        <f>CHMAData!AV32</f>
        <v>0</v>
      </c>
      <c r="R366" s="869"/>
      <c r="S366" s="869"/>
      <c r="T366" s="870"/>
      <c r="U366" s="868">
        <f>CHMAData!AW32</f>
        <v>0</v>
      </c>
      <c r="V366" s="869"/>
      <c r="W366" s="870"/>
      <c r="X366" s="868">
        <f>CHMAData!AX32</f>
        <v>0</v>
      </c>
      <c r="Y366" s="869"/>
      <c r="Z366" s="870"/>
      <c r="AA366" s="1300">
        <f t="shared" si="7"/>
        <v>0</v>
      </c>
      <c r="AB366" s="1301"/>
      <c r="AC366" s="1301"/>
      <c r="AD366" s="1302"/>
      <c r="AE366" s="866" t="str">
        <f>IF(CHMAData!AZ32=0,"",CHMAData!AZ32)</f>
        <v/>
      </c>
      <c r="AF366" s="867"/>
      <c r="AG366" s="529"/>
      <c r="AH366" s="518"/>
      <c r="AJ366" s="595" t="b">
        <f t="shared" si="8"/>
        <v>0</v>
      </c>
    </row>
    <row r="367" spans="1:36" hidden="1" x14ac:dyDescent="0.45">
      <c r="A367" s="518"/>
      <c r="B367" s="514" t="s">
        <v>1435</v>
      </c>
      <c r="C367" s="515"/>
      <c r="D367" s="515"/>
      <c r="E367" s="515"/>
      <c r="F367" s="515"/>
      <c r="G367" s="890" t="str">
        <f>IF(CHMAData!W33=0,"",SUBSTITUTE(SUBSTITUTE(CHMAData!W33,"Acquired and Rehabilitated Housing","A/R"),"Newly Constructed Housing","N/C"))</f>
        <v/>
      </c>
      <c r="H367" s="891"/>
      <c r="I367" s="583" t="str">
        <f>IF(CHMAData!BP33=0,"",LEFT(CHMAData!BP33,1))</f>
        <v/>
      </c>
      <c r="J367" s="584" t="str">
        <f>IF(CHMAData!T33=0,"",LEFT(CHMAData!T33,1))</f>
        <v/>
      </c>
      <c r="K367" s="888">
        <f>CHMAData!AT33</f>
        <v>0</v>
      </c>
      <c r="L367" s="887"/>
      <c r="M367" s="940">
        <f>CHMAData!AU33</f>
        <v>0</v>
      </c>
      <c r="N367" s="940"/>
      <c r="O367" s="940"/>
      <c r="P367" s="940"/>
      <c r="Q367" s="868">
        <f>CHMAData!AV33</f>
        <v>0</v>
      </c>
      <c r="R367" s="869"/>
      <c r="S367" s="869"/>
      <c r="T367" s="870"/>
      <c r="U367" s="868">
        <f>CHMAData!AW33</f>
        <v>0</v>
      </c>
      <c r="V367" s="869"/>
      <c r="W367" s="870"/>
      <c r="X367" s="868">
        <f>CHMAData!AX33</f>
        <v>0</v>
      </c>
      <c r="Y367" s="869"/>
      <c r="Z367" s="870"/>
      <c r="AA367" s="1300">
        <f t="shared" si="7"/>
        <v>0</v>
      </c>
      <c r="AB367" s="1301"/>
      <c r="AC367" s="1301"/>
      <c r="AD367" s="1302"/>
      <c r="AE367" s="866" t="str">
        <f>IF(CHMAData!AZ33=0,"",CHMAData!AZ33)</f>
        <v/>
      </c>
      <c r="AF367" s="867"/>
      <c r="AG367" s="529"/>
      <c r="AH367" s="518"/>
      <c r="AJ367" s="595" t="b">
        <f t="shared" si="8"/>
        <v>0</v>
      </c>
    </row>
    <row r="368" spans="1:36" hidden="1" x14ac:dyDescent="0.45">
      <c r="A368" s="518"/>
      <c r="B368" s="514" t="s">
        <v>1436</v>
      </c>
      <c r="C368" s="515"/>
      <c r="D368" s="515"/>
      <c r="E368" s="515"/>
      <c r="F368" s="515"/>
      <c r="G368" s="890" t="str">
        <f>IF(CHMAData!W34=0,"",SUBSTITUTE(SUBSTITUTE(CHMAData!W34,"Acquired and Rehabilitated Housing","A/R"),"Newly Constructed Housing","N/C"))</f>
        <v/>
      </c>
      <c r="H368" s="891"/>
      <c r="I368" s="583" t="str">
        <f>IF(CHMAData!BP34=0,"",LEFT(CHMAData!BP34,1))</f>
        <v/>
      </c>
      <c r="J368" s="584" t="str">
        <f>IF(CHMAData!T34=0,"",LEFT(CHMAData!T34,1))</f>
        <v/>
      </c>
      <c r="K368" s="888">
        <f>CHMAData!AT34</f>
        <v>0</v>
      </c>
      <c r="L368" s="887"/>
      <c r="M368" s="940">
        <f>CHMAData!AU34</f>
        <v>0</v>
      </c>
      <c r="N368" s="940"/>
      <c r="O368" s="940"/>
      <c r="P368" s="940"/>
      <c r="Q368" s="868">
        <f>CHMAData!AV34</f>
        <v>0</v>
      </c>
      <c r="R368" s="869"/>
      <c r="S368" s="869"/>
      <c r="T368" s="870"/>
      <c r="U368" s="868">
        <f>CHMAData!AW34</f>
        <v>0</v>
      </c>
      <c r="V368" s="869"/>
      <c r="W368" s="870"/>
      <c r="X368" s="868">
        <f>CHMAData!AX34</f>
        <v>0</v>
      </c>
      <c r="Y368" s="869"/>
      <c r="Z368" s="870"/>
      <c r="AA368" s="1300">
        <f t="shared" si="7"/>
        <v>0</v>
      </c>
      <c r="AB368" s="1301"/>
      <c r="AC368" s="1301"/>
      <c r="AD368" s="1302"/>
      <c r="AE368" s="866" t="str">
        <f>IF(CHMAData!AZ34=0,"",CHMAData!AZ34)</f>
        <v/>
      </c>
      <c r="AF368" s="867"/>
      <c r="AG368" s="529"/>
      <c r="AH368" s="518"/>
      <c r="AJ368" s="595" t="b">
        <f t="shared" si="8"/>
        <v>0</v>
      </c>
    </row>
    <row r="369" spans="1:36" hidden="1" x14ac:dyDescent="0.45">
      <c r="A369" s="518"/>
      <c r="B369" s="514" t="s">
        <v>1437</v>
      </c>
      <c r="C369" s="515"/>
      <c r="D369" s="515"/>
      <c r="E369" s="515"/>
      <c r="F369" s="515"/>
      <c r="G369" s="890" t="str">
        <f>IF(CHMAData!W35=0,"",SUBSTITUTE(SUBSTITUTE(CHMAData!W35,"Acquired and Rehabilitated Housing","A/R"),"Newly Constructed Housing","N/C"))</f>
        <v/>
      </c>
      <c r="H369" s="891"/>
      <c r="I369" s="583" t="str">
        <f>IF(CHMAData!BP35=0,"",LEFT(CHMAData!BP35,1))</f>
        <v/>
      </c>
      <c r="J369" s="584" t="str">
        <f>IF(CHMAData!T35=0,"",LEFT(CHMAData!T35,1))</f>
        <v/>
      </c>
      <c r="K369" s="888">
        <f>CHMAData!AT35</f>
        <v>0</v>
      </c>
      <c r="L369" s="887"/>
      <c r="M369" s="940">
        <f>CHMAData!AU35</f>
        <v>0</v>
      </c>
      <c r="N369" s="940"/>
      <c r="O369" s="940"/>
      <c r="P369" s="940"/>
      <c r="Q369" s="868">
        <f>CHMAData!AV35</f>
        <v>0</v>
      </c>
      <c r="R369" s="869"/>
      <c r="S369" s="869"/>
      <c r="T369" s="870"/>
      <c r="U369" s="868">
        <f>CHMAData!AW35</f>
        <v>0</v>
      </c>
      <c r="V369" s="869"/>
      <c r="W369" s="870"/>
      <c r="X369" s="868">
        <f>CHMAData!AX35</f>
        <v>0</v>
      </c>
      <c r="Y369" s="869"/>
      <c r="Z369" s="870"/>
      <c r="AA369" s="1300">
        <f t="shared" si="7"/>
        <v>0</v>
      </c>
      <c r="AB369" s="1301"/>
      <c r="AC369" s="1301"/>
      <c r="AD369" s="1302"/>
      <c r="AE369" s="866" t="str">
        <f>IF(CHMAData!AZ35=0,"",CHMAData!AZ35)</f>
        <v/>
      </c>
      <c r="AF369" s="867"/>
      <c r="AG369" s="529"/>
      <c r="AH369" s="518"/>
      <c r="AJ369" s="595" t="b">
        <f t="shared" si="8"/>
        <v>0</v>
      </c>
    </row>
    <row r="370" spans="1:36" hidden="1" x14ac:dyDescent="0.45">
      <c r="A370" s="518"/>
      <c r="B370" s="514" t="s">
        <v>1438</v>
      </c>
      <c r="C370" s="515"/>
      <c r="D370" s="515"/>
      <c r="E370" s="515"/>
      <c r="F370" s="515"/>
      <c r="G370" s="890" t="str">
        <f>IF(CHMAData!W36=0,"",SUBSTITUTE(SUBSTITUTE(CHMAData!W36,"Acquired and Rehabilitated Housing","A/R"),"Newly Constructed Housing","N/C"))</f>
        <v/>
      </c>
      <c r="H370" s="891"/>
      <c r="I370" s="583" t="str">
        <f>IF(CHMAData!BP36=0,"",LEFT(CHMAData!BP36,1))</f>
        <v/>
      </c>
      <c r="J370" s="584" t="str">
        <f>IF(CHMAData!T36=0,"",LEFT(CHMAData!T36,1))</f>
        <v/>
      </c>
      <c r="K370" s="888">
        <f>CHMAData!AT36</f>
        <v>0</v>
      </c>
      <c r="L370" s="887"/>
      <c r="M370" s="940">
        <f>CHMAData!AU36</f>
        <v>0</v>
      </c>
      <c r="N370" s="940"/>
      <c r="O370" s="940"/>
      <c r="P370" s="940"/>
      <c r="Q370" s="868">
        <f>CHMAData!AV36</f>
        <v>0</v>
      </c>
      <c r="R370" s="869"/>
      <c r="S370" s="869"/>
      <c r="T370" s="870"/>
      <c r="U370" s="868">
        <f>CHMAData!AW36</f>
        <v>0</v>
      </c>
      <c r="V370" s="869"/>
      <c r="W370" s="870"/>
      <c r="X370" s="868">
        <f>CHMAData!AX36</f>
        <v>0</v>
      </c>
      <c r="Y370" s="869"/>
      <c r="Z370" s="870"/>
      <c r="AA370" s="1300">
        <f t="shared" si="7"/>
        <v>0</v>
      </c>
      <c r="AB370" s="1301"/>
      <c r="AC370" s="1301"/>
      <c r="AD370" s="1302"/>
      <c r="AE370" s="866" t="str">
        <f>IF(CHMAData!AZ36=0,"",CHMAData!AZ36)</f>
        <v/>
      </c>
      <c r="AF370" s="867"/>
      <c r="AG370" s="529"/>
      <c r="AH370" s="518"/>
      <c r="AJ370" s="595" t="b">
        <f t="shared" si="8"/>
        <v>0</v>
      </c>
    </row>
    <row r="371" spans="1:36" hidden="1" x14ac:dyDescent="0.45">
      <c r="A371" s="518"/>
      <c r="B371" s="514" t="s">
        <v>1439</v>
      </c>
      <c r="C371" s="515"/>
      <c r="D371" s="515"/>
      <c r="E371" s="515"/>
      <c r="F371" s="515"/>
      <c r="G371" s="890" t="str">
        <f>IF(CHMAData!W37=0,"",SUBSTITUTE(SUBSTITUTE(CHMAData!W37,"Acquired and Rehabilitated Housing","A/R"),"Newly Constructed Housing","N/C"))</f>
        <v/>
      </c>
      <c r="H371" s="891"/>
      <c r="I371" s="583" t="str">
        <f>IF(CHMAData!BP37=0,"",LEFT(CHMAData!BP37,1))</f>
        <v/>
      </c>
      <c r="J371" s="584" t="str">
        <f>IF(CHMAData!T37=0,"",LEFT(CHMAData!T37,1))</f>
        <v/>
      </c>
      <c r="K371" s="888">
        <f>CHMAData!AT37</f>
        <v>0</v>
      </c>
      <c r="L371" s="887"/>
      <c r="M371" s="940">
        <f>CHMAData!AU37</f>
        <v>0</v>
      </c>
      <c r="N371" s="940"/>
      <c r="O371" s="940"/>
      <c r="P371" s="940"/>
      <c r="Q371" s="868">
        <f>CHMAData!AV37</f>
        <v>0</v>
      </c>
      <c r="R371" s="869"/>
      <c r="S371" s="869"/>
      <c r="T371" s="870"/>
      <c r="U371" s="868">
        <f>CHMAData!AW37</f>
        <v>0</v>
      </c>
      <c r="V371" s="869"/>
      <c r="W371" s="870"/>
      <c r="X371" s="868">
        <f>CHMAData!AX37</f>
        <v>0</v>
      </c>
      <c r="Y371" s="869"/>
      <c r="Z371" s="870"/>
      <c r="AA371" s="1300">
        <f t="shared" si="7"/>
        <v>0</v>
      </c>
      <c r="AB371" s="1301"/>
      <c r="AC371" s="1301"/>
      <c r="AD371" s="1302"/>
      <c r="AE371" s="866" t="str">
        <f>IF(CHMAData!AZ37=0,"",CHMAData!AZ37)</f>
        <v/>
      </c>
      <c r="AF371" s="867"/>
      <c r="AG371" s="529"/>
      <c r="AH371" s="518"/>
      <c r="AJ371" s="595" t="b">
        <f t="shared" si="8"/>
        <v>0</v>
      </c>
    </row>
    <row r="372" spans="1:36" hidden="1" x14ac:dyDescent="0.45">
      <c r="A372" s="518"/>
      <c r="B372" s="514" t="s">
        <v>1440</v>
      </c>
      <c r="C372" s="515"/>
      <c r="D372" s="515"/>
      <c r="E372" s="515"/>
      <c r="F372" s="515"/>
      <c r="G372" s="890" t="str">
        <f>IF(CHMAData!W38=0,"",SUBSTITUTE(SUBSTITUTE(CHMAData!W38,"Acquired and Rehabilitated Housing","A/R"),"Newly Constructed Housing","N/C"))</f>
        <v/>
      </c>
      <c r="H372" s="891"/>
      <c r="I372" s="583" t="str">
        <f>IF(CHMAData!BP38=0,"",LEFT(CHMAData!BP38,1))</f>
        <v/>
      </c>
      <c r="J372" s="584" t="str">
        <f>IF(CHMAData!T38=0,"",LEFT(CHMAData!T38,1))</f>
        <v/>
      </c>
      <c r="K372" s="888">
        <f>CHMAData!AT38</f>
        <v>0</v>
      </c>
      <c r="L372" s="887"/>
      <c r="M372" s="940">
        <f>CHMAData!AU38</f>
        <v>0</v>
      </c>
      <c r="N372" s="940"/>
      <c r="O372" s="940"/>
      <c r="P372" s="940"/>
      <c r="Q372" s="868">
        <f>CHMAData!AV38</f>
        <v>0</v>
      </c>
      <c r="R372" s="869"/>
      <c r="S372" s="869"/>
      <c r="T372" s="870"/>
      <c r="U372" s="868">
        <f>CHMAData!AW38</f>
        <v>0</v>
      </c>
      <c r="V372" s="869"/>
      <c r="W372" s="870"/>
      <c r="X372" s="868">
        <f>CHMAData!AX38</f>
        <v>0</v>
      </c>
      <c r="Y372" s="869"/>
      <c r="Z372" s="870"/>
      <c r="AA372" s="1300">
        <f t="shared" si="7"/>
        <v>0</v>
      </c>
      <c r="AB372" s="1301"/>
      <c r="AC372" s="1301"/>
      <c r="AD372" s="1302"/>
      <c r="AE372" s="866" t="str">
        <f>IF(CHMAData!AZ38=0,"",CHMAData!AZ38)</f>
        <v/>
      </c>
      <c r="AF372" s="867"/>
      <c r="AG372" s="529"/>
      <c r="AH372" s="518"/>
      <c r="AJ372" s="595" t="b">
        <f t="shared" si="8"/>
        <v>0</v>
      </c>
    </row>
    <row r="373" spans="1:36" hidden="1" x14ac:dyDescent="0.45">
      <c r="A373" s="518"/>
      <c r="B373" s="514" t="s">
        <v>1441</v>
      </c>
      <c r="C373" s="515"/>
      <c r="D373" s="515"/>
      <c r="E373" s="515"/>
      <c r="F373" s="515"/>
      <c r="G373" s="890" t="str">
        <f>IF(CHMAData!W39=0,"",SUBSTITUTE(SUBSTITUTE(CHMAData!W39,"Acquired and Rehabilitated Housing","A/R"),"Newly Constructed Housing","N/C"))</f>
        <v/>
      </c>
      <c r="H373" s="891"/>
      <c r="I373" s="583" t="str">
        <f>IF(CHMAData!BP39=0,"",LEFT(CHMAData!BP39,1))</f>
        <v/>
      </c>
      <c r="J373" s="584" t="str">
        <f>IF(CHMAData!T39=0,"",LEFT(CHMAData!T39,1))</f>
        <v/>
      </c>
      <c r="K373" s="888">
        <f>CHMAData!AT39</f>
        <v>0</v>
      </c>
      <c r="L373" s="887"/>
      <c r="M373" s="940">
        <f>CHMAData!AU39</f>
        <v>0</v>
      </c>
      <c r="N373" s="940"/>
      <c r="O373" s="940"/>
      <c r="P373" s="940"/>
      <c r="Q373" s="868">
        <f>CHMAData!AV39</f>
        <v>0</v>
      </c>
      <c r="R373" s="869"/>
      <c r="S373" s="869"/>
      <c r="T373" s="870"/>
      <c r="U373" s="868">
        <f>CHMAData!AW39</f>
        <v>0</v>
      </c>
      <c r="V373" s="869"/>
      <c r="W373" s="870"/>
      <c r="X373" s="868">
        <f>CHMAData!AX39</f>
        <v>0</v>
      </c>
      <c r="Y373" s="869"/>
      <c r="Z373" s="870"/>
      <c r="AA373" s="1300">
        <f t="shared" si="7"/>
        <v>0</v>
      </c>
      <c r="AB373" s="1301"/>
      <c r="AC373" s="1301"/>
      <c r="AD373" s="1302"/>
      <c r="AE373" s="866" t="str">
        <f>IF(CHMAData!AZ39=0,"",CHMAData!AZ39)</f>
        <v/>
      </c>
      <c r="AF373" s="867"/>
      <c r="AG373" s="529"/>
      <c r="AH373" s="518"/>
      <c r="AJ373" s="595" t="b">
        <f t="shared" si="8"/>
        <v>0</v>
      </c>
    </row>
    <row r="374" spans="1:36" hidden="1" x14ac:dyDescent="0.45">
      <c r="A374" s="518"/>
      <c r="B374" s="514" t="s">
        <v>152</v>
      </c>
      <c r="C374" s="515"/>
      <c r="D374" s="515"/>
      <c r="E374" s="515"/>
      <c r="F374" s="515"/>
      <c r="G374" s="890" t="str">
        <f>IF(CHMAData!W40=0,"",SUBSTITUTE(SUBSTITUTE(CHMAData!W40,"Acquired and Rehabilitated Housing","A/R"),"Newly Constructed Housing","N/C"))</f>
        <v/>
      </c>
      <c r="H374" s="891"/>
      <c r="I374" s="583" t="str">
        <f>IF(CHMAData!BP40=0,"",LEFT(CHMAData!BP40,1))</f>
        <v/>
      </c>
      <c r="J374" s="584" t="str">
        <f>IF(CHMAData!T40=0,"",LEFT(CHMAData!T40,1))</f>
        <v/>
      </c>
      <c r="K374" s="888">
        <f>CHMAData!AT40</f>
        <v>0</v>
      </c>
      <c r="L374" s="887"/>
      <c r="M374" s="940">
        <f>CHMAData!AU40</f>
        <v>0</v>
      </c>
      <c r="N374" s="940"/>
      <c r="O374" s="940"/>
      <c r="P374" s="940"/>
      <c r="Q374" s="868">
        <f>CHMAData!AV40</f>
        <v>0</v>
      </c>
      <c r="R374" s="869"/>
      <c r="S374" s="869"/>
      <c r="T374" s="870"/>
      <c r="U374" s="868">
        <f>CHMAData!AW40</f>
        <v>0</v>
      </c>
      <c r="V374" s="869"/>
      <c r="W374" s="870"/>
      <c r="X374" s="868">
        <f>CHMAData!AX40</f>
        <v>0</v>
      </c>
      <c r="Y374" s="869"/>
      <c r="Z374" s="870"/>
      <c r="AA374" s="1300">
        <f t="shared" si="7"/>
        <v>0</v>
      </c>
      <c r="AB374" s="1301"/>
      <c r="AC374" s="1301"/>
      <c r="AD374" s="1302"/>
      <c r="AE374" s="866" t="str">
        <f>IF(CHMAData!AZ40=0,"",CHMAData!AZ40)</f>
        <v/>
      </c>
      <c r="AF374" s="867"/>
      <c r="AG374" s="529"/>
      <c r="AH374" s="518"/>
      <c r="AJ374" s="595" t="b">
        <f t="shared" si="8"/>
        <v>0</v>
      </c>
    </row>
    <row r="375" spans="1:36" hidden="1" x14ac:dyDescent="0.45">
      <c r="A375" s="518"/>
      <c r="B375" s="514" t="s">
        <v>1442</v>
      </c>
      <c r="C375" s="515"/>
      <c r="D375" s="515"/>
      <c r="E375" s="515"/>
      <c r="F375" s="515"/>
      <c r="G375" s="890" t="str">
        <f>IF(CHMAData!W41=0,"",SUBSTITUTE(SUBSTITUTE(CHMAData!W41,"Acquired and Rehabilitated Housing","A/R"),"Newly Constructed Housing","N/C"))</f>
        <v/>
      </c>
      <c r="H375" s="891"/>
      <c r="I375" s="583" t="str">
        <f>IF(CHMAData!BP41=0,"",LEFT(CHMAData!BP41,1))</f>
        <v/>
      </c>
      <c r="J375" s="584" t="str">
        <f>IF(CHMAData!T41=0,"",LEFT(CHMAData!T41,1))</f>
        <v/>
      </c>
      <c r="K375" s="888">
        <f>CHMAData!AT41</f>
        <v>0</v>
      </c>
      <c r="L375" s="887"/>
      <c r="M375" s="940">
        <f>CHMAData!AU41</f>
        <v>0</v>
      </c>
      <c r="N375" s="940"/>
      <c r="O375" s="940"/>
      <c r="P375" s="940"/>
      <c r="Q375" s="868">
        <f>CHMAData!AV41</f>
        <v>0</v>
      </c>
      <c r="R375" s="869"/>
      <c r="S375" s="869"/>
      <c r="T375" s="870"/>
      <c r="U375" s="868">
        <f>CHMAData!AW41</f>
        <v>0</v>
      </c>
      <c r="V375" s="869"/>
      <c r="W375" s="870"/>
      <c r="X375" s="868">
        <f>CHMAData!AX41</f>
        <v>0</v>
      </c>
      <c r="Y375" s="869"/>
      <c r="Z375" s="870"/>
      <c r="AA375" s="1300">
        <f t="shared" si="7"/>
        <v>0</v>
      </c>
      <c r="AB375" s="1301"/>
      <c r="AC375" s="1301"/>
      <c r="AD375" s="1302"/>
      <c r="AE375" s="866" t="str">
        <f>IF(CHMAData!AZ41=0,"",CHMAData!AZ41)</f>
        <v/>
      </c>
      <c r="AF375" s="867"/>
      <c r="AG375" s="529"/>
      <c r="AH375" s="518"/>
      <c r="AJ375" s="595" t="b">
        <f t="shared" si="8"/>
        <v>0</v>
      </c>
    </row>
    <row r="376" spans="1:36" hidden="1" x14ac:dyDescent="0.45">
      <c r="A376" s="518"/>
      <c r="B376" s="514" t="s">
        <v>1443</v>
      </c>
      <c r="C376" s="515"/>
      <c r="D376" s="515"/>
      <c r="E376" s="515"/>
      <c r="F376" s="515"/>
      <c r="G376" s="890" t="str">
        <f>IF(CHMAData!W42=0,"",SUBSTITUTE(SUBSTITUTE(CHMAData!W42,"Acquired and Rehabilitated Housing","A/R"),"Newly Constructed Housing","N/C"))</f>
        <v/>
      </c>
      <c r="H376" s="891"/>
      <c r="I376" s="583" t="str">
        <f>IF(CHMAData!BP42=0,"",LEFT(CHMAData!BP42,1))</f>
        <v/>
      </c>
      <c r="J376" s="584" t="str">
        <f>IF(CHMAData!T42=0,"",LEFT(CHMAData!T42,1))</f>
        <v/>
      </c>
      <c r="K376" s="888">
        <f>CHMAData!AT42</f>
        <v>0</v>
      </c>
      <c r="L376" s="887"/>
      <c r="M376" s="940">
        <f>CHMAData!AU42</f>
        <v>0</v>
      </c>
      <c r="N376" s="940"/>
      <c r="O376" s="940"/>
      <c r="P376" s="940"/>
      <c r="Q376" s="868">
        <f>CHMAData!AV42</f>
        <v>0</v>
      </c>
      <c r="R376" s="869"/>
      <c r="S376" s="869"/>
      <c r="T376" s="870"/>
      <c r="U376" s="868">
        <f>CHMAData!AW42</f>
        <v>0</v>
      </c>
      <c r="V376" s="869"/>
      <c r="W376" s="870"/>
      <c r="X376" s="868">
        <f>CHMAData!AX42</f>
        <v>0</v>
      </c>
      <c r="Y376" s="869"/>
      <c r="Z376" s="870"/>
      <c r="AA376" s="1300">
        <f t="shared" si="7"/>
        <v>0</v>
      </c>
      <c r="AB376" s="1301"/>
      <c r="AC376" s="1301"/>
      <c r="AD376" s="1302"/>
      <c r="AE376" s="866" t="str">
        <f>IF(CHMAData!AZ42=0,"",CHMAData!AZ42)</f>
        <v/>
      </c>
      <c r="AF376" s="867"/>
      <c r="AG376" s="529"/>
      <c r="AH376" s="518"/>
      <c r="AJ376" s="595" t="b">
        <f t="shared" si="8"/>
        <v>0</v>
      </c>
    </row>
    <row r="377" spans="1:36" hidden="1" x14ac:dyDescent="0.45">
      <c r="A377" s="518"/>
      <c r="B377" s="514" t="s">
        <v>1444</v>
      </c>
      <c r="C377" s="515"/>
      <c r="D377" s="515"/>
      <c r="E377" s="515"/>
      <c r="F377" s="515"/>
      <c r="G377" s="890" t="str">
        <f>IF(CHMAData!W43=0,"",SUBSTITUTE(SUBSTITUTE(CHMAData!W43,"Acquired and Rehabilitated Housing","A/R"),"Newly Constructed Housing","N/C"))</f>
        <v/>
      </c>
      <c r="H377" s="891"/>
      <c r="I377" s="583" t="str">
        <f>IF(CHMAData!BP43=0,"",LEFT(CHMAData!BP43,1))</f>
        <v/>
      </c>
      <c r="J377" s="584" t="str">
        <f>IF(CHMAData!T43=0,"",LEFT(CHMAData!T43,1))</f>
        <v/>
      </c>
      <c r="K377" s="888">
        <f>CHMAData!AT43</f>
        <v>0</v>
      </c>
      <c r="L377" s="887"/>
      <c r="M377" s="940">
        <f>CHMAData!AU43</f>
        <v>0</v>
      </c>
      <c r="N377" s="940"/>
      <c r="O377" s="940"/>
      <c r="P377" s="940"/>
      <c r="Q377" s="868">
        <f>CHMAData!AV43</f>
        <v>0</v>
      </c>
      <c r="R377" s="869"/>
      <c r="S377" s="869"/>
      <c r="T377" s="870"/>
      <c r="U377" s="868">
        <f>CHMAData!AW43</f>
        <v>0</v>
      </c>
      <c r="V377" s="869"/>
      <c r="W377" s="870"/>
      <c r="X377" s="868">
        <f>CHMAData!AX43</f>
        <v>0</v>
      </c>
      <c r="Y377" s="869"/>
      <c r="Z377" s="870"/>
      <c r="AA377" s="1300">
        <f t="shared" si="7"/>
        <v>0</v>
      </c>
      <c r="AB377" s="1301"/>
      <c r="AC377" s="1301"/>
      <c r="AD377" s="1302"/>
      <c r="AE377" s="866" t="str">
        <f>IF(CHMAData!AZ43=0,"",CHMAData!AZ43)</f>
        <v/>
      </c>
      <c r="AF377" s="867"/>
      <c r="AG377" s="529"/>
      <c r="AH377" s="518"/>
      <c r="AJ377" s="595" t="b">
        <f t="shared" si="8"/>
        <v>0</v>
      </c>
    </row>
    <row r="378" spans="1:36" hidden="1" x14ac:dyDescent="0.45">
      <c r="A378" s="518"/>
      <c r="B378" s="514" t="s">
        <v>1445</v>
      </c>
      <c r="C378" s="515"/>
      <c r="D378" s="515"/>
      <c r="E378" s="515"/>
      <c r="F378" s="515"/>
      <c r="G378" s="890" t="str">
        <f>IF(CHMAData!W44=0,"",SUBSTITUTE(SUBSTITUTE(CHMAData!W44,"Acquired and Rehabilitated Housing","A/R"),"Newly Constructed Housing","N/C"))</f>
        <v/>
      </c>
      <c r="H378" s="891"/>
      <c r="I378" s="583" t="str">
        <f>IF(CHMAData!BP44=0,"",LEFT(CHMAData!BP44,1))</f>
        <v/>
      </c>
      <c r="J378" s="584" t="str">
        <f>IF(CHMAData!T44=0,"",LEFT(CHMAData!T44,1))</f>
        <v/>
      </c>
      <c r="K378" s="888">
        <f>CHMAData!AT44</f>
        <v>0</v>
      </c>
      <c r="L378" s="887"/>
      <c r="M378" s="940">
        <f>CHMAData!AU44</f>
        <v>0</v>
      </c>
      <c r="N378" s="940"/>
      <c r="O378" s="940"/>
      <c r="P378" s="940"/>
      <c r="Q378" s="868">
        <f>CHMAData!AV44</f>
        <v>0</v>
      </c>
      <c r="R378" s="869"/>
      <c r="S378" s="869"/>
      <c r="T378" s="870"/>
      <c r="U378" s="868">
        <f>CHMAData!AW44</f>
        <v>0</v>
      </c>
      <c r="V378" s="869"/>
      <c r="W378" s="870"/>
      <c r="X378" s="868">
        <f>CHMAData!AX44</f>
        <v>0</v>
      </c>
      <c r="Y378" s="869"/>
      <c r="Z378" s="870"/>
      <c r="AA378" s="1300">
        <f t="shared" si="7"/>
        <v>0</v>
      </c>
      <c r="AB378" s="1301"/>
      <c r="AC378" s="1301"/>
      <c r="AD378" s="1302"/>
      <c r="AE378" s="866" t="str">
        <f>IF(CHMAData!AZ44=0,"",CHMAData!AZ44)</f>
        <v/>
      </c>
      <c r="AF378" s="867"/>
      <c r="AG378" s="529"/>
      <c r="AH378" s="518"/>
      <c r="AJ378" s="595" t="b">
        <f t="shared" si="8"/>
        <v>0</v>
      </c>
    </row>
    <row r="379" spans="1:36" hidden="1" x14ac:dyDescent="0.45">
      <c r="A379" s="518"/>
      <c r="B379" s="514" t="s">
        <v>1446</v>
      </c>
      <c r="C379" s="515"/>
      <c r="D379" s="515"/>
      <c r="E379" s="515"/>
      <c r="F379" s="515"/>
      <c r="G379" s="890" t="str">
        <f>IF(CHMAData!W45=0,"",SUBSTITUTE(SUBSTITUTE(CHMAData!W45,"Acquired and Rehabilitated Housing","A/R"),"Newly Constructed Housing","N/C"))</f>
        <v/>
      </c>
      <c r="H379" s="891"/>
      <c r="I379" s="583" t="str">
        <f>IF(CHMAData!BP45=0,"",LEFT(CHMAData!BP45,1))</f>
        <v/>
      </c>
      <c r="J379" s="584" t="str">
        <f>IF(CHMAData!T45=0,"",LEFT(CHMAData!T45,1))</f>
        <v/>
      </c>
      <c r="K379" s="888">
        <f>CHMAData!AT45</f>
        <v>0</v>
      </c>
      <c r="L379" s="887"/>
      <c r="M379" s="940">
        <f>CHMAData!AU45</f>
        <v>0</v>
      </c>
      <c r="N379" s="940"/>
      <c r="O379" s="940"/>
      <c r="P379" s="940"/>
      <c r="Q379" s="868">
        <f>CHMAData!AV45</f>
        <v>0</v>
      </c>
      <c r="R379" s="869"/>
      <c r="S379" s="869"/>
      <c r="T379" s="870"/>
      <c r="U379" s="868">
        <f>CHMAData!AW45</f>
        <v>0</v>
      </c>
      <c r="V379" s="869"/>
      <c r="W379" s="870"/>
      <c r="X379" s="868">
        <f>CHMAData!AX45</f>
        <v>0</v>
      </c>
      <c r="Y379" s="869"/>
      <c r="Z379" s="870"/>
      <c r="AA379" s="1300">
        <f t="shared" si="7"/>
        <v>0</v>
      </c>
      <c r="AB379" s="1301"/>
      <c r="AC379" s="1301"/>
      <c r="AD379" s="1302"/>
      <c r="AE379" s="866" t="str">
        <f>IF(CHMAData!AZ45=0,"",CHMAData!AZ45)</f>
        <v/>
      </c>
      <c r="AF379" s="867"/>
      <c r="AG379" s="529"/>
      <c r="AH379" s="518"/>
      <c r="AJ379" s="595" t="b">
        <f t="shared" si="8"/>
        <v>0</v>
      </c>
    </row>
    <row r="380" spans="1:36" hidden="1" x14ac:dyDescent="0.45">
      <c r="B380" s="514" t="s">
        <v>1447</v>
      </c>
      <c r="C380" s="515"/>
      <c r="D380" s="515"/>
      <c r="E380" s="515"/>
      <c r="F380" s="515"/>
      <c r="G380" s="890" t="str">
        <f>IF(CHMAData!W46=0,"",SUBSTITUTE(SUBSTITUTE(CHMAData!W46,"Acquired and Rehabilitated Housing","A/R"),"Newly Constructed Housing","N/C"))</f>
        <v/>
      </c>
      <c r="H380" s="891"/>
      <c r="I380" s="583" t="str">
        <f>IF(CHMAData!BP46=0,"",LEFT(CHMAData!BP46,1))</f>
        <v/>
      </c>
      <c r="J380" s="584" t="str">
        <f>IF(CHMAData!T46=0,"",LEFT(CHMAData!T46,1))</f>
        <v/>
      </c>
      <c r="K380" s="888">
        <f>CHMAData!AT46</f>
        <v>0</v>
      </c>
      <c r="L380" s="887"/>
      <c r="M380" s="940">
        <f>CHMAData!AU46</f>
        <v>0</v>
      </c>
      <c r="N380" s="940"/>
      <c r="O380" s="940"/>
      <c r="P380" s="940"/>
      <c r="Q380" s="868">
        <f>CHMAData!AV46</f>
        <v>0</v>
      </c>
      <c r="R380" s="869"/>
      <c r="S380" s="869"/>
      <c r="T380" s="870"/>
      <c r="U380" s="868">
        <f>CHMAData!AW46</f>
        <v>0</v>
      </c>
      <c r="V380" s="869"/>
      <c r="W380" s="870"/>
      <c r="X380" s="868">
        <f>CHMAData!AX46</f>
        <v>0</v>
      </c>
      <c r="Y380" s="869"/>
      <c r="Z380" s="870"/>
      <c r="AA380" s="1300">
        <f t="shared" si="7"/>
        <v>0</v>
      </c>
      <c r="AB380" s="1301"/>
      <c r="AC380" s="1301"/>
      <c r="AD380" s="1302"/>
      <c r="AE380" s="866" t="str">
        <f>IF(CHMAData!AZ46=0,"",CHMAData!AZ46)</f>
        <v/>
      </c>
      <c r="AF380" s="867"/>
      <c r="AG380" s="529"/>
      <c r="AH380" s="518"/>
      <c r="AJ380" s="595" t="b">
        <f t="shared" si="8"/>
        <v>0</v>
      </c>
    </row>
    <row r="381" spans="1:36" hidden="1" x14ac:dyDescent="0.45">
      <c r="B381" s="514" t="s">
        <v>1448</v>
      </c>
      <c r="C381" s="515"/>
      <c r="D381" s="515"/>
      <c r="E381" s="515"/>
      <c r="F381" s="515"/>
      <c r="G381" s="890" t="str">
        <f>IF(CHMAData!W47=0,"",SUBSTITUTE(SUBSTITUTE(CHMAData!W47,"Acquired and Rehabilitated Housing","A/R"),"Newly Constructed Housing","N/C"))</f>
        <v/>
      </c>
      <c r="H381" s="891"/>
      <c r="I381" s="583" t="str">
        <f>IF(CHMAData!BP47=0,"",LEFT(CHMAData!BP47,1))</f>
        <v/>
      </c>
      <c r="J381" s="584" t="str">
        <f>IF(CHMAData!T47=0,"",LEFT(CHMAData!T47,1))</f>
        <v/>
      </c>
      <c r="K381" s="888">
        <f>CHMAData!AT47</f>
        <v>0</v>
      </c>
      <c r="L381" s="887"/>
      <c r="M381" s="940">
        <f>CHMAData!AU47</f>
        <v>0</v>
      </c>
      <c r="N381" s="940"/>
      <c r="O381" s="940"/>
      <c r="P381" s="940"/>
      <c r="Q381" s="868">
        <f>CHMAData!AV47</f>
        <v>0</v>
      </c>
      <c r="R381" s="869"/>
      <c r="S381" s="869"/>
      <c r="T381" s="870"/>
      <c r="U381" s="868">
        <f>CHMAData!AW47</f>
        <v>0</v>
      </c>
      <c r="V381" s="869"/>
      <c r="W381" s="870"/>
      <c r="X381" s="868">
        <f>CHMAData!AX47</f>
        <v>0</v>
      </c>
      <c r="Y381" s="869"/>
      <c r="Z381" s="870"/>
      <c r="AA381" s="1300">
        <f t="shared" si="7"/>
        <v>0</v>
      </c>
      <c r="AB381" s="1301"/>
      <c r="AC381" s="1301"/>
      <c r="AD381" s="1302"/>
      <c r="AE381" s="866" t="str">
        <f>IF(CHMAData!AZ47=0,"",CHMAData!AZ47)</f>
        <v/>
      </c>
      <c r="AF381" s="867"/>
      <c r="AG381" s="529"/>
      <c r="AH381" s="518"/>
      <c r="AJ381" s="595" t="b">
        <f t="shared" si="8"/>
        <v>0</v>
      </c>
    </row>
    <row r="382" spans="1:36" hidden="1" x14ac:dyDescent="0.45">
      <c r="B382" s="514" t="s">
        <v>1449</v>
      </c>
      <c r="C382" s="515"/>
      <c r="D382" s="515"/>
      <c r="E382" s="515"/>
      <c r="F382" s="515"/>
      <c r="G382" s="890" t="str">
        <f>IF(CHMAData!W48=0,"",SUBSTITUTE(SUBSTITUTE(CHMAData!W48,"Acquired and Rehabilitated Housing","A/R"),"Newly Constructed Housing","N/C"))</f>
        <v/>
      </c>
      <c r="H382" s="891"/>
      <c r="I382" s="583" t="str">
        <f>IF(CHMAData!BP48=0,"",LEFT(CHMAData!BP48,1))</f>
        <v/>
      </c>
      <c r="J382" s="584" t="str">
        <f>IF(CHMAData!T48=0,"",LEFT(CHMAData!T48,1))</f>
        <v/>
      </c>
      <c r="K382" s="888">
        <f>CHMAData!AT48</f>
        <v>0</v>
      </c>
      <c r="L382" s="887"/>
      <c r="M382" s="940">
        <f>CHMAData!AU48</f>
        <v>0</v>
      </c>
      <c r="N382" s="940"/>
      <c r="O382" s="940"/>
      <c r="P382" s="940"/>
      <c r="Q382" s="868">
        <f>CHMAData!AV48</f>
        <v>0</v>
      </c>
      <c r="R382" s="869"/>
      <c r="S382" s="869"/>
      <c r="T382" s="870"/>
      <c r="U382" s="868">
        <f>CHMAData!AW48</f>
        <v>0</v>
      </c>
      <c r="V382" s="869"/>
      <c r="W382" s="870"/>
      <c r="X382" s="868">
        <f>CHMAData!AX48</f>
        <v>0</v>
      </c>
      <c r="Y382" s="869"/>
      <c r="Z382" s="870"/>
      <c r="AA382" s="1300">
        <f t="shared" si="7"/>
        <v>0</v>
      </c>
      <c r="AB382" s="1301"/>
      <c r="AC382" s="1301"/>
      <c r="AD382" s="1302"/>
      <c r="AE382" s="866" t="str">
        <f>IF(CHMAData!AZ48=0,"",CHMAData!AZ48)</f>
        <v/>
      </c>
      <c r="AF382" s="867"/>
      <c r="AG382" s="529"/>
      <c r="AH382" s="518"/>
      <c r="AJ382" s="595" t="b">
        <f t="shared" si="8"/>
        <v>0</v>
      </c>
    </row>
    <row r="383" spans="1:36" hidden="1" x14ac:dyDescent="0.45">
      <c r="B383" s="514" t="s">
        <v>1450</v>
      </c>
      <c r="C383" s="515"/>
      <c r="D383" s="515"/>
      <c r="E383" s="515"/>
      <c r="F383" s="515"/>
      <c r="G383" s="890" t="str">
        <f>IF(CHMAData!W49=0,"",SUBSTITUTE(SUBSTITUTE(CHMAData!W49,"Acquired and Rehabilitated Housing","A/R"),"Newly Constructed Housing","N/C"))</f>
        <v/>
      </c>
      <c r="H383" s="891"/>
      <c r="I383" s="583" t="str">
        <f>IF(CHMAData!BP49=0,"",LEFT(CHMAData!BP49,1))</f>
        <v/>
      </c>
      <c r="J383" s="584" t="str">
        <f>IF(CHMAData!T49=0,"",LEFT(CHMAData!T49,1))</f>
        <v/>
      </c>
      <c r="K383" s="888">
        <f>CHMAData!AT49</f>
        <v>0</v>
      </c>
      <c r="L383" s="887"/>
      <c r="M383" s="940">
        <f>CHMAData!AU49</f>
        <v>0</v>
      </c>
      <c r="N383" s="940"/>
      <c r="O383" s="940"/>
      <c r="P383" s="940"/>
      <c r="Q383" s="868">
        <f>CHMAData!AV49</f>
        <v>0</v>
      </c>
      <c r="R383" s="869"/>
      <c r="S383" s="869"/>
      <c r="T383" s="870"/>
      <c r="U383" s="868">
        <f>CHMAData!AW49</f>
        <v>0</v>
      </c>
      <c r="V383" s="869"/>
      <c r="W383" s="870"/>
      <c r="X383" s="868">
        <f>CHMAData!AX49</f>
        <v>0</v>
      </c>
      <c r="Y383" s="869"/>
      <c r="Z383" s="870"/>
      <c r="AA383" s="1300">
        <f t="shared" si="7"/>
        <v>0</v>
      </c>
      <c r="AB383" s="1301"/>
      <c r="AC383" s="1301"/>
      <c r="AD383" s="1302"/>
      <c r="AE383" s="866" t="str">
        <f>IF(CHMAData!AZ49=0,"",CHMAData!AZ49)</f>
        <v/>
      </c>
      <c r="AF383" s="867"/>
      <c r="AG383" s="529"/>
      <c r="AH383" s="518"/>
      <c r="AJ383" s="595" t="b">
        <f t="shared" si="8"/>
        <v>0</v>
      </c>
    </row>
    <row r="384" spans="1:36" hidden="1" x14ac:dyDescent="0.45">
      <c r="B384" s="514" t="s">
        <v>1451</v>
      </c>
      <c r="C384" s="515"/>
      <c r="D384" s="515"/>
      <c r="E384" s="515"/>
      <c r="F384" s="515"/>
      <c r="G384" s="890" t="str">
        <f>IF(CHMAData!W50=0,"",SUBSTITUTE(SUBSTITUTE(CHMAData!W50,"Acquired and Rehabilitated Housing","A/R"),"Newly Constructed Housing","N/C"))</f>
        <v/>
      </c>
      <c r="H384" s="891"/>
      <c r="I384" s="583" t="str">
        <f>IF(CHMAData!BP50=0,"",LEFT(CHMAData!BP50,1))</f>
        <v/>
      </c>
      <c r="J384" s="584" t="str">
        <f>IF(CHMAData!T50=0,"",LEFT(CHMAData!T50,1))</f>
        <v/>
      </c>
      <c r="K384" s="888">
        <f>CHMAData!AT50</f>
        <v>0</v>
      </c>
      <c r="L384" s="887"/>
      <c r="M384" s="940">
        <f>CHMAData!AU50</f>
        <v>0</v>
      </c>
      <c r="N384" s="940"/>
      <c r="O384" s="940"/>
      <c r="P384" s="940"/>
      <c r="Q384" s="868">
        <f>CHMAData!AV50</f>
        <v>0</v>
      </c>
      <c r="R384" s="869"/>
      <c r="S384" s="869"/>
      <c r="T384" s="870"/>
      <c r="U384" s="868">
        <f>CHMAData!AW50</f>
        <v>0</v>
      </c>
      <c r="V384" s="869"/>
      <c r="W384" s="870"/>
      <c r="X384" s="868">
        <f>CHMAData!AX50</f>
        <v>0</v>
      </c>
      <c r="Y384" s="869"/>
      <c r="Z384" s="870"/>
      <c r="AA384" s="1300">
        <f t="shared" si="7"/>
        <v>0</v>
      </c>
      <c r="AB384" s="1301"/>
      <c r="AC384" s="1301"/>
      <c r="AD384" s="1302"/>
      <c r="AE384" s="866" t="str">
        <f>IF(CHMAData!AZ50=0,"",CHMAData!AZ50)</f>
        <v/>
      </c>
      <c r="AF384" s="867"/>
      <c r="AG384" s="529"/>
      <c r="AH384" s="518"/>
      <c r="AJ384" s="595" t="b">
        <f t="shared" si="8"/>
        <v>0</v>
      </c>
    </row>
    <row r="385" spans="1:36" hidden="1" x14ac:dyDescent="0.45">
      <c r="B385" s="514" t="s">
        <v>1452</v>
      </c>
      <c r="C385" s="515"/>
      <c r="D385" s="515"/>
      <c r="E385" s="515"/>
      <c r="F385" s="515"/>
      <c r="G385" s="890" t="str">
        <f>IF(CHMAData!W51=0,"",SUBSTITUTE(SUBSTITUTE(CHMAData!W51,"Acquired and Rehabilitated Housing","A/R"),"Newly Constructed Housing","N/C"))</f>
        <v/>
      </c>
      <c r="H385" s="891"/>
      <c r="I385" s="583" t="str">
        <f>IF(CHMAData!BP51=0,"",LEFT(CHMAData!BP51,1))</f>
        <v/>
      </c>
      <c r="J385" s="584" t="str">
        <f>IF(CHMAData!T51=0,"",LEFT(CHMAData!T51,1))</f>
        <v/>
      </c>
      <c r="K385" s="888">
        <f>CHMAData!AT51</f>
        <v>0</v>
      </c>
      <c r="L385" s="887"/>
      <c r="M385" s="940">
        <f>CHMAData!AU51</f>
        <v>0</v>
      </c>
      <c r="N385" s="940"/>
      <c r="O385" s="940"/>
      <c r="P385" s="940"/>
      <c r="Q385" s="868">
        <f>CHMAData!AV51</f>
        <v>0</v>
      </c>
      <c r="R385" s="869"/>
      <c r="S385" s="869"/>
      <c r="T385" s="870"/>
      <c r="U385" s="868">
        <f>CHMAData!AW51</f>
        <v>0</v>
      </c>
      <c r="V385" s="869"/>
      <c r="W385" s="870"/>
      <c r="X385" s="868">
        <f>CHMAData!AX51</f>
        <v>0</v>
      </c>
      <c r="Y385" s="869"/>
      <c r="Z385" s="870"/>
      <c r="AA385" s="1300">
        <f t="shared" si="7"/>
        <v>0</v>
      </c>
      <c r="AB385" s="1301"/>
      <c r="AC385" s="1301"/>
      <c r="AD385" s="1302"/>
      <c r="AE385" s="866" t="str">
        <f>IF(CHMAData!AZ51=0,"",CHMAData!AZ51)</f>
        <v/>
      </c>
      <c r="AF385" s="867"/>
      <c r="AG385" s="529"/>
      <c r="AH385" s="518"/>
      <c r="AJ385" s="595" t="b">
        <f t="shared" si="8"/>
        <v>0</v>
      </c>
    </row>
    <row r="386" spans="1:36" hidden="1" x14ac:dyDescent="0.45">
      <c r="B386" s="514" t="s">
        <v>1453</v>
      </c>
      <c r="C386" s="515"/>
      <c r="D386" s="515"/>
      <c r="E386" s="515"/>
      <c r="F386" s="515"/>
      <c r="G386" s="890" t="str">
        <f>IF(CHMAData!W52=0,"",SUBSTITUTE(SUBSTITUTE(CHMAData!W52,"Acquired and Rehabilitated Housing","A/R"),"Newly Constructed Housing","N/C"))</f>
        <v/>
      </c>
      <c r="H386" s="891"/>
      <c r="I386" s="583" t="str">
        <f>IF(CHMAData!BP52=0,"",LEFT(CHMAData!BP52,1))</f>
        <v/>
      </c>
      <c r="J386" s="584" t="str">
        <f>IF(CHMAData!T52=0,"",LEFT(CHMAData!T52,1))</f>
        <v/>
      </c>
      <c r="K386" s="888">
        <f>CHMAData!AT52</f>
        <v>0</v>
      </c>
      <c r="L386" s="887"/>
      <c r="M386" s="940">
        <f>CHMAData!AU52</f>
        <v>0</v>
      </c>
      <c r="N386" s="940"/>
      <c r="O386" s="940"/>
      <c r="P386" s="940"/>
      <c r="Q386" s="868">
        <f>CHMAData!AV52</f>
        <v>0</v>
      </c>
      <c r="R386" s="869"/>
      <c r="S386" s="869"/>
      <c r="T386" s="870"/>
      <c r="U386" s="868">
        <f>CHMAData!AW52</f>
        <v>0</v>
      </c>
      <c r="V386" s="869"/>
      <c r="W386" s="870"/>
      <c r="X386" s="868">
        <f>CHMAData!AX52</f>
        <v>0</v>
      </c>
      <c r="Y386" s="869"/>
      <c r="Z386" s="870"/>
      <c r="AA386" s="1300">
        <f t="shared" si="7"/>
        <v>0</v>
      </c>
      <c r="AB386" s="1301"/>
      <c r="AC386" s="1301"/>
      <c r="AD386" s="1302"/>
      <c r="AE386" s="866" t="str">
        <f>IF(CHMAData!AZ52=0,"",CHMAData!AZ52)</f>
        <v/>
      </c>
      <c r="AF386" s="867"/>
      <c r="AG386" s="529"/>
      <c r="AH386" s="518"/>
      <c r="AJ386" s="595" t="b">
        <f t="shared" si="8"/>
        <v>0</v>
      </c>
    </row>
    <row r="387" spans="1:36" hidden="1" x14ac:dyDescent="0.45">
      <c r="B387" s="514" t="s">
        <v>1454</v>
      </c>
      <c r="C387" s="515"/>
      <c r="D387" s="515"/>
      <c r="E387" s="515"/>
      <c r="F387" s="515"/>
      <c r="G387" s="890" t="str">
        <f>IF(CHMAData!W53=0,"",SUBSTITUTE(SUBSTITUTE(CHMAData!W53,"Acquired and Rehabilitated Housing","A/R"),"Newly Constructed Housing","N/C"))</f>
        <v/>
      </c>
      <c r="H387" s="891"/>
      <c r="I387" s="583" t="str">
        <f>IF(CHMAData!BP53=0,"",LEFT(CHMAData!BP53,1))</f>
        <v/>
      </c>
      <c r="J387" s="584" t="str">
        <f>IF(CHMAData!T53=0,"",LEFT(CHMAData!T53,1))</f>
        <v/>
      </c>
      <c r="K387" s="888">
        <f>CHMAData!AT53</f>
        <v>0</v>
      </c>
      <c r="L387" s="887"/>
      <c r="M387" s="940">
        <f>CHMAData!AU53</f>
        <v>0</v>
      </c>
      <c r="N387" s="940"/>
      <c r="O387" s="940"/>
      <c r="P387" s="940"/>
      <c r="Q387" s="868">
        <f>CHMAData!AV53</f>
        <v>0</v>
      </c>
      <c r="R387" s="869"/>
      <c r="S387" s="869"/>
      <c r="T387" s="870"/>
      <c r="U387" s="868">
        <f>CHMAData!AW53</f>
        <v>0</v>
      </c>
      <c r="V387" s="869"/>
      <c r="W387" s="870"/>
      <c r="X387" s="868">
        <f>CHMAData!AX53</f>
        <v>0</v>
      </c>
      <c r="Y387" s="869"/>
      <c r="Z387" s="870"/>
      <c r="AA387" s="1300">
        <f t="shared" si="7"/>
        <v>0</v>
      </c>
      <c r="AB387" s="1301"/>
      <c r="AC387" s="1301"/>
      <c r="AD387" s="1302"/>
      <c r="AE387" s="866" t="str">
        <f>IF(CHMAData!AZ53=0,"",CHMAData!AZ53)</f>
        <v/>
      </c>
      <c r="AF387" s="867"/>
      <c r="AG387" s="529"/>
      <c r="AH387" s="518"/>
      <c r="AJ387" s="595" t="b">
        <f t="shared" si="8"/>
        <v>0</v>
      </c>
    </row>
    <row r="388" spans="1:36" hidden="1" x14ac:dyDescent="0.45">
      <c r="B388" s="514" t="s">
        <v>1455</v>
      </c>
      <c r="C388" s="515"/>
      <c r="D388" s="515"/>
      <c r="E388" s="515"/>
      <c r="F388" s="515"/>
      <c r="G388" s="890" t="str">
        <f>IF(CHMAData!W54=0,"",SUBSTITUTE(SUBSTITUTE(CHMAData!W54,"Acquired and Rehabilitated Housing","A/R"),"Newly Constructed Housing","N/C"))</f>
        <v/>
      </c>
      <c r="H388" s="891"/>
      <c r="I388" s="583" t="str">
        <f>IF(CHMAData!BP54=0,"",LEFT(CHMAData!BP54,1))</f>
        <v/>
      </c>
      <c r="J388" s="584" t="str">
        <f>IF(CHMAData!T54=0,"",LEFT(CHMAData!T54,1))</f>
        <v/>
      </c>
      <c r="K388" s="888">
        <f>CHMAData!AT54</f>
        <v>0</v>
      </c>
      <c r="L388" s="887"/>
      <c r="M388" s="940">
        <f>CHMAData!AU54</f>
        <v>0</v>
      </c>
      <c r="N388" s="940"/>
      <c r="O388" s="940"/>
      <c r="P388" s="940"/>
      <c r="Q388" s="868">
        <f>CHMAData!AV54</f>
        <v>0</v>
      </c>
      <c r="R388" s="869"/>
      <c r="S388" s="869"/>
      <c r="T388" s="870"/>
      <c r="U388" s="868">
        <f>CHMAData!AW54</f>
        <v>0</v>
      </c>
      <c r="V388" s="869"/>
      <c r="W388" s="870"/>
      <c r="X388" s="868">
        <f>CHMAData!AX54</f>
        <v>0</v>
      </c>
      <c r="Y388" s="869"/>
      <c r="Z388" s="870"/>
      <c r="AA388" s="1300">
        <f t="shared" si="7"/>
        <v>0</v>
      </c>
      <c r="AB388" s="1301"/>
      <c r="AC388" s="1301"/>
      <c r="AD388" s="1302"/>
      <c r="AE388" s="866" t="str">
        <f>IF(CHMAData!AZ54=0,"",CHMAData!AZ54)</f>
        <v/>
      </c>
      <c r="AF388" s="867"/>
      <c r="AG388" s="529"/>
      <c r="AH388" s="518"/>
      <c r="AJ388" s="595" t="b">
        <f t="shared" si="8"/>
        <v>0</v>
      </c>
    </row>
    <row r="389" spans="1:36" hidden="1" x14ac:dyDescent="0.45">
      <c r="B389" s="514" t="s">
        <v>1456</v>
      </c>
      <c r="C389" s="515"/>
      <c r="D389" s="515"/>
      <c r="E389" s="515"/>
      <c r="F389" s="515"/>
      <c r="G389" s="890" t="str">
        <f>IF(CHMAData!W55=0,"",SUBSTITUTE(SUBSTITUTE(CHMAData!W55,"Acquired and Rehabilitated Housing","A/R"),"Newly Constructed Housing","N/C"))</f>
        <v/>
      </c>
      <c r="H389" s="891"/>
      <c r="I389" s="583" t="str">
        <f>IF(CHMAData!BP55=0,"",LEFT(CHMAData!BP55,1))</f>
        <v/>
      </c>
      <c r="J389" s="584" t="str">
        <f>IF(CHMAData!T55=0,"",LEFT(CHMAData!T55,1))</f>
        <v/>
      </c>
      <c r="K389" s="888">
        <f>CHMAData!AT55</f>
        <v>0</v>
      </c>
      <c r="L389" s="887"/>
      <c r="M389" s="940">
        <f>CHMAData!AU55</f>
        <v>0</v>
      </c>
      <c r="N389" s="940"/>
      <c r="O389" s="940"/>
      <c r="P389" s="940"/>
      <c r="Q389" s="868">
        <f>CHMAData!AV55</f>
        <v>0</v>
      </c>
      <c r="R389" s="869"/>
      <c r="S389" s="869"/>
      <c r="T389" s="870"/>
      <c r="U389" s="868">
        <f>CHMAData!AW55</f>
        <v>0</v>
      </c>
      <c r="V389" s="869"/>
      <c r="W389" s="870"/>
      <c r="X389" s="868">
        <f>CHMAData!AX55</f>
        <v>0</v>
      </c>
      <c r="Y389" s="869"/>
      <c r="Z389" s="870"/>
      <c r="AA389" s="1300">
        <f t="shared" si="7"/>
        <v>0</v>
      </c>
      <c r="AB389" s="1301"/>
      <c r="AC389" s="1301"/>
      <c r="AD389" s="1302"/>
      <c r="AE389" s="866" t="str">
        <f>IF(CHMAData!AZ55=0,"",CHMAData!AZ55)</f>
        <v/>
      </c>
      <c r="AF389" s="867"/>
      <c r="AG389" s="529"/>
      <c r="AH389" s="518"/>
      <c r="AJ389" s="595" t="b">
        <f t="shared" si="8"/>
        <v>0</v>
      </c>
    </row>
    <row r="390" spans="1:36" hidden="1" x14ac:dyDescent="0.45">
      <c r="B390" s="514" t="s">
        <v>1457</v>
      </c>
      <c r="C390" s="515"/>
      <c r="D390" s="515"/>
      <c r="E390" s="515"/>
      <c r="F390" s="515"/>
      <c r="G390" s="890" t="str">
        <f>IF(CHMAData!W56=0,"",SUBSTITUTE(SUBSTITUTE(CHMAData!W56,"Acquired and Rehabilitated Housing","A/R"),"Newly Constructed Housing","N/C"))</f>
        <v/>
      </c>
      <c r="H390" s="891"/>
      <c r="I390" s="583" t="str">
        <f>IF(CHMAData!BP56=0,"",LEFT(CHMAData!BP56,1))</f>
        <v/>
      </c>
      <c r="J390" s="584" t="str">
        <f>IF(CHMAData!T56=0,"",LEFT(CHMAData!T56,1))</f>
        <v/>
      </c>
      <c r="K390" s="888">
        <f>CHMAData!AT56</f>
        <v>0</v>
      </c>
      <c r="L390" s="887"/>
      <c r="M390" s="940">
        <f>CHMAData!AU56</f>
        <v>0</v>
      </c>
      <c r="N390" s="940"/>
      <c r="O390" s="940"/>
      <c r="P390" s="940"/>
      <c r="Q390" s="868">
        <f>CHMAData!AV56</f>
        <v>0</v>
      </c>
      <c r="R390" s="869"/>
      <c r="S390" s="869"/>
      <c r="T390" s="870"/>
      <c r="U390" s="868">
        <f>CHMAData!AW56</f>
        <v>0</v>
      </c>
      <c r="V390" s="869"/>
      <c r="W390" s="870"/>
      <c r="X390" s="868">
        <f>CHMAData!AX56</f>
        <v>0</v>
      </c>
      <c r="Y390" s="869"/>
      <c r="Z390" s="870"/>
      <c r="AA390" s="1300">
        <f t="shared" si="7"/>
        <v>0</v>
      </c>
      <c r="AB390" s="1301"/>
      <c r="AC390" s="1301"/>
      <c r="AD390" s="1302"/>
      <c r="AE390" s="866" t="str">
        <f>IF(CHMAData!AZ56=0,"",CHMAData!AZ56)</f>
        <v/>
      </c>
      <c r="AF390" s="867"/>
      <c r="AG390" s="529"/>
      <c r="AH390" s="518"/>
      <c r="AJ390" s="595" t="b">
        <f t="shared" si="8"/>
        <v>0</v>
      </c>
    </row>
    <row r="391" spans="1:36" hidden="1" x14ac:dyDescent="0.45">
      <c r="B391" s="514" t="s">
        <v>1458</v>
      </c>
      <c r="C391" s="515"/>
      <c r="D391" s="515"/>
      <c r="E391" s="515"/>
      <c r="F391" s="515"/>
      <c r="G391" s="890" t="str">
        <f>IF(CHMAData!W57=0,"",SUBSTITUTE(SUBSTITUTE(CHMAData!W57,"Acquired and Rehabilitated Housing","A/R"),"Newly Constructed Housing","N/C"))</f>
        <v/>
      </c>
      <c r="H391" s="891"/>
      <c r="I391" s="583" t="str">
        <f>IF(CHMAData!BP57=0,"",LEFT(CHMAData!BP57,1))</f>
        <v/>
      </c>
      <c r="J391" s="584" t="str">
        <f>IF(CHMAData!T57=0,"",LEFT(CHMAData!T57,1))</f>
        <v/>
      </c>
      <c r="K391" s="888">
        <f>CHMAData!AT57</f>
        <v>0</v>
      </c>
      <c r="L391" s="887"/>
      <c r="M391" s="940">
        <f>CHMAData!AU57</f>
        <v>0</v>
      </c>
      <c r="N391" s="940"/>
      <c r="O391" s="940"/>
      <c r="P391" s="940"/>
      <c r="Q391" s="868">
        <f>CHMAData!AV57</f>
        <v>0</v>
      </c>
      <c r="R391" s="869"/>
      <c r="S391" s="869"/>
      <c r="T391" s="870"/>
      <c r="U391" s="868">
        <f>CHMAData!AW57</f>
        <v>0</v>
      </c>
      <c r="V391" s="869"/>
      <c r="W391" s="870"/>
      <c r="X391" s="868">
        <f>CHMAData!AX57</f>
        <v>0</v>
      </c>
      <c r="Y391" s="869"/>
      <c r="Z391" s="870"/>
      <c r="AA391" s="1300">
        <f t="shared" si="7"/>
        <v>0</v>
      </c>
      <c r="AB391" s="1301"/>
      <c r="AC391" s="1301"/>
      <c r="AD391" s="1302"/>
      <c r="AE391" s="866" t="str">
        <f>IF(CHMAData!AZ57=0,"",CHMAData!AZ57)</f>
        <v/>
      </c>
      <c r="AF391" s="867"/>
      <c r="AG391" s="529"/>
      <c r="AH391" s="518"/>
      <c r="AJ391" s="595" t="b">
        <f t="shared" si="8"/>
        <v>0</v>
      </c>
    </row>
    <row r="392" spans="1:36" hidden="1" x14ac:dyDescent="0.45">
      <c r="B392" s="514" t="s">
        <v>1459</v>
      </c>
      <c r="C392" s="515"/>
      <c r="D392" s="515"/>
      <c r="E392" s="515"/>
      <c r="F392" s="515"/>
      <c r="G392" s="890" t="str">
        <f>IF(CHMAData!W58=0,"",SUBSTITUTE(SUBSTITUTE(CHMAData!W58,"Acquired and Rehabilitated Housing","A/R"),"Newly Constructed Housing","N/C"))</f>
        <v/>
      </c>
      <c r="H392" s="891"/>
      <c r="I392" s="583" t="str">
        <f>IF(CHMAData!BP58=0,"",LEFT(CHMAData!BP58,1))</f>
        <v/>
      </c>
      <c r="J392" s="584" t="str">
        <f>IF(CHMAData!T58=0,"",LEFT(CHMAData!T58,1))</f>
        <v/>
      </c>
      <c r="K392" s="888">
        <f>CHMAData!AT58</f>
        <v>0</v>
      </c>
      <c r="L392" s="887"/>
      <c r="M392" s="940">
        <f>CHMAData!AU58</f>
        <v>0</v>
      </c>
      <c r="N392" s="940"/>
      <c r="O392" s="940"/>
      <c r="P392" s="940"/>
      <c r="Q392" s="868">
        <f>CHMAData!AV58</f>
        <v>0</v>
      </c>
      <c r="R392" s="869"/>
      <c r="S392" s="869"/>
      <c r="T392" s="870"/>
      <c r="U392" s="868">
        <f>CHMAData!AW58</f>
        <v>0</v>
      </c>
      <c r="V392" s="869"/>
      <c r="W392" s="870"/>
      <c r="X392" s="868">
        <f>CHMAData!AX58</f>
        <v>0</v>
      </c>
      <c r="Y392" s="869"/>
      <c r="Z392" s="870"/>
      <c r="AA392" s="1300">
        <f t="shared" si="7"/>
        <v>0</v>
      </c>
      <c r="AB392" s="1301"/>
      <c r="AC392" s="1301"/>
      <c r="AD392" s="1302"/>
      <c r="AE392" s="866" t="str">
        <f>IF(CHMAData!AZ58=0,"",CHMAData!AZ58)</f>
        <v/>
      </c>
      <c r="AF392" s="867"/>
      <c r="AG392" s="529"/>
      <c r="AH392" s="518"/>
      <c r="AJ392" s="595" t="b">
        <f t="shared" si="8"/>
        <v>0</v>
      </c>
    </row>
    <row r="393" spans="1:36" hidden="1" x14ac:dyDescent="0.45">
      <c r="A393" s="518"/>
      <c r="B393" s="514" t="s">
        <v>1460</v>
      </c>
      <c r="C393" s="515"/>
      <c r="D393" s="515"/>
      <c r="E393" s="515"/>
      <c r="F393" s="515"/>
      <c r="G393" s="890" t="str">
        <f>IF(CHMAData!W59=0,"",SUBSTITUTE(SUBSTITUTE(CHMAData!W59,"Acquired and Rehabilitated Housing","A/R"),"Newly Constructed Housing","N/C"))</f>
        <v/>
      </c>
      <c r="H393" s="891"/>
      <c r="I393" s="583" t="str">
        <f>IF(CHMAData!BP59=0,"",LEFT(CHMAData!BP59,1))</f>
        <v/>
      </c>
      <c r="J393" s="584" t="str">
        <f>IF(CHMAData!T59=0,"",LEFT(CHMAData!T59,1))</f>
        <v/>
      </c>
      <c r="K393" s="888">
        <f>CHMAData!AT59</f>
        <v>0</v>
      </c>
      <c r="L393" s="887"/>
      <c r="M393" s="940">
        <f>CHMAData!AU59</f>
        <v>0</v>
      </c>
      <c r="N393" s="940"/>
      <c r="O393" s="940"/>
      <c r="P393" s="940"/>
      <c r="Q393" s="868">
        <f>CHMAData!AV59</f>
        <v>0</v>
      </c>
      <c r="R393" s="869"/>
      <c r="S393" s="869"/>
      <c r="T393" s="870"/>
      <c r="U393" s="868">
        <f>CHMAData!AW59</f>
        <v>0</v>
      </c>
      <c r="V393" s="869"/>
      <c r="W393" s="870"/>
      <c r="X393" s="868">
        <f>CHMAData!AX59</f>
        <v>0</v>
      </c>
      <c r="Y393" s="869"/>
      <c r="Z393" s="870"/>
      <c r="AA393" s="1300">
        <f t="shared" si="7"/>
        <v>0</v>
      </c>
      <c r="AB393" s="1301"/>
      <c r="AC393" s="1301"/>
      <c r="AD393" s="1302"/>
      <c r="AE393" s="866" t="str">
        <f>IF(CHMAData!AZ59=0,"",CHMAData!AZ59)</f>
        <v/>
      </c>
      <c r="AF393" s="867"/>
      <c r="AG393" s="529"/>
      <c r="AH393" s="518"/>
      <c r="AJ393" s="595" t="b">
        <f t="shared" si="8"/>
        <v>0</v>
      </c>
    </row>
    <row r="394" spans="1:36" hidden="1" x14ac:dyDescent="0.45">
      <c r="A394" s="518"/>
      <c r="B394" s="514" t="s">
        <v>1461</v>
      </c>
      <c r="C394" s="515"/>
      <c r="D394" s="515"/>
      <c r="E394" s="515"/>
      <c r="F394" s="515"/>
      <c r="G394" s="890" t="str">
        <f>IF(CHMAData!W60=0,"",SUBSTITUTE(SUBSTITUTE(CHMAData!W60,"Acquired and Rehabilitated Housing","A/R"),"Newly Constructed Housing","N/C"))</f>
        <v/>
      </c>
      <c r="H394" s="891"/>
      <c r="I394" s="583" t="str">
        <f>IF(CHMAData!BP60=0,"",LEFT(CHMAData!BP60,1))</f>
        <v/>
      </c>
      <c r="J394" s="584" t="str">
        <f>IF(CHMAData!T60=0,"",LEFT(CHMAData!T60,1))</f>
        <v/>
      </c>
      <c r="K394" s="888">
        <f>CHMAData!AT60</f>
        <v>0</v>
      </c>
      <c r="L394" s="887"/>
      <c r="M394" s="940">
        <f>CHMAData!AU60</f>
        <v>0</v>
      </c>
      <c r="N394" s="940"/>
      <c r="O394" s="940"/>
      <c r="P394" s="940"/>
      <c r="Q394" s="868">
        <f>CHMAData!AV60</f>
        <v>0</v>
      </c>
      <c r="R394" s="869"/>
      <c r="S394" s="869"/>
      <c r="T394" s="870"/>
      <c r="U394" s="868">
        <f>CHMAData!AW60</f>
        <v>0</v>
      </c>
      <c r="V394" s="869"/>
      <c r="W394" s="870"/>
      <c r="X394" s="868">
        <f>CHMAData!AX60</f>
        <v>0</v>
      </c>
      <c r="Y394" s="869"/>
      <c r="Z394" s="870"/>
      <c r="AA394" s="1300">
        <f t="shared" si="7"/>
        <v>0</v>
      </c>
      <c r="AB394" s="1301"/>
      <c r="AC394" s="1301"/>
      <c r="AD394" s="1302"/>
      <c r="AE394" s="866" t="str">
        <f>IF(CHMAData!AZ60=0,"",CHMAData!AZ60)</f>
        <v/>
      </c>
      <c r="AF394" s="867"/>
      <c r="AG394" s="529"/>
      <c r="AH394" s="518"/>
      <c r="AJ394" s="595" t="b">
        <f t="shared" si="8"/>
        <v>0</v>
      </c>
    </row>
    <row r="395" spans="1:36" hidden="1" x14ac:dyDescent="0.45">
      <c r="A395" s="518"/>
      <c r="B395" s="600"/>
      <c r="C395" s="600"/>
      <c r="D395" s="600"/>
      <c r="E395" s="600"/>
      <c r="F395" s="600"/>
      <c r="G395" s="600"/>
      <c r="H395" s="600"/>
      <c r="I395" s="600"/>
      <c r="J395" s="600"/>
      <c r="K395" s="600"/>
      <c r="L395" s="600"/>
      <c r="M395" s="600"/>
      <c r="N395" s="600"/>
      <c r="O395" s="600"/>
      <c r="P395" s="600"/>
      <c r="Q395" s="600"/>
      <c r="R395" s="600"/>
      <c r="S395" s="600"/>
      <c r="T395" s="600"/>
      <c r="U395" s="600"/>
      <c r="V395" s="600"/>
      <c r="W395" s="600"/>
      <c r="X395" s="600"/>
      <c r="Y395" s="600"/>
      <c r="Z395" s="600"/>
      <c r="AA395" s="600"/>
      <c r="AB395" s="600"/>
      <c r="AC395" s="600"/>
      <c r="AD395" s="600"/>
      <c r="AE395" s="600"/>
      <c r="AF395" s="600"/>
      <c r="AG395" s="518"/>
      <c r="AH395" s="518"/>
      <c r="AJ395" s="595" t="b">
        <f>AJ330</f>
        <v>0</v>
      </c>
    </row>
    <row r="396" spans="1:36" hidden="1" x14ac:dyDescent="0.45">
      <c r="A396" s="518"/>
      <c r="B396" s="917" t="s">
        <v>173</v>
      </c>
      <c r="C396" s="918"/>
      <c r="D396" s="918"/>
      <c r="E396" s="918"/>
      <c r="F396" s="918"/>
      <c r="G396" s="918"/>
      <c r="H396" s="919">
        <f>CH_MA_RuralTotalRequested</f>
        <v>0</v>
      </c>
      <c r="I396" s="920"/>
      <c r="J396" s="920"/>
      <c r="K396" s="920"/>
      <c r="L396" s="920"/>
      <c r="M396" s="920"/>
      <c r="N396" s="921"/>
      <c r="O396" s="518"/>
      <c r="P396" s="518"/>
      <c r="Q396" s="518"/>
      <c r="R396" s="518"/>
      <c r="S396" s="518"/>
      <c r="T396" s="518"/>
      <c r="U396" s="518"/>
      <c r="V396" s="518"/>
      <c r="W396" s="518"/>
      <c r="X396" s="518"/>
      <c r="Y396" s="518"/>
      <c r="Z396" s="518"/>
      <c r="AA396" s="518"/>
      <c r="AB396" s="518"/>
      <c r="AC396" s="518"/>
      <c r="AD396" s="518"/>
      <c r="AE396" s="518"/>
      <c r="AF396" s="518"/>
      <c r="AG396" s="518"/>
      <c r="AH396" s="518"/>
      <c r="AJ396" s="595"/>
    </row>
    <row r="397" spans="1:36" hidden="1" x14ac:dyDescent="0.45">
      <c r="A397" s="518"/>
      <c r="B397" s="518"/>
      <c r="C397" s="518"/>
      <c r="D397" s="518"/>
      <c r="E397" s="518"/>
      <c r="F397" s="518"/>
      <c r="G397" s="518"/>
      <c r="H397" s="518"/>
      <c r="I397" s="518"/>
      <c r="J397" s="518"/>
      <c r="K397" s="518"/>
      <c r="L397" s="518"/>
      <c r="M397" s="518"/>
      <c r="N397" s="518"/>
      <c r="O397" s="518"/>
      <c r="P397" s="518"/>
      <c r="Q397" s="518"/>
      <c r="R397" s="518"/>
      <c r="S397" s="518"/>
      <c r="T397" s="518"/>
      <c r="U397" s="518"/>
      <c r="V397" s="518"/>
      <c r="W397" s="518"/>
      <c r="X397" s="518"/>
      <c r="Y397" s="518"/>
      <c r="Z397" s="518"/>
      <c r="AA397" s="518"/>
      <c r="AB397" s="518"/>
      <c r="AC397" s="518"/>
      <c r="AD397" s="518"/>
      <c r="AE397" s="518"/>
      <c r="AF397" s="518"/>
      <c r="AG397" s="518"/>
      <c r="AH397" s="518"/>
      <c r="AJ397" s="595"/>
    </row>
    <row r="398" spans="1:36" hidden="1" x14ac:dyDescent="0.45">
      <c r="A398" s="518"/>
      <c r="B398" s="517" t="s">
        <v>1854</v>
      </c>
      <c r="C398" s="518"/>
      <c r="D398" s="518"/>
      <c r="E398" s="518"/>
      <c r="F398" s="518"/>
      <c r="G398" s="518"/>
      <c r="H398" s="518"/>
      <c r="I398" s="518"/>
      <c r="J398" s="518"/>
      <c r="K398" s="518"/>
      <c r="L398" s="518"/>
      <c r="M398" s="518"/>
      <c r="N398" s="518"/>
      <c r="O398" s="518"/>
      <c r="P398" s="518"/>
      <c r="Q398" s="518"/>
      <c r="R398" s="518"/>
      <c r="S398" s="518"/>
      <c r="T398" s="518"/>
      <c r="U398" s="518"/>
      <c r="V398" s="518"/>
      <c r="W398" s="518"/>
      <c r="X398" s="518"/>
      <c r="Y398" s="518"/>
      <c r="Z398" s="518"/>
      <c r="AA398" s="518"/>
      <c r="AB398" s="518"/>
      <c r="AC398" s="518"/>
      <c r="AD398" s="518"/>
      <c r="AE398" s="518"/>
      <c r="AF398" s="518"/>
      <c r="AG398" s="518"/>
      <c r="AH398" s="518"/>
      <c r="AJ398" s="595"/>
    </row>
    <row r="399" spans="1:36" hidden="1" x14ac:dyDescent="0.45">
      <c r="A399" s="518"/>
      <c r="B399" s="922" t="s">
        <v>174</v>
      </c>
      <c r="C399" s="922"/>
      <c r="D399" s="922"/>
      <c r="E399" s="922"/>
      <c r="F399" s="922"/>
      <c r="G399" s="922"/>
      <c r="H399" s="922"/>
      <c r="I399" s="922"/>
      <c r="J399" s="922"/>
      <c r="K399" s="922"/>
      <c r="L399" s="922"/>
      <c r="M399" s="922"/>
      <c r="N399" s="922"/>
      <c r="O399" s="878"/>
      <c r="P399" s="879"/>
      <c r="Q399" s="880"/>
      <c r="R399" s="518"/>
      <c r="S399" s="518"/>
      <c r="T399" s="518"/>
      <c r="U399" s="518"/>
      <c r="V399" s="518"/>
      <c r="W399" s="518"/>
      <c r="X399" s="518"/>
      <c r="Y399" s="518"/>
      <c r="Z399" s="518"/>
      <c r="AA399" s="518"/>
      <c r="AB399" s="518"/>
      <c r="AC399" s="518"/>
      <c r="AD399" s="518"/>
      <c r="AE399" s="518"/>
      <c r="AF399" s="518"/>
      <c r="AG399" s="518"/>
      <c r="AH399" s="518"/>
      <c r="AJ399" s="595"/>
    </row>
    <row r="400" spans="1:36" hidden="1" x14ac:dyDescent="0.45">
      <c r="A400" s="518"/>
      <c r="B400" s="922" t="s">
        <v>175</v>
      </c>
      <c r="C400" s="922"/>
      <c r="D400" s="922"/>
      <c r="E400" s="922"/>
      <c r="F400" s="922"/>
      <c r="G400" s="922"/>
      <c r="H400" s="922"/>
      <c r="I400" s="922"/>
      <c r="J400" s="922"/>
      <c r="K400" s="922"/>
      <c r="L400" s="922"/>
      <c r="M400" s="922"/>
      <c r="N400" s="922"/>
      <c r="O400" s="878"/>
      <c r="P400" s="879"/>
      <c r="Q400" s="880"/>
      <c r="R400" s="518"/>
      <c r="S400" s="518"/>
      <c r="T400" s="518"/>
      <c r="U400" s="518"/>
      <c r="V400" s="518"/>
      <c r="W400" s="518"/>
      <c r="X400" s="518"/>
      <c r="Y400" s="518"/>
      <c r="Z400" s="518"/>
      <c r="AA400" s="518"/>
      <c r="AB400" s="518"/>
      <c r="AC400" s="518"/>
      <c r="AD400" s="518"/>
      <c r="AE400" s="518"/>
      <c r="AF400" s="518"/>
      <c r="AG400" s="518"/>
      <c r="AH400" s="518"/>
      <c r="AJ400" s="595"/>
    </row>
    <row r="401" spans="1:36" hidden="1" x14ac:dyDescent="0.45">
      <c r="A401" s="518"/>
      <c r="B401" s="922" t="s">
        <v>176</v>
      </c>
      <c r="C401" s="922"/>
      <c r="D401" s="922"/>
      <c r="E401" s="922"/>
      <c r="F401" s="922"/>
      <c r="G401" s="922"/>
      <c r="H401" s="922"/>
      <c r="I401" s="922"/>
      <c r="J401" s="922"/>
      <c r="K401" s="922"/>
      <c r="L401" s="922"/>
      <c r="M401" s="922"/>
      <c r="N401" s="922"/>
      <c r="O401" s="878"/>
      <c r="P401" s="879"/>
      <c r="Q401" s="880"/>
      <c r="R401" s="518"/>
      <c r="S401" s="518"/>
      <c r="T401" s="518"/>
      <c r="U401" s="518"/>
      <c r="V401" s="518"/>
      <c r="W401" s="518"/>
      <c r="X401" s="518"/>
      <c r="Y401" s="518"/>
      <c r="Z401" s="518"/>
      <c r="AA401" s="518"/>
      <c r="AB401" s="518"/>
      <c r="AC401" s="518"/>
      <c r="AD401" s="518"/>
      <c r="AE401" s="518"/>
      <c r="AF401" s="518"/>
      <c r="AG401" s="518"/>
      <c r="AH401" s="518"/>
      <c r="AJ401" s="595"/>
    </row>
    <row r="402" spans="1:36" hidden="1" x14ac:dyDescent="0.45">
      <c r="A402" s="518"/>
      <c r="B402" s="922" t="s">
        <v>177</v>
      </c>
      <c r="C402" s="922"/>
      <c r="D402" s="922"/>
      <c r="E402" s="922"/>
      <c r="F402" s="922"/>
      <c r="G402" s="922"/>
      <c r="H402" s="922"/>
      <c r="I402" s="922"/>
      <c r="J402" s="922"/>
      <c r="K402" s="922"/>
      <c r="L402" s="922"/>
      <c r="M402" s="922"/>
      <c r="N402" s="922"/>
      <c r="O402" s="878"/>
      <c r="P402" s="879"/>
      <c r="Q402" s="880"/>
      <c r="R402" s="518"/>
      <c r="S402" s="518"/>
      <c r="T402" s="518"/>
      <c r="U402" s="518"/>
      <c r="V402" s="518"/>
      <c r="W402" s="518"/>
      <c r="X402" s="518"/>
      <c r="Y402" s="518"/>
      <c r="Z402" s="518"/>
      <c r="AA402" s="518"/>
      <c r="AB402" s="518"/>
      <c r="AC402" s="518"/>
      <c r="AD402" s="518"/>
      <c r="AE402" s="518"/>
      <c r="AF402" s="518"/>
      <c r="AG402" s="518"/>
      <c r="AH402" s="518"/>
      <c r="AJ402" s="595"/>
    </row>
    <row r="403" spans="1:36" hidden="1" x14ac:dyDescent="0.45">
      <c r="A403" s="518"/>
      <c r="B403" s="922" t="s">
        <v>178</v>
      </c>
      <c r="C403" s="922"/>
      <c r="D403" s="922"/>
      <c r="E403" s="922"/>
      <c r="F403" s="922"/>
      <c r="G403" s="922"/>
      <c r="H403" s="922"/>
      <c r="I403" s="922"/>
      <c r="J403" s="922"/>
      <c r="K403" s="922"/>
      <c r="L403" s="922"/>
      <c r="M403" s="922"/>
      <c r="N403" s="922"/>
      <c r="O403" s="878"/>
      <c r="P403" s="879"/>
      <c r="Q403" s="880"/>
      <c r="R403" s="518"/>
      <c r="S403" s="518"/>
      <c r="T403" s="518"/>
      <c r="U403" s="518"/>
      <c r="V403" s="518"/>
      <c r="W403" s="518"/>
      <c r="X403" s="518"/>
      <c r="Y403" s="518"/>
      <c r="Z403" s="518"/>
      <c r="AA403" s="518"/>
      <c r="AB403" s="518"/>
      <c r="AC403" s="518"/>
      <c r="AD403" s="518"/>
      <c r="AE403" s="518"/>
      <c r="AF403" s="518"/>
      <c r="AG403" s="518"/>
      <c r="AH403" s="518"/>
      <c r="AJ403" s="595"/>
    </row>
    <row r="404" spans="1:36" hidden="1" x14ac:dyDescent="0.45">
      <c r="A404" s="518"/>
      <c r="B404" s="922" t="s">
        <v>179</v>
      </c>
      <c r="C404" s="922"/>
      <c r="D404" s="922"/>
      <c r="E404" s="922"/>
      <c r="F404" s="922"/>
      <c r="G404" s="922"/>
      <c r="H404" s="922"/>
      <c r="I404" s="922"/>
      <c r="J404" s="922"/>
      <c r="K404" s="922"/>
      <c r="L404" s="922"/>
      <c r="M404" s="922"/>
      <c r="N404" s="922"/>
      <c r="O404" s="878"/>
      <c r="P404" s="879"/>
      <c r="Q404" s="880"/>
      <c r="R404" s="518"/>
      <c r="S404" s="518"/>
      <c r="T404" s="518"/>
      <c r="U404" s="518"/>
      <c r="V404" s="518"/>
      <c r="W404" s="518"/>
      <c r="X404" s="518"/>
      <c r="Y404" s="518"/>
      <c r="Z404" s="518"/>
      <c r="AA404" s="518"/>
      <c r="AB404" s="518"/>
      <c r="AC404" s="518"/>
      <c r="AD404" s="518"/>
      <c r="AE404" s="518"/>
      <c r="AF404" s="518"/>
      <c r="AG404" s="518"/>
      <c r="AH404" s="518"/>
      <c r="AJ404" s="595"/>
    </row>
    <row r="405" spans="1:36" hidden="1" x14ac:dyDescent="0.45">
      <c r="A405" s="518"/>
      <c r="B405" s="922" t="s">
        <v>180</v>
      </c>
      <c r="C405" s="922"/>
      <c r="D405" s="922"/>
      <c r="E405" s="922"/>
      <c r="F405" s="922"/>
      <c r="G405" s="922"/>
      <c r="H405" s="922"/>
      <c r="I405" s="922"/>
      <c r="J405" s="922"/>
      <c r="K405" s="922"/>
      <c r="L405" s="922"/>
      <c r="M405" s="922"/>
      <c r="N405" s="922"/>
      <c r="O405" s="878"/>
      <c r="P405" s="879"/>
      <c r="Q405" s="880"/>
      <c r="R405" s="518"/>
      <c r="S405" s="518"/>
      <c r="T405" s="518"/>
      <c r="U405" s="518"/>
      <c r="V405" s="518"/>
      <c r="W405" s="518"/>
      <c r="X405" s="518"/>
      <c r="Y405" s="518"/>
      <c r="Z405" s="518"/>
      <c r="AA405" s="518"/>
      <c r="AB405" s="518"/>
      <c r="AC405" s="518"/>
      <c r="AD405" s="518"/>
      <c r="AE405" s="518"/>
      <c r="AF405" s="518"/>
      <c r="AG405" s="518"/>
      <c r="AH405" s="518"/>
      <c r="AJ405" s="595"/>
    </row>
    <row r="406" spans="1:36" hidden="1" x14ac:dyDescent="0.45">
      <c r="A406" s="518"/>
      <c r="B406" s="916" t="s">
        <v>181</v>
      </c>
      <c r="C406" s="916"/>
      <c r="D406" s="916"/>
      <c r="E406" s="916"/>
      <c r="F406" s="916"/>
      <c r="G406" s="916"/>
      <c r="H406" s="916"/>
      <c r="I406" s="916"/>
      <c r="J406" s="916"/>
      <c r="K406" s="916"/>
      <c r="L406" s="916"/>
      <c r="M406" s="916"/>
      <c r="N406" s="916"/>
      <c r="O406" s="927"/>
      <c r="P406" s="928"/>
      <c r="Q406" s="929"/>
      <c r="R406" s="518"/>
      <c r="S406" s="518"/>
      <c r="T406" s="518"/>
      <c r="U406" s="518"/>
      <c r="V406" s="518"/>
      <c r="W406" s="518"/>
      <c r="X406" s="518"/>
      <c r="Y406" s="518"/>
      <c r="Z406" s="518"/>
      <c r="AA406" s="518"/>
      <c r="AB406" s="518"/>
      <c r="AC406" s="518"/>
      <c r="AD406" s="518"/>
      <c r="AE406" s="518"/>
      <c r="AF406" s="518"/>
      <c r="AG406" s="518"/>
      <c r="AH406" s="518"/>
      <c r="AJ406" s="595"/>
    </row>
    <row r="407" spans="1:36" hidden="1" x14ac:dyDescent="0.45">
      <c r="A407" s="518"/>
      <c r="B407" s="930" t="s">
        <v>182</v>
      </c>
      <c r="C407" s="930"/>
      <c r="D407" s="930"/>
      <c r="E407" s="930"/>
      <c r="F407" s="930"/>
      <c r="G407" s="930"/>
      <c r="H407" s="930"/>
      <c r="I407" s="930"/>
      <c r="J407" s="930"/>
      <c r="K407" s="930"/>
      <c r="L407" s="930"/>
      <c r="M407" s="930"/>
      <c r="N407" s="930"/>
      <c r="O407" s="878">
        <f>SUM(O399:Q405)-O406</f>
        <v>0</v>
      </c>
      <c r="P407" s="879"/>
      <c r="Q407" s="880"/>
      <c r="R407" s="518"/>
      <c r="S407" s="518"/>
      <c r="T407" s="518"/>
      <c r="U407" s="518"/>
      <c r="V407" s="518"/>
      <c r="W407" s="518"/>
      <c r="X407" s="518"/>
      <c r="Y407" s="518"/>
      <c r="Z407" s="518"/>
      <c r="AA407" s="518"/>
      <c r="AB407" s="518"/>
      <c r="AC407" s="518"/>
      <c r="AD407" s="518"/>
      <c r="AE407" s="518"/>
      <c r="AF407" s="518"/>
      <c r="AG407" s="518"/>
      <c r="AH407" s="518"/>
      <c r="AJ407" s="595"/>
    </row>
    <row r="408" spans="1:36" hidden="1" x14ac:dyDescent="0.45">
      <c r="A408" s="518"/>
      <c r="B408" s="517"/>
      <c r="C408" s="517"/>
      <c r="D408" s="517"/>
      <c r="E408" s="517"/>
      <c r="F408" s="517"/>
      <c r="G408" s="517"/>
      <c r="H408" s="517"/>
      <c r="I408" s="517"/>
      <c r="J408" s="517"/>
      <c r="K408" s="517"/>
      <c r="L408" s="517"/>
      <c r="M408" s="517"/>
      <c r="N408" s="517"/>
      <c r="O408" s="532"/>
      <c r="P408" s="532"/>
      <c r="Q408" s="532"/>
      <c r="R408" s="518"/>
      <c r="S408" s="533"/>
      <c r="T408" s="533"/>
      <c r="U408" s="533"/>
      <c r="V408" s="533"/>
      <c r="W408" s="533"/>
      <c r="X408" s="533"/>
      <c r="Y408" s="533"/>
      <c r="Z408" s="533"/>
      <c r="AA408" s="533"/>
      <c r="AB408" s="533"/>
      <c r="AC408" s="533"/>
      <c r="AD408" s="533"/>
      <c r="AE408" s="533"/>
      <c r="AF408" s="533"/>
      <c r="AG408" s="533"/>
      <c r="AH408" s="518"/>
      <c r="AJ408" s="595"/>
    </row>
    <row r="409" spans="1:36" ht="200.15" hidden="1" customHeight="1" x14ac:dyDescent="0.45">
      <c r="A409" s="518"/>
      <c r="B409" s="926" t="s">
        <v>183</v>
      </c>
      <c r="C409" s="926"/>
      <c r="D409" s="926"/>
      <c r="E409" s="926"/>
      <c r="F409" s="926"/>
      <c r="G409" s="926"/>
      <c r="H409" s="926"/>
      <c r="I409" s="926"/>
      <c r="J409" s="926"/>
      <c r="K409" s="926"/>
      <c r="L409" s="926"/>
      <c r="M409" s="926"/>
      <c r="N409" s="926"/>
      <c r="O409" s="926"/>
      <c r="P409" s="926"/>
      <c r="Q409" s="926"/>
      <c r="R409" s="926"/>
      <c r="S409" s="926"/>
      <c r="T409" s="926"/>
      <c r="U409" s="926"/>
      <c r="V409" s="926"/>
      <c r="W409" s="926"/>
      <c r="X409" s="926"/>
      <c r="Y409" s="926"/>
      <c r="Z409" s="926"/>
      <c r="AA409" s="926"/>
      <c r="AB409" s="926"/>
      <c r="AC409" s="926"/>
      <c r="AD409" s="926"/>
      <c r="AE409" s="926"/>
      <c r="AF409" s="926"/>
      <c r="AG409" s="926"/>
      <c r="AH409" s="518"/>
      <c r="AJ409" s="595"/>
    </row>
    <row r="410" spans="1:36" hidden="1" x14ac:dyDescent="0.45">
      <c r="A410" s="518"/>
      <c r="B410" s="518"/>
      <c r="C410" s="518"/>
      <c r="D410" s="518"/>
      <c r="E410" s="518"/>
      <c r="F410" s="518"/>
      <c r="G410" s="518"/>
      <c r="H410" s="518"/>
      <c r="I410" s="518"/>
      <c r="J410" s="518"/>
      <c r="K410" s="518"/>
      <c r="L410" s="518"/>
      <c r="M410" s="518"/>
      <c r="N410" s="518"/>
      <c r="O410" s="518"/>
      <c r="P410" s="518"/>
      <c r="Q410" s="518"/>
      <c r="R410" s="518"/>
      <c r="S410" s="518"/>
      <c r="T410" s="518"/>
      <c r="U410" s="518"/>
      <c r="V410" s="518"/>
      <c r="W410" s="518"/>
      <c r="X410" s="518"/>
      <c r="Y410" s="518"/>
      <c r="Z410" s="518"/>
      <c r="AA410" s="518"/>
      <c r="AB410" s="518"/>
      <c r="AC410" s="518"/>
      <c r="AD410" s="518"/>
      <c r="AE410" s="518"/>
      <c r="AF410" s="518"/>
      <c r="AG410" s="518"/>
      <c r="AH410" s="518"/>
      <c r="AJ410" s="595"/>
    </row>
    <row r="411" spans="1:36" hidden="1" x14ac:dyDescent="0.45">
      <c r="A411" s="518"/>
      <c r="B411" s="518"/>
      <c r="C411" s="518"/>
      <c r="D411" s="518"/>
      <c r="E411" s="518"/>
      <c r="F411" s="518"/>
      <c r="G411" s="518"/>
      <c r="H411" s="518"/>
      <c r="I411" s="518"/>
      <c r="J411" s="518"/>
      <c r="K411" s="518"/>
      <c r="L411" s="518"/>
      <c r="M411" s="518"/>
      <c r="N411" s="518"/>
      <c r="O411" s="518"/>
      <c r="P411" s="518"/>
      <c r="Q411" s="518"/>
      <c r="R411" s="518"/>
      <c r="S411" s="518"/>
      <c r="T411" s="518"/>
      <c r="U411" s="518"/>
      <c r="V411" s="518"/>
      <c r="W411" s="518"/>
      <c r="X411" s="518"/>
      <c r="Y411" s="518"/>
      <c r="Z411" s="518"/>
      <c r="AA411" s="518"/>
      <c r="AB411" s="518"/>
      <c r="AC411" s="518"/>
      <c r="AD411" s="518"/>
      <c r="AE411" s="518"/>
      <c r="AF411" s="518"/>
      <c r="AG411" s="518"/>
      <c r="AH411" s="518"/>
      <c r="AJ411" s="595" t="b">
        <f>AND(AJ$119,CH_MA_MFDRuralTotalRequested&gt;0)</f>
        <v>0</v>
      </c>
    </row>
    <row r="412" spans="1:36" hidden="1" x14ac:dyDescent="0.45">
      <c r="A412" s="518"/>
      <c r="B412" s="923" t="s">
        <v>87</v>
      </c>
      <c r="C412" s="923"/>
      <c r="D412" s="923"/>
      <c r="E412" s="923"/>
      <c r="F412" s="923"/>
      <c r="G412" s="923"/>
      <c r="H412" s="923"/>
      <c r="I412" s="923"/>
      <c r="J412" s="923"/>
      <c r="K412" s="923"/>
      <c r="L412" s="923"/>
      <c r="M412" s="923"/>
      <c r="N412" s="923"/>
      <c r="O412" s="923"/>
      <c r="P412" s="923"/>
      <c r="Q412" s="923"/>
      <c r="R412" s="923"/>
      <c r="S412" s="923"/>
      <c r="T412" s="923"/>
      <c r="U412" s="923"/>
      <c r="V412" s="923"/>
      <c r="W412" s="923"/>
      <c r="X412" s="923"/>
      <c r="Y412" s="923"/>
      <c r="Z412" s="923"/>
      <c r="AA412" s="923"/>
      <c r="AB412" s="923"/>
      <c r="AC412" s="923"/>
      <c r="AD412" s="923"/>
      <c r="AE412" s="923"/>
      <c r="AF412" s="923"/>
      <c r="AG412" s="923"/>
      <c r="AH412" s="518"/>
      <c r="AJ412" s="595"/>
    </row>
    <row r="413" spans="1:36" hidden="1" x14ac:dyDescent="0.45">
      <c r="A413" s="518"/>
      <c r="B413" s="924" t="s">
        <v>186</v>
      </c>
      <c r="C413" s="925"/>
      <c r="D413" s="925"/>
      <c r="E413" s="925"/>
      <c r="F413" s="925"/>
      <c r="G413" s="925"/>
      <c r="H413" s="925"/>
      <c r="I413" s="925"/>
      <c r="J413" s="925"/>
      <c r="K413" s="925"/>
      <c r="L413" s="925"/>
      <c r="M413" s="925"/>
      <c r="N413" s="925"/>
      <c r="O413" s="925"/>
      <c r="P413" s="925"/>
      <c r="Q413" s="925"/>
      <c r="R413" s="925"/>
      <c r="S413" s="925"/>
      <c r="T413" s="925"/>
      <c r="U413" s="925"/>
      <c r="V413" s="925"/>
      <c r="W413" s="925"/>
      <c r="X413" s="925"/>
      <c r="Y413" s="925"/>
      <c r="Z413" s="925"/>
      <c r="AA413" s="925"/>
      <c r="AB413" s="925"/>
      <c r="AC413" s="925"/>
      <c r="AD413" s="925"/>
      <c r="AE413" s="925"/>
      <c r="AF413" s="925"/>
      <c r="AG413" s="925"/>
      <c r="AH413" s="518"/>
      <c r="AJ413" s="595"/>
    </row>
    <row r="414" spans="1:36" hidden="1" x14ac:dyDescent="0.45">
      <c r="A414" s="518"/>
      <c r="B414" s="544" t="s">
        <v>1782</v>
      </c>
      <c r="C414" s="532"/>
      <c r="D414" s="532"/>
      <c r="E414" s="532"/>
      <c r="F414" s="532"/>
      <c r="G414" s="532"/>
      <c r="H414" s="532"/>
      <c r="I414" s="532"/>
      <c r="J414" s="532"/>
      <c r="K414" s="532"/>
      <c r="L414" s="532"/>
      <c r="M414" s="532"/>
      <c r="N414" s="532"/>
      <c r="O414" s="532"/>
      <c r="P414" s="532"/>
      <c r="Q414" s="532"/>
      <c r="R414" s="532"/>
      <c r="S414" s="532"/>
      <c r="T414" s="532"/>
      <c r="U414" s="532"/>
      <c r="V414" s="532"/>
      <c r="W414" s="532"/>
      <c r="X414" s="532"/>
      <c r="Y414" s="532"/>
      <c r="Z414" s="532"/>
      <c r="AA414" s="532"/>
      <c r="AB414" s="532"/>
      <c r="AC414" s="532"/>
      <c r="AD414" s="532"/>
      <c r="AE414" s="532"/>
      <c r="AF414" s="532"/>
      <c r="AG414" s="532"/>
      <c r="AH414" s="518"/>
      <c r="AJ414" s="595"/>
    </row>
    <row r="415" spans="1:36" hidden="1" x14ac:dyDescent="0.45">
      <c r="A415" s="518"/>
      <c r="B415" s="1083" t="s">
        <v>1856</v>
      </c>
      <c r="C415" s="1083"/>
      <c r="D415" s="1083"/>
      <c r="E415" s="1083"/>
      <c r="F415" s="1083"/>
      <c r="G415" s="1083"/>
      <c r="H415" s="1083"/>
      <c r="I415" s="1083"/>
      <c r="J415" s="1083"/>
      <c r="K415" s="1083"/>
      <c r="L415" s="1083"/>
      <c r="M415" s="1083"/>
      <c r="N415" s="1083"/>
      <c r="O415" s="1083"/>
      <c r="P415" s="1083"/>
      <c r="Q415" s="1083"/>
      <c r="R415" s="1083"/>
      <c r="S415" s="1083"/>
      <c r="T415" s="1083"/>
      <c r="U415" s="1083"/>
      <c r="V415" s="1083"/>
      <c r="W415" s="1083"/>
      <c r="X415" s="1083"/>
      <c r="Y415" s="1083"/>
      <c r="Z415" s="1083"/>
      <c r="AA415" s="1083"/>
      <c r="AB415" s="1083"/>
      <c r="AC415" s="1083"/>
      <c r="AD415" s="1083"/>
      <c r="AE415" s="1083"/>
      <c r="AF415" s="1083"/>
      <c r="AG415" s="1083"/>
      <c r="AH415" s="518"/>
      <c r="AJ415" s="595"/>
    </row>
    <row r="416" spans="1:36" hidden="1" x14ac:dyDescent="0.45">
      <c r="A416" s="518"/>
      <c r="B416" s="862" t="s">
        <v>108</v>
      </c>
      <c r="C416" s="863"/>
      <c r="D416" s="863"/>
      <c r="E416" s="863"/>
      <c r="F416" s="892"/>
      <c r="G416" s="862" t="s">
        <v>1462</v>
      </c>
      <c r="H416" s="892"/>
      <c r="I416" s="1249" t="s">
        <v>1485</v>
      </c>
      <c r="J416" s="1249" t="s">
        <v>1486</v>
      </c>
      <c r="K416" s="1182" t="s">
        <v>91</v>
      </c>
      <c r="L416" s="1059"/>
      <c r="M416" s="1251" t="s">
        <v>109</v>
      </c>
      <c r="N416" s="1251"/>
      <c r="O416" s="1251"/>
      <c r="P416" s="1251"/>
      <c r="Q416" s="862" t="s">
        <v>110</v>
      </c>
      <c r="R416" s="863"/>
      <c r="S416" s="863"/>
      <c r="T416" s="892"/>
      <c r="U416" s="862" t="s">
        <v>111</v>
      </c>
      <c r="V416" s="863"/>
      <c r="W416" s="863"/>
      <c r="X416" s="862" t="s">
        <v>112</v>
      </c>
      <c r="Y416" s="863"/>
      <c r="Z416" s="892"/>
      <c r="AA416" s="1182" t="s">
        <v>113</v>
      </c>
      <c r="AB416" s="1058"/>
      <c r="AC416" s="1058"/>
      <c r="AD416" s="1059"/>
      <c r="AE416" s="862" t="s">
        <v>114</v>
      </c>
      <c r="AF416" s="892"/>
      <c r="AG416" s="529"/>
      <c r="AH416" s="518"/>
      <c r="AJ416" s="595"/>
    </row>
    <row r="417" spans="1:36" hidden="1" x14ac:dyDescent="0.45">
      <c r="A417" s="518"/>
      <c r="B417" s="864"/>
      <c r="C417" s="865"/>
      <c r="D417" s="865"/>
      <c r="E417" s="865"/>
      <c r="F417" s="893"/>
      <c r="G417" s="864"/>
      <c r="H417" s="893"/>
      <c r="I417" s="1250"/>
      <c r="J417" s="1250"/>
      <c r="K417" s="1060"/>
      <c r="L417" s="1062"/>
      <c r="M417" s="1251"/>
      <c r="N417" s="1251"/>
      <c r="O417" s="1251"/>
      <c r="P417" s="1251"/>
      <c r="Q417" s="864"/>
      <c r="R417" s="865"/>
      <c r="S417" s="865"/>
      <c r="T417" s="893"/>
      <c r="U417" s="864"/>
      <c r="V417" s="865"/>
      <c r="W417" s="865"/>
      <c r="X417" s="864"/>
      <c r="Y417" s="865"/>
      <c r="Z417" s="893"/>
      <c r="AA417" s="1060"/>
      <c r="AB417" s="1061"/>
      <c r="AC417" s="1061"/>
      <c r="AD417" s="1062"/>
      <c r="AE417" s="864"/>
      <c r="AF417" s="893"/>
      <c r="AG417" s="529"/>
      <c r="AH417" s="518"/>
      <c r="AJ417" s="595"/>
    </row>
    <row r="418" spans="1:36" hidden="1" x14ac:dyDescent="0.45">
      <c r="A418" s="518"/>
      <c r="B418" s="514" t="s">
        <v>1405</v>
      </c>
      <c r="C418" s="515"/>
      <c r="D418" s="515"/>
      <c r="E418" s="515"/>
      <c r="F418" s="515"/>
      <c r="G418" s="886" t="str">
        <f>IF(CHMAData!W3=0,"",SUBSTITUTE(SUBSTITUTE(CHMAData!W3,"Acquired and Rehabilitated Housing","A/R"),"Newly Constructed Housing","N/C"))</f>
        <v/>
      </c>
      <c r="H418" s="887"/>
      <c r="I418" s="578" t="str">
        <f>IF(CHMAData!BP3=0,"",LEFT(CHMAData!BP3,1))</f>
        <v/>
      </c>
      <c r="J418" s="577" t="str">
        <f>IF(CHMAData!T3=0,"",LEFT(CHMAData!T3,1))</f>
        <v/>
      </c>
      <c r="K418" s="886" t="str">
        <f>IF(CHMAData!BE3=0,"",CHMAData!BE3)</f>
        <v/>
      </c>
      <c r="L418" s="887"/>
      <c r="M418" s="940" t="str">
        <f>IF(CHMAData!BF3=0,"",CHMAData!BF3)</f>
        <v/>
      </c>
      <c r="N418" s="940"/>
      <c r="O418" s="940"/>
      <c r="P418" s="940"/>
      <c r="Q418" s="868" t="str">
        <f>IF(CHMAData!BG3=0,"",CHMAData!BG3)</f>
        <v/>
      </c>
      <c r="R418" s="869"/>
      <c r="S418" s="869"/>
      <c r="T418" s="870"/>
      <c r="U418" s="868" t="str">
        <f>IF(CHMAData!BH3=0,"",CHMAData!BH3)</f>
        <v/>
      </c>
      <c r="V418" s="869"/>
      <c r="W418" s="870"/>
      <c r="X418" s="868" t="str">
        <f>IF(CHMAData!BI3=0,"",CHMAData!BI3)</f>
        <v/>
      </c>
      <c r="Y418" s="869"/>
      <c r="Z418" s="870"/>
      <c r="AA418" s="1300">
        <f>SUM(Q418:Z418)</f>
        <v>0</v>
      </c>
      <c r="AB418" s="1301"/>
      <c r="AC418" s="1301"/>
      <c r="AD418" s="1302"/>
      <c r="AE418" s="866" t="str">
        <f>IF(CHMAData!BK3=0,"",CHMAData!BK3)</f>
        <v/>
      </c>
      <c r="AF418" s="867"/>
      <c r="AG418" s="529"/>
      <c r="AH418" s="518"/>
      <c r="AJ418" s="595" t="b">
        <f>AND(AJ$411,AA418&gt;0)</f>
        <v>0</v>
      </c>
    </row>
    <row r="419" spans="1:36" hidden="1" x14ac:dyDescent="0.45">
      <c r="A419" s="518"/>
      <c r="B419" s="514" t="s">
        <v>1406</v>
      </c>
      <c r="C419" s="515"/>
      <c r="D419" s="515"/>
      <c r="E419" s="515"/>
      <c r="F419" s="515"/>
      <c r="G419" s="886" t="str">
        <f>IF(CHMAData!W4=0,"",SUBSTITUTE(SUBSTITUTE(CHMAData!W4,"Acquired and Rehabilitated Housing","A/R"),"Newly Constructed Housing","N/C"))</f>
        <v/>
      </c>
      <c r="H419" s="887"/>
      <c r="I419" s="578" t="str">
        <f>IF(CHMAData!BP4=0,"",LEFT(CHMAData!BP4,1))</f>
        <v/>
      </c>
      <c r="J419" s="577" t="str">
        <f>IF(CHMAData!T4=0,"",LEFT(CHMAData!T4,1))</f>
        <v/>
      </c>
      <c r="K419" s="886" t="str">
        <f>IF(CHMAData!BE4=0,"",CHMAData!BE4)</f>
        <v/>
      </c>
      <c r="L419" s="887"/>
      <c r="M419" s="940" t="str">
        <f>IF(CHMAData!BF4=0,"",CHMAData!BF4)</f>
        <v/>
      </c>
      <c r="N419" s="940"/>
      <c r="O419" s="940"/>
      <c r="P419" s="940"/>
      <c r="Q419" s="868" t="str">
        <f>IF(CHMAData!BG4=0,"",CHMAData!BG4)</f>
        <v/>
      </c>
      <c r="R419" s="869"/>
      <c r="S419" s="869"/>
      <c r="T419" s="870"/>
      <c r="U419" s="868" t="str">
        <f>IF(CHMAData!BH4=0,"",CHMAData!BH4)</f>
        <v/>
      </c>
      <c r="V419" s="869"/>
      <c r="W419" s="870"/>
      <c r="X419" s="868" t="str">
        <f>IF(CHMAData!BI4=0,"",CHMAData!BI4)</f>
        <v/>
      </c>
      <c r="Y419" s="869"/>
      <c r="Z419" s="870"/>
      <c r="AA419" s="1300">
        <f t="shared" ref="AA419:AA474" si="9">SUM(Q419:Z419)</f>
        <v>0</v>
      </c>
      <c r="AB419" s="1301"/>
      <c r="AC419" s="1301"/>
      <c r="AD419" s="1302"/>
      <c r="AE419" s="866" t="str">
        <f>IF(CHMAData!BK4=0,"",CHMAData!BK4)</f>
        <v/>
      </c>
      <c r="AF419" s="867"/>
      <c r="AG419" s="529"/>
      <c r="AH419" s="518"/>
      <c r="AJ419" s="595" t="b">
        <f t="shared" ref="AJ419:AJ475" si="10">AND(AJ$411,AA419&gt;0)</f>
        <v>0</v>
      </c>
    </row>
    <row r="420" spans="1:36" hidden="1" x14ac:dyDescent="0.45">
      <c r="A420" s="518"/>
      <c r="B420" s="514" t="s">
        <v>1407</v>
      </c>
      <c r="C420" s="515"/>
      <c r="D420" s="515"/>
      <c r="E420" s="515"/>
      <c r="F420" s="515"/>
      <c r="G420" s="886" t="str">
        <f>IF(CHMAData!W5=0,"",SUBSTITUTE(SUBSTITUTE(CHMAData!W5,"Acquired and Rehabilitated Housing","A/R"),"Newly Constructed Housing","N/C"))</f>
        <v/>
      </c>
      <c r="H420" s="887"/>
      <c r="I420" s="578" t="str">
        <f>IF(CHMAData!BP5=0,"",LEFT(CHMAData!BP5,1))</f>
        <v/>
      </c>
      <c r="J420" s="577" t="str">
        <f>IF(CHMAData!T5=0,"",LEFT(CHMAData!T5,1))</f>
        <v/>
      </c>
      <c r="K420" s="886" t="str">
        <f>IF(CHMAData!BE5=0,"",CHMAData!BE5)</f>
        <v/>
      </c>
      <c r="L420" s="887"/>
      <c r="M420" s="940" t="str">
        <f>IF(CHMAData!BF5=0,"",CHMAData!BF5)</f>
        <v/>
      </c>
      <c r="N420" s="940"/>
      <c r="O420" s="940"/>
      <c r="P420" s="940"/>
      <c r="Q420" s="868" t="str">
        <f>IF(CHMAData!BG5=0,"",CHMAData!BG5)</f>
        <v/>
      </c>
      <c r="R420" s="869"/>
      <c r="S420" s="869"/>
      <c r="T420" s="870"/>
      <c r="U420" s="868" t="str">
        <f>IF(CHMAData!BH5=0,"",CHMAData!BH5)</f>
        <v/>
      </c>
      <c r="V420" s="869"/>
      <c r="W420" s="870"/>
      <c r="X420" s="868" t="str">
        <f>IF(CHMAData!BI5=0,"",CHMAData!BI5)</f>
        <v/>
      </c>
      <c r="Y420" s="869"/>
      <c r="Z420" s="870"/>
      <c r="AA420" s="1300">
        <f t="shared" si="9"/>
        <v>0</v>
      </c>
      <c r="AB420" s="1301"/>
      <c r="AC420" s="1301"/>
      <c r="AD420" s="1302"/>
      <c r="AE420" s="866" t="str">
        <f>IF(CHMAData!BK5=0,"",CHMAData!BK5)</f>
        <v/>
      </c>
      <c r="AF420" s="867"/>
      <c r="AG420" s="529"/>
      <c r="AH420" s="518"/>
      <c r="AJ420" s="595" t="b">
        <f t="shared" si="10"/>
        <v>0</v>
      </c>
    </row>
    <row r="421" spans="1:36" hidden="1" x14ac:dyDescent="0.45">
      <c r="A421" s="518"/>
      <c r="B421" s="514" t="s">
        <v>1408</v>
      </c>
      <c r="C421" s="515"/>
      <c r="D421" s="515"/>
      <c r="E421" s="515"/>
      <c r="F421" s="515"/>
      <c r="G421" s="886" t="str">
        <f>IF(CHMAData!W6=0,"",SUBSTITUTE(SUBSTITUTE(CHMAData!W6,"Acquired and Rehabilitated Housing","A/R"),"Newly Constructed Housing","N/C"))</f>
        <v/>
      </c>
      <c r="H421" s="887"/>
      <c r="I421" s="578" t="str">
        <f>IF(CHMAData!BP6=0,"",LEFT(CHMAData!BP6,1))</f>
        <v/>
      </c>
      <c r="J421" s="577" t="str">
        <f>IF(CHMAData!T6=0,"",LEFT(CHMAData!T6,1))</f>
        <v/>
      </c>
      <c r="K421" s="886" t="str">
        <f>IF(CHMAData!BE6=0,"",CHMAData!BE6)</f>
        <v/>
      </c>
      <c r="L421" s="887"/>
      <c r="M421" s="940" t="str">
        <f>IF(CHMAData!BF6=0,"",CHMAData!BF6)</f>
        <v/>
      </c>
      <c r="N421" s="940"/>
      <c r="O421" s="940"/>
      <c r="P421" s="940"/>
      <c r="Q421" s="868" t="str">
        <f>IF(CHMAData!BG6=0,"",CHMAData!BG6)</f>
        <v/>
      </c>
      <c r="R421" s="869"/>
      <c r="S421" s="869"/>
      <c r="T421" s="870"/>
      <c r="U421" s="868" t="str">
        <f>IF(CHMAData!BH6=0,"",CHMAData!BH6)</f>
        <v/>
      </c>
      <c r="V421" s="869"/>
      <c r="W421" s="870"/>
      <c r="X421" s="868" t="str">
        <f>IF(CHMAData!BI6=0,"",CHMAData!BI6)</f>
        <v/>
      </c>
      <c r="Y421" s="869"/>
      <c r="Z421" s="870"/>
      <c r="AA421" s="1300">
        <f t="shared" si="9"/>
        <v>0</v>
      </c>
      <c r="AB421" s="1301"/>
      <c r="AC421" s="1301"/>
      <c r="AD421" s="1302"/>
      <c r="AE421" s="866" t="str">
        <f>IF(CHMAData!BK6=0,"",CHMAData!BK6)</f>
        <v/>
      </c>
      <c r="AF421" s="867"/>
      <c r="AG421" s="529"/>
      <c r="AH421" s="518"/>
      <c r="AJ421" s="595" t="b">
        <f t="shared" si="10"/>
        <v>0</v>
      </c>
    </row>
    <row r="422" spans="1:36" hidden="1" x14ac:dyDescent="0.45">
      <c r="A422" s="518"/>
      <c r="B422" s="514" t="s">
        <v>1409</v>
      </c>
      <c r="C422" s="515"/>
      <c r="D422" s="515"/>
      <c r="E422" s="515"/>
      <c r="F422" s="515"/>
      <c r="G422" s="886" t="str">
        <f>IF(CHMAData!W7=0,"",SUBSTITUTE(SUBSTITUTE(CHMAData!W7,"Acquired and Rehabilitated Housing","A/R"),"Newly Constructed Housing","N/C"))</f>
        <v/>
      </c>
      <c r="H422" s="887"/>
      <c r="I422" s="578" t="str">
        <f>IF(CHMAData!BP7=0,"",LEFT(CHMAData!BP7,1))</f>
        <v/>
      </c>
      <c r="J422" s="577" t="str">
        <f>IF(CHMAData!T7=0,"",LEFT(CHMAData!T7,1))</f>
        <v/>
      </c>
      <c r="K422" s="886" t="str">
        <f>IF(CHMAData!BE7=0,"",CHMAData!BE7)</f>
        <v/>
      </c>
      <c r="L422" s="887"/>
      <c r="M422" s="940" t="str">
        <f>IF(CHMAData!BF7=0,"",CHMAData!BF7)</f>
        <v/>
      </c>
      <c r="N422" s="940"/>
      <c r="O422" s="940"/>
      <c r="P422" s="940"/>
      <c r="Q422" s="868" t="str">
        <f>IF(CHMAData!BG7=0,"",CHMAData!BG7)</f>
        <v/>
      </c>
      <c r="R422" s="869"/>
      <c r="S422" s="869"/>
      <c r="T422" s="870"/>
      <c r="U422" s="868" t="str">
        <f>IF(CHMAData!BH7=0,"",CHMAData!BH7)</f>
        <v/>
      </c>
      <c r="V422" s="869"/>
      <c r="W422" s="870"/>
      <c r="X422" s="868" t="str">
        <f>IF(CHMAData!BI7=0,"",CHMAData!BI7)</f>
        <v/>
      </c>
      <c r="Y422" s="869"/>
      <c r="Z422" s="870"/>
      <c r="AA422" s="1300">
        <f t="shared" si="9"/>
        <v>0</v>
      </c>
      <c r="AB422" s="1301"/>
      <c r="AC422" s="1301"/>
      <c r="AD422" s="1302"/>
      <c r="AE422" s="866" t="str">
        <f>IF(CHMAData!BK7=0,"",CHMAData!BK7)</f>
        <v/>
      </c>
      <c r="AF422" s="867"/>
      <c r="AG422" s="529"/>
      <c r="AH422" s="518"/>
      <c r="AJ422" s="595" t="b">
        <f t="shared" si="10"/>
        <v>0</v>
      </c>
    </row>
    <row r="423" spans="1:36" hidden="1" x14ac:dyDescent="0.45">
      <c r="A423" s="518"/>
      <c r="B423" s="514" t="s">
        <v>1410</v>
      </c>
      <c r="C423" s="515"/>
      <c r="D423" s="515"/>
      <c r="E423" s="515"/>
      <c r="F423" s="515"/>
      <c r="G423" s="886" t="str">
        <f>IF(CHMAData!W8=0,"",SUBSTITUTE(SUBSTITUTE(CHMAData!W8,"Acquired and Rehabilitated Housing","A/R"),"Newly Constructed Housing","N/C"))</f>
        <v/>
      </c>
      <c r="H423" s="887"/>
      <c r="I423" s="578" t="str">
        <f>IF(CHMAData!BP8=0,"",LEFT(CHMAData!BP8,1))</f>
        <v/>
      </c>
      <c r="J423" s="577" t="str">
        <f>IF(CHMAData!T8=0,"",LEFT(CHMAData!T8,1))</f>
        <v/>
      </c>
      <c r="K423" s="886" t="str">
        <f>IF(CHMAData!BE8=0,"",CHMAData!BE8)</f>
        <v/>
      </c>
      <c r="L423" s="887"/>
      <c r="M423" s="940" t="str">
        <f>IF(CHMAData!BF8=0,"",CHMAData!BF8)</f>
        <v/>
      </c>
      <c r="N423" s="940"/>
      <c r="O423" s="940"/>
      <c r="P423" s="940"/>
      <c r="Q423" s="868" t="str">
        <f>IF(CHMAData!BG8=0,"",CHMAData!BG8)</f>
        <v/>
      </c>
      <c r="R423" s="869"/>
      <c r="S423" s="869"/>
      <c r="T423" s="870"/>
      <c r="U423" s="868" t="str">
        <f>IF(CHMAData!BH8=0,"",CHMAData!BH8)</f>
        <v/>
      </c>
      <c r="V423" s="869"/>
      <c r="W423" s="870"/>
      <c r="X423" s="868" t="str">
        <f>IF(CHMAData!BI8=0,"",CHMAData!BI8)</f>
        <v/>
      </c>
      <c r="Y423" s="869"/>
      <c r="Z423" s="870"/>
      <c r="AA423" s="1300">
        <f t="shared" si="9"/>
        <v>0</v>
      </c>
      <c r="AB423" s="1301"/>
      <c r="AC423" s="1301"/>
      <c r="AD423" s="1302"/>
      <c r="AE423" s="866" t="str">
        <f>IF(CHMAData!BK8=0,"",CHMAData!BK8)</f>
        <v/>
      </c>
      <c r="AF423" s="867"/>
      <c r="AG423" s="529"/>
      <c r="AH423" s="518"/>
      <c r="AJ423" s="595" t="b">
        <f t="shared" si="10"/>
        <v>0</v>
      </c>
    </row>
    <row r="424" spans="1:36" hidden="1" x14ac:dyDescent="0.45">
      <c r="A424" s="518"/>
      <c r="B424" s="514" t="s">
        <v>1411</v>
      </c>
      <c r="C424" s="515"/>
      <c r="D424" s="515"/>
      <c r="E424" s="515"/>
      <c r="F424" s="515"/>
      <c r="G424" s="886" t="str">
        <f>IF(CHMAData!W9=0,"",SUBSTITUTE(SUBSTITUTE(CHMAData!W9,"Acquired and Rehabilitated Housing","A/R"),"Newly Constructed Housing","N/C"))</f>
        <v/>
      </c>
      <c r="H424" s="887"/>
      <c r="I424" s="578" t="str">
        <f>IF(CHMAData!BP9=0,"",LEFT(CHMAData!BP9,1))</f>
        <v/>
      </c>
      <c r="J424" s="577" t="str">
        <f>IF(CHMAData!T9=0,"",LEFT(CHMAData!T9,1))</f>
        <v/>
      </c>
      <c r="K424" s="886" t="str">
        <f>IF(CHMAData!BE9=0,"",CHMAData!BE9)</f>
        <v/>
      </c>
      <c r="L424" s="887"/>
      <c r="M424" s="940" t="str">
        <f>IF(CHMAData!BF9=0,"",CHMAData!BF9)</f>
        <v/>
      </c>
      <c r="N424" s="940"/>
      <c r="O424" s="940"/>
      <c r="P424" s="940"/>
      <c r="Q424" s="868" t="str">
        <f>IF(CHMAData!BG9=0,"",CHMAData!BG9)</f>
        <v/>
      </c>
      <c r="R424" s="869"/>
      <c r="S424" s="869"/>
      <c r="T424" s="870"/>
      <c r="U424" s="868" t="str">
        <f>IF(CHMAData!BH9=0,"",CHMAData!BH9)</f>
        <v/>
      </c>
      <c r="V424" s="869"/>
      <c r="W424" s="870"/>
      <c r="X424" s="868" t="str">
        <f>IF(CHMAData!BI9=0,"",CHMAData!BI9)</f>
        <v/>
      </c>
      <c r="Y424" s="869"/>
      <c r="Z424" s="870"/>
      <c r="AA424" s="1300">
        <f t="shared" si="9"/>
        <v>0</v>
      </c>
      <c r="AB424" s="1301"/>
      <c r="AC424" s="1301"/>
      <c r="AD424" s="1302"/>
      <c r="AE424" s="866" t="str">
        <f>IF(CHMAData!BK9=0,"",CHMAData!BK9)</f>
        <v/>
      </c>
      <c r="AF424" s="867"/>
      <c r="AG424" s="529"/>
      <c r="AH424" s="518"/>
      <c r="AJ424" s="595" t="b">
        <f t="shared" si="10"/>
        <v>0</v>
      </c>
    </row>
    <row r="425" spans="1:36" hidden="1" x14ac:dyDescent="0.45">
      <c r="A425" s="518"/>
      <c r="B425" s="514" t="s">
        <v>1412</v>
      </c>
      <c r="C425" s="515"/>
      <c r="D425" s="515"/>
      <c r="E425" s="515"/>
      <c r="F425" s="515"/>
      <c r="G425" s="886" t="str">
        <f>IF(CHMAData!W10=0,"",SUBSTITUTE(SUBSTITUTE(CHMAData!W10,"Acquired and Rehabilitated Housing","A/R"),"Newly Constructed Housing","N/C"))</f>
        <v/>
      </c>
      <c r="H425" s="887"/>
      <c r="I425" s="578" t="str">
        <f>IF(CHMAData!BP10=0,"",LEFT(CHMAData!BP10,1))</f>
        <v/>
      </c>
      <c r="J425" s="577" t="str">
        <f>IF(CHMAData!T10=0,"",LEFT(CHMAData!T10,1))</f>
        <v/>
      </c>
      <c r="K425" s="886" t="str">
        <f>IF(CHMAData!BE10=0,"",CHMAData!BE10)</f>
        <v/>
      </c>
      <c r="L425" s="887"/>
      <c r="M425" s="940" t="str">
        <f>IF(CHMAData!BF10=0,"",CHMAData!BF10)</f>
        <v/>
      </c>
      <c r="N425" s="940"/>
      <c r="O425" s="940"/>
      <c r="P425" s="940"/>
      <c r="Q425" s="868" t="str">
        <f>IF(CHMAData!BG10=0,"",CHMAData!BG10)</f>
        <v/>
      </c>
      <c r="R425" s="869"/>
      <c r="S425" s="869"/>
      <c r="T425" s="870"/>
      <c r="U425" s="868" t="str">
        <f>IF(CHMAData!BH10=0,"",CHMAData!BH10)</f>
        <v/>
      </c>
      <c r="V425" s="869"/>
      <c r="W425" s="870"/>
      <c r="X425" s="868" t="str">
        <f>IF(CHMAData!BI10=0,"",CHMAData!BI10)</f>
        <v/>
      </c>
      <c r="Y425" s="869"/>
      <c r="Z425" s="870"/>
      <c r="AA425" s="1300">
        <f t="shared" si="9"/>
        <v>0</v>
      </c>
      <c r="AB425" s="1301"/>
      <c r="AC425" s="1301"/>
      <c r="AD425" s="1302"/>
      <c r="AE425" s="866" t="str">
        <f>IF(CHMAData!BK10=0,"",CHMAData!BK10)</f>
        <v/>
      </c>
      <c r="AF425" s="867"/>
      <c r="AG425" s="529"/>
      <c r="AH425" s="518"/>
      <c r="AJ425" s="595" t="b">
        <f t="shared" si="10"/>
        <v>0</v>
      </c>
    </row>
    <row r="426" spans="1:36" hidden="1" x14ac:dyDescent="0.45">
      <c r="A426" s="518"/>
      <c r="B426" s="514" t="s">
        <v>1413</v>
      </c>
      <c r="C426" s="515"/>
      <c r="D426" s="515"/>
      <c r="E426" s="515"/>
      <c r="F426" s="515"/>
      <c r="G426" s="886" t="str">
        <f>IF(CHMAData!W11=0,"",SUBSTITUTE(SUBSTITUTE(CHMAData!W11,"Acquired and Rehabilitated Housing","A/R"),"Newly Constructed Housing","N/C"))</f>
        <v/>
      </c>
      <c r="H426" s="887"/>
      <c r="I426" s="578" t="str">
        <f>IF(CHMAData!BP11=0,"",LEFT(CHMAData!BP11,1))</f>
        <v/>
      </c>
      <c r="J426" s="577" t="str">
        <f>IF(CHMAData!T11=0,"",LEFT(CHMAData!T11,1))</f>
        <v/>
      </c>
      <c r="K426" s="886" t="str">
        <f>IF(CHMAData!BE11=0,"",CHMAData!BE11)</f>
        <v/>
      </c>
      <c r="L426" s="887"/>
      <c r="M426" s="940" t="str">
        <f>IF(CHMAData!BF11=0,"",CHMAData!BF11)</f>
        <v/>
      </c>
      <c r="N426" s="940"/>
      <c r="O426" s="940"/>
      <c r="P426" s="940"/>
      <c r="Q426" s="868" t="str">
        <f>IF(CHMAData!BG11=0,"",CHMAData!BG11)</f>
        <v/>
      </c>
      <c r="R426" s="869"/>
      <c r="S426" s="869"/>
      <c r="T426" s="870"/>
      <c r="U426" s="868" t="str">
        <f>IF(CHMAData!BH11=0,"",CHMAData!BH11)</f>
        <v/>
      </c>
      <c r="V426" s="869"/>
      <c r="W426" s="870"/>
      <c r="X426" s="868" t="str">
        <f>IF(CHMAData!BI11=0,"",CHMAData!BI11)</f>
        <v/>
      </c>
      <c r="Y426" s="869"/>
      <c r="Z426" s="870"/>
      <c r="AA426" s="1300">
        <f t="shared" si="9"/>
        <v>0</v>
      </c>
      <c r="AB426" s="1301"/>
      <c r="AC426" s="1301"/>
      <c r="AD426" s="1302"/>
      <c r="AE426" s="866" t="str">
        <f>IF(CHMAData!BK11=0,"",CHMAData!BK11)</f>
        <v/>
      </c>
      <c r="AF426" s="867"/>
      <c r="AG426" s="529"/>
      <c r="AH426" s="518"/>
      <c r="AJ426" s="595" t="b">
        <f t="shared" si="10"/>
        <v>0</v>
      </c>
    </row>
    <row r="427" spans="1:36" hidden="1" x14ac:dyDescent="0.45">
      <c r="A427" s="518"/>
      <c r="B427" s="514" t="s">
        <v>1414</v>
      </c>
      <c r="C427" s="515"/>
      <c r="D427" s="515"/>
      <c r="E427" s="515"/>
      <c r="F427" s="515"/>
      <c r="G427" s="886" t="str">
        <f>IF(CHMAData!W12=0,"",SUBSTITUTE(SUBSTITUTE(CHMAData!W12,"Acquired and Rehabilitated Housing","A/R"),"Newly Constructed Housing","N/C"))</f>
        <v/>
      </c>
      <c r="H427" s="887"/>
      <c r="I427" s="578" t="str">
        <f>IF(CHMAData!BP12=0,"",LEFT(CHMAData!BP12,1))</f>
        <v/>
      </c>
      <c r="J427" s="577" t="str">
        <f>IF(CHMAData!T12=0,"",LEFT(CHMAData!T12,1))</f>
        <v/>
      </c>
      <c r="K427" s="886" t="str">
        <f>IF(CHMAData!BE12=0,"",CHMAData!BE12)</f>
        <v/>
      </c>
      <c r="L427" s="887"/>
      <c r="M427" s="940" t="str">
        <f>IF(CHMAData!BF12=0,"",CHMAData!BF12)</f>
        <v/>
      </c>
      <c r="N427" s="940"/>
      <c r="O427" s="940"/>
      <c r="P427" s="940"/>
      <c r="Q427" s="868" t="str">
        <f>IF(CHMAData!BG12=0,"",CHMAData!BG12)</f>
        <v/>
      </c>
      <c r="R427" s="869"/>
      <c r="S427" s="869"/>
      <c r="T427" s="870"/>
      <c r="U427" s="868" t="str">
        <f>IF(CHMAData!BH12=0,"",CHMAData!BH12)</f>
        <v/>
      </c>
      <c r="V427" s="869"/>
      <c r="W427" s="870"/>
      <c r="X427" s="868" t="str">
        <f>IF(CHMAData!BI12=0,"",CHMAData!BI12)</f>
        <v/>
      </c>
      <c r="Y427" s="869"/>
      <c r="Z427" s="870"/>
      <c r="AA427" s="1300">
        <f t="shared" si="9"/>
        <v>0</v>
      </c>
      <c r="AB427" s="1301"/>
      <c r="AC427" s="1301"/>
      <c r="AD427" s="1302"/>
      <c r="AE427" s="866" t="str">
        <f>IF(CHMAData!BK12=0,"",CHMAData!BK12)</f>
        <v/>
      </c>
      <c r="AF427" s="867"/>
      <c r="AG427" s="529"/>
      <c r="AH427" s="518"/>
      <c r="AJ427" s="595" t="b">
        <f t="shared" si="10"/>
        <v>0</v>
      </c>
    </row>
    <row r="428" spans="1:36" hidden="1" x14ac:dyDescent="0.45">
      <c r="A428" s="518"/>
      <c r="B428" s="514" t="s">
        <v>1415</v>
      </c>
      <c r="C428" s="515"/>
      <c r="D428" s="515"/>
      <c r="E428" s="515"/>
      <c r="F428" s="515"/>
      <c r="G428" s="886" t="str">
        <f>IF(CHMAData!W13=0,"",SUBSTITUTE(SUBSTITUTE(CHMAData!W13,"Acquired and Rehabilitated Housing","A/R"),"Newly Constructed Housing","N/C"))</f>
        <v/>
      </c>
      <c r="H428" s="887"/>
      <c r="I428" s="578" t="str">
        <f>IF(CHMAData!BP13=0,"",LEFT(CHMAData!BP13,1))</f>
        <v/>
      </c>
      <c r="J428" s="577" t="str">
        <f>IF(CHMAData!T13=0,"",LEFT(CHMAData!T13,1))</f>
        <v/>
      </c>
      <c r="K428" s="886" t="str">
        <f>IF(CHMAData!BE13=0,"",CHMAData!BE13)</f>
        <v/>
      </c>
      <c r="L428" s="887"/>
      <c r="M428" s="940" t="str">
        <f>IF(CHMAData!BF13=0,"",CHMAData!BF13)</f>
        <v/>
      </c>
      <c r="N428" s="940"/>
      <c r="O428" s="940"/>
      <c r="P428" s="940"/>
      <c r="Q428" s="868" t="str">
        <f>IF(CHMAData!BG13=0,"",CHMAData!BG13)</f>
        <v/>
      </c>
      <c r="R428" s="869"/>
      <c r="S428" s="869"/>
      <c r="T428" s="870"/>
      <c r="U428" s="868" t="str">
        <f>IF(CHMAData!BH13=0,"",CHMAData!BH13)</f>
        <v/>
      </c>
      <c r="V428" s="869"/>
      <c r="W428" s="870"/>
      <c r="X428" s="868" t="str">
        <f>IF(CHMAData!BI13=0,"",CHMAData!BI13)</f>
        <v/>
      </c>
      <c r="Y428" s="869"/>
      <c r="Z428" s="870"/>
      <c r="AA428" s="1300">
        <f t="shared" si="9"/>
        <v>0</v>
      </c>
      <c r="AB428" s="1301"/>
      <c r="AC428" s="1301"/>
      <c r="AD428" s="1302"/>
      <c r="AE428" s="866" t="str">
        <f>IF(CHMAData!BK13=0,"",CHMAData!BK13)</f>
        <v/>
      </c>
      <c r="AF428" s="867"/>
      <c r="AG428" s="529"/>
      <c r="AH428" s="518"/>
      <c r="AJ428" s="595" t="b">
        <f t="shared" si="10"/>
        <v>0</v>
      </c>
    </row>
    <row r="429" spans="1:36" hidden="1" x14ac:dyDescent="0.45">
      <c r="A429" s="518"/>
      <c r="B429" s="514" t="s">
        <v>1416</v>
      </c>
      <c r="C429" s="515"/>
      <c r="D429" s="515"/>
      <c r="E429" s="515"/>
      <c r="F429" s="515"/>
      <c r="G429" s="886" t="str">
        <f>IF(CHMAData!W14=0,"",SUBSTITUTE(SUBSTITUTE(CHMAData!W14,"Acquired and Rehabilitated Housing","A/R"),"Newly Constructed Housing","N/C"))</f>
        <v/>
      </c>
      <c r="H429" s="887"/>
      <c r="I429" s="578" t="str">
        <f>IF(CHMAData!BP14=0,"",LEFT(CHMAData!BP14,1))</f>
        <v/>
      </c>
      <c r="J429" s="577" t="str">
        <f>IF(CHMAData!T14=0,"",LEFT(CHMAData!T14,1))</f>
        <v/>
      </c>
      <c r="K429" s="886" t="str">
        <f>IF(CHMAData!BE14=0,"",CHMAData!BE14)</f>
        <v/>
      </c>
      <c r="L429" s="887"/>
      <c r="M429" s="940" t="str">
        <f>IF(CHMAData!BF14=0,"",CHMAData!BF14)</f>
        <v/>
      </c>
      <c r="N429" s="940"/>
      <c r="O429" s="940"/>
      <c r="P429" s="940"/>
      <c r="Q429" s="868" t="str">
        <f>IF(CHMAData!BG14=0,"",CHMAData!BG14)</f>
        <v/>
      </c>
      <c r="R429" s="869"/>
      <c r="S429" s="869"/>
      <c r="T429" s="870"/>
      <c r="U429" s="868" t="str">
        <f>IF(CHMAData!BH14=0,"",CHMAData!BH14)</f>
        <v/>
      </c>
      <c r="V429" s="869"/>
      <c r="W429" s="870"/>
      <c r="X429" s="868" t="str">
        <f>IF(CHMAData!BI14=0,"",CHMAData!BI14)</f>
        <v/>
      </c>
      <c r="Y429" s="869"/>
      <c r="Z429" s="870"/>
      <c r="AA429" s="1300">
        <f t="shared" si="9"/>
        <v>0</v>
      </c>
      <c r="AB429" s="1301"/>
      <c r="AC429" s="1301"/>
      <c r="AD429" s="1302"/>
      <c r="AE429" s="866" t="str">
        <f>IF(CHMAData!BK14=0,"",CHMAData!BK14)</f>
        <v/>
      </c>
      <c r="AF429" s="867"/>
      <c r="AG429" s="529"/>
      <c r="AH429" s="518"/>
      <c r="AJ429" s="595" t="b">
        <f t="shared" si="10"/>
        <v>0</v>
      </c>
    </row>
    <row r="430" spans="1:36" hidden="1" x14ac:dyDescent="0.45">
      <c r="A430" s="518"/>
      <c r="B430" s="514" t="s">
        <v>1417</v>
      </c>
      <c r="C430" s="515"/>
      <c r="D430" s="515"/>
      <c r="E430" s="515"/>
      <c r="F430" s="515"/>
      <c r="G430" s="886" t="str">
        <f>IF(CHMAData!W15=0,"",SUBSTITUTE(SUBSTITUTE(CHMAData!W15,"Acquired and Rehabilitated Housing","A/R"),"Newly Constructed Housing","N/C"))</f>
        <v/>
      </c>
      <c r="H430" s="887"/>
      <c r="I430" s="578" t="str">
        <f>IF(CHMAData!BP15=0,"",LEFT(CHMAData!BP15,1))</f>
        <v/>
      </c>
      <c r="J430" s="577" t="str">
        <f>IF(CHMAData!T15=0,"",LEFT(CHMAData!T15,1))</f>
        <v/>
      </c>
      <c r="K430" s="886" t="str">
        <f>IF(CHMAData!BE15=0,"",CHMAData!BE15)</f>
        <v/>
      </c>
      <c r="L430" s="887"/>
      <c r="M430" s="940" t="str">
        <f>IF(CHMAData!BF15=0,"",CHMAData!BF15)</f>
        <v/>
      </c>
      <c r="N430" s="940"/>
      <c r="O430" s="940"/>
      <c r="P430" s="940"/>
      <c r="Q430" s="868" t="str">
        <f>IF(CHMAData!BG15=0,"",CHMAData!BG15)</f>
        <v/>
      </c>
      <c r="R430" s="869"/>
      <c r="S430" s="869"/>
      <c r="T430" s="870"/>
      <c r="U430" s="868" t="str">
        <f>IF(CHMAData!BH15=0,"",CHMAData!BH15)</f>
        <v/>
      </c>
      <c r="V430" s="869"/>
      <c r="W430" s="870"/>
      <c r="X430" s="868" t="str">
        <f>IF(CHMAData!BI15=0,"",CHMAData!BI15)</f>
        <v/>
      </c>
      <c r="Y430" s="869"/>
      <c r="Z430" s="870"/>
      <c r="AA430" s="1300">
        <f t="shared" si="9"/>
        <v>0</v>
      </c>
      <c r="AB430" s="1301"/>
      <c r="AC430" s="1301"/>
      <c r="AD430" s="1302"/>
      <c r="AE430" s="866" t="str">
        <f>IF(CHMAData!BK15=0,"",CHMAData!BK15)</f>
        <v/>
      </c>
      <c r="AF430" s="867"/>
      <c r="AG430" s="529"/>
      <c r="AH430" s="518"/>
      <c r="AJ430" s="595" t="b">
        <f t="shared" si="10"/>
        <v>0</v>
      </c>
    </row>
    <row r="431" spans="1:36" hidden="1" x14ac:dyDescent="0.45">
      <c r="A431" s="518"/>
      <c r="B431" s="514" t="s">
        <v>1418</v>
      </c>
      <c r="C431" s="515"/>
      <c r="D431" s="515"/>
      <c r="E431" s="515"/>
      <c r="F431" s="515"/>
      <c r="G431" s="886" t="str">
        <f>IF(CHMAData!W16=0,"",SUBSTITUTE(SUBSTITUTE(CHMAData!W16,"Acquired and Rehabilitated Housing","A/R"),"Newly Constructed Housing","N/C"))</f>
        <v/>
      </c>
      <c r="H431" s="887"/>
      <c r="I431" s="578" t="str">
        <f>IF(CHMAData!BP16=0,"",LEFT(CHMAData!BP16,1))</f>
        <v/>
      </c>
      <c r="J431" s="577" t="str">
        <f>IF(CHMAData!T16=0,"",LEFT(CHMAData!T16,1))</f>
        <v/>
      </c>
      <c r="K431" s="886" t="str">
        <f>IF(CHMAData!BE16=0,"",CHMAData!BE16)</f>
        <v/>
      </c>
      <c r="L431" s="887"/>
      <c r="M431" s="940" t="str">
        <f>IF(CHMAData!BF16=0,"",CHMAData!BF16)</f>
        <v/>
      </c>
      <c r="N431" s="940"/>
      <c r="O431" s="940"/>
      <c r="P431" s="940"/>
      <c r="Q431" s="868" t="str">
        <f>IF(CHMAData!BG16=0,"",CHMAData!BG16)</f>
        <v/>
      </c>
      <c r="R431" s="869"/>
      <c r="S431" s="869"/>
      <c r="T431" s="870"/>
      <c r="U431" s="868" t="str">
        <f>IF(CHMAData!BH16=0,"",CHMAData!BH16)</f>
        <v/>
      </c>
      <c r="V431" s="869"/>
      <c r="W431" s="870"/>
      <c r="X431" s="868" t="str">
        <f>IF(CHMAData!BI16=0,"",CHMAData!BI16)</f>
        <v/>
      </c>
      <c r="Y431" s="869"/>
      <c r="Z431" s="870"/>
      <c r="AA431" s="1300">
        <f t="shared" si="9"/>
        <v>0</v>
      </c>
      <c r="AB431" s="1301"/>
      <c r="AC431" s="1301"/>
      <c r="AD431" s="1302"/>
      <c r="AE431" s="866" t="str">
        <f>IF(CHMAData!BK16=0,"",CHMAData!BK16)</f>
        <v/>
      </c>
      <c r="AF431" s="867"/>
      <c r="AG431" s="529"/>
      <c r="AH431" s="518"/>
      <c r="AJ431" s="595" t="b">
        <f t="shared" si="10"/>
        <v>0</v>
      </c>
    </row>
    <row r="432" spans="1:36" hidden="1" x14ac:dyDescent="0.45">
      <c r="A432" s="518"/>
      <c r="B432" s="514" t="s">
        <v>1419</v>
      </c>
      <c r="C432" s="515"/>
      <c r="D432" s="515"/>
      <c r="E432" s="515"/>
      <c r="F432" s="515"/>
      <c r="G432" s="886" t="str">
        <f>IF(CHMAData!W17=0,"",SUBSTITUTE(SUBSTITUTE(CHMAData!W17,"Acquired and Rehabilitated Housing","A/R"),"Newly Constructed Housing","N/C"))</f>
        <v/>
      </c>
      <c r="H432" s="887"/>
      <c r="I432" s="578" t="str">
        <f>IF(CHMAData!BP17=0,"",LEFT(CHMAData!BP17,1))</f>
        <v/>
      </c>
      <c r="J432" s="577" t="str">
        <f>IF(CHMAData!T17=0,"",LEFT(CHMAData!T17,1))</f>
        <v/>
      </c>
      <c r="K432" s="886" t="str">
        <f>IF(CHMAData!BE17=0,"",CHMAData!BE17)</f>
        <v/>
      </c>
      <c r="L432" s="887"/>
      <c r="M432" s="940" t="str">
        <f>IF(CHMAData!BF17=0,"",CHMAData!BF17)</f>
        <v/>
      </c>
      <c r="N432" s="940"/>
      <c r="O432" s="940"/>
      <c r="P432" s="940"/>
      <c r="Q432" s="868" t="str">
        <f>IF(CHMAData!BG17=0,"",CHMAData!BG17)</f>
        <v/>
      </c>
      <c r="R432" s="869"/>
      <c r="S432" s="869"/>
      <c r="T432" s="870"/>
      <c r="U432" s="868" t="str">
        <f>IF(CHMAData!BH17=0,"",CHMAData!BH17)</f>
        <v/>
      </c>
      <c r="V432" s="869"/>
      <c r="W432" s="870"/>
      <c r="X432" s="868" t="str">
        <f>IF(CHMAData!BI17=0,"",CHMAData!BI17)</f>
        <v/>
      </c>
      <c r="Y432" s="869"/>
      <c r="Z432" s="870"/>
      <c r="AA432" s="1300">
        <f t="shared" si="9"/>
        <v>0</v>
      </c>
      <c r="AB432" s="1301"/>
      <c r="AC432" s="1301"/>
      <c r="AD432" s="1302"/>
      <c r="AE432" s="866" t="str">
        <f>IF(CHMAData!BK17=0,"",CHMAData!BK17)</f>
        <v/>
      </c>
      <c r="AF432" s="867"/>
      <c r="AG432" s="529"/>
      <c r="AH432" s="518"/>
      <c r="AJ432" s="595" t="b">
        <f t="shared" si="10"/>
        <v>0</v>
      </c>
    </row>
    <row r="433" spans="1:36" hidden="1" x14ac:dyDescent="0.45">
      <c r="A433" s="518"/>
      <c r="B433" s="514" t="s">
        <v>1420</v>
      </c>
      <c r="C433" s="515"/>
      <c r="D433" s="515"/>
      <c r="E433" s="515"/>
      <c r="F433" s="515"/>
      <c r="G433" s="886" t="str">
        <f>IF(CHMAData!W18=0,"",SUBSTITUTE(SUBSTITUTE(CHMAData!W18,"Acquired and Rehabilitated Housing","A/R"),"Newly Constructed Housing","N/C"))</f>
        <v/>
      </c>
      <c r="H433" s="887"/>
      <c r="I433" s="578" t="str">
        <f>IF(CHMAData!BP18=0,"",LEFT(CHMAData!BP18,1))</f>
        <v/>
      </c>
      <c r="J433" s="577" t="str">
        <f>IF(CHMAData!T18=0,"",LEFT(CHMAData!T18,1))</f>
        <v/>
      </c>
      <c r="K433" s="886" t="str">
        <f>IF(CHMAData!BE18=0,"",CHMAData!BE18)</f>
        <v/>
      </c>
      <c r="L433" s="887"/>
      <c r="M433" s="940" t="str">
        <f>IF(CHMAData!BF18=0,"",CHMAData!BF18)</f>
        <v/>
      </c>
      <c r="N433" s="940"/>
      <c r="O433" s="940"/>
      <c r="P433" s="940"/>
      <c r="Q433" s="868" t="str">
        <f>IF(CHMAData!BG18=0,"",CHMAData!BG18)</f>
        <v/>
      </c>
      <c r="R433" s="869"/>
      <c r="S433" s="869"/>
      <c r="T433" s="870"/>
      <c r="U433" s="868" t="str">
        <f>IF(CHMAData!BH18=0,"",CHMAData!BH18)</f>
        <v/>
      </c>
      <c r="V433" s="869"/>
      <c r="W433" s="870"/>
      <c r="X433" s="868" t="str">
        <f>IF(CHMAData!BI18=0,"",CHMAData!BI18)</f>
        <v/>
      </c>
      <c r="Y433" s="869"/>
      <c r="Z433" s="870"/>
      <c r="AA433" s="1300">
        <f t="shared" si="9"/>
        <v>0</v>
      </c>
      <c r="AB433" s="1301"/>
      <c r="AC433" s="1301"/>
      <c r="AD433" s="1302"/>
      <c r="AE433" s="866" t="str">
        <f>IF(CHMAData!BK18=0,"",CHMAData!BK18)</f>
        <v/>
      </c>
      <c r="AF433" s="867"/>
      <c r="AG433" s="529"/>
      <c r="AH433" s="518"/>
      <c r="AJ433" s="595" t="b">
        <f t="shared" si="10"/>
        <v>0</v>
      </c>
    </row>
    <row r="434" spans="1:36" hidden="1" x14ac:dyDescent="0.45">
      <c r="A434" s="518"/>
      <c r="B434" s="514" t="s">
        <v>1421</v>
      </c>
      <c r="C434" s="515"/>
      <c r="D434" s="515"/>
      <c r="E434" s="515"/>
      <c r="F434" s="515"/>
      <c r="G434" s="886" t="str">
        <f>IF(CHMAData!W19=0,"",SUBSTITUTE(SUBSTITUTE(CHMAData!W19,"Acquired and Rehabilitated Housing","A/R"),"Newly Constructed Housing","N/C"))</f>
        <v/>
      </c>
      <c r="H434" s="887"/>
      <c r="I434" s="578" t="str">
        <f>IF(CHMAData!BP19=0,"",LEFT(CHMAData!BP19,1))</f>
        <v/>
      </c>
      <c r="J434" s="577" t="str">
        <f>IF(CHMAData!T19=0,"",LEFT(CHMAData!T19,1))</f>
        <v/>
      </c>
      <c r="K434" s="886" t="str">
        <f>IF(CHMAData!BE19=0,"",CHMAData!BE19)</f>
        <v/>
      </c>
      <c r="L434" s="887"/>
      <c r="M434" s="940" t="str">
        <f>IF(CHMAData!BF19=0,"",CHMAData!BF19)</f>
        <v/>
      </c>
      <c r="N434" s="940"/>
      <c r="O434" s="940"/>
      <c r="P434" s="940"/>
      <c r="Q434" s="868" t="str">
        <f>IF(CHMAData!BG19=0,"",CHMAData!BG19)</f>
        <v/>
      </c>
      <c r="R434" s="869"/>
      <c r="S434" s="869"/>
      <c r="T434" s="870"/>
      <c r="U434" s="868" t="str">
        <f>IF(CHMAData!BH19=0,"",CHMAData!BH19)</f>
        <v/>
      </c>
      <c r="V434" s="869"/>
      <c r="W434" s="870"/>
      <c r="X434" s="868" t="str">
        <f>IF(CHMAData!BI19=0,"",CHMAData!BI19)</f>
        <v/>
      </c>
      <c r="Y434" s="869"/>
      <c r="Z434" s="870"/>
      <c r="AA434" s="1300">
        <f t="shared" si="9"/>
        <v>0</v>
      </c>
      <c r="AB434" s="1301"/>
      <c r="AC434" s="1301"/>
      <c r="AD434" s="1302"/>
      <c r="AE434" s="866" t="str">
        <f>IF(CHMAData!BK19=0,"",CHMAData!BK19)</f>
        <v/>
      </c>
      <c r="AF434" s="867"/>
      <c r="AG434" s="529"/>
      <c r="AH434" s="518"/>
      <c r="AJ434" s="595" t="b">
        <f t="shared" si="10"/>
        <v>0</v>
      </c>
    </row>
    <row r="435" spans="1:36" hidden="1" x14ac:dyDescent="0.45">
      <c r="A435" s="518"/>
      <c r="B435" s="514" t="s">
        <v>1422</v>
      </c>
      <c r="C435" s="515"/>
      <c r="D435" s="515"/>
      <c r="E435" s="515"/>
      <c r="F435" s="515"/>
      <c r="G435" s="886" t="str">
        <f>IF(CHMAData!W20=0,"",SUBSTITUTE(SUBSTITUTE(CHMAData!W20,"Acquired and Rehabilitated Housing","A/R"),"Newly Constructed Housing","N/C"))</f>
        <v/>
      </c>
      <c r="H435" s="887"/>
      <c r="I435" s="578" t="str">
        <f>IF(CHMAData!BP20=0,"",LEFT(CHMAData!BP20,1))</f>
        <v/>
      </c>
      <c r="J435" s="577" t="str">
        <f>IF(CHMAData!T20=0,"",LEFT(CHMAData!T20,1))</f>
        <v/>
      </c>
      <c r="K435" s="886" t="str">
        <f>IF(CHMAData!BE20=0,"",CHMAData!BE20)</f>
        <v/>
      </c>
      <c r="L435" s="887"/>
      <c r="M435" s="940" t="str">
        <f>IF(CHMAData!BF20=0,"",CHMAData!BF20)</f>
        <v/>
      </c>
      <c r="N435" s="940"/>
      <c r="O435" s="940"/>
      <c r="P435" s="940"/>
      <c r="Q435" s="868" t="str">
        <f>IF(CHMAData!BG20=0,"",CHMAData!BG20)</f>
        <v/>
      </c>
      <c r="R435" s="869"/>
      <c r="S435" s="869"/>
      <c r="T435" s="870"/>
      <c r="U435" s="868" t="str">
        <f>IF(CHMAData!BH20=0,"",CHMAData!BH20)</f>
        <v/>
      </c>
      <c r="V435" s="869"/>
      <c r="W435" s="870"/>
      <c r="X435" s="868" t="str">
        <f>IF(CHMAData!BI20=0,"",CHMAData!BI20)</f>
        <v/>
      </c>
      <c r="Y435" s="869"/>
      <c r="Z435" s="870"/>
      <c r="AA435" s="1300">
        <f t="shared" si="9"/>
        <v>0</v>
      </c>
      <c r="AB435" s="1301"/>
      <c r="AC435" s="1301"/>
      <c r="AD435" s="1302"/>
      <c r="AE435" s="866" t="str">
        <f>IF(CHMAData!BK20=0,"",CHMAData!BK20)</f>
        <v/>
      </c>
      <c r="AF435" s="867"/>
      <c r="AG435" s="529"/>
      <c r="AH435" s="518"/>
      <c r="AJ435" s="595" t="b">
        <f t="shared" si="10"/>
        <v>0</v>
      </c>
    </row>
    <row r="436" spans="1:36" hidden="1" x14ac:dyDescent="0.45">
      <c r="A436" s="518"/>
      <c r="B436" s="514" t="s">
        <v>1423</v>
      </c>
      <c r="C436" s="515"/>
      <c r="D436" s="515"/>
      <c r="E436" s="515"/>
      <c r="F436" s="515"/>
      <c r="G436" s="886" t="str">
        <f>IF(CHMAData!W21=0,"",SUBSTITUTE(SUBSTITUTE(CHMAData!W21,"Acquired and Rehabilitated Housing","A/R"),"Newly Constructed Housing","N/C"))</f>
        <v/>
      </c>
      <c r="H436" s="887"/>
      <c r="I436" s="578" t="str">
        <f>IF(CHMAData!BP21=0,"",LEFT(CHMAData!BP21,1))</f>
        <v/>
      </c>
      <c r="J436" s="577" t="str">
        <f>IF(CHMAData!T21=0,"",LEFT(CHMAData!T21,1))</f>
        <v/>
      </c>
      <c r="K436" s="886" t="str">
        <f>IF(CHMAData!BE21=0,"",CHMAData!BE21)</f>
        <v/>
      </c>
      <c r="L436" s="887"/>
      <c r="M436" s="940" t="str">
        <f>IF(CHMAData!BF21=0,"",CHMAData!BF21)</f>
        <v/>
      </c>
      <c r="N436" s="940"/>
      <c r="O436" s="940"/>
      <c r="P436" s="940"/>
      <c r="Q436" s="868" t="str">
        <f>IF(CHMAData!BG21=0,"",CHMAData!BG21)</f>
        <v/>
      </c>
      <c r="R436" s="869"/>
      <c r="S436" s="869"/>
      <c r="T436" s="870"/>
      <c r="U436" s="868" t="str">
        <f>IF(CHMAData!BH21=0,"",CHMAData!BH21)</f>
        <v/>
      </c>
      <c r="V436" s="869"/>
      <c r="W436" s="870"/>
      <c r="X436" s="868" t="str">
        <f>IF(CHMAData!BI21=0,"",CHMAData!BI21)</f>
        <v/>
      </c>
      <c r="Y436" s="869"/>
      <c r="Z436" s="870"/>
      <c r="AA436" s="1300">
        <f t="shared" si="9"/>
        <v>0</v>
      </c>
      <c r="AB436" s="1301"/>
      <c r="AC436" s="1301"/>
      <c r="AD436" s="1302"/>
      <c r="AE436" s="866" t="str">
        <f>IF(CHMAData!BK21=0,"",CHMAData!BK21)</f>
        <v/>
      </c>
      <c r="AF436" s="867"/>
      <c r="AG436" s="529"/>
      <c r="AH436" s="518"/>
      <c r="AJ436" s="595" t="b">
        <f t="shared" si="10"/>
        <v>0</v>
      </c>
    </row>
    <row r="437" spans="1:36" hidden="1" x14ac:dyDescent="0.45">
      <c r="A437" s="518"/>
      <c r="B437" s="514" t="s">
        <v>1424</v>
      </c>
      <c r="C437" s="515"/>
      <c r="D437" s="515"/>
      <c r="E437" s="515"/>
      <c r="F437" s="515"/>
      <c r="G437" s="886" t="str">
        <f>IF(CHMAData!W22=0,"",SUBSTITUTE(SUBSTITUTE(CHMAData!W22,"Acquired and Rehabilitated Housing","A/R"),"Newly Constructed Housing","N/C"))</f>
        <v/>
      </c>
      <c r="H437" s="887"/>
      <c r="I437" s="578" t="str">
        <f>IF(CHMAData!BP22=0,"",LEFT(CHMAData!BP22,1))</f>
        <v/>
      </c>
      <c r="J437" s="577" t="str">
        <f>IF(CHMAData!T22=0,"",LEFT(CHMAData!T22,1))</f>
        <v/>
      </c>
      <c r="K437" s="886" t="str">
        <f>IF(CHMAData!BE22=0,"",CHMAData!BE22)</f>
        <v/>
      </c>
      <c r="L437" s="887"/>
      <c r="M437" s="940" t="str">
        <f>IF(CHMAData!BF22=0,"",CHMAData!BF22)</f>
        <v/>
      </c>
      <c r="N437" s="940"/>
      <c r="O437" s="940"/>
      <c r="P437" s="940"/>
      <c r="Q437" s="868" t="str">
        <f>IF(CHMAData!BG22=0,"",CHMAData!BG22)</f>
        <v/>
      </c>
      <c r="R437" s="869"/>
      <c r="S437" s="869"/>
      <c r="T437" s="870"/>
      <c r="U437" s="868" t="str">
        <f>IF(CHMAData!BH22=0,"",CHMAData!BH22)</f>
        <v/>
      </c>
      <c r="V437" s="869"/>
      <c r="W437" s="870"/>
      <c r="X437" s="868" t="str">
        <f>IF(CHMAData!BI22=0,"",CHMAData!BI22)</f>
        <v/>
      </c>
      <c r="Y437" s="869"/>
      <c r="Z437" s="870"/>
      <c r="AA437" s="1300">
        <f t="shared" si="9"/>
        <v>0</v>
      </c>
      <c r="AB437" s="1301"/>
      <c r="AC437" s="1301"/>
      <c r="AD437" s="1302"/>
      <c r="AE437" s="866" t="str">
        <f>IF(CHMAData!BK22=0,"",CHMAData!BK22)</f>
        <v/>
      </c>
      <c r="AF437" s="867"/>
      <c r="AG437" s="529"/>
      <c r="AH437" s="518"/>
      <c r="AJ437" s="595" t="b">
        <f t="shared" si="10"/>
        <v>0</v>
      </c>
    </row>
    <row r="438" spans="1:36" hidden="1" x14ac:dyDescent="0.45">
      <c r="A438" s="518"/>
      <c r="B438" s="514" t="s">
        <v>1425</v>
      </c>
      <c r="C438" s="515"/>
      <c r="D438" s="515"/>
      <c r="E438" s="515"/>
      <c r="F438" s="515"/>
      <c r="G438" s="886" t="str">
        <f>IF(CHMAData!W23=0,"",SUBSTITUTE(SUBSTITUTE(CHMAData!W23,"Acquired and Rehabilitated Housing","A/R"),"Newly Constructed Housing","N/C"))</f>
        <v/>
      </c>
      <c r="H438" s="887"/>
      <c r="I438" s="578" t="str">
        <f>IF(CHMAData!BP23=0,"",LEFT(CHMAData!BP23,1))</f>
        <v/>
      </c>
      <c r="J438" s="577" t="str">
        <f>IF(CHMAData!T23=0,"",LEFT(CHMAData!T23,1))</f>
        <v/>
      </c>
      <c r="K438" s="886" t="str">
        <f>IF(CHMAData!BE23=0,"",CHMAData!BE23)</f>
        <v/>
      </c>
      <c r="L438" s="887"/>
      <c r="M438" s="940" t="str">
        <f>IF(CHMAData!BF23=0,"",CHMAData!BF23)</f>
        <v/>
      </c>
      <c r="N438" s="940"/>
      <c r="O438" s="940"/>
      <c r="P438" s="940"/>
      <c r="Q438" s="868" t="str">
        <f>IF(CHMAData!BG23=0,"",CHMAData!BG23)</f>
        <v/>
      </c>
      <c r="R438" s="869"/>
      <c r="S438" s="869"/>
      <c r="T438" s="870"/>
      <c r="U438" s="868" t="str">
        <f>IF(CHMAData!BH23=0,"",CHMAData!BH23)</f>
        <v/>
      </c>
      <c r="V438" s="869"/>
      <c r="W438" s="870"/>
      <c r="X438" s="868" t="str">
        <f>IF(CHMAData!BI23=0,"",CHMAData!BI23)</f>
        <v/>
      </c>
      <c r="Y438" s="869"/>
      <c r="Z438" s="870"/>
      <c r="AA438" s="1300">
        <f t="shared" si="9"/>
        <v>0</v>
      </c>
      <c r="AB438" s="1301"/>
      <c r="AC438" s="1301"/>
      <c r="AD438" s="1302"/>
      <c r="AE438" s="866" t="str">
        <f>IF(CHMAData!BK23=0,"",CHMAData!BK23)</f>
        <v/>
      </c>
      <c r="AF438" s="867"/>
      <c r="AG438" s="529"/>
      <c r="AH438" s="518"/>
      <c r="AJ438" s="595" t="b">
        <f t="shared" si="10"/>
        <v>0</v>
      </c>
    </row>
    <row r="439" spans="1:36" hidden="1" x14ac:dyDescent="0.45">
      <c r="A439" s="518"/>
      <c r="B439" s="514" t="s">
        <v>1426</v>
      </c>
      <c r="C439" s="515"/>
      <c r="D439" s="515"/>
      <c r="E439" s="515"/>
      <c r="F439" s="515"/>
      <c r="G439" s="886" t="str">
        <f>IF(CHMAData!W24=0,"",SUBSTITUTE(SUBSTITUTE(CHMAData!W24,"Acquired and Rehabilitated Housing","A/R"),"Newly Constructed Housing","N/C"))</f>
        <v/>
      </c>
      <c r="H439" s="887"/>
      <c r="I439" s="578" t="str">
        <f>IF(CHMAData!BP24=0,"",LEFT(CHMAData!BP24,1))</f>
        <v/>
      </c>
      <c r="J439" s="577" t="str">
        <f>IF(CHMAData!T24=0,"",LEFT(CHMAData!T24,1))</f>
        <v/>
      </c>
      <c r="K439" s="886" t="str">
        <f>IF(CHMAData!BE24=0,"",CHMAData!BE24)</f>
        <v/>
      </c>
      <c r="L439" s="887"/>
      <c r="M439" s="940" t="str">
        <f>IF(CHMAData!BF24=0,"",CHMAData!BF24)</f>
        <v/>
      </c>
      <c r="N439" s="940"/>
      <c r="O439" s="940"/>
      <c r="P439" s="940"/>
      <c r="Q439" s="868" t="str">
        <f>IF(CHMAData!BG24=0,"",CHMAData!BG24)</f>
        <v/>
      </c>
      <c r="R439" s="869"/>
      <c r="S439" s="869"/>
      <c r="T439" s="870"/>
      <c r="U439" s="868" t="str">
        <f>IF(CHMAData!BH24=0,"",CHMAData!BH24)</f>
        <v/>
      </c>
      <c r="V439" s="869"/>
      <c r="W439" s="870"/>
      <c r="X439" s="868" t="str">
        <f>IF(CHMAData!BI24=0,"",CHMAData!BI24)</f>
        <v/>
      </c>
      <c r="Y439" s="869"/>
      <c r="Z439" s="870"/>
      <c r="AA439" s="1300">
        <f t="shared" si="9"/>
        <v>0</v>
      </c>
      <c r="AB439" s="1301"/>
      <c r="AC439" s="1301"/>
      <c r="AD439" s="1302"/>
      <c r="AE439" s="866" t="str">
        <f>IF(CHMAData!BK24=0,"",CHMAData!BK24)</f>
        <v/>
      </c>
      <c r="AF439" s="867"/>
      <c r="AG439" s="529"/>
      <c r="AH439" s="518"/>
      <c r="AJ439" s="595" t="b">
        <f t="shared" si="10"/>
        <v>0</v>
      </c>
    </row>
    <row r="440" spans="1:36" hidden="1" x14ac:dyDescent="0.45">
      <c r="A440" s="518"/>
      <c r="B440" s="514" t="s">
        <v>1427</v>
      </c>
      <c r="C440" s="515"/>
      <c r="D440" s="515"/>
      <c r="E440" s="515"/>
      <c r="F440" s="515"/>
      <c r="G440" s="886" t="str">
        <f>IF(CHMAData!W25=0,"",SUBSTITUTE(SUBSTITUTE(CHMAData!W25,"Acquired and Rehabilitated Housing","A/R"),"Newly Constructed Housing","N/C"))</f>
        <v/>
      </c>
      <c r="H440" s="887"/>
      <c r="I440" s="578" t="str">
        <f>IF(CHMAData!BP25=0,"",LEFT(CHMAData!BP25,1))</f>
        <v/>
      </c>
      <c r="J440" s="577" t="str">
        <f>IF(CHMAData!T25=0,"",LEFT(CHMAData!T25,1))</f>
        <v/>
      </c>
      <c r="K440" s="886" t="str">
        <f>IF(CHMAData!BE25=0,"",CHMAData!BE25)</f>
        <v/>
      </c>
      <c r="L440" s="887"/>
      <c r="M440" s="940" t="str">
        <f>IF(CHMAData!BF25=0,"",CHMAData!BF25)</f>
        <v/>
      </c>
      <c r="N440" s="940"/>
      <c r="O440" s="940"/>
      <c r="P440" s="940"/>
      <c r="Q440" s="868" t="str">
        <f>IF(CHMAData!BG25=0,"",CHMAData!BG25)</f>
        <v/>
      </c>
      <c r="R440" s="869"/>
      <c r="S440" s="869"/>
      <c r="T440" s="870"/>
      <c r="U440" s="868" t="str">
        <f>IF(CHMAData!BH25=0,"",CHMAData!BH25)</f>
        <v/>
      </c>
      <c r="V440" s="869"/>
      <c r="W440" s="870"/>
      <c r="X440" s="868" t="str">
        <f>IF(CHMAData!BI25=0,"",CHMAData!BI25)</f>
        <v/>
      </c>
      <c r="Y440" s="869"/>
      <c r="Z440" s="870"/>
      <c r="AA440" s="1300">
        <f t="shared" si="9"/>
        <v>0</v>
      </c>
      <c r="AB440" s="1301"/>
      <c r="AC440" s="1301"/>
      <c r="AD440" s="1302"/>
      <c r="AE440" s="866" t="str">
        <f>IF(CHMAData!BK25=0,"",CHMAData!BK25)</f>
        <v/>
      </c>
      <c r="AF440" s="867"/>
      <c r="AG440" s="529"/>
      <c r="AH440" s="518"/>
      <c r="AJ440" s="595" t="b">
        <f t="shared" si="10"/>
        <v>0</v>
      </c>
    </row>
    <row r="441" spans="1:36" hidden="1" x14ac:dyDescent="0.45">
      <c r="A441" s="518"/>
      <c r="B441" s="514" t="s">
        <v>1428</v>
      </c>
      <c r="C441" s="515"/>
      <c r="D441" s="515"/>
      <c r="E441" s="515"/>
      <c r="F441" s="515"/>
      <c r="G441" s="886" t="str">
        <f>IF(CHMAData!W26=0,"",SUBSTITUTE(SUBSTITUTE(CHMAData!W26,"Acquired and Rehabilitated Housing","A/R"),"Newly Constructed Housing","N/C"))</f>
        <v/>
      </c>
      <c r="H441" s="887"/>
      <c r="I441" s="578" t="str">
        <f>IF(CHMAData!BP26=0,"",LEFT(CHMAData!BP26,1))</f>
        <v/>
      </c>
      <c r="J441" s="577" t="str">
        <f>IF(CHMAData!T26=0,"",LEFT(CHMAData!T26,1))</f>
        <v/>
      </c>
      <c r="K441" s="886" t="str">
        <f>IF(CHMAData!BE26=0,"",CHMAData!BE26)</f>
        <v/>
      </c>
      <c r="L441" s="887"/>
      <c r="M441" s="940" t="str">
        <f>IF(CHMAData!BF26=0,"",CHMAData!BF26)</f>
        <v/>
      </c>
      <c r="N441" s="940"/>
      <c r="O441" s="940"/>
      <c r="P441" s="940"/>
      <c r="Q441" s="868" t="str">
        <f>IF(CHMAData!BG26=0,"",CHMAData!BG26)</f>
        <v/>
      </c>
      <c r="R441" s="869"/>
      <c r="S441" s="869"/>
      <c r="T441" s="870"/>
      <c r="U441" s="868" t="str">
        <f>IF(CHMAData!BH26=0,"",CHMAData!BH26)</f>
        <v/>
      </c>
      <c r="V441" s="869"/>
      <c r="W441" s="870"/>
      <c r="X441" s="868" t="str">
        <f>IF(CHMAData!BI26=0,"",CHMAData!BI26)</f>
        <v/>
      </c>
      <c r="Y441" s="869"/>
      <c r="Z441" s="870"/>
      <c r="AA441" s="1300">
        <f t="shared" si="9"/>
        <v>0</v>
      </c>
      <c r="AB441" s="1301"/>
      <c r="AC441" s="1301"/>
      <c r="AD441" s="1302"/>
      <c r="AE441" s="866" t="str">
        <f>IF(CHMAData!BK26=0,"",CHMAData!BK26)</f>
        <v/>
      </c>
      <c r="AF441" s="867"/>
      <c r="AG441" s="529"/>
      <c r="AH441" s="518"/>
      <c r="AJ441" s="595" t="b">
        <f t="shared" si="10"/>
        <v>0</v>
      </c>
    </row>
    <row r="442" spans="1:36" hidden="1" x14ac:dyDescent="0.45">
      <c r="A442" s="518"/>
      <c r="B442" s="514" t="s">
        <v>1429</v>
      </c>
      <c r="C442" s="515"/>
      <c r="D442" s="515"/>
      <c r="E442" s="515"/>
      <c r="F442" s="515"/>
      <c r="G442" s="886" t="str">
        <f>IF(CHMAData!W27=0,"",SUBSTITUTE(SUBSTITUTE(CHMAData!W27,"Acquired and Rehabilitated Housing","A/R"),"Newly Constructed Housing","N/C"))</f>
        <v/>
      </c>
      <c r="H442" s="887"/>
      <c r="I442" s="578" t="str">
        <f>IF(CHMAData!BP27=0,"",LEFT(CHMAData!BP27,1))</f>
        <v/>
      </c>
      <c r="J442" s="577" t="str">
        <f>IF(CHMAData!T27=0,"",LEFT(CHMAData!T27,1))</f>
        <v/>
      </c>
      <c r="K442" s="886" t="str">
        <f>IF(CHMAData!BE27=0,"",CHMAData!BE27)</f>
        <v/>
      </c>
      <c r="L442" s="887"/>
      <c r="M442" s="940" t="str">
        <f>IF(CHMAData!BF27=0,"",CHMAData!BF27)</f>
        <v/>
      </c>
      <c r="N442" s="940"/>
      <c r="O442" s="940"/>
      <c r="P442" s="940"/>
      <c r="Q442" s="868" t="str">
        <f>IF(CHMAData!BG27=0,"",CHMAData!BG27)</f>
        <v/>
      </c>
      <c r="R442" s="869"/>
      <c r="S442" s="869"/>
      <c r="T442" s="870"/>
      <c r="U442" s="868" t="str">
        <f>IF(CHMAData!BH27=0,"",CHMAData!BH27)</f>
        <v/>
      </c>
      <c r="V442" s="869"/>
      <c r="W442" s="870"/>
      <c r="X442" s="868" t="str">
        <f>IF(CHMAData!BI27=0,"",CHMAData!BI27)</f>
        <v/>
      </c>
      <c r="Y442" s="869"/>
      <c r="Z442" s="870"/>
      <c r="AA442" s="1300">
        <f t="shared" si="9"/>
        <v>0</v>
      </c>
      <c r="AB442" s="1301"/>
      <c r="AC442" s="1301"/>
      <c r="AD442" s="1302"/>
      <c r="AE442" s="866" t="str">
        <f>IF(CHMAData!BK27=0,"",CHMAData!BK27)</f>
        <v/>
      </c>
      <c r="AF442" s="867"/>
      <c r="AG442" s="529"/>
      <c r="AH442" s="518"/>
      <c r="AJ442" s="595" t="b">
        <f t="shared" si="10"/>
        <v>0</v>
      </c>
    </row>
    <row r="443" spans="1:36" hidden="1" x14ac:dyDescent="0.45">
      <c r="A443" s="518"/>
      <c r="B443" s="514" t="s">
        <v>1430</v>
      </c>
      <c r="C443" s="515"/>
      <c r="D443" s="515"/>
      <c r="E443" s="515"/>
      <c r="F443" s="515"/>
      <c r="G443" s="886" t="str">
        <f>IF(CHMAData!W28=0,"",SUBSTITUTE(SUBSTITUTE(CHMAData!W28,"Acquired and Rehabilitated Housing","A/R"),"Newly Constructed Housing","N/C"))</f>
        <v/>
      </c>
      <c r="H443" s="887"/>
      <c r="I443" s="578" t="str">
        <f>IF(CHMAData!BP28=0,"",LEFT(CHMAData!BP28,1))</f>
        <v/>
      </c>
      <c r="J443" s="577" t="str">
        <f>IF(CHMAData!T28=0,"",LEFT(CHMAData!T28,1))</f>
        <v/>
      </c>
      <c r="K443" s="886" t="str">
        <f>IF(CHMAData!BE28=0,"",CHMAData!BE28)</f>
        <v/>
      </c>
      <c r="L443" s="887"/>
      <c r="M443" s="940" t="str">
        <f>IF(CHMAData!BF28=0,"",CHMAData!BF28)</f>
        <v/>
      </c>
      <c r="N443" s="940"/>
      <c r="O443" s="940"/>
      <c r="P443" s="940"/>
      <c r="Q443" s="868" t="str">
        <f>IF(CHMAData!BG28=0,"",CHMAData!BG28)</f>
        <v/>
      </c>
      <c r="R443" s="869"/>
      <c r="S443" s="869"/>
      <c r="T443" s="870"/>
      <c r="U443" s="868" t="str">
        <f>IF(CHMAData!BH28=0,"",CHMAData!BH28)</f>
        <v/>
      </c>
      <c r="V443" s="869"/>
      <c r="W443" s="870"/>
      <c r="X443" s="868" t="str">
        <f>IF(CHMAData!BI28=0,"",CHMAData!BI28)</f>
        <v/>
      </c>
      <c r="Y443" s="869"/>
      <c r="Z443" s="870"/>
      <c r="AA443" s="1300">
        <f t="shared" si="9"/>
        <v>0</v>
      </c>
      <c r="AB443" s="1301"/>
      <c r="AC443" s="1301"/>
      <c r="AD443" s="1302"/>
      <c r="AE443" s="866" t="str">
        <f>IF(CHMAData!BK28=0,"",CHMAData!BK28)</f>
        <v/>
      </c>
      <c r="AF443" s="867"/>
      <c r="AG443" s="529"/>
      <c r="AH443" s="518"/>
      <c r="AJ443" s="595" t="b">
        <f t="shared" si="10"/>
        <v>0</v>
      </c>
    </row>
    <row r="444" spans="1:36" hidden="1" x14ac:dyDescent="0.45">
      <c r="A444" s="518"/>
      <c r="B444" s="514" t="s">
        <v>1431</v>
      </c>
      <c r="C444" s="515"/>
      <c r="D444" s="515"/>
      <c r="E444" s="515"/>
      <c r="F444" s="515"/>
      <c r="G444" s="886" t="str">
        <f>IF(CHMAData!W29=0,"",SUBSTITUTE(SUBSTITUTE(CHMAData!W29,"Acquired and Rehabilitated Housing","A/R"),"Newly Constructed Housing","N/C"))</f>
        <v/>
      </c>
      <c r="H444" s="887"/>
      <c r="I444" s="578" t="str">
        <f>IF(CHMAData!BP29=0,"",LEFT(CHMAData!BP29,1))</f>
        <v/>
      </c>
      <c r="J444" s="577" t="str">
        <f>IF(CHMAData!T29=0,"",LEFT(CHMAData!T29,1))</f>
        <v/>
      </c>
      <c r="K444" s="886" t="str">
        <f>IF(CHMAData!BE29=0,"",CHMAData!BE29)</f>
        <v/>
      </c>
      <c r="L444" s="887"/>
      <c r="M444" s="940" t="str">
        <f>IF(CHMAData!BF29=0,"",CHMAData!BF29)</f>
        <v/>
      </c>
      <c r="N444" s="940"/>
      <c r="O444" s="940"/>
      <c r="P444" s="940"/>
      <c r="Q444" s="868" t="str">
        <f>IF(CHMAData!BG29=0,"",CHMAData!BG29)</f>
        <v/>
      </c>
      <c r="R444" s="869"/>
      <c r="S444" s="869"/>
      <c r="T444" s="870"/>
      <c r="U444" s="868" t="str">
        <f>IF(CHMAData!BH29=0,"",CHMAData!BH29)</f>
        <v/>
      </c>
      <c r="V444" s="869"/>
      <c r="W444" s="870"/>
      <c r="X444" s="868" t="str">
        <f>IF(CHMAData!BI29=0,"",CHMAData!BI29)</f>
        <v/>
      </c>
      <c r="Y444" s="869"/>
      <c r="Z444" s="870"/>
      <c r="AA444" s="1300">
        <f t="shared" si="9"/>
        <v>0</v>
      </c>
      <c r="AB444" s="1301"/>
      <c r="AC444" s="1301"/>
      <c r="AD444" s="1302"/>
      <c r="AE444" s="866" t="str">
        <f>IF(CHMAData!BK29=0,"",CHMAData!BK29)</f>
        <v/>
      </c>
      <c r="AF444" s="867"/>
      <c r="AG444" s="529"/>
      <c r="AH444" s="518"/>
      <c r="AJ444" s="595" t="b">
        <f t="shared" si="10"/>
        <v>0</v>
      </c>
    </row>
    <row r="445" spans="1:36" hidden="1" x14ac:dyDescent="0.45">
      <c r="A445" s="518"/>
      <c r="B445" s="514" t="s">
        <v>1432</v>
      </c>
      <c r="C445" s="515"/>
      <c r="D445" s="515"/>
      <c r="E445" s="515"/>
      <c r="F445" s="515"/>
      <c r="G445" s="886" t="str">
        <f>IF(CHMAData!W30=0,"",SUBSTITUTE(SUBSTITUTE(CHMAData!W30,"Acquired and Rehabilitated Housing","A/R"),"Newly Constructed Housing","N/C"))</f>
        <v/>
      </c>
      <c r="H445" s="887"/>
      <c r="I445" s="578" t="str">
        <f>IF(CHMAData!BP30=0,"",LEFT(CHMAData!BP30,1))</f>
        <v/>
      </c>
      <c r="J445" s="577" t="str">
        <f>IF(CHMAData!T30=0,"",LEFT(CHMAData!T30,1))</f>
        <v/>
      </c>
      <c r="K445" s="886" t="str">
        <f>IF(CHMAData!BE30=0,"",CHMAData!BE30)</f>
        <v/>
      </c>
      <c r="L445" s="887"/>
      <c r="M445" s="940" t="str">
        <f>IF(CHMAData!BF30=0,"",CHMAData!BF30)</f>
        <v/>
      </c>
      <c r="N445" s="940"/>
      <c r="O445" s="940"/>
      <c r="P445" s="940"/>
      <c r="Q445" s="868" t="str">
        <f>IF(CHMAData!BG30=0,"",CHMAData!BG30)</f>
        <v/>
      </c>
      <c r="R445" s="869"/>
      <c r="S445" s="869"/>
      <c r="T445" s="870"/>
      <c r="U445" s="868" t="str">
        <f>IF(CHMAData!BH30=0,"",CHMAData!BH30)</f>
        <v/>
      </c>
      <c r="V445" s="869"/>
      <c r="W445" s="870"/>
      <c r="X445" s="868" t="str">
        <f>IF(CHMAData!BI30=0,"",CHMAData!BI30)</f>
        <v/>
      </c>
      <c r="Y445" s="869"/>
      <c r="Z445" s="870"/>
      <c r="AA445" s="1300">
        <f t="shared" si="9"/>
        <v>0</v>
      </c>
      <c r="AB445" s="1301"/>
      <c r="AC445" s="1301"/>
      <c r="AD445" s="1302"/>
      <c r="AE445" s="866" t="str">
        <f>IF(CHMAData!BK30=0,"",CHMAData!BK30)</f>
        <v/>
      </c>
      <c r="AF445" s="867"/>
      <c r="AG445" s="529"/>
      <c r="AH445" s="518"/>
      <c r="AJ445" s="595" t="b">
        <f t="shared" si="10"/>
        <v>0</v>
      </c>
    </row>
    <row r="446" spans="1:36" hidden="1" x14ac:dyDescent="0.45">
      <c r="A446" s="518"/>
      <c r="B446" s="514" t="s">
        <v>1433</v>
      </c>
      <c r="C446" s="515"/>
      <c r="D446" s="515"/>
      <c r="E446" s="515"/>
      <c r="F446" s="515"/>
      <c r="G446" s="886" t="str">
        <f>IF(CHMAData!W31=0,"",SUBSTITUTE(SUBSTITUTE(CHMAData!W31,"Acquired and Rehabilitated Housing","A/R"),"Newly Constructed Housing","N/C"))</f>
        <v/>
      </c>
      <c r="H446" s="887"/>
      <c r="I446" s="578" t="str">
        <f>IF(CHMAData!BP31=0,"",LEFT(CHMAData!BP31,1))</f>
        <v/>
      </c>
      <c r="J446" s="577" t="str">
        <f>IF(CHMAData!T31=0,"",LEFT(CHMAData!T31,1))</f>
        <v/>
      </c>
      <c r="K446" s="886" t="str">
        <f>IF(CHMAData!BE31=0,"",CHMAData!BE31)</f>
        <v/>
      </c>
      <c r="L446" s="887"/>
      <c r="M446" s="940" t="str">
        <f>IF(CHMAData!BF31=0,"",CHMAData!BF31)</f>
        <v/>
      </c>
      <c r="N446" s="940"/>
      <c r="O446" s="940"/>
      <c r="P446" s="940"/>
      <c r="Q446" s="868" t="str">
        <f>IF(CHMAData!BG31=0,"",CHMAData!BG31)</f>
        <v/>
      </c>
      <c r="R446" s="869"/>
      <c r="S446" s="869"/>
      <c r="T446" s="870"/>
      <c r="U446" s="868" t="str">
        <f>IF(CHMAData!BH31=0,"",CHMAData!BH31)</f>
        <v/>
      </c>
      <c r="V446" s="869"/>
      <c r="W446" s="870"/>
      <c r="X446" s="868" t="str">
        <f>IF(CHMAData!BI31=0,"",CHMAData!BI31)</f>
        <v/>
      </c>
      <c r="Y446" s="869"/>
      <c r="Z446" s="870"/>
      <c r="AA446" s="1300">
        <f t="shared" si="9"/>
        <v>0</v>
      </c>
      <c r="AB446" s="1301"/>
      <c r="AC446" s="1301"/>
      <c r="AD446" s="1302"/>
      <c r="AE446" s="866" t="str">
        <f>IF(CHMAData!BK31=0,"",CHMAData!BK31)</f>
        <v/>
      </c>
      <c r="AF446" s="867"/>
      <c r="AG446" s="529"/>
      <c r="AH446" s="518"/>
      <c r="AJ446" s="595" t="b">
        <f t="shared" si="10"/>
        <v>0</v>
      </c>
    </row>
    <row r="447" spans="1:36" hidden="1" x14ac:dyDescent="0.45">
      <c r="A447" s="518"/>
      <c r="B447" s="514" t="s">
        <v>1434</v>
      </c>
      <c r="C447" s="515"/>
      <c r="D447" s="515"/>
      <c r="E447" s="515"/>
      <c r="F447" s="515"/>
      <c r="G447" s="886" t="str">
        <f>IF(CHMAData!W32=0,"",SUBSTITUTE(SUBSTITUTE(CHMAData!W32,"Acquired and Rehabilitated Housing","A/R"),"Newly Constructed Housing","N/C"))</f>
        <v/>
      </c>
      <c r="H447" s="887"/>
      <c r="I447" s="578" t="str">
        <f>IF(CHMAData!BP32=0,"",LEFT(CHMAData!BP32,1))</f>
        <v/>
      </c>
      <c r="J447" s="577" t="str">
        <f>IF(CHMAData!T32=0,"",LEFT(CHMAData!T32,1))</f>
        <v/>
      </c>
      <c r="K447" s="886" t="str">
        <f>IF(CHMAData!BE32=0,"",CHMAData!BE32)</f>
        <v/>
      </c>
      <c r="L447" s="887"/>
      <c r="M447" s="940" t="str">
        <f>IF(CHMAData!BF32=0,"",CHMAData!BF32)</f>
        <v/>
      </c>
      <c r="N447" s="940"/>
      <c r="O447" s="940"/>
      <c r="P447" s="940"/>
      <c r="Q447" s="868" t="str">
        <f>IF(CHMAData!BG32=0,"",CHMAData!BG32)</f>
        <v/>
      </c>
      <c r="R447" s="869"/>
      <c r="S447" s="869"/>
      <c r="T447" s="870"/>
      <c r="U447" s="868" t="str">
        <f>IF(CHMAData!BH32=0,"",CHMAData!BH32)</f>
        <v/>
      </c>
      <c r="V447" s="869"/>
      <c r="W447" s="870"/>
      <c r="X447" s="868" t="str">
        <f>IF(CHMAData!BI32=0,"",CHMAData!BI32)</f>
        <v/>
      </c>
      <c r="Y447" s="869"/>
      <c r="Z447" s="870"/>
      <c r="AA447" s="1300">
        <f t="shared" si="9"/>
        <v>0</v>
      </c>
      <c r="AB447" s="1301"/>
      <c r="AC447" s="1301"/>
      <c r="AD447" s="1302"/>
      <c r="AE447" s="866" t="str">
        <f>IF(CHMAData!BK32=0,"",CHMAData!BK32)</f>
        <v/>
      </c>
      <c r="AF447" s="867"/>
      <c r="AG447" s="529"/>
      <c r="AH447" s="518"/>
      <c r="AJ447" s="595" t="b">
        <f t="shared" si="10"/>
        <v>0</v>
      </c>
    </row>
    <row r="448" spans="1:36" hidden="1" x14ac:dyDescent="0.45">
      <c r="A448" s="518"/>
      <c r="B448" s="514" t="s">
        <v>1435</v>
      </c>
      <c r="C448" s="515"/>
      <c r="D448" s="515"/>
      <c r="E448" s="515"/>
      <c r="F448" s="515"/>
      <c r="G448" s="886" t="str">
        <f>IF(CHMAData!W33=0,"",SUBSTITUTE(SUBSTITUTE(CHMAData!W33,"Acquired and Rehabilitated Housing","A/R"),"Newly Constructed Housing","N/C"))</f>
        <v/>
      </c>
      <c r="H448" s="887"/>
      <c r="I448" s="578" t="str">
        <f>IF(CHMAData!BP33=0,"",LEFT(CHMAData!BP33,1))</f>
        <v/>
      </c>
      <c r="J448" s="577" t="str">
        <f>IF(CHMAData!T33=0,"",LEFT(CHMAData!T33,1))</f>
        <v/>
      </c>
      <c r="K448" s="886" t="str">
        <f>IF(CHMAData!BE33=0,"",CHMAData!BE33)</f>
        <v/>
      </c>
      <c r="L448" s="887"/>
      <c r="M448" s="940" t="str">
        <f>IF(CHMAData!BF33=0,"",CHMAData!BF33)</f>
        <v/>
      </c>
      <c r="N448" s="940"/>
      <c r="O448" s="940"/>
      <c r="P448" s="940"/>
      <c r="Q448" s="868" t="str">
        <f>IF(CHMAData!BG33=0,"",CHMAData!BG33)</f>
        <v/>
      </c>
      <c r="R448" s="869"/>
      <c r="S448" s="869"/>
      <c r="T448" s="870"/>
      <c r="U448" s="868" t="str">
        <f>IF(CHMAData!BH33=0,"",CHMAData!BH33)</f>
        <v/>
      </c>
      <c r="V448" s="869"/>
      <c r="W448" s="870"/>
      <c r="X448" s="868" t="str">
        <f>IF(CHMAData!BI33=0,"",CHMAData!BI33)</f>
        <v/>
      </c>
      <c r="Y448" s="869"/>
      <c r="Z448" s="870"/>
      <c r="AA448" s="1300">
        <f t="shared" si="9"/>
        <v>0</v>
      </c>
      <c r="AB448" s="1301"/>
      <c r="AC448" s="1301"/>
      <c r="AD448" s="1302"/>
      <c r="AE448" s="866" t="str">
        <f>IF(CHMAData!BK33=0,"",CHMAData!BK33)</f>
        <v/>
      </c>
      <c r="AF448" s="867"/>
      <c r="AG448" s="529"/>
      <c r="AH448" s="518"/>
      <c r="AJ448" s="595" t="b">
        <f t="shared" si="10"/>
        <v>0</v>
      </c>
    </row>
    <row r="449" spans="1:36" hidden="1" x14ac:dyDescent="0.45">
      <c r="A449" s="518"/>
      <c r="B449" s="514" t="s">
        <v>1436</v>
      </c>
      <c r="C449" s="515"/>
      <c r="D449" s="515"/>
      <c r="E449" s="515"/>
      <c r="F449" s="515"/>
      <c r="G449" s="886" t="str">
        <f>IF(CHMAData!W34=0,"",SUBSTITUTE(SUBSTITUTE(CHMAData!W34,"Acquired and Rehabilitated Housing","A/R"),"Newly Constructed Housing","N/C"))</f>
        <v/>
      </c>
      <c r="H449" s="887"/>
      <c r="I449" s="578" t="str">
        <f>IF(CHMAData!BP34=0,"",LEFT(CHMAData!BP34,1))</f>
        <v/>
      </c>
      <c r="J449" s="577" t="str">
        <f>IF(CHMAData!T34=0,"",LEFT(CHMAData!T34,1))</f>
        <v/>
      </c>
      <c r="K449" s="886" t="str">
        <f>IF(CHMAData!BE34=0,"",CHMAData!BE34)</f>
        <v/>
      </c>
      <c r="L449" s="887"/>
      <c r="M449" s="940" t="str">
        <f>IF(CHMAData!BF34=0,"",CHMAData!BF34)</f>
        <v/>
      </c>
      <c r="N449" s="940"/>
      <c r="O449" s="940"/>
      <c r="P449" s="940"/>
      <c r="Q449" s="868" t="str">
        <f>IF(CHMAData!BG34=0,"",CHMAData!BG34)</f>
        <v/>
      </c>
      <c r="R449" s="869"/>
      <c r="S449" s="869"/>
      <c r="T449" s="870"/>
      <c r="U449" s="868" t="str">
        <f>IF(CHMAData!BH34=0,"",CHMAData!BH34)</f>
        <v/>
      </c>
      <c r="V449" s="869"/>
      <c r="W449" s="870"/>
      <c r="X449" s="868" t="str">
        <f>IF(CHMAData!BI34=0,"",CHMAData!BI34)</f>
        <v/>
      </c>
      <c r="Y449" s="869"/>
      <c r="Z449" s="870"/>
      <c r="AA449" s="1300">
        <f t="shared" si="9"/>
        <v>0</v>
      </c>
      <c r="AB449" s="1301"/>
      <c r="AC449" s="1301"/>
      <c r="AD449" s="1302"/>
      <c r="AE449" s="866" t="str">
        <f>IF(CHMAData!BK34=0,"",CHMAData!BK34)</f>
        <v/>
      </c>
      <c r="AF449" s="867"/>
      <c r="AG449" s="529"/>
      <c r="AH449" s="518"/>
      <c r="AJ449" s="595" t="b">
        <f t="shared" si="10"/>
        <v>0</v>
      </c>
    </row>
    <row r="450" spans="1:36" hidden="1" x14ac:dyDescent="0.45">
      <c r="A450" s="518"/>
      <c r="B450" s="514" t="s">
        <v>1437</v>
      </c>
      <c r="C450" s="515"/>
      <c r="D450" s="515"/>
      <c r="E450" s="515"/>
      <c r="F450" s="515"/>
      <c r="G450" s="886" t="str">
        <f>IF(CHMAData!W35=0,"",SUBSTITUTE(SUBSTITUTE(CHMAData!W35,"Acquired and Rehabilitated Housing","A/R"),"Newly Constructed Housing","N/C"))</f>
        <v/>
      </c>
      <c r="H450" s="887"/>
      <c r="I450" s="578" t="str">
        <f>IF(CHMAData!BP35=0,"",LEFT(CHMAData!BP35,1))</f>
        <v/>
      </c>
      <c r="J450" s="577" t="str">
        <f>IF(CHMAData!T35=0,"",LEFT(CHMAData!T35,1))</f>
        <v/>
      </c>
      <c r="K450" s="886" t="str">
        <f>IF(CHMAData!BE35=0,"",CHMAData!BE35)</f>
        <v/>
      </c>
      <c r="L450" s="887"/>
      <c r="M450" s="940" t="str">
        <f>IF(CHMAData!BF35=0,"",CHMAData!BF35)</f>
        <v/>
      </c>
      <c r="N450" s="940"/>
      <c r="O450" s="940"/>
      <c r="P450" s="940"/>
      <c r="Q450" s="868" t="str">
        <f>IF(CHMAData!BG35=0,"",CHMAData!BG35)</f>
        <v/>
      </c>
      <c r="R450" s="869"/>
      <c r="S450" s="869"/>
      <c r="T450" s="870"/>
      <c r="U450" s="868" t="str">
        <f>IF(CHMAData!BH35=0,"",CHMAData!BH35)</f>
        <v/>
      </c>
      <c r="V450" s="869"/>
      <c r="W450" s="870"/>
      <c r="X450" s="868" t="str">
        <f>IF(CHMAData!BI35=0,"",CHMAData!BI35)</f>
        <v/>
      </c>
      <c r="Y450" s="869"/>
      <c r="Z450" s="870"/>
      <c r="AA450" s="1300">
        <f t="shared" si="9"/>
        <v>0</v>
      </c>
      <c r="AB450" s="1301"/>
      <c r="AC450" s="1301"/>
      <c r="AD450" s="1302"/>
      <c r="AE450" s="866" t="str">
        <f>IF(CHMAData!BK35=0,"",CHMAData!BK35)</f>
        <v/>
      </c>
      <c r="AF450" s="867"/>
      <c r="AG450" s="529"/>
      <c r="AH450" s="518"/>
      <c r="AJ450" s="595" t="b">
        <f t="shared" si="10"/>
        <v>0</v>
      </c>
    </row>
    <row r="451" spans="1:36" hidden="1" x14ac:dyDescent="0.45">
      <c r="A451" s="518"/>
      <c r="B451" s="514" t="s">
        <v>1438</v>
      </c>
      <c r="C451" s="515"/>
      <c r="D451" s="515"/>
      <c r="E451" s="515"/>
      <c r="F451" s="515"/>
      <c r="G451" s="886" t="str">
        <f>IF(CHMAData!W36=0,"",SUBSTITUTE(SUBSTITUTE(CHMAData!W36,"Acquired and Rehabilitated Housing","A/R"),"Newly Constructed Housing","N/C"))</f>
        <v/>
      </c>
      <c r="H451" s="887"/>
      <c r="I451" s="578" t="str">
        <f>IF(CHMAData!BP36=0,"",LEFT(CHMAData!BP36,1))</f>
        <v/>
      </c>
      <c r="J451" s="577" t="str">
        <f>IF(CHMAData!T36=0,"",LEFT(CHMAData!T36,1))</f>
        <v/>
      </c>
      <c r="K451" s="886" t="str">
        <f>IF(CHMAData!BE36=0,"",CHMAData!BE36)</f>
        <v/>
      </c>
      <c r="L451" s="887"/>
      <c r="M451" s="940" t="str">
        <f>IF(CHMAData!BF36=0,"",CHMAData!BF36)</f>
        <v/>
      </c>
      <c r="N451" s="940"/>
      <c r="O451" s="940"/>
      <c r="P451" s="940"/>
      <c r="Q451" s="868" t="str">
        <f>IF(CHMAData!BG36=0,"",CHMAData!BG36)</f>
        <v/>
      </c>
      <c r="R451" s="869"/>
      <c r="S451" s="869"/>
      <c r="T451" s="870"/>
      <c r="U451" s="868" t="str">
        <f>IF(CHMAData!BH36=0,"",CHMAData!BH36)</f>
        <v/>
      </c>
      <c r="V451" s="869"/>
      <c r="W451" s="870"/>
      <c r="X451" s="868" t="str">
        <f>IF(CHMAData!BI36=0,"",CHMAData!BI36)</f>
        <v/>
      </c>
      <c r="Y451" s="869"/>
      <c r="Z451" s="870"/>
      <c r="AA451" s="1300">
        <f t="shared" si="9"/>
        <v>0</v>
      </c>
      <c r="AB451" s="1301"/>
      <c r="AC451" s="1301"/>
      <c r="AD451" s="1302"/>
      <c r="AE451" s="866" t="str">
        <f>IF(CHMAData!BK36=0,"",CHMAData!BK36)</f>
        <v/>
      </c>
      <c r="AF451" s="867"/>
      <c r="AG451" s="529"/>
      <c r="AH451" s="518"/>
      <c r="AJ451" s="595" t="b">
        <f t="shared" si="10"/>
        <v>0</v>
      </c>
    </row>
    <row r="452" spans="1:36" hidden="1" x14ac:dyDescent="0.45">
      <c r="A452" s="518"/>
      <c r="B452" s="514" t="s">
        <v>1439</v>
      </c>
      <c r="C452" s="515"/>
      <c r="D452" s="515"/>
      <c r="E452" s="515"/>
      <c r="F452" s="515"/>
      <c r="G452" s="886" t="str">
        <f>IF(CHMAData!W37=0,"",SUBSTITUTE(SUBSTITUTE(CHMAData!W37,"Acquired and Rehabilitated Housing","A/R"),"Newly Constructed Housing","N/C"))</f>
        <v/>
      </c>
      <c r="H452" s="887"/>
      <c r="I452" s="578" t="str">
        <f>IF(CHMAData!BP37=0,"",LEFT(CHMAData!BP37,1))</f>
        <v/>
      </c>
      <c r="J452" s="577" t="str">
        <f>IF(CHMAData!T37=0,"",LEFT(CHMAData!T37,1))</f>
        <v/>
      </c>
      <c r="K452" s="886" t="str">
        <f>IF(CHMAData!BE37=0,"",CHMAData!BE37)</f>
        <v/>
      </c>
      <c r="L452" s="887"/>
      <c r="M452" s="940" t="str">
        <f>IF(CHMAData!BF37=0,"",CHMAData!BF37)</f>
        <v/>
      </c>
      <c r="N452" s="940"/>
      <c r="O452" s="940"/>
      <c r="P452" s="940"/>
      <c r="Q452" s="868" t="str">
        <f>IF(CHMAData!BG37=0,"",CHMAData!BG37)</f>
        <v/>
      </c>
      <c r="R452" s="869"/>
      <c r="S452" s="869"/>
      <c r="T452" s="870"/>
      <c r="U452" s="868" t="str">
        <f>IF(CHMAData!BH37=0,"",CHMAData!BH37)</f>
        <v/>
      </c>
      <c r="V452" s="869"/>
      <c r="W452" s="870"/>
      <c r="X452" s="868" t="str">
        <f>IF(CHMAData!BI37=0,"",CHMAData!BI37)</f>
        <v/>
      </c>
      <c r="Y452" s="869"/>
      <c r="Z452" s="870"/>
      <c r="AA452" s="1300">
        <f t="shared" si="9"/>
        <v>0</v>
      </c>
      <c r="AB452" s="1301"/>
      <c r="AC452" s="1301"/>
      <c r="AD452" s="1302"/>
      <c r="AE452" s="866" t="str">
        <f>IF(CHMAData!BK37=0,"",CHMAData!BK37)</f>
        <v/>
      </c>
      <c r="AF452" s="867"/>
      <c r="AG452" s="529"/>
      <c r="AH452" s="518"/>
      <c r="AJ452" s="595" t="b">
        <f t="shared" si="10"/>
        <v>0</v>
      </c>
    </row>
    <row r="453" spans="1:36" hidden="1" x14ac:dyDescent="0.45">
      <c r="A453" s="518"/>
      <c r="B453" s="514" t="s">
        <v>1440</v>
      </c>
      <c r="C453" s="515"/>
      <c r="D453" s="515"/>
      <c r="E453" s="515"/>
      <c r="F453" s="515"/>
      <c r="G453" s="886" t="str">
        <f>IF(CHMAData!W38=0,"",SUBSTITUTE(SUBSTITUTE(CHMAData!W38,"Acquired and Rehabilitated Housing","A/R"),"Newly Constructed Housing","N/C"))</f>
        <v/>
      </c>
      <c r="H453" s="887"/>
      <c r="I453" s="578" t="str">
        <f>IF(CHMAData!BP38=0,"",LEFT(CHMAData!BP38,1))</f>
        <v/>
      </c>
      <c r="J453" s="577" t="str">
        <f>IF(CHMAData!T38=0,"",LEFT(CHMAData!T38,1))</f>
        <v/>
      </c>
      <c r="K453" s="886" t="str">
        <f>IF(CHMAData!BE38=0,"",CHMAData!BE38)</f>
        <v/>
      </c>
      <c r="L453" s="887"/>
      <c r="M453" s="940" t="str">
        <f>IF(CHMAData!BF38=0,"",CHMAData!BF38)</f>
        <v/>
      </c>
      <c r="N453" s="940"/>
      <c r="O453" s="940"/>
      <c r="P453" s="940"/>
      <c r="Q453" s="868" t="str">
        <f>IF(CHMAData!BG38=0,"",CHMAData!BG38)</f>
        <v/>
      </c>
      <c r="R453" s="869"/>
      <c r="S453" s="869"/>
      <c r="T453" s="870"/>
      <c r="U453" s="868" t="str">
        <f>IF(CHMAData!BH38=0,"",CHMAData!BH38)</f>
        <v/>
      </c>
      <c r="V453" s="869"/>
      <c r="W453" s="870"/>
      <c r="X453" s="868" t="str">
        <f>IF(CHMAData!BI38=0,"",CHMAData!BI38)</f>
        <v/>
      </c>
      <c r="Y453" s="869"/>
      <c r="Z453" s="870"/>
      <c r="AA453" s="1300">
        <f t="shared" si="9"/>
        <v>0</v>
      </c>
      <c r="AB453" s="1301"/>
      <c r="AC453" s="1301"/>
      <c r="AD453" s="1302"/>
      <c r="AE453" s="866" t="str">
        <f>IF(CHMAData!BK38=0,"",CHMAData!BK38)</f>
        <v/>
      </c>
      <c r="AF453" s="867"/>
      <c r="AG453" s="529"/>
      <c r="AH453" s="518"/>
      <c r="AJ453" s="595" t="b">
        <f t="shared" si="10"/>
        <v>0</v>
      </c>
    </row>
    <row r="454" spans="1:36" hidden="1" x14ac:dyDescent="0.45">
      <c r="A454" s="518"/>
      <c r="B454" s="514" t="s">
        <v>1441</v>
      </c>
      <c r="C454" s="515"/>
      <c r="D454" s="515"/>
      <c r="E454" s="515"/>
      <c r="F454" s="515"/>
      <c r="G454" s="886" t="str">
        <f>IF(CHMAData!W39=0,"",SUBSTITUTE(SUBSTITUTE(CHMAData!W39,"Acquired and Rehabilitated Housing","A/R"),"Newly Constructed Housing","N/C"))</f>
        <v/>
      </c>
      <c r="H454" s="887"/>
      <c r="I454" s="578" t="str">
        <f>IF(CHMAData!BP39=0,"",LEFT(CHMAData!BP39,1))</f>
        <v/>
      </c>
      <c r="J454" s="577" t="str">
        <f>IF(CHMAData!T39=0,"",LEFT(CHMAData!T39,1))</f>
        <v/>
      </c>
      <c r="K454" s="886" t="str">
        <f>IF(CHMAData!BE39=0,"",CHMAData!BE39)</f>
        <v/>
      </c>
      <c r="L454" s="887"/>
      <c r="M454" s="940" t="str">
        <f>IF(CHMAData!BF39=0,"",CHMAData!BF39)</f>
        <v/>
      </c>
      <c r="N454" s="940"/>
      <c r="O454" s="940"/>
      <c r="P454" s="940"/>
      <c r="Q454" s="868" t="str">
        <f>IF(CHMAData!BG39=0,"",CHMAData!BG39)</f>
        <v/>
      </c>
      <c r="R454" s="869"/>
      <c r="S454" s="869"/>
      <c r="T454" s="870"/>
      <c r="U454" s="868" t="str">
        <f>IF(CHMAData!BH39=0,"",CHMAData!BH39)</f>
        <v/>
      </c>
      <c r="V454" s="869"/>
      <c r="W454" s="870"/>
      <c r="X454" s="868" t="str">
        <f>IF(CHMAData!BI39=0,"",CHMAData!BI39)</f>
        <v/>
      </c>
      <c r="Y454" s="869"/>
      <c r="Z454" s="870"/>
      <c r="AA454" s="1300">
        <f t="shared" si="9"/>
        <v>0</v>
      </c>
      <c r="AB454" s="1301"/>
      <c r="AC454" s="1301"/>
      <c r="AD454" s="1302"/>
      <c r="AE454" s="866" t="str">
        <f>IF(CHMAData!BK39=0,"",CHMAData!BK39)</f>
        <v/>
      </c>
      <c r="AF454" s="867"/>
      <c r="AG454" s="529"/>
      <c r="AH454" s="518"/>
      <c r="AJ454" s="595" t="b">
        <f t="shared" si="10"/>
        <v>0</v>
      </c>
    </row>
    <row r="455" spans="1:36" hidden="1" x14ac:dyDescent="0.45">
      <c r="A455" s="518"/>
      <c r="B455" s="514" t="s">
        <v>152</v>
      </c>
      <c r="C455" s="515"/>
      <c r="D455" s="515"/>
      <c r="E455" s="515"/>
      <c r="F455" s="515"/>
      <c r="G455" s="886" t="str">
        <f>IF(CHMAData!W40=0,"",SUBSTITUTE(SUBSTITUTE(CHMAData!W40,"Acquired and Rehabilitated Housing","A/R"),"Newly Constructed Housing","N/C"))</f>
        <v/>
      </c>
      <c r="H455" s="887"/>
      <c r="I455" s="578" t="str">
        <f>IF(CHMAData!BP40=0,"",LEFT(CHMAData!BP40,1))</f>
        <v/>
      </c>
      <c r="J455" s="577" t="str">
        <f>IF(CHMAData!T40=0,"",LEFT(CHMAData!T40,1))</f>
        <v/>
      </c>
      <c r="K455" s="886" t="str">
        <f>IF(CHMAData!BE40=0,"",CHMAData!BE40)</f>
        <v/>
      </c>
      <c r="L455" s="887"/>
      <c r="M455" s="940" t="str">
        <f>IF(CHMAData!BF40=0,"",CHMAData!BF40)</f>
        <v/>
      </c>
      <c r="N455" s="940"/>
      <c r="O455" s="940"/>
      <c r="P455" s="940"/>
      <c r="Q455" s="868" t="str">
        <f>IF(CHMAData!BG40=0,"",CHMAData!BG40)</f>
        <v/>
      </c>
      <c r="R455" s="869"/>
      <c r="S455" s="869"/>
      <c r="T455" s="870"/>
      <c r="U455" s="868" t="str">
        <f>IF(CHMAData!BH40=0,"",CHMAData!BH40)</f>
        <v/>
      </c>
      <c r="V455" s="869"/>
      <c r="W455" s="870"/>
      <c r="X455" s="868" t="str">
        <f>IF(CHMAData!BI40=0,"",CHMAData!BI40)</f>
        <v/>
      </c>
      <c r="Y455" s="869"/>
      <c r="Z455" s="870"/>
      <c r="AA455" s="1300">
        <f t="shared" si="9"/>
        <v>0</v>
      </c>
      <c r="AB455" s="1301"/>
      <c r="AC455" s="1301"/>
      <c r="AD455" s="1302"/>
      <c r="AE455" s="866" t="str">
        <f>IF(CHMAData!BK40=0,"",CHMAData!BK40)</f>
        <v/>
      </c>
      <c r="AF455" s="867"/>
      <c r="AG455" s="529"/>
      <c r="AH455" s="518"/>
      <c r="AJ455" s="595" t="b">
        <f t="shared" si="10"/>
        <v>0</v>
      </c>
    </row>
    <row r="456" spans="1:36" hidden="1" x14ac:dyDescent="0.45">
      <c r="A456" s="518"/>
      <c r="B456" s="514" t="s">
        <v>1442</v>
      </c>
      <c r="C456" s="515"/>
      <c r="D456" s="515"/>
      <c r="E456" s="515"/>
      <c r="F456" s="515"/>
      <c r="G456" s="886" t="str">
        <f>IF(CHMAData!W41=0,"",SUBSTITUTE(SUBSTITUTE(CHMAData!W41,"Acquired and Rehabilitated Housing","A/R"),"Newly Constructed Housing","N/C"))</f>
        <v/>
      </c>
      <c r="H456" s="887"/>
      <c r="I456" s="578" t="str">
        <f>IF(CHMAData!BP41=0,"",LEFT(CHMAData!BP41,1))</f>
        <v/>
      </c>
      <c r="J456" s="577" t="str">
        <f>IF(CHMAData!T41=0,"",LEFT(CHMAData!T41,1))</f>
        <v/>
      </c>
      <c r="K456" s="886" t="str">
        <f>IF(CHMAData!BE41=0,"",CHMAData!BE41)</f>
        <v/>
      </c>
      <c r="L456" s="887"/>
      <c r="M456" s="940" t="str">
        <f>IF(CHMAData!BF41=0,"",CHMAData!BF41)</f>
        <v/>
      </c>
      <c r="N456" s="940"/>
      <c r="O456" s="940"/>
      <c r="P456" s="940"/>
      <c r="Q456" s="868" t="str">
        <f>IF(CHMAData!BG41=0,"",CHMAData!BG41)</f>
        <v/>
      </c>
      <c r="R456" s="869"/>
      <c r="S456" s="869"/>
      <c r="T456" s="870"/>
      <c r="U456" s="868" t="str">
        <f>IF(CHMAData!BH41=0,"",CHMAData!BH41)</f>
        <v/>
      </c>
      <c r="V456" s="869"/>
      <c r="W456" s="870"/>
      <c r="X456" s="868" t="str">
        <f>IF(CHMAData!BI41=0,"",CHMAData!BI41)</f>
        <v/>
      </c>
      <c r="Y456" s="869"/>
      <c r="Z456" s="870"/>
      <c r="AA456" s="1300">
        <f t="shared" si="9"/>
        <v>0</v>
      </c>
      <c r="AB456" s="1301"/>
      <c r="AC456" s="1301"/>
      <c r="AD456" s="1302"/>
      <c r="AE456" s="866" t="str">
        <f>IF(CHMAData!BK41=0,"",CHMAData!BK41)</f>
        <v/>
      </c>
      <c r="AF456" s="867"/>
      <c r="AG456" s="529"/>
      <c r="AH456" s="518"/>
      <c r="AJ456" s="595" t="b">
        <f t="shared" si="10"/>
        <v>0</v>
      </c>
    </row>
    <row r="457" spans="1:36" hidden="1" x14ac:dyDescent="0.45">
      <c r="A457" s="518"/>
      <c r="B457" s="514" t="s">
        <v>1443</v>
      </c>
      <c r="C457" s="515"/>
      <c r="D457" s="515"/>
      <c r="E457" s="515"/>
      <c r="F457" s="515"/>
      <c r="G457" s="886" t="str">
        <f>IF(CHMAData!W42=0,"",SUBSTITUTE(SUBSTITUTE(CHMAData!W42,"Acquired and Rehabilitated Housing","A/R"),"Newly Constructed Housing","N/C"))</f>
        <v/>
      </c>
      <c r="H457" s="887"/>
      <c r="I457" s="578" t="str">
        <f>IF(CHMAData!BP42=0,"",LEFT(CHMAData!BP42,1))</f>
        <v/>
      </c>
      <c r="J457" s="577" t="str">
        <f>IF(CHMAData!T42=0,"",LEFT(CHMAData!T42,1))</f>
        <v/>
      </c>
      <c r="K457" s="886" t="str">
        <f>IF(CHMAData!BE42=0,"",CHMAData!BE42)</f>
        <v/>
      </c>
      <c r="L457" s="887"/>
      <c r="M457" s="940" t="str">
        <f>IF(CHMAData!BF42=0,"",CHMAData!BF42)</f>
        <v/>
      </c>
      <c r="N457" s="940"/>
      <c r="O457" s="940"/>
      <c r="P457" s="940"/>
      <c r="Q457" s="868" t="str">
        <f>IF(CHMAData!BG42=0,"",CHMAData!BG42)</f>
        <v/>
      </c>
      <c r="R457" s="869"/>
      <c r="S457" s="869"/>
      <c r="T457" s="870"/>
      <c r="U457" s="868" t="str">
        <f>IF(CHMAData!BH42=0,"",CHMAData!BH42)</f>
        <v/>
      </c>
      <c r="V457" s="869"/>
      <c r="W457" s="870"/>
      <c r="X457" s="868" t="str">
        <f>IF(CHMAData!BI42=0,"",CHMAData!BI42)</f>
        <v/>
      </c>
      <c r="Y457" s="869"/>
      <c r="Z457" s="870"/>
      <c r="AA457" s="1300">
        <f t="shared" si="9"/>
        <v>0</v>
      </c>
      <c r="AB457" s="1301"/>
      <c r="AC457" s="1301"/>
      <c r="AD457" s="1302"/>
      <c r="AE457" s="866" t="str">
        <f>IF(CHMAData!BK42=0,"",CHMAData!BK42)</f>
        <v/>
      </c>
      <c r="AF457" s="867"/>
      <c r="AG457" s="529"/>
      <c r="AH457" s="518"/>
      <c r="AJ457" s="595" t="b">
        <f t="shared" si="10"/>
        <v>0</v>
      </c>
    </row>
    <row r="458" spans="1:36" hidden="1" x14ac:dyDescent="0.45">
      <c r="A458" s="518"/>
      <c r="B458" s="514" t="s">
        <v>1444</v>
      </c>
      <c r="C458" s="515"/>
      <c r="D458" s="515"/>
      <c r="E458" s="515"/>
      <c r="F458" s="515"/>
      <c r="G458" s="886" t="str">
        <f>IF(CHMAData!W43=0,"",SUBSTITUTE(SUBSTITUTE(CHMAData!W43,"Acquired and Rehabilitated Housing","A/R"),"Newly Constructed Housing","N/C"))</f>
        <v/>
      </c>
      <c r="H458" s="887"/>
      <c r="I458" s="578" t="str">
        <f>IF(CHMAData!BP43=0,"",LEFT(CHMAData!BP43,1))</f>
        <v/>
      </c>
      <c r="J458" s="577" t="str">
        <f>IF(CHMAData!T43=0,"",LEFT(CHMAData!T43,1))</f>
        <v/>
      </c>
      <c r="K458" s="886" t="str">
        <f>IF(CHMAData!BE43=0,"",CHMAData!BE43)</f>
        <v/>
      </c>
      <c r="L458" s="887"/>
      <c r="M458" s="940" t="str">
        <f>IF(CHMAData!BF43=0,"",CHMAData!BF43)</f>
        <v/>
      </c>
      <c r="N458" s="940"/>
      <c r="O458" s="940"/>
      <c r="P458" s="940"/>
      <c r="Q458" s="868" t="str">
        <f>IF(CHMAData!BG43=0,"",CHMAData!BG43)</f>
        <v/>
      </c>
      <c r="R458" s="869"/>
      <c r="S458" s="869"/>
      <c r="T458" s="870"/>
      <c r="U458" s="868" t="str">
        <f>IF(CHMAData!BH43=0,"",CHMAData!BH43)</f>
        <v/>
      </c>
      <c r="V458" s="869"/>
      <c r="W458" s="870"/>
      <c r="X458" s="868" t="str">
        <f>IF(CHMAData!BI43=0,"",CHMAData!BI43)</f>
        <v/>
      </c>
      <c r="Y458" s="869"/>
      <c r="Z458" s="870"/>
      <c r="AA458" s="1300">
        <f t="shared" si="9"/>
        <v>0</v>
      </c>
      <c r="AB458" s="1301"/>
      <c r="AC458" s="1301"/>
      <c r="AD458" s="1302"/>
      <c r="AE458" s="866" t="str">
        <f>IF(CHMAData!BK43=0,"",CHMAData!BK43)</f>
        <v/>
      </c>
      <c r="AF458" s="867"/>
      <c r="AG458" s="529"/>
      <c r="AH458" s="518"/>
      <c r="AJ458" s="595" t="b">
        <f t="shared" si="10"/>
        <v>0</v>
      </c>
    </row>
    <row r="459" spans="1:36" hidden="1" x14ac:dyDescent="0.45">
      <c r="A459" s="518"/>
      <c r="B459" s="514" t="s">
        <v>1445</v>
      </c>
      <c r="C459" s="515"/>
      <c r="D459" s="515"/>
      <c r="E459" s="515"/>
      <c r="F459" s="515"/>
      <c r="G459" s="886" t="str">
        <f>IF(CHMAData!W44=0,"",SUBSTITUTE(SUBSTITUTE(CHMAData!W44,"Acquired and Rehabilitated Housing","A/R"),"Newly Constructed Housing","N/C"))</f>
        <v/>
      </c>
      <c r="H459" s="887"/>
      <c r="I459" s="578" t="str">
        <f>IF(CHMAData!BP44=0,"",LEFT(CHMAData!BP44,1))</f>
        <v/>
      </c>
      <c r="J459" s="577" t="str">
        <f>IF(CHMAData!T44=0,"",LEFT(CHMAData!T44,1))</f>
        <v/>
      </c>
      <c r="K459" s="886" t="str">
        <f>IF(CHMAData!BE44=0,"",CHMAData!BE44)</f>
        <v/>
      </c>
      <c r="L459" s="887"/>
      <c r="M459" s="940" t="str">
        <f>IF(CHMAData!BF44=0,"",CHMAData!BF44)</f>
        <v/>
      </c>
      <c r="N459" s="940"/>
      <c r="O459" s="940"/>
      <c r="P459" s="940"/>
      <c r="Q459" s="868" t="str">
        <f>IF(CHMAData!BG44=0,"",CHMAData!BG44)</f>
        <v/>
      </c>
      <c r="R459" s="869"/>
      <c r="S459" s="869"/>
      <c r="T459" s="870"/>
      <c r="U459" s="868" t="str">
        <f>IF(CHMAData!BH44=0,"",CHMAData!BH44)</f>
        <v/>
      </c>
      <c r="V459" s="869"/>
      <c r="W459" s="870"/>
      <c r="X459" s="868" t="str">
        <f>IF(CHMAData!BI44=0,"",CHMAData!BI44)</f>
        <v/>
      </c>
      <c r="Y459" s="869"/>
      <c r="Z459" s="870"/>
      <c r="AA459" s="1300">
        <f t="shared" si="9"/>
        <v>0</v>
      </c>
      <c r="AB459" s="1301"/>
      <c r="AC459" s="1301"/>
      <c r="AD459" s="1302"/>
      <c r="AE459" s="866" t="str">
        <f>IF(CHMAData!BK44=0,"",CHMAData!BK44)</f>
        <v/>
      </c>
      <c r="AF459" s="867"/>
      <c r="AG459" s="529"/>
      <c r="AH459" s="518"/>
      <c r="AJ459" s="595" t="b">
        <f t="shared" si="10"/>
        <v>0</v>
      </c>
    </row>
    <row r="460" spans="1:36" hidden="1" x14ac:dyDescent="0.45">
      <c r="A460" s="518"/>
      <c r="B460" s="514" t="s">
        <v>1446</v>
      </c>
      <c r="C460" s="515"/>
      <c r="D460" s="515"/>
      <c r="E460" s="515"/>
      <c r="F460" s="515"/>
      <c r="G460" s="886" t="str">
        <f>IF(CHMAData!W45=0,"",SUBSTITUTE(SUBSTITUTE(CHMAData!W45,"Acquired and Rehabilitated Housing","A/R"),"Newly Constructed Housing","N/C"))</f>
        <v/>
      </c>
      <c r="H460" s="887"/>
      <c r="I460" s="578" t="str">
        <f>IF(CHMAData!BP45=0,"",LEFT(CHMAData!BP45,1))</f>
        <v/>
      </c>
      <c r="J460" s="577" t="str">
        <f>IF(CHMAData!T45=0,"",LEFT(CHMAData!T45,1))</f>
        <v/>
      </c>
      <c r="K460" s="886" t="str">
        <f>IF(CHMAData!BE45=0,"",CHMAData!BE45)</f>
        <v/>
      </c>
      <c r="L460" s="887"/>
      <c r="M460" s="940" t="str">
        <f>IF(CHMAData!BF45=0,"",CHMAData!BF45)</f>
        <v/>
      </c>
      <c r="N460" s="940"/>
      <c r="O460" s="940"/>
      <c r="P460" s="940"/>
      <c r="Q460" s="868" t="str">
        <f>IF(CHMAData!BG45=0,"",CHMAData!BG45)</f>
        <v/>
      </c>
      <c r="R460" s="869"/>
      <c r="S460" s="869"/>
      <c r="T460" s="870"/>
      <c r="U460" s="868" t="str">
        <f>IF(CHMAData!BH45=0,"",CHMAData!BH45)</f>
        <v/>
      </c>
      <c r="V460" s="869"/>
      <c r="W460" s="870"/>
      <c r="X460" s="868" t="str">
        <f>IF(CHMAData!BI45=0,"",CHMAData!BI45)</f>
        <v/>
      </c>
      <c r="Y460" s="869"/>
      <c r="Z460" s="870"/>
      <c r="AA460" s="1300">
        <f t="shared" si="9"/>
        <v>0</v>
      </c>
      <c r="AB460" s="1301"/>
      <c r="AC460" s="1301"/>
      <c r="AD460" s="1302"/>
      <c r="AE460" s="866" t="str">
        <f>IF(CHMAData!BK45=0,"",CHMAData!BK45)</f>
        <v/>
      </c>
      <c r="AF460" s="867"/>
      <c r="AG460" s="529"/>
      <c r="AH460" s="518"/>
      <c r="AJ460" s="595" t="b">
        <f t="shared" si="10"/>
        <v>0</v>
      </c>
    </row>
    <row r="461" spans="1:36" hidden="1" x14ac:dyDescent="0.45">
      <c r="B461" s="514" t="s">
        <v>1447</v>
      </c>
      <c r="C461" s="515"/>
      <c r="D461" s="515"/>
      <c r="E461" s="515"/>
      <c r="F461" s="515"/>
      <c r="G461" s="886" t="str">
        <f>IF(CHMAData!W46=0,"",SUBSTITUTE(SUBSTITUTE(CHMAData!W46,"Acquired and Rehabilitated Housing","A/R"),"Newly Constructed Housing","N/C"))</f>
        <v/>
      </c>
      <c r="H461" s="887"/>
      <c r="I461" s="578" t="str">
        <f>IF(CHMAData!BP46=0,"",LEFT(CHMAData!BP46,1))</f>
        <v/>
      </c>
      <c r="J461" s="577" t="str">
        <f>IF(CHMAData!T46=0,"",LEFT(CHMAData!T46,1))</f>
        <v/>
      </c>
      <c r="K461" s="886" t="str">
        <f>IF(CHMAData!BE46=0,"",CHMAData!BE46)</f>
        <v/>
      </c>
      <c r="L461" s="887"/>
      <c r="M461" s="940" t="str">
        <f>IF(CHMAData!BF46=0,"",CHMAData!BF46)</f>
        <v/>
      </c>
      <c r="N461" s="940"/>
      <c r="O461" s="940"/>
      <c r="P461" s="940"/>
      <c r="Q461" s="868" t="str">
        <f>IF(CHMAData!BG46=0,"",CHMAData!BG46)</f>
        <v/>
      </c>
      <c r="R461" s="869"/>
      <c r="S461" s="869"/>
      <c r="T461" s="870"/>
      <c r="U461" s="868" t="str">
        <f>IF(CHMAData!BH46=0,"",CHMAData!BH46)</f>
        <v/>
      </c>
      <c r="V461" s="869"/>
      <c r="W461" s="870"/>
      <c r="X461" s="868" t="str">
        <f>IF(CHMAData!BI46=0,"",CHMAData!BI46)</f>
        <v/>
      </c>
      <c r="Y461" s="869"/>
      <c r="Z461" s="870"/>
      <c r="AA461" s="1300">
        <f t="shared" si="9"/>
        <v>0</v>
      </c>
      <c r="AB461" s="1301"/>
      <c r="AC461" s="1301"/>
      <c r="AD461" s="1302"/>
      <c r="AE461" s="866" t="str">
        <f>IF(CHMAData!BK46=0,"",CHMAData!BK46)</f>
        <v/>
      </c>
      <c r="AF461" s="867"/>
      <c r="AG461" s="529"/>
      <c r="AH461" s="518"/>
      <c r="AJ461" s="595" t="b">
        <f t="shared" si="10"/>
        <v>0</v>
      </c>
    </row>
    <row r="462" spans="1:36" hidden="1" x14ac:dyDescent="0.45">
      <c r="B462" s="514" t="s">
        <v>1448</v>
      </c>
      <c r="C462" s="515"/>
      <c r="D462" s="515"/>
      <c r="E462" s="515"/>
      <c r="F462" s="515"/>
      <c r="G462" s="886" t="str">
        <f>IF(CHMAData!W47=0,"",SUBSTITUTE(SUBSTITUTE(CHMAData!W47,"Acquired and Rehabilitated Housing","A/R"),"Newly Constructed Housing","N/C"))</f>
        <v/>
      </c>
      <c r="H462" s="887"/>
      <c r="I462" s="578" t="str">
        <f>IF(CHMAData!BP47=0,"",LEFT(CHMAData!BP47,1))</f>
        <v/>
      </c>
      <c r="J462" s="577" t="str">
        <f>IF(CHMAData!T47=0,"",LEFT(CHMAData!T47,1))</f>
        <v/>
      </c>
      <c r="K462" s="886" t="str">
        <f>IF(CHMAData!BE47=0,"",CHMAData!BE47)</f>
        <v/>
      </c>
      <c r="L462" s="887"/>
      <c r="M462" s="940" t="str">
        <f>IF(CHMAData!BF47=0,"",CHMAData!BF47)</f>
        <v/>
      </c>
      <c r="N462" s="940"/>
      <c r="O462" s="940"/>
      <c r="P462" s="940"/>
      <c r="Q462" s="868" t="str">
        <f>IF(CHMAData!BG47=0,"",CHMAData!BG47)</f>
        <v/>
      </c>
      <c r="R462" s="869"/>
      <c r="S462" s="869"/>
      <c r="T462" s="870"/>
      <c r="U462" s="868" t="str">
        <f>IF(CHMAData!BH47=0,"",CHMAData!BH47)</f>
        <v/>
      </c>
      <c r="V462" s="869"/>
      <c r="W462" s="870"/>
      <c r="X462" s="868" t="str">
        <f>IF(CHMAData!BI47=0,"",CHMAData!BI47)</f>
        <v/>
      </c>
      <c r="Y462" s="869"/>
      <c r="Z462" s="870"/>
      <c r="AA462" s="1300">
        <f t="shared" si="9"/>
        <v>0</v>
      </c>
      <c r="AB462" s="1301"/>
      <c r="AC462" s="1301"/>
      <c r="AD462" s="1302"/>
      <c r="AE462" s="866" t="str">
        <f>IF(CHMAData!BK47=0,"",CHMAData!BK47)</f>
        <v/>
      </c>
      <c r="AF462" s="867"/>
      <c r="AG462" s="529"/>
      <c r="AH462" s="518"/>
      <c r="AJ462" s="595" t="b">
        <f t="shared" si="10"/>
        <v>0</v>
      </c>
    </row>
    <row r="463" spans="1:36" hidden="1" x14ac:dyDescent="0.45">
      <c r="B463" s="514" t="s">
        <v>1449</v>
      </c>
      <c r="C463" s="515"/>
      <c r="D463" s="515"/>
      <c r="E463" s="515"/>
      <c r="F463" s="515"/>
      <c r="G463" s="886" t="str">
        <f>IF(CHMAData!W48=0,"",SUBSTITUTE(SUBSTITUTE(CHMAData!W48,"Acquired and Rehabilitated Housing","A/R"),"Newly Constructed Housing","N/C"))</f>
        <v/>
      </c>
      <c r="H463" s="887"/>
      <c r="I463" s="578" t="str">
        <f>IF(CHMAData!BP48=0,"",LEFT(CHMAData!BP48,1))</f>
        <v/>
      </c>
      <c r="J463" s="577" t="str">
        <f>IF(CHMAData!T48=0,"",LEFT(CHMAData!T48,1))</f>
        <v/>
      </c>
      <c r="K463" s="886" t="str">
        <f>IF(CHMAData!BE48=0,"",CHMAData!BE48)</f>
        <v/>
      </c>
      <c r="L463" s="887"/>
      <c r="M463" s="940" t="str">
        <f>IF(CHMAData!BF48=0,"",CHMAData!BF48)</f>
        <v/>
      </c>
      <c r="N463" s="940"/>
      <c r="O463" s="940"/>
      <c r="P463" s="940"/>
      <c r="Q463" s="868" t="str">
        <f>IF(CHMAData!BG48=0,"",CHMAData!BG48)</f>
        <v/>
      </c>
      <c r="R463" s="869"/>
      <c r="S463" s="869"/>
      <c r="T463" s="870"/>
      <c r="U463" s="868" t="str">
        <f>IF(CHMAData!BH48=0,"",CHMAData!BH48)</f>
        <v/>
      </c>
      <c r="V463" s="869"/>
      <c r="W463" s="870"/>
      <c r="X463" s="868" t="str">
        <f>IF(CHMAData!BI48=0,"",CHMAData!BI48)</f>
        <v/>
      </c>
      <c r="Y463" s="869"/>
      <c r="Z463" s="870"/>
      <c r="AA463" s="1300">
        <f t="shared" si="9"/>
        <v>0</v>
      </c>
      <c r="AB463" s="1301"/>
      <c r="AC463" s="1301"/>
      <c r="AD463" s="1302"/>
      <c r="AE463" s="866" t="str">
        <f>IF(CHMAData!BK48=0,"",CHMAData!BK48)</f>
        <v/>
      </c>
      <c r="AF463" s="867"/>
      <c r="AG463" s="529"/>
      <c r="AH463" s="518"/>
      <c r="AJ463" s="595" t="b">
        <f t="shared" si="10"/>
        <v>0</v>
      </c>
    </row>
    <row r="464" spans="1:36" hidden="1" x14ac:dyDescent="0.45">
      <c r="B464" s="514" t="s">
        <v>1450</v>
      </c>
      <c r="C464" s="515"/>
      <c r="D464" s="515"/>
      <c r="E464" s="515"/>
      <c r="F464" s="515"/>
      <c r="G464" s="886" t="str">
        <f>IF(CHMAData!W49=0,"",SUBSTITUTE(SUBSTITUTE(CHMAData!W49,"Acquired and Rehabilitated Housing","A/R"),"Newly Constructed Housing","N/C"))</f>
        <v/>
      </c>
      <c r="H464" s="887"/>
      <c r="I464" s="578" t="str">
        <f>IF(CHMAData!BP49=0,"",LEFT(CHMAData!BP49,1))</f>
        <v/>
      </c>
      <c r="J464" s="577" t="str">
        <f>IF(CHMAData!T49=0,"",LEFT(CHMAData!T49,1))</f>
        <v/>
      </c>
      <c r="K464" s="886" t="str">
        <f>IF(CHMAData!BE49=0,"",CHMAData!BE49)</f>
        <v/>
      </c>
      <c r="L464" s="887"/>
      <c r="M464" s="940" t="str">
        <f>IF(CHMAData!BF49=0,"",CHMAData!BF49)</f>
        <v/>
      </c>
      <c r="N464" s="940"/>
      <c r="O464" s="940"/>
      <c r="P464" s="940"/>
      <c r="Q464" s="868" t="str">
        <f>IF(CHMAData!BG49=0,"",CHMAData!BG49)</f>
        <v/>
      </c>
      <c r="R464" s="869"/>
      <c r="S464" s="869"/>
      <c r="T464" s="870"/>
      <c r="U464" s="868" t="str">
        <f>IF(CHMAData!BH49=0,"",CHMAData!BH49)</f>
        <v/>
      </c>
      <c r="V464" s="869"/>
      <c r="W464" s="870"/>
      <c r="X464" s="868" t="str">
        <f>IF(CHMAData!BI49=0,"",CHMAData!BI49)</f>
        <v/>
      </c>
      <c r="Y464" s="869"/>
      <c r="Z464" s="870"/>
      <c r="AA464" s="1300">
        <f t="shared" si="9"/>
        <v>0</v>
      </c>
      <c r="AB464" s="1301"/>
      <c r="AC464" s="1301"/>
      <c r="AD464" s="1302"/>
      <c r="AE464" s="866" t="str">
        <f>IF(CHMAData!BK49=0,"",CHMAData!BK49)</f>
        <v/>
      </c>
      <c r="AF464" s="867"/>
      <c r="AG464" s="529"/>
      <c r="AH464" s="518"/>
      <c r="AJ464" s="595" t="b">
        <f t="shared" si="10"/>
        <v>0</v>
      </c>
    </row>
    <row r="465" spans="1:36" hidden="1" x14ac:dyDescent="0.45">
      <c r="B465" s="514" t="s">
        <v>1451</v>
      </c>
      <c r="C465" s="515"/>
      <c r="D465" s="515"/>
      <c r="E465" s="515"/>
      <c r="F465" s="515"/>
      <c r="G465" s="886" t="str">
        <f>IF(CHMAData!W50=0,"",SUBSTITUTE(SUBSTITUTE(CHMAData!W50,"Acquired and Rehabilitated Housing","A/R"),"Newly Constructed Housing","N/C"))</f>
        <v/>
      </c>
      <c r="H465" s="887"/>
      <c r="I465" s="578" t="str">
        <f>IF(CHMAData!BP50=0,"",LEFT(CHMAData!BP50,1))</f>
        <v/>
      </c>
      <c r="J465" s="577" t="str">
        <f>IF(CHMAData!T50=0,"",LEFT(CHMAData!T50,1))</f>
        <v/>
      </c>
      <c r="K465" s="886" t="str">
        <f>IF(CHMAData!BE50=0,"",CHMAData!BE50)</f>
        <v/>
      </c>
      <c r="L465" s="887"/>
      <c r="M465" s="940" t="str">
        <f>IF(CHMAData!BF50=0,"",CHMAData!BF50)</f>
        <v/>
      </c>
      <c r="N465" s="940"/>
      <c r="O465" s="940"/>
      <c r="P465" s="940"/>
      <c r="Q465" s="868" t="str">
        <f>IF(CHMAData!BG50=0,"",CHMAData!BG50)</f>
        <v/>
      </c>
      <c r="R465" s="869"/>
      <c r="S465" s="869"/>
      <c r="T465" s="870"/>
      <c r="U465" s="868" t="str">
        <f>IF(CHMAData!BH50=0,"",CHMAData!BH50)</f>
        <v/>
      </c>
      <c r="V465" s="869"/>
      <c r="W465" s="870"/>
      <c r="X465" s="868" t="str">
        <f>IF(CHMAData!BI50=0,"",CHMAData!BI50)</f>
        <v/>
      </c>
      <c r="Y465" s="869"/>
      <c r="Z465" s="870"/>
      <c r="AA465" s="1300">
        <f t="shared" si="9"/>
        <v>0</v>
      </c>
      <c r="AB465" s="1301"/>
      <c r="AC465" s="1301"/>
      <c r="AD465" s="1302"/>
      <c r="AE465" s="866" t="str">
        <f>IF(CHMAData!BK50=0,"",CHMAData!BK50)</f>
        <v/>
      </c>
      <c r="AF465" s="867"/>
      <c r="AG465" s="529"/>
      <c r="AH465" s="518"/>
      <c r="AJ465" s="595" t="b">
        <f t="shared" si="10"/>
        <v>0</v>
      </c>
    </row>
    <row r="466" spans="1:36" hidden="1" x14ac:dyDescent="0.45">
      <c r="B466" s="514" t="s">
        <v>1452</v>
      </c>
      <c r="C466" s="515"/>
      <c r="D466" s="515"/>
      <c r="E466" s="515"/>
      <c r="F466" s="515"/>
      <c r="G466" s="886" t="str">
        <f>IF(CHMAData!W51=0,"",SUBSTITUTE(SUBSTITUTE(CHMAData!W51,"Acquired and Rehabilitated Housing","A/R"),"Newly Constructed Housing","N/C"))</f>
        <v/>
      </c>
      <c r="H466" s="887"/>
      <c r="I466" s="578" t="str">
        <f>IF(CHMAData!BP51=0,"",LEFT(CHMAData!BP51,1))</f>
        <v/>
      </c>
      <c r="J466" s="577" t="str">
        <f>IF(CHMAData!T51=0,"",LEFT(CHMAData!T51,1))</f>
        <v/>
      </c>
      <c r="K466" s="886" t="str">
        <f>IF(CHMAData!BE51=0,"",CHMAData!BE51)</f>
        <v/>
      </c>
      <c r="L466" s="887"/>
      <c r="M466" s="940" t="str">
        <f>IF(CHMAData!BF51=0,"",CHMAData!BF51)</f>
        <v/>
      </c>
      <c r="N466" s="940"/>
      <c r="O466" s="940"/>
      <c r="P466" s="940"/>
      <c r="Q466" s="868" t="str">
        <f>IF(CHMAData!BG51=0,"",CHMAData!BG51)</f>
        <v/>
      </c>
      <c r="R466" s="869"/>
      <c r="S466" s="869"/>
      <c r="T466" s="870"/>
      <c r="U466" s="868" t="str">
        <f>IF(CHMAData!BH51=0,"",CHMAData!BH51)</f>
        <v/>
      </c>
      <c r="V466" s="869"/>
      <c r="W466" s="870"/>
      <c r="X466" s="868" t="str">
        <f>IF(CHMAData!BI51=0,"",CHMAData!BI51)</f>
        <v/>
      </c>
      <c r="Y466" s="869"/>
      <c r="Z466" s="870"/>
      <c r="AA466" s="1300">
        <f t="shared" si="9"/>
        <v>0</v>
      </c>
      <c r="AB466" s="1301"/>
      <c r="AC466" s="1301"/>
      <c r="AD466" s="1302"/>
      <c r="AE466" s="866" t="str">
        <f>IF(CHMAData!BK51=0,"",CHMAData!BK51)</f>
        <v/>
      </c>
      <c r="AF466" s="867"/>
      <c r="AG466" s="529"/>
      <c r="AH466" s="518"/>
      <c r="AJ466" s="595" t="b">
        <f t="shared" si="10"/>
        <v>0</v>
      </c>
    </row>
    <row r="467" spans="1:36" hidden="1" x14ac:dyDescent="0.45">
      <c r="B467" s="514" t="s">
        <v>1453</v>
      </c>
      <c r="C467" s="515"/>
      <c r="D467" s="515"/>
      <c r="E467" s="515"/>
      <c r="F467" s="515"/>
      <c r="G467" s="886" t="str">
        <f>IF(CHMAData!W52=0,"",SUBSTITUTE(SUBSTITUTE(CHMAData!W52,"Acquired and Rehabilitated Housing","A/R"),"Newly Constructed Housing","N/C"))</f>
        <v/>
      </c>
      <c r="H467" s="887"/>
      <c r="I467" s="578" t="str">
        <f>IF(CHMAData!BP52=0,"",LEFT(CHMAData!BP52,1))</f>
        <v/>
      </c>
      <c r="J467" s="577" t="str">
        <f>IF(CHMAData!T52=0,"",LEFT(CHMAData!T52,1))</f>
        <v/>
      </c>
      <c r="K467" s="886" t="str">
        <f>IF(CHMAData!BE52=0,"",CHMAData!BE52)</f>
        <v/>
      </c>
      <c r="L467" s="887"/>
      <c r="M467" s="940" t="str">
        <f>IF(CHMAData!BF52=0,"",CHMAData!BF52)</f>
        <v/>
      </c>
      <c r="N467" s="940"/>
      <c r="O467" s="940"/>
      <c r="P467" s="940"/>
      <c r="Q467" s="868" t="str">
        <f>IF(CHMAData!BG52=0,"",CHMAData!BG52)</f>
        <v/>
      </c>
      <c r="R467" s="869"/>
      <c r="S467" s="869"/>
      <c r="T467" s="870"/>
      <c r="U467" s="868" t="str">
        <f>IF(CHMAData!BH52=0,"",CHMAData!BH52)</f>
        <v/>
      </c>
      <c r="V467" s="869"/>
      <c r="W467" s="870"/>
      <c r="X467" s="868" t="str">
        <f>IF(CHMAData!BI52=0,"",CHMAData!BI52)</f>
        <v/>
      </c>
      <c r="Y467" s="869"/>
      <c r="Z467" s="870"/>
      <c r="AA467" s="1300">
        <f t="shared" si="9"/>
        <v>0</v>
      </c>
      <c r="AB467" s="1301"/>
      <c r="AC467" s="1301"/>
      <c r="AD467" s="1302"/>
      <c r="AE467" s="866" t="str">
        <f>IF(CHMAData!BK52=0,"",CHMAData!BK52)</f>
        <v/>
      </c>
      <c r="AF467" s="867"/>
      <c r="AG467" s="529"/>
      <c r="AH467" s="518"/>
      <c r="AJ467" s="595" t="b">
        <f t="shared" si="10"/>
        <v>0</v>
      </c>
    </row>
    <row r="468" spans="1:36" hidden="1" x14ac:dyDescent="0.45">
      <c r="B468" s="514" t="s">
        <v>1454</v>
      </c>
      <c r="C468" s="515"/>
      <c r="D468" s="515"/>
      <c r="E468" s="515"/>
      <c r="F468" s="515"/>
      <c r="G468" s="886" t="str">
        <f>IF(CHMAData!W53=0,"",SUBSTITUTE(SUBSTITUTE(CHMAData!W53,"Acquired and Rehabilitated Housing","A/R"),"Newly Constructed Housing","N/C"))</f>
        <v/>
      </c>
      <c r="H468" s="887"/>
      <c r="I468" s="578" t="str">
        <f>IF(CHMAData!BP53=0,"",LEFT(CHMAData!BP53,1))</f>
        <v/>
      </c>
      <c r="J468" s="577" t="str">
        <f>IF(CHMAData!T53=0,"",LEFT(CHMAData!T53,1))</f>
        <v/>
      </c>
      <c r="K468" s="886" t="str">
        <f>IF(CHMAData!BE53=0,"",CHMAData!BE53)</f>
        <v/>
      </c>
      <c r="L468" s="887"/>
      <c r="M468" s="940" t="str">
        <f>IF(CHMAData!BF53=0,"",CHMAData!BF53)</f>
        <v/>
      </c>
      <c r="N468" s="940"/>
      <c r="O468" s="940"/>
      <c r="P468" s="940"/>
      <c r="Q468" s="868" t="str">
        <f>IF(CHMAData!BG53=0,"",CHMAData!BG53)</f>
        <v/>
      </c>
      <c r="R468" s="869"/>
      <c r="S468" s="869"/>
      <c r="T468" s="870"/>
      <c r="U468" s="868" t="str">
        <f>IF(CHMAData!BH53=0,"",CHMAData!BH53)</f>
        <v/>
      </c>
      <c r="V468" s="869"/>
      <c r="W468" s="870"/>
      <c r="X468" s="868" t="str">
        <f>IF(CHMAData!BI53=0,"",CHMAData!BI53)</f>
        <v/>
      </c>
      <c r="Y468" s="869"/>
      <c r="Z468" s="870"/>
      <c r="AA468" s="1300">
        <f t="shared" si="9"/>
        <v>0</v>
      </c>
      <c r="AB468" s="1301"/>
      <c r="AC468" s="1301"/>
      <c r="AD468" s="1302"/>
      <c r="AE468" s="866" t="str">
        <f>IF(CHMAData!BK53=0,"",CHMAData!BK53)</f>
        <v/>
      </c>
      <c r="AF468" s="867"/>
      <c r="AG468" s="529"/>
      <c r="AH468" s="518"/>
      <c r="AJ468" s="595" t="b">
        <f t="shared" si="10"/>
        <v>0</v>
      </c>
    </row>
    <row r="469" spans="1:36" hidden="1" x14ac:dyDescent="0.45">
      <c r="B469" s="514" t="s">
        <v>1455</v>
      </c>
      <c r="C469" s="515"/>
      <c r="D469" s="515"/>
      <c r="E469" s="515"/>
      <c r="F469" s="515"/>
      <c r="G469" s="886" t="str">
        <f>IF(CHMAData!W54=0,"",SUBSTITUTE(SUBSTITUTE(CHMAData!W54,"Acquired and Rehabilitated Housing","A/R"),"Newly Constructed Housing","N/C"))</f>
        <v/>
      </c>
      <c r="H469" s="887"/>
      <c r="I469" s="578" t="str">
        <f>IF(CHMAData!BP54=0,"",LEFT(CHMAData!BP54,1))</f>
        <v/>
      </c>
      <c r="J469" s="577" t="str">
        <f>IF(CHMAData!T54=0,"",LEFT(CHMAData!T54,1))</f>
        <v/>
      </c>
      <c r="K469" s="886" t="str">
        <f>IF(CHMAData!BE54=0,"",CHMAData!BE54)</f>
        <v/>
      </c>
      <c r="L469" s="887"/>
      <c r="M469" s="940" t="str">
        <f>IF(CHMAData!BF54=0,"",CHMAData!BF54)</f>
        <v/>
      </c>
      <c r="N469" s="940"/>
      <c r="O469" s="940"/>
      <c r="P469" s="940"/>
      <c r="Q469" s="868" t="str">
        <f>IF(CHMAData!BG54=0,"",CHMAData!BG54)</f>
        <v/>
      </c>
      <c r="R469" s="869"/>
      <c r="S469" s="869"/>
      <c r="T469" s="870"/>
      <c r="U469" s="868" t="str">
        <f>IF(CHMAData!BH54=0,"",CHMAData!BH54)</f>
        <v/>
      </c>
      <c r="V469" s="869"/>
      <c r="W469" s="870"/>
      <c r="X469" s="868" t="str">
        <f>IF(CHMAData!BI54=0,"",CHMAData!BI54)</f>
        <v/>
      </c>
      <c r="Y469" s="869"/>
      <c r="Z469" s="870"/>
      <c r="AA469" s="1300">
        <f t="shared" si="9"/>
        <v>0</v>
      </c>
      <c r="AB469" s="1301"/>
      <c r="AC469" s="1301"/>
      <c r="AD469" s="1302"/>
      <c r="AE469" s="866" t="str">
        <f>IF(CHMAData!BK54=0,"",CHMAData!BK54)</f>
        <v/>
      </c>
      <c r="AF469" s="867"/>
      <c r="AG469" s="529"/>
      <c r="AH469" s="518"/>
      <c r="AJ469" s="595" t="b">
        <f t="shared" si="10"/>
        <v>0</v>
      </c>
    </row>
    <row r="470" spans="1:36" hidden="1" x14ac:dyDescent="0.45">
      <c r="B470" s="514" t="s">
        <v>1456</v>
      </c>
      <c r="C470" s="515"/>
      <c r="D470" s="515"/>
      <c r="E470" s="515"/>
      <c r="F470" s="515"/>
      <c r="G470" s="886" t="str">
        <f>IF(CHMAData!W55=0,"",SUBSTITUTE(SUBSTITUTE(CHMAData!W55,"Acquired and Rehabilitated Housing","A/R"),"Newly Constructed Housing","N/C"))</f>
        <v/>
      </c>
      <c r="H470" s="887"/>
      <c r="I470" s="578" t="str">
        <f>IF(CHMAData!BP55=0,"",LEFT(CHMAData!BP55,1))</f>
        <v/>
      </c>
      <c r="J470" s="577" t="str">
        <f>IF(CHMAData!T55=0,"",LEFT(CHMAData!T55,1))</f>
        <v/>
      </c>
      <c r="K470" s="886" t="str">
        <f>IF(CHMAData!BE55=0,"",CHMAData!BE55)</f>
        <v/>
      </c>
      <c r="L470" s="887"/>
      <c r="M470" s="940" t="str">
        <f>IF(CHMAData!BF55=0,"",CHMAData!BF55)</f>
        <v/>
      </c>
      <c r="N470" s="940"/>
      <c r="O470" s="940"/>
      <c r="P470" s="940"/>
      <c r="Q470" s="868" t="str">
        <f>IF(CHMAData!BG55=0,"",CHMAData!BG55)</f>
        <v/>
      </c>
      <c r="R470" s="869"/>
      <c r="S470" s="869"/>
      <c r="T470" s="870"/>
      <c r="U470" s="868" t="str">
        <f>IF(CHMAData!BH55=0,"",CHMAData!BH55)</f>
        <v/>
      </c>
      <c r="V470" s="869"/>
      <c r="W470" s="870"/>
      <c r="X470" s="868" t="str">
        <f>IF(CHMAData!BI55=0,"",CHMAData!BI55)</f>
        <v/>
      </c>
      <c r="Y470" s="869"/>
      <c r="Z470" s="870"/>
      <c r="AA470" s="1300">
        <f t="shared" si="9"/>
        <v>0</v>
      </c>
      <c r="AB470" s="1301"/>
      <c r="AC470" s="1301"/>
      <c r="AD470" s="1302"/>
      <c r="AE470" s="866" t="str">
        <f>IF(CHMAData!BK55=0,"",CHMAData!BK55)</f>
        <v/>
      </c>
      <c r="AF470" s="867"/>
      <c r="AG470" s="529"/>
      <c r="AH470" s="518"/>
      <c r="AJ470" s="595" t="b">
        <f t="shared" si="10"/>
        <v>0</v>
      </c>
    </row>
    <row r="471" spans="1:36" hidden="1" x14ac:dyDescent="0.45">
      <c r="B471" s="514" t="s">
        <v>1457</v>
      </c>
      <c r="C471" s="515"/>
      <c r="D471" s="515"/>
      <c r="E471" s="515"/>
      <c r="F471" s="515"/>
      <c r="G471" s="886" t="str">
        <f>IF(CHMAData!W56=0,"",SUBSTITUTE(SUBSTITUTE(CHMAData!W56,"Acquired and Rehabilitated Housing","A/R"),"Newly Constructed Housing","N/C"))</f>
        <v/>
      </c>
      <c r="H471" s="887"/>
      <c r="I471" s="578" t="str">
        <f>IF(CHMAData!BP56=0,"",LEFT(CHMAData!BP56,1))</f>
        <v/>
      </c>
      <c r="J471" s="577" t="str">
        <f>IF(CHMAData!T56=0,"",LEFT(CHMAData!T56,1))</f>
        <v/>
      </c>
      <c r="K471" s="886" t="str">
        <f>IF(CHMAData!BE56=0,"",CHMAData!BE56)</f>
        <v/>
      </c>
      <c r="L471" s="887"/>
      <c r="M471" s="940" t="str">
        <f>IF(CHMAData!BF56=0,"",CHMAData!BF56)</f>
        <v/>
      </c>
      <c r="N471" s="940"/>
      <c r="O471" s="940"/>
      <c r="P471" s="940"/>
      <c r="Q471" s="868" t="str">
        <f>IF(CHMAData!BG56=0,"",CHMAData!BG56)</f>
        <v/>
      </c>
      <c r="R471" s="869"/>
      <c r="S471" s="869"/>
      <c r="T471" s="870"/>
      <c r="U471" s="868" t="str">
        <f>IF(CHMAData!BH56=0,"",CHMAData!BH56)</f>
        <v/>
      </c>
      <c r="V471" s="869"/>
      <c r="W471" s="870"/>
      <c r="X471" s="868" t="str">
        <f>IF(CHMAData!BI56=0,"",CHMAData!BI56)</f>
        <v/>
      </c>
      <c r="Y471" s="869"/>
      <c r="Z471" s="870"/>
      <c r="AA471" s="1300">
        <f t="shared" si="9"/>
        <v>0</v>
      </c>
      <c r="AB471" s="1301"/>
      <c r="AC471" s="1301"/>
      <c r="AD471" s="1302"/>
      <c r="AE471" s="866" t="str">
        <f>IF(CHMAData!BK56=0,"",CHMAData!BK56)</f>
        <v/>
      </c>
      <c r="AF471" s="867"/>
      <c r="AG471" s="529"/>
      <c r="AH471" s="518"/>
      <c r="AJ471" s="595" t="b">
        <f t="shared" si="10"/>
        <v>0</v>
      </c>
    </row>
    <row r="472" spans="1:36" hidden="1" x14ac:dyDescent="0.45">
      <c r="B472" s="514" t="s">
        <v>1458</v>
      </c>
      <c r="C472" s="515"/>
      <c r="D472" s="515"/>
      <c r="E472" s="515"/>
      <c r="F472" s="515"/>
      <c r="G472" s="886" t="str">
        <f>IF(CHMAData!W57=0,"",SUBSTITUTE(SUBSTITUTE(CHMAData!W57,"Acquired and Rehabilitated Housing","A/R"),"Newly Constructed Housing","N/C"))</f>
        <v/>
      </c>
      <c r="H472" s="887"/>
      <c r="I472" s="578" t="str">
        <f>IF(CHMAData!BP57=0,"",LEFT(CHMAData!BP57,1))</f>
        <v/>
      </c>
      <c r="J472" s="577" t="str">
        <f>IF(CHMAData!T57=0,"",LEFT(CHMAData!T57,1))</f>
        <v/>
      </c>
      <c r="K472" s="886" t="str">
        <f>IF(CHMAData!BE57=0,"",CHMAData!BE57)</f>
        <v/>
      </c>
      <c r="L472" s="887"/>
      <c r="M472" s="940" t="str">
        <f>IF(CHMAData!BF57=0,"",CHMAData!BF57)</f>
        <v/>
      </c>
      <c r="N472" s="940"/>
      <c r="O472" s="940"/>
      <c r="P472" s="940"/>
      <c r="Q472" s="868" t="str">
        <f>IF(CHMAData!BG57=0,"",CHMAData!BG57)</f>
        <v/>
      </c>
      <c r="R472" s="869"/>
      <c r="S472" s="869"/>
      <c r="T472" s="870"/>
      <c r="U472" s="868" t="str">
        <f>IF(CHMAData!BH57=0,"",CHMAData!BH57)</f>
        <v/>
      </c>
      <c r="V472" s="869"/>
      <c r="W472" s="870"/>
      <c r="X472" s="868" t="str">
        <f>IF(CHMAData!BI57=0,"",CHMAData!BI57)</f>
        <v/>
      </c>
      <c r="Y472" s="869"/>
      <c r="Z472" s="870"/>
      <c r="AA472" s="1300">
        <f t="shared" si="9"/>
        <v>0</v>
      </c>
      <c r="AB472" s="1301"/>
      <c r="AC472" s="1301"/>
      <c r="AD472" s="1302"/>
      <c r="AE472" s="866" t="str">
        <f>IF(CHMAData!BK57=0,"",CHMAData!BK57)</f>
        <v/>
      </c>
      <c r="AF472" s="867"/>
      <c r="AG472" s="529"/>
      <c r="AH472" s="518"/>
      <c r="AJ472" s="595" t="b">
        <f t="shared" si="10"/>
        <v>0</v>
      </c>
    </row>
    <row r="473" spans="1:36" hidden="1" x14ac:dyDescent="0.45">
      <c r="B473" s="514" t="s">
        <v>1459</v>
      </c>
      <c r="C473" s="515"/>
      <c r="D473" s="515"/>
      <c r="E473" s="515"/>
      <c r="F473" s="515"/>
      <c r="G473" s="886" t="str">
        <f>IF(CHMAData!W58=0,"",SUBSTITUTE(SUBSTITUTE(CHMAData!W58,"Acquired and Rehabilitated Housing","A/R"),"Newly Constructed Housing","N/C"))</f>
        <v/>
      </c>
      <c r="H473" s="887"/>
      <c r="I473" s="578" t="str">
        <f>IF(CHMAData!BP58=0,"",LEFT(CHMAData!BP58,1))</f>
        <v/>
      </c>
      <c r="J473" s="577" t="str">
        <f>IF(CHMAData!T58=0,"",LEFT(CHMAData!T58,1))</f>
        <v/>
      </c>
      <c r="K473" s="886" t="str">
        <f>IF(CHMAData!BE58=0,"",CHMAData!BE58)</f>
        <v/>
      </c>
      <c r="L473" s="887"/>
      <c r="M473" s="940" t="str">
        <f>IF(CHMAData!BF58=0,"",CHMAData!BF58)</f>
        <v/>
      </c>
      <c r="N473" s="940"/>
      <c r="O473" s="940"/>
      <c r="P473" s="940"/>
      <c r="Q473" s="868" t="str">
        <f>IF(CHMAData!BG58=0,"",CHMAData!BG58)</f>
        <v/>
      </c>
      <c r="R473" s="869"/>
      <c r="S473" s="869"/>
      <c r="T473" s="870"/>
      <c r="U473" s="868" t="str">
        <f>IF(CHMAData!BH58=0,"",CHMAData!BH58)</f>
        <v/>
      </c>
      <c r="V473" s="869"/>
      <c r="W473" s="870"/>
      <c r="X473" s="868" t="str">
        <f>IF(CHMAData!BI58=0,"",CHMAData!BI58)</f>
        <v/>
      </c>
      <c r="Y473" s="869"/>
      <c r="Z473" s="870"/>
      <c r="AA473" s="1300">
        <f t="shared" si="9"/>
        <v>0</v>
      </c>
      <c r="AB473" s="1301"/>
      <c r="AC473" s="1301"/>
      <c r="AD473" s="1302"/>
      <c r="AE473" s="866" t="str">
        <f>IF(CHMAData!BK58=0,"",CHMAData!BK58)</f>
        <v/>
      </c>
      <c r="AF473" s="867"/>
      <c r="AG473" s="529"/>
      <c r="AH473" s="518"/>
      <c r="AJ473" s="595" t="b">
        <f t="shared" si="10"/>
        <v>0</v>
      </c>
    </row>
    <row r="474" spans="1:36" hidden="1" x14ac:dyDescent="0.45">
      <c r="A474" s="518"/>
      <c r="B474" s="514" t="s">
        <v>1460</v>
      </c>
      <c r="C474" s="515"/>
      <c r="D474" s="515"/>
      <c r="E474" s="515"/>
      <c r="F474" s="515"/>
      <c r="G474" s="886" t="str">
        <f>IF(CHMAData!W59=0,"",SUBSTITUTE(SUBSTITUTE(CHMAData!W59,"Acquired and Rehabilitated Housing","A/R"),"Newly Constructed Housing","N/C"))</f>
        <v/>
      </c>
      <c r="H474" s="887"/>
      <c r="I474" s="578" t="str">
        <f>IF(CHMAData!BP59=0,"",LEFT(CHMAData!BP59,1))</f>
        <v/>
      </c>
      <c r="J474" s="577" t="str">
        <f>IF(CHMAData!T59=0,"",LEFT(CHMAData!T59,1))</f>
        <v/>
      </c>
      <c r="K474" s="886" t="str">
        <f>IF(CHMAData!BE59=0,"",CHMAData!BE59)</f>
        <v/>
      </c>
      <c r="L474" s="887"/>
      <c r="M474" s="940" t="str">
        <f>IF(CHMAData!BF59=0,"",CHMAData!BF59)</f>
        <v/>
      </c>
      <c r="N474" s="940"/>
      <c r="O474" s="940"/>
      <c r="P474" s="940"/>
      <c r="Q474" s="868" t="str">
        <f>IF(CHMAData!BG59=0,"",CHMAData!BG59)</f>
        <v/>
      </c>
      <c r="R474" s="869"/>
      <c r="S474" s="869"/>
      <c r="T474" s="870"/>
      <c r="U474" s="868" t="str">
        <f>IF(CHMAData!BH59=0,"",CHMAData!BH59)</f>
        <v/>
      </c>
      <c r="V474" s="869"/>
      <c r="W474" s="870"/>
      <c r="X474" s="868" t="str">
        <f>IF(CHMAData!BI59=0,"",CHMAData!BI59)</f>
        <v/>
      </c>
      <c r="Y474" s="869"/>
      <c r="Z474" s="870"/>
      <c r="AA474" s="1300">
        <f t="shared" si="9"/>
        <v>0</v>
      </c>
      <c r="AB474" s="1301"/>
      <c r="AC474" s="1301"/>
      <c r="AD474" s="1302"/>
      <c r="AE474" s="866" t="str">
        <f>IF(CHMAData!BK59=0,"",CHMAData!BK59)</f>
        <v/>
      </c>
      <c r="AF474" s="867"/>
      <c r="AG474" s="529"/>
      <c r="AH474" s="518"/>
      <c r="AJ474" s="595" t="b">
        <f t="shared" si="10"/>
        <v>0</v>
      </c>
    </row>
    <row r="475" spans="1:36" hidden="1" x14ac:dyDescent="0.45">
      <c r="A475" s="518"/>
      <c r="B475" s="514" t="s">
        <v>1461</v>
      </c>
      <c r="C475" s="515"/>
      <c r="D475" s="515"/>
      <c r="E475" s="515"/>
      <c r="F475" s="515"/>
      <c r="G475" s="886" t="str">
        <f>IF(CHMAData!W60=0,"",SUBSTITUTE(SUBSTITUTE(CHMAData!W60,"Acquired and Rehabilitated Housing","A/R"),"Newly Constructed Housing","N/C"))</f>
        <v/>
      </c>
      <c r="H475" s="887"/>
      <c r="I475" s="578" t="str">
        <f>IF(CHMAData!BP60=0,"",LEFT(CHMAData!BP60,1))</f>
        <v/>
      </c>
      <c r="J475" s="577" t="str">
        <f>IF(CHMAData!T60=0,"",LEFT(CHMAData!T60,1))</f>
        <v/>
      </c>
      <c r="K475" s="886" t="str">
        <f>IF(CHMAData!BE60=0,"",CHMAData!BE60)</f>
        <v/>
      </c>
      <c r="L475" s="887"/>
      <c r="M475" s="940" t="str">
        <f>IF(CHMAData!BF60=0,"",CHMAData!BF60)</f>
        <v/>
      </c>
      <c r="N475" s="940"/>
      <c r="O475" s="940"/>
      <c r="P475" s="940"/>
      <c r="Q475" s="868" t="str">
        <f>IF(CHMAData!BG60=0,"",CHMAData!BG60)</f>
        <v/>
      </c>
      <c r="R475" s="869"/>
      <c r="S475" s="869"/>
      <c r="T475" s="870"/>
      <c r="U475" s="868" t="str">
        <f>IF(CHMAData!BH60=0,"",CHMAData!BH60)</f>
        <v/>
      </c>
      <c r="V475" s="869"/>
      <c r="W475" s="870"/>
      <c r="X475" s="868" t="str">
        <f>IF(CHMAData!BI60=0,"",CHMAData!BI60)</f>
        <v/>
      </c>
      <c r="Y475" s="869"/>
      <c r="Z475" s="870"/>
      <c r="AA475" s="868">
        <f>SUM(Q475:Z475)</f>
        <v>0</v>
      </c>
      <c r="AB475" s="869"/>
      <c r="AC475" s="869"/>
      <c r="AD475" s="870"/>
      <c r="AE475" s="866" t="str">
        <f>IF(CHMAData!BK60=0,"",CHMAData!BK60)</f>
        <v/>
      </c>
      <c r="AF475" s="867"/>
      <c r="AG475" s="529"/>
      <c r="AH475" s="518"/>
      <c r="AJ475" s="595" t="b">
        <f t="shared" si="10"/>
        <v>0</v>
      </c>
    </row>
    <row r="476" spans="1:36" hidden="1" x14ac:dyDescent="0.45">
      <c r="A476" s="518"/>
      <c r="B476" s="518"/>
      <c r="C476" s="518"/>
      <c r="D476" s="518"/>
      <c r="E476" s="518"/>
      <c r="F476" s="518"/>
      <c r="G476" s="518"/>
      <c r="H476" s="518"/>
      <c r="I476" s="518"/>
      <c r="J476" s="518"/>
      <c r="K476" s="518"/>
      <c r="L476" s="518"/>
      <c r="M476" s="518"/>
      <c r="N476" s="518"/>
      <c r="O476" s="518"/>
      <c r="P476" s="518"/>
      <c r="Q476" s="518"/>
      <c r="R476" s="518"/>
      <c r="S476" s="518"/>
      <c r="T476" s="518"/>
      <c r="U476" s="518"/>
      <c r="V476" s="518"/>
      <c r="W476" s="518"/>
      <c r="X476" s="518"/>
      <c r="Y476" s="518"/>
      <c r="Z476" s="518"/>
      <c r="AA476" s="518"/>
      <c r="AB476" s="518"/>
      <c r="AC476" s="518"/>
      <c r="AD476" s="518"/>
      <c r="AE476" s="518"/>
      <c r="AF476" s="518"/>
      <c r="AG476" s="518"/>
      <c r="AH476" s="518"/>
      <c r="AJ476" s="595" t="b">
        <f>AJ411</f>
        <v>0</v>
      </c>
    </row>
    <row r="477" spans="1:36" hidden="1" x14ac:dyDescent="0.45">
      <c r="A477" s="518"/>
      <c r="B477" s="917" t="s">
        <v>173</v>
      </c>
      <c r="C477" s="918"/>
      <c r="D477" s="918"/>
      <c r="E477" s="918"/>
      <c r="F477" s="918"/>
      <c r="G477" s="918"/>
      <c r="H477" s="919">
        <f>CH_MA_MFDRuralTotalRequested</f>
        <v>0</v>
      </c>
      <c r="I477" s="920"/>
      <c r="J477" s="920"/>
      <c r="K477" s="920"/>
      <c r="L477" s="920"/>
      <c r="M477" s="920"/>
      <c r="N477" s="921"/>
      <c r="O477" s="518"/>
      <c r="P477" s="518"/>
      <c r="Q477" s="518"/>
      <c r="R477" s="518"/>
      <c r="S477" s="518"/>
      <c r="T477" s="518"/>
      <c r="U477" s="518"/>
      <c r="V477" s="518"/>
      <c r="W477" s="518"/>
      <c r="X477" s="518"/>
      <c r="Y477" s="518"/>
      <c r="Z477" s="518"/>
      <c r="AA477" s="518"/>
      <c r="AB477" s="518"/>
      <c r="AC477" s="518"/>
      <c r="AD477" s="518"/>
      <c r="AE477" s="518"/>
      <c r="AF477" s="518"/>
      <c r="AG477" s="518"/>
      <c r="AH477" s="518"/>
      <c r="AJ477" s="595"/>
    </row>
    <row r="478" spans="1:36" hidden="1" x14ac:dyDescent="0.45">
      <c r="A478" s="518"/>
      <c r="B478" s="518"/>
      <c r="C478" s="518"/>
      <c r="D478" s="518"/>
      <c r="E478" s="518"/>
      <c r="F478" s="518"/>
      <c r="G478" s="518"/>
      <c r="H478" s="518"/>
      <c r="I478" s="518"/>
      <c r="J478" s="518"/>
      <c r="K478" s="518"/>
      <c r="L478" s="518"/>
      <c r="M478" s="518"/>
      <c r="N478" s="518"/>
      <c r="O478" s="518"/>
      <c r="P478" s="518"/>
      <c r="Q478" s="518"/>
      <c r="R478" s="518"/>
      <c r="S478" s="518"/>
      <c r="T478" s="518"/>
      <c r="U478" s="518"/>
      <c r="V478" s="518"/>
      <c r="W478" s="518"/>
      <c r="X478" s="518"/>
      <c r="Y478" s="518"/>
      <c r="Z478" s="518"/>
      <c r="AA478" s="518"/>
      <c r="AB478" s="518"/>
      <c r="AC478" s="518"/>
      <c r="AD478" s="518"/>
      <c r="AE478" s="518"/>
      <c r="AF478" s="518"/>
      <c r="AG478" s="518"/>
      <c r="AH478" s="518"/>
      <c r="AJ478" s="595"/>
    </row>
    <row r="479" spans="1:36" hidden="1" x14ac:dyDescent="0.45">
      <c r="A479" s="518"/>
      <c r="B479" s="518" t="s">
        <v>1854</v>
      </c>
      <c r="C479" s="518"/>
      <c r="D479" s="518"/>
      <c r="E479" s="518"/>
      <c r="F479" s="518"/>
      <c r="G479" s="518"/>
      <c r="H479" s="518"/>
      <c r="I479" s="518"/>
      <c r="J479" s="518"/>
      <c r="K479" s="518"/>
      <c r="L479" s="518"/>
      <c r="M479" s="518"/>
      <c r="N479" s="518"/>
      <c r="O479" s="518"/>
      <c r="P479" s="518"/>
      <c r="Q479" s="518"/>
      <c r="R479" s="518"/>
      <c r="S479" s="518"/>
      <c r="T479" s="518"/>
      <c r="U479" s="518"/>
      <c r="V479" s="518"/>
      <c r="W479" s="518"/>
      <c r="X479" s="518"/>
      <c r="Y479" s="518"/>
      <c r="Z479" s="518"/>
      <c r="AA479" s="518"/>
      <c r="AB479" s="518"/>
      <c r="AC479" s="518"/>
      <c r="AD479" s="518"/>
      <c r="AE479" s="518"/>
      <c r="AF479" s="518"/>
      <c r="AG479" s="518"/>
      <c r="AH479" s="518"/>
      <c r="AJ479" s="595"/>
    </row>
    <row r="480" spans="1:36" hidden="1" x14ac:dyDescent="0.45">
      <c r="A480" s="518"/>
      <c r="B480" s="922" t="s">
        <v>174</v>
      </c>
      <c r="C480" s="922"/>
      <c r="D480" s="922"/>
      <c r="E480" s="922"/>
      <c r="F480" s="922"/>
      <c r="G480" s="922"/>
      <c r="H480" s="922"/>
      <c r="I480" s="922"/>
      <c r="J480" s="922"/>
      <c r="K480" s="922"/>
      <c r="L480" s="922"/>
      <c r="M480" s="922"/>
      <c r="N480" s="922"/>
      <c r="O480" s="878"/>
      <c r="P480" s="879"/>
      <c r="Q480" s="880"/>
      <c r="R480" s="518"/>
      <c r="S480" s="518"/>
      <c r="T480" s="518"/>
      <c r="U480" s="518"/>
      <c r="V480" s="518"/>
      <c r="W480" s="518"/>
      <c r="X480" s="518"/>
      <c r="Y480" s="518"/>
      <c r="Z480" s="518"/>
      <c r="AA480" s="518"/>
      <c r="AB480" s="518"/>
      <c r="AC480" s="518"/>
      <c r="AD480" s="518"/>
      <c r="AE480" s="518"/>
      <c r="AF480" s="518"/>
      <c r="AG480" s="518"/>
      <c r="AH480" s="518"/>
      <c r="AJ480" s="595"/>
    </row>
    <row r="481" spans="1:37" hidden="1" x14ac:dyDescent="0.45">
      <c r="A481" s="518"/>
      <c r="B481" s="922" t="s">
        <v>175</v>
      </c>
      <c r="C481" s="922"/>
      <c r="D481" s="922"/>
      <c r="E481" s="922"/>
      <c r="F481" s="922"/>
      <c r="G481" s="922"/>
      <c r="H481" s="922"/>
      <c r="I481" s="922"/>
      <c r="J481" s="922"/>
      <c r="K481" s="922"/>
      <c r="L481" s="922"/>
      <c r="M481" s="922"/>
      <c r="N481" s="922"/>
      <c r="O481" s="878"/>
      <c r="P481" s="879"/>
      <c r="Q481" s="880"/>
      <c r="R481" s="518"/>
      <c r="S481" s="518"/>
      <c r="T481" s="518"/>
      <c r="U481" s="518"/>
      <c r="V481" s="518"/>
      <c r="W481" s="518"/>
      <c r="X481" s="518"/>
      <c r="Y481" s="518"/>
      <c r="Z481" s="518"/>
      <c r="AA481" s="518"/>
      <c r="AB481" s="518"/>
      <c r="AC481" s="518"/>
      <c r="AD481" s="518"/>
      <c r="AE481" s="518"/>
      <c r="AF481" s="518"/>
      <c r="AG481" s="518"/>
      <c r="AH481" s="518"/>
      <c r="AJ481" s="595"/>
    </row>
    <row r="482" spans="1:37" hidden="1" x14ac:dyDescent="0.45">
      <c r="A482" s="518"/>
      <c r="B482" s="922" t="s">
        <v>176</v>
      </c>
      <c r="C482" s="922"/>
      <c r="D482" s="922"/>
      <c r="E482" s="922"/>
      <c r="F482" s="922"/>
      <c r="G482" s="922"/>
      <c r="H482" s="922"/>
      <c r="I482" s="922"/>
      <c r="J482" s="922"/>
      <c r="K482" s="922"/>
      <c r="L482" s="922"/>
      <c r="M482" s="922"/>
      <c r="N482" s="922"/>
      <c r="O482" s="878"/>
      <c r="P482" s="879"/>
      <c r="Q482" s="880"/>
      <c r="R482" s="518"/>
      <c r="S482" s="518"/>
      <c r="T482" s="518"/>
      <c r="U482" s="518"/>
      <c r="V482" s="518"/>
      <c r="W482" s="518"/>
      <c r="X482" s="518"/>
      <c r="Y482" s="518"/>
      <c r="Z482" s="518"/>
      <c r="AA482" s="518"/>
      <c r="AB482" s="518"/>
      <c r="AC482" s="518"/>
      <c r="AD482" s="518"/>
      <c r="AE482" s="518"/>
      <c r="AF482" s="518"/>
      <c r="AG482" s="518"/>
      <c r="AH482" s="518"/>
      <c r="AJ482" s="595"/>
    </row>
    <row r="483" spans="1:37" hidden="1" x14ac:dyDescent="0.45">
      <c r="A483" s="518"/>
      <c r="B483" s="922" t="s">
        <v>177</v>
      </c>
      <c r="C483" s="922"/>
      <c r="D483" s="922"/>
      <c r="E483" s="922"/>
      <c r="F483" s="922"/>
      <c r="G483" s="922"/>
      <c r="H483" s="922"/>
      <c r="I483" s="922"/>
      <c r="J483" s="922"/>
      <c r="K483" s="922"/>
      <c r="L483" s="922"/>
      <c r="M483" s="922"/>
      <c r="N483" s="922"/>
      <c r="O483" s="878"/>
      <c r="P483" s="879"/>
      <c r="Q483" s="880"/>
      <c r="R483" s="518"/>
      <c r="S483" s="518"/>
      <c r="T483" s="518"/>
      <c r="U483" s="518"/>
      <c r="V483" s="518"/>
      <c r="W483" s="518"/>
      <c r="X483" s="518"/>
      <c r="Y483" s="518"/>
      <c r="Z483" s="518"/>
      <c r="AA483" s="518"/>
      <c r="AB483" s="518"/>
      <c r="AC483" s="518"/>
      <c r="AD483" s="518"/>
      <c r="AE483" s="518"/>
      <c r="AF483" s="518"/>
      <c r="AG483" s="518"/>
      <c r="AH483" s="518"/>
      <c r="AJ483" s="595"/>
    </row>
    <row r="484" spans="1:37" hidden="1" x14ac:dyDescent="0.45">
      <c r="A484" s="518"/>
      <c r="B484" s="922" t="s">
        <v>178</v>
      </c>
      <c r="C484" s="922"/>
      <c r="D484" s="922"/>
      <c r="E484" s="922"/>
      <c r="F484" s="922"/>
      <c r="G484" s="922"/>
      <c r="H484" s="922"/>
      <c r="I484" s="922"/>
      <c r="J484" s="922"/>
      <c r="K484" s="922"/>
      <c r="L484" s="922"/>
      <c r="M484" s="922"/>
      <c r="N484" s="922"/>
      <c r="O484" s="878"/>
      <c r="P484" s="879"/>
      <c r="Q484" s="880"/>
      <c r="R484" s="518"/>
      <c r="S484" s="518"/>
      <c r="T484" s="518"/>
      <c r="U484" s="518"/>
      <c r="V484" s="518"/>
      <c r="W484" s="518"/>
      <c r="X484" s="518"/>
      <c r="Y484" s="518"/>
      <c r="Z484" s="518"/>
      <c r="AA484" s="518"/>
      <c r="AB484" s="518"/>
      <c r="AC484" s="518"/>
      <c r="AD484" s="518"/>
      <c r="AE484" s="518"/>
      <c r="AF484" s="518"/>
      <c r="AG484" s="518"/>
      <c r="AH484" s="518"/>
      <c r="AJ484" s="595"/>
    </row>
    <row r="485" spans="1:37" hidden="1" x14ac:dyDescent="0.45">
      <c r="A485" s="518"/>
      <c r="B485" s="922" t="s">
        <v>179</v>
      </c>
      <c r="C485" s="922"/>
      <c r="D485" s="922"/>
      <c r="E485" s="922"/>
      <c r="F485" s="922"/>
      <c r="G485" s="922"/>
      <c r="H485" s="922"/>
      <c r="I485" s="922"/>
      <c r="J485" s="922"/>
      <c r="K485" s="922"/>
      <c r="L485" s="922"/>
      <c r="M485" s="922"/>
      <c r="N485" s="922"/>
      <c r="O485" s="878"/>
      <c r="P485" s="879"/>
      <c r="Q485" s="880"/>
      <c r="R485" s="518"/>
      <c r="S485" s="518"/>
      <c r="T485" s="518"/>
      <c r="U485" s="518"/>
      <c r="V485" s="518"/>
      <c r="W485" s="518"/>
      <c r="X485" s="518"/>
      <c r="Y485" s="518"/>
      <c r="Z485" s="518"/>
      <c r="AA485" s="518"/>
      <c r="AB485" s="518"/>
      <c r="AC485" s="518"/>
      <c r="AD485" s="518"/>
      <c r="AE485" s="518"/>
      <c r="AF485" s="518"/>
      <c r="AG485" s="518"/>
      <c r="AH485" s="518"/>
      <c r="AJ485" s="595"/>
    </row>
    <row r="486" spans="1:37" hidden="1" x14ac:dyDescent="0.45">
      <c r="A486" s="518"/>
      <c r="B486" s="922" t="s">
        <v>180</v>
      </c>
      <c r="C486" s="922"/>
      <c r="D486" s="922"/>
      <c r="E486" s="922"/>
      <c r="F486" s="922"/>
      <c r="G486" s="922"/>
      <c r="H486" s="922"/>
      <c r="I486" s="922"/>
      <c r="J486" s="922"/>
      <c r="K486" s="922"/>
      <c r="L486" s="922"/>
      <c r="M486" s="922"/>
      <c r="N486" s="922"/>
      <c r="O486" s="878"/>
      <c r="P486" s="879"/>
      <c r="Q486" s="880"/>
      <c r="R486" s="518"/>
      <c r="S486" s="518"/>
      <c r="T486" s="518"/>
      <c r="U486" s="518"/>
      <c r="V486" s="518"/>
      <c r="W486" s="518"/>
      <c r="X486" s="518"/>
      <c r="Y486" s="518"/>
      <c r="Z486" s="518"/>
      <c r="AA486" s="518"/>
      <c r="AB486" s="518"/>
      <c r="AC486" s="518"/>
      <c r="AD486" s="518"/>
      <c r="AE486" s="518"/>
      <c r="AF486" s="518"/>
      <c r="AG486" s="518"/>
      <c r="AH486" s="518"/>
      <c r="AJ486" s="595"/>
    </row>
    <row r="487" spans="1:37" hidden="1" x14ac:dyDescent="0.45">
      <c r="A487" s="518"/>
      <c r="B487" s="916" t="s">
        <v>181</v>
      </c>
      <c r="C487" s="916"/>
      <c r="D487" s="916"/>
      <c r="E487" s="916"/>
      <c r="F487" s="916"/>
      <c r="G487" s="916"/>
      <c r="H487" s="916"/>
      <c r="I487" s="916"/>
      <c r="J487" s="916"/>
      <c r="K487" s="916"/>
      <c r="L487" s="916"/>
      <c r="M487" s="916"/>
      <c r="N487" s="916"/>
      <c r="O487" s="927"/>
      <c r="P487" s="928"/>
      <c r="Q487" s="929"/>
      <c r="R487" s="518"/>
      <c r="S487" s="518"/>
      <c r="T487" s="518"/>
      <c r="U487" s="518"/>
      <c r="V487" s="518"/>
      <c r="W487" s="518"/>
      <c r="X487" s="518"/>
      <c r="Y487" s="518"/>
      <c r="Z487" s="518"/>
      <c r="AA487" s="518"/>
      <c r="AB487" s="518"/>
      <c r="AC487" s="518"/>
      <c r="AD487" s="518"/>
      <c r="AE487" s="518"/>
      <c r="AF487" s="518"/>
      <c r="AG487" s="518"/>
      <c r="AH487" s="518"/>
      <c r="AJ487" s="595"/>
    </row>
    <row r="488" spans="1:37" hidden="1" x14ac:dyDescent="0.45">
      <c r="A488" s="518"/>
      <c r="B488" s="930" t="s">
        <v>182</v>
      </c>
      <c r="C488" s="930"/>
      <c r="D488" s="930"/>
      <c r="E488" s="930"/>
      <c r="F488" s="930"/>
      <c r="G488" s="930"/>
      <c r="H488" s="930"/>
      <c r="I488" s="930"/>
      <c r="J488" s="930"/>
      <c r="K488" s="930"/>
      <c r="L488" s="930"/>
      <c r="M488" s="930"/>
      <c r="N488" s="930"/>
      <c r="O488" s="878">
        <f>SUM(O480:Q486)-O487</f>
        <v>0</v>
      </c>
      <c r="P488" s="879"/>
      <c r="Q488" s="880"/>
      <c r="R488" s="518"/>
      <c r="S488" s="518"/>
      <c r="T488" s="518"/>
      <c r="U488" s="518"/>
      <c r="V488" s="518"/>
      <c r="W488" s="518"/>
      <c r="X488" s="518"/>
      <c r="Y488" s="518"/>
      <c r="Z488" s="518"/>
      <c r="AA488" s="518"/>
      <c r="AB488" s="518"/>
      <c r="AC488" s="518"/>
      <c r="AD488" s="518"/>
      <c r="AE488" s="518"/>
      <c r="AF488" s="518"/>
      <c r="AG488" s="518"/>
      <c r="AH488" s="518"/>
      <c r="AJ488" s="595"/>
    </row>
    <row r="489" spans="1:37" hidden="1" x14ac:dyDescent="0.45">
      <c r="A489" s="518"/>
      <c r="B489" s="517"/>
      <c r="C489" s="517"/>
      <c r="D489" s="517"/>
      <c r="E489" s="517"/>
      <c r="F489" s="517"/>
      <c r="G489" s="517"/>
      <c r="H489" s="517"/>
      <c r="I489" s="517"/>
      <c r="J489" s="517"/>
      <c r="K489" s="517"/>
      <c r="L489" s="517"/>
      <c r="M489" s="517"/>
      <c r="N489" s="517"/>
      <c r="O489" s="532"/>
      <c r="P489" s="532"/>
      <c r="Q489" s="532"/>
      <c r="R489" s="518"/>
      <c r="S489" s="533"/>
      <c r="T489" s="533"/>
      <c r="U489" s="533"/>
      <c r="V489" s="533"/>
      <c r="W489" s="533"/>
      <c r="X489" s="533"/>
      <c r="Y489" s="533"/>
      <c r="Z489" s="533"/>
      <c r="AA489" s="533"/>
      <c r="AB489" s="533"/>
      <c r="AC489" s="533"/>
      <c r="AD489" s="533"/>
      <c r="AE489" s="533"/>
      <c r="AF489" s="533"/>
      <c r="AG489" s="533"/>
      <c r="AH489" s="518"/>
      <c r="AJ489" s="595"/>
    </row>
    <row r="490" spans="1:37" ht="200.15" hidden="1" customHeight="1" x14ac:dyDescent="0.45">
      <c r="A490" s="518"/>
      <c r="B490" s="926" t="s">
        <v>183</v>
      </c>
      <c r="C490" s="926"/>
      <c r="D490" s="926"/>
      <c r="E490" s="926"/>
      <c r="F490" s="926"/>
      <c r="G490" s="926"/>
      <c r="H490" s="926"/>
      <c r="I490" s="926"/>
      <c r="J490" s="926"/>
      <c r="K490" s="926"/>
      <c r="L490" s="926"/>
      <c r="M490" s="926"/>
      <c r="N490" s="926"/>
      <c r="O490" s="926"/>
      <c r="P490" s="926"/>
      <c r="Q490" s="926"/>
      <c r="R490" s="926"/>
      <c r="S490" s="926"/>
      <c r="T490" s="926"/>
      <c r="U490" s="926"/>
      <c r="V490" s="926"/>
      <c r="W490" s="926"/>
      <c r="X490" s="926"/>
      <c r="Y490" s="926"/>
      <c r="Z490" s="926"/>
      <c r="AA490" s="926"/>
      <c r="AB490" s="926"/>
      <c r="AC490" s="926"/>
      <c r="AD490" s="926"/>
      <c r="AE490" s="926"/>
      <c r="AF490" s="926"/>
      <c r="AG490" s="926"/>
      <c r="AH490" s="518"/>
      <c r="AJ490" s="595"/>
    </row>
    <row r="491" spans="1:37" hidden="1" x14ac:dyDescent="0.45">
      <c r="A491" s="518"/>
      <c r="B491" s="518"/>
      <c r="C491" s="518"/>
      <c r="D491" s="518"/>
      <c r="E491" s="518"/>
      <c r="F491" s="518"/>
      <c r="G491" s="518"/>
      <c r="H491" s="518"/>
      <c r="I491" s="518"/>
      <c r="J491" s="518"/>
      <c r="K491" s="518"/>
      <c r="L491" s="518"/>
      <c r="M491" s="518"/>
      <c r="N491" s="518"/>
      <c r="O491" s="518"/>
      <c r="P491" s="518"/>
      <c r="Q491" s="518"/>
      <c r="R491" s="518"/>
      <c r="S491" s="518"/>
      <c r="T491" s="518"/>
      <c r="U491" s="518"/>
      <c r="V491" s="518"/>
      <c r="W491" s="518"/>
      <c r="X491" s="518"/>
      <c r="Y491" s="518"/>
      <c r="Z491" s="518"/>
      <c r="AA491" s="518"/>
      <c r="AB491" s="518"/>
      <c r="AC491" s="518"/>
      <c r="AD491" s="518"/>
      <c r="AE491" s="518"/>
      <c r="AF491" s="518"/>
      <c r="AG491" s="518"/>
      <c r="AH491" s="518"/>
      <c r="AJ491" s="595"/>
    </row>
    <row r="492" spans="1:37" hidden="1" x14ac:dyDescent="0.45">
      <c r="A492" s="518"/>
      <c r="B492" s="518"/>
      <c r="C492" s="518"/>
      <c r="D492" s="518"/>
      <c r="E492" s="518"/>
      <c r="F492" s="518"/>
      <c r="G492" s="518"/>
      <c r="H492" s="518"/>
      <c r="I492" s="518"/>
      <c r="J492" s="518"/>
      <c r="K492" s="518"/>
      <c r="L492" s="518"/>
      <c r="M492" s="518"/>
      <c r="N492" s="518"/>
      <c r="O492" s="518"/>
      <c r="P492" s="518"/>
      <c r="Q492" s="518"/>
      <c r="R492" s="518"/>
      <c r="S492" s="518"/>
      <c r="T492" s="518"/>
      <c r="U492" s="518"/>
      <c r="V492" s="518"/>
      <c r="W492" s="518"/>
      <c r="X492" s="518"/>
      <c r="Y492" s="518"/>
      <c r="Z492" s="518"/>
      <c r="AA492" s="518"/>
      <c r="AB492" s="518"/>
      <c r="AC492" s="518"/>
      <c r="AD492" s="518"/>
      <c r="AE492" s="518"/>
      <c r="AF492" s="518"/>
      <c r="AG492" s="518"/>
      <c r="AH492" s="518"/>
      <c r="AJ492" s="595" t="b">
        <f>AND(
APP_ApplyingForCalHome="Yes",
CH_ER_EligibleApplicant,
CH_ADU_CompletionStatus="Final/Complete")</f>
        <v>0</v>
      </c>
      <c r="AK492" s="462" t="s">
        <v>1476</v>
      </c>
    </row>
    <row r="493" spans="1:37" hidden="1" x14ac:dyDescent="0.45">
      <c r="A493" s="518"/>
      <c r="B493" s="907" t="s">
        <v>187</v>
      </c>
      <c r="C493" s="907"/>
      <c r="D493" s="907"/>
      <c r="E493" s="907"/>
      <c r="F493" s="907"/>
      <c r="G493" s="907"/>
      <c r="H493" s="907"/>
      <c r="I493" s="907"/>
      <c r="J493" s="907"/>
      <c r="K493" s="907"/>
      <c r="L493" s="907"/>
      <c r="M493" s="907"/>
      <c r="N493" s="907"/>
      <c r="O493" s="907"/>
      <c r="P493" s="907"/>
      <c r="Q493" s="907"/>
      <c r="R493" s="907"/>
      <c r="S493" s="907"/>
      <c r="T493" s="907"/>
      <c r="U493" s="907"/>
      <c r="V493" s="907"/>
      <c r="W493" s="907"/>
      <c r="X493" s="907"/>
      <c r="Y493" s="907"/>
      <c r="Z493" s="907"/>
      <c r="AA493" s="907"/>
      <c r="AB493" s="907"/>
      <c r="AC493" s="907"/>
      <c r="AD493" s="907"/>
      <c r="AE493" s="907"/>
      <c r="AF493" s="907"/>
      <c r="AG493" s="907"/>
      <c r="AH493" s="518"/>
      <c r="AJ493" s="595"/>
    </row>
    <row r="494" spans="1:37" hidden="1" x14ac:dyDescent="0.45">
      <c r="A494" s="518"/>
      <c r="B494" s="517"/>
      <c r="C494" s="517"/>
      <c r="D494" s="517"/>
      <c r="E494" s="517"/>
      <c r="F494" s="517"/>
      <c r="G494" s="517"/>
      <c r="H494" s="517"/>
      <c r="I494" s="517"/>
      <c r="J494" s="517"/>
      <c r="K494" s="517"/>
      <c r="L494" s="517"/>
      <c r="M494" s="517"/>
      <c r="N494" s="517"/>
      <c r="O494" s="517"/>
      <c r="P494" s="517"/>
      <c r="Q494" s="517"/>
      <c r="R494" s="517"/>
      <c r="S494" s="517"/>
      <c r="T494" s="517"/>
      <c r="U494" s="517"/>
      <c r="V494" s="517"/>
      <c r="W494" s="517"/>
      <c r="X494" s="517"/>
      <c r="Y494" s="517"/>
      <c r="Z494" s="517"/>
      <c r="AA494" s="517"/>
      <c r="AB494" s="517"/>
      <c r="AC494" s="517"/>
      <c r="AD494" s="517"/>
      <c r="AE494" s="517"/>
      <c r="AF494" s="517"/>
      <c r="AG494" s="517"/>
      <c r="AH494" s="518"/>
      <c r="AJ494" s="595"/>
    </row>
    <row r="495" spans="1:37" hidden="1" x14ac:dyDescent="0.45">
      <c r="A495" s="518"/>
      <c r="B495" s="907" t="s">
        <v>88</v>
      </c>
      <c r="C495" s="907"/>
      <c r="D495" s="907"/>
      <c r="E495" s="907"/>
      <c r="F495" s="907"/>
      <c r="G495" s="907"/>
      <c r="H495" s="907"/>
      <c r="I495" s="1303"/>
      <c r="J495" s="1304"/>
      <c r="K495" s="1304"/>
      <c r="L495" s="1304"/>
      <c r="M495" s="1304"/>
      <c r="N495" s="1304"/>
      <c r="O495" s="1305"/>
      <c r="P495" s="517"/>
      <c r="Q495" s="517"/>
      <c r="R495" s="517"/>
      <c r="S495" s="517"/>
      <c r="T495" s="517"/>
      <c r="U495" s="517"/>
      <c r="V495" s="517"/>
      <c r="W495" s="517"/>
      <c r="X495" s="517"/>
      <c r="Y495" s="517"/>
      <c r="Z495" s="517"/>
      <c r="AA495" s="517"/>
      <c r="AB495" s="517"/>
      <c r="AC495" s="517"/>
      <c r="AD495" s="517"/>
      <c r="AE495" s="517"/>
      <c r="AF495" s="1180"/>
      <c r="AG495" s="1180"/>
      <c r="AH495" s="518"/>
      <c r="AJ495" s="595"/>
    </row>
    <row r="496" spans="1:37" hidden="1" x14ac:dyDescent="0.45">
      <c r="A496" s="518"/>
      <c r="B496" s="518"/>
      <c r="C496" s="518"/>
      <c r="D496" s="518"/>
      <c r="E496" s="518"/>
      <c r="F496" s="518"/>
      <c r="G496" s="518"/>
      <c r="H496" s="518"/>
      <c r="I496" s="518"/>
      <c r="J496" s="518"/>
      <c r="K496" s="518"/>
      <c r="L496" s="518"/>
      <c r="M496" s="518"/>
      <c r="N496" s="518"/>
      <c r="O496" s="518"/>
      <c r="P496" s="518"/>
      <c r="Q496" s="518"/>
      <c r="R496" s="518"/>
      <c r="S496" s="518"/>
      <c r="T496" s="518"/>
      <c r="U496" s="518"/>
      <c r="V496" s="518"/>
      <c r="W496" s="518"/>
      <c r="X496" s="518"/>
      <c r="Y496" s="518"/>
      <c r="Z496" s="518"/>
      <c r="AA496" s="518"/>
      <c r="AB496" s="518"/>
      <c r="AC496" s="518"/>
      <c r="AD496" s="518"/>
      <c r="AE496" s="518"/>
      <c r="AF496" s="518"/>
      <c r="AG496" s="518"/>
      <c r="AH496" s="518"/>
      <c r="AJ496" s="595"/>
    </row>
    <row r="497" spans="1:36" hidden="1" x14ac:dyDescent="0.45">
      <c r="A497" s="518"/>
      <c r="B497" s="1121" t="s">
        <v>188</v>
      </c>
      <c r="C497" s="1122"/>
      <c r="D497" s="1122"/>
      <c r="E497" s="1122"/>
      <c r="F497" s="1122"/>
      <c r="G497" s="1122"/>
      <c r="H497" s="1122"/>
      <c r="I497" s="1122"/>
      <c r="J497" s="1122"/>
      <c r="K497" s="1122"/>
      <c r="L497" s="1122"/>
      <c r="M497" s="1122"/>
      <c r="N497" s="1122"/>
      <c r="O497" s="1122"/>
      <c r="P497" s="1122"/>
      <c r="Q497" s="1122"/>
      <c r="R497" s="1122"/>
      <c r="S497" s="1122"/>
      <c r="T497" s="1122"/>
      <c r="U497" s="1122"/>
      <c r="V497" s="1122"/>
      <c r="W497" s="1122"/>
      <c r="X497" s="1122"/>
      <c r="Y497" s="1122"/>
      <c r="Z497" s="1122"/>
      <c r="AA497" s="1122"/>
      <c r="AB497" s="1122"/>
      <c r="AC497" s="1122"/>
      <c r="AD497" s="1122"/>
      <c r="AE497" s="1326"/>
      <c r="AF497" s="1123"/>
      <c r="AG497" s="1123"/>
      <c r="AH497" s="518"/>
      <c r="AJ497" s="595"/>
    </row>
    <row r="498" spans="1:36" hidden="1" x14ac:dyDescent="0.45">
      <c r="A498" s="518"/>
      <c r="B498" s="1322"/>
      <c r="C498" s="1323"/>
      <c r="D498" s="1323"/>
      <c r="E498" s="1323"/>
      <c r="F498" s="1323"/>
      <c r="G498" s="1323"/>
      <c r="H498" s="1323"/>
      <c r="I498" s="1323"/>
      <c r="J498" s="1323"/>
      <c r="K498" s="1323"/>
      <c r="L498" s="1323"/>
      <c r="M498" s="1323"/>
      <c r="N498" s="1323"/>
      <c r="O498" s="1323"/>
      <c r="P498" s="1323"/>
      <c r="Q498" s="1323"/>
      <c r="R498" s="1323"/>
      <c r="S498" s="1323"/>
      <c r="T498" s="1323"/>
      <c r="U498" s="1323"/>
      <c r="V498" s="1323"/>
      <c r="W498" s="1323"/>
      <c r="X498" s="1323"/>
      <c r="Y498" s="1323"/>
      <c r="Z498" s="1323"/>
      <c r="AA498" s="1323"/>
      <c r="AB498" s="1323"/>
      <c r="AC498" s="1323"/>
      <c r="AD498" s="1323"/>
      <c r="AE498" s="1327"/>
      <c r="AF498" s="1123"/>
      <c r="AG498" s="1123"/>
      <c r="AH498" s="518"/>
      <c r="AJ498" s="595"/>
    </row>
    <row r="499" spans="1:36" hidden="1" x14ac:dyDescent="0.45">
      <c r="A499" s="518"/>
      <c r="B499" s="1322"/>
      <c r="C499" s="1323"/>
      <c r="D499" s="1323"/>
      <c r="E499" s="1323"/>
      <c r="F499" s="1323"/>
      <c r="G499" s="1323"/>
      <c r="H499" s="1323"/>
      <c r="I499" s="1323"/>
      <c r="J499" s="1323"/>
      <c r="K499" s="1323"/>
      <c r="L499" s="1323"/>
      <c r="M499" s="1323"/>
      <c r="N499" s="1323"/>
      <c r="O499" s="1323"/>
      <c r="P499" s="1323"/>
      <c r="Q499" s="1323"/>
      <c r="R499" s="1323"/>
      <c r="S499" s="1323"/>
      <c r="T499" s="1323"/>
      <c r="U499" s="1323"/>
      <c r="V499" s="1323"/>
      <c r="W499" s="1323"/>
      <c r="X499" s="1323"/>
      <c r="Y499" s="1323"/>
      <c r="Z499" s="1323"/>
      <c r="AA499" s="1323"/>
      <c r="AB499" s="1323"/>
      <c r="AC499" s="1323"/>
      <c r="AD499" s="1323"/>
      <c r="AE499" s="1327"/>
      <c r="AF499" s="1123"/>
      <c r="AG499" s="1123"/>
      <c r="AH499" s="518"/>
      <c r="AJ499" s="595"/>
    </row>
    <row r="500" spans="1:36" hidden="1" x14ac:dyDescent="0.45">
      <c r="A500" s="518"/>
      <c r="B500" s="1322"/>
      <c r="C500" s="1323"/>
      <c r="D500" s="1323"/>
      <c r="E500" s="1323"/>
      <c r="F500" s="1323"/>
      <c r="G500" s="1323"/>
      <c r="H500" s="1323"/>
      <c r="I500" s="1323"/>
      <c r="J500" s="1323"/>
      <c r="K500" s="1323"/>
      <c r="L500" s="1323"/>
      <c r="M500" s="1323"/>
      <c r="N500" s="1323"/>
      <c r="O500" s="1323"/>
      <c r="P500" s="1323"/>
      <c r="Q500" s="1323"/>
      <c r="R500" s="1323"/>
      <c r="S500" s="1323"/>
      <c r="T500" s="1323"/>
      <c r="U500" s="1323"/>
      <c r="V500" s="1323"/>
      <c r="W500" s="1323"/>
      <c r="X500" s="1323"/>
      <c r="Y500" s="1323"/>
      <c r="Z500" s="1323"/>
      <c r="AA500" s="1323"/>
      <c r="AB500" s="1323"/>
      <c r="AC500" s="1323"/>
      <c r="AD500" s="1323"/>
      <c r="AE500" s="1327"/>
      <c r="AF500" s="1123"/>
      <c r="AG500" s="1123"/>
      <c r="AH500" s="518"/>
      <c r="AJ500" s="595"/>
    </row>
    <row r="501" spans="1:36" hidden="1" x14ac:dyDescent="0.45">
      <c r="A501" s="518"/>
      <c r="B501" s="1324"/>
      <c r="C501" s="1325"/>
      <c r="D501" s="1325"/>
      <c r="E501" s="1325"/>
      <c r="F501" s="1325"/>
      <c r="G501" s="1325"/>
      <c r="H501" s="1325"/>
      <c r="I501" s="1325"/>
      <c r="J501" s="1325"/>
      <c r="K501" s="1325"/>
      <c r="L501" s="1325"/>
      <c r="M501" s="1325"/>
      <c r="N501" s="1325"/>
      <c r="O501" s="1325"/>
      <c r="P501" s="1325"/>
      <c r="Q501" s="1325"/>
      <c r="R501" s="1325"/>
      <c r="S501" s="1325"/>
      <c r="T501" s="1325"/>
      <c r="U501" s="1325"/>
      <c r="V501" s="1325"/>
      <c r="W501" s="1325"/>
      <c r="X501" s="1325"/>
      <c r="Y501" s="1325"/>
      <c r="Z501" s="1325"/>
      <c r="AA501" s="1325"/>
      <c r="AB501" s="1325"/>
      <c r="AC501" s="1325"/>
      <c r="AD501" s="1325"/>
      <c r="AE501" s="1328"/>
      <c r="AF501" s="1123"/>
      <c r="AG501" s="1123"/>
      <c r="AH501" s="518"/>
      <c r="AJ501" s="595"/>
    </row>
    <row r="502" spans="1:36" hidden="1" x14ac:dyDescent="0.45">
      <c r="A502" s="518"/>
      <c r="B502" s="518"/>
      <c r="C502" s="518"/>
      <c r="D502" s="518"/>
      <c r="E502" s="518"/>
      <c r="F502" s="518"/>
      <c r="G502" s="518"/>
      <c r="H502" s="518"/>
      <c r="I502" s="518"/>
      <c r="J502" s="518"/>
      <c r="K502" s="518"/>
      <c r="L502" s="518"/>
      <c r="M502" s="518"/>
      <c r="N502" s="518"/>
      <c r="O502" s="518"/>
      <c r="P502" s="518"/>
      <c r="Q502" s="518"/>
      <c r="R502" s="518"/>
      <c r="S502" s="518"/>
      <c r="T502" s="518"/>
      <c r="U502" s="518"/>
      <c r="V502" s="518"/>
      <c r="W502" s="518"/>
      <c r="X502" s="518"/>
      <c r="Y502" s="518"/>
      <c r="Z502" s="518"/>
      <c r="AA502" s="518"/>
      <c r="AB502" s="518"/>
      <c r="AC502" s="518"/>
      <c r="AD502" s="518"/>
      <c r="AE502" s="518"/>
      <c r="AF502" s="518"/>
      <c r="AG502" s="518"/>
      <c r="AH502" s="518"/>
      <c r="AJ502" s="595"/>
    </row>
    <row r="503" spans="1:36" hidden="1" x14ac:dyDescent="0.45">
      <c r="A503" s="518"/>
      <c r="B503" s="1137" t="s">
        <v>90</v>
      </c>
      <c r="C503" s="1138"/>
      <c r="D503" s="1138"/>
      <c r="E503" s="1138"/>
      <c r="F503" s="1138"/>
      <c r="G503" s="1138"/>
      <c r="H503" s="1138"/>
      <c r="I503" s="1138"/>
      <c r="J503" s="1138"/>
      <c r="K503" s="1138"/>
      <c r="L503" s="1138"/>
      <c r="M503" s="1138"/>
      <c r="N503" s="1138"/>
      <c r="O503" s="1138"/>
      <c r="P503" s="1138"/>
      <c r="Q503" s="1138"/>
      <c r="R503" s="1138"/>
      <c r="S503" s="1138"/>
      <c r="T503" s="1138"/>
      <c r="U503" s="1139"/>
      <c r="V503" s="1143" t="s">
        <v>91</v>
      </c>
      <c r="W503" s="1143"/>
      <c r="X503" s="1143"/>
      <c r="Y503" s="1143" t="s">
        <v>92</v>
      </c>
      <c r="Z503" s="1143"/>
      <c r="AA503" s="1143"/>
      <c r="AB503" s="1143" t="s">
        <v>93</v>
      </c>
      <c r="AC503" s="1143"/>
      <c r="AD503" s="1143"/>
      <c r="AE503" s="1143" t="s">
        <v>94</v>
      </c>
      <c r="AF503" s="1143"/>
      <c r="AG503" s="1143"/>
      <c r="AH503" s="518"/>
      <c r="AJ503" s="595"/>
    </row>
    <row r="504" spans="1:36" hidden="1" x14ac:dyDescent="0.45">
      <c r="A504" s="518"/>
      <c r="B504" s="1140"/>
      <c r="C504" s="1141"/>
      <c r="D504" s="1141"/>
      <c r="E504" s="1141"/>
      <c r="F504" s="1141"/>
      <c r="G504" s="1141"/>
      <c r="H504" s="1141"/>
      <c r="I504" s="1141"/>
      <c r="J504" s="1141"/>
      <c r="K504" s="1141"/>
      <c r="L504" s="1141"/>
      <c r="M504" s="1141"/>
      <c r="N504" s="1141"/>
      <c r="O504" s="1141"/>
      <c r="P504" s="1141"/>
      <c r="Q504" s="1141"/>
      <c r="R504" s="1141"/>
      <c r="S504" s="1141"/>
      <c r="T504" s="1141"/>
      <c r="U504" s="1142"/>
      <c r="V504" s="1143"/>
      <c r="W504" s="1143"/>
      <c r="X504" s="1143"/>
      <c r="Y504" s="1143"/>
      <c r="Z504" s="1143"/>
      <c r="AA504" s="1143"/>
      <c r="AB504" s="1143"/>
      <c r="AC504" s="1143"/>
      <c r="AD504" s="1143"/>
      <c r="AE504" s="1143"/>
      <c r="AF504" s="1143"/>
      <c r="AG504" s="1143"/>
      <c r="AH504" s="518"/>
      <c r="AJ504" s="595"/>
    </row>
    <row r="505" spans="1:36" hidden="1" x14ac:dyDescent="0.45">
      <c r="A505" s="518"/>
      <c r="B505" s="1150"/>
      <c r="C505" s="1151"/>
      <c r="D505" s="1151"/>
      <c r="E505" s="1151"/>
      <c r="F505" s="1151"/>
      <c r="G505" s="1151"/>
      <c r="H505" s="1151"/>
      <c r="I505" s="1151"/>
      <c r="J505" s="1151"/>
      <c r="K505" s="1151"/>
      <c r="L505" s="1151"/>
      <c r="M505" s="1151"/>
      <c r="N505" s="1151"/>
      <c r="O505" s="1151"/>
      <c r="P505" s="1151"/>
      <c r="Q505" s="1151"/>
      <c r="R505" s="1151"/>
      <c r="S505" s="1151"/>
      <c r="T505" s="1151"/>
      <c r="U505" s="1152"/>
      <c r="V505" s="894"/>
      <c r="W505" s="895"/>
      <c r="X505" s="896"/>
      <c r="Y505" s="1201"/>
      <c r="Z505" s="1202"/>
      <c r="AA505" s="1203"/>
      <c r="AB505" s="1201"/>
      <c r="AC505" s="1202"/>
      <c r="AD505" s="1203"/>
      <c r="AE505" s="1207" cm="1">
        <f t="array" ref="AE505">wwDateDiff(CH_ADU_PreviousProgramStart1,CH_ADU_PreviousProgramEnd1)</f>
        <v>0</v>
      </c>
      <c r="AF505" s="1208"/>
      <c r="AG505" s="1209"/>
      <c r="AH505" s="518"/>
      <c r="AJ505" s="595"/>
    </row>
    <row r="506" spans="1:36" hidden="1" x14ac:dyDescent="0.45">
      <c r="A506" s="518"/>
      <c r="B506" s="1153"/>
      <c r="C506" s="1154"/>
      <c r="D506" s="1154"/>
      <c r="E506" s="1154"/>
      <c r="F506" s="1154"/>
      <c r="G506" s="1154"/>
      <c r="H506" s="1154"/>
      <c r="I506" s="1154"/>
      <c r="J506" s="1154"/>
      <c r="K506" s="1154"/>
      <c r="L506" s="1154"/>
      <c r="M506" s="1154"/>
      <c r="N506" s="1154"/>
      <c r="O506" s="1154"/>
      <c r="P506" s="1154"/>
      <c r="Q506" s="1154"/>
      <c r="R506" s="1154"/>
      <c r="S506" s="1154"/>
      <c r="T506" s="1154"/>
      <c r="U506" s="1155"/>
      <c r="V506" s="897"/>
      <c r="W506" s="898"/>
      <c r="X506" s="899"/>
      <c r="Y506" s="1204"/>
      <c r="Z506" s="1205"/>
      <c r="AA506" s="1206"/>
      <c r="AB506" s="1204"/>
      <c r="AC506" s="1205"/>
      <c r="AD506" s="1206"/>
      <c r="AE506" s="1210"/>
      <c r="AF506" s="1211"/>
      <c r="AG506" s="1212"/>
      <c r="AH506" s="518"/>
      <c r="AJ506" s="595"/>
    </row>
    <row r="507" spans="1:36" hidden="1" x14ac:dyDescent="0.45">
      <c r="A507" s="518"/>
      <c r="B507" s="1150"/>
      <c r="C507" s="1151"/>
      <c r="D507" s="1151"/>
      <c r="E507" s="1151"/>
      <c r="F507" s="1151"/>
      <c r="G507" s="1151"/>
      <c r="H507" s="1151"/>
      <c r="I507" s="1151"/>
      <c r="J507" s="1151"/>
      <c r="K507" s="1151"/>
      <c r="L507" s="1151"/>
      <c r="M507" s="1151"/>
      <c r="N507" s="1151"/>
      <c r="O507" s="1151"/>
      <c r="P507" s="1151"/>
      <c r="Q507" s="1151"/>
      <c r="R507" s="1151"/>
      <c r="S507" s="1151"/>
      <c r="T507" s="1151"/>
      <c r="U507" s="1152"/>
      <c r="V507" s="894"/>
      <c r="W507" s="895"/>
      <c r="X507" s="896"/>
      <c r="Y507" s="1201"/>
      <c r="Z507" s="1202"/>
      <c r="AA507" s="1203"/>
      <c r="AB507" s="1201"/>
      <c r="AC507" s="1202"/>
      <c r="AD507" s="1203"/>
      <c r="AE507" s="1207" cm="1">
        <f t="array" ref="AE507">wwDateDiff(CH_ADU_PreviousProgramStart2,CH_ADU_PreviousProgramEnd2)</f>
        <v>0</v>
      </c>
      <c r="AF507" s="1208"/>
      <c r="AG507" s="1209"/>
      <c r="AH507" s="518"/>
      <c r="AJ507" s="595"/>
    </row>
    <row r="508" spans="1:36" hidden="1" x14ac:dyDescent="0.45">
      <c r="A508" s="518"/>
      <c r="B508" s="1153"/>
      <c r="C508" s="1154"/>
      <c r="D508" s="1154"/>
      <c r="E508" s="1154"/>
      <c r="F508" s="1154"/>
      <c r="G508" s="1154"/>
      <c r="H508" s="1154"/>
      <c r="I508" s="1154"/>
      <c r="J508" s="1154"/>
      <c r="K508" s="1154"/>
      <c r="L508" s="1154"/>
      <c r="M508" s="1154"/>
      <c r="N508" s="1154"/>
      <c r="O508" s="1154"/>
      <c r="P508" s="1154"/>
      <c r="Q508" s="1154"/>
      <c r="R508" s="1154"/>
      <c r="S508" s="1154"/>
      <c r="T508" s="1154"/>
      <c r="U508" s="1155"/>
      <c r="V508" s="897"/>
      <c r="W508" s="898"/>
      <c r="X508" s="899"/>
      <c r="Y508" s="1204"/>
      <c r="Z508" s="1205"/>
      <c r="AA508" s="1206"/>
      <c r="AB508" s="1204"/>
      <c r="AC508" s="1205"/>
      <c r="AD508" s="1206"/>
      <c r="AE508" s="1210"/>
      <c r="AF508" s="1211"/>
      <c r="AG508" s="1212"/>
      <c r="AH508" s="518"/>
      <c r="AJ508" s="595"/>
    </row>
    <row r="509" spans="1:36" hidden="1" x14ac:dyDescent="0.45">
      <c r="A509" s="518"/>
      <c r="B509" s="1150"/>
      <c r="C509" s="1151"/>
      <c r="D509" s="1151"/>
      <c r="E509" s="1151"/>
      <c r="F509" s="1151"/>
      <c r="G509" s="1151"/>
      <c r="H509" s="1151"/>
      <c r="I509" s="1151"/>
      <c r="J509" s="1151"/>
      <c r="K509" s="1151"/>
      <c r="L509" s="1151"/>
      <c r="M509" s="1151"/>
      <c r="N509" s="1151"/>
      <c r="O509" s="1151"/>
      <c r="P509" s="1151"/>
      <c r="Q509" s="1151"/>
      <c r="R509" s="1151"/>
      <c r="S509" s="1151"/>
      <c r="T509" s="1151"/>
      <c r="U509" s="1152"/>
      <c r="V509" s="894"/>
      <c r="W509" s="895"/>
      <c r="X509" s="896"/>
      <c r="Y509" s="1201"/>
      <c r="Z509" s="1202"/>
      <c r="AA509" s="1203"/>
      <c r="AB509" s="1201"/>
      <c r="AC509" s="1202"/>
      <c r="AD509" s="1203"/>
      <c r="AE509" s="1207" cm="1">
        <f t="array" ref="AE509">wwDateDiff(CH_ADU_PreviousProgramStart3,CH_ADU_PreviousProgramEnd3)</f>
        <v>0</v>
      </c>
      <c r="AF509" s="1208"/>
      <c r="AG509" s="1209"/>
      <c r="AH509" s="518"/>
      <c r="AJ509" s="595"/>
    </row>
    <row r="510" spans="1:36" hidden="1" x14ac:dyDescent="0.45">
      <c r="A510" s="518"/>
      <c r="B510" s="1153"/>
      <c r="C510" s="1154"/>
      <c r="D510" s="1154"/>
      <c r="E510" s="1154"/>
      <c r="F510" s="1154"/>
      <c r="G510" s="1154"/>
      <c r="H510" s="1154"/>
      <c r="I510" s="1154"/>
      <c r="J510" s="1154"/>
      <c r="K510" s="1154"/>
      <c r="L510" s="1154"/>
      <c r="M510" s="1154"/>
      <c r="N510" s="1154"/>
      <c r="O510" s="1154"/>
      <c r="P510" s="1154"/>
      <c r="Q510" s="1154"/>
      <c r="R510" s="1154"/>
      <c r="S510" s="1154"/>
      <c r="T510" s="1154"/>
      <c r="U510" s="1155"/>
      <c r="V510" s="897"/>
      <c r="W510" s="898"/>
      <c r="X510" s="899"/>
      <c r="Y510" s="1204"/>
      <c r="Z510" s="1205"/>
      <c r="AA510" s="1206"/>
      <c r="AB510" s="1204"/>
      <c r="AC510" s="1205"/>
      <c r="AD510" s="1206"/>
      <c r="AE510" s="1210"/>
      <c r="AF510" s="1211"/>
      <c r="AG510" s="1212"/>
      <c r="AH510" s="518"/>
      <c r="AJ510" s="595"/>
    </row>
    <row r="511" spans="1:36" hidden="1" x14ac:dyDescent="0.45">
      <c r="A511" s="518"/>
      <c r="B511" s="1150"/>
      <c r="C511" s="1151"/>
      <c r="D511" s="1151"/>
      <c r="E511" s="1151"/>
      <c r="F511" s="1151"/>
      <c r="G511" s="1151"/>
      <c r="H511" s="1151"/>
      <c r="I511" s="1151"/>
      <c r="J511" s="1151"/>
      <c r="K511" s="1151"/>
      <c r="L511" s="1151"/>
      <c r="M511" s="1151"/>
      <c r="N511" s="1151"/>
      <c r="O511" s="1151"/>
      <c r="P511" s="1151"/>
      <c r="Q511" s="1151"/>
      <c r="R511" s="1151"/>
      <c r="S511" s="1151"/>
      <c r="T511" s="1151"/>
      <c r="U511" s="1152"/>
      <c r="V511" s="894"/>
      <c r="W511" s="895"/>
      <c r="X511" s="896"/>
      <c r="Y511" s="1201"/>
      <c r="Z511" s="1202"/>
      <c r="AA511" s="1203"/>
      <c r="AB511" s="1201"/>
      <c r="AC511" s="1202"/>
      <c r="AD511" s="1203"/>
      <c r="AE511" s="1207" cm="1">
        <f t="array" ref="AE511">wwDateDiff(CH_ADU_PreviousProgramStart4,CH_ADU_PreviousProgramEnd4)</f>
        <v>0</v>
      </c>
      <c r="AF511" s="1208"/>
      <c r="AG511" s="1209"/>
      <c r="AH511" s="518"/>
      <c r="AJ511" s="595"/>
    </row>
    <row r="512" spans="1:36" hidden="1" x14ac:dyDescent="0.45">
      <c r="A512" s="518"/>
      <c r="B512" s="1153"/>
      <c r="C512" s="1154"/>
      <c r="D512" s="1154"/>
      <c r="E512" s="1154"/>
      <c r="F512" s="1154"/>
      <c r="G512" s="1154"/>
      <c r="H512" s="1154"/>
      <c r="I512" s="1154"/>
      <c r="J512" s="1154"/>
      <c r="K512" s="1154"/>
      <c r="L512" s="1154"/>
      <c r="M512" s="1154"/>
      <c r="N512" s="1154"/>
      <c r="O512" s="1154"/>
      <c r="P512" s="1154"/>
      <c r="Q512" s="1154"/>
      <c r="R512" s="1154"/>
      <c r="S512" s="1154"/>
      <c r="T512" s="1154"/>
      <c r="U512" s="1155"/>
      <c r="V512" s="897"/>
      <c r="W512" s="898"/>
      <c r="X512" s="899"/>
      <c r="Y512" s="1204"/>
      <c r="Z512" s="1205"/>
      <c r="AA512" s="1206"/>
      <c r="AB512" s="1204"/>
      <c r="AC512" s="1205"/>
      <c r="AD512" s="1206"/>
      <c r="AE512" s="1210"/>
      <c r="AF512" s="1211"/>
      <c r="AG512" s="1212"/>
      <c r="AH512" s="518"/>
      <c r="AJ512" s="595"/>
    </row>
    <row r="513" spans="1:36" hidden="1" x14ac:dyDescent="0.45">
      <c r="A513" s="518"/>
      <c r="B513" s="1150"/>
      <c r="C513" s="1151"/>
      <c r="D513" s="1151"/>
      <c r="E513" s="1151"/>
      <c r="F513" s="1151"/>
      <c r="G513" s="1151"/>
      <c r="H513" s="1151"/>
      <c r="I513" s="1151"/>
      <c r="J513" s="1151"/>
      <c r="K513" s="1151"/>
      <c r="L513" s="1151"/>
      <c r="M513" s="1151"/>
      <c r="N513" s="1151"/>
      <c r="O513" s="1151"/>
      <c r="P513" s="1151"/>
      <c r="Q513" s="1151"/>
      <c r="R513" s="1151"/>
      <c r="S513" s="1151"/>
      <c r="T513" s="1151"/>
      <c r="U513" s="1152"/>
      <c r="V513" s="894"/>
      <c r="W513" s="895"/>
      <c r="X513" s="896"/>
      <c r="Y513" s="1201"/>
      <c r="Z513" s="1202"/>
      <c r="AA513" s="1203"/>
      <c r="AB513" s="1201"/>
      <c r="AC513" s="1202"/>
      <c r="AD513" s="1203"/>
      <c r="AE513" s="1207" cm="1">
        <f t="array" ref="AE513">wwDateDiff(CH_ADU_PreviousProgramStart5,CH_ADU_PreviousProgramEnd5)</f>
        <v>0</v>
      </c>
      <c r="AF513" s="1208"/>
      <c r="AG513" s="1209"/>
      <c r="AH513" s="518"/>
      <c r="AJ513" s="595"/>
    </row>
    <row r="514" spans="1:36" hidden="1" x14ac:dyDescent="0.45">
      <c r="A514" s="518"/>
      <c r="B514" s="1153"/>
      <c r="C514" s="1154"/>
      <c r="D514" s="1154"/>
      <c r="E514" s="1154"/>
      <c r="F514" s="1154"/>
      <c r="G514" s="1154"/>
      <c r="H514" s="1154"/>
      <c r="I514" s="1154"/>
      <c r="J514" s="1154"/>
      <c r="K514" s="1154"/>
      <c r="L514" s="1154"/>
      <c r="M514" s="1154"/>
      <c r="N514" s="1154"/>
      <c r="O514" s="1154"/>
      <c r="P514" s="1154"/>
      <c r="Q514" s="1154"/>
      <c r="R514" s="1154"/>
      <c r="S514" s="1154"/>
      <c r="T514" s="1154"/>
      <c r="U514" s="1155"/>
      <c r="V514" s="897"/>
      <c r="W514" s="898"/>
      <c r="X514" s="899"/>
      <c r="Y514" s="1204"/>
      <c r="Z514" s="1205"/>
      <c r="AA514" s="1206"/>
      <c r="AB514" s="1204"/>
      <c r="AC514" s="1205"/>
      <c r="AD514" s="1206"/>
      <c r="AE514" s="1210"/>
      <c r="AF514" s="1211"/>
      <c r="AG514" s="1212"/>
      <c r="AH514" s="518"/>
      <c r="AJ514" s="595"/>
    </row>
    <row r="515" spans="1:36" hidden="1" x14ac:dyDescent="0.45">
      <c r="A515" s="518"/>
      <c r="B515" s="518"/>
      <c r="C515" s="518"/>
      <c r="D515" s="518"/>
      <c r="E515" s="518"/>
      <c r="F515" s="518"/>
      <c r="G515" s="518"/>
      <c r="H515" s="518"/>
      <c r="I515" s="518"/>
      <c r="J515" s="518"/>
      <c r="K515" s="518"/>
      <c r="L515" s="518"/>
      <c r="M515" s="518"/>
      <c r="N515" s="518"/>
      <c r="O515" s="518"/>
      <c r="P515" s="518"/>
      <c r="Q515" s="518"/>
      <c r="R515" s="518"/>
      <c r="S515" s="518"/>
      <c r="T515" s="518"/>
      <c r="U515" s="518"/>
      <c r="V515" s="518"/>
      <c r="W515" s="518"/>
      <c r="X515" s="518"/>
      <c r="Y515" s="518"/>
      <c r="Z515" s="518"/>
      <c r="AA515" s="518"/>
      <c r="AB515" s="518"/>
      <c r="AC515" s="518"/>
      <c r="AD515" s="518"/>
      <c r="AE515" s="518"/>
      <c r="AF515" s="518"/>
      <c r="AG515" s="518"/>
      <c r="AH515" s="518"/>
      <c r="AJ515" s="595"/>
    </row>
    <row r="516" spans="1:36" ht="40.5" hidden="1" customHeight="1" x14ac:dyDescent="0.45">
      <c r="A516" s="518"/>
      <c r="B516" s="1121" t="s">
        <v>189</v>
      </c>
      <c r="C516" s="1122"/>
      <c r="D516" s="1122"/>
      <c r="E516" s="1122"/>
      <c r="F516" s="1122"/>
      <c r="G516" s="1122"/>
      <c r="H516" s="1122"/>
      <c r="I516" s="1122"/>
      <c r="J516" s="1122"/>
      <c r="K516" s="1122"/>
      <c r="L516" s="1122"/>
      <c r="M516" s="1122"/>
      <c r="N516" s="1122"/>
      <c r="O516" s="1122"/>
      <c r="P516" s="1122"/>
      <c r="Q516" s="1122"/>
      <c r="R516" s="1122"/>
      <c r="S516" s="1122"/>
      <c r="T516" s="1122"/>
      <c r="U516" s="1122"/>
      <c r="V516" s="1122"/>
      <c r="W516" s="1122"/>
      <c r="X516" s="1122"/>
      <c r="Y516" s="1122"/>
      <c r="Z516" s="1122"/>
      <c r="AA516" s="1122"/>
      <c r="AB516" s="1122"/>
      <c r="AC516" s="1122"/>
      <c r="AD516" s="1122"/>
      <c r="AE516" s="528"/>
      <c r="AF516" s="1123"/>
      <c r="AG516" s="1123"/>
      <c r="AH516" s="518"/>
      <c r="AJ516" s="595"/>
    </row>
    <row r="517" spans="1:36" ht="28" hidden="1" customHeight="1" x14ac:dyDescent="0.45">
      <c r="A517" s="518"/>
      <c r="B517" s="1121" t="s">
        <v>190</v>
      </c>
      <c r="C517" s="1122"/>
      <c r="D517" s="1122"/>
      <c r="E517" s="1122"/>
      <c r="F517" s="1122"/>
      <c r="G517" s="1122"/>
      <c r="H517" s="1122"/>
      <c r="I517" s="1122"/>
      <c r="J517" s="1122"/>
      <c r="K517" s="1122"/>
      <c r="L517" s="1122"/>
      <c r="M517" s="1122"/>
      <c r="N517" s="1122"/>
      <c r="O517" s="1122"/>
      <c r="P517" s="1122"/>
      <c r="Q517" s="1122"/>
      <c r="R517" s="1122"/>
      <c r="S517" s="1122"/>
      <c r="T517" s="1122"/>
      <c r="U517" s="1122"/>
      <c r="V517" s="1122"/>
      <c r="W517" s="1122"/>
      <c r="X517" s="1122"/>
      <c r="Y517" s="1122"/>
      <c r="Z517" s="1122"/>
      <c r="AA517" s="1122"/>
      <c r="AB517" s="1122"/>
      <c r="AC517" s="1122"/>
      <c r="AD517" s="1122"/>
      <c r="AE517" s="528"/>
      <c r="AF517" s="1123"/>
      <c r="AG517" s="1123"/>
      <c r="AH517" s="518"/>
      <c r="AJ517" s="595"/>
    </row>
    <row r="518" spans="1:36" ht="40.5" hidden="1" customHeight="1" x14ac:dyDescent="0.45">
      <c r="A518" s="518"/>
      <c r="B518" s="1121" t="s">
        <v>191</v>
      </c>
      <c r="C518" s="1122"/>
      <c r="D518" s="1122"/>
      <c r="E518" s="1122"/>
      <c r="F518" s="1122"/>
      <c r="G518" s="1122"/>
      <c r="H518" s="1122"/>
      <c r="I518" s="1122"/>
      <c r="J518" s="1122"/>
      <c r="K518" s="1122"/>
      <c r="L518" s="1122"/>
      <c r="M518" s="1122"/>
      <c r="N518" s="1122"/>
      <c r="O518" s="1122"/>
      <c r="P518" s="1122"/>
      <c r="Q518" s="1122"/>
      <c r="R518" s="1122"/>
      <c r="S518" s="1122"/>
      <c r="T518" s="1122"/>
      <c r="U518" s="1122"/>
      <c r="V518" s="1122"/>
      <c r="W518" s="1122"/>
      <c r="X518" s="1122"/>
      <c r="Y518" s="1122"/>
      <c r="Z518" s="1122"/>
      <c r="AA518" s="1122"/>
      <c r="AB518" s="1122"/>
      <c r="AC518" s="1122"/>
      <c r="AD518" s="1122"/>
      <c r="AE518" s="528"/>
      <c r="AF518" s="1123"/>
      <c r="AG518" s="1123"/>
      <c r="AH518" s="518"/>
      <c r="AJ518" s="595"/>
    </row>
    <row r="519" spans="1:36" ht="28" hidden="1" customHeight="1" x14ac:dyDescent="0.45">
      <c r="A519" s="518"/>
      <c r="B519" s="1124" t="s">
        <v>192</v>
      </c>
      <c r="C519" s="1125"/>
      <c r="D519" s="1125"/>
      <c r="E519" s="1125"/>
      <c r="F519" s="1125"/>
      <c r="G519" s="1125"/>
      <c r="H519" s="1125"/>
      <c r="I519" s="1125"/>
      <c r="J519" s="1125"/>
      <c r="K519" s="1125"/>
      <c r="L519" s="1125"/>
      <c r="M519" s="1125"/>
      <c r="N519" s="1125"/>
      <c r="O519" s="1125"/>
      <c r="P519" s="1125"/>
      <c r="Q519" s="1125"/>
      <c r="R519" s="1125"/>
      <c r="S519" s="1125"/>
      <c r="T519" s="1125"/>
      <c r="U519" s="1125"/>
      <c r="V519" s="1125"/>
      <c r="W519" s="1125"/>
      <c r="X519" s="1125"/>
      <c r="Y519" s="1125"/>
      <c r="Z519" s="1125"/>
      <c r="AA519" s="1125"/>
      <c r="AB519" s="1125"/>
      <c r="AC519" s="1125"/>
      <c r="AD519" s="1125"/>
      <c r="AE519" s="573"/>
      <c r="AF519" s="1123"/>
      <c r="AG519" s="1123"/>
      <c r="AH519" s="518"/>
      <c r="AJ519" s="595"/>
    </row>
    <row r="520" spans="1:36" hidden="1" x14ac:dyDescent="0.45">
      <c r="A520" s="518"/>
      <c r="B520" s="518"/>
      <c r="C520" s="518"/>
      <c r="D520" s="518"/>
      <c r="E520" s="518"/>
      <c r="F520" s="518"/>
      <c r="G520" s="518"/>
      <c r="H520" s="518"/>
      <c r="I520" s="518"/>
      <c r="J520" s="518"/>
      <c r="K520" s="518"/>
      <c r="L520" s="518"/>
      <c r="M520" s="518"/>
      <c r="N520" s="518"/>
      <c r="O520" s="518"/>
      <c r="P520" s="518"/>
      <c r="Q520" s="518"/>
      <c r="R520" s="518"/>
      <c r="S520" s="518"/>
      <c r="T520" s="518"/>
      <c r="U520" s="518"/>
      <c r="V520" s="518"/>
      <c r="W520" s="518"/>
      <c r="X520" s="518"/>
      <c r="Y520" s="518"/>
      <c r="Z520" s="518"/>
      <c r="AA520" s="518"/>
      <c r="AB520" s="518"/>
      <c r="AC520" s="518"/>
      <c r="AD520" s="518"/>
      <c r="AE520" s="518"/>
      <c r="AF520" s="518"/>
      <c r="AG520" s="518"/>
      <c r="AH520" s="518"/>
      <c r="AJ520" s="595"/>
    </row>
    <row r="521" spans="1:36" hidden="1" x14ac:dyDescent="0.45">
      <c r="A521" s="518"/>
      <c r="B521" s="518"/>
      <c r="C521" s="518"/>
      <c r="D521" s="518"/>
      <c r="E521" s="518"/>
      <c r="F521" s="518"/>
      <c r="G521" s="518"/>
      <c r="H521" s="518"/>
      <c r="I521" s="518"/>
      <c r="J521" s="518"/>
      <c r="K521" s="518"/>
      <c r="L521" s="518"/>
      <c r="M521" s="518"/>
      <c r="N521" s="518"/>
      <c r="O521" s="518"/>
      <c r="P521" s="518"/>
      <c r="Q521" s="518"/>
      <c r="R521" s="518"/>
      <c r="S521" s="518"/>
      <c r="T521" s="518"/>
      <c r="U521" s="518"/>
      <c r="V521" s="518"/>
      <c r="W521" s="518"/>
      <c r="X521" s="518"/>
      <c r="Y521" s="518"/>
      <c r="Z521" s="518"/>
      <c r="AA521" s="518"/>
      <c r="AB521" s="518"/>
      <c r="AC521" s="518"/>
      <c r="AD521" s="518"/>
      <c r="AE521" s="518"/>
      <c r="AF521" s="518"/>
      <c r="AG521" s="518"/>
      <c r="AH521" s="518"/>
      <c r="AJ521" s="595"/>
    </row>
    <row r="522" spans="1:36" hidden="1" x14ac:dyDescent="0.45">
      <c r="A522" s="518"/>
      <c r="B522" s="907" t="s">
        <v>193</v>
      </c>
      <c r="C522" s="907"/>
      <c r="D522" s="907"/>
      <c r="E522" s="907"/>
      <c r="F522" s="907"/>
      <c r="G522" s="907"/>
      <c r="H522" s="907"/>
      <c r="I522" s="907"/>
      <c r="J522" s="907"/>
      <c r="K522" s="907"/>
      <c r="L522" s="907"/>
      <c r="M522" s="907"/>
      <c r="N522" s="907"/>
      <c r="O522" s="907"/>
      <c r="P522" s="907"/>
      <c r="Q522" s="907"/>
      <c r="R522" s="907"/>
      <c r="S522" s="907"/>
      <c r="T522" s="907"/>
      <c r="U522" s="907"/>
      <c r="V522" s="907"/>
      <c r="W522" s="907"/>
      <c r="X522" s="907"/>
      <c r="Y522" s="907"/>
      <c r="Z522" s="907"/>
      <c r="AA522" s="907"/>
      <c r="AB522" s="907"/>
      <c r="AC522" s="907"/>
      <c r="AD522" s="907"/>
      <c r="AE522" s="907"/>
      <c r="AF522" s="907"/>
      <c r="AG522" s="907"/>
      <c r="AH522" s="518"/>
      <c r="AJ522" s="595"/>
    </row>
    <row r="523" spans="1:36" hidden="1" x14ac:dyDescent="0.45">
      <c r="A523" s="518"/>
      <c r="B523" s="518"/>
      <c r="C523" s="518"/>
      <c r="D523" s="518"/>
      <c r="E523" s="518"/>
      <c r="F523" s="518"/>
      <c r="G523" s="518"/>
      <c r="H523" s="518"/>
      <c r="I523" s="518"/>
      <c r="J523" s="518"/>
      <c r="K523" s="518"/>
      <c r="L523" s="518"/>
      <c r="M523" s="518"/>
      <c r="N523" s="518"/>
      <c r="O523" s="518"/>
      <c r="P523" s="518"/>
      <c r="Q523" s="518"/>
      <c r="R523" s="518"/>
      <c r="S523" s="518"/>
      <c r="T523" s="518"/>
      <c r="U523" s="518"/>
      <c r="V523" s="518"/>
      <c r="W523" s="518"/>
      <c r="X523" s="518"/>
      <c r="Y523" s="518"/>
      <c r="Z523" s="518"/>
      <c r="AA523" s="518"/>
      <c r="AB523" s="518"/>
      <c r="AC523" s="518"/>
      <c r="AD523" s="518"/>
      <c r="AE523" s="518"/>
      <c r="AF523" s="518"/>
      <c r="AG523" s="518"/>
      <c r="AH523" s="518"/>
      <c r="AJ523" s="595"/>
    </row>
    <row r="524" spans="1:36" hidden="1" x14ac:dyDescent="0.45">
      <c r="A524" s="518"/>
      <c r="B524" s="907" t="s">
        <v>100</v>
      </c>
      <c r="C524" s="907"/>
      <c r="D524" s="907"/>
      <c r="E524" s="907"/>
      <c r="F524" s="907"/>
      <c r="G524" s="907"/>
      <c r="H524" s="907"/>
      <c r="I524" s="907"/>
      <c r="J524" s="907"/>
      <c r="K524" s="907"/>
      <c r="L524" s="907"/>
      <c r="M524" s="907"/>
      <c r="N524" s="907"/>
      <c r="O524" s="907"/>
      <c r="P524" s="907"/>
      <c r="Q524" s="907"/>
      <c r="R524" s="907"/>
      <c r="S524" s="907"/>
      <c r="T524" s="907"/>
      <c r="U524" s="907"/>
      <c r="V524" s="907"/>
      <c r="W524" s="907"/>
      <c r="X524" s="907"/>
      <c r="Y524" s="907"/>
      <c r="Z524" s="907"/>
      <c r="AA524" s="907"/>
      <c r="AB524" s="907"/>
      <c r="AC524" s="907"/>
      <c r="AD524" s="907"/>
      <c r="AE524" s="907"/>
      <c r="AF524" s="907"/>
      <c r="AG524" s="907"/>
      <c r="AH524" s="518"/>
      <c r="AJ524" s="595"/>
    </row>
    <row r="525" spans="1:36" ht="304" hidden="1" customHeight="1" x14ac:dyDescent="0.45">
      <c r="A525" s="518"/>
      <c r="B525" s="1239"/>
      <c r="C525" s="1239"/>
      <c r="D525" s="1239"/>
      <c r="E525" s="1239"/>
      <c r="F525" s="1239"/>
      <c r="G525" s="1239"/>
      <c r="H525" s="1239"/>
      <c r="I525" s="1239"/>
      <c r="J525" s="1239"/>
      <c r="K525" s="1239"/>
      <c r="L525" s="1239"/>
      <c r="M525" s="1239"/>
      <c r="N525" s="1239"/>
      <c r="O525" s="1239"/>
      <c r="P525" s="1239"/>
      <c r="Q525" s="1239"/>
      <c r="R525" s="1239"/>
      <c r="S525" s="1239"/>
      <c r="T525" s="1239"/>
      <c r="U525" s="1239"/>
      <c r="V525" s="1239"/>
      <c r="W525" s="1239"/>
      <c r="X525" s="1239"/>
      <c r="Y525" s="1239"/>
      <c r="Z525" s="1239"/>
      <c r="AA525" s="1239"/>
      <c r="AB525" s="1239"/>
      <c r="AC525" s="1239"/>
      <c r="AD525" s="1239"/>
      <c r="AE525" s="1239"/>
      <c r="AF525" s="1239"/>
      <c r="AG525" s="1239"/>
      <c r="AH525" s="518"/>
      <c r="AJ525" s="595"/>
    </row>
    <row r="526" spans="1:36" ht="304" hidden="1" customHeight="1" x14ac:dyDescent="0.45">
      <c r="A526" s="518"/>
      <c r="B526" s="1239"/>
      <c r="C526" s="1239"/>
      <c r="D526" s="1239"/>
      <c r="E526" s="1239"/>
      <c r="F526" s="1239"/>
      <c r="G526" s="1239"/>
      <c r="H526" s="1239"/>
      <c r="I526" s="1239"/>
      <c r="J526" s="1239"/>
      <c r="K526" s="1239"/>
      <c r="L526" s="1239"/>
      <c r="M526" s="1239"/>
      <c r="N526" s="1239"/>
      <c r="O526" s="1239"/>
      <c r="P526" s="1239"/>
      <c r="Q526" s="1239"/>
      <c r="R526" s="1239"/>
      <c r="S526" s="1239"/>
      <c r="T526" s="1239"/>
      <c r="U526" s="1239"/>
      <c r="V526" s="1239"/>
      <c r="W526" s="1239"/>
      <c r="X526" s="1239"/>
      <c r="Y526" s="1239"/>
      <c r="Z526" s="1239"/>
      <c r="AA526" s="1239"/>
      <c r="AB526" s="1239"/>
      <c r="AC526" s="1239"/>
      <c r="AD526" s="1239"/>
      <c r="AE526" s="1239"/>
      <c r="AF526" s="1239"/>
      <c r="AG526" s="1239"/>
      <c r="AH526" s="518"/>
      <c r="AJ526" s="595"/>
    </row>
    <row r="527" spans="1:36" hidden="1" x14ac:dyDescent="0.45">
      <c r="A527" s="518"/>
      <c r="B527" s="518"/>
      <c r="C527" s="518"/>
      <c r="D527" s="518"/>
      <c r="E527" s="518"/>
      <c r="F527" s="518"/>
      <c r="G527" s="518"/>
      <c r="H527" s="518"/>
      <c r="I527" s="518"/>
      <c r="J527" s="518"/>
      <c r="K527" s="518"/>
      <c r="L527" s="518"/>
      <c r="M527" s="518"/>
      <c r="N527" s="518"/>
      <c r="O527" s="518"/>
      <c r="P527" s="518"/>
      <c r="Q527" s="518"/>
      <c r="R527" s="518"/>
      <c r="S527" s="518"/>
      <c r="T527" s="518"/>
      <c r="U527" s="518"/>
      <c r="V527" s="518"/>
      <c r="W527" s="518"/>
      <c r="X527" s="518"/>
      <c r="Y527" s="518"/>
      <c r="Z527" s="518"/>
      <c r="AA527" s="518"/>
      <c r="AB527" s="518"/>
      <c r="AC527" s="518"/>
      <c r="AD527" s="518"/>
      <c r="AE527" s="518"/>
      <c r="AF527" s="518"/>
      <c r="AG527" s="518"/>
      <c r="AH527" s="518"/>
      <c r="AJ527" s="595"/>
    </row>
    <row r="528" spans="1:36" hidden="1" x14ac:dyDescent="0.45">
      <c r="A528" s="518"/>
      <c r="B528" s="518"/>
      <c r="C528" s="518"/>
      <c r="D528" s="518"/>
      <c r="E528" s="518"/>
      <c r="F528" s="518"/>
      <c r="G528" s="518"/>
      <c r="H528" s="518"/>
      <c r="I528" s="518"/>
      <c r="J528" s="518"/>
      <c r="K528" s="518"/>
      <c r="L528" s="518"/>
      <c r="M528" s="518"/>
      <c r="N528" s="518"/>
      <c r="O528" s="518"/>
      <c r="P528" s="518"/>
      <c r="Q528" s="518"/>
      <c r="R528" s="518"/>
      <c r="S528" s="518"/>
      <c r="T528" s="518"/>
      <c r="U528" s="518"/>
      <c r="V528" s="518"/>
      <c r="W528" s="518"/>
      <c r="X528" s="518"/>
      <c r="Y528" s="518"/>
      <c r="Z528" s="518"/>
      <c r="AA528" s="518"/>
      <c r="AB528" s="518"/>
      <c r="AC528" s="518"/>
      <c r="AD528" s="518"/>
      <c r="AE528" s="518"/>
      <c r="AF528" s="518"/>
      <c r="AG528" s="518"/>
      <c r="AH528" s="518"/>
      <c r="AJ528" s="595"/>
    </row>
    <row r="529" spans="1:36" hidden="1" x14ac:dyDescent="0.45">
      <c r="A529" s="518"/>
      <c r="B529" s="907" t="s">
        <v>193</v>
      </c>
      <c r="C529" s="907"/>
      <c r="D529" s="907"/>
      <c r="E529" s="907"/>
      <c r="F529" s="907"/>
      <c r="G529" s="907"/>
      <c r="H529" s="907"/>
      <c r="I529" s="907"/>
      <c r="J529" s="907"/>
      <c r="K529" s="907"/>
      <c r="L529" s="907"/>
      <c r="M529" s="907"/>
      <c r="N529" s="907"/>
      <c r="O529" s="907"/>
      <c r="P529" s="907"/>
      <c r="Q529" s="907"/>
      <c r="R529" s="907"/>
      <c r="S529" s="907"/>
      <c r="T529" s="907"/>
      <c r="U529" s="907"/>
      <c r="V529" s="907"/>
      <c r="W529" s="907"/>
      <c r="X529" s="907"/>
      <c r="Y529" s="907"/>
      <c r="Z529" s="907"/>
      <c r="AA529" s="907"/>
      <c r="AB529" s="907"/>
      <c r="AC529" s="907"/>
      <c r="AD529" s="907"/>
      <c r="AE529" s="907"/>
      <c r="AF529" s="907"/>
      <c r="AG529" s="907"/>
      <c r="AH529" s="518"/>
      <c r="AJ529" s="595"/>
    </row>
    <row r="530" spans="1:36" hidden="1" x14ac:dyDescent="0.45">
      <c r="A530" s="518"/>
      <c r="B530" s="518"/>
      <c r="C530" s="518"/>
      <c r="D530" s="518"/>
      <c r="E530" s="518"/>
      <c r="F530" s="518"/>
      <c r="G530" s="518"/>
      <c r="H530" s="518"/>
      <c r="I530" s="518"/>
      <c r="J530" s="518"/>
      <c r="K530" s="518"/>
      <c r="L530" s="518"/>
      <c r="M530" s="518"/>
      <c r="N530" s="518"/>
      <c r="O530" s="518"/>
      <c r="P530" s="518"/>
      <c r="Q530" s="518"/>
      <c r="R530" s="518"/>
      <c r="S530" s="518"/>
      <c r="T530" s="518"/>
      <c r="U530" s="518"/>
      <c r="V530" s="518"/>
      <c r="W530" s="518"/>
      <c r="X530" s="518"/>
      <c r="Y530" s="518"/>
      <c r="Z530" s="518"/>
      <c r="AA530" s="518"/>
      <c r="AB530" s="518"/>
      <c r="AC530" s="518"/>
      <c r="AD530" s="518"/>
      <c r="AE530" s="518"/>
      <c r="AF530" s="518"/>
      <c r="AG530" s="518"/>
      <c r="AH530" s="518"/>
      <c r="AJ530" s="595"/>
    </row>
    <row r="531" spans="1:36" hidden="1" x14ac:dyDescent="0.45">
      <c r="A531" s="518"/>
      <c r="B531" s="907" t="s">
        <v>101</v>
      </c>
      <c r="C531" s="907"/>
      <c r="D531" s="907"/>
      <c r="E531" s="907"/>
      <c r="F531" s="907"/>
      <c r="G531" s="907"/>
      <c r="H531" s="907"/>
      <c r="I531" s="907"/>
      <c r="J531" s="907"/>
      <c r="K531" s="907"/>
      <c r="L531" s="907"/>
      <c r="M531" s="907"/>
      <c r="N531" s="907"/>
      <c r="O531" s="907"/>
      <c r="P531" s="907"/>
      <c r="Q531" s="907"/>
      <c r="R531" s="907"/>
      <c r="S531" s="907"/>
      <c r="T531" s="907"/>
      <c r="U531" s="907"/>
      <c r="V531" s="907"/>
      <c r="W531" s="907"/>
      <c r="X531" s="907"/>
      <c r="Y531" s="907"/>
      <c r="Z531" s="907"/>
      <c r="AA531" s="907"/>
      <c r="AB531" s="907"/>
      <c r="AC531" s="907"/>
      <c r="AD531" s="907"/>
      <c r="AE531" s="907"/>
      <c r="AF531" s="907"/>
      <c r="AG531" s="907"/>
      <c r="AH531" s="518"/>
      <c r="AJ531" s="595"/>
    </row>
    <row r="532" spans="1:36" ht="304" hidden="1" customHeight="1" x14ac:dyDescent="0.45">
      <c r="A532" s="518"/>
      <c r="B532" s="1239"/>
      <c r="C532" s="1239"/>
      <c r="D532" s="1239"/>
      <c r="E532" s="1239"/>
      <c r="F532" s="1239"/>
      <c r="G532" s="1239"/>
      <c r="H532" s="1239"/>
      <c r="I532" s="1239"/>
      <c r="J532" s="1239"/>
      <c r="K532" s="1239"/>
      <c r="L532" s="1239"/>
      <c r="M532" s="1239"/>
      <c r="N532" s="1239"/>
      <c r="O532" s="1239"/>
      <c r="P532" s="1239"/>
      <c r="Q532" s="1239"/>
      <c r="R532" s="1239"/>
      <c r="S532" s="1239"/>
      <c r="T532" s="1239"/>
      <c r="U532" s="1239"/>
      <c r="V532" s="1239"/>
      <c r="W532" s="1239"/>
      <c r="X532" s="1239"/>
      <c r="Y532" s="1239"/>
      <c r="Z532" s="1239"/>
      <c r="AA532" s="1239"/>
      <c r="AB532" s="1239"/>
      <c r="AC532" s="1239"/>
      <c r="AD532" s="1239"/>
      <c r="AE532" s="1239"/>
      <c r="AF532" s="1239"/>
      <c r="AG532" s="1239"/>
      <c r="AH532" s="518"/>
      <c r="AJ532" s="595"/>
    </row>
    <row r="533" spans="1:36" ht="304" hidden="1" customHeight="1" x14ac:dyDescent="0.45">
      <c r="A533" s="518"/>
      <c r="B533" s="1239"/>
      <c r="C533" s="1239"/>
      <c r="D533" s="1239"/>
      <c r="E533" s="1239"/>
      <c r="F533" s="1239"/>
      <c r="G533" s="1239"/>
      <c r="H533" s="1239"/>
      <c r="I533" s="1239"/>
      <c r="J533" s="1239"/>
      <c r="K533" s="1239"/>
      <c r="L533" s="1239"/>
      <c r="M533" s="1239"/>
      <c r="N533" s="1239"/>
      <c r="O533" s="1239"/>
      <c r="P533" s="1239"/>
      <c r="Q533" s="1239"/>
      <c r="R533" s="1239"/>
      <c r="S533" s="1239"/>
      <c r="T533" s="1239"/>
      <c r="U533" s="1239"/>
      <c r="V533" s="1239"/>
      <c r="W533" s="1239"/>
      <c r="X533" s="1239"/>
      <c r="Y533" s="1239"/>
      <c r="Z533" s="1239"/>
      <c r="AA533" s="1239"/>
      <c r="AB533" s="1239"/>
      <c r="AC533" s="1239"/>
      <c r="AD533" s="1239"/>
      <c r="AE533" s="1239"/>
      <c r="AF533" s="1239"/>
      <c r="AG533" s="1239"/>
      <c r="AH533" s="518"/>
      <c r="AJ533" s="595"/>
    </row>
    <row r="534" spans="1:36" hidden="1" x14ac:dyDescent="0.45">
      <c r="A534" s="518"/>
      <c r="B534" s="517"/>
      <c r="C534" s="517"/>
      <c r="D534" s="517"/>
      <c r="E534" s="517"/>
      <c r="F534" s="517"/>
      <c r="G534" s="517"/>
      <c r="H534" s="517"/>
      <c r="I534" s="517"/>
      <c r="J534" s="517"/>
      <c r="K534" s="517"/>
      <c r="L534" s="517"/>
      <c r="M534" s="517"/>
      <c r="N534" s="517"/>
      <c r="O534" s="517"/>
      <c r="P534" s="517"/>
      <c r="Q534" s="517"/>
      <c r="R534" s="517"/>
      <c r="S534" s="517"/>
      <c r="T534" s="517"/>
      <c r="U534" s="517"/>
      <c r="V534" s="517"/>
      <c r="W534" s="517"/>
      <c r="X534" s="517"/>
      <c r="Y534" s="517"/>
      <c r="Z534" s="517"/>
      <c r="AA534" s="517"/>
      <c r="AB534" s="517"/>
      <c r="AC534" s="517"/>
      <c r="AD534" s="517"/>
      <c r="AE534" s="517"/>
      <c r="AF534" s="517"/>
      <c r="AG534" s="517"/>
      <c r="AH534" s="518"/>
      <c r="AJ534" s="595"/>
    </row>
    <row r="535" spans="1:36" hidden="1" x14ac:dyDescent="0.45">
      <c r="A535" s="518"/>
      <c r="B535" s="518"/>
      <c r="C535" s="518"/>
      <c r="D535" s="518"/>
      <c r="E535" s="518"/>
      <c r="F535" s="518"/>
      <c r="G535" s="518"/>
      <c r="H535" s="518"/>
      <c r="I535" s="518"/>
      <c r="J535" s="518"/>
      <c r="K535" s="518"/>
      <c r="L535" s="518"/>
      <c r="M535" s="518"/>
      <c r="N535" s="518"/>
      <c r="O535" s="518"/>
      <c r="P535" s="518"/>
      <c r="Q535" s="518"/>
      <c r="R535" s="518"/>
      <c r="S535" s="518"/>
      <c r="T535" s="518"/>
      <c r="U535" s="518"/>
      <c r="V535" s="518"/>
      <c r="W535" s="518"/>
      <c r="X535" s="518"/>
      <c r="Y535" s="518"/>
      <c r="Z535" s="518"/>
      <c r="AA535" s="518"/>
      <c r="AB535" s="518"/>
      <c r="AC535" s="518"/>
      <c r="AD535" s="518"/>
      <c r="AE535" s="518"/>
      <c r="AF535" s="518"/>
      <c r="AG535" s="518"/>
      <c r="AH535" s="518"/>
      <c r="AJ535" s="595" t="b">
        <f>AND(AJ$492,CH_ADU_UnrestrictedTotalRequested&gt;0)</f>
        <v>0</v>
      </c>
    </row>
    <row r="536" spans="1:36" hidden="1" x14ac:dyDescent="0.45">
      <c r="A536" s="518"/>
      <c r="B536" s="907" t="s">
        <v>193</v>
      </c>
      <c r="C536" s="907"/>
      <c r="D536" s="907"/>
      <c r="E536" s="907"/>
      <c r="F536" s="907"/>
      <c r="G536" s="907"/>
      <c r="H536" s="907"/>
      <c r="I536" s="907"/>
      <c r="J536" s="907"/>
      <c r="K536" s="907"/>
      <c r="L536" s="907"/>
      <c r="M536" s="907"/>
      <c r="N536" s="907"/>
      <c r="O536" s="907"/>
      <c r="P536" s="907"/>
      <c r="Q536" s="907"/>
      <c r="R536" s="907"/>
      <c r="S536" s="907"/>
      <c r="T536" s="907"/>
      <c r="U536" s="907"/>
      <c r="V536" s="907"/>
      <c r="W536" s="907"/>
      <c r="X536" s="907"/>
      <c r="Y536" s="907"/>
      <c r="Z536" s="907"/>
      <c r="AA536" s="907"/>
      <c r="AB536" s="907"/>
      <c r="AC536" s="907"/>
      <c r="AD536" s="907"/>
      <c r="AE536" s="907"/>
      <c r="AF536" s="907"/>
      <c r="AG536" s="907"/>
      <c r="AH536" s="518"/>
      <c r="AJ536" s="595"/>
    </row>
    <row r="537" spans="1:36" hidden="1" x14ac:dyDescent="0.45">
      <c r="A537" s="518"/>
      <c r="B537" s="1295" t="s">
        <v>107</v>
      </c>
      <c r="C537" s="1296"/>
      <c r="D537" s="1296"/>
      <c r="E537" s="1296"/>
      <c r="F537" s="1296"/>
      <c r="G537" s="1296"/>
      <c r="H537" s="1296"/>
      <c r="I537" s="1296"/>
      <c r="J537" s="1296"/>
      <c r="K537" s="1296"/>
      <c r="L537" s="1296"/>
      <c r="M537" s="1296"/>
      <c r="N537" s="1296"/>
      <c r="O537" s="1296"/>
      <c r="P537" s="1296"/>
      <c r="Q537" s="1296"/>
      <c r="R537" s="1296"/>
      <c r="S537" s="1296"/>
      <c r="T537" s="1296"/>
      <c r="U537" s="1296"/>
      <c r="V537" s="1296"/>
      <c r="W537" s="1296"/>
      <c r="X537" s="1296"/>
      <c r="Y537" s="1296"/>
      <c r="Z537" s="1296"/>
      <c r="AA537" s="1296"/>
      <c r="AB537" s="1296"/>
      <c r="AC537" s="1296"/>
      <c r="AD537" s="1296"/>
      <c r="AE537" s="1296"/>
      <c r="AF537" s="1296"/>
      <c r="AG537" s="1296"/>
      <c r="AH537" s="518"/>
      <c r="AJ537" s="595"/>
    </row>
    <row r="538" spans="1:36" hidden="1" x14ac:dyDescent="0.45">
      <c r="A538" s="518"/>
      <c r="B538" s="594"/>
      <c r="C538" s="565"/>
      <c r="D538" s="565"/>
      <c r="E538" s="565"/>
      <c r="F538" s="565"/>
      <c r="G538" s="565"/>
      <c r="H538" s="565"/>
      <c r="I538" s="565"/>
      <c r="J538" s="565"/>
      <c r="K538" s="565"/>
      <c r="L538" s="565"/>
      <c r="M538" s="565"/>
      <c r="N538" s="565"/>
      <c r="O538" s="565"/>
      <c r="P538" s="565"/>
      <c r="Q538" s="565"/>
      <c r="R538" s="565"/>
      <c r="S538" s="565"/>
      <c r="T538" s="565"/>
      <c r="U538" s="565"/>
      <c r="V538" s="565"/>
      <c r="W538" s="565"/>
      <c r="X538" s="565"/>
      <c r="Y538" s="565"/>
      <c r="Z538" s="565"/>
      <c r="AA538" s="565"/>
      <c r="AB538" s="565"/>
      <c r="AC538" s="565"/>
      <c r="AD538" s="565"/>
      <c r="AE538" s="565"/>
      <c r="AF538" s="565"/>
      <c r="AG538" s="565"/>
      <c r="AH538" s="518"/>
      <c r="AJ538" s="595"/>
    </row>
    <row r="539" spans="1:36" hidden="1" x14ac:dyDescent="0.45">
      <c r="A539" s="518"/>
      <c r="B539" s="518" t="s">
        <v>1856</v>
      </c>
      <c r="C539" s="518"/>
      <c r="D539" s="518"/>
      <c r="E539" s="518"/>
      <c r="F539" s="518"/>
      <c r="G539" s="518"/>
      <c r="H539" s="518"/>
      <c r="I539" s="518"/>
      <c r="J539" s="518"/>
      <c r="K539" s="518"/>
      <c r="L539" s="518"/>
      <c r="M539" s="518"/>
      <c r="N539" s="518"/>
      <c r="O539" s="518"/>
      <c r="P539" s="518"/>
      <c r="Q539" s="518"/>
      <c r="R539" s="518"/>
      <c r="S539" s="518"/>
      <c r="T539" s="518"/>
      <c r="U539" s="518"/>
      <c r="V539" s="518"/>
      <c r="W539" s="518"/>
      <c r="X539" s="518"/>
      <c r="Y539" s="518"/>
      <c r="Z539" s="518"/>
      <c r="AA539" s="518"/>
      <c r="AB539" s="518"/>
      <c r="AC539" s="518"/>
      <c r="AD539" s="518"/>
      <c r="AE539" s="518"/>
      <c r="AF539" s="518"/>
      <c r="AG539" s="518"/>
      <c r="AH539" s="518"/>
      <c r="AJ539" s="595"/>
    </row>
    <row r="540" spans="1:36" hidden="1" x14ac:dyDescent="0.45">
      <c r="A540" s="518"/>
      <c r="B540" s="862" t="s">
        <v>108</v>
      </c>
      <c r="C540" s="863"/>
      <c r="D540" s="863"/>
      <c r="E540" s="863"/>
      <c r="F540" s="892"/>
      <c r="G540" s="1182" t="s">
        <v>91</v>
      </c>
      <c r="H540" s="1059"/>
      <c r="I540" s="872" t="s">
        <v>1487</v>
      </c>
      <c r="J540" s="872"/>
      <c r="K540" s="872"/>
      <c r="L540" s="862" t="s">
        <v>110</v>
      </c>
      <c r="M540" s="863"/>
      <c r="N540" s="863"/>
      <c r="O540" s="892"/>
      <c r="P540" s="862" t="s">
        <v>111</v>
      </c>
      <c r="Q540" s="863"/>
      <c r="R540" s="863"/>
      <c r="S540" s="1182" t="s">
        <v>113</v>
      </c>
      <c r="T540" s="1058"/>
      <c r="U540" s="1058"/>
      <c r="V540" s="1059"/>
      <c r="W540" s="862" t="s">
        <v>114</v>
      </c>
      <c r="X540" s="892"/>
      <c r="Y540" s="518"/>
      <c r="Z540" s="518"/>
      <c r="AA540" s="518"/>
      <c r="AB540" s="518"/>
      <c r="AC540" s="518"/>
      <c r="AD540" s="518"/>
      <c r="AE540" s="518"/>
      <c r="AF540" s="518"/>
      <c r="AG540" s="518"/>
      <c r="AH540" s="518"/>
      <c r="AJ540" s="595"/>
    </row>
    <row r="541" spans="1:36" hidden="1" x14ac:dyDescent="0.45">
      <c r="A541" s="518"/>
      <c r="B541" s="864"/>
      <c r="C541" s="865"/>
      <c r="D541" s="865"/>
      <c r="E541" s="865"/>
      <c r="F541" s="893"/>
      <c r="G541" s="1060"/>
      <c r="H541" s="1062"/>
      <c r="I541" s="872"/>
      <c r="J541" s="872"/>
      <c r="K541" s="872"/>
      <c r="L541" s="864"/>
      <c r="M541" s="865"/>
      <c r="N541" s="865"/>
      <c r="O541" s="893"/>
      <c r="P541" s="864"/>
      <c r="Q541" s="865"/>
      <c r="R541" s="865"/>
      <c r="S541" s="1060"/>
      <c r="T541" s="1061"/>
      <c r="U541" s="1061"/>
      <c r="V541" s="1062"/>
      <c r="W541" s="864"/>
      <c r="X541" s="893"/>
      <c r="Y541" s="518"/>
      <c r="Z541" s="518"/>
      <c r="AA541" s="518"/>
      <c r="AB541" s="518"/>
      <c r="AC541" s="518"/>
      <c r="AD541" s="518"/>
      <c r="AE541" s="518"/>
      <c r="AF541" s="518"/>
      <c r="AG541" s="518"/>
      <c r="AH541" s="518"/>
      <c r="AJ541" s="595"/>
    </row>
    <row r="542" spans="1:36" hidden="1" x14ac:dyDescent="0.45">
      <c r="A542" s="518"/>
      <c r="B542" s="514" t="s">
        <v>1405</v>
      </c>
      <c r="C542" s="515"/>
      <c r="D542" s="515"/>
      <c r="E542" s="515"/>
      <c r="F542" s="516"/>
      <c r="G542" s="888">
        <f>CHADUData!N3</f>
        <v>0</v>
      </c>
      <c r="H542" s="887"/>
      <c r="I542" s="890" t="str">
        <f>IF(CHADUData!L3="","",CHADUData!L3)</f>
        <v/>
      </c>
      <c r="J542" s="910"/>
      <c r="K542" s="891"/>
      <c r="L542" s="868">
        <f>CHADUData!O3</f>
        <v>0</v>
      </c>
      <c r="M542" s="869"/>
      <c r="N542" s="869"/>
      <c r="O542" s="870"/>
      <c r="P542" s="868">
        <f>CHADUData!P3</f>
        <v>0</v>
      </c>
      <c r="Q542" s="869"/>
      <c r="R542" s="870"/>
      <c r="S542" s="868">
        <f>SUM(L542:R542)</f>
        <v>0</v>
      </c>
      <c r="T542" s="869"/>
      <c r="U542" s="869"/>
      <c r="V542" s="870"/>
      <c r="W542" s="866" t="str">
        <f>IF(CHADUData!R3=0,"",CHADUData!R3)</f>
        <v/>
      </c>
      <c r="X542" s="867"/>
      <c r="Y542" s="518"/>
      <c r="Z542" s="518"/>
      <c r="AA542" s="518"/>
      <c r="AB542" s="518"/>
      <c r="AC542" s="518"/>
      <c r="AD542" s="518"/>
      <c r="AE542" s="518"/>
      <c r="AF542" s="518"/>
      <c r="AG542" s="518"/>
      <c r="AH542" s="518"/>
      <c r="AJ542" s="595" t="b">
        <f>AND(AJ$535,S542&gt;0)</f>
        <v>0</v>
      </c>
    </row>
    <row r="543" spans="1:36" hidden="1" x14ac:dyDescent="0.45">
      <c r="A543" s="518"/>
      <c r="B543" s="514" t="s">
        <v>1406</v>
      </c>
      <c r="C543" s="515"/>
      <c r="D543" s="515"/>
      <c r="E543" s="515"/>
      <c r="F543" s="516"/>
      <c r="G543" s="888">
        <f>CHADUData!N4</f>
        <v>0</v>
      </c>
      <c r="H543" s="887"/>
      <c r="I543" s="890" t="str">
        <f>IF(CHADUData!L4="","",CHADUData!L4)</f>
        <v/>
      </c>
      <c r="J543" s="910"/>
      <c r="K543" s="891"/>
      <c r="L543" s="868">
        <f>CHADUData!O4</f>
        <v>0</v>
      </c>
      <c r="M543" s="869"/>
      <c r="N543" s="869"/>
      <c r="O543" s="870"/>
      <c r="P543" s="868">
        <f>CHADUData!P4</f>
        <v>0</v>
      </c>
      <c r="Q543" s="869"/>
      <c r="R543" s="870"/>
      <c r="S543" s="868">
        <f t="shared" ref="S543:S599" si="11">SUM(L543:R543)</f>
        <v>0</v>
      </c>
      <c r="T543" s="869"/>
      <c r="U543" s="869"/>
      <c r="V543" s="870"/>
      <c r="W543" s="866" t="str">
        <f>IF(CHADUData!R4=0,"",CHADUData!R4)</f>
        <v/>
      </c>
      <c r="X543" s="867"/>
      <c r="Y543" s="518"/>
      <c r="Z543" s="518"/>
      <c r="AA543" s="518"/>
      <c r="AB543" s="518"/>
      <c r="AC543" s="518"/>
      <c r="AD543" s="518"/>
      <c r="AE543" s="518"/>
      <c r="AF543" s="518"/>
      <c r="AG543" s="518"/>
      <c r="AH543" s="518"/>
      <c r="AJ543" s="595" t="b">
        <f t="shared" ref="AJ543:AJ599" si="12">AND(AJ$535,S543&gt;0)</f>
        <v>0</v>
      </c>
    </row>
    <row r="544" spans="1:36" hidden="1" x14ac:dyDescent="0.45">
      <c r="A544" s="518"/>
      <c r="B544" s="514" t="s">
        <v>1407</v>
      </c>
      <c r="C544" s="515"/>
      <c r="D544" s="515"/>
      <c r="E544" s="515"/>
      <c r="F544" s="516"/>
      <c r="G544" s="888">
        <f>CHADUData!N5</f>
        <v>0</v>
      </c>
      <c r="H544" s="887"/>
      <c r="I544" s="890" t="str">
        <f>IF(CHADUData!L5="","",CHADUData!L5)</f>
        <v/>
      </c>
      <c r="J544" s="910"/>
      <c r="K544" s="891"/>
      <c r="L544" s="868">
        <f>CHADUData!O5</f>
        <v>0</v>
      </c>
      <c r="M544" s="869"/>
      <c r="N544" s="869"/>
      <c r="O544" s="870"/>
      <c r="P544" s="868">
        <f>CHADUData!P5</f>
        <v>0</v>
      </c>
      <c r="Q544" s="869"/>
      <c r="R544" s="870"/>
      <c r="S544" s="868">
        <f t="shared" si="11"/>
        <v>0</v>
      </c>
      <c r="T544" s="869"/>
      <c r="U544" s="869"/>
      <c r="V544" s="870"/>
      <c r="W544" s="866" t="str">
        <f>IF(CHADUData!R5=0,"",CHADUData!R5)</f>
        <v/>
      </c>
      <c r="X544" s="867"/>
      <c r="Y544" s="518"/>
      <c r="Z544" s="518"/>
      <c r="AA544" s="518"/>
      <c r="AB544" s="518"/>
      <c r="AC544" s="518"/>
      <c r="AD544" s="518"/>
      <c r="AE544" s="518"/>
      <c r="AF544" s="518"/>
      <c r="AG544" s="518"/>
      <c r="AH544" s="518"/>
      <c r="AJ544" s="595" t="b">
        <f t="shared" si="12"/>
        <v>0</v>
      </c>
    </row>
    <row r="545" spans="1:36" hidden="1" x14ac:dyDescent="0.45">
      <c r="A545" s="518"/>
      <c r="B545" s="514" t="s">
        <v>1408</v>
      </c>
      <c r="C545" s="515"/>
      <c r="D545" s="515"/>
      <c r="E545" s="515"/>
      <c r="F545" s="516"/>
      <c r="G545" s="888">
        <f>CHADUData!N6</f>
        <v>0</v>
      </c>
      <c r="H545" s="887"/>
      <c r="I545" s="890" t="str">
        <f>IF(CHADUData!L6="","",CHADUData!L6)</f>
        <v/>
      </c>
      <c r="J545" s="910"/>
      <c r="K545" s="891"/>
      <c r="L545" s="868">
        <f>CHADUData!O6</f>
        <v>0</v>
      </c>
      <c r="M545" s="869"/>
      <c r="N545" s="869"/>
      <c r="O545" s="870"/>
      <c r="P545" s="868">
        <f>CHADUData!P6</f>
        <v>0</v>
      </c>
      <c r="Q545" s="869"/>
      <c r="R545" s="870"/>
      <c r="S545" s="868">
        <f t="shared" si="11"/>
        <v>0</v>
      </c>
      <c r="T545" s="869"/>
      <c r="U545" s="869"/>
      <c r="V545" s="870"/>
      <c r="W545" s="866" t="str">
        <f>IF(CHADUData!R6=0,"",CHADUData!R6)</f>
        <v/>
      </c>
      <c r="X545" s="867"/>
      <c r="Y545" s="518"/>
      <c r="Z545" s="518"/>
      <c r="AA545" s="518"/>
      <c r="AB545" s="518"/>
      <c r="AC545" s="518"/>
      <c r="AD545" s="518"/>
      <c r="AE545" s="518"/>
      <c r="AF545" s="518"/>
      <c r="AG545" s="518"/>
      <c r="AH545" s="518"/>
      <c r="AJ545" s="595" t="b">
        <f t="shared" si="12"/>
        <v>0</v>
      </c>
    </row>
    <row r="546" spans="1:36" hidden="1" x14ac:dyDescent="0.45">
      <c r="A546" s="518"/>
      <c r="B546" s="514" t="s">
        <v>1409</v>
      </c>
      <c r="C546" s="515"/>
      <c r="D546" s="515"/>
      <c r="E546" s="515"/>
      <c r="F546" s="516"/>
      <c r="G546" s="888">
        <f>CHADUData!N7</f>
        <v>0</v>
      </c>
      <c r="H546" s="887"/>
      <c r="I546" s="890" t="str">
        <f>IF(CHADUData!L7="","",CHADUData!L7)</f>
        <v/>
      </c>
      <c r="J546" s="910"/>
      <c r="K546" s="891"/>
      <c r="L546" s="868">
        <f>CHADUData!O7</f>
        <v>0</v>
      </c>
      <c r="M546" s="869"/>
      <c r="N546" s="869"/>
      <c r="O546" s="870"/>
      <c r="P546" s="868">
        <f>CHADUData!P7</f>
        <v>0</v>
      </c>
      <c r="Q546" s="869"/>
      <c r="R546" s="870"/>
      <c r="S546" s="868">
        <f t="shared" si="11"/>
        <v>0</v>
      </c>
      <c r="T546" s="869"/>
      <c r="U546" s="869"/>
      <c r="V546" s="870"/>
      <c r="W546" s="866" t="str">
        <f>IF(CHADUData!R7=0,"",CHADUData!R7)</f>
        <v/>
      </c>
      <c r="X546" s="867"/>
      <c r="Y546" s="518"/>
      <c r="Z546" s="518"/>
      <c r="AA546" s="518"/>
      <c r="AB546" s="518"/>
      <c r="AC546" s="518"/>
      <c r="AD546" s="518"/>
      <c r="AE546" s="518"/>
      <c r="AF546" s="518"/>
      <c r="AG546" s="518"/>
      <c r="AH546" s="518"/>
      <c r="AJ546" s="595" t="b">
        <f t="shared" si="12"/>
        <v>0</v>
      </c>
    </row>
    <row r="547" spans="1:36" hidden="1" x14ac:dyDescent="0.45">
      <c r="A547" s="518"/>
      <c r="B547" s="514" t="s">
        <v>1410</v>
      </c>
      <c r="C547" s="515"/>
      <c r="D547" s="515"/>
      <c r="E547" s="515"/>
      <c r="F547" s="516"/>
      <c r="G547" s="888">
        <f>CHADUData!N8</f>
        <v>0</v>
      </c>
      <c r="H547" s="887"/>
      <c r="I547" s="890" t="str">
        <f>IF(CHADUData!L8="","",CHADUData!L8)</f>
        <v/>
      </c>
      <c r="J547" s="910"/>
      <c r="K547" s="891"/>
      <c r="L547" s="868">
        <f>CHADUData!O8</f>
        <v>0</v>
      </c>
      <c r="M547" s="869"/>
      <c r="N547" s="869"/>
      <c r="O547" s="870"/>
      <c r="P547" s="868">
        <f>CHADUData!P8</f>
        <v>0</v>
      </c>
      <c r="Q547" s="869"/>
      <c r="R547" s="870"/>
      <c r="S547" s="868">
        <f t="shared" si="11"/>
        <v>0</v>
      </c>
      <c r="T547" s="869"/>
      <c r="U547" s="869"/>
      <c r="V547" s="870"/>
      <c r="W547" s="866" t="str">
        <f>IF(CHADUData!R8=0,"",CHADUData!R8)</f>
        <v/>
      </c>
      <c r="X547" s="867"/>
      <c r="Y547" s="518"/>
      <c r="Z547" s="518"/>
      <c r="AA547" s="518"/>
      <c r="AB547" s="518"/>
      <c r="AC547" s="518"/>
      <c r="AD547" s="518"/>
      <c r="AE547" s="518"/>
      <c r="AF547" s="518"/>
      <c r="AG547" s="518"/>
      <c r="AH547" s="518"/>
      <c r="AJ547" s="595" t="b">
        <f t="shared" si="12"/>
        <v>0</v>
      </c>
    </row>
    <row r="548" spans="1:36" hidden="1" x14ac:dyDescent="0.45">
      <c r="A548" s="518"/>
      <c r="B548" s="514" t="s">
        <v>1411</v>
      </c>
      <c r="C548" s="515"/>
      <c r="D548" s="515"/>
      <c r="E548" s="515"/>
      <c r="F548" s="516"/>
      <c r="G548" s="888">
        <f>CHADUData!N9</f>
        <v>0</v>
      </c>
      <c r="H548" s="887"/>
      <c r="I548" s="890" t="str">
        <f>IF(CHADUData!L9="","",CHADUData!L9)</f>
        <v/>
      </c>
      <c r="J548" s="910"/>
      <c r="K548" s="891"/>
      <c r="L548" s="868">
        <f>CHADUData!O9</f>
        <v>0</v>
      </c>
      <c r="M548" s="869"/>
      <c r="N548" s="869"/>
      <c r="O548" s="870"/>
      <c r="P548" s="868">
        <f>CHADUData!P9</f>
        <v>0</v>
      </c>
      <c r="Q548" s="869"/>
      <c r="R548" s="870"/>
      <c r="S548" s="868">
        <f t="shared" si="11"/>
        <v>0</v>
      </c>
      <c r="T548" s="869"/>
      <c r="U548" s="869"/>
      <c r="V548" s="870"/>
      <c r="W548" s="866" t="str">
        <f>IF(CHADUData!R9=0,"",CHADUData!R9)</f>
        <v/>
      </c>
      <c r="X548" s="867"/>
      <c r="Y548" s="518"/>
      <c r="Z548" s="518"/>
      <c r="AA548" s="518"/>
      <c r="AB548" s="518"/>
      <c r="AC548" s="518"/>
      <c r="AD548" s="518"/>
      <c r="AE548" s="518"/>
      <c r="AF548" s="518"/>
      <c r="AG548" s="518"/>
      <c r="AH548" s="518"/>
      <c r="AJ548" s="595" t="b">
        <f t="shared" si="12"/>
        <v>0</v>
      </c>
    </row>
    <row r="549" spans="1:36" hidden="1" x14ac:dyDescent="0.45">
      <c r="A549" s="518"/>
      <c r="B549" s="514" t="s">
        <v>1412</v>
      </c>
      <c r="C549" s="515"/>
      <c r="D549" s="515"/>
      <c r="E549" s="515"/>
      <c r="F549" s="516"/>
      <c r="G549" s="888">
        <f>CHADUData!N10</f>
        <v>0</v>
      </c>
      <c r="H549" s="887"/>
      <c r="I549" s="890" t="str">
        <f>IF(CHADUData!L10="","",CHADUData!L10)</f>
        <v/>
      </c>
      <c r="J549" s="910"/>
      <c r="K549" s="891"/>
      <c r="L549" s="868">
        <f>CHADUData!O10</f>
        <v>0</v>
      </c>
      <c r="M549" s="869"/>
      <c r="N549" s="869"/>
      <c r="O549" s="870"/>
      <c r="P549" s="868">
        <f>CHADUData!P10</f>
        <v>0</v>
      </c>
      <c r="Q549" s="869"/>
      <c r="R549" s="870"/>
      <c r="S549" s="868">
        <f t="shared" si="11"/>
        <v>0</v>
      </c>
      <c r="T549" s="869"/>
      <c r="U549" s="869"/>
      <c r="V549" s="870"/>
      <c r="W549" s="866" t="str">
        <f>IF(CHADUData!R10=0,"",CHADUData!R10)</f>
        <v/>
      </c>
      <c r="X549" s="867"/>
      <c r="Y549" s="518"/>
      <c r="Z549" s="518"/>
      <c r="AA549" s="518"/>
      <c r="AB549" s="518"/>
      <c r="AC549" s="518"/>
      <c r="AD549" s="518"/>
      <c r="AE549" s="518"/>
      <c r="AF549" s="518"/>
      <c r="AG549" s="518"/>
      <c r="AH549" s="518"/>
      <c r="AJ549" s="595" t="b">
        <f t="shared" si="12"/>
        <v>0</v>
      </c>
    </row>
    <row r="550" spans="1:36" hidden="1" x14ac:dyDescent="0.45">
      <c r="A550" s="518"/>
      <c r="B550" s="514" t="s">
        <v>1413</v>
      </c>
      <c r="C550" s="515"/>
      <c r="D550" s="515"/>
      <c r="E550" s="515"/>
      <c r="F550" s="516"/>
      <c r="G550" s="888">
        <f>CHADUData!N11</f>
        <v>0</v>
      </c>
      <c r="H550" s="887"/>
      <c r="I550" s="890" t="str">
        <f>IF(CHADUData!L11="","",CHADUData!L11)</f>
        <v/>
      </c>
      <c r="J550" s="910"/>
      <c r="K550" s="891"/>
      <c r="L550" s="868">
        <f>CHADUData!O11</f>
        <v>0</v>
      </c>
      <c r="M550" s="869"/>
      <c r="N550" s="869"/>
      <c r="O550" s="870"/>
      <c r="P550" s="868">
        <f>CHADUData!P11</f>
        <v>0</v>
      </c>
      <c r="Q550" s="869"/>
      <c r="R550" s="870"/>
      <c r="S550" s="868">
        <f t="shared" si="11"/>
        <v>0</v>
      </c>
      <c r="T550" s="869"/>
      <c r="U550" s="869"/>
      <c r="V550" s="870"/>
      <c r="W550" s="866" t="str">
        <f>IF(CHADUData!R11=0,"",CHADUData!R11)</f>
        <v/>
      </c>
      <c r="X550" s="867"/>
      <c r="Y550" s="518"/>
      <c r="Z550" s="518"/>
      <c r="AA550" s="518"/>
      <c r="AB550" s="518"/>
      <c r="AC550" s="518"/>
      <c r="AD550" s="518"/>
      <c r="AE550" s="518"/>
      <c r="AF550" s="518"/>
      <c r="AG550" s="518"/>
      <c r="AH550" s="518"/>
      <c r="AJ550" s="595" t="b">
        <f t="shared" si="12"/>
        <v>0</v>
      </c>
    </row>
    <row r="551" spans="1:36" hidden="1" x14ac:dyDescent="0.45">
      <c r="A551" s="518"/>
      <c r="B551" s="514" t="s">
        <v>1414</v>
      </c>
      <c r="C551" s="515"/>
      <c r="D551" s="515"/>
      <c r="E551" s="515"/>
      <c r="F551" s="516"/>
      <c r="G551" s="888">
        <f>CHADUData!N12</f>
        <v>0</v>
      </c>
      <c r="H551" s="887"/>
      <c r="I551" s="890" t="str">
        <f>IF(CHADUData!L12="","",CHADUData!L12)</f>
        <v/>
      </c>
      <c r="J551" s="910"/>
      <c r="K551" s="891"/>
      <c r="L551" s="868">
        <f>CHADUData!O12</f>
        <v>0</v>
      </c>
      <c r="M551" s="869"/>
      <c r="N551" s="869"/>
      <c r="O551" s="870"/>
      <c r="P551" s="868">
        <f>CHADUData!P12</f>
        <v>0</v>
      </c>
      <c r="Q551" s="869"/>
      <c r="R551" s="870"/>
      <c r="S551" s="868">
        <f t="shared" si="11"/>
        <v>0</v>
      </c>
      <c r="T551" s="869"/>
      <c r="U551" s="869"/>
      <c r="V551" s="870"/>
      <c r="W551" s="866" t="str">
        <f>IF(CHADUData!R12=0,"",CHADUData!R12)</f>
        <v/>
      </c>
      <c r="X551" s="867"/>
      <c r="Y551" s="518"/>
      <c r="Z551" s="518"/>
      <c r="AA551" s="518"/>
      <c r="AB551" s="518"/>
      <c r="AC551" s="518"/>
      <c r="AD551" s="518"/>
      <c r="AE551" s="518"/>
      <c r="AF551" s="518"/>
      <c r="AG551" s="518"/>
      <c r="AH551" s="518"/>
      <c r="AJ551" s="595" t="b">
        <f t="shared" si="12"/>
        <v>0</v>
      </c>
    </row>
    <row r="552" spans="1:36" hidden="1" x14ac:dyDescent="0.45">
      <c r="A552" s="518"/>
      <c r="B552" s="514" t="s">
        <v>1415</v>
      </c>
      <c r="C552" s="515"/>
      <c r="D552" s="515"/>
      <c r="E552" s="515"/>
      <c r="F552" s="516"/>
      <c r="G552" s="888">
        <f>CHADUData!N13</f>
        <v>0</v>
      </c>
      <c r="H552" s="887"/>
      <c r="I552" s="890" t="str">
        <f>IF(CHADUData!L13="","",CHADUData!L13)</f>
        <v/>
      </c>
      <c r="J552" s="910"/>
      <c r="K552" s="891"/>
      <c r="L552" s="868">
        <f>CHADUData!O13</f>
        <v>0</v>
      </c>
      <c r="M552" s="869"/>
      <c r="N552" s="869"/>
      <c r="O552" s="870"/>
      <c r="P552" s="868">
        <f>CHADUData!P13</f>
        <v>0</v>
      </c>
      <c r="Q552" s="869"/>
      <c r="R552" s="870"/>
      <c r="S552" s="868">
        <f t="shared" si="11"/>
        <v>0</v>
      </c>
      <c r="T552" s="869"/>
      <c r="U552" s="869"/>
      <c r="V552" s="870"/>
      <c r="W552" s="866" t="str">
        <f>IF(CHADUData!R13=0,"",CHADUData!R13)</f>
        <v/>
      </c>
      <c r="X552" s="867"/>
      <c r="Y552" s="518"/>
      <c r="Z552" s="518"/>
      <c r="AA552" s="518"/>
      <c r="AB552" s="518"/>
      <c r="AC552" s="518"/>
      <c r="AD552" s="518"/>
      <c r="AE552" s="518"/>
      <c r="AF552" s="518"/>
      <c r="AG552" s="518"/>
      <c r="AH552" s="518"/>
      <c r="AJ552" s="595" t="b">
        <f t="shared" si="12"/>
        <v>0</v>
      </c>
    </row>
    <row r="553" spans="1:36" hidden="1" x14ac:dyDescent="0.45">
      <c r="A553" s="518"/>
      <c r="B553" s="514" t="s">
        <v>1416</v>
      </c>
      <c r="C553" s="515"/>
      <c r="D553" s="515"/>
      <c r="E553" s="515"/>
      <c r="F553" s="516"/>
      <c r="G553" s="888">
        <f>CHADUData!N14</f>
        <v>0</v>
      </c>
      <c r="H553" s="887"/>
      <c r="I553" s="890" t="str">
        <f>IF(CHADUData!L14="","",CHADUData!L14)</f>
        <v/>
      </c>
      <c r="J553" s="910"/>
      <c r="K553" s="891"/>
      <c r="L553" s="868">
        <f>CHADUData!O14</f>
        <v>0</v>
      </c>
      <c r="M553" s="869"/>
      <c r="N553" s="869"/>
      <c r="O553" s="870"/>
      <c r="P553" s="868">
        <f>CHADUData!P14</f>
        <v>0</v>
      </c>
      <c r="Q553" s="869"/>
      <c r="R553" s="870"/>
      <c r="S553" s="868">
        <f t="shared" si="11"/>
        <v>0</v>
      </c>
      <c r="T553" s="869"/>
      <c r="U553" s="869"/>
      <c r="V553" s="870"/>
      <c r="W553" s="866" t="str">
        <f>IF(CHADUData!R14=0,"",CHADUData!R14)</f>
        <v/>
      </c>
      <c r="X553" s="867"/>
      <c r="Y553" s="518"/>
      <c r="Z553" s="518"/>
      <c r="AA553" s="518"/>
      <c r="AB553" s="518"/>
      <c r="AC553" s="518"/>
      <c r="AD553" s="518"/>
      <c r="AE553" s="518"/>
      <c r="AF553" s="518"/>
      <c r="AG553" s="518"/>
      <c r="AH553" s="518"/>
      <c r="AJ553" s="595" t="b">
        <f t="shared" si="12"/>
        <v>0</v>
      </c>
    </row>
    <row r="554" spans="1:36" hidden="1" x14ac:dyDescent="0.45">
      <c r="A554" s="518"/>
      <c r="B554" s="514" t="s">
        <v>1417</v>
      </c>
      <c r="C554" s="515"/>
      <c r="D554" s="515"/>
      <c r="E554" s="515"/>
      <c r="F554" s="516"/>
      <c r="G554" s="888">
        <f>CHADUData!N15</f>
        <v>0</v>
      </c>
      <c r="H554" s="887"/>
      <c r="I554" s="890" t="str">
        <f>IF(CHADUData!L15="","",CHADUData!L15)</f>
        <v/>
      </c>
      <c r="J554" s="910"/>
      <c r="K554" s="891"/>
      <c r="L554" s="868">
        <f>CHADUData!O15</f>
        <v>0</v>
      </c>
      <c r="M554" s="869"/>
      <c r="N554" s="869"/>
      <c r="O554" s="870"/>
      <c r="P554" s="868">
        <f>CHADUData!P15</f>
        <v>0</v>
      </c>
      <c r="Q554" s="869"/>
      <c r="R554" s="870"/>
      <c r="S554" s="868">
        <f t="shared" si="11"/>
        <v>0</v>
      </c>
      <c r="T554" s="869"/>
      <c r="U554" s="869"/>
      <c r="V554" s="870"/>
      <c r="W554" s="866" t="str">
        <f>IF(CHADUData!R15=0,"",CHADUData!R15)</f>
        <v/>
      </c>
      <c r="X554" s="867"/>
      <c r="Y554" s="518"/>
      <c r="Z554" s="518"/>
      <c r="AA554" s="518"/>
      <c r="AB554" s="518"/>
      <c r="AC554" s="518"/>
      <c r="AD554" s="518"/>
      <c r="AE554" s="518"/>
      <c r="AF554" s="518"/>
      <c r="AG554" s="518"/>
      <c r="AH554" s="518"/>
      <c r="AJ554" s="595" t="b">
        <f t="shared" si="12"/>
        <v>0</v>
      </c>
    </row>
    <row r="555" spans="1:36" hidden="1" x14ac:dyDescent="0.45">
      <c r="A555" s="518"/>
      <c r="B555" s="514" t="s">
        <v>1418</v>
      </c>
      <c r="C555" s="515"/>
      <c r="D555" s="515"/>
      <c r="E555" s="515"/>
      <c r="F555" s="516"/>
      <c r="G555" s="888">
        <f>CHADUData!N16</f>
        <v>0</v>
      </c>
      <c r="H555" s="887"/>
      <c r="I555" s="890" t="str">
        <f>IF(CHADUData!L16="","",CHADUData!L16)</f>
        <v/>
      </c>
      <c r="J555" s="910"/>
      <c r="K555" s="891"/>
      <c r="L555" s="868">
        <f>CHADUData!O16</f>
        <v>0</v>
      </c>
      <c r="M555" s="869"/>
      <c r="N555" s="869"/>
      <c r="O555" s="870"/>
      <c r="P555" s="868">
        <f>CHADUData!P16</f>
        <v>0</v>
      </c>
      <c r="Q555" s="869"/>
      <c r="R555" s="870"/>
      <c r="S555" s="868">
        <f t="shared" si="11"/>
        <v>0</v>
      </c>
      <c r="T555" s="869"/>
      <c r="U555" s="869"/>
      <c r="V555" s="870"/>
      <c r="W555" s="866" t="str">
        <f>IF(CHADUData!R16=0,"",CHADUData!R16)</f>
        <v/>
      </c>
      <c r="X555" s="867"/>
      <c r="Y555" s="518"/>
      <c r="Z555" s="518"/>
      <c r="AA555" s="518"/>
      <c r="AB555" s="518"/>
      <c r="AC555" s="518"/>
      <c r="AD555" s="518"/>
      <c r="AE555" s="518"/>
      <c r="AF555" s="518"/>
      <c r="AG555" s="518"/>
      <c r="AH555" s="518"/>
      <c r="AJ555" s="595" t="b">
        <f t="shared" si="12"/>
        <v>0</v>
      </c>
    </row>
    <row r="556" spans="1:36" hidden="1" x14ac:dyDescent="0.45">
      <c r="A556" s="518"/>
      <c r="B556" s="514" t="s">
        <v>1419</v>
      </c>
      <c r="C556" s="515"/>
      <c r="D556" s="515"/>
      <c r="E556" s="515"/>
      <c r="F556" s="516"/>
      <c r="G556" s="888">
        <f>CHADUData!N17</f>
        <v>0</v>
      </c>
      <c r="H556" s="887"/>
      <c r="I556" s="890" t="str">
        <f>IF(CHADUData!L17="","",CHADUData!L17)</f>
        <v/>
      </c>
      <c r="J556" s="910"/>
      <c r="K556" s="891"/>
      <c r="L556" s="868">
        <f>CHADUData!O17</f>
        <v>0</v>
      </c>
      <c r="M556" s="869"/>
      <c r="N556" s="869"/>
      <c r="O556" s="870"/>
      <c r="P556" s="868">
        <f>CHADUData!P17</f>
        <v>0</v>
      </c>
      <c r="Q556" s="869"/>
      <c r="R556" s="870"/>
      <c r="S556" s="868">
        <f t="shared" si="11"/>
        <v>0</v>
      </c>
      <c r="T556" s="869"/>
      <c r="U556" s="869"/>
      <c r="V556" s="870"/>
      <c r="W556" s="866" t="str">
        <f>IF(CHADUData!R17=0,"",CHADUData!R17)</f>
        <v/>
      </c>
      <c r="X556" s="867"/>
      <c r="Y556" s="518"/>
      <c r="Z556" s="518"/>
      <c r="AA556" s="518"/>
      <c r="AB556" s="518"/>
      <c r="AC556" s="518"/>
      <c r="AD556" s="518"/>
      <c r="AE556" s="518"/>
      <c r="AF556" s="518"/>
      <c r="AG556" s="518"/>
      <c r="AH556" s="518"/>
      <c r="AJ556" s="595" t="b">
        <f t="shared" si="12"/>
        <v>0</v>
      </c>
    </row>
    <row r="557" spans="1:36" hidden="1" x14ac:dyDescent="0.45">
      <c r="A557" s="518"/>
      <c r="B557" s="514" t="s">
        <v>1420</v>
      </c>
      <c r="C557" s="515"/>
      <c r="D557" s="515"/>
      <c r="E557" s="515"/>
      <c r="F557" s="516"/>
      <c r="G557" s="888">
        <f>CHADUData!N18</f>
        <v>0</v>
      </c>
      <c r="H557" s="887"/>
      <c r="I557" s="890" t="str">
        <f>IF(CHADUData!L18="","",CHADUData!L18)</f>
        <v/>
      </c>
      <c r="J557" s="910"/>
      <c r="K557" s="891"/>
      <c r="L557" s="868">
        <f>CHADUData!O18</f>
        <v>0</v>
      </c>
      <c r="M557" s="869"/>
      <c r="N557" s="869"/>
      <c r="O557" s="870"/>
      <c r="P557" s="868">
        <f>CHADUData!P18</f>
        <v>0</v>
      </c>
      <c r="Q557" s="869"/>
      <c r="R557" s="870"/>
      <c r="S557" s="868">
        <f t="shared" si="11"/>
        <v>0</v>
      </c>
      <c r="T557" s="869"/>
      <c r="U557" s="869"/>
      <c r="V557" s="870"/>
      <c r="W557" s="866" t="str">
        <f>IF(CHADUData!R18=0,"",CHADUData!R18)</f>
        <v/>
      </c>
      <c r="X557" s="867"/>
      <c r="Y557" s="518"/>
      <c r="Z557" s="518"/>
      <c r="AA557" s="518"/>
      <c r="AB557" s="518"/>
      <c r="AC557" s="518"/>
      <c r="AD557" s="518"/>
      <c r="AE557" s="518"/>
      <c r="AF557" s="518"/>
      <c r="AG557" s="518"/>
      <c r="AH557" s="518"/>
      <c r="AJ557" s="595" t="b">
        <f t="shared" si="12"/>
        <v>0</v>
      </c>
    </row>
    <row r="558" spans="1:36" hidden="1" x14ac:dyDescent="0.45">
      <c r="A558" s="518"/>
      <c r="B558" s="514" t="s">
        <v>1421</v>
      </c>
      <c r="C558" s="515"/>
      <c r="D558" s="515"/>
      <c r="E558" s="515"/>
      <c r="F558" s="516"/>
      <c r="G558" s="888">
        <f>CHADUData!N19</f>
        <v>0</v>
      </c>
      <c r="H558" s="887"/>
      <c r="I558" s="890" t="str">
        <f>IF(CHADUData!L19="","",CHADUData!L19)</f>
        <v/>
      </c>
      <c r="J558" s="910"/>
      <c r="K558" s="891"/>
      <c r="L558" s="868">
        <f>CHADUData!O19</f>
        <v>0</v>
      </c>
      <c r="M558" s="869"/>
      <c r="N558" s="869"/>
      <c r="O558" s="870"/>
      <c r="P558" s="868">
        <f>CHADUData!P19</f>
        <v>0</v>
      </c>
      <c r="Q558" s="869"/>
      <c r="R558" s="870"/>
      <c r="S558" s="868">
        <f t="shared" si="11"/>
        <v>0</v>
      </c>
      <c r="T558" s="869"/>
      <c r="U558" s="869"/>
      <c r="V558" s="870"/>
      <c r="W558" s="866" t="str">
        <f>IF(CHADUData!R19=0,"",CHADUData!R19)</f>
        <v/>
      </c>
      <c r="X558" s="867"/>
      <c r="Y558" s="518"/>
      <c r="Z558" s="518"/>
      <c r="AA558" s="518"/>
      <c r="AB558" s="518"/>
      <c r="AC558" s="518"/>
      <c r="AD558" s="518"/>
      <c r="AE558" s="518"/>
      <c r="AF558" s="518"/>
      <c r="AG558" s="518"/>
      <c r="AH558" s="518"/>
      <c r="AJ558" s="595" t="b">
        <f t="shared" si="12"/>
        <v>0</v>
      </c>
    </row>
    <row r="559" spans="1:36" hidden="1" x14ac:dyDescent="0.45">
      <c r="A559" s="518"/>
      <c r="B559" s="514" t="s">
        <v>1422</v>
      </c>
      <c r="C559" s="515"/>
      <c r="D559" s="515"/>
      <c r="E559" s="515"/>
      <c r="F559" s="516"/>
      <c r="G559" s="888">
        <f>CHADUData!N20</f>
        <v>0</v>
      </c>
      <c r="H559" s="887"/>
      <c r="I559" s="890" t="str">
        <f>IF(CHADUData!L20="","",CHADUData!L20)</f>
        <v/>
      </c>
      <c r="J559" s="910"/>
      <c r="K559" s="891"/>
      <c r="L559" s="868">
        <f>CHADUData!O20</f>
        <v>0</v>
      </c>
      <c r="M559" s="869"/>
      <c r="N559" s="869"/>
      <c r="O559" s="870"/>
      <c r="P559" s="868">
        <f>CHADUData!P20</f>
        <v>0</v>
      </c>
      <c r="Q559" s="869"/>
      <c r="R559" s="870"/>
      <c r="S559" s="868">
        <f t="shared" si="11"/>
        <v>0</v>
      </c>
      <c r="T559" s="869"/>
      <c r="U559" s="869"/>
      <c r="V559" s="870"/>
      <c r="W559" s="866" t="str">
        <f>IF(CHADUData!R20=0,"",CHADUData!R20)</f>
        <v/>
      </c>
      <c r="X559" s="867"/>
      <c r="Y559" s="518"/>
      <c r="Z559" s="518"/>
      <c r="AA559" s="518"/>
      <c r="AB559" s="518"/>
      <c r="AC559" s="518"/>
      <c r="AD559" s="518"/>
      <c r="AE559" s="518"/>
      <c r="AF559" s="518"/>
      <c r="AG559" s="518"/>
      <c r="AH559" s="518"/>
      <c r="AJ559" s="595" t="b">
        <f t="shared" si="12"/>
        <v>0</v>
      </c>
    </row>
    <row r="560" spans="1:36" hidden="1" x14ac:dyDescent="0.45">
      <c r="A560" s="518"/>
      <c r="B560" s="514" t="s">
        <v>1423</v>
      </c>
      <c r="C560" s="515"/>
      <c r="D560" s="515"/>
      <c r="E560" s="515"/>
      <c r="F560" s="516"/>
      <c r="G560" s="888">
        <f>CHADUData!N21</f>
        <v>0</v>
      </c>
      <c r="H560" s="887"/>
      <c r="I560" s="890" t="str">
        <f>IF(CHADUData!L21="","",CHADUData!L21)</f>
        <v/>
      </c>
      <c r="J560" s="910"/>
      <c r="K560" s="891"/>
      <c r="L560" s="868">
        <f>CHADUData!O21</f>
        <v>0</v>
      </c>
      <c r="M560" s="869"/>
      <c r="N560" s="869"/>
      <c r="O560" s="870"/>
      <c r="P560" s="868">
        <f>CHADUData!P21</f>
        <v>0</v>
      </c>
      <c r="Q560" s="869"/>
      <c r="R560" s="870"/>
      <c r="S560" s="868">
        <f t="shared" si="11"/>
        <v>0</v>
      </c>
      <c r="T560" s="869"/>
      <c r="U560" s="869"/>
      <c r="V560" s="870"/>
      <c r="W560" s="866" t="str">
        <f>IF(CHADUData!R21=0,"",CHADUData!R21)</f>
        <v/>
      </c>
      <c r="X560" s="867"/>
      <c r="Y560" s="518"/>
      <c r="Z560" s="518"/>
      <c r="AA560" s="518"/>
      <c r="AB560" s="518"/>
      <c r="AC560" s="518"/>
      <c r="AD560" s="518"/>
      <c r="AE560" s="518"/>
      <c r="AF560" s="518"/>
      <c r="AG560" s="518"/>
      <c r="AH560" s="518"/>
      <c r="AJ560" s="595" t="b">
        <f t="shared" si="12"/>
        <v>0</v>
      </c>
    </row>
    <row r="561" spans="1:36" hidden="1" x14ac:dyDescent="0.45">
      <c r="A561" s="518"/>
      <c r="B561" s="514" t="s">
        <v>1424</v>
      </c>
      <c r="C561" s="515"/>
      <c r="D561" s="515"/>
      <c r="E561" s="515"/>
      <c r="F561" s="516"/>
      <c r="G561" s="888">
        <f>CHADUData!N22</f>
        <v>0</v>
      </c>
      <c r="H561" s="887"/>
      <c r="I561" s="890" t="str">
        <f>IF(CHADUData!L22="","",CHADUData!L22)</f>
        <v/>
      </c>
      <c r="J561" s="910"/>
      <c r="K561" s="891"/>
      <c r="L561" s="868">
        <f>CHADUData!O22</f>
        <v>0</v>
      </c>
      <c r="M561" s="869"/>
      <c r="N561" s="869"/>
      <c r="O561" s="870"/>
      <c r="P561" s="868">
        <f>CHADUData!P22</f>
        <v>0</v>
      </c>
      <c r="Q561" s="869"/>
      <c r="R561" s="870"/>
      <c r="S561" s="868">
        <f t="shared" si="11"/>
        <v>0</v>
      </c>
      <c r="T561" s="869"/>
      <c r="U561" s="869"/>
      <c r="V561" s="870"/>
      <c r="W561" s="866" t="str">
        <f>IF(CHADUData!R22=0,"",CHADUData!R22)</f>
        <v/>
      </c>
      <c r="X561" s="867"/>
      <c r="Y561" s="518"/>
      <c r="Z561" s="518"/>
      <c r="AA561" s="518"/>
      <c r="AB561" s="518"/>
      <c r="AC561" s="518"/>
      <c r="AD561" s="518"/>
      <c r="AE561" s="518"/>
      <c r="AF561" s="518"/>
      <c r="AG561" s="518"/>
      <c r="AH561" s="518"/>
      <c r="AJ561" s="595" t="b">
        <f t="shared" si="12"/>
        <v>0</v>
      </c>
    </row>
    <row r="562" spans="1:36" hidden="1" x14ac:dyDescent="0.45">
      <c r="A562" s="518"/>
      <c r="B562" s="514" t="s">
        <v>1425</v>
      </c>
      <c r="C562" s="515"/>
      <c r="D562" s="515"/>
      <c r="E562" s="515"/>
      <c r="F562" s="516"/>
      <c r="G562" s="888">
        <f>CHADUData!N23</f>
        <v>0</v>
      </c>
      <c r="H562" s="887"/>
      <c r="I562" s="890" t="str">
        <f>IF(CHADUData!L23="","",CHADUData!L23)</f>
        <v/>
      </c>
      <c r="J562" s="910"/>
      <c r="K562" s="891"/>
      <c r="L562" s="868">
        <f>CHADUData!O23</f>
        <v>0</v>
      </c>
      <c r="M562" s="869"/>
      <c r="N562" s="869"/>
      <c r="O562" s="870"/>
      <c r="P562" s="868">
        <f>CHADUData!P23</f>
        <v>0</v>
      </c>
      <c r="Q562" s="869"/>
      <c r="R562" s="870"/>
      <c r="S562" s="868">
        <f t="shared" si="11"/>
        <v>0</v>
      </c>
      <c r="T562" s="869"/>
      <c r="U562" s="869"/>
      <c r="V562" s="870"/>
      <c r="W562" s="866" t="str">
        <f>IF(CHADUData!R23=0,"",CHADUData!R23)</f>
        <v/>
      </c>
      <c r="X562" s="867"/>
      <c r="Y562" s="518"/>
      <c r="Z562" s="518"/>
      <c r="AA562" s="518"/>
      <c r="AB562" s="518"/>
      <c r="AC562" s="518"/>
      <c r="AD562" s="518"/>
      <c r="AE562" s="518"/>
      <c r="AF562" s="518"/>
      <c r="AG562" s="518"/>
      <c r="AH562" s="518"/>
      <c r="AJ562" s="595" t="b">
        <f t="shared" si="12"/>
        <v>0</v>
      </c>
    </row>
    <row r="563" spans="1:36" hidden="1" x14ac:dyDescent="0.45">
      <c r="A563" s="518"/>
      <c r="B563" s="514" t="s">
        <v>1426</v>
      </c>
      <c r="C563" s="515"/>
      <c r="D563" s="515"/>
      <c r="E563" s="515"/>
      <c r="F563" s="516"/>
      <c r="G563" s="888">
        <f>CHADUData!N24</f>
        <v>0</v>
      </c>
      <c r="H563" s="887"/>
      <c r="I563" s="890" t="str">
        <f>IF(CHADUData!L24="","",CHADUData!L24)</f>
        <v/>
      </c>
      <c r="J563" s="910"/>
      <c r="K563" s="891"/>
      <c r="L563" s="868">
        <f>CHADUData!O24</f>
        <v>0</v>
      </c>
      <c r="M563" s="869"/>
      <c r="N563" s="869"/>
      <c r="O563" s="870"/>
      <c r="P563" s="868">
        <f>CHADUData!P24</f>
        <v>0</v>
      </c>
      <c r="Q563" s="869"/>
      <c r="R563" s="870"/>
      <c r="S563" s="868">
        <f t="shared" si="11"/>
        <v>0</v>
      </c>
      <c r="T563" s="869"/>
      <c r="U563" s="869"/>
      <c r="V563" s="870"/>
      <c r="W563" s="866" t="str">
        <f>IF(CHADUData!R24=0,"",CHADUData!R24)</f>
        <v/>
      </c>
      <c r="X563" s="867"/>
      <c r="Y563" s="518"/>
      <c r="Z563" s="518"/>
      <c r="AA563" s="518"/>
      <c r="AB563" s="518"/>
      <c r="AC563" s="518"/>
      <c r="AD563" s="518"/>
      <c r="AE563" s="518"/>
      <c r="AF563" s="518"/>
      <c r="AG563" s="518"/>
      <c r="AH563" s="518"/>
      <c r="AJ563" s="595" t="b">
        <f t="shared" si="12"/>
        <v>0</v>
      </c>
    </row>
    <row r="564" spans="1:36" hidden="1" x14ac:dyDescent="0.45">
      <c r="A564" s="518"/>
      <c r="B564" s="514" t="s">
        <v>1427</v>
      </c>
      <c r="C564" s="515"/>
      <c r="D564" s="515"/>
      <c r="E564" s="515"/>
      <c r="F564" s="516"/>
      <c r="G564" s="888">
        <f>CHADUData!N25</f>
        <v>0</v>
      </c>
      <c r="H564" s="887"/>
      <c r="I564" s="890" t="str">
        <f>IF(CHADUData!L25="","",CHADUData!L25)</f>
        <v/>
      </c>
      <c r="J564" s="910"/>
      <c r="K564" s="891"/>
      <c r="L564" s="868">
        <f>CHADUData!O25</f>
        <v>0</v>
      </c>
      <c r="M564" s="869"/>
      <c r="N564" s="869"/>
      <c r="O564" s="870"/>
      <c r="P564" s="868">
        <f>CHADUData!P25</f>
        <v>0</v>
      </c>
      <c r="Q564" s="869"/>
      <c r="R564" s="870"/>
      <c r="S564" s="868">
        <f t="shared" si="11"/>
        <v>0</v>
      </c>
      <c r="T564" s="869"/>
      <c r="U564" s="869"/>
      <c r="V564" s="870"/>
      <c r="W564" s="866" t="str">
        <f>IF(CHADUData!R25=0,"",CHADUData!R25)</f>
        <v/>
      </c>
      <c r="X564" s="867"/>
      <c r="Y564" s="518"/>
      <c r="Z564" s="518"/>
      <c r="AA564" s="518"/>
      <c r="AB564" s="518"/>
      <c r="AC564" s="518"/>
      <c r="AD564" s="518"/>
      <c r="AE564" s="518"/>
      <c r="AF564" s="518"/>
      <c r="AG564" s="518"/>
      <c r="AH564" s="518"/>
      <c r="AJ564" s="595" t="b">
        <f t="shared" si="12"/>
        <v>0</v>
      </c>
    </row>
    <row r="565" spans="1:36" hidden="1" x14ac:dyDescent="0.45">
      <c r="A565" s="518"/>
      <c r="B565" s="514" t="s">
        <v>1428</v>
      </c>
      <c r="C565" s="515"/>
      <c r="D565" s="515"/>
      <c r="E565" s="515"/>
      <c r="F565" s="516"/>
      <c r="G565" s="888">
        <f>CHADUData!N26</f>
        <v>0</v>
      </c>
      <c r="H565" s="887"/>
      <c r="I565" s="890" t="str">
        <f>IF(CHADUData!L26="","",CHADUData!L26)</f>
        <v/>
      </c>
      <c r="J565" s="910"/>
      <c r="K565" s="891"/>
      <c r="L565" s="868">
        <f>CHADUData!O26</f>
        <v>0</v>
      </c>
      <c r="M565" s="869"/>
      <c r="N565" s="869"/>
      <c r="O565" s="870"/>
      <c r="P565" s="868">
        <f>CHADUData!P26</f>
        <v>0</v>
      </c>
      <c r="Q565" s="869"/>
      <c r="R565" s="870"/>
      <c r="S565" s="868">
        <f t="shared" si="11"/>
        <v>0</v>
      </c>
      <c r="T565" s="869"/>
      <c r="U565" s="869"/>
      <c r="V565" s="870"/>
      <c r="W565" s="866" t="str">
        <f>IF(CHADUData!R26=0,"",CHADUData!R26)</f>
        <v/>
      </c>
      <c r="X565" s="867"/>
      <c r="Y565" s="518"/>
      <c r="Z565" s="518"/>
      <c r="AA565" s="518"/>
      <c r="AB565" s="518"/>
      <c r="AC565" s="518"/>
      <c r="AD565" s="518"/>
      <c r="AE565" s="518"/>
      <c r="AF565" s="518"/>
      <c r="AG565" s="518"/>
      <c r="AH565" s="518"/>
      <c r="AJ565" s="595" t="b">
        <f t="shared" si="12"/>
        <v>0</v>
      </c>
    </row>
    <row r="566" spans="1:36" hidden="1" x14ac:dyDescent="0.45">
      <c r="A566" s="518"/>
      <c r="B566" s="514" t="s">
        <v>1429</v>
      </c>
      <c r="C566" s="515"/>
      <c r="D566" s="515"/>
      <c r="E566" s="515"/>
      <c r="F566" s="516"/>
      <c r="G566" s="888">
        <f>CHADUData!N27</f>
        <v>0</v>
      </c>
      <c r="H566" s="887"/>
      <c r="I566" s="890" t="str">
        <f>IF(CHADUData!L27="","",CHADUData!L27)</f>
        <v/>
      </c>
      <c r="J566" s="910"/>
      <c r="K566" s="891"/>
      <c r="L566" s="868">
        <f>CHADUData!O27</f>
        <v>0</v>
      </c>
      <c r="M566" s="869"/>
      <c r="N566" s="869"/>
      <c r="O566" s="870"/>
      <c r="P566" s="868">
        <f>CHADUData!P27</f>
        <v>0</v>
      </c>
      <c r="Q566" s="869"/>
      <c r="R566" s="870"/>
      <c r="S566" s="868">
        <f t="shared" si="11"/>
        <v>0</v>
      </c>
      <c r="T566" s="869"/>
      <c r="U566" s="869"/>
      <c r="V566" s="870"/>
      <c r="W566" s="866" t="str">
        <f>IF(CHADUData!R27=0,"",CHADUData!R27)</f>
        <v/>
      </c>
      <c r="X566" s="867"/>
      <c r="Y566" s="518"/>
      <c r="Z566" s="518"/>
      <c r="AA566" s="518"/>
      <c r="AB566" s="518"/>
      <c r="AC566" s="518"/>
      <c r="AD566" s="518"/>
      <c r="AE566" s="518"/>
      <c r="AF566" s="518"/>
      <c r="AG566" s="518"/>
      <c r="AH566" s="518"/>
      <c r="AJ566" s="595" t="b">
        <f t="shared" si="12"/>
        <v>0</v>
      </c>
    </row>
    <row r="567" spans="1:36" hidden="1" x14ac:dyDescent="0.45">
      <c r="A567" s="518"/>
      <c r="B567" s="514" t="s">
        <v>1430</v>
      </c>
      <c r="C567" s="515"/>
      <c r="D567" s="515"/>
      <c r="E567" s="515"/>
      <c r="F567" s="516"/>
      <c r="G567" s="888">
        <f>CHADUData!N28</f>
        <v>0</v>
      </c>
      <c r="H567" s="887"/>
      <c r="I567" s="890" t="str">
        <f>IF(CHADUData!L28="","",CHADUData!L28)</f>
        <v/>
      </c>
      <c r="J567" s="910"/>
      <c r="K567" s="891"/>
      <c r="L567" s="868">
        <f>CHADUData!O28</f>
        <v>0</v>
      </c>
      <c r="M567" s="869"/>
      <c r="N567" s="869"/>
      <c r="O567" s="870"/>
      <c r="P567" s="868">
        <f>CHADUData!P28</f>
        <v>0</v>
      </c>
      <c r="Q567" s="869"/>
      <c r="R567" s="870"/>
      <c r="S567" s="868">
        <f t="shared" si="11"/>
        <v>0</v>
      </c>
      <c r="T567" s="869"/>
      <c r="U567" s="869"/>
      <c r="V567" s="870"/>
      <c r="W567" s="866" t="str">
        <f>IF(CHADUData!R28=0,"",CHADUData!R28)</f>
        <v/>
      </c>
      <c r="X567" s="867"/>
      <c r="Y567" s="518"/>
      <c r="Z567" s="518"/>
      <c r="AA567" s="518"/>
      <c r="AB567" s="518"/>
      <c r="AC567" s="518"/>
      <c r="AD567" s="518"/>
      <c r="AE567" s="518"/>
      <c r="AF567" s="518"/>
      <c r="AG567" s="518"/>
      <c r="AH567" s="518"/>
      <c r="AJ567" s="595" t="b">
        <f t="shared" si="12"/>
        <v>0</v>
      </c>
    </row>
    <row r="568" spans="1:36" hidden="1" x14ac:dyDescent="0.45">
      <c r="A568" s="518"/>
      <c r="B568" s="514" t="s">
        <v>1431</v>
      </c>
      <c r="C568" s="515"/>
      <c r="D568" s="515"/>
      <c r="E568" s="515"/>
      <c r="F568" s="516"/>
      <c r="G568" s="888">
        <f>CHADUData!N29</f>
        <v>0</v>
      </c>
      <c r="H568" s="887"/>
      <c r="I568" s="890" t="str">
        <f>IF(CHADUData!L29="","",CHADUData!L29)</f>
        <v/>
      </c>
      <c r="J568" s="910"/>
      <c r="K568" s="891"/>
      <c r="L568" s="868">
        <f>CHADUData!O29</f>
        <v>0</v>
      </c>
      <c r="M568" s="869"/>
      <c r="N568" s="869"/>
      <c r="O568" s="870"/>
      <c r="P568" s="868">
        <f>CHADUData!P29</f>
        <v>0</v>
      </c>
      <c r="Q568" s="869"/>
      <c r="R568" s="870"/>
      <c r="S568" s="868">
        <f t="shared" si="11"/>
        <v>0</v>
      </c>
      <c r="T568" s="869"/>
      <c r="U568" s="869"/>
      <c r="V568" s="870"/>
      <c r="W568" s="866" t="str">
        <f>IF(CHADUData!R29=0,"",CHADUData!R29)</f>
        <v/>
      </c>
      <c r="X568" s="867"/>
      <c r="Y568" s="518"/>
      <c r="Z568" s="518"/>
      <c r="AA568" s="518"/>
      <c r="AB568" s="518"/>
      <c r="AC568" s="518"/>
      <c r="AD568" s="518"/>
      <c r="AE568" s="518"/>
      <c r="AF568" s="518"/>
      <c r="AG568" s="518"/>
      <c r="AH568" s="518"/>
      <c r="AJ568" s="595" t="b">
        <f t="shared" si="12"/>
        <v>0</v>
      </c>
    </row>
    <row r="569" spans="1:36" hidden="1" x14ac:dyDescent="0.45">
      <c r="A569" s="518"/>
      <c r="B569" s="514" t="s">
        <v>1432</v>
      </c>
      <c r="C569" s="515"/>
      <c r="D569" s="515"/>
      <c r="E569" s="515"/>
      <c r="F569" s="516"/>
      <c r="G569" s="888">
        <f>CHADUData!N30</f>
        <v>0</v>
      </c>
      <c r="H569" s="887"/>
      <c r="I569" s="890" t="str">
        <f>IF(CHADUData!L30="","",CHADUData!L30)</f>
        <v/>
      </c>
      <c r="J569" s="910"/>
      <c r="K569" s="891"/>
      <c r="L569" s="868">
        <f>CHADUData!O30</f>
        <v>0</v>
      </c>
      <c r="M569" s="869"/>
      <c r="N569" s="869"/>
      <c r="O569" s="870"/>
      <c r="P569" s="868">
        <f>CHADUData!P30</f>
        <v>0</v>
      </c>
      <c r="Q569" s="869"/>
      <c r="R569" s="870"/>
      <c r="S569" s="868">
        <f t="shared" si="11"/>
        <v>0</v>
      </c>
      <c r="T569" s="869"/>
      <c r="U569" s="869"/>
      <c r="V569" s="870"/>
      <c r="W569" s="866" t="str">
        <f>IF(CHADUData!R30=0,"",CHADUData!R30)</f>
        <v/>
      </c>
      <c r="X569" s="867"/>
      <c r="Y569" s="518"/>
      <c r="Z569" s="518"/>
      <c r="AA569" s="518"/>
      <c r="AB569" s="518"/>
      <c r="AC569" s="518"/>
      <c r="AD569" s="518"/>
      <c r="AE569" s="518"/>
      <c r="AF569" s="518"/>
      <c r="AG569" s="518"/>
      <c r="AH569" s="518"/>
      <c r="AJ569" s="595" t="b">
        <f t="shared" si="12"/>
        <v>0</v>
      </c>
    </row>
    <row r="570" spans="1:36" hidden="1" x14ac:dyDescent="0.45">
      <c r="A570" s="518"/>
      <c r="B570" s="514" t="s">
        <v>1433</v>
      </c>
      <c r="C570" s="515"/>
      <c r="D570" s="515"/>
      <c r="E570" s="515"/>
      <c r="F570" s="516"/>
      <c r="G570" s="888">
        <f>CHADUData!N31</f>
        <v>0</v>
      </c>
      <c r="H570" s="887"/>
      <c r="I570" s="890" t="str">
        <f>IF(CHADUData!L31="","",CHADUData!L31)</f>
        <v/>
      </c>
      <c r="J570" s="910"/>
      <c r="K570" s="891"/>
      <c r="L570" s="868">
        <f>CHADUData!O31</f>
        <v>0</v>
      </c>
      <c r="M570" s="869"/>
      <c r="N570" s="869"/>
      <c r="O570" s="870"/>
      <c r="P570" s="868">
        <f>CHADUData!P31</f>
        <v>0</v>
      </c>
      <c r="Q570" s="869"/>
      <c r="R570" s="870"/>
      <c r="S570" s="868">
        <f t="shared" si="11"/>
        <v>0</v>
      </c>
      <c r="T570" s="869"/>
      <c r="U570" s="869"/>
      <c r="V570" s="870"/>
      <c r="W570" s="866" t="str">
        <f>IF(CHADUData!R31=0,"",CHADUData!R31)</f>
        <v/>
      </c>
      <c r="X570" s="867"/>
      <c r="Y570" s="518"/>
      <c r="Z570" s="518"/>
      <c r="AA570" s="518"/>
      <c r="AB570" s="518"/>
      <c r="AC570" s="518"/>
      <c r="AD570" s="518"/>
      <c r="AE570" s="518"/>
      <c r="AF570" s="518"/>
      <c r="AG570" s="518"/>
      <c r="AH570" s="518"/>
      <c r="AJ570" s="595" t="b">
        <f t="shared" si="12"/>
        <v>0</v>
      </c>
    </row>
    <row r="571" spans="1:36" hidden="1" x14ac:dyDescent="0.45">
      <c r="A571" s="518"/>
      <c r="B571" s="514" t="s">
        <v>1434</v>
      </c>
      <c r="C571" s="515"/>
      <c r="D571" s="515"/>
      <c r="E571" s="515"/>
      <c r="F571" s="516"/>
      <c r="G571" s="888">
        <f>CHADUData!N32</f>
        <v>0</v>
      </c>
      <c r="H571" s="887"/>
      <c r="I571" s="890" t="str">
        <f>IF(CHADUData!L32="","",CHADUData!L32)</f>
        <v/>
      </c>
      <c r="J571" s="910"/>
      <c r="K571" s="891"/>
      <c r="L571" s="868">
        <f>CHADUData!O32</f>
        <v>0</v>
      </c>
      <c r="M571" s="869"/>
      <c r="N571" s="869"/>
      <c r="O571" s="870"/>
      <c r="P571" s="868">
        <f>CHADUData!P32</f>
        <v>0</v>
      </c>
      <c r="Q571" s="869"/>
      <c r="R571" s="870"/>
      <c r="S571" s="868">
        <f t="shared" si="11"/>
        <v>0</v>
      </c>
      <c r="T571" s="869"/>
      <c r="U571" s="869"/>
      <c r="V571" s="870"/>
      <c r="W571" s="866" t="str">
        <f>IF(CHADUData!R32=0,"",CHADUData!R32)</f>
        <v/>
      </c>
      <c r="X571" s="867"/>
      <c r="Y571" s="518"/>
      <c r="Z571" s="518"/>
      <c r="AA571" s="518"/>
      <c r="AB571" s="518"/>
      <c r="AC571" s="518"/>
      <c r="AD571" s="518"/>
      <c r="AE571" s="518"/>
      <c r="AF571" s="518"/>
      <c r="AG571" s="518"/>
      <c r="AH571" s="518"/>
      <c r="AJ571" s="595" t="b">
        <f t="shared" si="12"/>
        <v>0</v>
      </c>
    </row>
    <row r="572" spans="1:36" hidden="1" x14ac:dyDescent="0.45">
      <c r="A572" s="518"/>
      <c r="B572" s="514" t="s">
        <v>1435</v>
      </c>
      <c r="C572" s="515"/>
      <c r="D572" s="515"/>
      <c r="E572" s="515"/>
      <c r="F572" s="516"/>
      <c r="G572" s="888">
        <f>CHADUData!N33</f>
        <v>0</v>
      </c>
      <c r="H572" s="887"/>
      <c r="I572" s="890" t="str">
        <f>IF(CHADUData!L33="","",CHADUData!L33)</f>
        <v/>
      </c>
      <c r="J572" s="910"/>
      <c r="K572" s="891"/>
      <c r="L572" s="868">
        <f>CHADUData!O33</f>
        <v>0</v>
      </c>
      <c r="M572" s="869"/>
      <c r="N572" s="869"/>
      <c r="O572" s="870"/>
      <c r="P572" s="868">
        <f>CHADUData!P33</f>
        <v>0</v>
      </c>
      <c r="Q572" s="869"/>
      <c r="R572" s="870"/>
      <c r="S572" s="868">
        <f t="shared" si="11"/>
        <v>0</v>
      </c>
      <c r="T572" s="869"/>
      <c r="U572" s="869"/>
      <c r="V572" s="870"/>
      <c r="W572" s="866" t="str">
        <f>IF(CHADUData!R33=0,"",CHADUData!R33)</f>
        <v/>
      </c>
      <c r="X572" s="867"/>
      <c r="Y572" s="518"/>
      <c r="Z572" s="518"/>
      <c r="AA572" s="518"/>
      <c r="AB572" s="518"/>
      <c r="AC572" s="518"/>
      <c r="AD572" s="518"/>
      <c r="AE572" s="518"/>
      <c r="AF572" s="518"/>
      <c r="AG572" s="518"/>
      <c r="AH572" s="518"/>
      <c r="AJ572" s="595" t="b">
        <f t="shared" si="12"/>
        <v>0</v>
      </c>
    </row>
    <row r="573" spans="1:36" hidden="1" x14ac:dyDescent="0.45">
      <c r="A573" s="518"/>
      <c r="B573" s="514" t="s">
        <v>1436</v>
      </c>
      <c r="C573" s="515"/>
      <c r="D573" s="515"/>
      <c r="E573" s="515"/>
      <c r="F573" s="516"/>
      <c r="G573" s="888">
        <f>CHADUData!N34</f>
        <v>0</v>
      </c>
      <c r="H573" s="887"/>
      <c r="I573" s="890" t="str">
        <f>IF(CHADUData!L34="","",CHADUData!L34)</f>
        <v/>
      </c>
      <c r="J573" s="910"/>
      <c r="K573" s="891"/>
      <c r="L573" s="868">
        <f>CHADUData!O34</f>
        <v>0</v>
      </c>
      <c r="M573" s="869"/>
      <c r="N573" s="869"/>
      <c r="O573" s="870"/>
      <c r="P573" s="868">
        <f>CHADUData!P34</f>
        <v>0</v>
      </c>
      <c r="Q573" s="869"/>
      <c r="R573" s="870"/>
      <c r="S573" s="868">
        <f t="shared" si="11"/>
        <v>0</v>
      </c>
      <c r="T573" s="869"/>
      <c r="U573" s="869"/>
      <c r="V573" s="870"/>
      <c r="W573" s="866" t="str">
        <f>IF(CHADUData!R34=0,"",CHADUData!R34)</f>
        <v/>
      </c>
      <c r="X573" s="867"/>
      <c r="Y573" s="518"/>
      <c r="Z573" s="518"/>
      <c r="AA573" s="518"/>
      <c r="AB573" s="518"/>
      <c r="AC573" s="518"/>
      <c r="AD573" s="518"/>
      <c r="AE573" s="518"/>
      <c r="AF573" s="518"/>
      <c r="AG573" s="518"/>
      <c r="AH573" s="518"/>
      <c r="AJ573" s="595" t="b">
        <f t="shared" si="12"/>
        <v>0</v>
      </c>
    </row>
    <row r="574" spans="1:36" hidden="1" x14ac:dyDescent="0.45">
      <c r="A574" s="518"/>
      <c r="B574" s="514" t="s">
        <v>1437</v>
      </c>
      <c r="C574" s="515"/>
      <c r="D574" s="515"/>
      <c r="E574" s="515"/>
      <c r="F574" s="516"/>
      <c r="G574" s="888">
        <f>CHADUData!N35</f>
        <v>0</v>
      </c>
      <c r="H574" s="887"/>
      <c r="I574" s="890" t="str">
        <f>IF(CHADUData!L35="","",CHADUData!L35)</f>
        <v/>
      </c>
      <c r="J574" s="910"/>
      <c r="K574" s="891"/>
      <c r="L574" s="868">
        <f>CHADUData!O35</f>
        <v>0</v>
      </c>
      <c r="M574" s="869"/>
      <c r="N574" s="869"/>
      <c r="O574" s="870"/>
      <c r="P574" s="868">
        <f>CHADUData!P35</f>
        <v>0</v>
      </c>
      <c r="Q574" s="869"/>
      <c r="R574" s="870"/>
      <c r="S574" s="868">
        <f t="shared" si="11"/>
        <v>0</v>
      </c>
      <c r="T574" s="869"/>
      <c r="U574" s="869"/>
      <c r="V574" s="870"/>
      <c r="W574" s="866" t="str">
        <f>IF(CHADUData!R35=0,"",CHADUData!R35)</f>
        <v/>
      </c>
      <c r="X574" s="867"/>
      <c r="Y574" s="518"/>
      <c r="Z574" s="518"/>
      <c r="AA574" s="518"/>
      <c r="AB574" s="518"/>
      <c r="AC574" s="518"/>
      <c r="AD574" s="518"/>
      <c r="AE574" s="518"/>
      <c r="AF574" s="518"/>
      <c r="AG574" s="518"/>
      <c r="AH574" s="518"/>
      <c r="AJ574" s="595" t="b">
        <f t="shared" si="12"/>
        <v>0</v>
      </c>
    </row>
    <row r="575" spans="1:36" hidden="1" x14ac:dyDescent="0.45">
      <c r="A575" s="518"/>
      <c r="B575" s="514" t="s">
        <v>1438</v>
      </c>
      <c r="C575" s="515"/>
      <c r="D575" s="515"/>
      <c r="E575" s="515"/>
      <c r="F575" s="516"/>
      <c r="G575" s="888">
        <f>CHADUData!N36</f>
        <v>0</v>
      </c>
      <c r="H575" s="887"/>
      <c r="I575" s="890" t="str">
        <f>IF(CHADUData!L36="","",CHADUData!L36)</f>
        <v/>
      </c>
      <c r="J575" s="910"/>
      <c r="K575" s="891"/>
      <c r="L575" s="868">
        <f>CHADUData!O36</f>
        <v>0</v>
      </c>
      <c r="M575" s="869"/>
      <c r="N575" s="869"/>
      <c r="O575" s="870"/>
      <c r="P575" s="868">
        <f>CHADUData!P36</f>
        <v>0</v>
      </c>
      <c r="Q575" s="869"/>
      <c r="R575" s="870"/>
      <c r="S575" s="868">
        <f t="shared" si="11"/>
        <v>0</v>
      </c>
      <c r="T575" s="869"/>
      <c r="U575" s="869"/>
      <c r="V575" s="870"/>
      <c r="W575" s="866" t="str">
        <f>IF(CHADUData!R36=0,"",CHADUData!R36)</f>
        <v/>
      </c>
      <c r="X575" s="867"/>
      <c r="Y575" s="518"/>
      <c r="Z575" s="518"/>
      <c r="AA575" s="518"/>
      <c r="AB575" s="518"/>
      <c r="AC575" s="518"/>
      <c r="AD575" s="518"/>
      <c r="AE575" s="518"/>
      <c r="AF575" s="518"/>
      <c r="AG575" s="518"/>
      <c r="AH575" s="518"/>
      <c r="AJ575" s="595" t="b">
        <f t="shared" si="12"/>
        <v>0</v>
      </c>
    </row>
    <row r="576" spans="1:36" hidden="1" x14ac:dyDescent="0.45">
      <c r="A576" s="518"/>
      <c r="B576" s="514" t="s">
        <v>1439</v>
      </c>
      <c r="C576" s="515"/>
      <c r="D576" s="515"/>
      <c r="E576" s="515"/>
      <c r="F576" s="516"/>
      <c r="G576" s="888">
        <f>CHADUData!N37</f>
        <v>0</v>
      </c>
      <c r="H576" s="887"/>
      <c r="I576" s="890" t="str">
        <f>IF(CHADUData!L37="","",CHADUData!L37)</f>
        <v/>
      </c>
      <c r="J576" s="910"/>
      <c r="K576" s="891"/>
      <c r="L576" s="868">
        <f>CHADUData!O37</f>
        <v>0</v>
      </c>
      <c r="M576" s="869"/>
      <c r="N576" s="869"/>
      <c r="O576" s="870"/>
      <c r="P576" s="868">
        <f>CHADUData!P37</f>
        <v>0</v>
      </c>
      <c r="Q576" s="869"/>
      <c r="R576" s="870"/>
      <c r="S576" s="868">
        <f t="shared" si="11"/>
        <v>0</v>
      </c>
      <c r="T576" s="869"/>
      <c r="U576" s="869"/>
      <c r="V576" s="870"/>
      <c r="W576" s="866" t="str">
        <f>IF(CHADUData!R37=0,"",CHADUData!R37)</f>
        <v/>
      </c>
      <c r="X576" s="867"/>
      <c r="Y576" s="518"/>
      <c r="Z576" s="518"/>
      <c r="AA576" s="518"/>
      <c r="AB576" s="518"/>
      <c r="AC576" s="518"/>
      <c r="AD576" s="518"/>
      <c r="AE576" s="518"/>
      <c r="AF576" s="518"/>
      <c r="AG576" s="518"/>
      <c r="AH576" s="518"/>
      <c r="AJ576" s="595" t="b">
        <f t="shared" si="12"/>
        <v>0</v>
      </c>
    </row>
    <row r="577" spans="1:36" hidden="1" x14ac:dyDescent="0.45">
      <c r="A577" s="518"/>
      <c r="B577" s="514" t="s">
        <v>1440</v>
      </c>
      <c r="C577" s="515"/>
      <c r="D577" s="515"/>
      <c r="E577" s="515"/>
      <c r="F577" s="516"/>
      <c r="G577" s="888">
        <f>CHADUData!N38</f>
        <v>0</v>
      </c>
      <c r="H577" s="887"/>
      <c r="I577" s="890" t="str">
        <f>IF(CHADUData!L38="","",CHADUData!L38)</f>
        <v/>
      </c>
      <c r="J577" s="910"/>
      <c r="K577" s="891"/>
      <c r="L577" s="868">
        <f>CHADUData!O38</f>
        <v>0</v>
      </c>
      <c r="M577" s="869"/>
      <c r="N577" s="869"/>
      <c r="O577" s="870"/>
      <c r="P577" s="868">
        <f>CHADUData!P38</f>
        <v>0</v>
      </c>
      <c r="Q577" s="869"/>
      <c r="R577" s="870"/>
      <c r="S577" s="868">
        <f t="shared" si="11"/>
        <v>0</v>
      </c>
      <c r="T577" s="869"/>
      <c r="U577" s="869"/>
      <c r="V577" s="870"/>
      <c r="W577" s="866" t="str">
        <f>IF(CHADUData!R38=0,"",CHADUData!R38)</f>
        <v/>
      </c>
      <c r="X577" s="867"/>
      <c r="Y577" s="518"/>
      <c r="Z577" s="518"/>
      <c r="AA577" s="518"/>
      <c r="AB577" s="518"/>
      <c r="AC577" s="518"/>
      <c r="AD577" s="518"/>
      <c r="AE577" s="518"/>
      <c r="AF577" s="518"/>
      <c r="AG577" s="518"/>
      <c r="AH577" s="518"/>
      <c r="AJ577" s="595" t="b">
        <f t="shared" si="12"/>
        <v>0</v>
      </c>
    </row>
    <row r="578" spans="1:36" hidden="1" x14ac:dyDescent="0.45">
      <c r="A578" s="518"/>
      <c r="B578" s="514" t="s">
        <v>1441</v>
      </c>
      <c r="C578" s="515"/>
      <c r="D578" s="515"/>
      <c r="E578" s="515"/>
      <c r="F578" s="516"/>
      <c r="G578" s="888">
        <f>CHADUData!N39</f>
        <v>0</v>
      </c>
      <c r="H578" s="887"/>
      <c r="I578" s="890" t="str">
        <f>IF(CHADUData!L39="","",CHADUData!L39)</f>
        <v/>
      </c>
      <c r="J578" s="910"/>
      <c r="K578" s="891"/>
      <c r="L578" s="868">
        <f>CHADUData!O39</f>
        <v>0</v>
      </c>
      <c r="M578" s="869"/>
      <c r="N578" s="869"/>
      <c r="O578" s="870"/>
      <c r="P578" s="868">
        <f>CHADUData!P39</f>
        <v>0</v>
      </c>
      <c r="Q578" s="869"/>
      <c r="R578" s="870"/>
      <c r="S578" s="868">
        <f t="shared" si="11"/>
        <v>0</v>
      </c>
      <c r="T578" s="869"/>
      <c r="U578" s="869"/>
      <c r="V578" s="870"/>
      <c r="W578" s="866" t="str">
        <f>IF(CHADUData!R39=0,"",CHADUData!R39)</f>
        <v/>
      </c>
      <c r="X578" s="867"/>
      <c r="Y578" s="518"/>
      <c r="Z578" s="518"/>
      <c r="AA578" s="518"/>
      <c r="AB578" s="518"/>
      <c r="AC578" s="518"/>
      <c r="AD578" s="518"/>
      <c r="AE578" s="518"/>
      <c r="AF578" s="518"/>
      <c r="AG578" s="518"/>
      <c r="AH578" s="518"/>
      <c r="AJ578" s="595" t="b">
        <f t="shared" si="12"/>
        <v>0</v>
      </c>
    </row>
    <row r="579" spans="1:36" hidden="1" x14ac:dyDescent="0.45">
      <c r="A579" s="518"/>
      <c r="B579" s="514" t="s">
        <v>152</v>
      </c>
      <c r="C579" s="515"/>
      <c r="D579" s="515"/>
      <c r="E579" s="515"/>
      <c r="F579" s="516"/>
      <c r="G579" s="888">
        <f>CHADUData!N40</f>
        <v>0</v>
      </c>
      <c r="H579" s="887"/>
      <c r="I579" s="890" t="str">
        <f>IF(CHADUData!L40="","",CHADUData!L40)</f>
        <v/>
      </c>
      <c r="J579" s="910"/>
      <c r="K579" s="891"/>
      <c r="L579" s="868">
        <f>CHADUData!O40</f>
        <v>0</v>
      </c>
      <c r="M579" s="869"/>
      <c r="N579" s="869"/>
      <c r="O579" s="870"/>
      <c r="P579" s="868">
        <f>CHADUData!P40</f>
        <v>0</v>
      </c>
      <c r="Q579" s="869"/>
      <c r="R579" s="870"/>
      <c r="S579" s="868">
        <f t="shared" si="11"/>
        <v>0</v>
      </c>
      <c r="T579" s="869"/>
      <c r="U579" s="869"/>
      <c r="V579" s="870"/>
      <c r="W579" s="866" t="str">
        <f>IF(CHADUData!R40=0,"",CHADUData!R40)</f>
        <v/>
      </c>
      <c r="X579" s="867"/>
      <c r="Y579" s="518"/>
      <c r="Z579" s="518"/>
      <c r="AA579" s="518"/>
      <c r="AB579" s="518"/>
      <c r="AC579" s="518"/>
      <c r="AD579" s="518"/>
      <c r="AE579" s="518"/>
      <c r="AF579" s="518"/>
      <c r="AG579" s="518"/>
      <c r="AH579" s="518"/>
      <c r="AJ579" s="595" t="b">
        <f t="shared" si="12"/>
        <v>0</v>
      </c>
    </row>
    <row r="580" spans="1:36" hidden="1" x14ac:dyDescent="0.45">
      <c r="A580" s="518"/>
      <c r="B580" s="514" t="s">
        <v>1442</v>
      </c>
      <c r="C580" s="515"/>
      <c r="D580" s="515"/>
      <c r="E580" s="515"/>
      <c r="F580" s="516"/>
      <c r="G580" s="888">
        <f>CHADUData!N41</f>
        <v>0</v>
      </c>
      <c r="H580" s="887"/>
      <c r="I580" s="890" t="str">
        <f>IF(CHADUData!L41="","",CHADUData!L41)</f>
        <v/>
      </c>
      <c r="J580" s="910"/>
      <c r="K580" s="891"/>
      <c r="L580" s="868">
        <f>CHADUData!O41</f>
        <v>0</v>
      </c>
      <c r="M580" s="869"/>
      <c r="N580" s="869"/>
      <c r="O580" s="870"/>
      <c r="P580" s="868">
        <f>CHADUData!P41</f>
        <v>0</v>
      </c>
      <c r="Q580" s="869"/>
      <c r="R580" s="870"/>
      <c r="S580" s="868">
        <f t="shared" si="11"/>
        <v>0</v>
      </c>
      <c r="T580" s="869"/>
      <c r="U580" s="869"/>
      <c r="V580" s="870"/>
      <c r="W580" s="866" t="str">
        <f>IF(CHADUData!R41=0,"",CHADUData!R41)</f>
        <v/>
      </c>
      <c r="X580" s="867"/>
      <c r="Y580" s="518"/>
      <c r="Z580" s="518"/>
      <c r="AA580" s="518"/>
      <c r="AB580" s="518"/>
      <c r="AC580" s="518"/>
      <c r="AD580" s="518"/>
      <c r="AE580" s="518"/>
      <c r="AF580" s="518"/>
      <c r="AG580" s="518"/>
      <c r="AH580" s="518"/>
      <c r="AJ580" s="595" t="b">
        <f t="shared" si="12"/>
        <v>0</v>
      </c>
    </row>
    <row r="581" spans="1:36" hidden="1" x14ac:dyDescent="0.45">
      <c r="A581" s="518"/>
      <c r="B581" s="514" t="s">
        <v>1443</v>
      </c>
      <c r="C581" s="515"/>
      <c r="D581" s="515"/>
      <c r="E581" s="515"/>
      <c r="F581" s="516"/>
      <c r="G581" s="888">
        <f>CHADUData!N42</f>
        <v>0</v>
      </c>
      <c r="H581" s="887"/>
      <c r="I581" s="890" t="str">
        <f>IF(CHADUData!L42="","",CHADUData!L42)</f>
        <v/>
      </c>
      <c r="J581" s="910"/>
      <c r="K581" s="891"/>
      <c r="L581" s="868">
        <f>CHADUData!O42</f>
        <v>0</v>
      </c>
      <c r="M581" s="869"/>
      <c r="N581" s="869"/>
      <c r="O581" s="870"/>
      <c r="P581" s="868">
        <f>CHADUData!P42</f>
        <v>0</v>
      </c>
      <c r="Q581" s="869"/>
      <c r="R581" s="870"/>
      <c r="S581" s="868">
        <f t="shared" si="11"/>
        <v>0</v>
      </c>
      <c r="T581" s="869"/>
      <c r="U581" s="869"/>
      <c r="V581" s="870"/>
      <c r="W581" s="866" t="str">
        <f>IF(CHADUData!R42=0,"",CHADUData!R42)</f>
        <v/>
      </c>
      <c r="X581" s="867"/>
      <c r="Y581" s="518"/>
      <c r="Z581" s="518"/>
      <c r="AA581" s="518"/>
      <c r="AB581" s="518"/>
      <c r="AC581" s="518"/>
      <c r="AD581" s="518"/>
      <c r="AE581" s="518"/>
      <c r="AF581" s="518"/>
      <c r="AG581" s="518"/>
      <c r="AH581" s="518"/>
      <c r="AJ581" s="595" t="b">
        <f t="shared" si="12"/>
        <v>0</v>
      </c>
    </row>
    <row r="582" spans="1:36" hidden="1" x14ac:dyDescent="0.45">
      <c r="A582" s="518"/>
      <c r="B582" s="514" t="s">
        <v>1444</v>
      </c>
      <c r="C582" s="515"/>
      <c r="D582" s="515"/>
      <c r="E582" s="515"/>
      <c r="F582" s="516"/>
      <c r="G582" s="888">
        <f>CHADUData!N43</f>
        <v>0</v>
      </c>
      <c r="H582" s="887"/>
      <c r="I582" s="890" t="str">
        <f>IF(CHADUData!L43="","",CHADUData!L43)</f>
        <v/>
      </c>
      <c r="J582" s="910"/>
      <c r="K582" s="891"/>
      <c r="L582" s="868">
        <f>CHADUData!O43</f>
        <v>0</v>
      </c>
      <c r="M582" s="869"/>
      <c r="N582" s="869"/>
      <c r="O582" s="870"/>
      <c r="P582" s="868">
        <f>CHADUData!P43</f>
        <v>0</v>
      </c>
      <c r="Q582" s="869"/>
      <c r="R582" s="870"/>
      <c r="S582" s="868">
        <f t="shared" si="11"/>
        <v>0</v>
      </c>
      <c r="T582" s="869"/>
      <c r="U582" s="869"/>
      <c r="V582" s="870"/>
      <c r="W582" s="866" t="str">
        <f>IF(CHADUData!R43=0,"",CHADUData!R43)</f>
        <v/>
      </c>
      <c r="X582" s="867"/>
      <c r="Y582" s="518"/>
      <c r="Z582" s="518"/>
      <c r="AA582" s="518"/>
      <c r="AB582" s="518"/>
      <c r="AC582" s="518"/>
      <c r="AD582" s="518"/>
      <c r="AE582" s="518"/>
      <c r="AF582" s="518"/>
      <c r="AG582" s="518"/>
      <c r="AH582" s="518"/>
      <c r="AJ582" s="595" t="b">
        <f t="shared" si="12"/>
        <v>0</v>
      </c>
    </row>
    <row r="583" spans="1:36" hidden="1" x14ac:dyDescent="0.45">
      <c r="A583" s="518"/>
      <c r="B583" s="514" t="s">
        <v>1445</v>
      </c>
      <c r="C583" s="515"/>
      <c r="D583" s="515"/>
      <c r="E583" s="515"/>
      <c r="F583" s="516"/>
      <c r="G583" s="888">
        <f>CHADUData!N44</f>
        <v>0</v>
      </c>
      <c r="H583" s="887"/>
      <c r="I583" s="890" t="str">
        <f>IF(CHADUData!L44="","",CHADUData!L44)</f>
        <v/>
      </c>
      <c r="J583" s="910"/>
      <c r="K583" s="891"/>
      <c r="L583" s="868">
        <f>CHADUData!O44</f>
        <v>0</v>
      </c>
      <c r="M583" s="869"/>
      <c r="N583" s="869"/>
      <c r="O583" s="870"/>
      <c r="P583" s="868">
        <f>CHADUData!P44</f>
        <v>0</v>
      </c>
      <c r="Q583" s="869"/>
      <c r="R583" s="870"/>
      <c r="S583" s="868">
        <f t="shared" si="11"/>
        <v>0</v>
      </c>
      <c r="T583" s="869"/>
      <c r="U583" s="869"/>
      <c r="V583" s="870"/>
      <c r="W583" s="866" t="str">
        <f>IF(CHADUData!R44=0,"",CHADUData!R44)</f>
        <v/>
      </c>
      <c r="X583" s="867"/>
      <c r="Y583" s="518"/>
      <c r="Z583" s="518"/>
      <c r="AA583" s="518"/>
      <c r="AB583" s="518"/>
      <c r="AC583" s="518"/>
      <c r="AD583" s="518"/>
      <c r="AE583" s="518"/>
      <c r="AF583" s="518"/>
      <c r="AG583" s="518"/>
      <c r="AH583" s="518"/>
      <c r="AJ583" s="595" t="b">
        <f t="shared" si="12"/>
        <v>0</v>
      </c>
    </row>
    <row r="584" spans="1:36" hidden="1" x14ac:dyDescent="0.45">
      <c r="A584" s="518"/>
      <c r="B584" s="514" t="s">
        <v>1446</v>
      </c>
      <c r="C584" s="515"/>
      <c r="D584" s="515"/>
      <c r="E584" s="515"/>
      <c r="F584" s="516"/>
      <c r="G584" s="888">
        <f>CHADUData!N45</f>
        <v>0</v>
      </c>
      <c r="H584" s="887"/>
      <c r="I584" s="890" t="str">
        <f>IF(CHADUData!L45="","",CHADUData!L45)</f>
        <v/>
      </c>
      <c r="J584" s="910"/>
      <c r="K584" s="891"/>
      <c r="L584" s="868">
        <f>CHADUData!O45</f>
        <v>0</v>
      </c>
      <c r="M584" s="869"/>
      <c r="N584" s="869"/>
      <c r="O584" s="870"/>
      <c r="P584" s="868">
        <f>CHADUData!P45</f>
        <v>0</v>
      </c>
      <c r="Q584" s="869"/>
      <c r="R584" s="870"/>
      <c r="S584" s="868">
        <f t="shared" si="11"/>
        <v>0</v>
      </c>
      <c r="T584" s="869"/>
      <c r="U584" s="869"/>
      <c r="V584" s="870"/>
      <c r="W584" s="866" t="str">
        <f>IF(CHADUData!R45=0,"",CHADUData!R45)</f>
        <v/>
      </c>
      <c r="X584" s="867"/>
      <c r="Y584" s="518"/>
      <c r="Z584" s="518"/>
      <c r="AA584" s="518"/>
      <c r="AB584" s="518"/>
      <c r="AC584" s="518"/>
      <c r="AD584" s="518"/>
      <c r="AE584" s="518"/>
      <c r="AF584" s="518"/>
      <c r="AG584" s="518"/>
      <c r="AH584" s="518"/>
      <c r="AJ584" s="595" t="b">
        <f t="shared" si="12"/>
        <v>0</v>
      </c>
    </row>
    <row r="585" spans="1:36" hidden="1" x14ac:dyDescent="0.45">
      <c r="B585" s="514" t="s">
        <v>1447</v>
      </c>
      <c r="C585" s="515"/>
      <c r="D585" s="515"/>
      <c r="E585" s="515"/>
      <c r="F585" s="516"/>
      <c r="G585" s="888">
        <f>CHADUData!N46</f>
        <v>0</v>
      </c>
      <c r="H585" s="887"/>
      <c r="I585" s="890" t="str">
        <f>IF(CHADUData!L46="","",CHADUData!L46)</f>
        <v/>
      </c>
      <c r="J585" s="910"/>
      <c r="K585" s="891"/>
      <c r="L585" s="868">
        <f>CHADUData!O46</f>
        <v>0</v>
      </c>
      <c r="M585" s="869"/>
      <c r="N585" s="869"/>
      <c r="O585" s="870"/>
      <c r="P585" s="868">
        <f>CHADUData!P46</f>
        <v>0</v>
      </c>
      <c r="Q585" s="869"/>
      <c r="R585" s="870"/>
      <c r="S585" s="868">
        <f t="shared" si="11"/>
        <v>0</v>
      </c>
      <c r="T585" s="869"/>
      <c r="U585" s="869"/>
      <c r="V585" s="870"/>
      <c r="W585" s="866" t="str">
        <f>IF(CHADUData!R46=0,"",CHADUData!R46)</f>
        <v/>
      </c>
      <c r="X585" s="867"/>
      <c r="Y585" s="518"/>
      <c r="Z585" s="518"/>
      <c r="AA585" s="518"/>
      <c r="AB585" s="518"/>
      <c r="AC585" s="518"/>
      <c r="AD585" s="518"/>
      <c r="AE585" s="518"/>
      <c r="AF585" s="518"/>
      <c r="AG585" s="518"/>
      <c r="AH585" s="518"/>
      <c r="AJ585" s="595" t="b">
        <f t="shared" si="12"/>
        <v>0</v>
      </c>
    </row>
    <row r="586" spans="1:36" hidden="1" x14ac:dyDescent="0.45">
      <c r="B586" s="514" t="s">
        <v>1448</v>
      </c>
      <c r="C586" s="515"/>
      <c r="D586" s="515"/>
      <c r="E586" s="515"/>
      <c r="F586" s="516"/>
      <c r="G586" s="888">
        <f>CHADUData!N47</f>
        <v>0</v>
      </c>
      <c r="H586" s="887"/>
      <c r="I586" s="890" t="str">
        <f>IF(CHADUData!L47="","",CHADUData!L47)</f>
        <v/>
      </c>
      <c r="J586" s="910"/>
      <c r="K586" s="891"/>
      <c r="L586" s="868">
        <f>CHADUData!O47</f>
        <v>0</v>
      </c>
      <c r="M586" s="869"/>
      <c r="N586" s="869"/>
      <c r="O586" s="870"/>
      <c r="P586" s="868">
        <f>CHADUData!P47</f>
        <v>0</v>
      </c>
      <c r="Q586" s="869"/>
      <c r="R586" s="870"/>
      <c r="S586" s="868">
        <f t="shared" si="11"/>
        <v>0</v>
      </c>
      <c r="T586" s="869"/>
      <c r="U586" s="869"/>
      <c r="V586" s="870"/>
      <c r="W586" s="866" t="str">
        <f>IF(CHADUData!R47=0,"",CHADUData!R47)</f>
        <v/>
      </c>
      <c r="X586" s="867"/>
      <c r="Y586" s="518"/>
      <c r="Z586" s="518"/>
      <c r="AA586" s="518"/>
      <c r="AB586" s="518"/>
      <c r="AC586" s="518"/>
      <c r="AD586" s="518"/>
      <c r="AE586" s="518"/>
      <c r="AF586" s="518"/>
      <c r="AG586" s="518"/>
      <c r="AH586" s="518"/>
      <c r="AJ586" s="595" t="b">
        <f t="shared" si="12"/>
        <v>0</v>
      </c>
    </row>
    <row r="587" spans="1:36" hidden="1" x14ac:dyDescent="0.45">
      <c r="B587" s="514" t="s">
        <v>1449</v>
      </c>
      <c r="C587" s="515"/>
      <c r="D587" s="515"/>
      <c r="E587" s="515"/>
      <c r="F587" s="516"/>
      <c r="G587" s="888">
        <f>CHADUData!N48</f>
        <v>0</v>
      </c>
      <c r="H587" s="887"/>
      <c r="I587" s="890" t="str">
        <f>IF(CHADUData!L48="","",CHADUData!L48)</f>
        <v/>
      </c>
      <c r="J587" s="910"/>
      <c r="K587" s="891"/>
      <c r="L587" s="868">
        <f>CHADUData!O48</f>
        <v>0</v>
      </c>
      <c r="M587" s="869"/>
      <c r="N587" s="869"/>
      <c r="O587" s="870"/>
      <c r="P587" s="868">
        <f>CHADUData!P48</f>
        <v>0</v>
      </c>
      <c r="Q587" s="869"/>
      <c r="R587" s="870"/>
      <c r="S587" s="868">
        <f t="shared" si="11"/>
        <v>0</v>
      </c>
      <c r="T587" s="869"/>
      <c r="U587" s="869"/>
      <c r="V587" s="870"/>
      <c r="W587" s="866" t="str">
        <f>IF(CHADUData!R48=0,"",CHADUData!R48)</f>
        <v/>
      </c>
      <c r="X587" s="867"/>
      <c r="Y587" s="518"/>
      <c r="Z587" s="518"/>
      <c r="AA587" s="518"/>
      <c r="AB587" s="518"/>
      <c r="AC587" s="518"/>
      <c r="AD587" s="518"/>
      <c r="AE587" s="518"/>
      <c r="AF587" s="518"/>
      <c r="AG587" s="518"/>
      <c r="AH587" s="518"/>
      <c r="AJ587" s="595" t="b">
        <f t="shared" si="12"/>
        <v>0</v>
      </c>
    </row>
    <row r="588" spans="1:36" hidden="1" x14ac:dyDescent="0.45">
      <c r="B588" s="514" t="s">
        <v>1450</v>
      </c>
      <c r="C588" s="515"/>
      <c r="D588" s="515"/>
      <c r="E588" s="515"/>
      <c r="F588" s="516"/>
      <c r="G588" s="888">
        <f>CHADUData!N49</f>
        <v>0</v>
      </c>
      <c r="H588" s="887"/>
      <c r="I588" s="890" t="str">
        <f>IF(CHADUData!L49="","",CHADUData!L49)</f>
        <v/>
      </c>
      <c r="J588" s="910"/>
      <c r="K588" s="891"/>
      <c r="L588" s="868">
        <f>CHADUData!O49</f>
        <v>0</v>
      </c>
      <c r="M588" s="869"/>
      <c r="N588" s="869"/>
      <c r="O588" s="870"/>
      <c r="P588" s="868">
        <f>CHADUData!P49</f>
        <v>0</v>
      </c>
      <c r="Q588" s="869"/>
      <c r="R588" s="870"/>
      <c r="S588" s="868">
        <f t="shared" si="11"/>
        <v>0</v>
      </c>
      <c r="T588" s="869"/>
      <c r="U588" s="869"/>
      <c r="V588" s="870"/>
      <c r="W588" s="866" t="str">
        <f>IF(CHADUData!R49=0,"",CHADUData!R49)</f>
        <v/>
      </c>
      <c r="X588" s="867"/>
      <c r="Y588" s="518"/>
      <c r="Z588" s="518"/>
      <c r="AA588" s="518"/>
      <c r="AB588" s="518"/>
      <c r="AC588" s="518"/>
      <c r="AD588" s="518"/>
      <c r="AE588" s="518"/>
      <c r="AF588" s="518"/>
      <c r="AG588" s="518"/>
      <c r="AH588" s="518"/>
      <c r="AJ588" s="595" t="b">
        <f t="shared" si="12"/>
        <v>0</v>
      </c>
    </row>
    <row r="589" spans="1:36" hidden="1" x14ac:dyDescent="0.45">
      <c r="B589" s="514" t="s">
        <v>1451</v>
      </c>
      <c r="C589" s="515"/>
      <c r="D589" s="515"/>
      <c r="E589" s="515"/>
      <c r="F589" s="516"/>
      <c r="G589" s="888">
        <f>CHADUData!N50</f>
        <v>0</v>
      </c>
      <c r="H589" s="887"/>
      <c r="I589" s="890" t="str">
        <f>IF(CHADUData!L50="","",CHADUData!L50)</f>
        <v/>
      </c>
      <c r="J589" s="910"/>
      <c r="K589" s="891"/>
      <c r="L589" s="868">
        <f>CHADUData!O50</f>
        <v>0</v>
      </c>
      <c r="M589" s="869"/>
      <c r="N589" s="869"/>
      <c r="O589" s="870"/>
      <c r="P589" s="868">
        <f>CHADUData!P50</f>
        <v>0</v>
      </c>
      <c r="Q589" s="869"/>
      <c r="R589" s="870"/>
      <c r="S589" s="868">
        <f t="shared" si="11"/>
        <v>0</v>
      </c>
      <c r="T589" s="869"/>
      <c r="U589" s="869"/>
      <c r="V589" s="870"/>
      <c r="W589" s="866" t="str">
        <f>IF(CHADUData!R50=0,"",CHADUData!R50)</f>
        <v/>
      </c>
      <c r="X589" s="867"/>
      <c r="Y589" s="518"/>
      <c r="Z589" s="518"/>
      <c r="AA589" s="518"/>
      <c r="AB589" s="518"/>
      <c r="AC589" s="518"/>
      <c r="AD589" s="518"/>
      <c r="AE589" s="518"/>
      <c r="AF589" s="518"/>
      <c r="AG589" s="518"/>
      <c r="AH589" s="518"/>
      <c r="AJ589" s="595" t="b">
        <f t="shared" si="12"/>
        <v>0</v>
      </c>
    </row>
    <row r="590" spans="1:36" hidden="1" x14ac:dyDescent="0.45">
      <c r="B590" s="514" t="s">
        <v>1452</v>
      </c>
      <c r="C590" s="515"/>
      <c r="D590" s="515"/>
      <c r="E590" s="515"/>
      <c r="F590" s="516"/>
      <c r="G590" s="888">
        <f>CHADUData!N51</f>
        <v>0</v>
      </c>
      <c r="H590" s="887"/>
      <c r="I590" s="890" t="str">
        <f>IF(CHADUData!L51="","",CHADUData!L51)</f>
        <v/>
      </c>
      <c r="J590" s="910"/>
      <c r="K590" s="891"/>
      <c r="L590" s="868">
        <f>CHADUData!O51</f>
        <v>0</v>
      </c>
      <c r="M590" s="869"/>
      <c r="N590" s="869"/>
      <c r="O590" s="870"/>
      <c r="P590" s="868">
        <f>CHADUData!P51</f>
        <v>0</v>
      </c>
      <c r="Q590" s="869"/>
      <c r="R590" s="870"/>
      <c r="S590" s="868">
        <f t="shared" si="11"/>
        <v>0</v>
      </c>
      <c r="T590" s="869"/>
      <c r="U590" s="869"/>
      <c r="V590" s="870"/>
      <c r="W590" s="866" t="str">
        <f>IF(CHADUData!R51=0,"",CHADUData!R51)</f>
        <v/>
      </c>
      <c r="X590" s="867"/>
      <c r="Y590" s="518"/>
      <c r="Z590" s="518"/>
      <c r="AA590" s="518"/>
      <c r="AB590" s="518"/>
      <c r="AC590" s="518"/>
      <c r="AD590" s="518"/>
      <c r="AE590" s="518"/>
      <c r="AF590" s="518"/>
      <c r="AG590" s="518"/>
      <c r="AH590" s="518"/>
      <c r="AJ590" s="595" t="b">
        <f t="shared" si="12"/>
        <v>0</v>
      </c>
    </row>
    <row r="591" spans="1:36" hidden="1" x14ac:dyDescent="0.45">
      <c r="B591" s="514" t="s">
        <v>1453</v>
      </c>
      <c r="C591" s="515"/>
      <c r="D591" s="515"/>
      <c r="E591" s="515"/>
      <c r="F591" s="516"/>
      <c r="G591" s="888">
        <f>CHADUData!N52</f>
        <v>0</v>
      </c>
      <c r="H591" s="887"/>
      <c r="I591" s="890" t="str">
        <f>IF(CHADUData!L52="","",CHADUData!L52)</f>
        <v/>
      </c>
      <c r="J591" s="910"/>
      <c r="K591" s="891"/>
      <c r="L591" s="868">
        <f>CHADUData!O52</f>
        <v>0</v>
      </c>
      <c r="M591" s="869"/>
      <c r="N591" s="869"/>
      <c r="O591" s="870"/>
      <c r="P591" s="868">
        <f>CHADUData!P52</f>
        <v>0</v>
      </c>
      <c r="Q591" s="869"/>
      <c r="R591" s="870"/>
      <c r="S591" s="868">
        <f t="shared" si="11"/>
        <v>0</v>
      </c>
      <c r="T591" s="869"/>
      <c r="U591" s="869"/>
      <c r="V591" s="870"/>
      <c r="W591" s="866" t="str">
        <f>IF(CHADUData!R52=0,"",CHADUData!R52)</f>
        <v/>
      </c>
      <c r="X591" s="867"/>
      <c r="Y591" s="518"/>
      <c r="Z591" s="518"/>
      <c r="AA591" s="518"/>
      <c r="AB591" s="518"/>
      <c r="AC591" s="518"/>
      <c r="AD591" s="518"/>
      <c r="AE591" s="518"/>
      <c r="AF591" s="518"/>
      <c r="AG591" s="518"/>
      <c r="AH591" s="518"/>
      <c r="AJ591" s="595" t="b">
        <f t="shared" si="12"/>
        <v>0</v>
      </c>
    </row>
    <row r="592" spans="1:36" hidden="1" x14ac:dyDescent="0.45">
      <c r="B592" s="514" t="s">
        <v>1454</v>
      </c>
      <c r="C592" s="515"/>
      <c r="D592" s="515"/>
      <c r="E592" s="515"/>
      <c r="F592" s="516"/>
      <c r="G592" s="888">
        <f>CHADUData!N53</f>
        <v>0</v>
      </c>
      <c r="H592" s="887"/>
      <c r="I592" s="890" t="str">
        <f>IF(CHADUData!L53="","",CHADUData!L53)</f>
        <v/>
      </c>
      <c r="J592" s="910"/>
      <c r="K592" s="891"/>
      <c r="L592" s="868">
        <f>CHADUData!O53</f>
        <v>0</v>
      </c>
      <c r="M592" s="869"/>
      <c r="N592" s="869"/>
      <c r="O592" s="870"/>
      <c r="P592" s="868">
        <f>CHADUData!P53</f>
        <v>0</v>
      </c>
      <c r="Q592" s="869"/>
      <c r="R592" s="870"/>
      <c r="S592" s="868">
        <f t="shared" si="11"/>
        <v>0</v>
      </c>
      <c r="T592" s="869"/>
      <c r="U592" s="869"/>
      <c r="V592" s="870"/>
      <c r="W592" s="866" t="str">
        <f>IF(CHADUData!R53=0,"",CHADUData!R53)</f>
        <v/>
      </c>
      <c r="X592" s="867"/>
      <c r="Y592" s="518"/>
      <c r="Z592" s="518"/>
      <c r="AA592" s="518"/>
      <c r="AB592" s="518"/>
      <c r="AC592" s="518"/>
      <c r="AD592" s="518"/>
      <c r="AE592" s="518"/>
      <c r="AF592" s="518"/>
      <c r="AG592" s="518"/>
      <c r="AH592" s="518"/>
      <c r="AJ592" s="595" t="b">
        <f t="shared" si="12"/>
        <v>0</v>
      </c>
    </row>
    <row r="593" spans="1:36" hidden="1" x14ac:dyDescent="0.45">
      <c r="B593" s="514" t="s">
        <v>1455</v>
      </c>
      <c r="C593" s="515"/>
      <c r="D593" s="515"/>
      <c r="E593" s="515"/>
      <c r="F593" s="516"/>
      <c r="G593" s="888">
        <f>CHADUData!N54</f>
        <v>0</v>
      </c>
      <c r="H593" s="887"/>
      <c r="I593" s="890" t="str">
        <f>IF(CHADUData!L54="","",CHADUData!L54)</f>
        <v/>
      </c>
      <c r="J593" s="910"/>
      <c r="K593" s="891"/>
      <c r="L593" s="868">
        <f>CHADUData!O54</f>
        <v>0</v>
      </c>
      <c r="M593" s="869"/>
      <c r="N593" s="869"/>
      <c r="O593" s="870"/>
      <c r="P593" s="868">
        <f>CHADUData!P54</f>
        <v>0</v>
      </c>
      <c r="Q593" s="869"/>
      <c r="R593" s="870"/>
      <c r="S593" s="868">
        <f t="shared" si="11"/>
        <v>0</v>
      </c>
      <c r="T593" s="869"/>
      <c r="U593" s="869"/>
      <c r="V593" s="870"/>
      <c r="W593" s="866" t="str">
        <f>IF(CHADUData!R54=0,"",CHADUData!R54)</f>
        <v/>
      </c>
      <c r="X593" s="867"/>
      <c r="Y593" s="518"/>
      <c r="Z593" s="518"/>
      <c r="AA593" s="518"/>
      <c r="AB593" s="518"/>
      <c r="AC593" s="518"/>
      <c r="AD593" s="518"/>
      <c r="AE593" s="518"/>
      <c r="AF593" s="518"/>
      <c r="AG593" s="518"/>
      <c r="AH593" s="518"/>
      <c r="AJ593" s="595" t="b">
        <f t="shared" si="12"/>
        <v>0</v>
      </c>
    </row>
    <row r="594" spans="1:36" hidden="1" x14ac:dyDescent="0.45">
      <c r="B594" s="514" t="s">
        <v>1456</v>
      </c>
      <c r="C594" s="515"/>
      <c r="D594" s="515"/>
      <c r="E594" s="515"/>
      <c r="F594" s="516"/>
      <c r="G594" s="888">
        <f>CHADUData!N55</f>
        <v>0</v>
      </c>
      <c r="H594" s="887"/>
      <c r="I594" s="890" t="str">
        <f>IF(CHADUData!L55="","",CHADUData!L55)</f>
        <v/>
      </c>
      <c r="J594" s="910"/>
      <c r="K594" s="891"/>
      <c r="L594" s="868">
        <f>CHADUData!O55</f>
        <v>0</v>
      </c>
      <c r="M594" s="869"/>
      <c r="N594" s="869"/>
      <c r="O594" s="870"/>
      <c r="P594" s="868">
        <f>CHADUData!P55</f>
        <v>0</v>
      </c>
      <c r="Q594" s="869"/>
      <c r="R594" s="870"/>
      <c r="S594" s="868">
        <f t="shared" si="11"/>
        <v>0</v>
      </c>
      <c r="T594" s="869"/>
      <c r="U594" s="869"/>
      <c r="V594" s="870"/>
      <c r="W594" s="866" t="str">
        <f>IF(CHADUData!R55=0,"",CHADUData!R55)</f>
        <v/>
      </c>
      <c r="X594" s="867"/>
      <c r="Y594" s="518"/>
      <c r="Z594" s="518"/>
      <c r="AA594" s="518"/>
      <c r="AB594" s="518"/>
      <c r="AC594" s="518"/>
      <c r="AD594" s="518"/>
      <c r="AE594" s="518"/>
      <c r="AF594" s="518"/>
      <c r="AG594" s="518"/>
      <c r="AH594" s="518"/>
      <c r="AJ594" s="595" t="b">
        <f t="shared" si="12"/>
        <v>0</v>
      </c>
    </row>
    <row r="595" spans="1:36" hidden="1" x14ac:dyDescent="0.45">
      <c r="B595" s="514" t="s">
        <v>1457</v>
      </c>
      <c r="C595" s="515"/>
      <c r="D595" s="515"/>
      <c r="E595" s="515"/>
      <c r="F595" s="516"/>
      <c r="G595" s="888">
        <f>CHADUData!N56</f>
        <v>0</v>
      </c>
      <c r="H595" s="887"/>
      <c r="I595" s="890" t="str">
        <f>IF(CHADUData!L56="","",CHADUData!L56)</f>
        <v/>
      </c>
      <c r="J595" s="910"/>
      <c r="K595" s="891"/>
      <c r="L595" s="868">
        <f>CHADUData!O56</f>
        <v>0</v>
      </c>
      <c r="M595" s="869"/>
      <c r="N595" s="869"/>
      <c r="O595" s="870"/>
      <c r="P595" s="868">
        <f>CHADUData!P56</f>
        <v>0</v>
      </c>
      <c r="Q595" s="869"/>
      <c r="R595" s="870"/>
      <c r="S595" s="868">
        <f t="shared" si="11"/>
        <v>0</v>
      </c>
      <c r="T595" s="869"/>
      <c r="U595" s="869"/>
      <c r="V595" s="870"/>
      <c r="W595" s="866" t="str">
        <f>IF(CHADUData!R56=0,"",CHADUData!R56)</f>
        <v/>
      </c>
      <c r="X595" s="867"/>
      <c r="Y595" s="518"/>
      <c r="Z595" s="518"/>
      <c r="AA595" s="518"/>
      <c r="AB595" s="518"/>
      <c r="AC595" s="518"/>
      <c r="AD595" s="518"/>
      <c r="AE595" s="518"/>
      <c r="AF595" s="518"/>
      <c r="AG595" s="518"/>
      <c r="AH595" s="518"/>
      <c r="AJ595" s="595" t="b">
        <f t="shared" si="12"/>
        <v>0</v>
      </c>
    </row>
    <row r="596" spans="1:36" hidden="1" x14ac:dyDescent="0.45">
      <c r="B596" s="514" t="s">
        <v>1458</v>
      </c>
      <c r="C596" s="515"/>
      <c r="D596" s="515"/>
      <c r="E596" s="515"/>
      <c r="F596" s="516"/>
      <c r="G596" s="888">
        <f>CHADUData!N57</f>
        <v>0</v>
      </c>
      <c r="H596" s="887"/>
      <c r="I596" s="890" t="str">
        <f>IF(CHADUData!L57="","",CHADUData!L57)</f>
        <v/>
      </c>
      <c r="J596" s="910"/>
      <c r="K596" s="891"/>
      <c r="L596" s="868">
        <f>CHADUData!O57</f>
        <v>0</v>
      </c>
      <c r="M596" s="869"/>
      <c r="N596" s="869"/>
      <c r="O596" s="870"/>
      <c r="P596" s="868">
        <f>CHADUData!P57</f>
        <v>0</v>
      </c>
      <c r="Q596" s="869"/>
      <c r="R596" s="870"/>
      <c r="S596" s="868">
        <f t="shared" si="11"/>
        <v>0</v>
      </c>
      <c r="T596" s="869"/>
      <c r="U596" s="869"/>
      <c r="V596" s="870"/>
      <c r="W596" s="866" t="str">
        <f>IF(CHADUData!R57=0,"",CHADUData!R57)</f>
        <v/>
      </c>
      <c r="X596" s="867"/>
      <c r="Y596" s="518"/>
      <c r="Z596" s="518"/>
      <c r="AA596" s="518"/>
      <c r="AB596" s="518"/>
      <c r="AC596" s="518"/>
      <c r="AD596" s="518"/>
      <c r="AE596" s="518"/>
      <c r="AF596" s="518"/>
      <c r="AG596" s="518"/>
      <c r="AH596" s="518"/>
      <c r="AJ596" s="595" t="b">
        <f t="shared" si="12"/>
        <v>0</v>
      </c>
    </row>
    <row r="597" spans="1:36" hidden="1" x14ac:dyDescent="0.45">
      <c r="B597" s="514" t="s">
        <v>1459</v>
      </c>
      <c r="C597" s="515"/>
      <c r="D597" s="515"/>
      <c r="E597" s="515"/>
      <c r="F597" s="516"/>
      <c r="G597" s="888">
        <f>CHADUData!N58</f>
        <v>0</v>
      </c>
      <c r="H597" s="887"/>
      <c r="I597" s="890" t="str">
        <f>IF(CHADUData!L58="","",CHADUData!L58)</f>
        <v/>
      </c>
      <c r="J597" s="910"/>
      <c r="K597" s="891"/>
      <c r="L597" s="868">
        <f>CHADUData!O58</f>
        <v>0</v>
      </c>
      <c r="M597" s="869"/>
      <c r="N597" s="869"/>
      <c r="O597" s="870"/>
      <c r="P597" s="868">
        <f>CHADUData!P58</f>
        <v>0</v>
      </c>
      <c r="Q597" s="869"/>
      <c r="R597" s="870"/>
      <c r="S597" s="868">
        <f t="shared" si="11"/>
        <v>0</v>
      </c>
      <c r="T597" s="869"/>
      <c r="U597" s="869"/>
      <c r="V597" s="870"/>
      <c r="W597" s="866" t="str">
        <f>IF(CHADUData!R58=0,"",CHADUData!R58)</f>
        <v/>
      </c>
      <c r="X597" s="867"/>
      <c r="Y597" s="518"/>
      <c r="Z597" s="518"/>
      <c r="AA597" s="518"/>
      <c r="AB597" s="518"/>
      <c r="AC597" s="518"/>
      <c r="AD597" s="518"/>
      <c r="AE597" s="518"/>
      <c r="AF597" s="518"/>
      <c r="AG597" s="518"/>
      <c r="AH597" s="518"/>
      <c r="AJ597" s="595" t="b">
        <f t="shared" si="12"/>
        <v>0</v>
      </c>
    </row>
    <row r="598" spans="1:36" hidden="1" x14ac:dyDescent="0.45">
      <c r="A598" s="518"/>
      <c r="B598" s="514" t="s">
        <v>1460</v>
      </c>
      <c r="C598" s="515"/>
      <c r="D598" s="515"/>
      <c r="E598" s="515"/>
      <c r="F598" s="516"/>
      <c r="G598" s="888">
        <f>CHADUData!N59</f>
        <v>0</v>
      </c>
      <c r="H598" s="887"/>
      <c r="I598" s="890" t="str">
        <f>IF(CHADUData!L59="","",CHADUData!L59)</f>
        <v/>
      </c>
      <c r="J598" s="910"/>
      <c r="K598" s="891"/>
      <c r="L598" s="868">
        <f>CHADUData!O59</f>
        <v>0</v>
      </c>
      <c r="M598" s="869"/>
      <c r="N598" s="869"/>
      <c r="O598" s="870"/>
      <c r="P598" s="868">
        <f>CHADUData!P59</f>
        <v>0</v>
      </c>
      <c r="Q598" s="869"/>
      <c r="R598" s="870"/>
      <c r="S598" s="868">
        <f t="shared" si="11"/>
        <v>0</v>
      </c>
      <c r="T598" s="869"/>
      <c r="U598" s="869"/>
      <c r="V598" s="870"/>
      <c r="W598" s="866" t="str">
        <f>IF(CHADUData!R59=0,"",CHADUData!R59)</f>
        <v/>
      </c>
      <c r="X598" s="867"/>
      <c r="Y598" s="518"/>
      <c r="Z598" s="518"/>
      <c r="AA598" s="518"/>
      <c r="AB598" s="518"/>
      <c r="AC598" s="518"/>
      <c r="AD598" s="518"/>
      <c r="AE598" s="518"/>
      <c r="AF598" s="518"/>
      <c r="AG598" s="518"/>
      <c r="AH598" s="518"/>
      <c r="AJ598" s="595" t="b">
        <f t="shared" si="12"/>
        <v>0</v>
      </c>
    </row>
    <row r="599" spans="1:36" hidden="1" x14ac:dyDescent="0.45">
      <c r="A599" s="518"/>
      <c r="B599" s="514" t="s">
        <v>1461</v>
      </c>
      <c r="C599" s="515"/>
      <c r="D599" s="515"/>
      <c r="E599" s="515"/>
      <c r="F599" s="516"/>
      <c r="G599" s="888">
        <f>CHADUData!N60</f>
        <v>0</v>
      </c>
      <c r="H599" s="887"/>
      <c r="I599" s="890" t="str">
        <f>IF(CHADUData!L60="","",CHADUData!L60)</f>
        <v/>
      </c>
      <c r="J599" s="910"/>
      <c r="K599" s="891"/>
      <c r="L599" s="868">
        <f>CHADUData!O60</f>
        <v>0</v>
      </c>
      <c r="M599" s="869"/>
      <c r="N599" s="869"/>
      <c r="O599" s="870"/>
      <c r="P599" s="868">
        <f>CHADUData!P60</f>
        <v>0</v>
      </c>
      <c r="Q599" s="869"/>
      <c r="R599" s="870"/>
      <c r="S599" s="868">
        <f t="shared" si="11"/>
        <v>0</v>
      </c>
      <c r="T599" s="869"/>
      <c r="U599" s="869"/>
      <c r="V599" s="870"/>
      <c r="W599" s="866" t="str">
        <f>IF(CHADUData!R60=0,"",CHADUData!R60)</f>
        <v/>
      </c>
      <c r="X599" s="867"/>
      <c r="Y599" s="518"/>
      <c r="Z599" s="518"/>
      <c r="AA599" s="518"/>
      <c r="AB599" s="518"/>
      <c r="AC599" s="518"/>
      <c r="AD599" s="518"/>
      <c r="AE599" s="518"/>
      <c r="AF599" s="518"/>
      <c r="AG599" s="518"/>
      <c r="AH599" s="518"/>
      <c r="AJ599" s="595" t="b">
        <f t="shared" si="12"/>
        <v>0</v>
      </c>
    </row>
    <row r="600" spans="1:36" hidden="1" x14ac:dyDescent="0.45">
      <c r="A600" s="518"/>
      <c r="B600" s="600"/>
      <c r="C600" s="600"/>
      <c r="D600" s="600"/>
      <c r="E600" s="600"/>
      <c r="F600" s="600"/>
      <c r="G600" s="600"/>
      <c r="H600" s="600"/>
      <c r="I600" s="600"/>
      <c r="J600" s="600"/>
      <c r="K600" s="600"/>
      <c r="L600" s="600"/>
      <c r="M600" s="600"/>
      <c r="N600" s="600"/>
      <c r="O600" s="600"/>
      <c r="P600" s="600"/>
      <c r="Q600" s="600"/>
      <c r="R600" s="600"/>
      <c r="S600" s="600"/>
      <c r="T600" s="600"/>
      <c r="U600" s="600"/>
      <c r="V600" s="600"/>
      <c r="W600" s="600"/>
      <c r="X600" s="600"/>
      <c r="Y600" s="518"/>
      <c r="Z600" s="518"/>
      <c r="AA600" s="518"/>
      <c r="AB600" s="518"/>
      <c r="AC600" s="518"/>
      <c r="AD600" s="518"/>
      <c r="AE600" s="518"/>
      <c r="AF600" s="518"/>
      <c r="AG600" s="518"/>
      <c r="AH600" s="518"/>
      <c r="AJ600" s="595" t="b">
        <f>AJ535</f>
        <v>0</v>
      </c>
    </row>
    <row r="601" spans="1:36" hidden="1" x14ac:dyDescent="0.45">
      <c r="A601" s="518"/>
      <c r="B601" s="917" t="s">
        <v>173</v>
      </c>
      <c r="C601" s="918"/>
      <c r="D601" s="918"/>
      <c r="E601" s="918"/>
      <c r="F601" s="918"/>
      <c r="G601" s="931"/>
      <c r="H601" s="1297">
        <f>CH_ADU_UnrestrictedTotalRequested</f>
        <v>0</v>
      </c>
      <c r="I601" s="1298"/>
      <c r="J601" s="1298"/>
      <c r="K601" s="1298"/>
      <c r="L601" s="1298"/>
      <c r="M601" s="1298"/>
      <c r="N601" s="1299"/>
      <c r="O601" s="518"/>
      <c r="P601" s="518"/>
      <c r="Q601" s="518"/>
      <c r="R601" s="518"/>
      <c r="S601" s="518"/>
      <c r="T601" s="518"/>
      <c r="U601" s="518"/>
      <c r="V601" s="518"/>
      <c r="W601" s="518"/>
      <c r="X601" s="518"/>
      <c r="Y601" s="518"/>
      <c r="Z601" s="518"/>
      <c r="AA601" s="518"/>
      <c r="AB601" s="518"/>
      <c r="AC601" s="518"/>
      <c r="AD601" s="518"/>
      <c r="AE601" s="518"/>
      <c r="AF601" s="518"/>
      <c r="AG601" s="518"/>
      <c r="AH601" s="518"/>
      <c r="AJ601" s="595"/>
    </row>
    <row r="602" spans="1:36" hidden="1" x14ac:dyDescent="0.45">
      <c r="A602" s="518"/>
      <c r="B602" s="1295"/>
      <c r="C602" s="1296"/>
      <c r="D602" s="1296"/>
      <c r="E602" s="1296"/>
      <c r="F602" s="1296"/>
      <c r="G602" s="1296"/>
      <c r="H602" s="1296"/>
      <c r="I602" s="1296"/>
      <c r="J602" s="1296"/>
      <c r="K602" s="1296"/>
      <c r="L602" s="1296"/>
      <c r="M602" s="1296"/>
      <c r="N602" s="1296"/>
      <c r="O602" s="1296"/>
      <c r="P602" s="1296"/>
      <c r="Q602" s="1296"/>
      <c r="R602" s="1296"/>
      <c r="S602" s="1296"/>
      <c r="T602" s="1296"/>
      <c r="U602" s="1296"/>
      <c r="V602" s="1296"/>
      <c r="W602" s="1296"/>
      <c r="X602" s="1296"/>
      <c r="Y602" s="1296"/>
      <c r="Z602" s="1296"/>
      <c r="AA602" s="1296"/>
      <c r="AB602" s="1296"/>
      <c r="AC602" s="1296"/>
      <c r="AD602" s="1296"/>
      <c r="AE602" s="1296"/>
      <c r="AF602" s="1296"/>
      <c r="AG602" s="1296"/>
      <c r="AH602" s="518"/>
      <c r="AJ602" s="595"/>
    </row>
    <row r="603" spans="1:36" hidden="1" x14ac:dyDescent="0.45">
      <c r="A603" s="518"/>
      <c r="B603" s="518" t="s">
        <v>1854</v>
      </c>
      <c r="C603" s="518"/>
      <c r="D603" s="518"/>
      <c r="E603" s="518"/>
      <c r="F603" s="518"/>
      <c r="G603" s="518"/>
      <c r="H603" s="518"/>
      <c r="I603" s="518"/>
      <c r="J603" s="518"/>
      <c r="K603" s="518"/>
      <c r="L603" s="518"/>
      <c r="M603" s="518"/>
      <c r="N603" s="518"/>
      <c r="O603" s="518"/>
      <c r="P603" s="518"/>
      <c r="Q603" s="518"/>
      <c r="R603" s="518"/>
      <c r="S603" s="518"/>
      <c r="T603" s="518"/>
      <c r="U603" s="518"/>
      <c r="V603" s="518"/>
      <c r="W603" s="518"/>
      <c r="X603" s="518"/>
      <c r="Y603" s="518"/>
      <c r="Z603" s="518"/>
      <c r="AA603" s="518"/>
      <c r="AB603" s="518"/>
      <c r="AC603" s="518"/>
      <c r="AD603" s="518"/>
      <c r="AE603" s="518"/>
      <c r="AF603" s="518"/>
      <c r="AG603" s="518"/>
      <c r="AH603" s="518"/>
      <c r="AJ603" s="595"/>
    </row>
    <row r="604" spans="1:36" hidden="1" x14ac:dyDescent="0.45">
      <c r="A604" s="518"/>
      <c r="B604" s="922" t="s">
        <v>174</v>
      </c>
      <c r="C604" s="922"/>
      <c r="D604" s="922"/>
      <c r="E604" s="922"/>
      <c r="F604" s="922"/>
      <c r="G604" s="922"/>
      <c r="H604" s="922"/>
      <c r="I604" s="922"/>
      <c r="J604" s="922"/>
      <c r="K604" s="922"/>
      <c r="L604" s="922"/>
      <c r="M604" s="922"/>
      <c r="N604" s="922"/>
      <c r="O604" s="878"/>
      <c r="P604" s="879"/>
      <c r="Q604" s="880"/>
      <c r="R604" s="518"/>
      <c r="S604" s="518"/>
      <c r="T604" s="518"/>
      <c r="U604" s="518"/>
      <c r="V604" s="518"/>
      <c r="W604" s="518"/>
      <c r="X604" s="518"/>
      <c r="Y604" s="518"/>
      <c r="Z604" s="518"/>
      <c r="AA604" s="518"/>
      <c r="AB604" s="518"/>
      <c r="AC604" s="518"/>
      <c r="AD604" s="518"/>
      <c r="AE604" s="518"/>
      <c r="AF604" s="518"/>
      <c r="AG604" s="518"/>
      <c r="AH604" s="518"/>
      <c r="AJ604" s="595"/>
    </row>
    <row r="605" spans="1:36" hidden="1" x14ac:dyDescent="0.45">
      <c r="A605" s="518"/>
      <c r="B605" s="922" t="s">
        <v>175</v>
      </c>
      <c r="C605" s="922"/>
      <c r="D605" s="922"/>
      <c r="E605" s="922"/>
      <c r="F605" s="922"/>
      <c r="G605" s="922"/>
      <c r="H605" s="922"/>
      <c r="I605" s="922"/>
      <c r="J605" s="922"/>
      <c r="K605" s="922"/>
      <c r="L605" s="922"/>
      <c r="M605" s="922"/>
      <c r="N605" s="922"/>
      <c r="O605" s="878"/>
      <c r="P605" s="879"/>
      <c r="Q605" s="880"/>
      <c r="R605" s="518"/>
      <c r="S605" s="518"/>
      <c r="T605" s="518"/>
      <c r="U605" s="518"/>
      <c r="V605" s="518"/>
      <c r="W605" s="518"/>
      <c r="X605" s="518"/>
      <c r="Y605" s="518"/>
      <c r="Z605" s="518"/>
      <c r="AA605" s="518"/>
      <c r="AB605" s="518"/>
      <c r="AC605" s="518"/>
      <c r="AD605" s="518"/>
      <c r="AE605" s="518"/>
      <c r="AF605" s="518"/>
      <c r="AG605" s="518"/>
      <c r="AH605" s="518"/>
      <c r="AJ605" s="595"/>
    </row>
    <row r="606" spans="1:36" hidden="1" x14ac:dyDescent="0.45">
      <c r="A606" s="518"/>
      <c r="B606" s="922" t="s">
        <v>176</v>
      </c>
      <c r="C606" s="922"/>
      <c r="D606" s="922"/>
      <c r="E606" s="922"/>
      <c r="F606" s="922"/>
      <c r="G606" s="922"/>
      <c r="H606" s="922"/>
      <c r="I606" s="922"/>
      <c r="J606" s="922"/>
      <c r="K606" s="922"/>
      <c r="L606" s="922"/>
      <c r="M606" s="922"/>
      <c r="N606" s="922"/>
      <c r="O606" s="878"/>
      <c r="P606" s="879"/>
      <c r="Q606" s="880"/>
      <c r="R606" s="518"/>
      <c r="S606" s="518"/>
      <c r="T606" s="518"/>
      <c r="U606" s="518"/>
      <c r="V606" s="518"/>
      <c r="W606" s="518"/>
      <c r="X606" s="518"/>
      <c r="Y606" s="518"/>
      <c r="Z606" s="518"/>
      <c r="AA606" s="518"/>
      <c r="AB606" s="518"/>
      <c r="AC606" s="518"/>
      <c r="AD606" s="518"/>
      <c r="AE606" s="518"/>
      <c r="AF606" s="518"/>
      <c r="AG606" s="518"/>
      <c r="AH606" s="518"/>
      <c r="AJ606" s="595"/>
    </row>
    <row r="607" spans="1:36" hidden="1" x14ac:dyDescent="0.45">
      <c r="A607" s="518"/>
      <c r="B607" s="922" t="s">
        <v>177</v>
      </c>
      <c r="C607" s="922"/>
      <c r="D607" s="922"/>
      <c r="E607" s="922"/>
      <c r="F607" s="922"/>
      <c r="G607" s="922"/>
      <c r="H607" s="922"/>
      <c r="I607" s="922"/>
      <c r="J607" s="922"/>
      <c r="K607" s="922"/>
      <c r="L607" s="922"/>
      <c r="M607" s="922"/>
      <c r="N607" s="922"/>
      <c r="O607" s="878"/>
      <c r="P607" s="879"/>
      <c r="Q607" s="880"/>
      <c r="R607" s="518"/>
      <c r="S607" s="518"/>
      <c r="T607" s="518"/>
      <c r="U607" s="518"/>
      <c r="V607" s="518"/>
      <c r="W607" s="518"/>
      <c r="X607" s="518"/>
      <c r="Y607" s="518"/>
      <c r="Z607" s="518"/>
      <c r="AA607" s="518"/>
      <c r="AB607" s="518"/>
      <c r="AC607" s="518"/>
      <c r="AD607" s="518"/>
      <c r="AE607" s="518"/>
      <c r="AF607" s="518"/>
      <c r="AG607" s="518"/>
      <c r="AH607" s="518"/>
      <c r="AJ607" s="595"/>
    </row>
    <row r="608" spans="1:36" hidden="1" x14ac:dyDescent="0.45">
      <c r="A608" s="518"/>
      <c r="B608" s="1223" t="s">
        <v>178</v>
      </c>
      <c r="C608" s="1223"/>
      <c r="D608" s="1223"/>
      <c r="E608" s="1223"/>
      <c r="F608" s="1223"/>
      <c r="G608" s="1223"/>
      <c r="H608" s="1223"/>
      <c r="I608" s="1223"/>
      <c r="J608" s="1223"/>
      <c r="K608" s="1223"/>
      <c r="L608" s="1223"/>
      <c r="M608" s="1223"/>
      <c r="N608" s="1223"/>
      <c r="O608" s="882" t="s">
        <v>195</v>
      </c>
      <c r="P608" s="883"/>
      <c r="Q608" s="884"/>
      <c r="R608" s="518"/>
      <c r="S608" s="518"/>
      <c r="T608" s="518"/>
      <c r="U608" s="518"/>
      <c r="V608" s="518"/>
      <c r="W608" s="518"/>
      <c r="X608" s="518"/>
      <c r="Y608" s="518"/>
      <c r="Z608" s="518"/>
      <c r="AA608" s="518"/>
      <c r="AB608" s="518"/>
      <c r="AC608" s="518"/>
      <c r="AD608" s="518"/>
      <c r="AE608" s="518"/>
      <c r="AF608" s="518"/>
      <c r="AG608" s="518"/>
      <c r="AH608" s="518"/>
      <c r="AJ608" s="595"/>
    </row>
    <row r="609" spans="1:36" hidden="1" x14ac:dyDescent="0.45">
      <c r="A609" s="518"/>
      <c r="B609" s="922" t="s">
        <v>179</v>
      </c>
      <c r="C609" s="922"/>
      <c r="D609" s="922"/>
      <c r="E609" s="922"/>
      <c r="F609" s="922"/>
      <c r="G609" s="922"/>
      <c r="H609" s="922"/>
      <c r="I609" s="922"/>
      <c r="J609" s="922"/>
      <c r="K609" s="922"/>
      <c r="L609" s="922"/>
      <c r="M609" s="922"/>
      <c r="N609" s="922"/>
      <c r="O609" s="878"/>
      <c r="P609" s="879"/>
      <c r="Q609" s="880"/>
      <c r="R609" s="518"/>
      <c r="S609" s="518"/>
      <c r="T609" s="518"/>
      <c r="U609" s="518"/>
      <c r="V609" s="518"/>
      <c r="W609" s="518"/>
      <c r="X609" s="518"/>
      <c r="Y609" s="518"/>
      <c r="Z609" s="518"/>
      <c r="AA609" s="518"/>
      <c r="AB609" s="518"/>
      <c r="AC609" s="518"/>
      <c r="AD609" s="518"/>
      <c r="AE609" s="518"/>
      <c r="AF609" s="518"/>
      <c r="AG609" s="518"/>
      <c r="AH609" s="518"/>
      <c r="AJ609" s="595"/>
    </row>
    <row r="610" spans="1:36" hidden="1" x14ac:dyDescent="0.45">
      <c r="A610" s="518"/>
      <c r="B610" s="922" t="s">
        <v>180</v>
      </c>
      <c r="C610" s="922"/>
      <c r="D610" s="922"/>
      <c r="E610" s="922"/>
      <c r="F610" s="922"/>
      <c r="G610" s="922"/>
      <c r="H610" s="922"/>
      <c r="I610" s="922"/>
      <c r="J610" s="922"/>
      <c r="K610" s="922"/>
      <c r="L610" s="922"/>
      <c r="M610" s="922"/>
      <c r="N610" s="922"/>
      <c r="O610" s="878"/>
      <c r="P610" s="879"/>
      <c r="Q610" s="880"/>
      <c r="R610" s="518"/>
      <c r="S610" s="518"/>
      <c r="T610" s="518"/>
      <c r="U610" s="518"/>
      <c r="V610" s="518"/>
      <c r="W610" s="518"/>
      <c r="X610" s="518"/>
      <c r="Y610" s="518"/>
      <c r="Z610" s="518"/>
      <c r="AA610" s="518"/>
      <c r="AB610" s="518"/>
      <c r="AC610" s="518"/>
      <c r="AD610" s="518"/>
      <c r="AE610" s="518"/>
      <c r="AF610" s="518"/>
      <c r="AG610" s="518"/>
      <c r="AH610" s="518"/>
      <c r="AJ610" s="595"/>
    </row>
    <row r="611" spans="1:36" hidden="1" x14ac:dyDescent="0.45">
      <c r="A611" s="518"/>
      <c r="B611" s="916" t="s">
        <v>181</v>
      </c>
      <c r="C611" s="916"/>
      <c r="D611" s="916"/>
      <c r="E611" s="916"/>
      <c r="F611" s="916"/>
      <c r="G611" s="916"/>
      <c r="H611" s="916"/>
      <c r="I611" s="916"/>
      <c r="J611" s="916"/>
      <c r="K611" s="916"/>
      <c r="L611" s="916"/>
      <c r="M611" s="916"/>
      <c r="N611" s="916"/>
      <c r="O611" s="927"/>
      <c r="P611" s="928"/>
      <c r="Q611" s="929"/>
      <c r="R611" s="518"/>
      <c r="S611" s="518"/>
      <c r="T611" s="518"/>
      <c r="U611" s="518"/>
      <c r="V611" s="518"/>
      <c r="W611" s="518"/>
      <c r="X611" s="518"/>
      <c r="Y611" s="518"/>
      <c r="Z611" s="518"/>
      <c r="AA611" s="518"/>
      <c r="AB611" s="518"/>
      <c r="AC611" s="518"/>
      <c r="AD611" s="518"/>
      <c r="AE611" s="518"/>
      <c r="AF611" s="518"/>
      <c r="AG611" s="518"/>
      <c r="AH611" s="518"/>
      <c r="AJ611" s="595"/>
    </row>
    <row r="612" spans="1:36" hidden="1" x14ac:dyDescent="0.45">
      <c r="A612" s="518"/>
      <c r="B612" s="930" t="s">
        <v>182</v>
      </c>
      <c r="C612" s="930"/>
      <c r="D612" s="930"/>
      <c r="E612" s="930"/>
      <c r="F612" s="930"/>
      <c r="G612" s="930"/>
      <c r="H612" s="930"/>
      <c r="I612" s="930"/>
      <c r="J612" s="930"/>
      <c r="K612" s="930"/>
      <c r="L612" s="930"/>
      <c r="M612" s="930"/>
      <c r="N612" s="930"/>
      <c r="O612" s="878">
        <f>SUM(O604:Q610)-O611</f>
        <v>0</v>
      </c>
      <c r="P612" s="879"/>
      <c r="Q612" s="880"/>
      <c r="R612" s="518"/>
      <c r="S612" s="518"/>
      <c r="T612" s="518"/>
      <c r="U612" s="518"/>
      <c r="V612" s="518"/>
      <c r="W612" s="518"/>
      <c r="X612" s="518"/>
      <c r="Y612" s="518"/>
      <c r="Z612" s="518"/>
      <c r="AA612" s="518"/>
      <c r="AB612" s="518"/>
      <c r="AC612" s="518"/>
      <c r="AD612" s="518"/>
      <c r="AE612" s="518"/>
      <c r="AF612" s="518"/>
      <c r="AG612" s="518"/>
      <c r="AH612" s="518"/>
      <c r="AJ612" s="595"/>
    </row>
    <row r="613" spans="1:36" hidden="1" x14ac:dyDescent="0.45">
      <c r="A613" s="518"/>
      <c r="B613" s="517"/>
      <c r="C613" s="517"/>
      <c r="D613" s="517"/>
      <c r="E613" s="517"/>
      <c r="F613" s="517"/>
      <c r="G613" s="517"/>
      <c r="H613" s="517"/>
      <c r="I613" s="517"/>
      <c r="J613" s="517"/>
      <c r="K613" s="517"/>
      <c r="L613" s="517"/>
      <c r="M613" s="517"/>
      <c r="N613" s="517"/>
      <c r="O613" s="532"/>
      <c r="P613" s="532"/>
      <c r="Q613" s="532"/>
      <c r="R613" s="518"/>
      <c r="S613" s="533"/>
      <c r="T613" s="533"/>
      <c r="U613" s="533"/>
      <c r="V613" s="533"/>
      <c r="W613" s="533"/>
      <c r="X613" s="533"/>
      <c r="Y613" s="533"/>
      <c r="Z613" s="533"/>
      <c r="AA613" s="533"/>
      <c r="AB613" s="533"/>
      <c r="AC613" s="533"/>
      <c r="AD613" s="533"/>
      <c r="AE613" s="533"/>
      <c r="AF613" s="533"/>
      <c r="AG613" s="533"/>
      <c r="AH613" s="518"/>
      <c r="AJ613" s="595"/>
    </row>
    <row r="614" spans="1:36" ht="200.15" hidden="1" customHeight="1" x14ac:dyDescent="0.45">
      <c r="A614" s="518"/>
      <c r="B614" s="926" t="s">
        <v>183</v>
      </c>
      <c r="C614" s="926"/>
      <c r="D614" s="926"/>
      <c r="E614" s="926"/>
      <c r="F614" s="926"/>
      <c r="G614" s="926"/>
      <c r="H614" s="926"/>
      <c r="I614" s="926"/>
      <c r="J614" s="926"/>
      <c r="K614" s="926"/>
      <c r="L614" s="926"/>
      <c r="M614" s="926"/>
      <c r="N614" s="926"/>
      <c r="O614" s="926"/>
      <c r="P614" s="926"/>
      <c r="Q614" s="926"/>
      <c r="R614" s="926"/>
      <c r="S614" s="926"/>
      <c r="T614" s="926"/>
      <c r="U614" s="926"/>
      <c r="V614" s="926"/>
      <c r="W614" s="926"/>
      <c r="X614" s="926"/>
      <c r="Y614" s="926"/>
      <c r="Z614" s="926"/>
      <c r="AA614" s="926"/>
      <c r="AB614" s="926"/>
      <c r="AC614" s="926"/>
      <c r="AD614" s="926"/>
      <c r="AE614" s="926"/>
      <c r="AF614" s="926"/>
      <c r="AG614" s="926"/>
      <c r="AH614" s="518"/>
      <c r="AJ614" s="595"/>
    </row>
    <row r="615" spans="1:36" hidden="1" x14ac:dyDescent="0.45">
      <c r="A615" s="518"/>
      <c r="B615" s="518"/>
      <c r="C615" s="518"/>
      <c r="D615" s="518"/>
      <c r="E615" s="518"/>
      <c r="F615" s="518"/>
      <c r="G615" s="518"/>
      <c r="H615" s="518"/>
      <c r="I615" s="518"/>
      <c r="J615" s="518"/>
      <c r="K615" s="518"/>
      <c r="L615" s="518"/>
      <c r="M615" s="518"/>
      <c r="N615" s="518"/>
      <c r="O615" s="518"/>
      <c r="P615" s="518"/>
      <c r="Q615" s="518"/>
      <c r="R615" s="518"/>
      <c r="S615" s="518"/>
      <c r="T615" s="518"/>
      <c r="U615" s="518"/>
      <c r="V615" s="518"/>
      <c r="W615" s="518"/>
      <c r="X615" s="518"/>
      <c r="Y615" s="518"/>
      <c r="Z615" s="518"/>
      <c r="AA615" s="518"/>
      <c r="AB615" s="518"/>
      <c r="AC615" s="518"/>
      <c r="AD615" s="518"/>
      <c r="AE615" s="518"/>
      <c r="AF615" s="518"/>
      <c r="AG615" s="518"/>
      <c r="AH615" s="518"/>
      <c r="AJ615" s="595"/>
    </row>
    <row r="616" spans="1:36" hidden="1" x14ac:dyDescent="0.45">
      <c r="A616" s="518"/>
      <c r="B616" s="518"/>
      <c r="C616" s="518"/>
      <c r="D616" s="518"/>
      <c r="E616" s="518"/>
      <c r="F616" s="518"/>
      <c r="G616" s="518"/>
      <c r="H616" s="518"/>
      <c r="I616" s="518"/>
      <c r="J616" s="518"/>
      <c r="K616" s="518"/>
      <c r="L616" s="518"/>
      <c r="M616" s="518"/>
      <c r="N616" s="518"/>
      <c r="O616" s="518"/>
      <c r="P616" s="518"/>
      <c r="Q616" s="518"/>
      <c r="R616" s="518"/>
      <c r="S616" s="518"/>
      <c r="T616" s="518"/>
      <c r="U616" s="518"/>
      <c r="V616" s="518"/>
      <c r="W616" s="518"/>
      <c r="X616" s="518"/>
      <c r="Y616" s="518"/>
      <c r="Z616" s="518"/>
      <c r="AA616" s="518"/>
      <c r="AB616" s="518"/>
      <c r="AC616" s="518"/>
      <c r="AD616" s="518"/>
      <c r="AE616" s="518"/>
      <c r="AF616" s="518"/>
      <c r="AG616" s="518"/>
      <c r="AH616" s="518"/>
      <c r="AJ616" s="595" t="b">
        <f>AND(AJ$492,CH_ADU_RuralTotalRequested&gt;0)</f>
        <v>0</v>
      </c>
    </row>
    <row r="617" spans="1:36" hidden="1" x14ac:dyDescent="0.45">
      <c r="A617" s="518"/>
      <c r="B617" s="907" t="s">
        <v>194</v>
      </c>
      <c r="C617" s="907"/>
      <c r="D617" s="907"/>
      <c r="E617" s="907"/>
      <c r="F617" s="907"/>
      <c r="G617" s="907"/>
      <c r="H617" s="907"/>
      <c r="I617" s="907"/>
      <c r="J617" s="907"/>
      <c r="K617" s="907"/>
      <c r="L617" s="907"/>
      <c r="M617" s="907"/>
      <c r="N617" s="907"/>
      <c r="O617" s="907"/>
      <c r="P617" s="907"/>
      <c r="Q617" s="907"/>
      <c r="R617" s="907"/>
      <c r="S617" s="907"/>
      <c r="T617" s="907"/>
      <c r="U617" s="907"/>
      <c r="V617" s="907"/>
      <c r="W617" s="907"/>
      <c r="X617" s="907"/>
      <c r="Y617" s="907"/>
      <c r="Z617" s="907"/>
      <c r="AA617" s="907"/>
      <c r="AB617" s="907"/>
      <c r="AC617" s="907"/>
      <c r="AD617" s="907"/>
      <c r="AE617" s="907"/>
      <c r="AF617" s="907"/>
      <c r="AG617" s="907"/>
      <c r="AH617" s="518"/>
      <c r="AJ617" s="595"/>
    </row>
    <row r="618" spans="1:36" hidden="1" x14ac:dyDescent="0.45">
      <c r="A618" s="518"/>
      <c r="B618" s="1295" t="s">
        <v>185</v>
      </c>
      <c r="C618" s="1296"/>
      <c r="D618" s="1296"/>
      <c r="E618" s="1296"/>
      <c r="F618" s="1296"/>
      <c r="G618" s="1296"/>
      <c r="H618" s="1296"/>
      <c r="I618" s="1296"/>
      <c r="J618" s="1296"/>
      <c r="K618" s="1296"/>
      <c r="L618" s="1296"/>
      <c r="M618" s="1296"/>
      <c r="N618" s="1296"/>
      <c r="O618" s="1296"/>
      <c r="P618" s="1296"/>
      <c r="Q618" s="1296"/>
      <c r="R618" s="1296"/>
      <c r="S618" s="1296"/>
      <c r="T618" s="1296"/>
      <c r="U618" s="1296"/>
      <c r="V618" s="1296"/>
      <c r="W618" s="1296"/>
      <c r="X618" s="1296"/>
      <c r="Y618" s="1296"/>
      <c r="Z618" s="1296"/>
      <c r="AA618" s="1296"/>
      <c r="AB618" s="1296"/>
      <c r="AC618" s="1296"/>
      <c r="AD618" s="1296"/>
      <c r="AE618" s="1296"/>
      <c r="AF618" s="1296"/>
      <c r="AG618" s="1296"/>
      <c r="AH618" s="518"/>
      <c r="AJ618" s="595"/>
    </row>
    <row r="619" spans="1:36" hidden="1" x14ac:dyDescent="0.45">
      <c r="A619" s="518"/>
      <c r="B619" s="518"/>
      <c r="C619" s="518"/>
      <c r="D619" s="518"/>
      <c r="E619" s="518"/>
      <c r="F619" s="518"/>
      <c r="G619" s="518"/>
      <c r="H619" s="518"/>
      <c r="I619" s="518"/>
      <c r="J619" s="518"/>
      <c r="K619" s="518"/>
      <c r="L619" s="518"/>
      <c r="M619" s="518"/>
      <c r="N619" s="518"/>
      <c r="O619" s="518"/>
      <c r="P619" s="518"/>
      <c r="Q619" s="518"/>
      <c r="R619" s="518"/>
      <c r="S619" s="518"/>
      <c r="T619" s="518"/>
      <c r="U619" s="518"/>
      <c r="V619" s="518"/>
      <c r="W619" s="518"/>
      <c r="X619" s="518"/>
      <c r="Y619" s="518"/>
      <c r="Z619" s="518"/>
      <c r="AA619" s="518"/>
      <c r="AB619" s="518"/>
      <c r="AC619" s="518"/>
      <c r="AD619" s="518"/>
      <c r="AE619" s="518"/>
      <c r="AF619" s="518"/>
      <c r="AG619" s="518"/>
      <c r="AH619" s="518"/>
      <c r="AJ619" s="595"/>
    </row>
    <row r="620" spans="1:36" hidden="1" x14ac:dyDescent="0.45">
      <c r="A620" s="518"/>
      <c r="B620" s="862" t="s">
        <v>108</v>
      </c>
      <c r="C620" s="863"/>
      <c r="D620" s="863"/>
      <c r="E620" s="863"/>
      <c r="F620" s="892"/>
      <c r="G620" s="1251" t="s">
        <v>91</v>
      </c>
      <c r="H620" s="1251"/>
      <c r="I620" s="872" t="s">
        <v>1487</v>
      </c>
      <c r="J620" s="872"/>
      <c r="K620" s="872"/>
      <c r="L620" s="872" t="s">
        <v>110</v>
      </c>
      <c r="M620" s="872"/>
      <c r="N620" s="872"/>
      <c r="O620" s="872"/>
      <c r="P620" s="872" t="s">
        <v>111</v>
      </c>
      <c r="Q620" s="872"/>
      <c r="R620" s="872"/>
      <c r="S620" s="1251" t="s">
        <v>113</v>
      </c>
      <c r="T620" s="1251"/>
      <c r="U620" s="1251"/>
      <c r="V620" s="1251"/>
      <c r="W620" s="872" t="s">
        <v>114</v>
      </c>
      <c r="X620" s="892"/>
      <c r="Y620" s="518"/>
      <c r="Z620" s="518"/>
      <c r="AA620" s="518"/>
      <c r="AB620" s="518"/>
      <c r="AC620" s="518"/>
      <c r="AD620" s="518"/>
      <c r="AE620" s="518"/>
      <c r="AF620" s="518"/>
      <c r="AG620" s="518"/>
      <c r="AH620" s="518"/>
      <c r="AJ620" s="595"/>
    </row>
    <row r="621" spans="1:36" hidden="1" x14ac:dyDescent="0.45">
      <c r="A621" s="518"/>
      <c r="B621" s="864"/>
      <c r="C621" s="865"/>
      <c r="D621" s="865"/>
      <c r="E621" s="865"/>
      <c r="F621" s="893"/>
      <c r="G621" s="1251"/>
      <c r="H621" s="1251"/>
      <c r="I621" s="872"/>
      <c r="J621" s="872"/>
      <c r="K621" s="872"/>
      <c r="L621" s="872"/>
      <c r="M621" s="872"/>
      <c r="N621" s="872"/>
      <c r="O621" s="872"/>
      <c r="P621" s="872"/>
      <c r="Q621" s="872"/>
      <c r="R621" s="872"/>
      <c r="S621" s="1251"/>
      <c r="T621" s="1251"/>
      <c r="U621" s="1251"/>
      <c r="V621" s="1251"/>
      <c r="W621" s="872"/>
      <c r="X621" s="893"/>
      <c r="Y621" s="518"/>
      <c r="Z621" s="518"/>
      <c r="AA621" s="518"/>
      <c r="AB621" s="518"/>
      <c r="AC621" s="518"/>
      <c r="AD621" s="518"/>
      <c r="AE621" s="518"/>
      <c r="AF621" s="518"/>
      <c r="AG621" s="518"/>
      <c r="AH621" s="518"/>
      <c r="AJ621" s="595"/>
    </row>
    <row r="622" spans="1:36" hidden="1" x14ac:dyDescent="0.45">
      <c r="A622" s="518"/>
      <c r="B622" s="514" t="s">
        <v>1405</v>
      </c>
      <c r="C622" s="515"/>
      <c r="D622" s="515"/>
      <c r="E622" s="515"/>
      <c r="F622" s="516"/>
      <c r="G622" s="939">
        <f>CHADUData!V3</f>
        <v>0</v>
      </c>
      <c r="H622" s="1181"/>
      <c r="I622" s="1181" t="str">
        <f>IF(CHADUData!L3&gt;0,CHADUData!L3,"")</f>
        <v/>
      </c>
      <c r="J622" s="1181"/>
      <c r="K622" s="1181"/>
      <c r="L622" s="940">
        <f>CHADUData!W3</f>
        <v>0</v>
      </c>
      <c r="M622" s="940"/>
      <c r="N622" s="940"/>
      <c r="O622" s="940"/>
      <c r="P622" s="940">
        <f>CHADUData!X3</f>
        <v>0</v>
      </c>
      <c r="Q622" s="940"/>
      <c r="R622" s="940"/>
      <c r="S622" s="940">
        <f>SUM(L622:R622)</f>
        <v>0</v>
      </c>
      <c r="T622" s="940"/>
      <c r="U622" s="940"/>
      <c r="V622" s="940"/>
      <c r="W622" s="871">
        <f>CHADUData!Z3</f>
        <v>0</v>
      </c>
      <c r="X622" s="871"/>
      <c r="Y622" s="518"/>
      <c r="Z622" s="518"/>
      <c r="AA622" s="518"/>
      <c r="AB622" s="518"/>
      <c r="AC622" s="518"/>
      <c r="AD622" s="518"/>
      <c r="AE622" s="518"/>
      <c r="AF622" s="518"/>
      <c r="AG622" s="518"/>
      <c r="AH622" s="518"/>
      <c r="AJ622" s="595" t="b">
        <f>AND(AJ$616,S622&gt;0)</f>
        <v>0</v>
      </c>
    </row>
    <row r="623" spans="1:36" hidden="1" x14ac:dyDescent="0.45">
      <c r="A623" s="518"/>
      <c r="B623" s="514" t="s">
        <v>1406</v>
      </c>
      <c r="C623" s="515"/>
      <c r="D623" s="515"/>
      <c r="E623" s="515"/>
      <c r="F623" s="516"/>
      <c r="G623" s="939">
        <f>CHADUData!V4</f>
        <v>0</v>
      </c>
      <c r="H623" s="1181"/>
      <c r="I623" s="1181" t="str">
        <f>IF(CHADUData!L4&gt;0,CHADUData!L4,"")</f>
        <v/>
      </c>
      <c r="J623" s="1181"/>
      <c r="K623" s="1181"/>
      <c r="L623" s="940">
        <f>CHADUData!W4</f>
        <v>0</v>
      </c>
      <c r="M623" s="940"/>
      <c r="N623" s="940"/>
      <c r="O623" s="940"/>
      <c r="P623" s="940">
        <f>CHADUData!X4</f>
        <v>0</v>
      </c>
      <c r="Q623" s="940"/>
      <c r="R623" s="940"/>
      <c r="S623" s="940">
        <f t="shared" ref="S623:S679" si="13">SUM(L623:R623)</f>
        <v>0</v>
      </c>
      <c r="T623" s="940"/>
      <c r="U623" s="940"/>
      <c r="V623" s="940"/>
      <c r="W623" s="871">
        <f>CHADUData!Z4</f>
        <v>0</v>
      </c>
      <c r="X623" s="871"/>
      <c r="Y623" s="518"/>
      <c r="Z623" s="518"/>
      <c r="AA623" s="518"/>
      <c r="AB623" s="518"/>
      <c r="AC623" s="518"/>
      <c r="AD623" s="518"/>
      <c r="AE623" s="518"/>
      <c r="AF623" s="518"/>
      <c r="AG623" s="518"/>
      <c r="AH623" s="518"/>
      <c r="AJ623" s="595" t="b">
        <f t="shared" ref="AJ623:AJ679" si="14">AND(AJ$616,S623&gt;0)</f>
        <v>0</v>
      </c>
    </row>
    <row r="624" spans="1:36" hidden="1" x14ac:dyDescent="0.45">
      <c r="A624" s="518"/>
      <c r="B624" s="514" t="s">
        <v>1407</v>
      </c>
      <c r="C624" s="515"/>
      <c r="D624" s="515"/>
      <c r="E624" s="515"/>
      <c r="F624" s="516"/>
      <c r="G624" s="939">
        <f>CHADUData!V5</f>
        <v>0</v>
      </c>
      <c r="H624" s="1181"/>
      <c r="I624" s="1181" t="str">
        <f>IF(CHADUData!L5&gt;0,CHADUData!L5,"")</f>
        <v/>
      </c>
      <c r="J624" s="1181"/>
      <c r="K624" s="1181"/>
      <c r="L624" s="940">
        <f>CHADUData!W5</f>
        <v>0</v>
      </c>
      <c r="M624" s="940"/>
      <c r="N624" s="940"/>
      <c r="O624" s="940"/>
      <c r="P624" s="940">
        <f>CHADUData!X5</f>
        <v>0</v>
      </c>
      <c r="Q624" s="940"/>
      <c r="R624" s="940"/>
      <c r="S624" s="940">
        <f t="shared" si="13"/>
        <v>0</v>
      </c>
      <c r="T624" s="940"/>
      <c r="U624" s="940"/>
      <c r="V624" s="940"/>
      <c r="W624" s="871">
        <f>CHADUData!Z5</f>
        <v>0</v>
      </c>
      <c r="X624" s="871"/>
      <c r="Y624" s="518"/>
      <c r="Z624" s="518"/>
      <c r="AA624" s="518"/>
      <c r="AB624" s="518"/>
      <c r="AC624" s="518"/>
      <c r="AD624" s="518"/>
      <c r="AE624" s="518"/>
      <c r="AF624" s="518"/>
      <c r="AG624" s="518"/>
      <c r="AH624" s="518"/>
      <c r="AJ624" s="595" t="b">
        <f t="shared" si="14"/>
        <v>0</v>
      </c>
    </row>
    <row r="625" spans="1:36" hidden="1" x14ac:dyDescent="0.45">
      <c r="A625" s="518"/>
      <c r="B625" s="514" t="s">
        <v>1408</v>
      </c>
      <c r="C625" s="515"/>
      <c r="D625" s="515"/>
      <c r="E625" s="515"/>
      <c r="F625" s="516"/>
      <c r="G625" s="939">
        <f>CHADUData!V6</f>
        <v>0</v>
      </c>
      <c r="H625" s="1181"/>
      <c r="I625" s="1181" t="str">
        <f>IF(CHADUData!L6&gt;0,CHADUData!L6,"")</f>
        <v/>
      </c>
      <c r="J625" s="1181"/>
      <c r="K625" s="1181"/>
      <c r="L625" s="940">
        <f>CHADUData!W6</f>
        <v>0</v>
      </c>
      <c r="M625" s="940"/>
      <c r="N625" s="940"/>
      <c r="O625" s="940"/>
      <c r="P625" s="940">
        <f>CHADUData!X6</f>
        <v>0</v>
      </c>
      <c r="Q625" s="940"/>
      <c r="R625" s="940"/>
      <c r="S625" s="940">
        <f t="shared" si="13"/>
        <v>0</v>
      </c>
      <c r="T625" s="940"/>
      <c r="U625" s="940"/>
      <c r="V625" s="940"/>
      <c r="W625" s="871">
        <f>CHADUData!Z6</f>
        <v>0</v>
      </c>
      <c r="X625" s="871"/>
      <c r="Y625" s="518"/>
      <c r="Z625" s="518"/>
      <c r="AA625" s="518"/>
      <c r="AB625" s="518"/>
      <c r="AC625" s="518"/>
      <c r="AD625" s="518"/>
      <c r="AE625" s="518"/>
      <c r="AF625" s="518"/>
      <c r="AG625" s="518"/>
      <c r="AH625" s="518"/>
      <c r="AJ625" s="595" t="b">
        <f t="shared" si="14"/>
        <v>0</v>
      </c>
    </row>
    <row r="626" spans="1:36" hidden="1" x14ac:dyDescent="0.45">
      <c r="A626" s="518"/>
      <c r="B626" s="514" t="s">
        <v>1409</v>
      </c>
      <c r="C626" s="515"/>
      <c r="D626" s="515"/>
      <c r="E626" s="515"/>
      <c r="F626" s="516"/>
      <c r="G626" s="939">
        <f>CHADUData!V7</f>
        <v>0</v>
      </c>
      <c r="H626" s="1181"/>
      <c r="I626" s="1181" t="str">
        <f>IF(CHADUData!L7&gt;0,CHADUData!L7,"")</f>
        <v/>
      </c>
      <c r="J626" s="1181"/>
      <c r="K626" s="1181"/>
      <c r="L626" s="940">
        <f>CHADUData!W7</f>
        <v>0</v>
      </c>
      <c r="M626" s="940"/>
      <c r="N626" s="940"/>
      <c r="O626" s="940"/>
      <c r="P626" s="940">
        <f>CHADUData!X7</f>
        <v>0</v>
      </c>
      <c r="Q626" s="940"/>
      <c r="R626" s="940"/>
      <c r="S626" s="940">
        <f t="shared" si="13"/>
        <v>0</v>
      </c>
      <c r="T626" s="940"/>
      <c r="U626" s="940"/>
      <c r="V626" s="940"/>
      <c r="W626" s="871">
        <f>CHADUData!Z7</f>
        <v>0</v>
      </c>
      <c r="X626" s="871"/>
      <c r="Y626" s="518"/>
      <c r="Z626" s="518"/>
      <c r="AA626" s="518"/>
      <c r="AB626" s="518"/>
      <c r="AC626" s="518"/>
      <c r="AD626" s="518"/>
      <c r="AE626" s="518"/>
      <c r="AF626" s="518"/>
      <c r="AG626" s="518"/>
      <c r="AH626" s="518"/>
      <c r="AJ626" s="595" t="b">
        <f t="shared" si="14"/>
        <v>0</v>
      </c>
    </row>
    <row r="627" spans="1:36" hidden="1" x14ac:dyDescent="0.45">
      <c r="A627" s="518"/>
      <c r="B627" s="514" t="s">
        <v>1410</v>
      </c>
      <c r="C627" s="515"/>
      <c r="D627" s="515"/>
      <c r="E627" s="515"/>
      <c r="F627" s="516"/>
      <c r="G627" s="939">
        <f>CHADUData!V8</f>
        <v>0</v>
      </c>
      <c r="H627" s="1181"/>
      <c r="I627" s="1181" t="str">
        <f>IF(CHADUData!L8&gt;0,CHADUData!L8,"")</f>
        <v/>
      </c>
      <c r="J627" s="1181"/>
      <c r="K627" s="1181"/>
      <c r="L627" s="940">
        <f>CHADUData!W8</f>
        <v>0</v>
      </c>
      <c r="M627" s="940"/>
      <c r="N627" s="940"/>
      <c r="O627" s="940"/>
      <c r="P627" s="940">
        <f>CHADUData!X8</f>
        <v>0</v>
      </c>
      <c r="Q627" s="940"/>
      <c r="R627" s="940"/>
      <c r="S627" s="940">
        <f t="shared" si="13"/>
        <v>0</v>
      </c>
      <c r="T627" s="940"/>
      <c r="U627" s="940"/>
      <c r="V627" s="940"/>
      <c r="W627" s="871">
        <f>CHADUData!Z8</f>
        <v>0</v>
      </c>
      <c r="X627" s="871"/>
      <c r="Y627" s="518"/>
      <c r="Z627" s="518"/>
      <c r="AA627" s="518"/>
      <c r="AB627" s="518"/>
      <c r="AC627" s="518"/>
      <c r="AD627" s="518"/>
      <c r="AE627" s="518"/>
      <c r="AF627" s="518"/>
      <c r="AG627" s="518"/>
      <c r="AH627" s="518"/>
      <c r="AJ627" s="595" t="b">
        <f t="shared" si="14"/>
        <v>0</v>
      </c>
    </row>
    <row r="628" spans="1:36" hidden="1" x14ac:dyDescent="0.45">
      <c r="A628" s="518"/>
      <c r="B628" s="514" t="s">
        <v>1411</v>
      </c>
      <c r="C628" s="515"/>
      <c r="D628" s="515"/>
      <c r="E628" s="515"/>
      <c r="F628" s="516"/>
      <c r="G628" s="939">
        <f>CHADUData!V9</f>
        <v>0</v>
      </c>
      <c r="H628" s="1181"/>
      <c r="I628" s="1181" t="str">
        <f>IF(CHADUData!L9&gt;0,CHADUData!L9,"")</f>
        <v/>
      </c>
      <c r="J628" s="1181"/>
      <c r="K628" s="1181"/>
      <c r="L628" s="940">
        <f>CHADUData!W9</f>
        <v>0</v>
      </c>
      <c r="M628" s="940"/>
      <c r="N628" s="940"/>
      <c r="O628" s="940"/>
      <c r="P628" s="940">
        <f>CHADUData!X9</f>
        <v>0</v>
      </c>
      <c r="Q628" s="940"/>
      <c r="R628" s="940"/>
      <c r="S628" s="940">
        <f t="shared" si="13"/>
        <v>0</v>
      </c>
      <c r="T628" s="940"/>
      <c r="U628" s="940"/>
      <c r="V628" s="940"/>
      <c r="W628" s="871">
        <f>CHADUData!Z9</f>
        <v>0</v>
      </c>
      <c r="X628" s="871"/>
      <c r="Y628" s="518"/>
      <c r="Z628" s="518"/>
      <c r="AA628" s="518"/>
      <c r="AB628" s="518"/>
      <c r="AC628" s="518"/>
      <c r="AD628" s="518"/>
      <c r="AE628" s="518"/>
      <c r="AF628" s="518"/>
      <c r="AG628" s="518"/>
      <c r="AH628" s="518"/>
      <c r="AJ628" s="595" t="b">
        <f t="shared" si="14"/>
        <v>0</v>
      </c>
    </row>
    <row r="629" spans="1:36" hidden="1" x14ac:dyDescent="0.45">
      <c r="A629" s="518"/>
      <c r="B629" s="514" t="s">
        <v>1412</v>
      </c>
      <c r="C629" s="515"/>
      <c r="D629" s="515"/>
      <c r="E629" s="515"/>
      <c r="F629" s="516"/>
      <c r="G629" s="939">
        <f>CHADUData!V10</f>
        <v>0</v>
      </c>
      <c r="H629" s="1181"/>
      <c r="I629" s="1181" t="str">
        <f>IF(CHADUData!L10&gt;0,CHADUData!L10,"")</f>
        <v/>
      </c>
      <c r="J629" s="1181"/>
      <c r="K629" s="1181"/>
      <c r="L629" s="940">
        <f>CHADUData!W10</f>
        <v>0</v>
      </c>
      <c r="M629" s="940"/>
      <c r="N629" s="940"/>
      <c r="O629" s="940"/>
      <c r="P629" s="940">
        <f>CHADUData!X10</f>
        <v>0</v>
      </c>
      <c r="Q629" s="940"/>
      <c r="R629" s="940"/>
      <c r="S629" s="940">
        <f t="shared" si="13"/>
        <v>0</v>
      </c>
      <c r="T629" s="940"/>
      <c r="U629" s="940"/>
      <c r="V629" s="940"/>
      <c r="W629" s="871">
        <f>CHADUData!Z10</f>
        <v>0</v>
      </c>
      <c r="X629" s="871"/>
      <c r="Y629" s="518"/>
      <c r="Z629" s="518"/>
      <c r="AA629" s="518"/>
      <c r="AB629" s="518"/>
      <c r="AC629" s="518"/>
      <c r="AD629" s="518"/>
      <c r="AE629" s="518"/>
      <c r="AF629" s="518"/>
      <c r="AG629" s="518"/>
      <c r="AH629" s="518"/>
      <c r="AJ629" s="595" t="b">
        <f t="shared" si="14"/>
        <v>0</v>
      </c>
    </row>
    <row r="630" spans="1:36" hidden="1" x14ac:dyDescent="0.45">
      <c r="A630" s="518"/>
      <c r="B630" s="514" t="s">
        <v>1413</v>
      </c>
      <c r="C630" s="515"/>
      <c r="D630" s="515"/>
      <c r="E630" s="515"/>
      <c r="F630" s="516"/>
      <c r="G630" s="939">
        <f>CHADUData!V11</f>
        <v>0</v>
      </c>
      <c r="H630" s="1181"/>
      <c r="I630" s="1181" t="str">
        <f>IF(CHADUData!L11&gt;0,CHADUData!L11,"")</f>
        <v/>
      </c>
      <c r="J630" s="1181"/>
      <c r="K630" s="1181"/>
      <c r="L630" s="940">
        <f>CHADUData!W11</f>
        <v>0</v>
      </c>
      <c r="M630" s="940"/>
      <c r="N630" s="940"/>
      <c r="O630" s="940"/>
      <c r="P630" s="940">
        <f>CHADUData!X11</f>
        <v>0</v>
      </c>
      <c r="Q630" s="940"/>
      <c r="R630" s="940"/>
      <c r="S630" s="940">
        <f t="shared" si="13"/>
        <v>0</v>
      </c>
      <c r="T630" s="940"/>
      <c r="U630" s="940"/>
      <c r="V630" s="940"/>
      <c r="W630" s="871">
        <f>CHADUData!Z11</f>
        <v>0</v>
      </c>
      <c r="X630" s="871"/>
      <c r="Y630" s="518"/>
      <c r="Z630" s="518"/>
      <c r="AA630" s="518"/>
      <c r="AB630" s="518"/>
      <c r="AC630" s="518"/>
      <c r="AD630" s="518"/>
      <c r="AE630" s="518"/>
      <c r="AF630" s="518"/>
      <c r="AG630" s="518"/>
      <c r="AH630" s="518"/>
      <c r="AJ630" s="595" t="b">
        <f t="shared" si="14"/>
        <v>0</v>
      </c>
    </row>
    <row r="631" spans="1:36" hidden="1" x14ac:dyDescent="0.45">
      <c r="A631" s="518"/>
      <c r="B631" s="514" t="s">
        <v>1414</v>
      </c>
      <c r="C631" s="515"/>
      <c r="D631" s="515"/>
      <c r="E631" s="515"/>
      <c r="F631" s="516"/>
      <c r="G631" s="939">
        <f>CHADUData!V12</f>
        <v>0</v>
      </c>
      <c r="H631" s="1181"/>
      <c r="I631" s="1181" t="str">
        <f>IF(CHADUData!L12&gt;0,CHADUData!L12,"")</f>
        <v/>
      </c>
      <c r="J631" s="1181"/>
      <c r="K631" s="1181"/>
      <c r="L631" s="940">
        <f>CHADUData!W12</f>
        <v>0</v>
      </c>
      <c r="M631" s="940"/>
      <c r="N631" s="940"/>
      <c r="O631" s="940"/>
      <c r="P631" s="940">
        <f>CHADUData!X12</f>
        <v>0</v>
      </c>
      <c r="Q631" s="940"/>
      <c r="R631" s="940"/>
      <c r="S631" s="940">
        <f t="shared" si="13"/>
        <v>0</v>
      </c>
      <c r="T631" s="940"/>
      <c r="U631" s="940"/>
      <c r="V631" s="940"/>
      <c r="W631" s="871">
        <f>CHADUData!Z12</f>
        <v>0</v>
      </c>
      <c r="X631" s="871"/>
      <c r="Y631" s="518"/>
      <c r="Z631" s="518"/>
      <c r="AA631" s="518"/>
      <c r="AB631" s="518"/>
      <c r="AC631" s="518"/>
      <c r="AD631" s="518"/>
      <c r="AE631" s="518"/>
      <c r="AF631" s="518"/>
      <c r="AG631" s="518"/>
      <c r="AH631" s="518"/>
      <c r="AJ631" s="595" t="b">
        <f t="shared" si="14"/>
        <v>0</v>
      </c>
    </row>
    <row r="632" spans="1:36" hidden="1" x14ac:dyDescent="0.45">
      <c r="A632" s="518"/>
      <c r="B632" s="514" t="s">
        <v>1415</v>
      </c>
      <c r="C632" s="515"/>
      <c r="D632" s="515"/>
      <c r="E632" s="515"/>
      <c r="F632" s="516"/>
      <c r="G632" s="939">
        <f>CHADUData!V13</f>
        <v>0</v>
      </c>
      <c r="H632" s="1181"/>
      <c r="I632" s="1181" t="str">
        <f>IF(CHADUData!L13&gt;0,CHADUData!L13,"")</f>
        <v/>
      </c>
      <c r="J632" s="1181"/>
      <c r="K632" s="1181"/>
      <c r="L632" s="940">
        <f>CHADUData!W13</f>
        <v>0</v>
      </c>
      <c r="M632" s="940"/>
      <c r="N632" s="940"/>
      <c r="O632" s="940"/>
      <c r="P632" s="940">
        <f>CHADUData!X13</f>
        <v>0</v>
      </c>
      <c r="Q632" s="940"/>
      <c r="R632" s="940"/>
      <c r="S632" s="940">
        <f t="shared" si="13"/>
        <v>0</v>
      </c>
      <c r="T632" s="940"/>
      <c r="U632" s="940"/>
      <c r="V632" s="940"/>
      <c r="W632" s="871">
        <f>CHADUData!Z13</f>
        <v>0</v>
      </c>
      <c r="X632" s="871"/>
      <c r="Y632" s="518"/>
      <c r="Z632" s="518"/>
      <c r="AA632" s="518"/>
      <c r="AB632" s="518"/>
      <c r="AC632" s="518"/>
      <c r="AD632" s="518"/>
      <c r="AE632" s="518"/>
      <c r="AF632" s="518"/>
      <c r="AG632" s="518"/>
      <c r="AH632" s="518"/>
      <c r="AJ632" s="595" t="b">
        <f t="shared" si="14"/>
        <v>0</v>
      </c>
    </row>
    <row r="633" spans="1:36" hidden="1" x14ac:dyDescent="0.45">
      <c r="A633" s="518"/>
      <c r="B633" s="514" t="s">
        <v>1416</v>
      </c>
      <c r="C633" s="515"/>
      <c r="D633" s="515"/>
      <c r="E633" s="515"/>
      <c r="F633" s="516"/>
      <c r="G633" s="939">
        <f>CHADUData!V14</f>
        <v>0</v>
      </c>
      <c r="H633" s="1181"/>
      <c r="I633" s="1181" t="str">
        <f>IF(CHADUData!L14&gt;0,CHADUData!L14,"")</f>
        <v/>
      </c>
      <c r="J633" s="1181"/>
      <c r="K633" s="1181"/>
      <c r="L633" s="940">
        <f>CHADUData!W14</f>
        <v>0</v>
      </c>
      <c r="M633" s="940"/>
      <c r="N633" s="940"/>
      <c r="O633" s="940"/>
      <c r="P633" s="940">
        <f>CHADUData!X14</f>
        <v>0</v>
      </c>
      <c r="Q633" s="940"/>
      <c r="R633" s="940"/>
      <c r="S633" s="940">
        <f t="shared" si="13"/>
        <v>0</v>
      </c>
      <c r="T633" s="940"/>
      <c r="U633" s="940"/>
      <c r="V633" s="940"/>
      <c r="W633" s="871">
        <f>CHADUData!Z14</f>
        <v>0</v>
      </c>
      <c r="X633" s="871"/>
      <c r="Y633" s="518"/>
      <c r="Z633" s="518"/>
      <c r="AA633" s="518"/>
      <c r="AB633" s="518"/>
      <c r="AC633" s="518"/>
      <c r="AD633" s="518"/>
      <c r="AE633" s="518"/>
      <c r="AF633" s="518"/>
      <c r="AG633" s="518"/>
      <c r="AH633" s="518"/>
      <c r="AJ633" s="595" t="b">
        <f t="shared" si="14"/>
        <v>0</v>
      </c>
    </row>
    <row r="634" spans="1:36" hidden="1" x14ac:dyDescent="0.45">
      <c r="A634" s="518"/>
      <c r="B634" s="514" t="s">
        <v>1417</v>
      </c>
      <c r="C634" s="515"/>
      <c r="D634" s="515"/>
      <c r="E634" s="515"/>
      <c r="F634" s="516"/>
      <c r="G634" s="939">
        <f>CHADUData!V15</f>
        <v>0</v>
      </c>
      <c r="H634" s="1181"/>
      <c r="I634" s="1181" t="str">
        <f>IF(CHADUData!L15&gt;0,CHADUData!L15,"")</f>
        <v/>
      </c>
      <c r="J634" s="1181"/>
      <c r="K634" s="1181"/>
      <c r="L634" s="940">
        <f>CHADUData!W15</f>
        <v>0</v>
      </c>
      <c r="M634" s="940"/>
      <c r="N634" s="940"/>
      <c r="O634" s="940"/>
      <c r="P634" s="940">
        <f>CHADUData!X15</f>
        <v>0</v>
      </c>
      <c r="Q634" s="940"/>
      <c r="R634" s="940"/>
      <c r="S634" s="940">
        <f t="shared" si="13"/>
        <v>0</v>
      </c>
      <c r="T634" s="940"/>
      <c r="U634" s="940"/>
      <c r="V634" s="940"/>
      <c r="W634" s="871">
        <f>CHADUData!Z15</f>
        <v>0</v>
      </c>
      <c r="X634" s="871"/>
      <c r="Y634" s="518"/>
      <c r="Z634" s="518"/>
      <c r="AA634" s="518"/>
      <c r="AB634" s="518"/>
      <c r="AC634" s="518"/>
      <c r="AD634" s="518"/>
      <c r="AE634" s="518"/>
      <c r="AF634" s="518"/>
      <c r="AG634" s="518"/>
      <c r="AH634" s="518"/>
      <c r="AJ634" s="595" t="b">
        <f t="shared" si="14"/>
        <v>0</v>
      </c>
    </row>
    <row r="635" spans="1:36" hidden="1" x14ac:dyDescent="0.45">
      <c r="A635" s="518"/>
      <c r="B635" s="514" t="s">
        <v>1418</v>
      </c>
      <c r="C635" s="515"/>
      <c r="D635" s="515"/>
      <c r="E635" s="515"/>
      <c r="F635" s="516"/>
      <c r="G635" s="939">
        <f>CHADUData!V16</f>
        <v>0</v>
      </c>
      <c r="H635" s="1181"/>
      <c r="I635" s="1181" t="str">
        <f>IF(CHADUData!L16&gt;0,CHADUData!L16,"")</f>
        <v/>
      </c>
      <c r="J635" s="1181"/>
      <c r="K635" s="1181"/>
      <c r="L635" s="940">
        <f>CHADUData!W16</f>
        <v>0</v>
      </c>
      <c r="M635" s="940"/>
      <c r="N635" s="940"/>
      <c r="O635" s="940"/>
      <c r="P635" s="940">
        <f>CHADUData!X16</f>
        <v>0</v>
      </c>
      <c r="Q635" s="940"/>
      <c r="R635" s="940"/>
      <c r="S635" s="940">
        <f t="shared" si="13"/>
        <v>0</v>
      </c>
      <c r="T635" s="940"/>
      <c r="U635" s="940"/>
      <c r="V635" s="940"/>
      <c r="W635" s="871">
        <f>CHADUData!Z16</f>
        <v>0</v>
      </c>
      <c r="X635" s="871"/>
      <c r="Y635" s="518"/>
      <c r="Z635" s="518"/>
      <c r="AA635" s="518"/>
      <c r="AB635" s="518"/>
      <c r="AC635" s="518"/>
      <c r="AD635" s="518"/>
      <c r="AE635" s="518"/>
      <c r="AF635" s="518"/>
      <c r="AG635" s="518"/>
      <c r="AH635" s="518"/>
      <c r="AJ635" s="595" t="b">
        <f t="shared" si="14"/>
        <v>0</v>
      </c>
    </row>
    <row r="636" spans="1:36" hidden="1" x14ac:dyDescent="0.45">
      <c r="A636" s="518"/>
      <c r="B636" s="514" t="s">
        <v>1419</v>
      </c>
      <c r="C636" s="515"/>
      <c r="D636" s="515"/>
      <c r="E636" s="515"/>
      <c r="F636" s="516"/>
      <c r="G636" s="939">
        <f>CHADUData!V17</f>
        <v>0</v>
      </c>
      <c r="H636" s="1181"/>
      <c r="I636" s="1181" t="str">
        <f>IF(CHADUData!L17&gt;0,CHADUData!L17,"")</f>
        <v/>
      </c>
      <c r="J636" s="1181"/>
      <c r="K636" s="1181"/>
      <c r="L636" s="940">
        <f>CHADUData!W17</f>
        <v>0</v>
      </c>
      <c r="M636" s="940"/>
      <c r="N636" s="940"/>
      <c r="O636" s="940"/>
      <c r="P636" s="940">
        <f>CHADUData!X17</f>
        <v>0</v>
      </c>
      <c r="Q636" s="940"/>
      <c r="R636" s="940"/>
      <c r="S636" s="940">
        <f t="shared" si="13"/>
        <v>0</v>
      </c>
      <c r="T636" s="940"/>
      <c r="U636" s="940"/>
      <c r="V636" s="940"/>
      <c r="W636" s="871">
        <f>CHADUData!Z17</f>
        <v>0</v>
      </c>
      <c r="X636" s="871"/>
      <c r="Y636" s="518"/>
      <c r="Z636" s="518"/>
      <c r="AA636" s="518"/>
      <c r="AB636" s="518"/>
      <c r="AC636" s="518"/>
      <c r="AD636" s="518"/>
      <c r="AE636" s="518"/>
      <c r="AF636" s="518"/>
      <c r="AG636" s="518"/>
      <c r="AH636" s="518"/>
      <c r="AJ636" s="595" t="b">
        <f t="shared" si="14"/>
        <v>0</v>
      </c>
    </row>
    <row r="637" spans="1:36" hidden="1" x14ac:dyDescent="0.45">
      <c r="A637" s="518"/>
      <c r="B637" s="514" t="s">
        <v>1420</v>
      </c>
      <c r="C637" s="515"/>
      <c r="D637" s="515"/>
      <c r="E637" s="515"/>
      <c r="F637" s="516"/>
      <c r="G637" s="939">
        <f>CHADUData!V18</f>
        <v>0</v>
      </c>
      <c r="H637" s="1181"/>
      <c r="I637" s="1181" t="str">
        <f>IF(CHADUData!L18&gt;0,CHADUData!L18,"")</f>
        <v/>
      </c>
      <c r="J637" s="1181"/>
      <c r="K637" s="1181"/>
      <c r="L637" s="940">
        <f>CHADUData!W18</f>
        <v>0</v>
      </c>
      <c r="M637" s="940"/>
      <c r="N637" s="940"/>
      <c r="O637" s="940"/>
      <c r="P637" s="940">
        <f>CHADUData!X18</f>
        <v>0</v>
      </c>
      <c r="Q637" s="940"/>
      <c r="R637" s="940"/>
      <c r="S637" s="940">
        <f t="shared" si="13"/>
        <v>0</v>
      </c>
      <c r="T637" s="940"/>
      <c r="U637" s="940"/>
      <c r="V637" s="940"/>
      <c r="W637" s="871">
        <f>CHADUData!Z18</f>
        <v>0</v>
      </c>
      <c r="X637" s="871"/>
      <c r="Y637" s="518"/>
      <c r="Z637" s="518"/>
      <c r="AA637" s="518"/>
      <c r="AB637" s="518"/>
      <c r="AC637" s="518"/>
      <c r="AD637" s="518"/>
      <c r="AE637" s="518"/>
      <c r="AF637" s="518"/>
      <c r="AG637" s="518"/>
      <c r="AH637" s="518"/>
      <c r="AJ637" s="595" t="b">
        <f t="shared" si="14"/>
        <v>0</v>
      </c>
    </row>
    <row r="638" spans="1:36" hidden="1" x14ac:dyDescent="0.45">
      <c r="A638" s="518"/>
      <c r="B638" s="514" t="s">
        <v>1421</v>
      </c>
      <c r="C638" s="515"/>
      <c r="D638" s="515"/>
      <c r="E638" s="515"/>
      <c r="F638" s="516"/>
      <c r="G638" s="939">
        <f>CHADUData!V19</f>
        <v>0</v>
      </c>
      <c r="H638" s="1181"/>
      <c r="I638" s="1181" t="str">
        <f>IF(CHADUData!L19&gt;0,CHADUData!L19,"")</f>
        <v/>
      </c>
      <c r="J638" s="1181"/>
      <c r="K638" s="1181"/>
      <c r="L638" s="940">
        <f>CHADUData!W19</f>
        <v>0</v>
      </c>
      <c r="M638" s="940"/>
      <c r="N638" s="940"/>
      <c r="O638" s="940"/>
      <c r="P638" s="940">
        <f>CHADUData!X19</f>
        <v>0</v>
      </c>
      <c r="Q638" s="940"/>
      <c r="R638" s="940"/>
      <c r="S638" s="940">
        <f t="shared" si="13"/>
        <v>0</v>
      </c>
      <c r="T638" s="940"/>
      <c r="U638" s="940"/>
      <c r="V638" s="940"/>
      <c r="W638" s="871">
        <f>CHADUData!Z19</f>
        <v>0</v>
      </c>
      <c r="X638" s="871"/>
      <c r="Y638" s="518"/>
      <c r="Z638" s="518"/>
      <c r="AA638" s="518"/>
      <c r="AB638" s="518"/>
      <c r="AC638" s="518"/>
      <c r="AD638" s="518"/>
      <c r="AE638" s="518"/>
      <c r="AF638" s="518"/>
      <c r="AG638" s="518"/>
      <c r="AH638" s="518"/>
      <c r="AJ638" s="595" t="b">
        <f t="shared" si="14"/>
        <v>0</v>
      </c>
    </row>
    <row r="639" spans="1:36" hidden="1" x14ac:dyDescent="0.45">
      <c r="A639" s="518"/>
      <c r="B639" s="514" t="s">
        <v>1422</v>
      </c>
      <c r="C639" s="515"/>
      <c r="D639" s="515"/>
      <c r="E639" s="515"/>
      <c r="F639" s="516"/>
      <c r="G639" s="939">
        <f>CHADUData!V20</f>
        <v>0</v>
      </c>
      <c r="H639" s="1181"/>
      <c r="I639" s="1181" t="str">
        <f>IF(CHADUData!L20&gt;0,CHADUData!L20,"")</f>
        <v/>
      </c>
      <c r="J639" s="1181"/>
      <c r="K639" s="1181"/>
      <c r="L639" s="940">
        <f>CHADUData!W20</f>
        <v>0</v>
      </c>
      <c r="M639" s="940"/>
      <c r="N639" s="940"/>
      <c r="O639" s="940"/>
      <c r="P639" s="940">
        <f>CHADUData!X20</f>
        <v>0</v>
      </c>
      <c r="Q639" s="940"/>
      <c r="R639" s="940"/>
      <c r="S639" s="940">
        <f t="shared" si="13"/>
        <v>0</v>
      </c>
      <c r="T639" s="940"/>
      <c r="U639" s="940"/>
      <c r="V639" s="940"/>
      <c r="W639" s="871">
        <f>CHADUData!Z20</f>
        <v>0</v>
      </c>
      <c r="X639" s="871"/>
      <c r="Y639" s="518"/>
      <c r="Z639" s="518"/>
      <c r="AA639" s="518"/>
      <c r="AB639" s="518"/>
      <c r="AC639" s="518"/>
      <c r="AD639" s="518"/>
      <c r="AE639" s="518"/>
      <c r="AF639" s="518"/>
      <c r="AG639" s="518"/>
      <c r="AH639" s="518"/>
      <c r="AJ639" s="595" t="b">
        <f t="shared" si="14"/>
        <v>0</v>
      </c>
    </row>
    <row r="640" spans="1:36" hidden="1" x14ac:dyDescent="0.45">
      <c r="A640" s="518"/>
      <c r="B640" s="514" t="s">
        <v>1423</v>
      </c>
      <c r="C640" s="515"/>
      <c r="D640" s="515"/>
      <c r="E640" s="515"/>
      <c r="F640" s="516"/>
      <c r="G640" s="939">
        <f>CHADUData!V21</f>
        <v>0</v>
      </c>
      <c r="H640" s="1181"/>
      <c r="I640" s="1181" t="str">
        <f>IF(CHADUData!L21&gt;0,CHADUData!L21,"")</f>
        <v/>
      </c>
      <c r="J640" s="1181"/>
      <c r="K640" s="1181"/>
      <c r="L640" s="940">
        <f>CHADUData!W21</f>
        <v>0</v>
      </c>
      <c r="M640" s="940"/>
      <c r="N640" s="940"/>
      <c r="O640" s="940"/>
      <c r="P640" s="940">
        <f>CHADUData!X21</f>
        <v>0</v>
      </c>
      <c r="Q640" s="940"/>
      <c r="R640" s="940"/>
      <c r="S640" s="940">
        <f t="shared" si="13"/>
        <v>0</v>
      </c>
      <c r="T640" s="940"/>
      <c r="U640" s="940"/>
      <c r="V640" s="940"/>
      <c r="W640" s="871">
        <f>CHADUData!Z21</f>
        <v>0</v>
      </c>
      <c r="X640" s="871"/>
      <c r="Y640" s="518"/>
      <c r="Z640" s="518"/>
      <c r="AA640" s="518"/>
      <c r="AB640" s="518"/>
      <c r="AC640" s="518"/>
      <c r="AD640" s="518"/>
      <c r="AE640" s="518"/>
      <c r="AF640" s="518"/>
      <c r="AG640" s="518"/>
      <c r="AH640" s="518"/>
      <c r="AJ640" s="595" t="b">
        <f t="shared" si="14"/>
        <v>0</v>
      </c>
    </row>
    <row r="641" spans="1:36" hidden="1" x14ac:dyDescent="0.45">
      <c r="A641" s="518"/>
      <c r="B641" s="514" t="s">
        <v>1424</v>
      </c>
      <c r="C641" s="515"/>
      <c r="D641" s="515"/>
      <c r="E641" s="515"/>
      <c r="F641" s="516"/>
      <c r="G641" s="939">
        <f>CHADUData!V22</f>
        <v>0</v>
      </c>
      <c r="H641" s="1181"/>
      <c r="I641" s="1181" t="str">
        <f>IF(CHADUData!L22&gt;0,CHADUData!L22,"")</f>
        <v/>
      </c>
      <c r="J641" s="1181"/>
      <c r="K641" s="1181"/>
      <c r="L641" s="940">
        <f>CHADUData!W22</f>
        <v>0</v>
      </c>
      <c r="M641" s="940"/>
      <c r="N641" s="940"/>
      <c r="O641" s="940"/>
      <c r="P641" s="940">
        <f>CHADUData!X22</f>
        <v>0</v>
      </c>
      <c r="Q641" s="940"/>
      <c r="R641" s="940"/>
      <c r="S641" s="940">
        <f t="shared" si="13"/>
        <v>0</v>
      </c>
      <c r="T641" s="940"/>
      <c r="U641" s="940"/>
      <c r="V641" s="940"/>
      <c r="W641" s="871">
        <f>CHADUData!Z22</f>
        <v>0</v>
      </c>
      <c r="X641" s="871"/>
      <c r="Y641" s="518"/>
      <c r="Z641" s="518"/>
      <c r="AA641" s="518"/>
      <c r="AB641" s="518"/>
      <c r="AC641" s="518"/>
      <c r="AD641" s="518"/>
      <c r="AE641" s="518"/>
      <c r="AF641" s="518"/>
      <c r="AG641" s="518"/>
      <c r="AH641" s="518"/>
      <c r="AJ641" s="595" t="b">
        <f t="shared" si="14"/>
        <v>0</v>
      </c>
    </row>
    <row r="642" spans="1:36" hidden="1" x14ac:dyDescent="0.45">
      <c r="A642" s="518"/>
      <c r="B642" s="514" t="s">
        <v>1425</v>
      </c>
      <c r="C642" s="515"/>
      <c r="D642" s="515"/>
      <c r="E642" s="515"/>
      <c r="F642" s="516"/>
      <c r="G642" s="939">
        <f>CHADUData!V23</f>
        <v>0</v>
      </c>
      <c r="H642" s="1181"/>
      <c r="I642" s="1181" t="str">
        <f>IF(CHADUData!L23&gt;0,CHADUData!L23,"")</f>
        <v/>
      </c>
      <c r="J642" s="1181"/>
      <c r="K642" s="1181"/>
      <c r="L642" s="940">
        <f>CHADUData!W23</f>
        <v>0</v>
      </c>
      <c r="M642" s="940"/>
      <c r="N642" s="940"/>
      <c r="O642" s="940"/>
      <c r="P642" s="940">
        <f>CHADUData!X23</f>
        <v>0</v>
      </c>
      <c r="Q642" s="940"/>
      <c r="R642" s="940"/>
      <c r="S642" s="940">
        <f t="shared" si="13"/>
        <v>0</v>
      </c>
      <c r="T642" s="940"/>
      <c r="U642" s="940"/>
      <c r="V642" s="940"/>
      <c r="W642" s="871">
        <f>CHADUData!Z23</f>
        <v>0</v>
      </c>
      <c r="X642" s="871"/>
      <c r="Y642" s="518"/>
      <c r="Z642" s="518"/>
      <c r="AA642" s="518"/>
      <c r="AB642" s="518"/>
      <c r="AC642" s="518"/>
      <c r="AD642" s="518"/>
      <c r="AE642" s="518"/>
      <c r="AF642" s="518"/>
      <c r="AG642" s="518"/>
      <c r="AH642" s="518"/>
      <c r="AJ642" s="595" t="b">
        <f t="shared" si="14"/>
        <v>0</v>
      </c>
    </row>
    <row r="643" spans="1:36" hidden="1" x14ac:dyDescent="0.45">
      <c r="A643" s="518"/>
      <c r="B643" s="514" t="s">
        <v>1426</v>
      </c>
      <c r="C643" s="515"/>
      <c r="D643" s="515"/>
      <c r="E643" s="515"/>
      <c r="F643" s="516"/>
      <c r="G643" s="939">
        <f>CHADUData!V24</f>
        <v>0</v>
      </c>
      <c r="H643" s="1181"/>
      <c r="I643" s="1181" t="str">
        <f>IF(CHADUData!L24&gt;0,CHADUData!L24,"")</f>
        <v/>
      </c>
      <c r="J643" s="1181"/>
      <c r="K643" s="1181"/>
      <c r="L643" s="940">
        <f>CHADUData!W24</f>
        <v>0</v>
      </c>
      <c r="M643" s="940"/>
      <c r="N643" s="940"/>
      <c r="O643" s="940"/>
      <c r="P643" s="940">
        <f>CHADUData!X24</f>
        <v>0</v>
      </c>
      <c r="Q643" s="940"/>
      <c r="R643" s="940"/>
      <c r="S643" s="940">
        <f t="shared" si="13"/>
        <v>0</v>
      </c>
      <c r="T643" s="940"/>
      <c r="U643" s="940"/>
      <c r="V643" s="940"/>
      <c r="W643" s="871">
        <f>CHADUData!Z24</f>
        <v>0</v>
      </c>
      <c r="X643" s="871"/>
      <c r="Y643" s="518"/>
      <c r="Z643" s="518"/>
      <c r="AA643" s="518"/>
      <c r="AB643" s="518"/>
      <c r="AC643" s="518"/>
      <c r="AD643" s="518"/>
      <c r="AE643" s="518"/>
      <c r="AF643" s="518"/>
      <c r="AG643" s="518"/>
      <c r="AH643" s="518"/>
      <c r="AJ643" s="595" t="b">
        <f t="shared" si="14"/>
        <v>0</v>
      </c>
    </row>
    <row r="644" spans="1:36" hidden="1" x14ac:dyDescent="0.45">
      <c r="A644" s="518"/>
      <c r="B644" s="514" t="s">
        <v>1427</v>
      </c>
      <c r="C644" s="515"/>
      <c r="D644" s="515"/>
      <c r="E644" s="515"/>
      <c r="F644" s="516"/>
      <c r="G644" s="939">
        <f>CHADUData!V25</f>
        <v>0</v>
      </c>
      <c r="H644" s="1181"/>
      <c r="I644" s="1181" t="str">
        <f>IF(CHADUData!L25&gt;0,CHADUData!L25,"")</f>
        <v/>
      </c>
      <c r="J644" s="1181"/>
      <c r="K644" s="1181"/>
      <c r="L644" s="940">
        <f>CHADUData!W25</f>
        <v>0</v>
      </c>
      <c r="M644" s="940"/>
      <c r="N644" s="940"/>
      <c r="O644" s="940"/>
      <c r="P644" s="940">
        <f>CHADUData!X25</f>
        <v>0</v>
      </c>
      <c r="Q644" s="940"/>
      <c r="R644" s="940"/>
      <c r="S644" s="940">
        <f t="shared" si="13"/>
        <v>0</v>
      </c>
      <c r="T644" s="940"/>
      <c r="U644" s="940"/>
      <c r="V644" s="940"/>
      <c r="W644" s="871">
        <f>CHADUData!Z25</f>
        <v>0</v>
      </c>
      <c r="X644" s="871"/>
      <c r="Y644" s="518"/>
      <c r="Z644" s="518"/>
      <c r="AA644" s="518"/>
      <c r="AB644" s="518"/>
      <c r="AC644" s="518"/>
      <c r="AD644" s="518"/>
      <c r="AE644" s="518"/>
      <c r="AF644" s="518"/>
      <c r="AG644" s="518"/>
      <c r="AH644" s="518"/>
      <c r="AJ644" s="595" t="b">
        <f t="shared" si="14"/>
        <v>0</v>
      </c>
    </row>
    <row r="645" spans="1:36" hidden="1" x14ac:dyDescent="0.45">
      <c r="A645" s="518"/>
      <c r="B645" s="514" t="s">
        <v>1428</v>
      </c>
      <c r="C645" s="515"/>
      <c r="D645" s="515"/>
      <c r="E645" s="515"/>
      <c r="F645" s="516"/>
      <c r="G645" s="939">
        <f>CHADUData!V26</f>
        <v>0</v>
      </c>
      <c r="H645" s="1181"/>
      <c r="I645" s="1181" t="str">
        <f>IF(CHADUData!L26&gt;0,CHADUData!L26,"")</f>
        <v/>
      </c>
      <c r="J645" s="1181"/>
      <c r="K645" s="1181"/>
      <c r="L645" s="940">
        <f>CHADUData!W26</f>
        <v>0</v>
      </c>
      <c r="M645" s="940"/>
      <c r="N645" s="940"/>
      <c r="O645" s="940"/>
      <c r="P645" s="940">
        <f>CHADUData!X26</f>
        <v>0</v>
      </c>
      <c r="Q645" s="940"/>
      <c r="R645" s="940"/>
      <c r="S645" s="940">
        <f t="shared" si="13"/>
        <v>0</v>
      </c>
      <c r="T645" s="940"/>
      <c r="U645" s="940"/>
      <c r="V645" s="940"/>
      <c r="W645" s="871">
        <f>CHADUData!Z26</f>
        <v>0</v>
      </c>
      <c r="X645" s="871"/>
      <c r="Y645" s="518"/>
      <c r="Z645" s="518"/>
      <c r="AA645" s="518"/>
      <c r="AB645" s="518"/>
      <c r="AC645" s="518"/>
      <c r="AD645" s="518"/>
      <c r="AE645" s="518"/>
      <c r="AF645" s="518"/>
      <c r="AG645" s="518"/>
      <c r="AH645" s="518"/>
      <c r="AJ645" s="595" t="b">
        <f t="shared" si="14"/>
        <v>0</v>
      </c>
    </row>
    <row r="646" spans="1:36" hidden="1" x14ac:dyDescent="0.45">
      <c r="A646" s="518"/>
      <c r="B646" s="514" t="s">
        <v>1429</v>
      </c>
      <c r="C646" s="515"/>
      <c r="D646" s="515"/>
      <c r="E646" s="515"/>
      <c r="F646" s="516"/>
      <c r="G646" s="939">
        <f>CHADUData!V27</f>
        <v>0</v>
      </c>
      <c r="H646" s="1181"/>
      <c r="I646" s="1181" t="str">
        <f>IF(CHADUData!L27&gt;0,CHADUData!L27,"")</f>
        <v/>
      </c>
      <c r="J646" s="1181"/>
      <c r="K646" s="1181"/>
      <c r="L646" s="940">
        <f>CHADUData!W27</f>
        <v>0</v>
      </c>
      <c r="M646" s="940"/>
      <c r="N646" s="940"/>
      <c r="O646" s="940"/>
      <c r="P646" s="940">
        <f>CHADUData!X27</f>
        <v>0</v>
      </c>
      <c r="Q646" s="940"/>
      <c r="R646" s="940"/>
      <c r="S646" s="940">
        <f t="shared" si="13"/>
        <v>0</v>
      </c>
      <c r="T646" s="940"/>
      <c r="U646" s="940"/>
      <c r="V646" s="940"/>
      <c r="W646" s="871">
        <f>CHADUData!Z27</f>
        <v>0</v>
      </c>
      <c r="X646" s="871"/>
      <c r="Y646" s="518"/>
      <c r="Z646" s="518"/>
      <c r="AA646" s="518"/>
      <c r="AB646" s="518"/>
      <c r="AC646" s="518"/>
      <c r="AD646" s="518"/>
      <c r="AE646" s="518"/>
      <c r="AF646" s="518"/>
      <c r="AG646" s="518"/>
      <c r="AH646" s="518"/>
      <c r="AJ646" s="595" t="b">
        <f t="shared" si="14"/>
        <v>0</v>
      </c>
    </row>
    <row r="647" spans="1:36" hidden="1" x14ac:dyDescent="0.45">
      <c r="A647" s="518"/>
      <c r="B647" s="514" t="s">
        <v>1430</v>
      </c>
      <c r="C647" s="515"/>
      <c r="D647" s="515"/>
      <c r="E647" s="515"/>
      <c r="F647" s="516"/>
      <c r="G647" s="939">
        <f>CHADUData!V28</f>
        <v>0</v>
      </c>
      <c r="H647" s="1181"/>
      <c r="I647" s="1181" t="str">
        <f>IF(CHADUData!L28&gt;0,CHADUData!L28,"")</f>
        <v/>
      </c>
      <c r="J647" s="1181"/>
      <c r="K647" s="1181"/>
      <c r="L647" s="940">
        <f>CHADUData!W28</f>
        <v>0</v>
      </c>
      <c r="M647" s="940"/>
      <c r="N647" s="940"/>
      <c r="O647" s="940"/>
      <c r="P647" s="940">
        <f>CHADUData!X28</f>
        <v>0</v>
      </c>
      <c r="Q647" s="940"/>
      <c r="R647" s="940"/>
      <c r="S647" s="940">
        <f t="shared" si="13"/>
        <v>0</v>
      </c>
      <c r="T647" s="940"/>
      <c r="U647" s="940"/>
      <c r="V647" s="940"/>
      <c r="W647" s="871">
        <f>CHADUData!Z28</f>
        <v>0</v>
      </c>
      <c r="X647" s="871"/>
      <c r="Y647" s="518"/>
      <c r="Z647" s="518"/>
      <c r="AA647" s="518"/>
      <c r="AB647" s="518"/>
      <c r="AC647" s="518"/>
      <c r="AD647" s="518"/>
      <c r="AE647" s="518"/>
      <c r="AF647" s="518"/>
      <c r="AG647" s="518"/>
      <c r="AH647" s="518"/>
      <c r="AJ647" s="595" t="b">
        <f t="shared" si="14"/>
        <v>0</v>
      </c>
    </row>
    <row r="648" spans="1:36" hidden="1" x14ac:dyDescent="0.45">
      <c r="A648" s="518"/>
      <c r="B648" s="514" t="s">
        <v>1431</v>
      </c>
      <c r="C648" s="515"/>
      <c r="D648" s="515"/>
      <c r="E648" s="515"/>
      <c r="F648" s="516"/>
      <c r="G648" s="939">
        <f>CHADUData!V29</f>
        <v>0</v>
      </c>
      <c r="H648" s="1181"/>
      <c r="I648" s="1181" t="str">
        <f>IF(CHADUData!L29&gt;0,CHADUData!L29,"")</f>
        <v/>
      </c>
      <c r="J648" s="1181"/>
      <c r="K648" s="1181"/>
      <c r="L648" s="940">
        <f>CHADUData!W29</f>
        <v>0</v>
      </c>
      <c r="M648" s="940"/>
      <c r="N648" s="940"/>
      <c r="O648" s="940"/>
      <c r="P648" s="940">
        <f>CHADUData!X29</f>
        <v>0</v>
      </c>
      <c r="Q648" s="940"/>
      <c r="R648" s="940"/>
      <c r="S648" s="940">
        <f t="shared" si="13"/>
        <v>0</v>
      </c>
      <c r="T648" s="940"/>
      <c r="U648" s="940"/>
      <c r="V648" s="940"/>
      <c r="W648" s="871">
        <f>CHADUData!Z29</f>
        <v>0</v>
      </c>
      <c r="X648" s="871"/>
      <c r="Y648" s="518"/>
      <c r="Z648" s="518"/>
      <c r="AA648" s="518"/>
      <c r="AB648" s="518"/>
      <c r="AC648" s="518"/>
      <c r="AD648" s="518"/>
      <c r="AE648" s="518"/>
      <c r="AF648" s="518"/>
      <c r="AG648" s="518"/>
      <c r="AH648" s="518"/>
      <c r="AJ648" s="595" t="b">
        <f t="shared" si="14"/>
        <v>0</v>
      </c>
    </row>
    <row r="649" spans="1:36" hidden="1" x14ac:dyDescent="0.45">
      <c r="A649" s="518"/>
      <c r="B649" s="514" t="s">
        <v>1432</v>
      </c>
      <c r="C649" s="515"/>
      <c r="D649" s="515"/>
      <c r="E649" s="515"/>
      <c r="F649" s="516"/>
      <c r="G649" s="939">
        <f>CHADUData!V30</f>
        <v>0</v>
      </c>
      <c r="H649" s="1181"/>
      <c r="I649" s="1181" t="str">
        <f>IF(CHADUData!L30&gt;0,CHADUData!L30,"")</f>
        <v/>
      </c>
      <c r="J649" s="1181"/>
      <c r="K649" s="1181"/>
      <c r="L649" s="940">
        <f>CHADUData!W30</f>
        <v>0</v>
      </c>
      <c r="M649" s="940"/>
      <c r="N649" s="940"/>
      <c r="O649" s="940"/>
      <c r="P649" s="940">
        <f>CHADUData!X30</f>
        <v>0</v>
      </c>
      <c r="Q649" s="940"/>
      <c r="R649" s="940"/>
      <c r="S649" s="940">
        <f t="shared" si="13"/>
        <v>0</v>
      </c>
      <c r="T649" s="940"/>
      <c r="U649" s="940"/>
      <c r="V649" s="940"/>
      <c r="W649" s="871">
        <f>CHADUData!Z30</f>
        <v>0</v>
      </c>
      <c r="X649" s="871"/>
      <c r="Y649" s="518"/>
      <c r="Z649" s="518"/>
      <c r="AA649" s="518"/>
      <c r="AB649" s="518"/>
      <c r="AC649" s="518"/>
      <c r="AD649" s="518"/>
      <c r="AE649" s="518"/>
      <c r="AF649" s="518"/>
      <c r="AG649" s="518"/>
      <c r="AH649" s="518"/>
      <c r="AJ649" s="595" t="b">
        <f t="shared" si="14"/>
        <v>0</v>
      </c>
    </row>
    <row r="650" spans="1:36" hidden="1" x14ac:dyDescent="0.45">
      <c r="A650" s="518"/>
      <c r="B650" s="514" t="s">
        <v>1433</v>
      </c>
      <c r="C650" s="515"/>
      <c r="D650" s="515"/>
      <c r="E650" s="515"/>
      <c r="F650" s="516"/>
      <c r="G650" s="939">
        <f>CHADUData!V31</f>
        <v>0</v>
      </c>
      <c r="H650" s="1181"/>
      <c r="I650" s="1181" t="str">
        <f>IF(CHADUData!L31&gt;0,CHADUData!L31,"")</f>
        <v/>
      </c>
      <c r="J650" s="1181"/>
      <c r="K650" s="1181"/>
      <c r="L650" s="940">
        <f>CHADUData!W31</f>
        <v>0</v>
      </c>
      <c r="M650" s="940"/>
      <c r="N650" s="940"/>
      <c r="O650" s="940"/>
      <c r="P650" s="940">
        <f>CHADUData!X31</f>
        <v>0</v>
      </c>
      <c r="Q650" s="940"/>
      <c r="R650" s="940"/>
      <c r="S650" s="940">
        <f t="shared" si="13"/>
        <v>0</v>
      </c>
      <c r="T650" s="940"/>
      <c r="U650" s="940"/>
      <c r="V650" s="940"/>
      <c r="W650" s="871">
        <f>CHADUData!Z31</f>
        <v>0</v>
      </c>
      <c r="X650" s="871"/>
      <c r="Y650" s="518"/>
      <c r="Z650" s="518"/>
      <c r="AA650" s="518"/>
      <c r="AB650" s="518"/>
      <c r="AC650" s="518"/>
      <c r="AD650" s="518"/>
      <c r="AE650" s="518"/>
      <c r="AF650" s="518"/>
      <c r="AG650" s="518"/>
      <c r="AH650" s="518"/>
      <c r="AJ650" s="595" t="b">
        <f t="shared" si="14"/>
        <v>0</v>
      </c>
    </row>
    <row r="651" spans="1:36" hidden="1" x14ac:dyDescent="0.45">
      <c r="A651" s="518"/>
      <c r="B651" s="514" t="s">
        <v>1434</v>
      </c>
      <c r="C651" s="515"/>
      <c r="D651" s="515"/>
      <c r="E651" s="515"/>
      <c r="F651" s="516"/>
      <c r="G651" s="939">
        <f>CHADUData!V32</f>
        <v>0</v>
      </c>
      <c r="H651" s="1181"/>
      <c r="I651" s="1181" t="str">
        <f>IF(CHADUData!L32&gt;0,CHADUData!L32,"")</f>
        <v/>
      </c>
      <c r="J651" s="1181"/>
      <c r="K651" s="1181"/>
      <c r="L651" s="940">
        <f>CHADUData!W32</f>
        <v>0</v>
      </c>
      <c r="M651" s="940"/>
      <c r="N651" s="940"/>
      <c r="O651" s="940"/>
      <c r="P651" s="940">
        <f>CHADUData!X32</f>
        <v>0</v>
      </c>
      <c r="Q651" s="940"/>
      <c r="R651" s="940"/>
      <c r="S651" s="940">
        <f t="shared" si="13"/>
        <v>0</v>
      </c>
      <c r="T651" s="940"/>
      <c r="U651" s="940"/>
      <c r="V651" s="940"/>
      <c r="W651" s="871">
        <f>CHADUData!Z32</f>
        <v>0</v>
      </c>
      <c r="X651" s="871"/>
      <c r="Y651" s="518"/>
      <c r="Z651" s="518"/>
      <c r="AA651" s="518"/>
      <c r="AB651" s="518"/>
      <c r="AC651" s="518"/>
      <c r="AD651" s="518"/>
      <c r="AE651" s="518"/>
      <c r="AF651" s="518"/>
      <c r="AG651" s="518"/>
      <c r="AH651" s="518"/>
      <c r="AJ651" s="595" t="b">
        <f t="shared" si="14"/>
        <v>0</v>
      </c>
    </row>
    <row r="652" spans="1:36" hidden="1" x14ac:dyDescent="0.45">
      <c r="A652" s="518"/>
      <c r="B652" s="514" t="s">
        <v>1435</v>
      </c>
      <c r="C652" s="515"/>
      <c r="D652" s="515"/>
      <c r="E652" s="515"/>
      <c r="F652" s="516"/>
      <c r="G652" s="939">
        <f>CHADUData!V33</f>
        <v>0</v>
      </c>
      <c r="H652" s="1181"/>
      <c r="I652" s="1181" t="str">
        <f>IF(CHADUData!L33&gt;0,CHADUData!L33,"")</f>
        <v/>
      </c>
      <c r="J652" s="1181"/>
      <c r="K652" s="1181"/>
      <c r="L652" s="940">
        <f>CHADUData!W33</f>
        <v>0</v>
      </c>
      <c r="M652" s="940"/>
      <c r="N652" s="940"/>
      <c r="O652" s="940"/>
      <c r="P652" s="940">
        <f>CHADUData!X33</f>
        <v>0</v>
      </c>
      <c r="Q652" s="940"/>
      <c r="R652" s="940"/>
      <c r="S652" s="940">
        <f t="shared" si="13"/>
        <v>0</v>
      </c>
      <c r="T652" s="940"/>
      <c r="U652" s="940"/>
      <c r="V652" s="940"/>
      <c r="W652" s="871">
        <f>CHADUData!Z33</f>
        <v>0</v>
      </c>
      <c r="X652" s="871"/>
      <c r="Y652" s="518"/>
      <c r="Z652" s="518"/>
      <c r="AA652" s="518"/>
      <c r="AB652" s="518"/>
      <c r="AC652" s="518"/>
      <c r="AD652" s="518"/>
      <c r="AE652" s="518"/>
      <c r="AF652" s="518"/>
      <c r="AG652" s="518"/>
      <c r="AH652" s="518"/>
      <c r="AJ652" s="595" t="b">
        <f t="shared" si="14"/>
        <v>0</v>
      </c>
    </row>
    <row r="653" spans="1:36" hidden="1" x14ac:dyDescent="0.45">
      <c r="A653" s="518"/>
      <c r="B653" s="514" t="s">
        <v>1436</v>
      </c>
      <c r="C653" s="515"/>
      <c r="D653" s="515"/>
      <c r="E653" s="515"/>
      <c r="F653" s="516"/>
      <c r="G653" s="939">
        <f>CHADUData!V34</f>
        <v>0</v>
      </c>
      <c r="H653" s="1181"/>
      <c r="I653" s="1181" t="str">
        <f>IF(CHADUData!L34&gt;0,CHADUData!L34,"")</f>
        <v/>
      </c>
      <c r="J653" s="1181"/>
      <c r="K653" s="1181"/>
      <c r="L653" s="940">
        <f>CHADUData!W34</f>
        <v>0</v>
      </c>
      <c r="M653" s="940"/>
      <c r="N653" s="940"/>
      <c r="O653" s="940"/>
      <c r="P653" s="940">
        <f>CHADUData!X34</f>
        <v>0</v>
      </c>
      <c r="Q653" s="940"/>
      <c r="R653" s="940"/>
      <c r="S653" s="940">
        <f t="shared" si="13"/>
        <v>0</v>
      </c>
      <c r="T653" s="940"/>
      <c r="U653" s="940"/>
      <c r="V653" s="940"/>
      <c r="W653" s="871">
        <f>CHADUData!Z34</f>
        <v>0</v>
      </c>
      <c r="X653" s="871"/>
      <c r="Y653" s="518"/>
      <c r="Z653" s="518"/>
      <c r="AA653" s="518"/>
      <c r="AB653" s="518"/>
      <c r="AC653" s="518"/>
      <c r="AD653" s="518"/>
      <c r="AE653" s="518"/>
      <c r="AF653" s="518"/>
      <c r="AG653" s="518"/>
      <c r="AH653" s="518"/>
      <c r="AJ653" s="595" t="b">
        <f t="shared" si="14"/>
        <v>0</v>
      </c>
    </row>
    <row r="654" spans="1:36" hidden="1" x14ac:dyDescent="0.45">
      <c r="A654" s="518"/>
      <c r="B654" s="514" t="s">
        <v>1437</v>
      </c>
      <c r="C654" s="515"/>
      <c r="D654" s="515"/>
      <c r="E654" s="515"/>
      <c r="F654" s="516"/>
      <c r="G654" s="939">
        <f>CHADUData!V35</f>
        <v>0</v>
      </c>
      <c r="H654" s="1181"/>
      <c r="I654" s="1181" t="str">
        <f>IF(CHADUData!L35&gt;0,CHADUData!L35,"")</f>
        <v/>
      </c>
      <c r="J654" s="1181"/>
      <c r="K654" s="1181"/>
      <c r="L654" s="940">
        <f>CHADUData!W35</f>
        <v>0</v>
      </c>
      <c r="M654" s="940"/>
      <c r="N654" s="940"/>
      <c r="O654" s="940"/>
      <c r="P654" s="940">
        <f>CHADUData!X35</f>
        <v>0</v>
      </c>
      <c r="Q654" s="940"/>
      <c r="R654" s="940"/>
      <c r="S654" s="940">
        <f t="shared" si="13"/>
        <v>0</v>
      </c>
      <c r="T654" s="940"/>
      <c r="U654" s="940"/>
      <c r="V654" s="940"/>
      <c r="W654" s="871">
        <f>CHADUData!Z35</f>
        <v>0</v>
      </c>
      <c r="X654" s="871"/>
      <c r="Y654" s="518"/>
      <c r="Z654" s="518"/>
      <c r="AA654" s="518"/>
      <c r="AB654" s="518"/>
      <c r="AC654" s="518"/>
      <c r="AD654" s="518"/>
      <c r="AE654" s="518"/>
      <c r="AF654" s="518"/>
      <c r="AG654" s="518"/>
      <c r="AH654" s="518"/>
      <c r="AJ654" s="595" t="b">
        <f t="shared" si="14"/>
        <v>0</v>
      </c>
    </row>
    <row r="655" spans="1:36" hidden="1" x14ac:dyDescent="0.45">
      <c r="A655" s="518"/>
      <c r="B655" s="514" t="s">
        <v>1438</v>
      </c>
      <c r="C655" s="515"/>
      <c r="D655" s="515"/>
      <c r="E655" s="515"/>
      <c r="F655" s="516"/>
      <c r="G655" s="939">
        <f>CHADUData!V36</f>
        <v>0</v>
      </c>
      <c r="H655" s="1181"/>
      <c r="I655" s="1181" t="str">
        <f>IF(CHADUData!L36&gt;0,CHADUData!L36,"")</f>
        <v/>
      </c>
      <c r="J655" s="1181"/>
      <c r="K655" s="1181"/>
      <c r="L655" s="940">
        <f>CHADUData!W36</f>
        <v>0</v>
      </c>
      <c r="M655" s="940"/>
      <c r="N655" s="940"/>
      <c r="O655" s="940"/>
      <c r="P655" s="940">
        <f>CHADUData!X36</f>
        <v>0</v>
      </c>
      <c r="Q655" s="940"/>
      <c r="R655" s="940"/>
      <c r="S655" s="940">
        <f t="shared" si="13"/>
        <v>0</v>
      </c>
      <c r="T655" s="940"/>
      <c r="U655" s="940"/>
      <c r="V655" s="940"/>
      <c r="W655" s="871">
        <f>CHADUData!Z36</f>
        <v>0</v>
      </c>
      <c r="X655" s="871"/>
      <c r="Y655" s="518"/>
      <c r="Z655" s="518"/>
      <c r="AA655" s="518"/>
      <c r="AB655" s="518"/>
      <c r="AC655" s="518"/>
      <c r="AD655" s="518"/>
      <c r="AE655" s="518"/>
      <c r="AF655" s="518"/>
      <c r="AG655" s="518"/>
      <c r="AH655" s="518"/>
      <c r="AJ655" s="595" t="b">
        <f t="shared" si="14"/>
        <v>0</v>
      </c>
    </row>
    <row r="656" spans="1:36" hidden="1" x14ac:dyDescent="0.45">
      <c r="A656" s="518"/>
      <c r="B656" s="514" t="s">
        <v>1439</v>
      </c>
      <c r="C656" s="515"/>
      <c r="D656" s="515"/>
      <c r="E656" s="515"/>
      <c r="F656" s="516"/>
      <c r="G656" s="939">
        <f>CHADUData!V37</f>
        <v>0</v>
      </c>
      <c r="H656" s="1181"/>
      <c r="I656" s="1181" t="str">
        <f>IF(CHADUData!L37&gt;0,CHADUData!L37,"")</f>
        <v/>
      </c>
      <c r="J656" s="1181"/>
      <c r="K656" s="1181"/>
      <c r="L656" s="940">
        <f>CHADUData!W37</f>
        <v>0</v>
      </c>
      <c r="M656" s="940"/>
      <c r="N656" s="940"/>
      <c r="O656" s="940"/>
      <c r="P656" s="940">
        <f>CHADUData!X37</f>
        <v>0</v>
      </c>
      <c r="Q656" s="940"/>
      <c r="R656" s="940"/>
      <c r="S656" s="940">
        <f t="shared" si="13"/>
        <v>0</v>
      </c>
      <c r="T656" s="940"/>
      <c r="U656" s="940"/>
      <c r="V656" s="940"/>
      <c r="W656" s="871">
        <f>CHADUData!Z37</f>
        <v>0</v>
      </c>
      <c r="X656" s="871"/>
      <c r="Y656" s="518"/>
      <c r="Z656" s="518"/>
      <c r="AA656" s="518"/>
      <c r="AB656" s="518"/>
      <c r="AC656" s="518"/>
      <c r="AD656" s="518"/>
      <c r="AE656" s="518"/>
      <c r="AF656" s="518"/>
      <c r="AG656" s="518"/>
      <c r="AH656" s="518"/>
      <c r="AJ656" s="595" t="b">
        <f t="shared" si="14"/>
        <v>0</v>
      </c>
    </row>
    <row r="657" spans="1:36" hidden="1" x14ac:dyDescent="0.45">
      <c r="A657" s="518"/>
      <c r="B657" s="514" t="s">
        <v>1440</v>
      </c>
      <c r="C657" s="515"/>
      <c r="D657" s="515"/>
      <c r="E657" s="515"/>
      <c r="F657" s="516"/>
      <c r="G657" s="939">
        <f>CHADUData!V38</f>
        <v>0</v>
      </c>
      <c r="H657" s="1181"/>
      <c r="I657" s="1181" t="str">
        <f>IF(CHADUData!L38&gt;0,CHADUData!L38,"")</f>
        <v/>
      </c>
      <c r="J657" s="1181"/>
      <c r="K657" s="1181"/>
      <c r="L657" s="940">
        <f>CHADUData!W38</f>
        <v>0</v>
      </c>
      <c r="M657" s="940"/>
      <c r="N657" s="940"/>
      <c r="O657" s="940"/>
      <c r="P657" s="940">
        <f>CHADUData!X38</f>
        <v>0</v>
      </c>
      <c r="Q657" s="940"/>
      <c r="R657" s="940"/>
      <c r="S657" s="940">
        <f t="shared" si="13"/>
        <v>0</v>
      </c>
      <c r="T657" s="940"/>
      <c r="U657" s="940"/>
      <c r="V657" s="940"/>
      <c r="W657" s="871">
        <f>CHADUData!Z38</f>
        <v>0</v>
      </c>
      <c r="X657" s="871"/>
      <c r="Y657" s="518"/>
      <c r="Z657" s="518"/>
      <c r="AA657" s="518"/>
      <c r="AB657" s="518"/>
      <c r="AC657" s="518"/>
      <c r="AD657" s="518"/>
      <c r="AE657" s="518"/>
      <c r="AF657" s="518"/>
      <c r="AG657" s="518"/>
      <c r="AH657" s="518"/>
      <c r="AJ657" s="595" t="b">
        <f t="shared" si="14"/>
        <v>0</v>
      </c>
    </row>
    <row r="658" spans="1:36" hidden="1" x14ac:dyDescent="0.45">
      <c r="A658" s="518"/>
      <c r="B658" s="514" t="s">
        <v>1441</v>
      </c>
      <c r="C658" s="515"/>
      <c r="D658" s="515"/>
      <c r="E658" s="515"/>
      <c r="F658" s="516"/>
      <c r="G658" s="939">
        <f>CHADUData!V39</f>
        <v>0</v>
      </c>
      <c r="H658" s="1181"/>
      <c r="I658" s="1181" t="str">
        <f>IF(CHADUData!L39&gt;0,CHADUData!L39,"")</f>
        <v/>
      </c>
      <c r="J658" s="1181"/>
      <c r="K658" s="1181"/>
      <c r="L658" s="940">
        <f>CHADUData!W39</f>
        <v>0</v>
      </c>
      <c r="M658" s="940"/>
      <c r="N658" s="940"/>
      <c r="O658" s="940"/>
      <c r="P658" s="940">
        <f>CHADUData!X39</f>
        <v>0</v>
      </c>
      <c r="Q658" s="940"/>
      <c r="R658" s="940"/>
      <c r="S658" s="940">
        <f t="shared" si="13"/>
        <v>0</v>
      </c>
      <c r="T658" s="940"/>
      <c r="U658" s="940"/>
      <c r="V658" s="940"/>
      <c r="W658" s="871">
        <f>CHADUData!Z39</f>
        <v>0</v>
      </c>
      <c r="X658" s="871"/>
      <c r="Y658" s="518"/>
      <c r="Z658" s="518"/>
      <c r="AA658" s="518"/>
      <c r="AB658" s="518"/>
      <c r="AC658" s="518"/>
      <c r="AD658" s="518"/>
      <c r="AE658" s="518"/>
      <c r="AF658" s="518"/>
      <c r="AG658" s="518"/>
      <c r="AH658" s="518"/>
      <c r="AJ658" s="595" t="b">
        <f t="shared" si="14"/>
        <v>0</v>
      </c>
    </row>
    <row r="659" spans="1:36" hidden="1" x14ac:dyDescent="0.45">
      <c r="A659" s="518"/>
      <c r="B659" s="514" t="s">
        <v>152</v>
      </c>
      <c r="C659" s="515"/>
      <c r="D659" s="515"/>
      <c r="E659" s="515"/>
      <c r="F659" s="516"/>
      <c r="G659" s="939">
        <f>CHADUData!V40</f>
        <v>0</v>
      </c>
      <c r="H659" s="1181"/>
      <c r="I659" s="1181" t="str">
        <f>IF(CHADUData!L40&gt;0,CHADUData!L40,"")</f>
        <v/>
      </c>
      <c r="J659" s="1181"/>
      <c r="K659" s="1181"/>
      <c r="L659" s="940">
        <f>CHADUData!W40</f>
        <v>0</v>
      </c>
      <c r="M659" s="940"/>
      <c r="N659" s="940"/>
      <c r="O659" s="940"/>
      <c r="P659" s="940">
        <f>CHADUData!X40</f>
        <v>0</v>
      </c>
      <c r="Q659" s="940"/>
      <c r="R659" s="940"/>
      <c r="S659" s="940">
        <f t="shared" si="13"/>
        <v>0</v>
      </c>
      <c r="T659" s="940"/>
      <c r="U659" s="940"/>
      <c r="V659" s="940"/>
      <c r="W659" s="871">
        <f>CHADUData!Z40</f>
        <v>0</v>
      </c>
      <c r="X659" s="871"/>
      <c r="Y659" s="518"/>
      <c r="Z659" s="518"/>
      <c r="AA659" s="518"/>
      <c r="AB659" s="518"/>
      <c r="AC659" s="518"/>
      <c r="AD659" s="518"/>
      <c r="AE659" s="518"/>
      <c r="AF659" s="518"/>
      <c r="AG659" s="518"/>
      <c r="AH659" s="518"/>
      <c r="AJ659" s="595" t="b">
        <f t="shared" si="14"/>
        <v>0</v>
      </c>
    </row>
    <row r="660" spans="1:36" hidden="1" x14ac:dyDescent="0.45">
      <c r="A660" s="518"/>
      <c r="B660" s="514" t="s">
        <v>1442</v>
      </c>
      <c r="C660" s="515"/>
      <c r="D660" s="515"/>
      <c r="E660" s="515"/>
      <c r="F660" s="516"/>
      <c r="G660" s="939">
        <f>CHADUData!V41</f>
        <v>0</v>
      </c>
      <c r="H660" s="1181"/>
      <c r="I660" s="1181" t="str">
        <f>IF(CHADUData!L41&gt;0,CHADUData!L41,"")</f>
        <v/>
      </c>
      <c r="J660" s="1181"/>
      <c r="K660" s="1181"/>
      <c r="L660" s="940">
        <f>CHADUData!W41</f>
        <v>0</v>
      </c>
      <c r="M660" s="940"/>
      <c r="N660" s="940"/>
      <c r="O660" s="940"/>
      <c r="P660" s="940">
        <f>CHADUData!X41</f>
        <v>0</v>
      </c>
      <c r="Q660" s="940"/>
      <c r="R660" s="940"/>
      <c r="S660" s="940">
        <f t="shared" si="13"/>
        <v>0</v>
      </c>
      <c r="T660" s="940"/>
      <c r="U660" s="940"/>
      <c r="V660" s="940"/>
      <c r="W660" s="871">
        <f>CHADUData!Z41</f>
        <v>0</v>
      </c>
      <c r="X660" s="871"/>
      <c r="Y660" s="518"/>
      <c r="Z660" s="518"/>
      <c r="AA660" s="518"/>
      <c r="AB660" s="518"/>
      <c r="AC660" s="518"/>
      <c r="AD660" s="518"/>
      <c r="AE660" s="518"/>
      <c r="AF660" s="518"/>
      <c r="AG660" s="518"/>
      <c r="AH660" s="518"/>
      <c r="AJ660" s="595" t="b">
        <f t="shared" si="14"/>
        <v>0</v>
      </c>
    </row>
    <row r="661" spans="1:36" hidden="1" x14ac:dyDescent="0.45">
      <c r="A661" s="518"/>
      <c r="B661" s="514" t="s">
        <v>1443</v>
      </c>
      <c r="C661" s="515"/>
      <c r="D661" s="515"/>
      <c r="E661" s="515"/>
      <c r="F661" s="516"/>
      <c r="G661" s="939">
        <f>CHADUData!V42</f>
        <v>0</v>
      </c>
      <c r="H661" s="1181"/>
      <c r="I661" s="1181" t="str">
        <f>IF(CHADUData!L42&gt;0,CHADUData!L42,"")</f>
        <v/>
      </c>
      <c r="J661" s="1181"/>
      <c r="K661" s="1181"/>
      <c r="L661" s="940">
        <f>CHADUData!W42</f>
        <v>0</v>
      </c>
      <c r="M661" s="940"/>
      <c r="N661" s="940"/>
      <c r="O661" s="940"/>
      <c r="P661" s="940">
        <f>CHADUData!X42</f>
        <v>0</v>
      </c>
      <c r="Q661" s="940"/>
      <c r="R661" s="940"/>
      <c r="S661" s="940">
        <f t="shared" si="13"/>
        <v>0</v>
      </c>
      <c r="T661" s="940"/>
      <c r="U661" s="940"/>
      <c r="V661" s="940"/>
      <c r="W661" s="871">
        <f>CHADUData!Z42</f>
        <v>0</v>
      </c>
      <c r="X661" s="871"/>
      <c r="Y661" s="518"/>
      <c r="Z661" s="518"/>
      <c r="AA661" s="518"/>
      <c r="AB661" s="518"/>
      <c r="AC661" s="518"/>
      <c r="AD661" s="518"/>
      <c r="AE661" s="518"/>
      <c r="AF661" s="518"/>
      <c r="AG661" s="518"/>
      <c r="AH661" s="518"/>
      <c r="AJ661" s="595" t="b">
        <f t="shared" si="14"/>
        <v>0</v>
      </c>
    </row>
    <row r="662" spans="1:36" hidden="1" x14ac:dyDescent="0.45">
      <c r="A662" s="518"/>
      <c r="B662" s="514" t="s">
        <v>1444</v>
      </c>
      <c r="C662" s="515"/>
      <c r="D662" s="515"/>
      <c r="E662" s="515"/>
      <c r="F662" s="516"/>
      <c r="G662" s="939">
        <f>CHADUData!V43</f>
        <v>0</v>
      </c>
      <c r="H662" s="1181"/>
      <c r="I662" s="1181" t="str">
        <f>IF(CHADUData!L43&gt;0,CHADUData!L43,"")</f>
        <v/>
      </c>
      <c r="J662" s="1181"/>
      <c r="K662" s="1181"/>
      <c r="L662" s="940">
        <f>CHADUData!W43</f>
        <v>0</v>
      </c>
      <c r="M662" s="940"/>
      <c r="N662" s="940"/>
      <c r="O662" s="940"/>
      <c r="P662" s="940">
        <f>CHADUData!X43</f>
        <v>0</v>
      </c>
      <c r="Q662" s="940"/>
      <c r="R662" s="940"/>
      <c r="S662" s="940">
        <f t="shared" si="13"/>
        <v>0</v>
      </c>
      <c r="T662" s="940"/>
      <c r="U662" s="940"/>
      <c r="V662" s="940"/>
      <c r="W662" s="871">
        <f>CHADUData!Z43</f>
        <v>0</v>
      </c>
      <c r="X662" s="871"/>
      <c r="Y662" s="518"/>
      <c r="Z662" s="518"/>
      <c r="AA662" s="518"/>
      <c r="AB662" s="518"/>
      <c r="AC662" s="518"/>
      <c r="AD662" s="518"/>
      <c r="AE662" s="518"/>
      <c r="AF662" s="518"/>
      <c r="AG662" s="518"/>
      <c r="AH662" s="518"/>
      <c r="AJ662" s="595" t="b">
        <f t="shared" si="14"/>
        <v>0</v>
      </c>
    </row>
    <row r="663" spans="1:36" hidden="1" x14ac:dyDescent="0.45">
      <c r="A663" s="518"/>
      <c r="B663" s="514" t="s">
        <v>1445</v>
      </c>
      <c r="C663" s="515"/>
      <c r="D663" s="515"/>
      <c r="E663" s="515"/>
      <c r="F663" s="516"/>
      <c r="G663" s="939">
        <f>CHADUData!V44</f>
        <v>0</v>
      </c>
      <c r="H663" s="1181"/>
      <c r="I663" s="1181" t="str">
        <f>IF(CHADUData!L44&gt;0,CHADUData!L44,"")</f>
        <v/>
      </c>
      <c r="J663" s="1181"/>
      <c r="K663" s="1181"/>
      <c r="L663" s="940">
        <f>CHADUData!W44</f>
        <v>0</v>
      </c>
      <c r="M663" s="940"/>
      <c r="N663" s="940"/>
      <c r="O663" s="940"/>
      <c r="P663" s="940">
        <f>CHADUData!X44</f>
        <v>0</v>
      </c>
      <c r="Q663" s="940"/>
      <c r="R663" s="940"/>
      <c r="S663" s="940">
        <f t="shared" si="13"/>
        <v>0</v>
      </c>
      <c r="T663" s="940"/>
      <c r="U663" s="940"/>
      <c r="V663" s="940"/>
      <c r="W663" s="871">
        <f>CHADUData!Z44</f>
        <v>0</v>
      </c>
      <c r="X663" s="871"/>
      <c r="Y663" s="518"/>
      <c r="Z663" s="518"/>
      <c r="AA663" s="518"/>
      <c r="AB663" s="518"/>
      <c r="AC663" s="518"/>
      <c r="AD663" s="518"/>
      <c r="AE663" s="518"/>
      <c r="AF663" s="518"/>
      <c r="AG663" s="518"/>
      <c r="AH663" s="518"/>
      <c r="AJ663" s="595" t="b">
        <f t="shared" si="14"/>
        <v>0</v>
      </c>
    </row>
    <row r="664" spans="1:36" hidden="1" x14ac:dyDescent="0.45">
      <c r="A664" s="518"/>
      <c r="B664" s="514" t="s">
        <v>1446</v>
      </c>
      <c r="C664" s="515"/>
      <c r="D664" s="515"/>
      <c r="E664" s="515"/>
      <c r="F664" s="516"/>
      <c r="G664" s="939">
        <f>CHADUData!V45</f>
        <v>0</v>
      </c>
      <c r="H664" s="1181"/>
      <c r="I664" s="1181" t="str">
        <f>IF(CHADUData!L45&gt;0,CHADUData!L45,"")</f>
        <v/>
      </c>
      <c r="J664" s="1181"/>
      <c r="K664" s="1181"/>
      <c r="L664" s="940">
        <f>CHADUData!W45</f>
        <v>0</v>
      </c>
      <c r="M664" s="940"/>
      <c r="N664" s="940"/>
      <c r="O664" s="940"/>
      <c r="P664" s="940">
        <f>CHADUData!X45</f>
        <v>0</v>
      </c>
      <c r="Q664" s="940"/>
      <c r="R664" s="940"/>
      <c r="S664" s="940">
        <f t="shared" si="13"/>
        <v>0</v>
      </c>
      <c r="T664" s="940"/>
      <c r="U664" s="940"/>
      <c r="V664" s="940"/>
      <c r="W664" s="871">
        <f>CHADUData!Z45</f>
        <v>0</v>
      </c>
      <c r="X664" s="871"/>
      <c r="Y664" s="518"/>
      <c r="Z664" s="518"/>
      <c r="AA664" s="518"/>
      <c r="AB664" s="518"/>
      <c r="AC664" s="518"/>
      <c r="AD664" s="518"/>
      <c r="AE664" s="518"/>
      <c r="AF664" s="518"/>
      <c r="AG664" s="518"/>
      <c r="AH664" s="518"/>
      <c r="AJ664" s="595" t="b">
        <f t="shared" si="14"/>
        <v>0</v>
      </c>
    </row>
    <row r="665" spans="1:36" hidden="1" x14ac:dyDescent="0.45">
      <c r="B665" s="514" t="s">
        <v>1447</v>
      </c>
      <c r="C665" s="515"/>
      <c r="D665" s="515"/>
      <c r="E665" s="515"/>
      <c r="F665" s="516"/>
      <c r="G665" s="939">
        <f>CHADUData!V46</f>
        <v>0</v>
      </c>
      <c r="H665" s="1181"/>
      <c r="I665" s="1181" t="str">
        <f>IF(CHADUData!L46&gt;0,CHADUData!L46,"")</f>
        <v/>
      </c>
      <c r="J665" s="1181"/>
      <c r="K665" s="1181"/>
      <c r="L665" s="940">
        <f>CHADUData!W46</f>
        <v>0</v>
      </c>
      <c r="M665" s="940"/>
      <c r="N665" s="940"/>
      <c r="O665" s="940"/>
      <c r="P665" s="940">
        <f>CHADUData!X46</f>
        <v>0</v>
      </c>
      <c r="Q665" s="940"/>
      <c r="R665" s="940"/>
      <c r="S665" s="940">
        <f t="shared" si="13"/>
        <v>0</v>
      </c>
      <c r="T665" s="940"/>
      <c r="U665" s="940"/>
      <c r="V665" s="940"/>
      <c r="W665" s="871">
        <f>CHADUData!Z46</f>
        <v>0</v>
      </c>
      <c r="X665" s="871"/>
      <c r="Y665" s="518"/>
      <c r="Z665" s="518"/>
      <c r="AA665" s="518"/>
      <c r="AB665" s="518"/>
      <c r="AC665" s="518"/>
      <c r="AD665" s="518"/>
      <c r="AE665" s="518"/>
      <c r="AF665" s="518"/>
      <c r="AG665" s="518"/>
      <c r="AH665" s="518"/>
      <c r="AJ665" s="595" t="b">
        <f t="shared" si="14"/>
        <v>0</v>
      </c>
    </row>
    <row r="666" spans="1:36" hidden="1" x14ac:dyDescent="0.45">
      <c r="B666" s="514" t="s">
        <v>1448</v>
      </c>
      <c r="C666" s="515"/>
      <c r="D666" s="515"/>
      <c r="E666" s="515"/>
      <c r="F666" s="516"/>
      <c r="G666" s="939">
        <f>CHADUData!V47</f>
        <v>0</v>
      </c>
      <c r="H666" s="1181"/>
      <c r="I666" s="1181" t="str">
        <f>IF(CHADUData!L47&gt;0,CHADUData!L47,"")</f>
        <v/>
      </c>
      <c r="J666" s="1181"/>
      <c r="K666" s="1181"/>
      <c r="L666" s="940">
        <f>CHADUData!W47</f>
        <v>0</v>
      </c>
      <c r="M666" s="940"/>
      <c r="N666" s="940"/>
      <c r="O666" s="940"/>
      <c r="P666" s="940">
        <f>CHADUData!X47</f>
        <v>0</v>
      </c>
      <c r="Q666" s="940"/>
      <c r="R666" s="940"/>
      <c r="S666" s="940">
        <f t="shared" si="13"/>
        <v>0</v>
      </c>
      <c r="T666" s="940"/>
      <c r="U666" s="940"/>
      <c r="V666" s="940"/>
      <c r="W666" s="871">
        <f>CHADUData!Z47</f>
        <v>0</v>
      </c>
      <c r="X666" s="871"/>
      <c r="Y666" s="518"/>
      <c r="Z666" s="518"/>
      <c r="AA666" s="518"/>
      <c r="AB666" s="518"/>
      <c r="AC666" s="518"/>
      <c r="AD666" s="518"/>
      <c r="AE666" s="518"/>
      <c r="AF666" s="518"/>
      <c r="AG666" s="518"/>
      <c r="AH666" s="518"/>
      <c r="AJ666" s="595" t="b">
        <f t="shared" si="14"/>
        <v>0</v>
      </c>
    </row>
    <row r="667" spans="1:36" hidden="1" x14ac:dyDescent="0.45">
      <c r="B667" s="514" t="s">
        <v>1449</v>
      </c>
      <c r="C667" s="515"/>
      <c r="D667" s="515"/>
      <c r="E667" s="515"/>
      <c r="F667" s="516"/>
      <c r="G667" s="939">
        <f>CHADUData!V48</f>
        <v>0</v>
      </c>
      <c r="H667" s="1181"/>
      <c r="I667" s="1181" t="str">
        <f>IF(CHADUData!L48&gt;0,CHADUData!L48,"")</f>
        <v/>
      </c>
      <c r="J667" s="1181"/>
      <c r="K667" s="1181"/>
      <c r="L667" s="940">
        <f>CHADUData!W48</f>
        <v>0</v>
      </c>
      <c r="M667" s="940"/>
      <c r="N667" s="940"/>
      <c r="O667" s="940"/>
      <c r="P667" s="940">
        <f>CHADUData!X48</f>
        <v>0</v>
      </c>
      <c r="Q667" s="940"/>
      <c r="R667" s="940"/>
      <c r="S667" s="940">
        <f t="shared" si="13"/>
        <v>0</v>
      </c>
      <c r="T667" s="940"/>
      <c r="U667" s="940"/>
      <c r="V667" s="940"/>
      <c r="W667" s="871">
        <f>CHADUData!Z48</f>
        <v>0</v>
      </c>
      <c r="X667" s="871"/>
      <c r="Y667" s="518"/>
      <c r="Z667" s="518"/>
      <c r="AA667" s="518"/>
      <c r="AB667" s="518"/>
      <c r="AC667" s="518"/>
      <c r="AD667" s="518"/>
      <c r="AE667" s="518"/>
      <c r="AF667" s="518"/>
      <c r="AG667" s="518"/>
      <c r="AH667" s="518"/>
      <c r="AJ667" s="595" t="b">
        <f t="shared" si="14"/>
        <v>0</v>
      </c>
    </row>
    <row r="668" spans="1:36" hidden="1" x14ac:dyDescent="0.45">
      <c r="B668" s="514" t="s">
        <v>1450</v>
      </c>
      <c r="C668" s="515"/>
      <c r="D668" s="515"/>
      <c r="E668" s="515"/>
      <c r="F668" s="516"/>
      <c r="G668" s="939">
        <f>CHADUData!V49</f>
        <v>0</v>
      </c>
      <c r="H668" s="1181"/>
      <c r="I668" s="1181" t="str">
        <f>IF(CHADUData!L49&gt;0,CHADUData!L49,"")</f>
        <v/>
      </c>
      <c r="J668" s="1181"/>
      <c r="K668" s="1181"/>
      <c r="L668" s="940">
        <f>CHADUData!W49</f>
        <v>0</v>
      </c>
      <c r="M668" s="940"/>
      <c r="N668" s="940"/>
      <c r="O668" s="940"/>
      <c r="P668" s="940">
        <f>CHADUData!X49</f>
        <v>0</v>
      </c>
      <c r="Q668" s="940"/>
      <c r="R668" s="940"/>
      <c r="S668" s="940">
        <f t="shared" si="13"/>
        <v>0</v>
      </c>
      <c r="T668" s="940"/>
      <c r="U668" s="940"/>
      <c r="V668" s="940"/>
      <c r="W668" s="871">
        <f>CHADUData!Z49</f>
        <v>0</v>
      </c>
      <c r="X668" s="871"/>
      <c r="Y668" s="518"/>
      <c r="Z668" s="518"/>
      <c r="AA668" s="518"/>
      <c r="AB668" s="518"/>
      <c r="AC668" s="518"/>
      <c r="AD668" s="518"/>
      <c r="AE668" s="518"/>
      <c r="AF668" s="518"/>
      <c r="AG668" s="518"/>
      <c r="AH668" s="518"/>
      <c r="AJ668" s="595" t="b">
        <f t="shared" si="14"/>
        <v>0</v>
      </c>
    </row>
    <row r="669" spans="1:36" hidden="1" x14ac:dyDescent="0.45">
      <c r="B669" s="514" t="s">
        <v>1451</v>
      </c>
      <c r="C669" s="515"/>
      <c r="D669" s="515"/>
      <c r="E669" s="515"/>
      <c r="F669" s="516"/>
      <c r="G669" s="939">
        <f>CHADUData!V50</f>
        <v>0</v>
      </c>
      <c r="H669" s="1181"/>
      <c r="I669" s="1181" t="str">
        <f>IF(CHADUData!L50&gt;0,CHADUData!L50,"")</f>
        <v/>
      </c>
      <c r="J669" s="1181"/>
      <c r="K669" s="1181"/>
      <c r="L669" s="940">
        <f>CHADUData!W50</f>
        <v>0</v>
      </c>
      <c r="M669" s="940"/>
      <c r="N669" s="940"/>
      <c r="O669" s="940"/>
      <c r="P669" s="940">
        <f>CHADUData!X50</f>
        <v>0</v>
      </c>
      <c r="Q669" s="940"/>
      <c r="R669" s="940"/>
      <c r="S669" s="940">
        <f t="shared" si="13"/>
        <v>0</v>
      </c>
      <c r="T669" s="940"/>
      <c r="U669" s="940"/>
      <c r="V669" s="940"/>
      <c r="W669" s="871">
        <f>CHADUData!Z50</f>
        <v>0</v>
      </c>
      <c r="X669" s="871"/>
      <c r="Y669" s="518"/>
      <c r="Z669" s="518"/>
      <c r="AA669" s="518"/>
      <c r="AB669" s="518"/>
      <c r="AC669" s="518"/>
      <c r="AD669" s="518"/>
      <c r="AE669" s="518"/>
      <c r="AF669" s="518"/>
      <c r="AG669" s="518"/>
      <c r="AH669" s="518"/>
      <c r="AJ669" s="595" t="b">
        <f t="shared" si="14"/>
        <v>0</v>
      </c>
    </row>
    <row r="670" spans="1:36" hidden="1" x14ac:dyDescent="0.45">
      <c r="B670" s="514" t="s">
        <v>1452</v>
      </c>
      <c r="C670" s="515"/>
      <c r="D670" s="515"/>
      <c r="E670" s="515"/>
      <c r="F670" s="516"/>
      <c r="G670" s="939">
        <f>CHADUData!V51</f>
        <v>0</v>
      </c>
      <c r="H670" s="1181"/>
      <c r="I670" s="1181" t="str">
        <f>IF(CHADUData!L51&gt;0,CHADUData!L51,"")</f>
        <v/>
      </c>
      <c r="J670" s="1181"/>
      <c r="K670" s="1181"/>
      <c r="L670" s="940">
        <f>CHADUData!W51</f>
        <v>0</v>
      </c>
      <c r="M670" s="940"/>
      <c r="N670" s="940"/>
      <c r="O670" s="940"/>
      <c r="P670" s="940">
        <f>CHADUData!X51</f>
        <v>0</v>
      </c>
      <c r="Q670" s="940"/>
      <c r="R670" s="940"/>
      <c r="S670" s="940">
        <f t="shared" si="13"/>
        <v>0</v>
      </c>
      <c r="T670" s="940"/>
      <c r="U670" s="940"/>
      <c r="V670" s="940"/>
      <c r="W670" s="871">
        <f>CHADUData!Z51</f>
        <v>0</v>
      </c>
      <c r="X670" s="871"/>
      <c r="Y670" s="518"/>
      <c r="Z670" s="518"/>
      <c r="AA670" s="518"/>
      <c r="AB670" s="518"/>
      <c r="AC670" s="518"/>
      <c r="AD670" s="518"/>
      <c r="AE670" s="518"/>
      <c r="AF670" s="518"/>
      <c r="AG670" s="518"/>
      <c r="AH670" s="518"/>
      <c r="AJ670" s="595" t="b">
        <f t="shared" si="14"/>
        <v>0</v>
      </c>
    </row>
    <row r="671" spans="1:36" hidden="1" x14ac:dyDescent="0.45">
      <c r="B671" s="514" t="s">
        <v>1453</v>
      </c>
      <c r="C671" s="515"/>
      <c r="D671" s="515"/>
      <c r="E671" s="515"/>
      <c r="F671" s="516"/>
      <c r="G671" s="939">
        <f>CHADUData!V52</f>
        <v>0</v>
      </c>
      <c r="H671" s="1181"/>
      <c r="I671" s="1181" t="str">
        <f>IF(CHADUData!L52&gt;0,CHADUData!L52,"")</f>
        <v/>
      </c>
      <c r="J671" s="1181"/>
      <c r="K671" s="1181"/>
      <c r="L671" s="940">
        <f>CHADUData!W52</f>
        <v>0</v>
      </c>
      <c r="M671" s="940"/>
      <c r="N671" s="940"/>
      <c r="O671" s="940"/>
      <c r="P671" s="940">
        <f>CHADUData!X52</f>
        <v>0</v>
      </c>
      <c r="Q671" s="940"/>
      <c r="R671" s="940"/>
      <c r="S671" s="940">
        <f t="shared" si="13"/>
        <v>0</v>
      </c>
      <c r="T671" s="940"/>
      <c r="U671" s="940"/>
      <c r="V671" s="940"/>
      <c r="W671" s="871">
        <f>CHADUData!Z52</f>
        <v>0</v>
      </c>
      <c r="X671" s="871"/>
      <c r="Y671" s="518"/>
      <c r="Z671" s="518"/>
      <c r="AA671" s="518"/>
      <c r="AB671" s="518"/>
      <c r="AC671" s="518"/>
      <c r="AD671" s="518"/>
      <c r="AE671" s="518"/>
      <c r="AF671" s="518"/>
      <c r="AG671" s="518"/>
      <c r="AH671" s="518"/>
      <c r="AJ671" s="595" t="b">
        <f t="shared" si="14"/>
        <v>0</v>
      </c>
    </row>
    <row r="672" spans="1:36" hidden="1" x14ac:dyDescent="0.45">
      <c r="B672" s="514" t="s">
        <v>1454</v>
      </c>
      <c r="C672" s="515"/>
      <c r="D672" s="515"/>
      <c r="E672" s="515"/>
      <c r="F672" s="516"/>
      <c r="G672" s="939">
        <f>CHADUData!V53</f>
        <v>0</v>
      </c>
      <c r="H672" s="1181"/>
      <c r="I672" s="1181" t="str">
        <f>IF(CHADUData!L53&gt;0,CHADUData!L53,"")</f>
        <v/>
      </c>
      <c r="J672" s="1181"/>
      <c r="K672" s="1181"/>
      <c r="L672" s="940">
        <f>CHADUData!W53</f>
        <v>0</v>
      </c>
      <c r="M672" s="940"/>
      <c r="N672" s="940"/>
      <c r="O672" s="940"/>
      <c r="P672" s="940">
        <f>CHADUData!X53</f>
        <v>0</v>
      </c>
      <c r="Q672" s="940"/>
      <c r="R672" s="940"/>
      <c r="S672" s="940">
        <f t="shared" si="13"/>
        <v>0</v>
      </c>
      <c r="T672" s="940"/>
      <c r="U672" s="940"/>
      <c r="V672" s="940"/>
      <c r="W672" s="871">
        <f>CHADUData!Z53</f>
        <v>0</v>
      </c>
      <c r="X672" s="871"/>
      <c r="Y672" s="518"/>
      <c r="Z672" s="518"/>
      <c r="AA672" s="518"/>
      <c r="AB672" s="518"/>
      <c r="AC672" s="518"/>
      <c r="AD672" s="518"/>
      <c r="AE672" s="518"/>
      <c r="AF672" s="518"/>
      <c r="AG672" s="518"/>
      <c r="AH672" s="518"/>
      <c r="AJ672" s="595" t="b">
        <f t="shared" si="14"/>
        <v>0</v>
      </c>
    </row>
    <row r="673" spans="1:36" hidden="1" x14ac:dyDescent="0.45">
      <c r="B673" s="514" t="s">
        <v>1455</v>
      </c>
      <c r="C673" s="515"/>
      <c r="D673" s="515"/>
      <c r="E673" s="515"/>
      <c r="F673" s="516"/>
      <c r="G673" s="939">
        <f>CHADUData!V54</f>
        <v>0</v>
      </c>
      <c r="H673" s="1181"/>
      <c r="I673" s="1181" t="str">
        <f>IF(CHADUData!L54&gt;0,CHADUData!L54,"")</f>
        <v/>
      </c>
      <c r="J673" s="1181"/>
      <c r="K673" s="1181"/>
      <c r="L673" s="940">
        <f>CHADUData!W54</f>
        <v>0</v>
      </c>
      <c r="M673" s="940"/>
      <c r="N673" s="940"/>
      <c r="O673" s="940"/>
      <c r="P673" s="940">
        <f>CHADUData!X54</f>
        <v>0</v>
      </c>
      <c r="Q673" s="940"/>
      <c r="R673" s="940"/>
      <c r="S673" s="940">
        <f t="shared" si="13"/>
        <v>0</v>
      </c>
      <c r="T673" s="940"/>
      <c r="U673" s="940"/>
      <c r="V673" s="940"/>
      <c r="W673" s="871">
        <f>CHADUData!Z54</f>
        <v>0</v>
      </c>
      <c r="X673" s="871"/>
      <c r="Y673" s="518"/>
      <c r="Z673" s="518"/>
      <c r="AA673" s="518"/>
      <c r="AB673" s="518"/>
      <c r="AC673" s="518"/>
      <c r="AD673" s="518"/>
      <c r="AE673" s="518"/>
      <c r="AF673" s="518"/>
      <c r="AG673" s="518"/>
      <c r="AH673" s="518"/>
      <c r="AJ673" s="595" t="b">
        <f t="shared" si="14"/>
        <v>0</v>
      </c>
    </row>
    <row r="674" spans="1:36" hidden="1" x14ac:dyDescent="0.45">
      <c r="B674" s="514" t="s">
        <v>1456</v>
      </c>
      <c r="C674" s="515"/>
      <c r="D674" s="515"/>
      <c r="E674" s="515"/>
      <c r="F674" s="516"/>
      <c r="G674" s="939">
        <f>CHADUData!V55</f>
        <v>0</v>
      </c>
      <c r="H674" s="1181"/>
      <c r="I674" s="1181" t="str">
        <f>IF(CHADUData!L55&gt;0,CHADUData!L55,"")</f>
        <v/>
      </c>
      <c r="J674" s="1181"/>
      <c r="K674" s="1181"/>
      <c r="L674" s="940">
        <f>CHADUData!W55</f>
        <v>0</v>
      </c>
      <c r="M674" s="940"/>
      <c r="N674" s="940"/>
      <c r="O674" s="940"/>
      <c r="P674" s="940">
        <f>CHADUData!X55</f>
        <v>0</v>
      </c>
      <c r="Q674" s="940"/>
      <c r="R674" s="940"/>
      <c r="S674" s="940">
        <f t="shared" si="13"/>
        <v>0</v>
      </c>
      <c r="T674" s="940"/>
      <c r="U674" s="940"/>
      <c r="V674" s="940"/>
      <c r="W674" s="871">
        <f>CHADUData!Z55</f>
        <v>0</v>
      </c>
      <c r="X674" s="871"/>
      <c r="Y674" s="518"/>
      <c r="Z674" s="518"/>
      <c r="AA674" s="518"/>
      <c r="AB674" s="518"/>
      <c r="AC674" s="518"/>
      <c r="AD674" s="518"/>
      <c r="AE674" s="518"/>
      <c r="AF674" s="518"/>
      <c r="AG674" s="518"/>
      <c r="AH674" s="518"/>
      <c r="AJ674" s="595" t="b">
        <f t="shared" si="14"/>
        <v>0</v>
      </c>
    </row>
    <row r="675" spans="1:36" hidden="1" x14ac:dyDescent="0.45">
      <c r="B675" s="514" t="s">
        <v>1457</v>
      </c>
      <c r="C675" s="515"/>
      <c r="D675" s="515"/>
      <c r="E675" s="515"/>
      <c r="F675" s="516"/>
      <c r="G675" s="939">
        <f>CHADUData!V56</f>
        <v>0</v>
      </c>
      <c r="H675" s="1181"/>
      <c r="I675" s="1181" t="str">
        <f>IF(CHADUData!L56&gt;0,CHADUData!L56,"")</f>
        <v/>
      </c>
      <c r="J675" s="1181"/>
      <c r="K675" s="1181"/>
      <c r="L675" s="940">
        <f>CHADUData!W56</f>
        <v>0</v>
      </c>
      <c r="M675" s="940"/>
      <c r="N675" s="940"/>
      <c r="O675" s="940"/>
      <c r="P675" s="940">
        <f>CHADUData!X56</f>
        <v>0</v>
      </c>
      <c r="Q675" s="940"/>
      <c r="R675" s="940"/>
      <c r="S675" s="940">
        <f t="shared" si="13"/>
        <v>0</v>
      </c>
      <c r="T675" s="940"/>
      <c r="U675" s="940"/>
      <c r="V675" s="940"/>
      <c r="W675" s="871">
        <f>CHADUData!Z56</f>
        <v>0</v>
      </c>
      <c r="X675" s="871"/>
      <c r="Y675" s="518"/>
      <c r="Z675" s="518"/>
      <c r="AA675" s="518"/>
      <c r="AB675" s="518"/>
      <c r="AC675" s="518"/>
      <c r="AD675" s="518"/>
      <c r="AE675" s="518"/>
      <c r="AF675" s="518"/>
      <c r="AG675" s="518"/>
      <c r="AH675" s="518"/>
      <c r="AJ675" s="595" t="b">
        <f t="shared" si="14"/>
        <v>0</v>
      </c>
    </row>
    <row r="676" spans="1:36" hidden="1" x14ac:dyDescent="0.45">
      <c r="B676" s="514" t="s">
        <v>1458</v>
      </c>
      <c r="C676" s="515"/>
      <c r="D676" s="515"/>
      <c r="E676" s="515"/>
      <c r="F676" s="516"/>
      <c r="G676" s="939">
        <f>CHADUData!V57</f>
        <v>0</v>
      </c>
      <c r="H676" s="1181"/>
      <c r="I676" s="1181" t="str">
        <f>IF(CHADUData!L57&gt;0,CHADUData!L57,"")</f>
        <v/>
      </c>
      <c r="J676" s="1181"/>
      <c r="K676" s="1181"/>
      <c r="L676" s="940">
        <f>CHADUData!W57</f>
        <v>0</v>
      </c>
      <c r="M676" s="940"/>
      <c r="N676" s="940"/>
      <c r="O676" s="940"/>
      <c r="P676" s="940">
        <f>CHADUData!X57</f>
        <v>0</v>
      </c>
      <c r="Q676" s="940"/>
      <c r="R676" s="940"/>
      <c r="S676" s="940">
        <f t="shared" si="13"/>
        <v>0</v>
      </c>
      <c r="T676" s="940"/>
      <c r="U676" s="940"/>
      <c r="V676" s="940"/>
      <c r="W676" s="871">
        <f>CHADUData!Z57</f>
        <v>0</v>
      </c>
      <c r="X676" s="871"/>
      <c r="Y676" s="518"/>
      <c r="Z676" s="518"/>
      <c r="AA676" s="518"/>
      <c r="AB676" s="518"/>
      <c r="AC676" s="518"/>
      <c r="AD676" s="518"/>
      <c r="AE676" s="518"/>
      <c r="AF676" s="518"/>
      <c r="AG676" s="518"/>
      <c r="AH676" s="518"/>
      <c r="AJ676" s="595" t="b">
        <f t="shared" si="14"/>
        <v>0</v>
      </c>
    </row>
    <row r="677" spans="1:36" hidden="1" x14ac:dyDescent="0.45">
      <c r="B677" s="514" t="s">
        <v>1459</v>
      </c>
      <c r="C677" s="515"/>
      <c r="D677" s="515"/>
      <c r="E677" s="515"/>
      <c r="F677" s="516"/>
      <c r="G677" s="939">
        <f>CHADUData!V58</f>
        <v>0</v>
      </c>
      <c r="H677" s="1181"/>
      <c r="I677" s="1181" t="str">
        <f>IF(CHADUData!L58&gt;0,CHADUData!L58,"")</f>
        <v/>
      </c>
      <c r="J677" s="1181"/>
      <c r="K677" s="1181"/>
      <c r="L677" s="940">
        <f>CHADUData!W58</f>
        <v>0</v>
      </c>
      <c r="M677" s="940"/>
      <c r="N677" s="940"/>
      <c r="O677" s="940"/>
      <c r="P677" s="940">
        <f>CHADUData!X58</f>
        <v>0</v>
      </c>
      <c r="Q677" s="940"/>
      <c r="R677" s="940"/>
      <c r="S677" s="940">
        <f t="shared" si="13"/>
        <v>0</v>
      </c>
      <c r="T677" s="940"/>
      <c r="U677" s="940"/>
      <c r="V677" s="940"/>
      <c r="W677" s="871">
        <f>CHADUData!Z58</f>
        <v>0</v>
      </c>
      <c r="X677" s="871"/>
      <c r="Y677" s="518"/>
      <c r="Z677" s="518"/>
      <c r="AA677" s="518"/>
      <c r="AB677" s="518"/>
      <c r="AC677" s="518"/>
      <c r="AD677" s="518"/>
      <c r="AE677" s="518"/>
      <c r="AF677" s="518"/>
      <c r="AG677" s="518"/>
      <c r="AH677" s="518"/>
      <c r="AJ677" s="595" t="b">
        <f t="shared" si="14"/>
        <v>0</v>
      </c>
    </row>
    <row r="678" spans="1:36" hidden="1" x14ac:dyDescent="0.45">
      <c r="A678" s="518"/>
      <c r="B678" s="514" t="s">
        <v>1460</v>
      </c>
      <c r="C678" s="515"/>
      <c r="D678" s="515"/>
      <c r="E678" s="515"/>
      <c r="F678" s="516"/>
      <c r="G678" s="939">
        <f>CHADUData!V59</f>
        <v>0</v>
      </c>
      <c r="H678" s="1181"/>
      <c r="I678" s="1181" t="str">
        <f>IF(CHADUData!L59&gt;0,CHADUData!L59,"")</f>
        <v/>
      </c>
      <c r="J678" s="1181"/>
      <c r="K678" s="1181"/>
      <c r="L678" s="940">
        <f>CHADUData!W59</f>
        <v>0</v>
      </c>
      <c r="M678" s="940"/>
      <c r="N678" s="940"/>
      <c r="O678" s="940"/>
      <c r="P678" s="940">
        <f>CHADUData!X59</f>
        <v>0</v>
      </c>
      <c r="Q678" s="940"/>
      <c r="R678" s="940"/>
      <c r="S678" s="940">
        <f t="shared" si="13"/>
        <v>0</v>
      </c>
      <c r="T678" s="940"/>
      <c r="U678" s="940"/>
      <c r="V678" s="940"/>
      <c r="W678" s="871">
        <f>CHADUData!Z59</f>
        <v>0</v>
      </c>
      <c r="X678" s="871"/>
      <c r="Y678" s="518"/>
      <c r="Z678" s="518"/>
      <c r="AA678" s="518"/>
      <c r="AB678" s="518"/>
      <c r="AC678" s="518"/>
      <c r="AD678" s="518"/>
      <c r="AE678" s="518"/>
      <c r="AF678" s="518"/>
      <c r="AG678" s="518"/>
      <c r="AH678" s="518"/>
      <c r="AJ678" s="595" t="b">
        <f t="shared" si="14"/>
        <v>0</v>
      </c>
    </row>
    <row r="679" spans="1:36" hidden="1" x14ac:dyDescent="0.45">
      <c r="A679" s="518"/>
      <c r="B679" s="514" t="s">
        <v>1461</v>
      </c>
      <c r="C679" s="515"/>
      <c r="D679" s="515"/>
      <c r="E679" s="515"/>
      <c r="F679" s="516"/>
      <c r="G679" s="939">
        <f>CHADUData!V60</f>
        <v>0</v>
      </c>
      <c r="H679" s="1181"/>
      <c r="I679" s="1181" t="str">
        <f>IF(CHADUData!L60&gt;0,CHADUData!L60,"")</f>
        <v/>
      </c>
      <c r="J679" s="1181"/>
      <c r="K679" s="1181"/>
      <c r="L679" s="940">
        <f>CHADUData!W60</f>
        <v>0</v>
      </c>
      <c r="M679" s="940"/>
      <c r="N679" s="940"/>
      <c r="O679" s="940"/>
      <c r="P679" s="940">
        <f>CHADUData!X60</f>
        <v>0</v>
      </c>
      <c r="Q679" s="940"/>
      <c r="R679" s="940"/>
      <c r="S679" s="940">
        <f t="shared" si="13"/>
        <v>0</v>
      </c>
      <c r="T679" s="940"/>
      <c r="U679" s="940"/>
      <c r="V679" s="940"/>
      <c r="W679" s="871">
        <f>CHADUData!Z60</f>
        <v>0</v>
      </c>
      <c r="X679" s="871"/>
      <c r="Y679" s="518"/>
      <c r="Z679" s="518"/>
      <c r="AA679" s="518"/>
      <c r="AB679" s="518"/>
      <c r="AC679" s="518"/>
      <c r="AD679" s="518"/>
      <c r="AE679" s="518"/>
      <c r="AF679" s="518"/>
      <c r="AG679" s="518"/>
      <c r="AH679" s="518"/>
      <c r="AJ679" s="595" t="b">
        <f t="shared" si="14"/>
        <v>0</v>
      </c>
    </row>
    <row r="680" spans="1:36" hidden="1" x14ac:dyDescent="0.45">
      <c r="A680" s="518"/>
      <c r="B680" s="518"/>
      <c r="C680" s="518"/>
      <c r="D680" s="518"/>
      <c r="E680" s="518"/>
      <c r="F680" s="518"/>
      <c r="G680" s="518"/>
      <c r="H680" s="518"/>
      <c r="I680" s="518"/>
      <c r="J680" s="518"/>
      <c r="K680" s="518"/>
      <c r="L680" s="518"/>
      <c r="M680" s="518"/>
      <c r="N680" s="518"/>
      <c r="O680" s="518"/>
      <c r="P680" s="518"/>
      <c r="Q680" s="518"/>
      <c r="R680" s="518"/>
      <c r="S680" s="518"/>
      <c r="T680" s="518"/>
      <c r="U680" s="518"/>
      <c r="V680" s="518"/>
      <c r="W680" s="518"/>
      <c r="X680" s="518"/>
      <c r="Y680" s="518"/>
      <c r="Z680" s="518"/>
      <c r="AA680" s="518"/>
      <c r="AB680" s="518"/>
      <c r="AC680" s="518"/>
      <c r="AD680" s="518"/>
      <c r="AE680" s="518"/>
      <c r="AF680" s="518"/>
      <c r="AG680" s="518"/>
      <c r="AH680" s="518"/>
      <c r="AJ680" s="595" t="b">
        <f>AJ616</f>
        <v>0</v>
      </c>
    </row>
    <row r="681" spans="1:36" hidden="1" x14ac:dyDescent="0.45">
      <c r="A681" s="518"/>
      <c r="B681" s="917" t="s">
        <v>173</v>
      </c>
      <c r="C681" s="918"/>
      <c r="D681" s="918"/>
      <c r="E681" s="918"/>
      <c r="F681" s="918"/>
      <c r="G681" s="918"/>
      <c r="H681" s="919">
        <f>CH_ADU_RuralTotalRequested</f>
        <v>0</v>
      </c>
      <c r="I681" s="920"/>
      <c r="J681" s="920"/>
      <c r="K681" s="920"/>
      <c r="L681" s="920"/>
      <c r="M681" s="920"/>
      <c r="N681" s="921"/>
      <c r="O681" s="518"/>
      <c r="P681" s="518"/>
      <c r="Q681" s="518"/>
      <c r="R681" s="518"/>
      <c r="S681" s="518"/>
      <c r="T681" s="518"/>
      <c r="U681" s="518"/>
      <c r="V681" s="518"/>
      <c r="W681" s="518"/>
      <c r="X681" s="518"/>
      <c r="Y681" s="518"/>
      <c r="Z681" s="518"/>
      <c r="AA681" s="518"/>
      <c r="AB681" s="518"/>
      <c r="AC681" s="518"/>
      <c r="AD681" s="518"/>
      <c r="AE681" s="518"/>
      <c r="AF681" s="518"/>
      <c r="AG681" s="518"/>
      <c r="AH681" s="518"/>
      <c r="AJ681" s="595"/>
    </row>
    <row r="682" spans="1:36" hidden="1" x14ac:dyDescent="0.45">
      <c r="A682" s="518"/>
      <c r="B682" s="518"/>
      <c r="C682" s="518"/>
      <c r="D682" s="518"/>
      <c r="E682" s="518"/>
      <c r="F682" s="518"/>
      <c r="G682" s="518"/>
      <c r="H682" s="518"/>
      <c r="I682" s="518"/>
      <c r="J682" s="518"/>
      <c r="K682" s="518"/>
      <c r="L682" s="518"/>
      <c r="M682" s="518"/>
      <c r="N682" s="518"/>
      <c r="O682" s="518"/>
      <c r="P682" s="518"/>
      <c r="Q682" s="518"/>
      <c r="R682" s="518"/>
      <c r="S682" s="518"/>
      <c r="T682" s="518"/>
      <c r="U682" s="518"/>
      <c r="V682" s="518"/>
      <c r="W682" s="518"/>
      <c r="X682" s="518"/>
      <c r="Y682" s="518"/>
      <c r="Z682" s="518"/>
      <c r="AA682" s="518"/>
      <c r="AB682" s="518"/>
      <c r="AC682" s="518"/>
      <c r="AD682" s="518"/>
      <c r="AE682" s="518"/>
      <c r="AF682" s="518"/>
      <c r="AG682" s="518"/>
      <c r="AH682" s="518"/>
      <c r="AJ682" s="595"/>
    </row>
    <row r="683" spans="1:36" hidden="1" x14ac:dyDescent="0.45">
      <c r="A683" s="518"/>
      <c r="B683" s="518" t="s">
        <v>1854</v>
      </c>
      <c r="C683" s="518"/>
      <c r="D683" s="518"/>
      <c r="E683" s="518"/>
      <c r="F683" s="518"/>
      <c r="G683" s="518"/>
      <c r="H683" s="518"/>
      <c r="I683" s="518"/>
      <c r="J683" s="518"/>
      <c r="K683" s="518"/>
      <c r="L683" s="518"/>
      <c r="M683" s="518"/>
      <c r="N683" s="518"/>
      <c r="O683" s="518"/>
      <c r="P683" s="518"/>
      <c r="Q683" s="518"/>
      <c r="R683" s="518"/>
      <c r="S683" s="518"/>
      <c r="T683" s="518"/>
      <c r="U683" s="518"/>
      <c r="V683" s="518"/>
      <c r="W683" s="518"/>
      <c r="X683" s="518"/>
      <c r="Y683" s="518"/>
      <c r="Z683" s="518"/>
      <c r="AA683" s="518"/>
      <c r="AB683" s="518"/>
      <c r="AC683" s="518"/>
      <c r="AD683" s="518"/>
      <c r="AE683" s="518"/>
      <c r="AF683" s="518"/>
      <c r="AG683" s="518"/>
      <c r="AH683" s="518"/>
      <c r="AJ683" s="595"/>
    </row>
    <row r="684" spans="1:36" hidden="1" x14ac:dyDescent="0.45">
      <c r="A684" s="518"/>
      <c r="B684" s="922" t="s">
        <v>174</v>
      </c>
      <c r="C684" s="922"/>
      <c r="D684" s="922"/>
      <c r="E684" s="922"/>
      <c r="F684" s="922"/>
      <c r="G684" s="922"/>
      <c r="H684" s="922"/>
      <c r="I684" s="922"/>
      <c r="J684" s="922"/>
      <c r="K684" s="922"/>
      <c r="L684" s="922"/>
      <c r="M684" s="922"/>
      <c r="N684" s="922"/>
      <c r="O684" s="878"/>
      <c r="P684" s="879"/>
      <c r="Q684" s="880"/>
      <c r="R684" s="518"/>
      <c r="S684" s="518"/>
      <c r="T684" s="518"/>
      <c r="U684" s="518"/>
      <c r="V684" s="518"/>
      <c r="W684" s="518"/>
      <c r="X684" s="518"/>
      <c r="Y684" s="518"/>
      <c r="Z684" s="518"/>
      <c r="AA684" s="518"/>
      <c r="AB684" s="518"/>
      <c r="AC684" s="518"/>
      <c r="AD684" s="518"/>
      <c r="AE684" s="518"/>
      <c r="AF684" s="518"/>
      <c r="AG684" s="518"/>
      <c r="AH684" s="518"/>
      <c r="AJ684" s="595"/>
    </row>
    <row r="685" spans="1:36" hidden="1" x14ac:dyDescent="0.45">
      <c r="A685" s="518"/>
      <c r="B685" s="922" t="s">
        <v>175</v>
      </c>
      <c r="C685" s="922"/>
      <c r="D685" s="922"/>
      <c r="E685" s="922"/>
      <c r="F685" s="922"/>
      <c r="G685" s="922"/>
      <c r="H685" s="922"/>
      <c r="I685" s="922"/>
      <c r="J685" s="922"/>
      <c r="K685" s="922"/>
      <c r="L685" s="922"/>
      <c r="M685" s="922"/>
      <c r="N685" s="922"/>
      <c r="O685" s="878"/>
      <c r="P685" s="879"/>
      <c r="Q685" s="880"/>
      <c r="R685" s="518"/>
      <c r="S685" s="518"/>
      <c r="T685" s="518"/>
      <c r="U685" s="518"/>
      <c r="V685" s="518"/>
      <c r="W685" s="518"/>
      <c r="X685" s="518"/>
      <c r="Y685" s="518"/>
      <c r="Z685" s="518"/>
      <c r="AA685" s="518"/>
      <c r="AB685" s="518"/>
      <c r="AC685" s="518"/>
      <c r="AD685" s="518"/>
      <c r="AE685" s="518"/>
      <c r="AF685" s="518"/>
      <c r="AG685" s="518"/>
      <c r="AH685" s="518"/>
      <c r="AJ685" s="595"/>
    </row>
    <row r="686" spans="1:36" hidden="1" x14ac:dyDescent="0.45">
      <c r="A686" s="518"/>
      <c r="B686" s="922" t="s">
        <v>176</v>
      </c>
      <c r="C686" s="922"/>
      <c r="D686" s="922"/>
      <c r="E686" s="922"/>
      <c r="F686" s="922"/>
      <c r="G686" s="922"/>
      <c r="H686" s="922"/>
      <c r="I686" s="922"/>
      <c r="J686" s="922"/>
      <c r="K686" s="922"/>
      <c r="L686" s="922"/>
      <c r="M686" s="922"/>
      <c r="N686" s="922"/>
      <c r="O686" s="878"/>
      <c r="P686" s="879"/>
      <c r="Q686" s="880"/>
      <c r="R686" s="518"/>
      <c r="S686" s="518"/>
      <c r="T686" s="518"/>
      <c r="U686" s="518"/>
      <c r="V686" s="518"/>
      <c r="W686" s="518"/>
      <c r="X686" s="518"/>
      <c r="Y686" s="518"/>
      <c r="Z686" s="518"/>
      <c r="AA686" s="518"/>
      <c r="AB686" s="518"/>
      <c r="AC686" s="518"/>
      <c r="AD686" s="518"/>
      <c r="AE686" s="518"/>
      <c r="AF686" s="518"/>
      <c r="AG686" s="518"/>
      <c r="AH686" s="518"/>
      <c r="AJ686" s="595"/>
    </row>
    <row r="687" spans="1:36" hidden="1" x14ac:dyDescent="0.45">
      <c r="A687" s="518"/>
      <c r="B687" s="922" t="s">
        <v>177</v>
      </c>
      <c r="C687" s="922"/>
      <c r="D687" s="922"/>
      <c r="E687" s="922"/>
      <c r="F687" s="922"/>
      <c r="G687" s="922"/>
      <c r="H687" s="922"/>
      <c r="I687" s="922"/>
      <c r="J687" s="922"/>
      <c r="K687" s="922"/>
      <c r="L687" s="922"/>
      <c r="M687" s="922"/>
      <c r="N687" s="922"/>
      <c r="O687" s="878"/>
      <c r="P687" s="879"/>
      <c r="Q687" s="880"/>
      <c r="R687" s="518"/>
      <c r="S687" s="518"/>
      <c r="T687" s="518"/>
      <c r="U687" s="518"/>
      <c r="V687" s="518"/>
      <c r="W687" s="518"/>
      <c r="X687" s="518"/>
      <c r="Y687" s="518"/>
      <c r="Z687" s="518"/>
      <c r="AA687" s="518"/>
      <c r="AB687" s="518"/>
      <c r="AC687" s="518"/>
      <c r="AD687" s="518"/>
      <c r="AE687" s="518"/>
      <c r="AF687" s="518"/>
      <c r="AG687" s="518"/>
      <c r="AH687" s="518"/>
      <c r="AJ687" s="595"/>
    </row>
    <row r="688" spans="1:36" hidden="1" x14ac:dyDescent="0.45">
      <c r="A688" s="518"/>
      <c r="B688" s="1223" t="s">
        <v>178</v>
      </c>
      <c r="C688" s="1223"/>
      <c r="D688" s="1223"/>
      <c r="E688" s="1223"/>
      <c r="F688" s="1223"/>
      <c r="G688" s="1223"/>
      <c r="H688" s="1223"/>
      <c r="I688" s="1223"/>
      <c r="J688" s="1223"/>
      <c r="K688" s="1223"/>
      <c r="L688" s="1223"/>
      <c r="M688" s="1223"/>
      <c r="N688" s="1223"/>
      <c r="O688" s="882" t="s">
        <v>195</v>
      </c>
      <c r="P688" s="883"/>
      <c r="Q688" s="884"/>
      <c r="R688" s="518"/>
      <c r="S688" s="518"/>
      <c r="T688" s="518"/>
      <c r="U688" s="518"/>
      <c r="V688" s="518"/>
      <c r="W688" s="518"/>
      <c r="X688" s="518"/>
      <c r="Y688" s="518"/>
      <c r="Z688" s="518"/>
      <c r="AA688" s="518"/>
      <c r="AB688" s="518"/>
      <c r="AC688" s="518"/>
      <c r="AD688" s="518"/>
      <c r="AE688" s="518"/>
      <c r="AF688" s="518"/>
      <c r="AG688" s="518"/>
      <c r="AH688" s="518"/>
      <c r="AJ688" s="595"/>
    </row>
    <row r="689" spans="1:37" hidden="1" x14ac:dyDescent="0.45">
      <c r="A689" s="518"/>
      <c r="B689" s="922" t="s">
        <v>179</v>
      </c>
      <c r="C689" s="922"/>
      <c r="D689" s="922"/>
      <c r="E689" s="922"/>
      <c r="F689" s="922"/>
      <c r="G689" s="922"/>
      <c r="H689" s="922"/>
      <c r="I689" s="922"/>
      <c r="J689" s="922"/>
      <c r="K689" s="922"/>
      <c r="L689" s="922"/>
      <c r="M689" s="922"/>
      <c r="N689" s="922"/>
      <c r="O689" s="878"/>
      <c r="P689" s="879"/>
      <c r="Q689" s="880"/>
      <c r="R689" s="518"/>
      <c r="S689" s="518"/>
      <c r="T689" s="518"/>
      <c r="U689" s="518"/>
      <c r="V689" s="518"/>
      <c r="W689" s="518"/>
      <c r="X689" s="518"/>
      <c r="Y689" s="518"/>
      <c r="Z689" s="518"/>
      <c r="AA689" s="518"/>
      <c r="AB689" s="518"/>
      <c r="AC689" s="518"/>
      <c r="AD689" s="518"/>
      <c r="AE689" s="518"/>
      <c r="AF689" s="518"/>
      <c r="AG689" s="518"/>
      <c r="AH689" s="518"/>
      <c r="AJ689" s="595"/>
    </row>
    <row r="690" spans="1:37" hidden="1" x14ac:dyDescent="0.45">
      <c r="A690" s="518"/>
      <c r="B690" s="922" t="s">
        <v>180</v>
      </c>
      <c r="C690" s="922"/>
      <c r="D690" s="922"/>
      <c r="E690" s="922"/>
      <c r="F690" s="922"/>
      <c r="G690" s="922"/>
      <c r="H690" s="922"/>
      <c r="I690" s="922"/>
      <c r="J690" s="922"/>
      <c r="K690" s="922"/>
      <c r="L690" s="922"/>
      <c r="M690" s="922"/>
      <c r="N690" s="922"/>
      <c r="O690" s="878"/>
      <c r="P690" s="879"/>
      <c r="Q690" s="880"/>
      <c r="R690" s="518"/>
      <c r="S690" s="518"/>
      <c r="T690" s="518"/>
      <c r="U690" s="518"/>
      <c r="V690" s="518"/>
      <c r="W690" s="518"/>
      <c r="X690" s="518"/>
      <c r="Y690" s="518"/>
      <c r="Z690" s="518"/>
      <c r="AA690" s="518"/>
      <c r="AB690" s="518"/>
      <c r="AC690" s="518"/>
      <c r="AD690" s="518"/>
      <c r="AE690" s="518"/>
      <c r="AF690" s="518"/>
      <c r="AG690" s="518"/>
      <c r="AH690" s="518"/>
      <c r="AJ690" s="595"/>
    </row>
    <row r="691" spans="1:37" hidden="1" x14ac:dyDescent="0.45">
      <c r="A691" s="518"/>
      <c r="B691" s="916" t="s">
        <v>181</v>
      </c>
      <c r="C691" s="916"/>
      <c r="D691" s="916"/>
      <c r="E691" s="916"/>
      <c r="F691" s="916"/>
      <c r="G691" s="916"/>
      <c r="H691" s="916"/>
      <c r="I691" s="916"/>
      <c r="J691" s="916"/>
      <c r="K691" s="916"/>
      <c r="L691" s="916"/>
      <c r="M691" s="916"/>
      <c r="N691" s="916"/>
      <c r="O691" s="927"/>
      <c r="P691" s="928"/>
      <c r="Q691" s="929"/>
      <c r="R691" s="518"/>
      <c r="S691" s="518"/>
      <c r="T691" s="518"/>
      <c r="U691" s="518"/>
      <c r="V691" s="518"/>
      <c r="W691" s="518"/>
      <c r="X691" s="518"/>
      <c r="Y691" s="518"/>
      <c r="Z691" s="518"/>
      <c r="AA691" s="518"/>
      <c r="AB691" s="518"/>
      <c r="AC691" s="518"/>
      <c r="AD691" s="518"/>
      <c r="AE691" s="518"/>
      <c r="AF691" s="518"/>
      <c r="AG691" s="518"/>
      <c r="AH691" s="518"/>
      <c r="AJ691" s="595"/>
    </row>
    <row r="692" spans="1:37" hidden="1" x14ac:dyDescent="0.45">
      <c r="A692" s="518"/>
      <c r="B692" s="930" t="s">
        <v>182</v>
      </c>
      <c r="C692" s="930"/>
      <c r="D692" s="930"/>
      <c r="E692" s="930"/>
      <c r="F692" s="930"/>
      <c r="G692" s="930"/>
      <c r="H692" s="930"/>
      <c r="I692" s="930"/>
      <c r="J692" s="930"/>
      <c r="K692" s="930"/>
      <c r="L692" s="930"/>
      <c r="M692" s="930"/>
      <c r="N692" s="930"/>
      <c r="O692" s="878">
        <f>SUM(O684:Q690)-O691</f>
        <v>0</v>
      </c>
      <c r="P692" s="879"/>
      <c r="Q692" s="880"/>
      <c r="R692" s="518"/>
      <c r="S692" s="518"/>
      <c r="T692" s="518"/>
      <c r="U692" s="518"/>
      <c r="V692" s="518"/>
      <c r="W692" s="518"/>
      <c r="X692" s="518"/>
      <c r="Y692" s="518"/>
      <c r="Z692" s="518"/>
      <c r="AA692" s="518"/>
      <c r="AB692" s="518"/>
      <c r="AC692" s="518"/>
      <c r="AD692" s="518"/>
      <c r="AE692" s="518"/>
      <c r="AF692" s="518"/>
      <c r="AG692" s="518"/>
      <c r="AH692" s="518"/>
      <c r="AJ692" s="595"/>
    </row>
    <row r="693" spans="1:37" hidden="1" x14ac:dyDescent="0.45">
      <c r="A693" s="518"/>
      <c r="B693" s="517"/>
      <c r="C693" s="517"/>
      <c r="D693" s="517"/>
      <c r="E693" s="517"/>
      <c r="F693" s="517"/>
      <c r="G693" s="517"/>
      <c r="H693" s="517"/>
      <c r="I693" s="517"/>
      <c r="J693" s="517"/>
      <c r="K693" s="517"/>
      <c r="L693" s="517"/>
      <c r="M693" s="517"/>
      <c r="N693" s="517"/>
      <c r="O693" s="532"/>
      <c r="P693" s="532"/>
      <c r="Q693" s="532"/>
      <c r="R693" s="518"/>
      <c r="S693" s="533"/>
      <c r="T693" s="533"/>
      <c r="U693" s="533"/>
      <c r="V693" s="533"/>
      <c r="W693" s="533"/>
      <c r="X693" s="533"/>
      <c r="Y693" s="533"/>
      <c r="Z693" s="533"/>
      <c r="AA693" s="533"/>
      <c r="AB693" s="533"/>
      <c r="AC693" s="533"/>
      <c r="AD693" s="533"/>
      <c r="AE693" s="533"/>
      <c r="AF693" s="533"/>
      <c r="AG693" s="533"/>
      <c r="AH693" s="518"/>
      <c r="AJ693" s="595"/>
    </row>
    <row r="694" spans="1:37" ht="200.15" hidden="1" customHeight="1" x14ac:dyDescent="0.45">
      <c r="A694" s="518"/>
      <c r="B694" s="926" t="s">
        <v>183</v>
      </c>
      <c r="C694" s="926"/>
      <c r="D694" s="926"/>
      <c r="E694" s="926"/>
      <c r="F694" s="926"/>
      <c r="G694" s="926"/>
      <c r="H694" s="926"/>
      <c r="I694" s="926"/>
      <c r="J694" s="926"/>
      <c r="K694" s="926"/>
      <c r="L694" s="926"/>
      <c r="M694" s="926"/>
      <c r="N694" s="926"/>
      <c r="O694" s="926"/>
      <c r="P694" s="926"/>
      <c r="Q694" s="926"/>
      <c r="R694" s="926"/>
      <c r="S694" s="926"/>
      <c r="T694" s="926"/>
      <c r="U694" s="926"/>
      <c r="V694" s="926"/>
      <c r="W694" s="926"/>
      <c r="X694" s="926"/>
      <c r="Y694" s="926"/>
      <c r="Z694" s="926"/>
      <c r="AA694" s="926"/>
      <c r="AB694" s="926"/>
      <c r="AC694" s="926"/>
      <c r="AD694" s="926"/>
      <c r="AE694" s="926"/>
      <c r="AF694" s="926"/>
      <c r="AG694" s="926"/>
      <c r="AH694" s="518"/>
      <c r="AJ694" s="595"/>
    </row>
    <row r="695" spans="1:37" hidden="1" x14ac:dyDescent="0.45">
      <c r="A695" s="518"/>
      <c r="B695" s="518"/>
      <c r="C695" s="518"/>
      <c r="D695" s="518"/>
      <c r="E695" s="518"/>
      <c r="F695" s="518"/>
      <c r="G695" s="518"/>
      <c r="H695" s="518"/>
      <c r="I695" s="518"/>
      <c r="J695" s="518"/>
      <c r="K695" s="518"/>
      <c r="L695" s="518"/>
      <c r="M695" s="518"/>
      <c r="N695" s="518"/>
      <c r="O695" s="518"/>
      <c r="P695" s="518"/>
      <c r="Q695" s="518"/>
      <c r="R695" s="518"/>
      <c r="S695" s="518"/>
      <c r="T695" s="518"/>
      <c r="U695" s="518"/>
      <c r="V695" s="518"/>
      <c r="W695" s="518"/>
      <c r="X695" s="518"/>
      <c r="Y695" s="518"/>
      <c r="Z695" s="518"/>
      <c r="AA695" s="518"/>
      <c r="AB695" s="518"/>
      <c r="AC695" s="518"/>
      <c r="AD695" s="518"/>
      <c r="AE695" s="518"/>
      <c r="AF695" s="518"/>
      <c r="AG695" s="518"/>
      <c r="AH695" s="518"/>
      <c r="AJ695" s="595"/>
    </row>
    <row r="696" spans="1:37" hidden="1" x14ac:dyDescent="0.45">
      <c r="A696" s="518"/>
      <c r="B696" s="518"/>
      <c r="C696" s="518"/>
      <c r="D696" s="518"/>
      <c r="E696" s="518"/>
      <c r="F696" s="518"/>
      <c r="G696" s="518"/>
      <c r="H696" s="518"/>
      <c r="I696" s="518"/>
      <c r="J696" s="518"/>
      <c r="K696" s="518"/>
      <c r="L696" s="518"/>
      <c r="M696" s="518"/>
      <c r="N696" s="518"/>
      <c r="O696" s="518"/>
      <c r="P696" s="518"/>
      <c r="Q696" s="518"/>
      <c r="R696" s="518"/>
      <c r="S696" s="518"/>
      <c r="T696" s="518"/>
      <c r="U696" s="518"/>
      <c r="V696" s="518"/>
      <c r="W696" s="518"/>
      <c r="X696" s="518"/>
      <c r="Y696" s="518"/>
      <c r="Z696" s="518"/>
      <c r="AA696" s="518"/>
      <c r="AB696" s="518"/>
      <c r="AC696" s="518"/>
      <c r="AD696" s="518"/>
      <c r="AE696" s="518"/>
      <c r="AF696" s="518"/>
      <c r="AG696" s="518"/>
      <c r="AH696" s="518"/>
      <c r="AJ696" s="595" t="b">
        <f>AND(
APP_ApplyingForCalHome="Yes",
CH_ER_EligibleApplicant,
CH_OOR_CompletionStatus="Final/Complete")</f>
        <v>0</v>
      </c>
      <c r="AK696" s="462" t="s">
        <v>1478</v>
      </c>
    </row>
    <row r="697" spans="1:37" hidden="1" x14ac:dyDescent="0.45">
      <c r="A697" s="518"/>
      <c r="B697" s="907" t="s">
        <v>196</v>
      </c>
      <c r="C697" s="907"/>
      <c r="D697" s="907"/>
      <c r="E697" s="907"/>
      <c r="F697" s="907"/>
      <c r="G697" s="907"/>
      <c r="H697" s="907"/>
      <c r="I697" s="907"/>
      <c r="J697" s="907"/>
      <c r="K697" s="907"/>
      <c r="L697" s="907"/>
      <c r="M697" s="907"/>
      <c r="N697" s="907"/>
      <c r="O697" s="907"/>
      <c r="P697" s="907"/>
      <c r="Q697" s="907"/>
      <c r="R697" s="907"/>
      <c r="S697" s="907"/>
      <c r="T697" s="907"/>
      <c r="U697" s="907"/>
      <c r="V697" s="907"/>
      <c r="W697" s="907"/>
      <c r="X697" s="907"/>
      <c r="Y697" s="907"/>
      <c r="Z697" s="907"/>
      <c r="AA697" s="907"/>
      <c r="AB697" s="907"/>
      <c r="AC697" s="907"/>
      <c r="AD697" s="907"/>
      <c r="AE697" s="907"/>
      <c r="AF697" s="907"/>
      <c r="AG697" s="907"/>
      <c r="AH697" s="518"/>
      <c r="AJ697" s="595"/>
    </row>
    <row r="698" spans="1:37" hidden="1" x14ac:dyDescent="0.45">
      <c r="A698" s="518"/>
      <c r="B698" s="517"/>
      <c r="C698" s="517"/>
      <c r="D698" s="517"/>
      <c r="E698" s="517"/>
      <c r="F698" s="517"/>
      <c r="G698" s="517"/>
      <c r="H698" s="517"/>
      <c r="I698" s="517"/>
      <c r="J698" s="517"/>
      <c r="K698" s="517"/>
      <c r="L698" s="517"/>
      <c r="M698" s="517"/>
      <c r="N698" s="517"/>
      <c r="O698" s="517"/>
      <c r="P698" s="517"/>
      <c r="Q698" s="517"/>
      <c r="R698" s="517"/>
      <c r="S698" s="517"/>
      <c r="T698" s="517"/>
      <c r="U698" s="517"/>
      <c r="V698" s="517"/>
      <c r="W698" s="517"/>
      <c r="X698" s="517"/>
      <c r="Y698" s="517"/>
      <c r="Z698" s="517"/>
      <c r="AA698" s="517"/>
      <c r="AB698" s="517"/>
      <c r="AC698" s="517"/>
      <c r="AD698" s="517"/>
      <c r="AE698" s="517"/>
      <c r="AF698" s="517"/>
      <c r="AG698" s="517"/>
      <c r="AH698" s="518"/>
      <c r="AJ698" s="595"/>
    </row>
    <row r="699" spans="1:37" hidden="1" x14ac:dyDescent="0.45">
      <c r="A699" s="518"/>
      <c r="B699" s="923" t="s">
        <v>88</v>
      </c>
      <c r="C699" s="923"/>
      <c r="D699" s="923"/>
      <c r="E699" s="923"/>
      <c r="F699" s="923"/>
      <c r="G699" s="923"/>
      <c r="H699" s="923"/>
      <c r="I699" s="1214"/>
      <c r="J699" s="1215"/>
      <c r="K699" s="1215"/>
      <c r="L699" s="1215"/>
      <c r="M699" s="1215"/>
      <c r="N699" s="1215"/>
      <c r="O699" s="1216"/>
      <c r="P699" s="517"/>
      <c r="Q699" s="517"/>
      <c r="R699" s="517"/>
      <c r="S699" s="517"/>
      <c r="T699" s="517"/>
      <c r="U699" s="517"/>
      <c r="V699" s="517"/>
      <c r="W699" s="517"/>
      <c r="X699" s="517"/>
      <c r="Y699" s="517"/>
      <c r="Z699" s="517"/>
      <c r="AA699" s="517"/>
      <c r="AB699" s="517"/>
      <c r="AC699" s="517"/>
      <c r="AD699" s="517"/>
      <c r="AE699" s="517"/>
      <c r="AF699" s="1180"/>
      <c r="AG699" s="1180"/>
      <c r="AH699" s="518"/>
      <c r="AJ699" s="595"/>
    </row>
    <row r="700" spans="1:37" hidden="1" x14ac:dyDescent="0.45">
      <c r="A700" s="518"/>
      <c r="B700" s="518"/>
      <c r="C700" s="518"/>
      <c r="D700" s="518"/>
      <c r="E700" s="518"/>
      <c r="F700" s="518"/>
      <c r="G700" s="518"/>
      <c r="H700" s="518"/>
      <c r="I700" s="518"/>
      <c r="J700" s="518"/>
      <c r="K700" s="518"/>
      <c r="L700" s="518"/>
      <c r="M700" s="518"/>
      <c r="N700" s="518"/>
      <c r="O700" s="518"/>
      <c r="P700" s="518"/>
      <c r="Q700" s="518"/>
      <c r="R700" s="518"/>
      <c r="S700" s="518"/>
      <c r="T700" s="518"/>
      <c r="U700" s="518"/>
      <c r="V700" s="518"/>
      <c r="W700" s="518"/>
      <c r="X700" s="518"/>
      <c r="Y700" s="518"/>
      <c r="Z700" s="518"/>
      <c r="AA700" s="518"/>
      <c r="AB700" s="518"/>
      <c r="AC700" s="518"/>
      <c r="AD700" s="518"/>
      <c r="AE700" s="518"/>
      <c r="AF700" s="518"/>
      <c r="AG700" s="518"/>
      <c r="AH700" s="518"/>
      <c r="AJ700" s="595"/>
    </row>
    <row r="701" spans="1:37" hidden="1" x14ac:dyDescent="0.45">
      <c r="A701" s="518"/>
      <c r="B701" s="1121" t="s">
        <v>197</v>
      </c>
      <c r="C701" s="1122"/>
      <c r="D701" s="1122"/>
      <c r="E701" s="1122"/>
      <c r="F701" s="1122"/>
      <c r="G701" s="1122"/>
      <c r="H701" s="1122"/>
      <c r="I701" s="1122"/>
      <c r="J701" s="1122"/>
      <c r="K701" s="1122"/>
      <c r="L701" s="1122"/>
      <c r="M701" s="1122"/>
      <c r="N701" s="1122"/>
      <c r="O701" s="1122"/>
      <c r="P701" s="1122"/>
      <c r="Q701" s="1122"/>
      <c r="R701" s="1122"/>
      <c r="S701" s="1122"/>
      <c r="T701" s="1122"/>
      <c r="U701" s="1122"/>
      <c r="V701" s="1122"/>
      <c r="W701" s="1122"/>
      <c r="X701" s="1122"/>
      <c r="Y701" s="1122"/>
      <c r="Z701" s="1122"/>
      <c r="AA701" s="1122"/>
      <c r="AB701" s="1122"/>
      <c r="AC701" s="1122"/>
      <c r="AD701" s="1122"/>
      <c r="AE701" s="1326"/>
      <c r="AF701" s="1123" t="s">
        <v>198</v>
      </c>
      <c r="AG701" s="1123"/>
      <c r="AH701" s="518"/>
      <c r="AJ701" s="595"/>
    </row>
    <row r="702" spans="1:37" hidden="1" x14ac:dyDescent="0.45">
      <c r="A702" s="518"/>
      <c r="B702" s="1322"/>
      <c r="C702" s="1323"/>
      <c r="D702" s="1323"/>
      <c r="E702" s="1323"/>
      <c r="F702" s="1323"/>
      <c r="G702" s="1323"/>
      <c r="H702" s="1323"/>
      <c r="I702" s="1323"/>
      <c r="J702" s="1323"/>
      <c r="K702" s="1323"/>
      <c r="L702" s="1323"/>
      <c r="M702" s="1323"/>
      <c r="N702" s="1323"/>
      <c r="O702" s="1323"/>
      <c r="P702" s="1323"/>
      <c r="Q702" s="1323"/>
      <c r="R702" s="1323"/>
      <c r="S702" s="1323"/>
      <c r="T702" s="1323"/>
      <c r="U702" s="1323"/>
      <c r="V702" s="1323"/>
      <c r="W702" s="1323"/>
      <c r="X702" s="1323"/>
      <c r="Y702" s="1323"/>
      <c r="Z702" s="1323"/>
      <c r="AA702" s="1323"/>
      <c r="AB702" s="1323"/>
      <c r="AC702" s="1323"/>
      <c r="AD702" s="1323"/>
      <c r="AE702" s="1327"/>
      <c r="AF702" s="1123"/>
      <c r="AG702" s="1123"/>
      <c r="AH702" s="518"/>
      <c r="AJ702" s="595"/>
    </row>
    <row r="703" spans="1:37" hidden="1" x14ac:dyDescent="0.45">
      <c r="A703" s="518"/>
      <c r="B703" s="1324"/>
      <c r="C703" s="1325"/>
      <c r="D703" s="1325"/>
      <c r="E703" s="1325"/>
      <c r="F703" s="1325"/>
      <c r="G703" s="1325"/>
      <c r="H703" s="1325"/>
      <c r="I703" s="1325"/>
      <c r="J703" s="1325"/>
      <c r="K703" s="1325"/>
      <c r="L703" s="1325"/>
      <c r="M703" s="1325"/>
      <c r="N703" s="1325"/>
      <c r="O703" s="1325"/>
      <c r="P703" s="1325"/>
      <c r="Q703" s="1325"/>
      <c r="R703" s="1325"/>
      <c r="S703" s="1325"/>
      <c r="T703" s="1325"/>
      <c r="U703" s="1325"/>
      <c r="V703" s="1325"/>
      <c r="W703" s="1325"/>
      <c r="X703" s="1325"/>
      <c r="Y703" s="1325"/>
      <c r="Z703" s="1325"/>
      <c r="AA703" s="1325"/>
      <c r="AB703" s="1325"/>
      <c r="AC703" s="1325"/>
      <c r="AD703" s="1325"/>
      <c r="AE703" s="1328"/>
      <c r="AF703" s="1123"/>
      <c r="AG703" s="1123"/>
      <c r="AH703" s="518"/>
      <c r="AJ703" s="595"/>
    </row>
    <row r="704" spans="1:37" hidden="1" x14ac:dyDescent="0.45">
      <c r="A704" s="518"/>
      <c r="B704" s="518"/>
      <c r="C704" s="518"/>
      <c r="D704" s="518"/>
      <c r="E704" s="518"/>
      <c r="F704" s="518"/>
      <c r="G704" s="518"/>
      <c r="H704" s="518"/>
      <c r="I704" s="518"/>
      <c r="J704" s="518"/>
      <c r="K704" s="518"/>
      <c r="L704" s="518"/>
      <c r="M704" s="518"/>
      <c r="N704" s="518"/>
      <c r="O704" s="518"/>
      <c r="P704" s="518"/>
      <c r="Q704" s="518"/>
      <c r="R704" s="518"/>
      <c r="S704" s="518"/>
      <c r="T704" s="518"/>
      <c r="U704" s="518"/>
      <c r="V704" s="518"/>
      <c r="W704" s="518"/>
      <c r="X704" s="518"/>
      <c r="Y704" s="518"/>
      <c r="Z704" s="518"/>
      <c r="AA704" s="518"/>
      <c r="AB704" s="518"/>
      <c r="AC704" s="518"/>
      <c r="AD704" s="518"/>
      <c r="AE704" s="518"/>
      <c r="AF704" s="518"/>
      <c r="AG704" s="518"/>
      <c r="AH704" s="518"/>
      <c r="AJ704" s="595"/>
    </row>
    <row r="705" spans="1:36" hidden="1" x14ac:dyDescent="0.45">
      <c r="A705" s="518"/>
      <c r="B705" s="1137" t="s">
        <v>90</v>
      </c>
      <c r="C705" s="1138"/>
      <c r="D705" s="1138"/>
      <c r="E705" s="1138"/>
      <c r="F705" s="1138"/>
      <c r="G705" s="1138"/>
      <c r="H705" s="1138"/>
      <c r="I705" s="1138"/>
      <c r="J705" s="1138"/>
      <c r="K705" s="1138"/>
      <c r="L705" s="1138"/>
      <c r="M705" s="1138"/>
      <c r="N705" s="1138"/>
      <c r="O705" s="1138"/>
      <c r="P705" s="1138"/>
      <c r="Q705" s="1138"/>
      <c r="R705" s="1138"/>
      <c r="S705" s="1138"/>
      <c r="T705" s="1138"/>
      <c r="U705" s="1139"/>
      <c r="V705" s="1143" t="s">
        <v>91</v>
      </c>
      <c r="W705" s="1143"/>
      <c r="X705" s="1143"/>
      <c r="Y705" s="1143" t="s">
        <v>92</v>
      </c>
      <c r="Z705" s="1143"/>
      <c r="AA705" s="1143"/>
      <c r="AB705" s="1143" t="s">
        <v>93</v>
      </c>
      <c r="AC705" s="1143"/>
      <c r="AD705" s="1143"/>
      <c r="AE705" s="1143" t="s">
        <v>94</v>
      </c>
      <c r="AF705" s="1143"/>
      <c r="AG705" s="1143"/>
      <c r="AH705" s="518"/>
      <c r="AJ705" s="595"/>
    </row>
    <row r="706" spans="1:36" hidden="1" x14ac:dyDescent="0.45">
      <c r="A706" s="518"/>
      <c r="B706" s="1140"/>
      <c r="C706" s="1141"/>
      <c r="D706" s="1141"/>
      <c r="E706" s="1141"/>
      <c r="F706" s="1141"/>
      <c r="G706" s="1141"/>
      <c r="H706" s="1141"/>
      <c r="I706" s="1141"/>
      <c r="J706" s="1141"/>
      <c r="K706" s="1141"/>
      <c r="L706" s="1141"/>
      <c r="M706" s="1141"/>
      <c r="N706" s="1141"/>
      <c r="O706" s="1141"/>
      <c r="P706" s="1141"/>
      <c r="Q706" s="1141"/>
      <c r="R706" s="1141"/>
      <c r="S706" s="1141"/>
      <c r="T706" s="1141"/>
      <c r="U706" s="1142"/>
      <c r="V706" s="1143"/>
      <c r="W706" s="1143"/>
      <c r="X706" s="1143"/>
      <c r="Y706" s="1143"/>
      <c r="Z706" s="1143"/>
      <c r="AA706" s="1143"/>
      <c r="AB706" s="1143"/>
      <c r="AC706" s="1143"/>
      <c r="AD706" s="1143"/>
      <c r="AE706" s="1143"/>
      <c r="AF706" s="1143"/>
      <c r="AG706" s="1143"/>
      <c r="AH706" s="518"/>
      <c r="AJ706" s="595"/>
    </row>
    <row r="707" spans="1:36" hidden="1" x14ac:dyDescent="0.45">
      <c r="A707" s="518"/>
      <c r="B707" s="1150"/>
      <c r="C707" s="1151"/>
      <c r="D707" s="1151"/>
      <c r="E707" s="1151"/>
      <c r="F707" s="1151"/>
      <c r="G707" s="1151"/>
      <c r="H707" s="1151"/>
      <c r="I707" s="1151"/>
      <c r="J707" s="1151"/>
      <c r="K707" s="1151"/>
      <c r="L707" s="1151"/>
      <c r="M707" s="1151"/>
      <c r="N707" s="1151"/>
      <c r="O707" s="1151"/>
      <c r="P707" s="1151"/>
      <c r="Q707" s="1151"/>
      <c r="R707" s="1151"/>
      <c r="S707" s="1151"/>
      <c r="T707" s="1151"/>
      <c r="U707" s="1152"/>
      <c r="V707" s="894"/>
      <c r="W707" s="895"/>
      <c r="X707" s="896"/>
      <c r="Y707" s="1201"/>
      <c r="Z707" s="1202"/>
      <c r="AA707" s="1203"/>
      <c r="AB707" s="1201"/>
      <c r="AC707" s="1202"/>
      <c r="AD707" s="1203"/>
      <c r="AE707" s="1207" cm="1">
        <f t="array" ref="AE707">wwDateDiff(CH_OOR_PreviousProgramStart1,CH_OOR_PreviousProgramEnd1)</f>
        <v>0</v>
      </c>
      <c r="AF707" s="1208"/>
      <c r="AG707" s="1209"/>
      <c r="AH707" s="518"/>
      <c r="AJ707" s="595"/>
    </row>
    <row r="708" spans="1:36" hidden="1" x14ac:dyDescent="0.45">
      <c r="A708" s="518"/>
      <c r="B708" s="1153"/>
      <c r="C708" s="1154"/>
      <c r="D708" s="1154"/>
      <c r="E708" s="1154"/>
      <c r="F708" s="1154"/>
      <c r="G708" s="1154"/>
      <c r="H708" s="1154"/>
      <c r="I708" s="1154"/>
      <c r="J708" s="1154"/>
      <c r="K708" s="1154"/>
      <c r="L708" s="1154"/>
      <c r="M708" s="1154"/>
      <c r="N708" s="1154"/>
      <c r="O708" s="1154"/>
      <c r="P708" s="1154"/>
      <c r="Q708" s="1154"/>
      <c r="R708" s="1154"/>
      <c r="S708" s="1154"/>
      <c r="T708" s="1154"/>
      <c r="U708" s="1155"/>
      <c r="V708" s="897"/>
      <c r="W708" s="898"/>
      <c r="X708" s="899"/>
      <c r="Y708" s="1204"/>
      <c r="Z708" s="1205"/>
      <c r="AA708" s="1206"/>
      <c r="AB708" s="1204"/>
      <c r="AC708" s="1205"/>
      <c r="AD708" s="1206"/>
      <c r="AE708" s="1210"/>
      <c r="AF708" s="1211"/>
      <c r="AG708" s="1212"/>
      <c r="AH708" s="518"/>
      <c r="AJ708" s="595"/>
    </row>
    <row r="709" spans="1:36" hidden="1" x14ac:dyDescent="0.45">
      <c r="A709" s="518"/>
      <c r="B709" s="1150"/>
      <c r="C709" s="1151"/>
      <c r="D709" s="1151"/>
      <c r="E709" s="1151"/>
      <c r="F709" s="1151"/>
      <c r="G709" s="1151"/>
      <c r="H709" s="1151"/>
      <c r="I709" s="1151"/>
      <c r="J709" s="1151"/>
      <c r="K709" s="1151"/>
      <c r="L709" s="1151"/>
      <c r="M709" s="1151"/>
      <c r="N709" s="1151"/>
      <c r="O709" s="1151"/>
      <c r="P709" s="1151"/>
      <c r="Q709" s="1151"/>
      <c r="R709" s="1151"/>
      <c r="S709" s="1151"/>
      <c r="T709" s="1151"/>
      <c r="U709" s="1152"/>
      <c r="V709" s="894"/>
      <c r="W709" s="895"/>
      <c r="X709" s="896"/>
      <c r="Y709" s="1201"/>
      <c r="Z709" s="1202"/>
      <c r="AA709" s="1203"/>
      <c r="AB709" s="1201"/>
      <c r="AC709" s="1202"/>
      <c r="AD709" s="1203"/>
      <c r="AE709" s="1207" cm="1">
        <f t="array" ref="AE709">wwDateDiff(CH_OOR_PreviousProgramStart2,CH_OOR_PreviousProgramEnd2)</f>
        <v>0</v>
      </c>
      <c r="AF709" s="1208"/>
      <c r="AG709" s="1209"/>
      <c r="AH709" s="518"/>
      <c r="AJ709" s="595"/>
    </row>
    <row r="710" spans="1:36" hidden="1" x14ac:dyDescent="0.45">
      <c r="A710" s="518"/>
      <c r="B710" s="1153"/>
      <c r="C710" s="1154"/>
      <c r="D710" s="1154"/>
      <c r="E710" s="1154"/>
      <c r="F710" s="1154"/>
      <c r="G710" s="1154"/>
      <c r="H710" s="1154"/>
      <c r="I710" s="1154"/>
      <c r="J710" s="1154"/>
      <c r="K710" s="1154"/>
      <c r="L710" s="1154"/>
      <c r="M710" s="1154"/>
      <c r="N710" s="1154"/>
      <c r="O710" s="1154"/>
      <c r="P710" s="1154"/>
      <c r="Q710" s="1154"/>
      <c r="R710" s="1154"/>
      <c r="S710" s="1154"/>
      <c r="T710" s="1154"/>
      <c r="U710" s="1155"/>
      <c r="V710" s="897"/>
      <c r="W710" s="898"/>
      <c r="X710" s="899"/>
      <c r="Y710" s="1204"/>
      <c r="Z710" s="1205"/>
      <c r="AA710" s="1206"/>
      <c r="AB710" s="1204"/>
      <c r="AC710" s="1205"/>
      <c r="AD710" s="1206"/>
      <c r="AE710" s="1210"/>
      <c r="AF710" s="1211"/>
      <c r="AG710" s="1212"/>
      <c r="AH710" s="518"/>
      <c r="AJ710" s="595"/>
    </row>
    <row r="711" spans="1:36" hidden="1" x14ac:dyDescent="0.45">
      <c r="A711" s="518"/>
      <c r="B711" s="1150"/>
      <c r="C711" s="1151"/>
      <c r="D711" s="1151"/>
      <c r="E711" s="1151"/>
      <c r="F711" s="1151"/>
      <c r="G711" s="1151"/>
      <c r="H711" s="1151"/>
      <c r="I711" s="1151"/>
      <c r="J711" s="1151"/>
      <c r="K711" s="1151"/>
      <c r="L711" s="1151"/>
      <c r="M711" s="1151"/>
      <c r="N711" s="1151"/>
      <c r="O711" s="1151"/>
      <c r="P711" s="1151"/>
      <c r="Q711" s="1151"/>
      <c r="R711" s="1151"/>
      <c r="S711" s="1151"/>
      <c r="T711" s="1151"/>
      <c r="U711" s="1152"/>
      <c r="V711" s="894"/>
      <c r="W711" s="895"/>
      <c r="X711" s="896"/>
      <c r="Y711" s="1201"/>
      <c r="Z711" s="1202"/>
      <c r="AA711" s="1203"/>
      <c r="AB711" s="1201"/>
      <c r="AC711" s="1202"/>
      <c r="AD711" s="1203"/>
      <c r="AE711" s="1207" cm="1">
        <f t="array" ref="AE711">wwDateDiff(CH_OOR_PreviousProgramStart3,CH_OOR_PreviousProgramEnd3)</f>
        <v>0</v>
      </c>
      <c r="AF711" s="1208"/>
      <c r="AG711" s="1209"/>
      <c r="AH711" s="518"/>
      <c r="AJ711" s="595"/>
    </row>
    <row r="712" spans="1:36" hidden="1" x14ac:dyDescent="0.45">
      <c r="A712" s="518"/>
      <c r="B712" s="1153"/>
      <c r="C712" s="1154"/>
      <c r="D712" s="1154"/>
      <c r="E712" s="1154"/>
      <c r="F712" s="1154"/>
      <c r="G712" s="1154"/>
      <c r="H712" s="1154"/>
      <c r="I712" s="1154"/>
      <c r="J712" s="1154"/>
      <c r="K712" s="1154"/>
      <c r="L712" s="1154"/>
      <c r="M712" s="1154"/>
      <c r="N712" s="1154"/>
      <c r="O712" s="1154"/>
      <c r="P712" s="1154"/>
      <c r="Q712" s="1154"/>
      <c r="R712" s="1154"/>
      <c r="S712" s="1154"/>
      <c r="T712" s="1154"/>
      <c r="U712" s="1155"/>
      <c r="V712" s="897"/>
      <c r="W712" s="898"/>
      <c r="X712" s="899"/>
      <c r="Y712" s="1204"/>
      <c r="Z712" s="1205"/>
      <c r="AA712" s="1206"/>
      <c r="AB712" s="1204"/>
      <c r="AC712" s="1205"/>
      <c r="AD712" s="1206"/>
      <c r="AE712" s="1210"/>
      <c r="AF712" s="1211"/>
      <c r="AG712" s="1212"/>
      <c r="AH712" s="518"/>
      <c r="AJ712" s="595"/>
    </row>
    <row r="713" spans="1:36" hidden="1" x14ac:dyDescent="0.45">
      <c r="A713" s="518"/>
      <c r="B713" s="1150"/>
      <c r="C713" s="1151"/>
      <c r="D713" s="1151"/>
      <c r="E713" s="1151"/>
      <c r="F713" s="1151"/>
      <c r="G713" s="1151"/>
      <c r="H713" s="1151"/>
      <c r="I713" s="1151"/>
      <c r="J713" s="1151"/>
      <c r="K713" s="1151"/>
      <c r="L713" s="1151"/>
      <c r="M713" s="1151"/>
      <c r="N713" s="1151"/>
      <c r="O713" s="1151"/>
      <c r="P713" s="1151"/>
      <c r="Q713" s="1151"/>
      <c r="R713" s="1151"/>
      <c r="S713" s="1151"/>
      <c r="T713" s="1151"/>
      <c r="U713" s="1152"/>
      <c r="V713" s="894"/>
      <c r="W713" s="895"/>
      <c r="X713" s="896"/>
      <c r="Y713" s="1201"/>
      <c r="Z713" s="1202"/>
      <c r="AA713" s="1203"/>
      <c r="AB713" s="1201"/>
      <c r="AC713" s="1202"/>
      <c r="AD713" s="1203"/>
      <c r="AE713" s="1207" cm="1">
        <f t="array" ref="AE713">wwDateDiff(CH_OOR_PreviousProgramStart4,CH_OOR_PreviousProgramEnd4)</f>
        <v>0</v>
      </c>
      <c r="AF713" s="1208"/>
      <c r="AG713" s="1209"/>
      <c r="AH713" s="518"/>
      <c r="AJ713" s="595"/>
    </row>
    <row r="714" spans="1:36" hidden="1" x14ac:dyDescent="0.45">
      <c r="A714" s="518"/>
      <c r="B714" s="1153"/>
      <c r="C714" s="1154"/>
      <c r="D714" s="1154"/>
      <c r="E714" s="1154"/>
      <c r="F714" s="1154"/>
      <c r="G714" s="1154"/>
      <c r="H714" s="1154"/>
      <c r="I714" s="1154"/>
      <c r="J714" s="1154"/>
      <c r="K714" s="1154"/>
      <c r="L714" s="1154"/>
      <c r="M714" s="1154"/>
      <c r="N714" s="1154"/>
      <c r="O714" s="1154"/>
      <c r="P714" s="1154"/>
      <c r="Q714" s="1154"/>
      <c r="R714" s="1154"/>
      <c r="S714" s="1154"/>
      <c r="T714" s="1154"/>
      <c r="U714" s="1155"/>
      <c r="V714" s="897"/>
      <c r="W714" s="898"/>
      <c r="X714" s="899"/>
      <c r="Y714" s="1204"/>
      <c r="Z714" s="1205"/>
      <c r="AA714" s="1206"/>
      <c r="AB714" s="1204"/>
      <c r="AC714" s="1205"/>
      <c r="AD714" s="1206"/>
      <c r="AE714" s="1210"/>
      <c r="AF714" s="1211"/>
      <c r="AG714" s="1212"/>
      <c r="AH714" s="518"/>
      <c r="AJ714" s="595"/>
    </row>
    <row r="715" spans="1:36" hidden="1" x14ac:dyDescent="0.45">
      <c r="A715" s="518"/>
      <c r="B715" s="1150"/>
      <c r="C715" s="1151"/>
      <c r="D715" s="1151"/>
      <c r="E715" s="1151"/>
      <c r="F715" s="1151"/>
      <c r="G715" s="1151"/>
      <c r="H715" s="1151"/>
      <c r="I715" s="1151"/>
      <c r="J715" s="1151"/>
      <c r="K715" s="1151"/>
      <c r="L715" s="1151"/>
      <c r="M715" s="1151"/>
      <c r="N715" s="1151"/>
      <c r="O715" s="1151"/>
      <c r="P715" s="1151"/>
      <c r="Q715" s="1151"/>
      <c r="R715" s="1151"/>
      <c r="S715" s="1151"/>
      <c r="T715" s="1151"/>
      <c r="U715" s="1152"/>
      <c r="V715" s="894"/>
      <c r="W715" s="895"/>
      <c r="X715" s="896"/>
      <c r="Y715" s="1201"/>
      <c r="Z715" s="1202"/>
      <c r="AA715" s="1203"/>
      <c r="AB715" s="1201"/>
      <c r="AC715" s="1202"/>
      <c r="AD715" s="1203"/>
      <c r="AE715" s="1207" cm="1">
        <f t="array" ref="AE715">wwDateDiff(CH_OOR_PreviousProgramStart5,CH_OOR_PreviousProgramEnd5)</f>
        <v>0</v>
      </c>
      <c r="AF715" s="1208"/>
      <c r="AG715" s="1209"/>
      <c r="AH715" s="518"/>
      <c r="AJ715" s="595"/>
    </row>
    <row r="716" spans="1:36" hidden="1" x14ac:dyDescent="0.45">
      <c r="A716" s="518"/>
      <c r="B716" s="1153"/>
      <c r="C716" s="1154"/>
      <c r="D716" s="1154"/>
      <c r="E716" s="1154"/>
      <c r="F716" s="1154"/>
      <c r="G716" s="1154"/>
      <c r="H716" s="1154"/>
      <c r="I716" s="1154"/>
      <c r="J716" s="1154"/>
      <c r="K716" s="1154"/>
      <c r="L716" s="1154"/>
      <c r="M716" s="1154"/>
      <c r="N716" s="1154"/>
      <c r="O716" s="1154"/>
      <c r="P716" s="1154"/>
      <c r="Q716" s="1154"/>
      <c r="R716" s="1154"/>
      <c r="S716" s="1154"/>
      <c r="T716" s="1154"/>
      <c r="U716" s="1155"/>
      <c r="V716" s="897"/>
      <c r="W716" s="898"/>
      <c r="X716" s="899"/>
      <c r="Y716" s="1204"/>
      <c r="Z716" s="1205"/>
      <c r="AA716" s="1206"/>
      <c r="AB716" s="1204"/>
      <c r="AC716" s="1205"/>
      <c r="AD716" s="1206"/>
      <c r="AE716" s="1210"/>
      <c r="AF716" s="1211"/>
      <c r="AG716" s="1212"/>
      <c r="AH716" s="518"/>
      <c r="AJ716" s="595"/>
    </row>
    <row r="717" spans="1:36" hidden="1" x14ac:dyDescent="0.45">
      <c r="A717" s="518"/>
      <c r="B717" s="518"/>
      <c r="C717" s="518"/>
      <c r="D717" s="518"/>
      <c r="E717" s="518"/>
      <c r="F717" s="518"/>
      <c r="G717" s="518"/>
      <c r="H717" s="518"/>
      <c r="I717" s="518"/>
      <c r="J717" s="518"/>
      <c r="K717" s="518"/>
      <c r="L717" s="518"/>
      <c r="M717" s="518"/>
      <c r="N717" s="518"/>
      <c r="O717" s="518"/>
      <c r="P717" s="518"/>
      <c r="Q717" s="518"/>
      <c r="R717" s="518"/>
      <c r="S717" s="518"/>
      <c r="T717" s="518"/>
      <c r="U717" s="518"/>
      <c r="V717" s="518"/>
      <c r="W717" s="518"/>
      <c r="X717" s="518"/>
      <c r="Y717" s="518"/>
      <c r="Z717" s="518"/>
      <c r="AA717" s="518"/>
      <c r="AB717" s="518"/>
      <c r="AC717" s="518"/>
      <c r="AD717" s="518"/>
      <c r="AE717" s="518"/>
      <c r="AF717" s="518"/>
      <c r="AG717" s="518"/>
      <c r="AH717" s="518"/>
      <c r="AJ717" s="595"/>
    </row>
    <row r="718" spans="1:36" ht="41.15" hidden="1" customHeight="1" x14ac:dyDescent="0.45">
      <c r="A718" s="518"/>
      <c r="B718" s="1121" t="s">
        <v>199</v>
      </c>
      <c r="C718" s="1122"/>
      <c r="D718" s="1122"/>
      <c r="E718" s="1122"/>
      <c r="F718" s="1122"/>
      <c r="G718" s="1122"/>
      <c r="H718" s="1122"/>
      <c r="I718" s="1122"/>
      <c r="J718" s="1122"/>
      <c r="K718" s="1122"/>
      <c r="L718" s="1122"/>
      <c r="M718" s="1122"/>
      <c r="N718" s="1122"/>
      <c r="O718" s="1122"/>
      <c r="P718" s="1122"/>
      <c r="Q718" s="1122"/>
      <c r="R718" s="1122"/>
      <c r="S718" s="1122"/>
      <c r="T718" s="1122"/>
      <c r="U718" s="1122"/>
      <c r="V718" s="1122"/>
      <c r="W718" s="1122"/>
      <c r="X718" s="1122"/>
      <c r="Y718" s="1122"/>
      <c r="Z718" s="1122"/>
      <c r="AA718" s="1122"/>
      <c r="AB718" s="1122"/>
      <c r="AC718" s="1122"/>
      <c r="AD718" s="1122"/>
      <c r="AE718" s="528"/>
      <c r="AF718" s="1123"/>
      <c r="AG718" s="1123"/>
      <c r="AH718" s="518"/>
      <c r="AJ718" s="595"/>
    </row>
    <row r="719" spans="1:36" ht="27" hidden="1" customHeight="1" x14ac:dyDescent="0.45">
      <c r="A719" s="518"/>
      <c r="B719" s="1121" t="s">
        <v>200</v>
      </c>
      <c r="C719" s="1122"/>
      <c r="D719" s="1122"/>
      <c r="E719" s="1122"/>
      <c r="F719" s="1122"/>
      <c r="G719" s="1122"/>
      <c r="H719" s="1122"/>
      <c r="I719" s="1122"/>
      <c r="J719" s="1122"/>
      <c r="K719" s="1122"/>
      <c r="L719" s="1122"/>
      <c r="M719" s="1122"/>
      <c r="N719" s="1122"/>
      <c r="O719" s="1122"/>
      <c r="P719" s="1122"/>
      <c r="Q719" s="1122"/>
      <c r="R719" s="1122"/>
      <c r="S719" s="1122"/>
      <c r="T719" s="1122"/>
      <c r="U719" s="1122"/>
      <c r="V719" s="1122"/>
      <c r="W719" s="1122"/>
      <c r="X719" s="1122"/>
      <c r="Y719" s="1122"/>
      <c r="Z719" s="1122"/>
      <c r="AA719" s="1122"/>
      <c r="AB719" s="1122"/>
      <c r="AC719" s="1122"/>
      <c r="AD719" s="1122"/>
      <c r="AE719" s="528"/>
      <c r="AF719" s="1123"/>
      <c r="AG719" s="1123"/>
      <c r="AH719" s="518"/>
      <c r="AJ719" s="595"/>
    </row>
    <row r="720" spans="1:36" ht="27" hidden="1" customHeight="1" x14ac:dyDescent="0.45">
      <c r="A720" s="518"/>
      <c r="B720" s="1121" t="s">
        <v>201</v>
      </c>
      <c r="C720" s="1122"/>
      <c r="D720" s="1122"/>
      <c r="E720" s="1122"/>
      <c r="F720" s="1122"/>
      <c r="G720" s="1122"/>
      <c r="H720" s="1122"/>
      <c r="I720" s="1122"/>
      <c r="J720" s="1122"/>
      <c r="K720" s="1122"/>
      <c r="L720" s="1122"/>
      <c r="M720" s="1122"/>
      <c r="N720" s="1122"/>
      <c r="O720" s="1122"/>
      <c r="P720" s="1122"/>
      <c r="Q720" s="1122"/>
      <c r="R720" s="1122"/>
      <c r="S720" s="1122"/>
      <c r="T720" s="1122"/>
      <c r="U720" s="1122"/>
      <c r="V720" s="1122"/>
      <c r="W720" s="1122"/>
      <c r="X720" s="1122"/>
      <c r="Y720" s="1122"/>
      <c r="Z720" s="1122"/>
      <c r="AA720" s="1122"/>
      <c r="AB720" s="1122"/>
      <c r="AC720" s="1122"/>
      <c r="AD720" s="1122"/>
      <c r="AE720" s="528"/>
      <c r="AF720" s="1123"/>
      <c r="AG720" s="1123"/>
      <c r="AH720" s="518"/>
      <c r="AJ720" s="595"/>
    </row>
    <row r="721" spans="1:36" ht="27" hidden="1" customHeight="1" x14ac:dyDescent="0.45">
      <c r="A721" s="518"/>
      <c r="B721" s="1121" t="s">
        <v>202</v>
      </c>
      <c r="C721" s="1122"/>
      <c r="D721" s="1122"/>
      <c r="E721" s="1122"/>
      <c r="F721" s="1122"/>
      <c r="G721" s="1122"/>
      <c r="H721" s="1122"/>
      <c r="I721" s="1122"/>
      <c r="J721" s="1122"/>
      <c r="K721" s="1122"/>
      <c r="L721" s="1122"/>
      <c r="M721" s="1122"/>
      <c r="N721" s="1122"/>
      <c r="O721" s="1122"/>
      <c r="P721" s="1122"/>
      <c r="Q721" s="1122"/>
      <c r="R721" s="1122"/>
      <c r="S721" s="1122"/>
      <c r="T721" s="1122"/>
      <c r="U721" s="1122"/>
      <c r="V721" s="1122"/>
      <c r="W721" s="1122"/>
      <c r="X721" s="1122"/>
      <c r="Y721" s="1122"/>
      <c r="Z721" s="1122"/>
      <c r="AA721" s="1122"/>
      <c r="AB721" s="1122"/>
      <c r="AC721" s="1122"/>
      <c r="AD721" s="1122"/>
      <c r="AE721" s="528"/>
      <c r="AF721" s="1123"/>
      <c r="AG721" s="1123"/>
      <c r="AH721" s="518"/>
      <c r="AJ721" s="595"/>
    </row>
    <row r="722" spans="1:36" ht="27" hidden="1" customHeight="1" x14ac:dyDescent="0.45">
      <c r="A722" s="518"/>
      <c r="B722" s="1124" t="s">
        <v>203</v>
      </c>
      <c r="C722" s="1125"/>
      <c r="D722" s="1125"/>
      <c r="E722" s="1125"/>
      <c r="F722" s="1125"/>
      <c r="G722" s="1125"/>
      <c r="H722" s="1125"/>
      <c r="I722" s="1125"/>
      <c r="J722" s="1125"/>
      <c r="K722" s="1125"/>
      <c r="L722" s="1125"/>
      <c r="M722" s="1125"/>
      <c r="N722" s="1125"/>
      <c r="O722" s="1125"/>
      <c r="P722" s="1125"/>
      <c r="Q722" s="1125"/>
      <c r="R722" s="1125"/>
      <c r="S722" s="1125"/>
      <c r="T722" s="1125"/>
      <c r="U722" s="1125"/>
      <c r="V722" s="1125"/>
      <c r="W722" s="1125"/>
      <c r="X722" s="1125"/>
      <c r="Y722" s="1125"/>
      <c r="Z722" s="1125"/>
      <c r="AA722" s="1125"/>
      <c r="AB722" s="1125"/>
      <c r="AC722" s="1125"/>
      <c r="AD722" s="1125"/>
      <c r="AE722" s="573"/>
      <c r="AF722" s="1123"/>
      <c r="AG722" s="1123"/>
      <c r="AH722" s="518"/>
      <c r="AJ722" s="595"/>
    </row>
    <row r="723" spans="1:36" hidden="1" x14ac:dyDescent="0.45">
      <c r="A723" s="518"/>
      <c r="B723" s="518"/>
      <c r="C723" s="518"/>
      <c r="D723" s="518"/>
      <c r="E723" s="518"/>
      <c r="F723" s="518"/>
      <c r="G723" s="518"/>
      <c r="H723" s="518"/>
      <c r="I723" s="518"/>
      <c r="J723" s="518"/>
      <c r="K723" s="518"/>
      <c r="L723" s="518"/>
      <c r="M723" s="518"/>
      <c r="N723" s="518"/>
      <c r="O723" s="518"/>
      <c r="P723" s="518"/>
      <c r="Q723" s="518"/>
      <c r="R723" s="518"/>
      <c r="S723" s="518"/>
      <c r="T723" s="518"/>
      <c r="U723" s="518"/>
      <c r="V723" s="518"/>
      <c r="W723" s="518"/>
      <c r="X723" s="518"/>
      <c r="Y723" s="518"/>
      <c r="Z723" s="518"/>
      <c r="AA723" s="518"/>
      <c r="AB723" s="518"/>
      <c r="AC723" s="518"/>
      <c r="AD723" s="518"/>
      <c r="AE723" s="518"/>
      <c r="AF723" s="518"/>
      <c r="AG723" s="518"/>
      <c r="AH723" s="518"/>
      <c r="AJ723" s="595"/>
    </row>
    <row r="724" spans="1:36" hidden="1" x14ac:dyDescent="0.45">
      <c r="A724" s="518"/>
      <c r="B724" s="518"/>
      <c r="C724" s="518"/>
      <c r="D724" s="518"/>
      <c r="E724" s="518"/>
      <c r="F724" s="518"/>
      <c r="G724" s="518"/>
      <c r="H724" s="518"/>
      <c r="I724" s="518"/>
      <c r="J724" s="518"/>
      <c r="K724" s="518"/>
      <c r="L724" s="518"/>
      <c r="M724" s="518"/>
      <c r="N724" s="518"/>
      <c r="O724" s="518"/>
      <c r="P724" s="518"/>
      <c r="Q724" s="518"/>
      <c r="R724" s="518"/>
      <c r="S724" s="518"/>
      <c r="T724" s="518"/>
      <c r="U724" s="518"/>
      <c r="V724" s="518"/>
      <c r="W724" s="518"/>
      <c r="X724" s="518"/>
      <c r="Y724" s="518"/>
      <c r="Z724" s="518"/>
      <c r="AA724" s="518"/>
      <c r="AB724" s="518"/>
      <c r="AC724" s="518"/>
      <c r="AD724" s="518"/>
      <c r="AE724" s="518"/>
      <c r="AF724" s="518"/>
      <c r="AG724" s="518"/>
      <c r="AH724" s="518"/>
      <c r="AJ724" s="595"/>
    </row>
    <row r="725" spans="1:36" hidden="1" x14ac:dyDescent="0.45">
      <c r="A725" s="518"/>
      <c r="B725" s="907" t="s">
        <v>196</v>
      </c>
      <c r="C725" s="907"/>
      <c r="D725" s="907"/>
      <c r="E725" s="907"/>
      <c r="F725" s="907"/>
      <c r="G725" s="907"/>
      <c r="H725" s="907"/>
      <c r="I725" s="907"/>
      <c r="J725" s="907"/>
      <c r="K725" s="907"/>
      <c r="L725" s="907"/>
      <c r="M725" s="907"/>
      <c r="N725" s="907"/>
      <c r="O725" s="907"/>
      <c r="P725" s="907"/>
      <c r="Q725" s="907"/>
      <c r="R725" s="907"/>
      <c r="S725" s="907"/>
      <c r="T725" s="907"/>
      <c r="U725" s="907"/>
      <c r="V725" s="907"/>
      <c r="W725" s="907"/>
      <c r="X725" s="907"/>
      <c r="Y725" s="907"/>
      <c r="Z725" s="907"/>
      <c r="AA725" s="907"/>
      <c r="AB725" s="907"/>
      <c r="AC725" s="907"/>
      <c r="AD725" s="907"/>
      <c r="AE725" s="907"/>
      <c r="AF725" s="907"/>
      <c r="AG725" s="907"/>
      <c r="AH725" s="518"/>
      <c r="AJ725" s="595"/>
    </row>
    <row r="726" spans="1:36" hidden="1" x14ac:dyDescent="0.45">
      <c r="A726" s="518"/>
      <c r="B726" s="518"/>
      <c r="C726" s="518"/>
      <c r="D726" s="518"/>
      <c r="E726" s="518"/>
      <c r="F726" s="518"/>
      <c r="G726" s="518"/>
      <c r="H726" s="518"/>
      <c r="I726" s="518"/>
      <c r="J726" s="518"/>
      <c r="K726" s="518"/>
      <c r="L726" s="518"/>
      <c r="M726" s="518"/>
      <c r="N726" s="518"/>
      <c r="O726" s="518"/>
      <c r="P726" s="518"/>
      <c r="Q726" s="518"/>
      <c r="R726" s="518"/>
      <c r="S726" s="518"/>
      <c r="T726" s="518"/>
      <c r="U726" s="518"/>
      <c r="V726" s="518"/>
      <c r="W726" s="518"/>
      <c r="X726" s="518"/>
      <c r="Y726" s="518"/>
      <c r="Z726" s="518"/>
      <c r="AA726" s="518"/>
      <c r="AB726" s="518"/>
      <c r="AC726" s="518"/>
      <c r="AD726" s="518"/>
      <c r="AE726" s="518"/>
      <c r="AF726" s="518"/>
      <c r="AG726" s="518"/>
      <c r="AH726" s="518"/>
      <c r="AJ726" s="595"/>
    </row>
    <row r="727" spans="1:36" hidden="1" x14ac:dyDescent="0.45">
      <c r="A727" s="518"/>
      <c r="B727" s="907" t="s">
        <v>100</v>
      </c>
      <c r="C727" s="907"/>
      <c r="D727" s="907"/>
      <c r="E727" s="907"/>
      <c r="F727" s="907"/>
      <c r="G727" s="907"/>
      <c r="H727" s="907"/>
      <c r="I727" s="907"/>
      <c r="J727" s="907"/>
      <c r="K727" s="907"/>
      <c r="L727" s="907"/>
      <c r="M727" s="907"/>
      <c r="N727" s="907"/>
      <c r="O727" s="907"/>
      <c r="P727" s="907"/>
      <c r="Q727" s="907"/>
      <c r="R727" s="907"/>
      <c r="S727" s="907"/>
      <c r="T727" s="907"/>
      <c r="U727" s="907"/>
      <c r="V727" s="907"/>
      <c r="W727" s="907"/>
      <c r="X727" s="907"/>
      <c r="Y727" s="907"/>
      <c r="Z727" s="907"/>
      <c r="AA727" s="907"/>
      <c r="AB727" s="907"/>
      <c r="AC727" s="907"/>
      <c r="AD727" s="907"/>
      <c r="AE727" s="907"/>
      <c r="AF727" s="907"/>
      <c r="AG727" s="907"/>
      <c r="AH727" s="518"/>
      <c r="AJ727" s="595"/>
    </row>
    <row r="728" spans="1:36" ht="304" hidden="1" customHeight="1" x14ac:dyDescent="0.45">
      <c r="A728" s="518"/>
      <c r="B728" s="1239"/>
      <c r="C728" s="1239"/>
      <c r="D728" s="1239"/>
      <c r="E728" s="1239"/>
      <c r="F728" s="1239"/>
      <c r="G728" s="1239"/>
      <c r="H728" s="1239"/>
      <c r="I728" s="1239"/>
      <c r="J728" s="1239"/>
      <c r="K728" s="1239"/>
      <c r="L728" s="1239"/>
      <c r="M728" s="1239"/>
      <c r="N728" s="1239"/>
      <c r="O728" s="1239"/>
      <c r="P728" s="1239"/>
      <c r="Q728" s="1239"/>
      <c r="R728" s="1239"/>
      <c r="S728" s="1239"/>
      <c r="T728" s="1239"/>
      <c r="U728" s="1239"/>
      <c r="V728" s="1239"/>
      <c r="W728" s="1239"/>
      <c r="X728" s="1239"/>
      <c r="Y728" s="1239"/>
      <c r="Z728" s="1239"/>
      <c r="AA728" s="1239"/>
      <c r="AB728" s="1239"/>
      <c r="AC728" s="1239"/>
      <c r="AD728" s="1239"/>
      <c r="AE728" s="1239"/>
      <c r="AF728" s="1239"/>
      <c r="AG728" s="1239"/>
      <c r="AH728" s="518"/>
      <c r="AJ728" s="595"/>
    </row>
    <row r="729" spans="1:36" ht="304" hidden="1" customHeight="1" x14ac:dyDescent="0.45">
      <c r="A729" s="518"/>
      <c r="B729" s="1239"/>
      <c r="C729" s="1239"/>
      <c r="D729" s="1239"/>
      <c r="E729" s="1239"/>
      <c r="F729" s="1239"/>
      <c r="G729" s="1239"/>
      <c r="H729" s="1239"/>
      <c r="I729" s="1239"/>
      <c r="J729" s="1239"/>
      <c r="K729" s="1239"/>
      <c r="L729" s="1239"/>
      <c r="M729" s="1239"/>
      <c r="N729" s="1239"/>
      <c r="O729" s="1239"/>
      <c r="P729" s="1239"/>
      <c r="Q729" s="1239"/>
      <c r="R729" s="1239"/>
      <c r="S729" s="1239"/>
      <c r="T729" s="1239"/>
      <c r="U729" s="1239"/>
      <c r="V729" s="1239"/>
      <c r="W729" s="1239"/>
      <c r="X729" s="1239"/>
      <c r="Y729" s="1239"/>
      <c r="Z729" s="1239"/>
      <c r="AA729" s="1239"/>
      <c r="AB729" s="1239"/>
      <c r="AC729" s="1239"/>
      <c r="AD729" s="1239"/>
      <c r="AE729" s="1239"/>
      <c r="AF729" s="1239"/>
      <c r="AG729" s="1239"/>
      <c r="AH729" s="518"/>
      <c r="AJ729" s="595"/>
    </row>
    <row r="730" spans="1:36" hidden="1" x14ac:dyDescent="0.45">
      <c r="A730" s="518"/>
      <c r="B730" s="518"/>
      <c r="C730" s="518"/>
      <c r="D730" s="518"/>
      <c r="E730" s="518"/>
      <c r="F730" s="518"/>
      <c r="G730" s="518"/>
      <c r="H730" s="518"/>
      <c r="I730" s="518"/>
      <c r="J730" s="518"/>
      <c r="K730" s="518"/>
      <c r="L730" s="518"/>
      <c r="M730" s="518"/>
      <c r="N730" s="518"/>
      <c r="O730" s="518"/>
      <c r="P730" s="518"/>
      <c r="Q730" s="518"/>
      <c r="R730" s="518"/>
      <c r="S730" s="518"/>
      <c r="T730" s="518"/>
      <c r="U730" s="518"/>
      <c r="V730" s="518"/>
      <c r="W730" s="518"/>
      <c r="X730" s="518"/>
      <c r="Y730" s="518"/>
      <c r="Z730" s="518"/>
      <c r="AA730" s="518"/>
      <c r="AB730" s="518"/>
      <c r="AC730" s="518"/>
      <c r="AD730" s="518"/>
      <c r="AE730" s="518"/>
      <c r="AF730" s="518"/>
      <c r="AG730" s="518"/>
      <c r="AH730" s="518"/>
      <c r="AJ730" s="595"/>
    </row>
    <row r="731" spans="1:36" hidden="1" x14ac:dyDescent="0.45">
      <c r="A731" s="518"/>
      <c r="B731" s="518"/>
      <c r="C731" s="518"/>
      <c r="D731" s="518"/>
      <c r="E731" s="518"/>
      <c r="F731" s="518"/>
      <c r="G731" s="518"/>
      <c r="H731" s="518"/>
      <c r="I731" s="518"/>
      <c r="J731" s="518"/>
      <c r="K731" s="518"/>
      <c r="L731" s="518"/>
      <c r="M731" s="518"/>
      <c r="N731" s="518"/>
      <c r="O731" s="518"/>
      <c r="P731" s="518"/>
      <c r="Q731" s="518"/>
      <c r="R731" s="518"/>
      <c r="S731" s="518"/>
      <c r="T731" s="518"/>
      <c r="U731" s="518"/>
      <c r="V731" s="518"/>
      <c r="W731" s="518"/>
      <c r="X731" s="518"/>
      <c r="Y731" s="518"/>
      <c r="Z731" s="518"/>
      <c r="AA731" s="518"/>
      <c r="AB731" s="518"/>
      <c r="AC731" s="518"/>
      <c r="AD731" s="518"/>
      <c r="AE731" s="518"/>
      <c r="AF731" s="518"/>
      <c r="AG731" s="518"/>
      <c r="AH731" s="518"/>
      <c r="AJ731" s="595"/>
    </row>
    <row r="732" spans="1:36" hidden="1" x14ac:dyDescent="0.45">
      <c r="A732" s="518"/>
      <c r="B732" s="907" t="s">
        <v>196</v>
      </c>
      <c r="C732" s="907"/>
      <c r="D732" s="907"/>
      <c r="E732" s="907"/>
      <c r="F732" s="907"/>
      <c r="G732" s="907"/>
      <c r="H732" s="907"/>
      <c r="I732" s="907"/>
      <c r="J732" s="907"/>
      <c r="K732" s="907"/>
      <c r="L732" s="907"/>
      <c r="M732" s="907"/>
      <c r="N732" s="907"/>
      <c r="O732" s="907"/>
      <c r="P732" s="907"/>
      <c r="Q732" s="907"/>
      <c r="R732" s="907"/>
      <c r="S732" s="907"/>
      <c r="T732" s="907"/>
      <c r="U732" s="907"/>
      <c r="V732" s="907"/>
      <c r="W732" s="907"/>
      <c r="X732" s="907"/>
      <c r="Y732" s="907"/>
      <c r="Z732" s="907"/>
      <c r="AA732" s="907"/>
      <c r="AB732" s="907"/>
      <c r="AC732" s="907"/>
      <c r="AD732" s="907"/>
      <c r="AE732" s="907"/>
      <c r="AF732" s="907"/>
      <c r="AG732" s="907"/>
      <c r="AH732" s="518"/>
      <c r="AJ732" s="595"/>
    </row>
    <row r="733" spans="1:36" hidden="1" x14ac:dyDescent="0.45">
      <c r="A733" s="518"/>
      <c r="B733" s="518"/>
      <c r="C733" s="518"/>
      <c r="D733" s="518"/>
      <c r="E733" s="518"/>
      <c r="F733" s="518"/>
      <c r="G733" s="518"/>
      <c r="H733" s="518"/>
      <c r="I733" s="518"/>
      <c r="J733" s="518"/>
      <c r="K733" s="518"/>
      <c r="L733" s="518"/>
      <c r="M733" s="518"/>
      <c r="N733" s="518"/>
      <c r="O733" s="518"/>
      <c r="P733" s="518"/>
      <c r="Q733" s="518"/>
      <c r="R733" s="518"/>
      <c r="S733" s="518"/>
      <c r="T733" s="518"/>
      <c r="U733" s="518"/>
      <c r="V733" s="518"/>
      <c r="W733" s="518"/>
      <c r="X733" s="518"/>
      <c r="Y733" s="518"/>
      <c r="Z733" s="518"/>
      <c r="AA733" s="518"/>
      <c r="AB733" s="518"/>
      <c r="AC733" s="518"/>
      <c r="AD733" s="518"/>
      <c r="AE733" s="518"/>
      <c r="AF733" s="518"/>
      <c r="AG733" s="518"/>
      <c r="AH733" s="518"/>
      <c r="AJ733" s="595"/>
    </row>
    <row r="734" spans="1:36" hidden="1" x14ac:dyDescent="0.45">
      <c r="A734" s="518"/>
      <c r="B734" s="907" t="s">
        <v>101</v>
      </c>
      <c r="C734" s="907"/>
      <c r="D734" s="907"/>
      <c r="E734" s="907"/>
      <c r="F734" s="907"/>
      <c r="G734" s="907"/>
      <c r="H734" s="907"/>
      <c r="I734" s="907"/>
      <c r="J734" s="907"/>
      <c r="K734" s="907"/>
      <c r="L734" s="907"/>
      <c r="M734" s="907"/>
      <c r="N734" s="907"/>
      <c r="O734" s="907"/>
      <c r="P734" s="907"/>
      <c r="Q734" s="907"/>
      <c r="R734" s="907"/>
      <c r="S734" s="907"/>
      <c r="T734" s="907"/>
      <c r="U734" s="907"/>
      <c r="V734" s="907"/>
      <c r="W734" s="907"/>
      <c r="X734" s="907"/>
      <c r="Y734" s="907"/>
      <c r="Z734" s="907"/>
      <c r="AA734" s="907"/>
      <c r="AB734" s="907"/>
      <c r="AC734" s="907"/>
      <c r="AD734" s="907"/>
      <c r="AE734" s="907"/>
      <c r="AF734" s="907"/>
      <c r="AG734" s="907"/>
      <c r="AH734" s="518"/>
      <c r="AJ734" s="595"/>
    </row>
    <row r="735" spans="1:36" ht="304" hidden="1" customHeight="1" x14ac:dyDescent="0.45">
      <c r="A735" s="518"/>
      <c r="B735" s="1195"/>
      <c r="C735" s="1196"/>
      <c r="D735" s="1196"/>
      <c r="E735" s="1196"/>
      <c r="F735" s="1196"/>
      <c r="G735" s="1196"/>
      <c r="H735" s="1196"/>
      <c r="I735" s="1196"/>
      <c r="J735" s="1196"/>
      <c r="K735" s="1196"/>
      <c r="L735" s="1196"/>
      <c r="M735" s="1196"/>
      <c r="N735" s="1196"/>
      <c r="O735" s="1196"/>
      <c r="P735" s="1196"/>
      <c r="Q735" s="1196"/>
      <c r="R735" s="1196"/>
      <c r="S735" s="1196"/>
      <c r="T735" s="1196"/>
      <c r="U735" s="1196"/>
      <c r="V735" s="1196"/>
      <c r="W735" s="1196"/>
      <c r="X735" s="1196"/>
      <c r="Y735" s="1196"/>
      <c r="Z735" s="1196"/>
      <c r="AA735" s="1196"/>
      <c r="AB735" s="1196"/>
      <c r="AC735" s="1196"/>
      <c r="AD735" s="1196"/>
      <c r="AE735" s="1196"/>
      <c r="AF735" s="1196"/>
      <c r="AG735" s="1197"/>
      <c r="AH735" s="518"/>
      <c r="AJ735" s="595"/>
    </row>
    <row r="736" spans="1:36" ht="304" hidden="1" customHeight="1" x14ac:dyDescent="0.45">
      <c r="A736" s="518"/>
      <c r="B736" s="1198"/>
      <c r="C736" s="1199"/>
      <c r="D736" s="1199"/>
      <c r="E736" s="1199"/>
      <c r="F736" s="1199"/>
      <c r="G736" s="1199"/>
      <c r="H736" s="1199"/>
      <c r="I736" s="1199"/>
      <c r="J736" s="1199"/>
      <c r="K736" s="1199"/>
      <c r="L736" s="1199"/>
      <c r="M736" s="1199"/>
      <c r="N736" s="1199"/>
      <c r="O736" s="1199"/>
      <c r="P736" s="1199"/>
      <c r="Q736" s="1199"/>
      <c r="R736" s="1199"/>
      <c r="S736" s="1199"/>
      <c r="T736" s="1199"/>
      <c r="U736" s="1199"/>
      <c r="V736" s="1199"/>
      <c r="W736" s="1199"/>
      <c r="X736" s="1199"/>
      <c r="Y736" s="1199"/>
      <c r="Z736" s="1199"/>
      <c r="AA736" s="1199"/>
      <c r="AB736" s="1199"/>
      <c r="AC736" s="1199"/>
      <c r="AD736" s="1199"/>
      <c r="AE736" s="1199"/>
      <c r="AF736" s="1199"/>
      <c r="AG736" s="1200"/>
      <c r="AH736" s="518"/>
      <c r="AJ736" s="595"/>
    </row>
    <row r="737" spans="1:36" hidden="1" x14ac:dyDescent="0.45">
      <c r="A737" s="518"/>
      <c r="B737" s="517"/>
      <c r="C737" s="517"/>
      <c r="D737" s="517"/>
      <c r="E737" s="517"/>
      <c r="F737" s="517"/>
      <c r="G737" s="517"/>
      <c r="H737" s="517"/>
      <c r="I737" s="517"/>
      <c r="J737" s="517"/>
      <c r="K737" s="517"/>
      <c r="L737" s="517"/>
      <c r="M737" s="517"/>
      <c r="N737" s="517"/>
      <c r="O737" s="517"/>
      <c r="P737" s="517"/>
      <c r="Q737" s="517"/>
      <c r="R737" s="517"/>
      <c r="S737" s="517"/>
      <c r="T737" s="517"/>
      <c r="U737" s="517"/>
      <c r="V737" s="517"/>
      <c r="W737" s="517"/>
      <c r="X737" s="517"/>
      <c r="Y737" s="517"/>
      <c r="Z737" s="517"/>
      <c r="AA737" s="517"/>
      <c r="AB737" s="517"/>
      <c r="AC737" s="517"/>
      <c r="AD737" s="517"/>
      <c r="AE737" s="517"/>
      <c r="AF737" s="517"/>
      <c r="AG737" s="517"/>
      <c r="AH737" s="518"/>
      <c r="AJ737" s="595"/>
    </row>
    <row r="738" spans="1:36" hidden="1" x14ac:dyDescent="0.45">
      <c r="A738" s="518"/>
      <c r="B738" s="518"/>
      <c r="C738" s="518"/>
      <c r="D738" s="518"/>
      <c r="E738" s="518"/>
      <c r="F738" s="518"/>
      <c r="G738" s="518"/>
      <c r="H738" s="518"/>
      <c r="I738" s="518"/>
      <c r="J738" s="518"/>
      <c r="K738" s="518"/>
      <c r="L738" s="518"/>
      <c r="M738" s="518"/>
      <c r="N738" s="518"/>
      <c r="O738" s="518"/>
      <c r="P738" s="518"/>
      <c r="Q738" s="518"/>
      <c r="R738" s="518"/>
      <c r="S738" s="518"/>
      <c r="T738" s="518"/>
      <c r="U738" s="518"/>
      <c r="V738" s="518"/>
      <c r="W738" s="518"/>
      <c r="X738" s="518"/>
      <c r="Y738" s="518"/>
      <c r="Z738" s="518"/>
      <c r="AA738" s="518"/>
      <c r="AB738" s="518"/>
      <c r="AC738" s="518"/>
      <c r="AD738" s="518"/>
      <c r="AE738" s="518"/>
      <c r="AF738" s="518"/>
      <c r="AG738" s="518"/>
      <c r="AH738" s="518"/>
      <c r="AJ738" s="595" t="b">
        <f>AND(AJ$696,CH_OOR_UnrestrictedTotalRequested&gt;0)</f>
        <v>0</v>
      </c>
    </row>
    <row r="739" spans="1:36" hidden="1" x14ac:dyDescent="0.45">
      <c r="A739" s="518"/>
      <c r="B739" s="579" t="s">
        <v>1858</v>
      </c>
      <c r="C739" s="532"/>
      <c r="D739" s="532"/>
      <c r="E739" s="532"/>
      <c r="F739" s="532"/>
      <c r="G739" s="532"/>
      <c r="H739" s="532"/>
      <c r="I739" s="532"/>
      <c r="J739" s="532"/>
      <c r="K739" s="532"/>
      <c r="L739" s="532"/>
      <c r="M739" s="532"/>
      <c r="N739" s="532"/>
      <c r="O739" s="532"/>
      <c r="P739" s="532"/>
      <c r="Q739" s="532"/>
      <c r="R739" s="532"/>
      <c r="S739" s="532"/>
      <c r="T739" s="532"/>
      <c r="U739" s="532"/>
      <c r="V739" s="532"/>
      <c r="W739" s="532"/>
      <c r="X739" s="532"/>
      <c r="Y739" s="532"/>
      <c r="Z739" s="532"/>
      <c r="AA739" s="532"/>
      <c r="AB739" s="532"/>
      <c r="AC739" s="532"/>
      <c r="AD739" s="532"/>
      <c r="AE739" s="532"/>
      <c r="AF739" s="532"/>
      <c r="AG739" s="532"/>
      <c r="AH739" s="518"/>
      <c r="AJ739" s="595"/>
    </row>
    <row r="740" spans="1:36" hidden="1" x14ac:dyDescent="0.45">
      <c r="A740" s="518"/>
      <c r="B740" s="924" t="s">
        <v>107</v>
      </c>
      <c r="C740" s="925"/>
      <c r="D740" s="925"/>
      <c r="E740" s="925"/>
      <c r="F740" s="925"/>
      <c r="G740" s="925"/>
      <c r="H740" s="925"/>
      <c r="I740" s="925"/>
      <c r="J740" s="925"/>
      <c r="K740" s="925"/>
      <c r="L740" s="925"/>
      <c r="M740" s="925"/>
      <c r="N740" s="925"/>
      <c r="O740" s="925"/>
      <c r="P740" s="925"/>
      <c r="Q740" s="925"/>
      <c r="R740" s="925"/>
      <c r="S740" s="925"/>
      <c r="T740" s="925"/>
      <c r="U740" s="925"/>
      <c r="V740" s="925"/>
      <c r="W740" s="925"/>
      <c r="X740" s="925"/>
      <c r="Y740" s="925"/>
      <c r="Z740" s="925"/>
      <c r="AA740" s="925"/>
      <c r="AB740" s="925"/>
      <c r="AC740" s="925"/>
      <c r="AD740" s="925"/>
      <c r="AE740" s="925"/>
      <c r="AF740" s="925"/>
      <c r="AG740" s="925"/>
      <c r="AH740" s="518"/>
      <c r="AJ740" s="595"/>
    </row>
    <row r="741" spans="1:36" hidden="1" x14ac:dyDescent="0.45">
      <c r="A741" s="518"/>
      <c r="B741" s="594"/>
      <c r="C741" s="565"/>
      <c r="D741" s="565"/>
      <c r="E741" s="565"/>
      <c r="F741" s="565"/>
      <c r="G741" s="565"/>
      <c r="H741" s="565"/>
      <c r="I741" s="565"/>
      <c r="J741" s="565"/>
      <c r="K741" s="565"/>
      <c r="L741" s="565"/>
      <c r="M741" s="565"/>
      <c r="N741" s="565"/>
      <c r="O741" s="565"/>
      <c r="P741" s="565"/>
      <c r="Q741" s="565"/>
      <c r="R741" s="565"/>
      <c r="S741" s="565"/>
      <c r="T741" s="565"/>
      <c r="U741" s="565"/>
      <c r="V741" s="565"/>
      <c r="W741" s="565"/>
      <c r="X741" s="565"/>
      <c r="Y741" s="565"/>
      <c r="Z741" s="565"/>
      <c r="AA741" s="565"/>
      <c r="AB741" s="565"/>
      <c r="AC741" s="565"/>
      <c r="AD741" s="565"/>
      <c r="AE741" s="565"/>
      <c r="AF741" s="565"/>
      <c r="AG741" s="565"/>
      <c r="AH741" s="518"/>
      <c r="AJ741" s="595"/>
    </row>
    <row r="742" spans="1:36" hidden="1" x14ac:dyDescent="0.45">
      <c r="A742" s="518"/>
      <c r="B742" s="532" t="s">
        <v>1856</v>
      </c>
      <c r="C742" s="518"/>
      <c r="D742" s="518"/>
      <c r="E742" s="518"/>
      <c r="F742" s="518"/>
      <c r="G742" s="518"/>
      <c r="H742" s="518"/>
      <c r="I742" s="518"/>
      <c r="J742" s="518"/>
      <c r="K742" s="518"/>
      <c r="L742" s="518"/>
      <c r="M742" s="518"/>
      <c r="N742" s="518"/>
      <c r="O742" s="518"/>
      <c r="P742" s="518"/>
      <c r="Q742" s="518"/>
      <c r="R742" s="518"/>
      <c r="S742" s="518"/>
      <c r="T742" s="518"/>
      <c r="U742" s="518"/>
      <c r="V742" s="518"/>
      <c r="W742" s="518"/>
      <c r="X742" s="518"/>
      <c r="Y742" s="518"/>
      <c r="Z742" s="518"/>
      <c r="AA742" s="518"/>
      <c r="AB742" s="518"/>
      <c r="AC742" s="518"/>
      <c r="AD742" s="518"/>
      <c r="AE742" s="518"/>
      <c r="AF742" s="518"/>
      <c r="AG742" s="518"/>
      <c r="AH742" s="518"/>
      <c r="AJ742" s="595"/>
    </row>
    <row r="743" spans="1:36" ht="16" hidden="1" customHeight="1" x14ac:dyDescent="0.45">
      <c r="A743" s="518"/>
      <c r="B743" s="872" t="s">
        <v>108</v>
      </c>
      <c r="C743" s="872"/>
      <c r="D743" s="872"/>
      <c r="E743" s="872"/>
      <c r="F743" s="872"/>
      <c r="G743" s="872" t="s">
        <v>1828</v>
      </c>
      <c r="H743" s="872"/>
      <c r="I743" s="872" t="s">
        <v>204</v>
      </c>
      <c r="J743" s="872"/>
      <c r="K743" s="872" t="s">
        <v>1829</v>
      </c>
      <c r="L743" s="872"/>
      <c r="M743" s="872" t="s">
        <v>1830</v>
      </c>
      <c r="N743" s="872"/>
      <c r="O743" s="872" t="s">
        <v>1831</v>
      </c>
      <c r="P743" s="872"/>
      <c r="Q743" s="872" t="s">
        <v>110</v>
      </c>
      <c r="R743" s="872"/>
      <c r="S743" s="872"/>
      <c r="T743" s="872"/>
      <c r="U743" s="872" t="s">
        <v>111</v>
      </c>
      <c r="V743" s="872"/>
      <c r="W743" s="872"/>
      <c r="X743" s="872"/>
      <c r="Y743" s="872" t="s">
        <v>113</v>
      </c>
      <c r="Z743" s="872"/>
      <c r="AA743" s="872"/>
      <c r="AB743" s="872"/>
      <c r="AC743" s="862" t="s">
        <v>114</v>
      </c>
      <c r="AD743" s="892"/>
      <c r="AE743" s="518"/>
      <c r="AF743" s="518"/>
      <c r="AG743" s="529"/>
      <c r="AH743" s="529"/>
      <c r="AJ743" s="595"/>
    </row>
    <row r="744" spans="1:36" hidden="1" x14ac:dyDescent="0.45">
      <c r="A744" s="518"/>
      <c r="B744" s="872"/>
      <c r="C744" s="872"/>
      <c r="D744" s="872"/>
      <c r="E744" s="872"/>
      <c r="F744" s="872"/>
      <c r="G744" s="872"/>
      <c r="H744" s="872"/>
      <c r="I744" s="872"/>
      <c r="J744" s="872"/>
      <c r="K744" s="872"/>
      <c r="L744" s="872"/>
      <c r="M744" s="872"/>
      <c r="N744" s="872"/>
      <c r="O744" s="872"/>
      <c r="P744" s="872"/>
      <c r="Q744" s="872"/>
      <c r="R744" s="872"/>
      <c r="S744" s="872"/>
      <c r="T744" s="872"/>
      <c r="U744" s="872"/>
      <c r="V744" s="872"/>
      <c r="W744" s="872"/>
      <c r="X744" s="872"/>
      <c r="Y744" s="872"/>
      <c r="Z744" s="872"/>
      <c r="AA744" s="872"/>
      <c r="AB744" s="872"/>
      <c r="AC744" s="864"/>
      <c r="AD744" s="893"/>
      <c r="AE744" s="518"/>
      <c r="AF744" s="518"/>
      <c r="AG744" s="529"/>
      <c r="AH744" s="529"/>
      <c r="AJ744" s="595"/>
    </row>
    <row r="745" spans="1:36" ht="16" hidden="1" customHeight="1" x14ac:dyDescent="0.45">
      <c r="A745" s="518"/>
      <c r="B745" s="1085" t="s">
        <v>1405</v>
      </c>
      <c r="C745" s="1086"/>
      <c r="D745" s="1086"/>
      <c r="E745" s="1086"/>
      <c r="F745" s="1087"/>
      <c r="G745" s="885" t="str">
        <f>IF(CHOORData!T3&gt;0,CHOORData!T3,"")</f>
        <v/>
      </c>
      <c r="H745" s="885"/>
      <c r="I745" s="939">
        <f>CHOORData!W3</f>
        <v>0</v>
      </c>
      <c r="J745" s="1181"/>
      <c r="K745" s="939">
        <f>CHOORData!X3</f>
        <v>0</v>
      </c>
      <c r="L745" s="1181"/>
      <c r="M745" s="939">
        <f>CHOORData!Y3</f>
        <v>0</v>
      </c>
      <c r="N745" s="1181"/>
      <c r="O745" s="939">
        <f>CHOORData!Z3</f>
        <v>0</v>
      </c>
      <c r="P745" s="1181"/>
      <c r="Q745" s="940">
        <f>CHOORData!AA3</f>
        <v>0</v>
      </c>
      <c r="R745" s="940"/>
      <c r="S745" s="940"/>
      <c r="T745" s="940"/>
      <c r="U745" s="940">
        <f>CHOORData!BA3</f>
        <v>0</v>
      </c>
      <c r="V745" s="940"/>
      <c r="W745" s="940"/>
      <c r="X745" s="940"/>
      <c r="Y745" s="940">
        <f>SUM(Q745:X745)</f>
        <v>0</v>
      </c>
      <c r="Z745" s="940"/>
      <c r="AA745" s="940"/>
      <c r="AB745" s="940"/>
      <c r="AC745" s="859">
        <f>CHOORData!AB3</f>
        <v>0</v>
      </c>
      <c r="AD745" s="860"/>
      <c r="AE745" s="518"/>
      <c r="AF745" s="518"/>
      <c r="AG745" s="529"/>
      <c r="AH745" s="529"/>
      <c r="AJ745" s="595" t="b">
        <f>AND(AJ$738,Y745&gt;0)</f>
        <v>0</v>
      </c>
    </row>
    <row r="746" spans="1:36" ht="16" hidden="1" customHeight="1" x14ac:dyDescent="0.45">
      <c r="A746" s="518"/>
      <c r="B746" s="1085" t="s">
        <v>1406</v>
      </c>
      <c r="C746" s="1086"/>
      <c r="D746" s="1086"/>
      <c r="E746" s="1086"/>
      <c r="F746" s="1087"/>
      <c r="G746" s="885" t="str">
        <f>IF(CHOORData!T4&gt;0,CHOORData!T4,"")</f>
        <v/>
      </c>
      <c r="H746" s="885"/>
      <c r="I746" s="939">
        <f>CHOORData!W4</f>
        <v>0</v>
      </c>
      <c r="J746" s="1181"/>
      <c r="K746" s="939">
        <f>CHOORData!X4</f>
        <v>0</v>
      </c>
      <c r="L746" s="1181"/>
      <c r="M746" s="939">
        <f>CHOORData!Y4</f>
        <v>0</v>
      </c>
      <c r="N746" s="1181"/>
      <c r="O746" s="939">
        <f>CHOORData!Z4</f>
        <v>0</v>
      </c>
      <c r="P746" s="1181"/>
      <c r="Q746" s="940">
        <f>CHOORData!AA4</f>
        <v>0</v>
      </c>
      <c r="R746" s="940"/>
      <c r="S746" s="940"/>
      <c r="T746" s="940"/>
      <c r="U746" s="940">
        <f>CHOORData!BA4</f>
        <v>0</v>
      </c>
      <c r="V746" s="940"/>
      <c r="W746" s="940"/>
      <c r="X746" s="940"/>
      <c r="Y746" s="940">
        <f t="shared" ref="Y746:Y802" si="15">SUM(Q746:X746)</f>
        <v>0</v>
      </c>
      <c r="Z746" s="940"/>
      <c r="AA746" s="940"/>
      <c r="AB746" s="940"/>
      <c r="AC746" s="859">
        <f>CHOORData!AB4</f>
        <v>0</v>
      </c>
      <c r="AD746" s="860"/>
      <c r="AE746" s="518"/>
      <c r="AF746" s="518"/>
      <c r="AG746" s="529"/>
      <c r="AH746" s="529"/>
      <c r="AJ746" s="595" t="b">
        <f t="shared" ref="AJ746:AJ802" si="16">AND(AJ$738,Y746&gt;0)</f>
        <v>0</v>
      </c>
    </row>
    <row r="747" spans="1:36" ht="16" hidden="1" customHeight="1" x14ac:dyDescent="0.45">
      <c r="A747" s="518"/>
      <c r="B747" s="1085" t="s">
        <v>1407</v>
      </c>
      <c r="C747" s="1086"/>
      <c r="D747" s="1086"/>
      <c r="E747" s="1086"/>
      <c r="F747" s="1087"/>
      <c r="G747" s="885" t="str">
        <f>IF(CHOORData!T5&gt;0,CHOORData!T5,"")</f>
        <v/>
      </c>
      <c r="H747" s="885"/>
      <c r="I747" s="939">
        <f>CHOORData!W5</f>
        <v>0</v>
      </c>
      <c r="J747" s="1181"/>
      <c r="K747" s="939">
        <f>CHOORData!X5</f>
        <v>0</v>
      </c>
      <c r="L747" s="1181"/>
      <c r="M747" s="939">
        <f>CHOORData!Y5</f>
        <v>0</v>
      </c>
      <c r="N747" s="1181"/>
      <c r="O747" s="939">
        <f>CHOORData!Z5</f>
        <v>0</v>
      </c>
      <c r="P747" s="1181"/>
      <c r="Q747" s="940">
        <f>CHOORData!AA5</f>
        <v>0</v>
      </c>
      <c r="R747" s="940"/>
      <c r="S747" s="940"/>
      <c r="T747" s="940"/>
      <c r="U747" s="940">
        <f>CHOORData!BA5</f>
        <v>0</v>
      </c>
      <c r="V747" s="940"/>
      <c r="W747" s="940"/>
      <c r="X747" s="940"/>
      <c r="Y747" s="940">
        <f t="shared" si="15"/>
        <v>0</v>
      </c>
      <c r="Z747" s="940"/>
      <c r="AA747" s="940"/>
      <c r="AB747" s="940"/>
      <c r="AC747" s="859">
        <f>CHOORData!AB5</f>
        <v>0</v>
      </c>
      <c r="AD747" s="860"/>
      <c r="AE747" s="518"/>
      <c r="AF747" s="518"/>
      <c r="AG747" s="529"/>
      <c r="AH747" s="529"/>
      <c r="AJ747" s="595" t="b">
        <f t="shared" si="16"/>
        <v>0</v>
      </c>
    </row>
    <row r="748" spans="1:36" ht="16" hidden="1" customHeight="1" x14ac:dyDescent="0.45">
      <c r="A748" s="518"/>
      <c r="B748" s="1085" t="s">
        <v>1408</v>
      </c>
      <c r="C748" s="1086"/>
      <c r="D748" s="1086"/>
      <c r="E748" s="1086"/>
      <c r="F748" s="1087"/>
      <c r="G748" s="885" t="str">
        <f>IF(CHOORData!T6&gt;0,CHOORData!T6,"")</f>
        <v/>
      </c>
      <c r="H748" s="885"/>
      <c r="I748" s="939">
        <f>CHOORData!W6</f>
        <v>0</v>
      </c>
      <c r="J748" s="1181"/>
      <c r="K748" s="939">
        <f>CHOORData!X6</f>
        <v>0</v>
      </c>
      <c r="L748" s="1181"/>
      <c r="M748" s="939">
        <f>CHOORData!Y6</f>
        <v>0</v>
      </c>
      <c r="N748" s="1181"/>
      <c r="O748" s="939">
        <f>CHOORData!Z6</f>
        <v>0</v>
      </c>
      <c r="P748" s="1181"/>
      <c r="Q748" s="940">
        <f>CHOORData!AA6</f>
        <v>0</v>
      </c>
      <c r="R748" s="940"/>
      <c r="S748" s="940"/>
      <c r="T748" s="940"/>
      <c r="U748" s="940">
        <f>CHOORData!BA6</f>
        <v>0</v>
      </c>
      <c r="V748" s="940"/>
      <c r="W748" s="940"/>
      <c r="X748" s="940"/>
      <c r="Y748" s="940">
        <f t="shared" si="15"/>
        <v>0</v>
      </c>
      <c r="Z748" s="940"/>
      <c r="AA748" s="940"/>
      <c r="AB748" s="940"/>
      <c r="AC748" s="859">
        <f>CHOORData!AB6</f>
        <v>0</v>
      </c>
      <c r="AD748" s="860"/>
      <c r="AE748" s="518"/>
      <c r="AF748" s="518"/>
      <c r="AG748" s="529"/>
      <c r="AH748" s="529"/>
      <c r="AJ748" s="595" t="b">
        <f t="shared" si="16"/>
        <v>0</v>
      </c>
    </row>
    <row r="749" spans="1:36" ht="16" hidden="1" customHeight="1" x14ac:dyDescent="0.45">
      <c r="A749" s="518"/>
      <c r="B749" s="1085" t="s">
        <v>1409</v>
      </c>
      <c r="C749" s="1086"/>
      <c r="D749" s="1086"/>
      <c r="E749" s="1086"/>
      <c r="F749" s="1087"/>
      <c r="G749" s="885" t="str">
        <f>IF(CHOORData!T7&gt;0,CHOORData!T7,"")</f>
        <v/>
      </c>
      <c r="H749" s="885"/>
      <c r="I749" s="939">
        <f>CHOORData!W7</f>
        <v>0</v>
      </c>
      <c r="J749" s="1181"/>
      <c r="K749" s="939">
        <f>CHOORData!X7</f>
        <v>0</v>
      </c>
      <c r="L749" s="1181"/>
      <c r="M749" s="939">
        <f>CHOORData!Y7</f>
        <v>0</v>
      </c>
      <c r="N749" s="1181"/>
      <c r="O749" s="939">
        <f>CHOORData!Z7</f>
        <v>0</v>
      </c>
      <c r="P749" s="1181"/>
      <c r="Q749" s="940">
        <f>CHOORData!AA7</f>
        <v>0</v>
      </c>
      <c r="R749" s="940"/>
      <c r="S749" s="940"/>
      <c r="T749" s="940"/>
      <c r="U749" s="940">
        <f>CHOORData!BA7</f>
        <v>0</v>
      </c>
      <c r="V749" s="940"/>
      <c r="W749" s="940"/>
      <c r="X749" s="940"/>
      <c r="Y749" s="940">
        <f t="shared" si="15"/>
        <v>0</v>
      </c>
      <c r="Z749" s="940"/>
      <c r="AA749" s="940"/>
      <c r="AB749" s="940"/>
      <c r="AC749" s="859">
        <f>CHOORData!AB7</f>
        <v>0</v>
      </c>
      <c r="AD749" s="860"/>
      <c r="AE749" s="518"/>
      <c r="AF749" s="518"/>
      <c r="AG749" s="529"/>
      <c r="AH749" s="529"/>
      <c r="AJ749" s="595" t="b">
        <f t="shared" si="16"/>
        <v>0</v>
      </c>
    </row>
    <row r="750" spans="1:36" ht="16" hidden="1" customHeight="1" x14ac:dyDescent="0.45">
      <c r="A750" s="518"/>
      <c r="B750" s="1085" t="s">
        <v>1410</v>
      </c>
      <c r="C750" s="1086"/>
      <c r="D750" s="1086"/>
      <c r="E750" s="1086"/>
      <c r="F750" s="1087"/>
      <c r="G750" s="885" t="str">
        <f>IF(CHOORData!T8&gt;0,CHOORData!T8,"")</f>
        <v/>
      </c>
      <c r="H750" s="885"/>
      <c r="I750" s="939">
        <f>CHOORData!W8</f>
        <v>0</v>
      </c>
      <c r="J750" s="1181"/>
      <c r="K750" s="939">
        <f>CHOORData!X8</f>
        <v>0</v>
      </c>
      <c r="L750" s="1181"/>
      <c r="M750" s="939">
        <f>CHOORData!Y8</f>
        <v>0</v>
      </c>
      <c r="N750" s="1181"/>
      <c r="O750" s="939">
        <f>CHOORData!Z8</f>
        <v>0</v>
      </c>
      <c r="P750" s="1181"/>
      <c r="Q750" s="940">
        <f>CHOORData!AA8</f>
        <v>0</v>
      </c>
      <c r="R750" s="940"/>
      <c r="S750" s="940"/>
      <c r="T750" s="940"/>
      <c r="U750" s="940">
        <f>CHOORData!BA8</f>
        <v>0</v>
      </c>
      <c r="V750" s="940"/>
      <c r="W750" s="940"/>
      <c r="X750" s="940"/>
      <c r="Y750" s="940">
        <f t="shared" si="15"/>
        <v>0</v>
      </c>
      <c r="Z750" s="940"/>
      <c r="AA750" s="940"/>
      <c r="AB750" s="940"/>
      <c r="AC750" s="859">
        <f>CHOORData!AB8</f>
        <v>0</v>
      </c>
      <c r="AD750" s="860"/>
      <c r="AE750" s="518"/>
      <c r="AF750" s="518"/>
      <c r="AG750" s="529"/>
      <c r="AH750" s="529"/>
      <c r="AJ750" s="595" t="b">
        <f t="shared" si="16"/>
        <v>0</v>
      </c>
    </row>
    <row r="751" spans="1:36" ht="16" hidden="1" customHeight="1" x14ac:dyDescent="0.45">
      <c r="A751" s="518"/>
      <c r="B751" s="1085" t="s">
        <v>1411</v>
      </c>
      <c r="C751" s="1086"/>
      <c r="D751" s="1086"/>
      <c r="E751" s="1086"/>
      <c r="F751" s="1087"/>
      <c r="G751" s="885" t="str">
        <f>IF(CHOORData!T9&gt;0,CHOORData!T9,"")</f>
        <v/>
      </c>
      <c r="H751" s="885"/>
      <c r="I751" s="939">
        <f>CHOORData!W9</f>
        <v>0</v>
      </c>
      <c r="J751" s="1181"/>
      <c r="K751" s="939">
        <f>CHOORData!X9</f>
        <v>0</v>
      </c>
      <c r="L751" s="1181"/>
      <c r="M751" s="939">
        <f>CHOORData!Y9</f>
        <v>0</v>
      </c>
      <c r="N751" s="1181"/>
      <c r="O751" s="939">
        <f>CHOORData!Z9</f>
        <v>0</v>
      </c>
      <c r="P751" s="1181"/>
      <c r="Q751" s="940">
        <f>CHOORData!AA9</f>
        <v>0</v>
      </c>
      <c r="R751" s="940"/>
      <c r="S751" s="940"/>
      <c r="T751" s="940"/>
      <c r="U751" s="940">
        <f>CHOORData!BA9</f>
        <v>0</v>
      </c>
      <c r="V751" s="940"/>
      <c r="W751" s="940"/>
      <c r="X751" s="940"/>
      <c r="Y751" s="940">
        <f t="shared" si="15"/>
        <v>0</v>
      </c>
      <c r="Z751" s="940"/>
      <c r="AA751" s="940"/>
      <c r="AB751" s="940"/>
      <c r="AC751" s="859">
        <f>CHOORData!AB9</f>
        <v>0</v>
      </c>
      <c r="AD751" s="860"/>
      <c r="AE751" s="518"/>
      <c r="AF751" s="518"/>
      <c r="AG751" s="529"/>
      <c r="AH751" s="529"/>
      <c r="AJ751" s="595" t="b">
        <f t="shared" si="16"/>
        <v>0</v>
      </c>
    </row>
    <row r="752" spans="1:36" ht="16" hidden="1" customHeight="1" x14ac:dyDescent="0.45">
      <c r="A752" s="518"/>
      <c r="B752" s="1085" t="s">
        <v>1412</v>
      </c>
      <c r="C752" s="1086"/>
      <c r="D752" s="1086"/>
      <c r="E752" s="1086"/>
      <c r="F752" s="1087"/>
      <c r="G752" s="885" t="str">
        <f>IF(CHOORData!T10&gt;0,CHOORData!T10,"")</f>
        <v/>
      </c>
      <c r="H752" s="885"/>
      <c r="I752" s="939">
        <f>CHOORData!W10</f>
        <v>0</v>
      </c>
      <c r="J752" s="1181"/>
      <c r="K752" s="939">
        <f>CHOORData!X10</f>
        <v>0</v>
      </c>
      <c r="L752" s="1181"/>
      <c r="M752" s="939">
        <f>CHOORData!Y10</f>
        <v>0</v>
      </c>
      <c r="N752" s="1181"/>
      <c r="O752" s="939">
        <f>CHOORData!Z10</f>
        <v>0</v>
      </c>
      <c r="P752" s="1181"/>
      <c r="Q752" s="940">
        <f>CHOORData!AA10</f>
        <v>0</v>
      </c>
      <c r="R752" s="940"/>
      <c r="S752" s="940"/>
      <c r="T752" s="940"/>
      <c r="U752" s="940">
        <f>CHOORData!BA10</f>
        <v>0</v>
      </c>
      <c r="V752" s="940"/>
      <c r="W752" s="940"/>
      <c r="X752" s="940"/>
      <c r="Y752" s="940">
        <f t="shared" si="15"/>
        <v>0</v>
      </c>
      <c r="Z752" s="940"/>
      <c r="AA752" s="940"/>
      <c r="AB752" s="940"/>
      <c r="AC752" s="859">
        <f>CHOORData!AB10</f>
        <v>0</v>
      </c>
      <c r="AD752" s="860"/>
      <c r="AE752" s="518"/>
      <c r="AF752" s="518"/>
      <c r="AG752" s="529"/>
      <c r="AH752" s="529"/>
      <c r="AJ752" s="595" t="b">
        <f t="shared" si="16"/>
        <v>0</v>
      </c>
    </row>
    <row r="753" spans="1:36" ht="16" hidden="1" customHeight="1" x14ac:dyDescent="0.45">
      <c r="A753" s="518"/>
      <c r="B753" s="1085" t="s">
        <v>1413</v>
      </c>
      <c r="C753" s="1086"/>
      <c r="D753" s="1086"/>
      <c r="E753" s="1086"/>
      <c r="F753" s="1087"/>
      <c r="G753" s="885" t="str">
        <f>IF(CHOORData!T11&gt;0,CHOORData!T11,"")</f>
        <v/>
      </c>
      <c r="H753" s="885"/>
      <c r="I753" s="939">
        <f>CHOORData!W11</f>
        <v>0</v>
      </c>
      <c r="J753" s="1181"/>
      <c r="K753" s="939">
        <f>CHOORData!X11</f>
        <v>0</v>
      </c>
      <c r="L753" s="1181"/>
      <c r="M753" s="939">
        <f>CHOORData!Y11</f>
        <v>0</v>
      </c>
      <c r="N753" s="1181"/>
      <c r="O753" s="939">
        <f>CHOORData!Z11</f>
        <v>0</v>
      </c>
      <c r="P753" s="1181"/>
      <c r="Q753" s="940">
        <f>CHOORData!AA11</f>
        <v>0</v>
      </c>
      <c r="R753" s="940"/>
      <c r="S753" s="940"/>
      <c r="T753" s="940"/>
      <c r="U753" s="940">
        <f>CHOORData!BA11</f>
        <v>0</v>
      </c>
      <c r="V753" s="940"/>
      <c r="W753" s="940"/>
      <c r="X753" s="940"/>
      <c r="Y753" s="940">
        <f t="shared" si="15"/>
        <v>0</v>
      </c>
      <c r="Z753" s="940"/>
      <c r="AA753" s="940"/>
      <c r="AB753" s="940"/>
      <c r="AC753" s="859">
        <f>CHOORData!AB11</f>
        <v>0</v>
      </c>
      <c r="AD753" s="860"/>
      <c r="AE753" s="518"/>
      <c r="AF753" s="518"/>
      <c r="AG753" s="529"/>
      <c r="AH753" s="529"/>
      <c r="AJ753" s="595" t="b">
        <f t="shared" si="16"/>
        <v>0</v>
      </c>
    </row>
    <row r="754" spans="1:36" ht="16" hidden="1" customHeight="1" x14ac:dyDescent="0.45">
      <c r="A754" s="518"/>
      <c r="B754" s="1085" t="s">
        <v>1414</v>
      </c>
      <c r="C754" s="1086"/>
      <c r="D754" s="1086"/>
      <c r="E754" s="1086"/>
      <c r="F754" s="1087"/>
      <c r="G754" s="885" t="str">
        <f>IF(CHOORData!T12&gt;0,CHOORData!T12,"")</f>
        <v/>
      </c>
      <c r="H754" s="885"/>
      <c r="I754" s="939">
        <f>CHOORData!W12</f>
        <v>0</v>
      </c>
      <c r="J754" s="1181"/>
      <c r="K754" s="939">
        <f>CHOORData!X12</f>
        <v>0</v>
      </c>
      <c r="L754" s="1181"/>
      <c r="M754" s="939">
        <f>CHOORData!Y12</f>
        <v>0</v>
      </c>
      <c r="N754" s="1181"/>
      <c r="O754" s="939">
        <f>CHOORData!Z12</f>
        <v>0</v>
      </c>
      <c r="P754" s="1181"/>
      <c r="Q754" s="940">
        <f>CHOORData!AA12</f>
        <v>0</v>
      </c>
      <c r="R754" s="940"/>
      <c r="S754" s="940"/>
      <c r="T754" s="940"/>
      <c r="U754" s="940">
        <f>CHOORData!BA12</f>
        <v>0</v>
      </c>
      <c r="V754" s="940"/>
      <c r="W754" s="940"/>
      <c r="X754" s="940"/>
      <c r="Y754" s="940">
        <f t="shared" si="15"/>
        <v>0</v>
      </c>
      <c r="Z754" s="940"/>
      <c r="AA754" s="940"/>
      <c r="AB754" s="940"/>
      <c r="AC754" s="859">
        <f>CHOORData!AB12</f>
        <v>0</v>
      </c>
      <c r="AD754" s="860"/>
      <c r="AE754" s="518"/>
      <c r="AF754" s="518"/>
      <c r="AG754" s="529"/>
      <c r="AH754" s="529"/>
      <c r="AJ754" s="595" t="b">
        <f t="shared" si="16"/>
        <v>0</v>
      </c>
    </row>
    <row r="755" spans="1:36" ht="16" hidden="1" customHeight="1" x14ac:dyDescent="0.45">
      <c r="A755" s="518"/>
      <c r="B755" s="1085" t="s">
        <v>1415</v>
      </c>
      <c r="C755" s="1086"/>
      <c r="D755" s="1086"/>
      <c r="E755" s="1086"/>
      <c r="F755" s="1087"/>
      <c r="G755" s="885" t="str">
        <f>IF(CHOORData!T13&gt;0,CHOORData!T13,"")</f>
        <v/>
      </c>
      <c r="H755" s="885"/>
      <c r="I755" s="939">
        <f>CHOORData!W13</f>
        <v>0</v>
      </c>
      <c r="J755" s="1181"/>
      <c r="K755" s="939">
        <f>CHOORData!X13</f>
        <v>0</v>
      </c>
      <c r="L755" s="1181"/>
      <c r="M755" s="939">
        <f>CHOORData!Y13</f>
        <v>0</v>
      </c>
      <c r="N755" s="1181"/>
      <c r="O755" s="939">
        <f>CHOORData!Z13</f>
        <v>0</v>
      </c>
      <c r="P755" s="1181"/>
      <c r="Q755" s="940">
        <f>CHOORData!AA13</f>
        <v>0</v>
      </c>
      <c r="R755" s="940"/>
      <c r="S755" s="940"/>
      <c r="T755" s="940"/>
      <c r="U755" s="940">
        <f>CHOORData!BA13</f>
        <v>0</v>
      </c>
      <c r="V755" s="940"/>
      <c r="W755" s="940"/>
      <c r="X755" s="940"/>
      <c r="Y755" s="940">
        <f t="shared" si="15"/>
        <v>0</v>
      </c>
      <c r="Z755" s="940"/>
      <c r="AA755" s="940"/>
      <c r="AB755" s="940"/>
      <c r="AC755" s="859">
        <f>CHOORData!AB13</f>
        <v>0</v>
      </c>
      <c r="AD755" s="860"/>
      <c r="AE755" s="518"/>
      <c r="AF755" s="518"/>
      <c r="AG755" s="529"/>
      <c r="AH755" s="529"/>
      <c r="AJ755" s="595" t="b">
        <f t="shared" si="16"/>
        <v>0</v>
      </c>
    </row>
    <row r="756" spans="1:36" ht="16" hidden="1" customHeight="1" x14ac:dyDescent="0.45">
      <c r="A756" s="518"/>
      <c r="B756" s="1085" t="s">
        <v>1416</v>
      </c>
      <c r="C756" s="1086"/>
      <c r="D756" s="1086"/>
      <c r="E756" s="1086"/>
      <c r="F756" s="1087"/>
      <c r="G756" s="885" t="str">
        <f>IF(CHOORData!T14&gt;0,CHOORData!T14,"")</f>
        <v/>
      </c>
      <c r="H756" s="885"/>
      <c r="I756" s="939">
        <f>CHOORData!W14</f>
        <v>0</v>
      </c>
      <c r="J756" s="1181"/>
      <c r="K756" s="939">
        <f>CHOORData!X14</f>
        <v>0</v>
      </c>
      <c r="L756" s="1181"/>
      <c r="M756" s="939">
        <f>CHOORData!Y14</f>
        <v>0</v>
      </c>
      <c r="N756" s="1181"/>
      <c r="O756" s="939">
        <f>CHOORData!Z14</f>
        <v>0</v>
      </c>
      <c r="P756" s="1181"/>
      <c r="Q756" s="940">
        <f>CHOORData!AA14</f>
        <v>0</v>
      </c>
      <c r="R756" s="940"/>
      <c r="S756" s="940"/>
      <c r="T756" s="940"/>
      <c r="U756" s="940">
        <f>CHOORData!BA14</f>
        <v>0</v>
      </c>
      <c r="V756" s="940"/>
      <c r="W756" s="940"/>
      <c r="X756" s="940"/>
      <c r="Y756" s="940">
        <f t="shared" si="15"/>
        <v>0</v>
      </c>
      <c r="Z756" s="940"/>
      <c r="AA756" s="940"/>
      <c r="AB756" s="940"/>
      <c r="AC756" s="859">
        <f>CHOORData!AB14</f>
        <v>0</v>
      </c>
      <c r="AD756" s="860"/>
      <c r="AE756" s="518"/>
      <c r="AF756" s="518"/>
      <c r="AG756" s="529"/>
      <c r="AH756" s="529"/>
      <c r="AJ756" s="595" t="b">
        <f t="shared" si="16"/>
        <v>0</v>
      </c>
    </row>
    <row r="757" spans="1:36" ht="16" hidden="1" customHeight="1" x14ac:dyDescent="0.45">
      <c r="A757" s="518"/>
      <c r="B757" s="1085" t="s">
        <v>1417</v>
      </c>
      <c r="C757" s="1086"/>
      <c r="D757" s="1086"/>
      <c r="E757" s="1086"/>
      <c r="F757" s="1087"/>
      <c r="G757" s="885" t="str">
        <f>IF(CHOORData!T15&gt;0,CHOORData!T15,"")</f>
        <v/>
      </c>
      <c r="H757" s="885"/>
      <c r="I757" s="939">
        <f>CHOORData!W15</f>
        <v>0</v>
      </c>
      <c r="J757" s="1181"/>
      <c r="K757" s="939">
        <f>CHOORData!X15</f>
        <v>0</v>
      </c>
      <c r="L757" s="1181"/>
      <c r="M757" s="939">
        <f>CHOORData!Y15</f>
        <v>0</v>
      </c>
      <c r="N757" s="1181"/>
      <c r="O757" s="939">
        <f>CHOORData!Z15</f>
        <v>0</v>
      </c>
      <c r="P757" s="1181"/>
      <c r="Q757" s="940">
        <f>CHOORData!AA15</f>
        <v>0</v>
      </c>
      <c r="R757" s="940"/>
      <c r="S757" s="940"/>
      <c r="T757" s="940"/>
      <c r="U757" s="940">
        <f>CHOORData!BA15</f>
        <v>0</v>
      </c>
      <c r="V757" s="940"/>
      <c r="W757" s="940"/>
      <c r="X757" s="940"/>
      <c r="Y757" s="940">
        <f t="shared" si="15"/>
        <v>0</v>
      </c>
      <c r="Z757" s="940"/>
      <c r="AA757" s="940"/>
      <c r="AB757" s="940"/>
      <c r="AC757" s="859">
        <f>CHOORData!AB15</f>
        <v>0</v>
      </c>
      <c r="AD757" s="860"/>
      <c r="AE757" s="518"/>
      <c r="AF757" s="518"/>
      <c r="AG757" s="529"/>
      <c r="AH757" s="529"/>
      <c r="AJ757" s="595" t="b">
        <f t="shared" si="16"/>
        <v>0</v>
      </c>
    </row>
    <row r="758" spans="1:36" ht="16" hidden="1" customHeight="1" x14ac:dyDescent="0.45">
      <c r="A758" s="518"/>
      <c r="B758" s="1085" t="s">
        <v>1418</v>
      </c>
      <c r="C758" s="1086"/>
      <c r="D758" s="1086"/>
      <c r="E758" s="1086"/>
      <c r="F758" s="1087"/>
      <c r="G758" s="885" t="str">
        <f>IF(CHOORData!T16&gt;0,CHOORData!T16,"")</f>
        <v/>
      </c>
      <c r="H758" s="885"/>
      <c r="I758" s="939">
        <f>CHOORData!W16</f>
        <v>0</v>
      </c>
      <c r="J758" s="1181"/>
      <c r="K758" s="939">
        <f>CHOORData!X16</f>
        <v>0</v>
      </c>
      <c r="L758" s="1181"/>
      <c r="M758" s="939">
        <f>CHOORData!Y16</f>
        <v>0</v>
      </c>
      <c r="N758" s="1181"/>
      <c r="O758" s="939">
        <f>CHOORData!Z16</f>
        <v>0</v>
      </c>
      <c r="P758" s="1181"/>
      <c r="Q758" s="940">
        <f>CHOORData!AA16</f>
        <v>0</v>
      </c>
      <c r="R758" s="940"/>
      <c r="S758" s="940"/>
      <c r="T758" s="940"/>
      <c r="U758" s="940">
        <f>CHOORData!BA16</f>
        <v>0</v>
      </c>
      <c r="V758" s="940"/>
      <c r="W758" s="940"/>
      <c r="X758" s="940"/>
      <c r="Y758" s="940">
        <f t="shared" si="15"/>
        <v>0</v>
      </c>
      <c r="Z758" s="940"/>
      <c r="AA758" s="940"/>
      <c r="AB758" s="940"/>
      <c r="AC758" s="859">
        <f>CHOORData!AB16</f>
        <v>0</v>
      </c>
      <c r="AD758" s="860"/>
      <c r="AE758" s="518"/>
      <c r="AF758" s="518"/>
      <c r="AG758" s="529"/>
      <c r="AH758" s="529"/>
      <c r="AJ758" s="595" t="b">
        <f t="shared" si="16"/>
        <v>0</v>
      </c>
    </row>
    <row r="759" spans="1:36" ht="16" hidden="1" customHeight="1" x14ac:dyDescent="0.45">
      <c r="A759" s="518"/>
      <c r="B759" s="1085" t="s">
        <v>1419</v>
      </c>
      <c r="C759" s="1086"/>
      <c r="D759" s="1086"/>
      <c r="E759" s="1086"/>
      <c r="F759" s="1087"/>
      <c r="G759" s="885" t="str">
        <f>IF(CHOORData!T17&gt;0,CHOORData!T17,"")</f>
        <v/>
      </c>
      <c r="H759" s="885"/>
      <c r="I759" s="939">
        <f>CHOORData!W17</f>
        <v>0</v>
      </c>
      <c r="J759" s="1181"/>
      <c r="K759" s="939">
        <f>CHOORData!X17</f>
        <v>0</v>
      </c>
      <c r="L759" s="1181"/>
      <c r="M759" s="939">
        <f>CHOORData!Y17</f>
        <v>0</v>
      </c>
      <c r="N759" s="1181"/>
      <c r="O759" s="939">
        <f>CHOORData!Z17</f>
        <v>0</v>
      </c>
      <c r="P759" s="1181"/>
      <c r="Q759" s="940">
        <f>CHOORData!AA17</f>
        <v>0</v>
      </c>
      <c r="R759" s="940"/>
      <c r="S759" s="940"/>
      <c r="T759" s="940"/>
      <c r="U759" s="940">
        <f>CHOORData!BA17</f>
        <v>0</v>
      </c>
      <c r="V759" s="940"/>
      <c r="W759" s="940"/>
      <c r="X759" s="940"/>
      <c r="Y759" s="940">
        <f t="shared" si="15"/>
        <v>0</v>
      </c>
      <c r="Z759" s="940"/>
      <c r="AA759" s="940"/>
      <c r="AB759" s="940"/>
      <c r="AC759" s="859">
        <f>CHOORData!AB17</f>
        <v>0</v>
      </c>
      <c r="AD759" s="860"/>
      <c r="AE759" s="518"/>
      <c r="AF759" s="518"/>
      <c r="AG759" s="529"/>
      <c r="AH759" s="529"/>
      <c r="AJ759" s="595" t="b">
        <f t="shared" si="16"/>
        <v>0</v>
      </c>
    </row>
    <row r="760" spans="1:36" ht="16" hidden="1" customHeight="1" x14ac:dyDescent="0.45">
      <c r="A760" s="518"/>
      <c r="B760" s="1085" t="s">
        <v>1420</v>
      </c>
      <c r="C760" s="1086"/>
      <c r="D760" s="1086"/>
      <c r="E760" s="1086"/>
      <c r="F760" s="1087"/>
      <c r="G760" s="885" t="str">
        <f>IF(CHOORData!T18&gt;0,CHOORData!T18,"")</f>
        <v/>
      </c>
      <c r="H760" s="885"/>
      <c r="I760" s="939">
        <f>CHOORData!W18</f>
        <v>0</v>
      </c>
      <c r="J760" s="1181"/>
      <c r="K760" s="939">
        <f>CHOORData!X18</f>
        <v>0</v>
      </c>
      <c r="L760" s="1181"/>
      <c r="M760" s="939">
        <f>CHOORData!Y18</f>
        <v>0</v>
      </c>
      <c r="N760" s="1181"/>
      <c r="O760" s="939">
        <f>CHOORData!Z18</f>
        <v>0</v>
      </c>
      <c r="P760" s="1181"/>
      <c r="Q760" s="940">
        <f>CHOORData!AA18</f>
        <v>0</v>
      </c>
      <c r="R760" s="940"/>
      <c r="S760" s="940"/>
      <c r="T760" s="940"/>
      <c r="U760" s="940">
        <f>CHOORData!BA18</f>
        <v>0</v>
      </c>
      <c r="V760" s="940"/>
      <c r="W760" s="940"/>
      <c r="X760" s="940"/>
      <c r="Y760" s="940">
        <f t="shared" si="15"/>
        <v>0</v>
      </c>
      <c r="Z760" s="940"/>
      <c r="AA760" s="940"/>
      <c r="AB760" s="940"/>
      <c r="AC760" s="859">
        <f>CHOORData!AB18</f>
        <v>0</v>
      </c>
      <c r="AD760" s="860"/>
      <c r="AE760" s="518"/>
      <c r="AF760" s="518"/>
      <c r="AG760" s="529"/>
      <c r="AH760" s="529"/>
      <c r="AJ760" s="595" t="b">
        <f t="shared" si="16"/>
        <v>0</v>
      </c>
    </row>
    <row r="761" spans="1:36" ht="16" hidden="1" customHeight="1" x14ac:dyDescent="0.45">
      <c r="A761" s="518"/>
      <c r="B761" s="1085" t="s">
        <v>1421</v>
      </c>
      <c r="C761" s="1086"/>
      <c r="D761" s="1086"/>
      <c r="E761" s="1086"/>
      <c r="F761" s="1087"/>
      <c r="G761" s="885" t="str">
        <f>IF(CHOORData!T19&gt;0,CHOORData!T19,"")</f>
        <v/>
      </c>
      <c r="H761" s="885"/>
      <c r="I761" s="939">
        <f>CHOORData!W19</f>
        <v>0</v>
      </c>
      <c r="J761" s="1181"/>
      <c r="K761" s="939">
        <f>CHOORData!X19</f>
        <v>0</v>
      </c>
      <c r="L761" s="1181"/>
      <c r="M761" s="939">
        <f>CHOORData!Y19</f>
        <v>0</v>
      </c>
      <c r="N761" s="1181"/>
      <c r="O761" s="939">
        <f>CHOORData!Z19</f>
        <v>0</v>
      </c>
      <c r="P761" s="1181"/>
      <c r="Q761" s="940">
        <f>CHOORData!AA19</f>
        <v>0</v>
      </c>
      <c r="R761" s="940"/>
      <c r="S761" s="940"/>
      <c r="T761" s="940"/>
      <c r="U761" s="940">
        <f>CHOORData!BA19</f>
        <v>0</v>
      </c>
      <c r="V761" s="940"/>
      <c r="W761" s="940"/>
      <c r="X761" s="940"/>
      <c r="Y761" s="940">
        <f t="shared" si="15"/>
        <v>0</v>
      </c>
      <c r="Z761" s="940"/>
      <c r="AA761" s="940"/>
      <c r="AB761" s="940"/>
      <c r="AC761" s="859">
        <f>CHOORData!AB19</f>
        <v>0</v>
      </c>
      <c r="AD761" s="860"/>
      <c r="AE761" s="518"/>
      <c r="AF761" s="518"/>
      <c r="AG761" s="529"/>
      <c r="AH761" s="529"/>
      <c r="AJ761" s="595" t="b">
        <f t="shared" si="16"/>
        <v>0</v>
      </c>
    </row>
    <row r="762" spans="1:36" ht="16" hidden="1" customHeight="1" x14ac:dyDescent="0.45">
      <c r="A762" s="518"/>
      <c r="B762" s="1085" t="s">
        <v>1422</v>
      </c>
      <c r="C762" s="1086"/>
      <c r="D762" s="1086"/>
      <c r="E762" s="1086"/>
      <c r="F762" s="1087"/>
      <c r="G762" s="885" t="str">
        <f>IF(CHOORData!T20&gt;0,CHOORData!T20,"")</f>
        <v/>
      </c>
      <c r="H762" s="885"/>
      <c r="I762" s="939">
        <f>CHOORData!W20</f>
        <v>0</v>
      </c>
      <c r="J762" s="1181"/>
      <c r="K762" s="939">
        <f>CHOORData!X20</f>
        <v>0</v>
      </c>
      <c r="L762" s="1181"/>
      <c r="M762" s="939">
        <f>CHOORData!Y20</f>
        <v>0</v>
      </c>
      <c r="N762" s="1181"/>
      <c r="O762" s="939">
        <f>CHOORData!Z20</f>
        <v>0</v>
      </c>
      <c r="P762" s="1181"/>
      <c r="Q762" s="940">
        <f>CHOORData!AA20</f>
        <v>0</v>
      </c>
      <c r="R762" s="940"/>
      <c r="S762" s="940"/>
      <c r="T762" s="940"/>
      <c r="U762" s="940">
        <f>CHOORData!BA20</f>
        <v>0</v>
      </c>
      <c r="V762" s="940"/>
      <c r="W762" s="940"/>
      <c r="X762" s="940"/>
      <c r="Y762" s="940">
        <f t="shared" si="15"/>
        <v>0</v>
      </c>
      <c r="Z762" s="940"/>
      <c r="AA762" s="940"/>
      <c r="AB762" s="940"/>
      <c r="AC762" s="859">
        <f>CHOORData!AB20</f>
        <v>0</v>
      </c>
      <c r="AD762" s="860"/>
      <c r="AE762" s="518"/>
      <c r="AF762" s="518"/>
      <c r="AG762" s="529"/>
      <c r="AH762" s="529"/>
      <c r="AJ762" s="595" t="b">
        <f t="shared" si="16"/>
        <v>0</v>
      </c>
    </row>
    <row r="763" spans="1:36" ht="16" hidden="1" customHeight="1" x14ac:dyDescent="0.45">
      <c r="A763" s="518"/>
      <c r="B763" s="1085" t="s">
        <v>1423</v>
      </c>
      <c r="C763" s="1086"/>
      <c r="D763" s="1086"/>
      <c r="E763" s="1086"/>
      <c r="F763" s="1087"/>
      <c r="G763" s="885" t="str">
        <f>IF(CHOORData!T21&gt;0,CHOORData!T21,"")</f>
        <v/>
      </c>
      <c r="H763" s="885"/>
      <c r="I763" s="939">
        <f>CHOORData!W21</f>
        <v>0</v>
      </c>
      <c r="J763" s="1181"/>
      <c r="K763" s="939">
        <f>CHOORData!X21</f>
        <v>0</v>
      </c>
      <c r="L763" s="1181"/>
      <c r="M763" s="939">
        <f>CHOORData!Y21</f>
        <v>0</v>
      </c>
      <c r="N763" s="1181"/>
      <c r="O763" s="939">
        <f>CHOORData!Z21</f>
        <v>0</v>
      </c>
      <c r="P763" s="1181"/>
      <c r="Q763" s="940">
        <f>CHOORData!AA21</f>
        <v>0</v>
      </c>
      <c r="R763" s="940"/>
      <c r="S763" s="940"/>
      <c r="T763" s="940"/>
      <c r="U763" s="940">
        <f>CHOORData!BA21</f>
        <v>0</v>
      </c>
      <c r="V763" s="940"/>
      <c r="W763" s="940"/>
      <c r="X763" s="940"/>
      <c r="Y763" s="940">
        <f t="shared" si="15"/>
        <v>0</v>
      </c>
      <c r="Z763" s="940"/>
      <c r="AA763" s="940"/>
      <c r="AB763" s="940"/>
      <c r="AC763" s="859">
        <f>CHOORData!AB21</f>
        <v>0</v>
      </c>
      <c r="AD763" s="860"/>
      <c r="AE763" s="518"/>
      <c r="AF763" s="518"/>
      <c r="AG763" s="529"/>
      <c r="AH763" s="529"/>
      <c r="AJ763" s="595" t="b">
        <f t="shared" si="16"/>
        <v>0</v>
      </c>
    </row>
    <row r="764" spans="1:36" ht="16" hidden="1" customHeight="1" x14ac:dyDescent="0.45">
      <c r="A764" s="518"/>
      <c r="B764" s="1085" t="s">
        <v>1424</v>
      </c>
      <c r="C764" s="1086"/>
      <c r="D764" s="1086"/>
      <c r="E764" s="1086"/>
      <c r="F764" s="1087"/>
      <c r="G764" s="885" t="str">
        <f>IF(CHOORData!T22&gt;0,CHOORData!T22,"")</f>
        <v/>
      </c>
      <c r="H764" s="885"/>
      <c r="I764" s="939">
        <f>CHOORData!W22</f>
        <v>0</v>
      </c>
      <c r="J764" s="1181"/>
      <c r="K764" s="939">
        <f>CHOORData!X22</f>
        <v>0</v>
      </c>
      <c r="L764" s="1181"/>
      <c r="M764" s="939">
        <f>CHOORData!Y22</f>
        <v>0</v>
      </c>
      <c r="N764" s="1181"/>
      <c r="O764" s="939">
        <f>CHOORData!Z22</f>
        <v>0</v>
      </c>
      <c r="P764" s="1181"/>
      <c r="Q764" s="940">
        <f>CHOORData!AA22</f>
        <v>0</v>
      </c>
      <c r="R764" s="940"/>
      <c r="S764" s="940"/>
      <c r="T764" s="940"/>
      <c r="U764" s="940">
        <f>CHOORData!BA22</f>
        <v>0</v>
      </c>
      <c r="V764" s="940"/>
      <c r="W764" s="940"/>
      <c r="X764" s="940"/>
      <c r="Y764" s="940">
        <f t="shared" si="15"/>
        <v>0</v>
      </c>
      <c r="Z764" s="940"/>
      <c r="AA764" s="940"/>
      <c r="AB764" s="940"/>
      <c r="AC764" s="859">
        <f>CHOORData!AB22</f>
        <v>0</v>
      </c>
      <c r="AD764" s="860"/>
      <c r="AE764" s="518"/>
      <c r="AF764" s="518"/>
      <c r="AG764" s="529"/>
      <c r="AH764" s="529"/>
      <c r="AJ764" s="595" t="b">
        <f t="shared" si="16"/>
        <v>0</v>
      </c>
    </row>
    <row r="765" spans="1:36" hidden="1" x14ac:dyDescent="0.45">
      <c r="A765" s="518"/>
      <c r="B765" s="1085" t="s">
        <v>1425</v>
      </c>
      <c r="C765" s="1086"/>
      <c r="D765" s="1086"/>
      <c r="E765" s="1086"/>
      <c r="F765" s="1087"/>
      <c r="G765" s="885" t="str">
        <f>IF(CHOORData!T23&gt;0,CHOORData!T23,"")</f>
        <v/>
      </c>
      <c r="H765" s="885"/>
      <c r="I765" s="939">
        <f>CHOORData!W23</f>
        <v>0</v>
      </c>
      <c r="J765" s="1181"/>
      <c r="K765" s="939">
        <f>CHOORData!X23</f>
        <v>0</v>
      </c>
      <c r="L765" s="1181"/>
      <c r="M765" s="939">
        <f>CHOORData!Y23</f>
        <v>0</v>
      </c>
      <c r="N765" s="1181"/>
      <c r="O765" s="939">
        <f>CHOORData!Z23</f>
        <v>0</v>
      </c>
      <c r="P765" s="1181"/>
      <c r="Q765" s="940">
        <f>CHOORData!AA23</f>
        <v>0</v>
      </c>
      <c r="R765" s="940"/>
      <c r="S765" s="940"/>
      <c r="T765" s="940"/>
      <c r="U765" s="940">
        <f>CHOORData!BA23</f>
        <v>0</v>
      </c>
      <c r="V765" s="940"/>
      <c r="W765" s="940"/>
      <c r="X765" s="940"/>
      <c r="Y765" s="940">
        <f t="shared" si="15"/>
        <v>0</v>
      </c>
      <c r="Z765" s="940"/>
      <c r="AA765" s="940"/>
      <c r="AB765" s="940"/>
      <c r="AC765" s="859">
        <f>CHOORData!AB23</f>
        <v>0</v>
      </c>
      <c r="AD765" s="860"/>
      <c r="AE765" s="518"/>
      <c r="AF765" s="518"/>
      <c r="AG765" s="529"/>
      <c r="AH765" s="529"/>
      <c r="AJ765" s="595" t="b">
        <f t="shared" si="16"/>
        <v>0</v>
      </c>
    </row>
    <row r="766" spans="1:36" hidden="1" x14ac:dyDescent="0.45">
      <c r="A766" s="518"/>
      <c r="B766" s="1085" t="s">
        <v>1426</v>
      </c>
      <c r="C766" s="1086"/>
      <c r="D766" s="1086"/>
      <c r="E766" s="1086"/>
      <c r="F766" s="1087"/>
      <c r="G766" s="885" t="str">
        <f>IF(CHOORData!T24&gt;0,CHOORData!T24,"")</f>
        <v/>
      </c>
      <c r="H766" s="885"/>
      <c r="I766" s="939">
        <f>CHOORData!W24</f>
        <v>0</v>
      </c>
      <c r="J766" s="1181"/>
      <c r="K766" s="939">
        <f>CHOORData!X24</f>
        <v>0</v>
      </c>
      <c r="L766" s="1181"/>
      <c r="M766" s="939">
        <f>CHOORData!Y24</f>
        <v>0</v>
      </c>
      <c r="N766" s="1181"/>
      <c r="O766" s="939">
        <f>CHOORData!Z24</f>
        <v>0</v>
      </c>
      <c r="P766" s="1181"/>
      <c r="Q766" s="940">
        <f>CHOORData!AA24</f>
        <v>0</v>
      </c>
      <c r="R766" s="940"/>
      <c r="S766" s="940"/>
      <c r="T766" s="940"/>
      <c r="U766" s="940">
        <f>CHOORData!BA24</f>
        <v>0</v>
      </c>
      <c r="V766" s="940"/>
      <c r="W766" s="940"/>
      <c r="X766" s="940"/>
      <c r="Y766" s="940">
        <f t="shared" si="15"/>
        <v>0</v>
      </c>
      <c r="Z766" s="940"/>
      <c r="AA766" s="940"/>
      <c r="AB766" s="940"/>
      <c r="AC766" s="859">
        <f>CHOORData!AB24</f>
        <v>0</v>
      </c>
      <c r="AD766" s="860"/>
      <c r="AE766" s="518"/>
      <c r="AF766" s="518"/>
      <c r="AG766" s="529"/>
      <c r="AH766" s="529"/>
      <c r="AJ766" s="595" t="b">
        <f t="shared" si="16"/>
        <v>0</v>
      </c>
    </row>
    <row r="767" spans="1:36" hidden="1" x14ac:dyDescent="0.45">
      <c r="A767" s="518"/>
      <c r="B767" s="1085" t="s">
        <v>1427</v>
      </c>
      <c r="C767" s="1086"/>
      <c r="D767" s="1086"/>
      <c r="E767" s="1086"/>
      <c r="F767" s="1087"/>
      <c r="G767" s="885" t="str">
        <f>IF(CHOORData!T25&gt;0,CHOORData!T25,"")</f>
        <v/>
      </c>
      <c r="H767" s="885"/>
      <c r="I767" s="939">
        <f>CHOORData!W25</f>
        <v>0</v>
      </c>
      <c r="J767" s="1181"/>
      <c r="K767" s="939">
        <f>CHOORData!X25</f>
        <v>0</v>
      </c>
      <c r="L767" s="1181"/>
      <c r="M767" s="939">
        <f>CHOORData!Y25</f>
        <v>0</v>
      </c>
      <c r="N767" s="1181"/>
      <c r="O767" s="939">
        <f>CHOORData!Z25</f>
        <v>0</v>
      </c>
      <c r="P767" s="1181"/>
      <c r="Q767" s="940">
        <f>CHOORData!AA25</f>
        <v>0</v>
      </c>
      <c r="R767" s="940"/>
      <c r="S767" s="940"/>
      <c r="T767" s="940"/>
      <c r="U767" s="940">
        <f>CHOORData!BA25</f>
        <v>0</v>
      </c>
      <c r="V767" s="940"/>
      <c r="W767" s="940"/>
      <c r="X767" s="940"/>
      <c r="Y767" s="940">
        <f t="shared" si="15"/>
        <v>0</v>
      </c>
      <c r="Z767" s="940"/>
      <c r="AA767" s="940"/>
      <c r="AB767" s="940"/>
      <c r="AC767" s="859">
        <f>CHOORData!AB25</f>
        <v>0</v>
      </c>
      <c r="AD767" s="860"/>
      <c r="AE767" s="518"/>
      <c r="AF767" s="518"/>
      <c r="AG767" s="529"/>
      <c r="AH767" s="529"/>
      <c r="AJ767" s="595" t="b">
        <f t="shared" si="16"/>
        <v>0</v>
      </c>
    </row>
    <row r="768" spans="1:36" hidden="1" x14ac:dyDescent="0.45">
      <c r="A768" s="518"/>
      <c r="B768" s="1085" t="s">
        <v>1428</v>
      </c>
      <c r="C768" s="1086"/>
      <c r="D768" s="1086"/>
      <c r="E768" s="1086"/>
      <c r="F768" s="1087"/>
      <c r="G768" s="885" t="str">
        <f>IF(CHOORData!T26&gt;0,CHOORData!T26,"")</f>
        <v/>
      </c>
      <c r="H768" s="885"/>
      <c r="I768" s="939">
        <f>CHOORData!W26</f>
        <v>0</v>
      </c>
      <c r="J768" s="1181"/>
      <c r="K768" s="939">
        <f>CHOORData!X26</f>
        <v>0</v>
      </c>
      <c r="L768" s="1181"/>
      <c r="M768" s="939">
        <f>CHOORData!Y26</f>
        <v>0</v>
      </c>
      <c r="N768" s="1181"/>
      <c r="O768" s="939">
        <f>CHOORData!Z26</f>
        <v>0</v>
      </c>
      <c r="P768" s="1181"/>
      <c r="Q768" s="940">
        <f>CHOORData!AA26</f>
        <v>0</v>
      </c>
      <c r="R768" s="940"/>
      <c r="S768" s="940"/>
      <c r="T768" s="940"/>
      <c r="U768" s="940">
        <f>CHOORData!BA26</f>
        <v>0</v>
      </c>
      <c r="V768" s="940"/>
      <c r="W768" s="940"/>
      <c r="X768" s="940"/>
      <c r="Y768" s="940">
        <f t="shared" si="15"/>
        <v>0</v>
      </c>
      <c r="Z768" s="940"/>
      <c r="AA768" s="940"/>
      <c r="AB768" s="940"/>
      <c r="AC768" s="859">
        <f>CHOORData!AB26</f>
        <v>0</v>
      </c>
      <c r="AD768" s="860"/>
      <c r="AE768" s="518"/>
      <c r="AF768" s="518"/>
      <c r="AG768" s="529"/>
      <c r="AH768" s="529"/>
      <c r="AJ768" s="595" t="b">
        <f t="shared" si="16"/>
        <v>0</v>
      </c>
    </row>
    <row r="769" spans="1:36" hidden="1" x14ac:dyDescent="0.45">
      <c r="A769" s="518"/>
      <c r="B769" s="1085" t="s">
        <v>1429</v>
      </c>
      <c r="C769" s="1086"/>
      <c r="D769" s="1086"/>
      <c r="E769" s="1086"/>
      <c r="F769" s="1087"/>
      <c r="G769" s="885" t="str">
        <f>IF(CHOORData!T27&gt;0,CHOORData!T27,"")</f>
        <v/>
      </c>
      <c r="H769" s="885"/>
      <c r="I769" s="939">
        <f>CHOORData!W27</f>
        <v>0</v>
      </c>
      <c r="J769" s="1181"/>
      <c r="K769" s="939">
        <f>CHOORData!X27</f>
        <v>0</v>
      </c>
      <c r="L769" s="1181"/>
      <c r="M769" s="939">
        <f>CHOORData!Y27</f>
        <v>0</v>
      </c>
      <c r="N769" s="1181"/>
      <c r="O769" s="939">
        <f>CHOORData!Z27</f>
        <v>0</v>
      </c>
      <c r="P769" s="1181"/>
      <c r="Q769" s="940">
        <f>CHOORData!AA27</f>
        <v>0</v>
      </c>
      <c r="R769" s="940"/>
      <c r="S769" s="940"/>
      <c r="T769" s="940"/>
      <c r="U769" s="940">
        <f>CHOORData!BA27</f>
        <v>0</v>
      </c>
      <c r="V769" s="940"/>
      <c r="W769" s="940"/>
      <c r="X769" s="940"/>
      <c r="Y769" s="940">
        <f t="shared" si="15"/>
        <v>0</v>
      </c>
      <c r="Z769" s="940"/>
      <c r="AA769" s="940"/>
      <c r="AB769" s="940"/>
      <c r="AC769" s="859">
        <f>CHOORData!AB27</f>
        <v>0</v>
      </c>
      <c r="AD769" s="860"/>
      <c r="AE769" s="518"/>
      <c r="AF769" s="518"/>
      <c r="AG769" s="529"/>
      <c r="AH769" s="529"/>
      <c r="AJ769" s="595" t="b">
        <f t="shared" si="16"/>
        <v>0</v>
      </c>
    </row>
    <row r="770" spans="1:36" hidden="1" x14ac:dyDescent="0.45">
      <c r="A770" s="518"/>
      <c r="B770" s="1085" t="s">
        <v>1430</v>
      </c>
      <c r="C770" s="1086"/>
      <c r="D770" s="1086"/>
      <c r="E770" s="1086"/>
      <c r="F770" s="1087"/>
      <c r="G770" s="885" t="str">
        <f>IF(CHOORData!T28&gt;0,CHOORData!T28,"")</f>
        <v/>
      </c>
      <c r="H770" s="885"/>
      <c r="I770" s="939">
        <f>CHOORData!W28</f>
        <v>0</v>
      </c>
      <c r="J770" s="1181"/>
      <c r="K770" s="939">
        <f>CHOORData!X28</f>
        <v>0</v>
      </c>
      <c r="L770" s="1181"/>
      <c r="M770" s="939">
        <f>CHOORData!Y28</f>
        <v>0</v>
      </c>
      <c r="N770" s="1181"/>
      <c r="O770" s="939">
        <f>CHOORData!Z28</f>
        <v>0</v>
      </c>
      <c r="P770" s="1181"/>
      <c r="Q770" s="940">
        <f>CHOORData!AA28</f>
        <v>0</v>
      </c>
      <c r="R770" s="940"/>
      <c r="S770" s="940"/>
      <c r="T770" s="940"/>
      <c r="U770" s="940">
        <f>CHOORData!BA28</f>
        <v>0</v>
      </c>
      <c r="V770" s="940"/>
      <c r="W770" s="940"/>
      <c r="X770" s="940"/>
      <c r="Y770" s="940">
        <f t="shared" si="15"/>
        <v>0</v>
      </c>
      <c r="Z770" s="940"/>
      <c r="AA770" s="940"/>
      <c r="AB770" s="940"/>
      <c r="AC770" s="859">
        <f>CHOORData!AB28</f>
        <v>0</v>
      </c>
      <c r="AD770" s="860"/>
      <c r="AE770" s="518"/>
      <c r="AF770" s="518"/>
      <c r="AG770" s="529"/>
      <c r="AH770" s="529"/>
      <c r="AJ770" s="595" t="b">
        <f t="shared" si="16"/>
        <v>0</v>
      </c>
    </row>
    <row r="771" spans="1:36" hidden="1" x14ac:dyDescent="0.45">
      <c r="A771" s="518"/>
      <c r="B771" s="1085" t="s">
        <v>1431</v>
      </c>
      <c r="C771" s="1086"/>
      <c r="D771" s="1086"/>
      <c r="E771" s="1086"/>
      <c r="F771" s="1087"/>
      <c r="G771" s="885" t="str">
        <f>IF(CHOORData!T29&gt;0,CHOORData!T29,"")</f>
        <v/>
      </c>
      <c r="H771" s="885"/>
      <c r="I771" s="939">
        <f>CHOORData!W29</f>
        <v>0</v>
      </c>
      <c r="J771" s="1181"/>
      <c r="K771" s="939">
        <f>CHOORData!X29</f>
        <v>0</v>
      </c>
      <c r="L771" s="1181"/>
      <c r="M771" s="939">
        <f>CHOORData!Y29</f>
        <v>0</v>
      </c>
      <c r="N771" s="1181"/>
      <c r="O771" s="939">
        <f>CHOORData!Z29</f>
        <v>0</v>
      </c>
      <c r="P771" s="1181"/>
      <c r="Q771" s="940">
        <f>CHOORData!AA29</f>
        <v>0</v>
      </c>
      <c r="R771" s="940"/>
      <c r="S771" s="940"/>
      <c r="T771" s="940"/>
      <c r="U771" s="940">
        <f>CHOORData!BA29</f>
        <v>0</v>
      </c>
      <c r="V771" s="940"/>
      <c r="W771" s="940"/>
      <c r="X771" s="940"/>
      <c r="Y771" s="940">
        <f t="shared" si="15"/>
        <v>0</v>
      </c>
      <c r="Z771" s="940"/>
      <c r="AA771" s="940"/>
      <c r="AB771" s="940"/>
      <c r="AC771" s="859">
        <f>CHOORData!AB29</f>
        <v>0</v>
      </c>
      <c r="AD771" s="860"/>
      <c r="AE771" s="518"/>
      <c r="AF771" s="518"/>
      <c r="AG771" s="529"/>
      <c r="AH771" s="529"/>
      <c r="AJ771" s="595" t="b">
        <f t="shared" si="16"/>
        <v>0</v>
      </c>
    </row>
    <row r="772" spans="1:36" hidden="1" x14ac:dyDescent="0.45">
      <c r="A772" s="518"/>
      <c r="B772" s="1085" t="s">
        <v>1432</v>
      </c>
      <c r="C772" s="1086"/>
      <c r="D772" s="1086"/>
      <c r="E772" s="1086"/>
      <c r="F772" s="1087"/>
      <c r="G772" s="885" t="str">
        <f>IF(CHOORData!T30&gt;0,CHOORData!T30,"")</f>
        <v/>
      </c>
      <c r="H772" s="885"/>
      <c r="I772" s="939">
        <f>CHOORData!W30</f>
        <v>0</v>
      </c>
      <c r="J772" s="1181"/>
      <c r="K772" s="939">
        <f>CHOORData!X30</f>
        <v>0</v>
      </c>
      <c r="L772" s="1181"/>
      <c r="M772" s="939">
        <f>CHOORData!Y30</f>
        <v>0</v>
      </c>
      <c r="N772" s="1181"/>
      <c r="O772" s="939">
        <f>CHOORData!Z30</f>
        <v>0</v>
      </c>
      <c r="P772" s="1181"/>
      <c r="Q772" s="940">
        <f>CHOORData!AA30</f>
        <v>0</v>
      </c>
      <c r="R772" s="940"/>
      <c r="S772" s="940"/>
      <c r="T772" s="940"/>
      <c r="U772" s="940">
        <f>CHOORData!BA30</f>
        <v>0</v>
      </c>
      <c r="V772" s="940"/>
      <c r="W772" s="940"/>
      <c r="X772" s="940"/>
      <c r="Y772" s="940">
        <f t="shared" si="15"/>
        <v>0</v>
      </c>
      <c r="Z772" s="940"/>
      <c r="AA772" s="940"/>
      <c r="AB772" s="940"/>
      <c r="AC772" s="859">
        <f>CHOORData!AB30</f>
        <v>0</v>
      </c>
      <c r="AD772" s="860"/>
      <c r="AE772" s="518"/>
      <c r="AF772" s="518"/>
      <c r="AG772" s="529"/>
      <c r="AH772" s="529"/>
      <c r="AJ772" s="595" t="b">
        <f t="shared" si="16"/>
        <v>0</v>
      </c>
    </row>
    <row r="773" spans="1:36" hidden="1" x14ac:dyDescent="0.45">
      <c r="A773" s="518"/>
      <c r="B773" s="1085" t="s">
        <v>1433</v>
      </c>
      <c r="C773" s="1086"/>
      <c r="D773" s="1086"/>
      <c r="E773" s="1086"/>
      <c r="F773" s="1087"/>
      <c r="G773" s="885" t="str">
        <f>IF(CHOORData!T31&gt;0,CHOORData!T31,"")</f>
        <v/>
      </c>
      <c r="H773" s="885"/>
      <c r="I773" s="939">
        <f>CHOORData!W31</f>
        <v>0</v>
      </c>
      <c r="J773" s="1181"/>
      <c r="K773" s="939">
        <f>CHOORData!X31</f>
        <v>0</v>
      </c>
      <c r="L773" s="1181"/>
      <c r="M773" s="939">
        <f>CHOORData!Y31</f>
        <v>0</v>
      </c>
      <c r="N773" s="1181"/>
      <c r="O773" s="939">
        <f>CHOORData!Z31</f>
        <v>0</v>
      </c>
      <c r="P773" s="1181"/>
      <c r="Q773" s="940">
        <f>CHOORData!AA31</f>
        <v>0</v>
      </c>
      <c r="R773" s="940"/>
      <c r="S773" s="940"/>
      <c r="T773" s="940"/>
      <c r="U773" s="940">
        <f>CHOORData!BA31</f>
        <v>0</v>
      </c>
      <c r="V773" s="940"/>
      <c r="W773" s="940"/>
      <c r="X773" s="940"/>
      <c r="Y773" s="940">
        <f t="shared" si="15"/>
        <v>0</v>
      </c>
      <c r="Z773" s="940"/>
      <c r="AA773" s="940"/>
      <c r="AB773" s="940"/>
      <c r="AC773" s="859">
        <f>CHOORData!AB31</f>
        <v>0</v>
      </c>
      <c r="AD773" s="860"/>
      <c r="AE773" s="518"/>
      <c r="AF773" s="518"/>
      <c r="AG773" s="529"/>
      <c r="AH773" s="529"/>
      <c r="AJ773" s="595" t="b">
        <f t="shared" si="16"/>
        <v>0</v>
      </c>
    </row>
    <row r="774" spans="1:36" hidden="1" x14ac:dyDescent="0.45">
      <c r="A774" s="518"/>
      <c r="B774" s="1085" t="s">
        <v>1434</v>
      </c>
      <c r="C774" s="1086"/>
      <c r="D774" s="1086"/>
      <c r="E774" s="1086"/>
      <c r="F774" s="1087"/>
      <c r="G774" s="885" t="str">
        <f>IF(CHOORData!T32&gt;0,CHOORData!T32,"")</f>
        <v/>
      </c>
      <c r="H774" s="885"/>
      <c r="I774" s="939">
        <f>CHOORData!W32</f>
        <v>0</v>
      </c>
      <c r="J774" s="1181"/>
      <c r="K774" s="939">
        <f>CHOORData!X32</f>
        <v>0</v>
      </c>
      <c r="L774" s="1181"/>
      <c r="M774" s="939">
        <f>CHOORData!Y32</f>
        <v>0</v>
      </c>
      <c r="N774" s="1181"/>
      <c r="O774" s="939">
        <f>CHOORData!Z32</f>
        <v>0</v>
      </c>
      <c r="P774" s="1181"/>
      <c r="Q774" s="940">
        <f>CHOORData!AA32</f>
        <v>0</v>
      </c>
      <c r="R774" s="940"/>
      <c r="S774" s="940"/>
      <c r="T774" s="940"/>
      <c r="U774" s="940">
        <f>CHOORData!BA32</f>
        <v>0</v>
      </c>
      <c r="V774" s="940"/>
      <c r="W774" s="940"/>
      <c r="X774" s="940"/>
      <c r="Y774" s="940">
        <f t="shared" si="15"/>
        <v>0</v>
      </c>
      <c r="Z774" s="940"/>
      <c r="AA774" s="940"/>
      <c r="AB774" s="940"/>
      <c r="AC774" s="859">
        <f>CHOORData!AB32</f>
        <v>0</v>
      </c>
      <c r="AD774" s="860"/>
      <c r="AE774" s="518"/>
      <c r="AF774" s="518"/>
      <c r="AG774" s="529"/>
      <c r="AH774" s="529"/>
      <c r="AJ774" s="595" t="b">
        <f t="shared" si="16"/>
        <v>0</v>
      </c>
    </row>
    <row r="775" spans="1:36" hidden="1" x14ac:dyDescent="0.45">
      <c r="A775" s="518"/>
      <c r="B775" s="1085" t="s">
        <v>1435</v>
      </c>
      <c r="C775" s="1086"/>
      <c r="D775" s="1086"/>
      <c r="E775" s="1086"/>
      <c r="F775" s="1087"/>
      <c r="G775" s="885" t="str">
        <f>IF(CHOORData!T33&gt;0,CHOORData!T33,"")</f>
        <v/>
      </c>
      <c r="H775" s="885"/>
      <c r="I775" s="939">
        <f>CHOORData!W33</f>
        <v>0</v>
      </c>
      <c r="J775" s="1181"/>
      <c r="K775" s="939">
        <f>CHOORData!X33</f>
        <v>0</v>
      </c>
      <c r="L775" s="1181"/>
      <c r="M775" s="939">
        <f>CHOORData!Y33</f>
        <v>0</v>
      </c>
      <c r="N775" s="1181"/>
      <c r="O775" s="939">
        <f>CHOORData!Z33</f>
        <v>0</v>
      </c>
      <c r="P775" s="1181"/>
      <c r="Q775" s="940">
        <f>CHOORData!AA33</f>
        <v>0</v>
      </c>
      <c r="R775" s="940"/>
      <c r="S775" s="940"/>
      <c r="T775" s="940"/>
      <c r="U775" s="940">
        <f>CHOORData!BA33</f>
        <v>0</v>
      </c>
      <c r="V775" s="940"/>
      <c r="W775" s="940"/>
      <c r="X775" s="940"/>
      <c r="Y775" s="940">
        <f t="shared" si="15"/>
        <v>0</v>
      </c>
      <c r="Z775" s="940"/>
      <c r="AA775" s="940"/>
      <c r="AB775" s="940"/>
      <c r="AC775" s="859">
        <f>CHOORData!AB33</f>
        <v>0</v>
      </c>
      <c r="AD775" s="860"/>
      <c r="AE775" s="518"/>
      <c r="AF775" s="518"/>
      <c r="AG775" s="529"/>
      <c r="AH775" s="529"/>
      <c r="AJ775" s="595" t="b">
        <f t="shared" si="16"/>
        <v>0</v>
      </c>
    </row>
    <row r="776" spans="1:36" hidden="1" x14ac:dyDescent="0.45">
      <c r="A776" s="518"/>
      <c r="B776" s="1085" t="s">
        <v>1436</v>
      </c>
      <c r="C776" s="1086"/>
      <c r="D776" s="1086"/>
      <c r="E776" s="1086"/>
      <c r="F776" s="1087"/>
      <c r="G776" s="885" t="str">
        <f>IF(CHOORData!T34&gt;0,CHOORData!T34,"")</f>
        <v/>
      </c>
      <c r="H776" s="885"/>
      <c r="I776" s="939">
        <f>CHOORData!W34</f>
        <v>0</v>
      </c>
      <c r="J776" s="1181"/>
      <c r="K776" s="939">
        <f>CHOORData!X34</f>
        <v>0</v>
      </c>
      <c r="L776" s="1181"/>
      <c r="M776" s="939">
        <f>CHOORData!Y34</f>
        <v>0</v>
      </c>
      <c r="N776" s="1181"/>
      <c r="O776" s="939">
        <f>CHOORData!Z34</f>
        <v>0</v>
      </c>
      <c r="P776" s="1181"/>
      <c r="Q776" s="940">
        <f>CHOORData!AA34</f>
        <v>0</v>
      </c>
      <c r="R776" s="940"/>
      <c r="S776" s="940"/>
      <c r="T776" s="940"/>
      <c r="U776" s="940">
        <f>CHOORData!BA34</f>
        <v>0</v>
      </c>
      <c r="V776" s="940"/>
      <c r="W776" s="940"/>
      <c r="X776" s="940"/>
      <c r="Y776" s="940">
        <f t="shared" si="15"/>
        <v>0</v>
      </c>
      <c r="Z776" s="940"/>
      <c r="AA776" s="940"/>
      <c r="AB776" s="940"/>
      <c r="AC776" s="859">
        <f>CHOORData!AB34</f>
        <v>0</v>
      </c>
      <c r="AD776" s="860"/>
      <c r="AE776" s="518"/>
      <c r="AF776" s="518"/>
      <c r="AG776" s="529"/>
      <c r="AH776" s="529"/>
      <c r="AJ776" s="595" t="b">
        <f t="shared" si="16"/>
        <v>0</v>
      </c>
    </row>
    <row r="777" spans="1:36" hidden="1" x14ac:dyDescent="0.45">
      <c r="A777" s="518"/>
      <c r="B777" s="1085" t="s">
        <v>1437</v>
      </c>
      <c r="C777" s="1086"/>
      <c r="D777" s="1086"/>
      <c r="E777" s="1086"/>
      <c r="F777" s="1087"/>
      <c r="G777" s="885" t="str">
        <f>IF(CHOORData!T35&gt;0,CHOORData!T35,"")</f>
        <v/>
      </c>
      <c r="H777" s="885"/>
      <c r="I777" s="939">
        <f>CHOORData!W35</f>
        <v>0</v>
      </c>
      <c r="J777" s="1181"/>
      <c r="K777" s="939">
        <f>CHOORData!X35</f>
        <v>0</v>
      </c>
      <c r="L777" s="1181"/>
      <c r="M777" s="939">
        <f>CHOORData!Y35</f>
        <v>0</v>
      </c>
      <c r="N777" s="1181"/>
      <c r="O777" s="939">
        <f>CHOORData!Z35</f>
        <v>0</v>
      </c>
      <c r="P777" s="1181"/>
      <c r="Q777" s="940">
        <f>CHOORData!AA35</f>
        <v>0</v>
      </c>
      <c r="R777" s="940"/>
      <c r="S777" s="940"/>
      <c r="T777" s="940"/>
      <c r="U777" s="940">
        <f>CHOORData!BA35</f>
        <v>0</v>
      </c>
      <c r="V777" s="940"/>
      <c r="W777" s="940"/>
      <c r="X777" s="940"/>
      <c r="Y777" s="940">
        <f t="shared" si="15"/>
        <v>0</v>
      </c>
      <c r="Z777" s="940"/>
      <c r="AA777" s="940"/>
      <c r="AB777" s="940"/>
      <c r="AC777" s="859">
        <f>CHOORData!AB35</f>
        <v>0</v>
      </c>
      <c r="AD777" s="860"/>
      <c r="AE777" s="518"/>
      <c r="AF777" s="518"/>
      <c r="AG777" s="529"/>
      <c r="AH777" s="529"/>
      <c r="AJ777" s="595" t="b">
        <f t="shared" si="16"/>
        <v>0</v>
      </c>
    </row>
    <row r="778" spans="1:36" hidden="1" x14ac:dyDescent="0.45">
      <c r="A778" s="518"/>
      <c r="B778" s="1085" t="s">
        <v>1438</v>
      </c>
      <c r="C778" s="1086"/>
      <c r="D778" s="1086"/>
      <c r="E778" s="1086"/>
      <c r="F778" s="1087"/>
      <c r="G778" s="885" t="str">
        <f>IF(CHOORData!T36&gt;0,CHOORData!T36,"")</f>
        <v/>
      </c>
      <c r="H778" s="885"/>
      <c r="I778" s="939">
        <f>CHOORData!W36</f>
        <v>0</v>
      </c>
      <c r="J778" s="1181"/>
      <c r="K778" s="939">
        <f>CHOORData!X36</f>
        <v>0</v>
      </c>
      <c r="L778" s="1181"/>
      <c r="M778" s="939">
        <f>CHOORData!Y36</f>
        <v>0</v>
      </c>
      <c r="N778" s="1181"/>
      <c r="O778" s="939">
        <f>CHOORData!Z36</f>
        <v>0</v>
      </c>
      <c r="P778" s="1181"/>
      <c r="Q778" s="940">
        <f>CHOORData!AA36</f>
        <v>0</v>
      </c>
      <c r="R778" s="940"/>
      <c r="S778" s="940"/>
      <c r="T778" s="940"/>
      <c r="U778" s="940">
        <f>CHOORData!BA36</f>
        <v>0</v>
      </c>
      <c r="V778" s="940"/>
      <c r="W778" s="940"/>
      <c r="X778" s="940"/>
      <c r="Y778" s="940">
        <f t="shared" si="15"/>
        <v>0</v>
      </c>
      <c r="Z778" s="940"/>
      <c r="AA778" s="940"/>
      <c r="AB778" s="940"/>
      <c r="AC778" s="859">
        <f>CHOORData!AB36</f>
        <v>0</v>
      </c>
      <c r="AD778" s="860"/>
      <c r="AE778" s="518"/>
      <c r="AF778" s="518"/>
      <c r="AG778" s="529"/>
      <c r="AH778" s="529"/>
      <c r="AJ778" s="595" t="b">
        <f t="shared" si="16"/>
        <v>0</v>
      </c>
    </row>
    <row r="779" spans="1:36" hidden="1" x14ac:dyDescent="0.45">
      <c r="A779" s="518"/>
      <c r="B779" s="1085" t="s">
        <v>1439</v>
      </c>
      <c r="C779" s="1086"/>
      <c r="D779" s="1086"/>
      <c r="E779" s="1086"/>
      <c r="F779" s="1087"/>
      <c r="G779" s="885" t="str">
        <f>IF(CHOORData!T37&gt;0,CHOORData!T37,"")</f>
        <v/>
      </c>
      <c r="H779" s="885"/>
      <c r="I779" s="939">
        <f>CHOORData!W37</f>
        <v>0</v>
      </c>
      <c r="J779" s="1181"/>
      <c r="K779" s="939">
        <f>CHOORData!X37</f>
        <v>0</v>
      </c>
      <c r="L779" s="1181"/>
      <c r="M779" s="939">
        <f>CHOORData!Y37</f>
        <v>0</v>
      </c>
      <c r="N779" s="1181"/>
      <c r="O779" s="939">
        <f>CHOORData!Z37</f>
        <v>0</v>
      </c>
      <c r="P779" s="1181"/>
      <c r="Q779" s="940">
        <f>CHOORData!AA37</f>
        <v>0</v>
      </c>
      <c r="R779" s="940"/>
      <c r="S779" s="940"/>
      <c r="T779" s="940"/>
      <c r="U779" s="940">
        <f>CHOORData!BA37</f>
        <v>0</v>
      </c>
      <c r="V779" s="940"/>
      <c r="W779" s="940"/>
      <c r="X779" s="940"/>
      <c r="Y779" s="940">
        <f t="shared" si="15"/>
        <v>0</v>
      </c>
      <c r="Z779" s="940"/>
      <c r="AA779" s="940"/>
      <c r="AB779" s="940"/>
      <c r="AC779" s="859">
        <f>CHOORData!AB37</f>
        <v>0</v>
      </c>
      <c r="AD779" s="860"/>
      <c r="AE779" s="518"/>
      <c r="AF779" s="518"/>
      <c r="AG779" s="529"/>
      <c r="AH779" s="529"/>
      <c r="AJ779" s="595" t="b">
        <f t="shared" si="16"/>
        <v>0</v>
      </c>
    </row>
    <row r="780" spans="1:36" hidden="1" x14ac:dyDescent="0.45">
      <c r="A780" s="518"/>
      <c r="B780" s="1085" t="s">
        <v>1440</v>
      </c>
      <c r="C780" s="1086"/>
      <c r="D780" s="1086"/>
      <c r="E780" s="1086"/>
      <c r="F780" s="1087"/>
      <c r="G780" s="885" t="str">
        <f>IF(CHOORData!T38&gt;0,CHOORData!T38,"")</f>
        <v/>
      </c>
      <c r="H780" s="885"/>
      <c r="I780" s="939">
        <f>CHOORData!W38</f>
        <v>0</v>
      </c>
      <c r="J780" s="1181"/>
      <c r="K780" s="939">
        <f>CHOORData!X38</f>
        <v>0</v>
      </c>
      <c r="L780" s="1181"/>
      <c r="M780" s="939">
        <f>CHOORData!Y38</f>
        <v>0</v>
      </c>
      <c r="N780" s="1181"/>
      <c r="O780" s="939">
        <f>CHOORData!Z38</f>
        <v>0</v>
      </c>
      <c r="P780" s="1181"/>
      <c r="Q780" s="940">
        <f>CHOORData!AA38</f>
        <v>0</v>
      </c>
      <c r="R780" s="940"/>
      <c r="S780" s="940"/>
      <c r="T780" s="940"/>
      <c r="U780" s="940">
        <f>CHOORData!BA38</f>
        <v>0</v>
      </c>
      <c r="V780" s="940"/>
      <c r="W780" s="940"/>
      <c r="X780" s="940"/>
      <c r="Y780" s="940">
        <f t="shared" si="15"/>
        <v>0</v>
      </c>
      <c r="Z780" s="940"/>
      <c r="AA780" s="940"/>
      <c r="AB780" s="940"/>
      <c r="AC780" s="859">
        <f>CHOORData!AB38</f>
        <v>0</v>
      </c>
      <c r="AD780" s="860"/>
      <c r="AE780" s="518"/>
      <c r="AF780" s="518"/>
      <c r="AG780" s="529"/>
      <c r="AH780" s="529"/>
      <c r="AJ780" s="595" t="b">
        <f t="shared" si="16"/>
        <v>0</v>
      </c>
    </row>
    <row r="781" spans="1:36" hidden="1" x14ac:dyDescent="0.45">
      <c r="A781" s="518"/>
      <c r="B781" s="1085" t="s">
        <v>1441</v>
      </c>
      <c r="C781" s="1086"/>
      <c r="D781" s="1086"/>
      <c r="E781" s="1086"/>
      <c r="F781" s="1087"/>
      <c r="G781" s="885" t="str">
        <f>IF(CHOORData!T39&gt;0,CHOORData!T39,"")</f>
        <v/>
      </c>
      <c r="H781" s="885"/>
      <c r="I781" s="939">
        <f>CHOORData!W39</f>
        <v>0</v>
      </c>
      <c r="J781" s="1181"/>
      <c r="K781" s="939">
        <f>CHOORData!X39</f>
        <v>0</v>
      </c>
      <c r="L781" s="1181"/>
      <c r="M781" s="939">
        <f>CHOORData!Y39</f>
        <v>0</v>
      </c>
      <c r="N781" s="1181"/>
      <c r="O781" s="939">
        <f>CHOORData!Z39</f>
        <v>0</v>
      </c>
      <c r="P781" s="1181"/>
      <c r="Q781" s="940">
        <f>CHOORData!AA39</f>
        <v>0</v>
      </c>
      <c r="R781" s="940"/>
      <c r="S781" s="940"/>
      <c r="T781" s="940"/>
      <c r="U781" s="940">
        <f>CHOORData!BA39</f>
        <v>0</v>
      </c>
      <c r="V781" s="940"/>
      <c r="W781" s="940"/>
      <c r="X781" s="940"/>
      <c r="Y781" s="940">
        <f t="shared" si="15"/>
        <v>0</v>
      </c>
      <c r="Z781" s="940"/>
      <c r="AA781" s="940"/>
      <c r="AB781" s="940"/>
      <c r="AC781" s="859">
        <f>CHOORData!AB39</f>
        <v>0</v>
      </c>
      <c r="AD781" s="860"/>
      <c r="AE781" s="518"/>
      <c r="AF781" s="518"/>
      <c r="AG781" s="529"/>
      <c r="AH781" s="529"/>
      <c r="AJ781" s="595" t="b">
        <f t="shared" si="16"/>
        <v>0</v>
      </c>
    </row>
    <row r="782" spans="1:36" hidden="1" x14ac:dyDescent="0.45">
      <c r="A782" s="518"/>
      <c r="B782" s="1085" t="s">
        <v>152</v>
      </c>
      <c r="C782" s="1086"/>
      <c r="D782" s="1086"/>
      <c r="E782" s="1086"/>
      <c r="F782" s="1087"/>
      <c r="G782" s="885" t="str">
        <f>IF(CHOORData!T40&gt;0,CHOORData!T40,"")</f>
        <v/>
      </c>
      <c r="H782" s="885"/>
      <c r="I782" s="939">
        <f>CHOORData!W40</f>
        <v>0</v>
      </c>
      <c r="J782" s="1181"/>
      <c r="K782" s="939">
        <f>CHOORData!X40</f>
        <v>0</v>
      </c>
      <c r="L782" s="1181"/>
      <c r="M782" s="939">
        <f>CHOORData!Y40</f>
        <v>0</v>
      </c>
      <c r="N782" s="1181"/>
      <c r="O782" s="939">
        <f>CHOORData!Z40</f>
        <v>0</v>
      </c>
      <c r="P782" s="1181"/>
      <c r="Q782" s="940">
        <f>CHOORData!AA40</f>
        <v>0</v>
      </c>
      <c r="R782" s="940"/>
      <c r="S782" s="940"/>
      <c r="T782" s="940"/>
      <c r="U782" s="940">
        <f>CHOORData!BA40</f>
        <v>0</v>
      </c>
      <c r="V782" s="940"/>
      <c r="W782" s="940"/>
      <c r="X782" s="940"/>
      <c r="Y782" s="940">
        <f t="shared" si="15"/>
        <v>0</v>
      </c>
      <c r="Z782" s="940"/>
      <c r="AA782" s="940"/>
      <c r="AB782" s="940"/>
      <c r="AC782" s="859">
        <f>CHOORData!AB40</f>
        <v>0</v>
      </c>
      <c r="AD782" s="860"/>
      <c r="AE782" s="518"/>
      <c r="AF782" s="518"/>
      <c r="AG782" s="529"/>
      <c r="AH782" s="529"/>
      <c r="AJ782" s="595" t="b">
        <f t="shared" si="16"/>
        <v>0</v>
      </c>
    </row>
    <row r="783" spans="1:36" hidden="1" x14ac:dyDescent="0.45">
      <c r="A783" s="518"/>
      <c r="B783" s="1085" t="s">
        <v>1442</v>
      </c>
      <c r="C783" s="1086"/>
      <c r="D783" s="1086"/>
      <c r="E783" s="1086"/>
      <c r="F783" s="1087"/>
      <c r="G783" s="885" t="str">
        <f>IF(CHOORData!T41&gt;0,CHOORData!T41,"")</f>
        <v/>
      </c>
      <c r="H783" s="885"/>
      <c r="I783" s="939">
        <f>CHOORData!W41</f>
        <v>0</v>
      </c>
      <c r="J783" s="1181"/>
      <c r="K783" s="939">
        <f>CHOORData!X41</f>
        <v>0</v>
      </c>
      <c r="L783" s="1181"/>
      <c r="M783" s="939">
        <f>CHOORData!Y41</f>
        <v>0</v>
      </c>
      <c r="N783" s="1181"/>
      <c r="O783" s="939">
        <f>CHOORData!Z41</f>
        <v>0</v>
      </c>
      <c r="P783" s="1181"/>
      <c r="Q783" s="940">
        <f>CHOORData!AA41</f>
        <v>0</v>
      </c>
      <c r="R783" s="940"/>
      <c r="S783" s="940"/>
      <c r="T783" s="940"/>
      <c r="U783" s="940">
        <f>CHOORData!BA41</f>
        <v>0</v>
      </c>
      <c r="V783" s="940"/>
      <c r="W783" s="940"/>
      <c r="X783" s="940"/>
      <c r="Y783" s="940">
        <f t="shared" si="15"/>
        <v>0</v>
      </c>
      <c r="Z783" s="940"/>
      <c r="AA783" s="940"/>
      <c r="AB783" s="940"/>
      <c r="AC783" s="859">
        <f>CHOORData!AB41</f>
        <v>0</v>
      </c>
      <c r="AD783" s="860"/>
      <c r="AE783" s="518"/>
      <c r="AF783" s="518"/>
      <c r="AG783" s="529"/>
      <c r="AH783" s="529"/>
      <c r="AJ783" s="595" t="b">
        <f t="shared" si="16"/>
        <v>0</v>
      </c>
    </row>
    <row r="784" spans="1:36" hidden="1" x14ac:dyDescent="0.45">
      <c r="A784" s="518"/>
      <c r="B784" s="1085" t="s">
        <v>1443</v>
      </c>
      <c r="C784" s="1086"/>
      <c r="D784" s="1086"/>
      <c r="E784" s="1086"/>
      <c r="F784" s="1087"/>
      <c r="G784" s="885" t="str">
        <f>IF(CHOORData!T42&gt;0,CHOORData!T42,"")</f>
        <v/>
      </c>
      <c r="H784" s="885"/>
      <c r="I784" s="939">
        <f>CHOORData!W42</f>
        <v>0</v>
      </c>
      <c r="J784" s="1181"/>
      <c r="K784" s="939">
        <f>CHOORData!X42</f>
        <v>0</v>
      </c>
      <c r="L784" s="1181"/>
      <c r="M784" s="939">
        <f>CHOORData!Y42</f>
        <v>0</v>
      </c>
      <c r="N784" s="1181"/>
      <c r="O784" s="939">
        <f>CHOORData!Z42</f>
        <v>0</v>
      </c>
      <c r="P784" s="1181"/>
      <c r="Q784" s="940">
        <f>CHOORData!AA42</f>
        <v>0</v>
      </c>
      <c r="R784" s="940"/>
      <c r="S784" s="940"/>
      <c r="T784" s="940"/>
      <c r="U784" s="940">
        <f>CHOORData!BA42</f>
        <v>0</v>
      </c>
      <c r="V784" s="940"/>
      <c r="W784" s="940"/>
      <c r="X784" s="940"/>
      <c r="Y784" s="940">
        <f t="shared" si="15"/>
        <v>0</v>
      </c>
      <c r="Z784" s="940"/>
      <c r="AA784" s="940"/>
      <c r="AB784" s="940"/>
      <c r="AC784" s="859">
        <f>CHOORData!AB42</f>
        <v>0</v>
      </c>
      <c r="AD784" s="860"/>
      <c r="AE784" s="518"/>
      <c r="AF784" s="518"/>
      <c r="AG784" s="529"/>
      <c r="AH784" s="529"/>
      <c r="AJ784" s="595" t="b">
        <f t="shared" si="16"/>
        <v>0</v>
      </c>
    </row>
    <row r="785" spans="1:36" hidden="1" x14ac:dyDescent="0.45">
      <c r="A785" s="518"/>
      <c r="B785" s="1085" t="s">
        <v>1444</v>
      </c>
      <c r="C785" s="1086"/>
      <c r="D785" s="1086"/>
      <c r="E785" s="1086"/>
      <c r="F785" s="1087"/>
      <c r="G785" s="885" t="str">
        <f>IF(CHOORData!T43&gt;0,CHOORData!T43,"")</f>
        <v/>
      </c>
      <c r="H785" s="885"/>
      <c r="I785" s="939">
        <f>CHOORData!W43</f>
        <v>0</v>
      </c>
      <c r="J785" s="1181"/>
      <c r="K785" s="939">
        <f>CHOORData!X43</f>
        <v>0</v>
      </c>
      <c r="L785" s="1181"/>
      <c r="M785" s="939">
        <f>CHOORData!Y43</f>
        <v>0</v>
      </c>
      <c r="N785" s="1181"/>
      <c r="O785" s="939">
        <f>CHOORData!Z43</f>
        <v>0</v>
      </c>
      <c r="P785" s="1181"/>
      <c r="Q785" s="940">
        <f>CHOORData!AA43</f>
        <v>0</v>
      </c>
      <c r="R785" s="940"/>
      <c r="S785" s="940"/>
      <c r="T785" s="940"/>
      <c r="U785" s="940">
        <f>CHOORData!BA43</f>
        <v>0</v>
      </c>
      <c r="V785" s="940"/>
      <c r="W785" s="940"/>
      <c r="X785" s="940"/>
      <c r="Y785" s="940">
        <f t="shared" si="15"/>
        <v>0</v>
      </c>
      <c r="Z785" s="940"/>
      <c r="AA785" s="940"/>
      <c r="AB785" s="940"/>
      <c r="AC785" s="859">
        <f>CHOORData!AB43</f>
        <v>0</v>
      </c>
      <c r="AD785" s="860"/>
      <c r="AE785" s="518"/>
      <c r="AF785" s="518"/>
      <c r="AG785" s="529"/>
      <c r="AH785" s="529"/>
      <c r="AJ785" s="595" t="b">
        <f t="shared" si="16"/>
        <v>0</v>
      </c>
    </row>
    <row r="786" spans="1:36" hidden="1" x14ac:dyDescent="0.45">
      <c r="A786" s="518"/>
      <c r="B786" s="601" t="s">
        <v>1445</v>
      </c>
      <c r="C786" s="601"/>
      <c r="D786" s="601"/>
      <c r="E786" s="601"/>
      <c r="F786" s="601"/>
      <c r="G786" s="885" t="str">
        <f>IF(CHOORData!T44&gt;0,CHOORData!T44,"")</f>
        <v/>
      </c>
      <c r="H786" s="885"/>
      <c r="I786" s="939">
        <f>CHOORData!W44</f>
        <v>0</v>
      </c>
      <c r="J786" s="1181"/>
      <c r="K786" s="939">
        <f>CHOORData!X44</f>
        <v>0</v>
      </c>
      <c r="L786" s="1181"/>
      <c r="M786" s="939">
        <f>CHOORData!Y44</f>
        <v>0</v>
      </c>
      <c r="N786" s="1181"/>
      <c r="O786" s="939">
        <f>CHOORData!Z44</f>
        <v>0</v>
      </c>
      <c r="P786" s="1181"/>
      <c r="Q786" s="940">
        <f>CHOORData!AA44</f>
        <v>0</v>
      </c>
      <c r="R786" s="940"/>
      <c r="S786" s="940"/>
      <c r="T786" s="940"/>
      <c r="U786" s="940">
        <f>CHOORData!BA44</f>
        <v>0</v>
      </c>
      <c r="V786" s="940"/>
      <c r="W786" s="940"/>
      <c r="X786" s="940"/>
      <c r="Y786" s="940">
        <f t="shared" si="15"/>
        <v>0</v>
      </c>
      <c r="Z786" s="940"/>
      <c r="AA786" s="940"/>
      <c r="AB786" s="940"/>
      <c r="AC786" s="859">
        <f>CHOORData!AB44</f>
        <v>0</v>
      </c>
      <c r="AD786" s="860"/>
      <c r="AE786" s="518"/>
      <c r="AF786" s="518"/>
      <c r="AG786" s="529"/>
      <c r="AH786" s="529"/>
      <c r="AJ786" s="595" t="b">
        <f t="shared" si="16"/>
        <v>0</v>
      </c>
    </row>
    <row r="787" spans="1:36" hidden="1" x14ac:dyDescent="0.45">
      <c r="A787" s="518"/>
      <c r="B787" s="1085" t="s">
        <v>1446</v>
      </c>
      <c r="C787" s="1086"/>
      <c r="D787" s="1086"/>
      <c r="E787" s="1086"/>
      <c r="F787" s="1087"/>
      <c r="G787" s="885" t="str">
        <f>IF(CHOORData!T45&gt;0,CHOORData!T45,"")</f>
        <v/>
      </c>
      <c r="H787" s="885"/>
      <c r="I787" s="939">
        <f>CHOORData!W45</f>
        <v>0</v>
      </c>
      <c r="J787" s="1181"/>
      <c r="K787" s="939">
        <f>CHOORData!X45</f>
        <v>0</v>
      </c>
      <c r="L787" s="1181"/>
      <c r="M787" s="939">
        <f>CHOORData!Y45</f>
        <v>0</v>
      </c>
      <c r="N787" s="1181"/>
      <c r="O787" s="939">
        <f>CHOORData!Z45</f>
        <v>0</v>
      </c>
      <c r="P787" s="1181"/>
      <c r="Q787" s="940">
        <f>CHOORData!AA45</f>
        <v>0</v>
      </c>
      <c r="R787" s="940"/>
      <c r="S787" s="940"/>
      <c r="T787" s="940"/>
      <c r="U787" s="940">
        <f>CHOORData!BA45</f>
        <v>0</v>
      </c>
      <c r="V787" s="940"/>
      <c r="W787" s="940"/>
      <c r="X787" s="940"/>
      <c r="Y787" s="940">
        <f t="shared" si="15"/>
        <v>0</v>
      </c>
      <c r="Z787" s="940"/>
      <c r="AA787" s="940"/>
      <c r="AB787" s="940"/>
      <c r="AC787" s="859">
        <f>CHOORData!AB45</f>
        <v>0</v>
      </c>
      <c r="AD787" s="860"/>
      <c r="AE787" s="518"/>
      <c r="AF787" s="518"/>
      <c r="AG787" s="529"/>
      <c r="AH787" s="529"/>
      <c r="AJ787" s="595" t="b">
        <f t="shared" si="16"/>
        <v>0</v>
      </c>
    </row>
    <row r="788" spans="1:36" hidden="1" x14ac:dyDescent="0.45">
      <c r="B788" s="1085" t="s">
        <v>1447</v>
      </c>
      <c r="C788" s="1086"/>
      <c r="D788" s="1086"/>
      <c r="E788" s="1086"/>
      <c r="F788" s="1087"/>
      <c r="G788" s="885" t="str">
        <f>IF(CHOORData!T46&gt;0,CHOORData!T46,"")</f>
        <v/>
      </c>
      <c r="H788" s="885"/>
      <c r="I788" s="939">
        <f>CHOORData!W46</f>
        <v>0</v>
      </c>
      <c r="J788" s="1181"/>
      <c r="K788" s="939">
        <f>CHOORData!X46</f>
        <v>0</v>
      </c>
      <c r="L788" s="1181"/>
      <c r="M788" s="939">
        <f>CHOORData!Y46</f>
        <v>0</v>
      </c>
      <c r="N788" s="1181"/>
      <c r="O788" s="939">
        <f>CHOORData!Z46</f>
        <v>0</v>
      </c>
      <c r="P788" s="1181"/>
      <c r="Q788" s="940">
        <f>CHOORData!AA46</f>
        <v>0</v>
      </c>
      <c r="R788" s="940"/>
      <c r="S788" s="940"/>
      <c r="T788" s="940"/>
      <c r="U788" s="940">
        <f>CHOORData!BA46</f>
        <v>0</v>
      </c>
      <c r="V788" s="940"/>
      <c r="W788" s="940"/>
      <c r="X788" s="940"/>
      <c r="Y788" s="940">
        <f t="shared" si="15"/>
        <v>0</v>
      </c>
      <c r="Z788" s="940"/>
      <c r="AA788" s="940"/>
      <c r="AB788" s="940"/>
      <c r="AC788" s="859">
        <f>CHOORData!AB46</f>
        <v>0</v>
      </c>
      <c r="AD788" s="860"/>
      <c r="AE788" s="518"/>
      <c r="AF788" s="518"/>
      <c r="AG788" s="529"/>
      <c r="AH788" s="518"/>
      <c r="AJ788" s="595" t="b">
        <f t="shared" si="16"/>
        <v>0</v>
      </c>
    </row>
    <row r="789" spans="1:36" hidden="1" x14ac:dyDescent="0.45">
      <c r="B789" s="1085" t="s">
        <v>1448</v>
      </c>
      <c r="C789" s="1086"/>
      <c r="D789" s="1086"/>
      <c r="E789" s="1086"/>
      <c r="F789" s="1087"/>
      <c r="G789" s="885" t="str">
        <f>IF(CHOORData!T47&gt;0,CHOORData!T47,"")</f>
        <v/>
      </c>
      <c r="H789" s="885"/>
      <c r="I789" s="939">
        <f>CHOORData!W47</f>
        <v>0</v>
      </c>
      <c r="J789" s="1181"/>
      <c r="K789" s="939">
        <f>CHOORData!X47</f>
        <v>0</v>
      </c>
      <c r="L789" s="1181"/>
      <c r="M789" s="939">
        <f>CHOORData!Y47</f>
        <v>0</v>
      </c>
      <c r="N789" s="1181"/>
      <c r="O789" s="939">
        <f>CHOORData!Z47</f>
        <v>0</v>
      </c>
      <c r="P789" s="1181"/>
      <c r="Q789" s="940">
        <f>CHOORData!AA47</f>
        <v>0</v>
      </c>
      <c r="R789" s="940"/>
      <c r="S789" s="940"/>
      <c r="T789" s="940"/>
      <c r="U789" s="940">
        <f>CHOORData!BA47</f>
        <v>0</v>
      </c>
      <c r="V789" s="940"/>
      <c r="W789" s="940"/>
      <c r="X789" s="940"/>
      <c r="Y789" s="940">
        <f t="shared" si="15"/>
        <v>0</v>
      </c>
      <c r="Z789" s="940"/>
      <c r="AA789" s="940"/>
      <c r="AB789" s="940"/>
      <c r="AC789" s="859">
        <f>CHOORData!AB47</f>
        <v>0</v>
      </c>
      <c r="AD789" s="860"/>
      <c r="AE789" s="518"/>
      <c r="AF789" s="518"/>
      <c r="AG789" s="529"/>
      <c r="AH789" s="518"/>
      <c r="AJ789" s="595" t="b">
        <f t="shared" si="16"/>
        <v>0</v>
      </c>
    </row>
    <row r="790" spans="1:36" hidden="1" x14ac:dyDescent="0.45">
      <c r="B790" s="1085" t="s">
        <v>1449</v>
      </c>
      <c r="C790" s="1086"/>
      <c r="D790" s="1086"/>
      <c r="E790" s="1086"/>
      <c r="F790" s="1087"/>
      <c r="G790" s="885" t="str">
        <f>IF(CHOORData!T48&gt;0,CHOORData!T48,"")</f>
        <v/>
      </c>
      <c r="H790" s="885"/>
      <c r="I790" s="939">
        <f>CHOORData!W48</f>
        <v>0</v>
      </c>
      <c r="J790" s="1181"/>
      <c r="K790" s="939">
        <f>CHOORData!X48</f>
        <v>0</v>
      </c>
      <c r="L790" s="1181"/>
      <c r="M790" s="939">
        <f>CHOORData!Y48</f>
        <v>0</v>
      </c>
      <c r="N790" s="1181"/>
      <c r="O790" s="939">
        <f>CHOORData!Z48</f>
        <v>0</v>
      </c>
      <c r="P790" s="1181"/>
      <c r="Q790" s="940">
        <f>CHOORData!AA48</f>
        <v>0</v>
      </c>
      <c r="R790" s="940"/>
      <c r="S790" s="940"/>
      <c r="T790" s="940"/>
      <c r="U790" s="940">
        <f>CHOORData!BA48</f>
        <v>0</v>
      </c>
      <c r="V790" s="940"/>
      <c r="W790" s="940"/>
      <c r="X790" s="940"/>
      <c r="Y790" s="940">
        <f t="shared" si="15"/>
        <v>0</v>
      </c>
      <c r="Z790" s="940"/>
      <c r="AA790" s="940"/>
      <c r="AB790" s="940"/>
      <c r="AC790" s="859">
        <f>CHOORData!AB48</f>
        <v>0</v>
      </c>
      <c r="AD790" s="860"/>
      <c r="AE790" s="518"/>
      <c r="AF790" s="518"/>
      <c r="AG790" s="529"/>
      <c r="AH790" s="518"/>
      <c r="AJ790" s="595" t="b">
        <f t="shared" si="16"/>
        <v>0</v>
      </c>
    </row>
    <row r="791" spans="1:36" hidden="1" x14ac:dyDescent="0.45">
      <c r="B791" s="1085" t="s">
        <v>1450</v>
      </c>
      <c r="C791" s="1086"/>
      <c r="D791" s="1086"/>
      <c r="E791" s="1086"/>
      <c r="F791" s="1087"/>
      <c r="G791" s="885" t="str">
        <f>IF(CHOORData!T49&gt;0,CHOORData!T49,"")</f>
        <v/>
      </c>
      <c r="H791" s="885"/>
      <c r="I791" s="939">
        <f>CHOORData!W49</f>
        <v>0</v>
      </c>
      <c r="J791" s="1181"/>
      <c r="K791" s="939">
        <f>CHOORData!X49</f>
        <v>0</v>
      </c>
      <c r="L791" s="1181"/>
      <c r="M791" s="939">
        <f>CHOORData!Y49</f>
        <v>0</v>
      </c>
      <c r="N791" s="1181"/>
      <c r="O791" s="939">
        <f>CHOORData!Z49</f>
        <v>0</v>
      </c>
      <c r="P791" s="1181"/>
      <c r="Q791" s="940">
        <f>CHOORData!AA49</f>
        <v>0</v>
      </c>
      <c r="R791" s="940"/>
      <c r="S791" s="940"/>
      <c r="T791" s="940"/>
      <c r="U791" s="940">
        <f>CHOORData!BA49</f>
        <v>0</v>
      </c>
      <c r="V791" s="940"/>
      <c r="W791" s="940"/>
      <c r="X791" s="940"/>
      <c r="Y791" s="940">
        <f t="shared" si="15"/>
        <v>0</v>
      </c>
      <c r="Z791" s="940"/>
      <c r="AA791" s="940"/>
      <c r="AB791" s="940"/>
      <c r="AC791" s="859">
        <f>CHOORData!AB49</f>
        <v>0</v>
      </c>
      <c r="AD791" s="860"/>
      <c r="AE791" s="518"/>
      <c r="AF791" s="518"/>
      <c r="AG791" s="529"/>
      <c r="AH791" s="518"/>
      <c r="AJ791" s="595" t="b">
        <f t="shared" si="16"/>
        <v>0</v>
      </c>
    </row>
    <row r="792" spans="1:36" hidden="1" x14ac:dyDescent="0.45">
      <c r="B792" s="1085" t="s">
        <v>1451</v>
      </c>
      <c r="C792" s="1086"/>
      <c r="D792" s="1086"/>
      <c r="E792" s="1086"/>
      <c r="F792" s="1087"/>
      <c r="G792" s="885" t="str">
        <f>IF(CHOORData!T50&gt;0,CHOORData!T50,"")</f>
        <v/>
      </c>
      <c r="H792" s="885"/>
      <c r="I792" s="939">
        <f>CHOORData!W50</f>
        <v>0</v>
      </c>
      <c r="J792" s="1181"/>
      <c r="K792" s="939">
        <f>CHOORData!X50</f>
        <v>0</v>
      </c>
      <c r="L792" s="1181"/>
      <c r="M792" s="939">
        <f>CHOORData!Y50</f>
        <v>0</v>
      </c>
      <c r="N792" s="1181"/>
      <c r="O792" s="939">
        <f>CHOORData!Z50</f>
        <v>0</v>
      </c>
      <c r="P792" s="1181"/>
      <c r="Q792" s="940">
        <f>CHOORData!AA50</f>
        <v>0</v>
      </c>
      <c r="R792" s="940"/>
      <c r="S792" s="940"/>
      <c r="T792" s="940"/>
      <c r="U792" s="940">
        <f>CHOORData!BA50</f>
        <v>0</v>
      </c>
      <c r="V792" s="940"/>
      <c r="W792" s="940"/>
      <c r="X792" s="940"/>
      <c r="Y792" s="940">
        <f t="shared" si="15"/>
        <v>0</v>
      </c>
      <c r="Z792" s="940"/>
      <c r="AA792" s="940"/>
      <c r="AB792" s="940"/>
      <c r="AC792" s="859">
        <f>CHOORData!AB50</f>
        <v>0</v>
      </c>
      <c r="AD792" s="860"/>
      <c r="AE792" s="518"/>
      <c r="AF792" s="518"/>
      <c r="AG792" s="529"/>
      <c r="AH792" s="518"/>
      <c r="AJ792" s="595" t="b">
        <f t="shared" si="16"/>
        <v>0</v>
      </c>
    </row>
    <row r="793" spans="1:36" hidden="1" x14ac:dyDescent="0.45">
      <c r="B793" s="1085" t="s">
        <v>1452</v>
      </c>
      <c r="C793" s="1086"/>
      <c r="D793" s="1086"/>
      <c r="E793" s="1086"/>
      <c r="F793" s="1087"/>
      <c r="G793" s="885" t="str">
        <f>IF(CHOORData!T51&gt;0,CHOORData!T51,"")</f>
        <v/>
      </c>
      <c r="H793" s="885"/>
      <c r="I793" s="939">
        <f>CHOORData!W51</f>
        <v>0</v>
      </c>
      <c r="J793" s="1181"/>
      <c r="K793" s="939">
        <f>CHOORData!X51</f>
        <v>0</v>
      </c>
      <c r="L793" s="1181"/>
      <c r="M793" s="939">
        <f>CHOORData!Y51</f>
        <v>0</v>
      </c>
      <c r="N793" s="1181"/>
      <c r="O793" s="939">
        <f>CHOORData!Z51</f>
        <v>0</v>
      </c>
      <c r="P793" s="1181"/>
      <c r="Q793" s="940">
        <f>CHOORData!AA51</f>
        <v>0</v>
      </c>
      <c r="R793" s="940"/>
      <c r="S793" s="940"/>
      <c r="T793" s="940"/>
      <c r="U793" s="940">
        <f>CHOORData!BA51</f>
        <v>0</v>
      </c>
      <c r="V793" s="940"/>
      <c r="W793" s="940"/>
      <c r="X793" s="940"/>
      <c r="Y793" s="940">
        <f t="shared" si="15"/>
        <v>0</v>
      </c>
      <c r="Z793" s="940"/>
      <c r="AA793" s="940"/>
      <c r="AB793" s="940"/>
      <c r="AC793" s="859">
        <f>CHOORData!AB51</f>
        <v>0</v>
      </c>
      <c r="AD793" s="860"/>
      <c r="AE793" s="518"/>
      <c r="AF793" s="518"/>
      <c r="AG793" s="529"/>
      <c r="AH793" s="518"/>
      <c r="AJ793" s="595" t="b">
        <f t="shared" si="16"/>
        <v>0</v>
      </c>
    </row>
    <row r="794" spans="1:36" hidden="1" x14ac:dyDescent="0.45">
      <c r="B794" s="1085" t="s">
        <v>1453</v>
      </c>
      <c r="C794" s="1086"/>
      <c r="D794" s="1086"/>
      <c r="E794" s="1086"/>
      <c r="F794" s="1087"/>
      <c r="G794" s="885" t="str">
        <f>IF(CHOORData!T52&gt;0,CHOORData!T52,"")</f>
        <v/>
      </c>
      <c r="H794" s="885"/>
      <c r="I794" s="939">
        <f>CHOORData!W52</f>
        <v>0</v>
      </c>
      <c r="J794" s="1181"/>
      <c r="K794" s="939">
        <f>CHOORData!X52</f>
        <v>0</v>
      </c>
      <c r="L794" s="1181"/>
      <c r="M794" s="939">
        <f>CHOORData!Y52</f>
        <v>0</v>
      </c>
      <c r="N794" s="1181"/>
      <c r="O794" s="939">
        <f>CHOORData!Z52</f>
        <v>0</v>
      </c>
      <c r="P794" s="1181"/>
      <c r="Q794" s="940">
        <f>CHOORData!AA52</f>
        <v>0</v>
      </c>
      <c r="R794" s="940"/>
      <c r="S794" s="940"/>
      <c r="T794" s="940"/>
      <c r="U794" s="940">
        <f>CHOORData!BA52</f>
        <v>0</v>
      </c>
      <c r="V794" s="940"/>
      <c r="W794" s="940"/>
      <c r="X794" s="940"/>
      <c r="Y794" s="940">
        <f t="shared" si="15"/>
        <v>0</v>
      </c>
      <c r="Z794" s="940"/>
      <c r="AA794" s="940"/>
      <c r="AB794" s="940"/>
      <c r="AC794" s="859">
        <f>CHOORData!AB52</f>
        <v>0</v>
      </c>
      <c r="AD794" s="860"/>
      <c r="AE794" s="518"/>
      <c r="AF794" s="518"/>
      <c r="AG794" s="529"/>
      <c r="AH794" s="518"/>
      <c r="AJ794" s="595" t="b">
        <f t="shared" si="16"/>
        <v>0</v>
      </c>
    </row>
    <row r="795" spans="1:36" hidden="1" x14ac:dyDescent="0.45">
      <c r="B795" s="1085" t="s">
        <v>1454</v>
      </c>
      <c r="C795" s="1086"/>
      <c r="D795" s="1086"/>
      <c r="E795" s="1086"/>
      <c r="F795" s="1087"/>
      <c r="G795" s="885" t="str">
        <f>IF(CHOORData!T53&gt;0,CHOORData!T53,"")</f>
        <v/>
      </c>
      <c r="H795" s="885"/>
      <c r="I795" s="939">
        <f>CHOORData!W53</f>
        <v>0</v>
      </c>
      <c r="J795" s="1181"/>
      <c r="K795" s="939">
        <f>CHOORData!X53</f>
        <v>0</v>
      </c>
      <c r="L795" s="1181"/>
      <c r="M795" s="939">
        <f>CHOORData!Y53</f>
        <v>0</v>
      </c>
      <c r="N795" s="1181"/>
      <c r="O795" s="939">
        <f>CHOORData!Z53</f>
        <v>0</v>
      </c>
      <c r="P795" s="1181"/>
      <c r="Q795" s="940">
        <f>CHOORData!AA53</f>
        <v>0</v>
      </c>
      <c r="R795" s="940"/>
      <c r="S795" s="940"/>
      <c r="T795" s="940"/>
      <c r="U795" s="940">
        <f>CHOORData!BA53</f>
        <v>0</v>
      </c>
      <c r="V795" s="940"/>
      <c r="W795" s="940"/>
      <c r="X795" s="940"/>
      <c r="Y795" s="940">
        <f t="shared" si="15"/>
        <v>0</v>
      </c>
      <c r="Z795" s="940"/>
      <c r="AA795" s="940"/>
      <c r="AB795" s="940"/>
      <c r="AC795" s="859">
        <f>CHOORData!AB53</f>
        <v>0</v>
      </c>
      <c r="AD795" s="860"/>
      <c r="AE795" s="518"/>
      <c r="AF795" s="518"/>
      <c r="AG795" s="529"/>
      <c r="AH795" s="518"/>
      <c r="AJ795" s="595" t="b">
        <f t="shared" si="16"/>
        <v>0</v>
      </c>
    </row>
    <row r="796" spans="1:36" hidden="1" x14ac:dyDescent="0.45">
      <c r="B796" s="1085" t="s">
        <v>1455</v>
      </c>
      <c r="C796" s="1086"/>
      <c r="D796" s="1086"/>
      <c r="E796" s="1086"/>
      <c r="F796" s="1087"/>
      <c r="G796" s="885" t="str">
        <f>IF(CHOORData!T54&gt;0,CHOORData!T54,"")</f>
        <v/>
      </c>
      <c r="H796" s="885"/>
      <c r="I796" s="939">
        <f>CHOORData!W54</f>
        <v>0</v>
      </c>
      <c r="J796" s="1181"/>
      <c r="K796" s="939">
        <f>CHOORData!X54</f>
        <v>0</v>
      </c>
      <c r="L796" s="1181"/>
      <c r="M796" s="939">
        <f>CHOORData!Y54</f>
        <v>0</v>
      </c>
      <c r="N796" s="1181"/>
      <c r="O796" s="939">
        <f>CHOORData!Z54</f>
        <v>0</v>
      </c>
      <c r="P796" s="1181"/>
      <c r="Q796" s="940">
        <f>CHOORData!AA54</f>
        <v>0</v>
      </c>
      <c r="R796" s="940"/>
      <c r="S796" s="940"/>
      <c r="T796" s="940"/>
      <c r="U796" s="940">
        <f>CHOORData!BA54</f>
        <v>0</v>
      </c>
      <c r="V796" s="940"/>
      <c r="W796" s="940"/>
      <c r="X796" s="940"/>
      <c r="Y796" s="940">
        <f t="shared" si="15"/>
        <v>0</v>
      </c>
      <c r="Z796" s="940"/>
      <c r="AA796" s="940"/>
      <c r="AB796" s="940"/>
      <c r="AC796" s="859">
        <f>CHOORData!AB54</f>
        <v>0</v>
      </c>
      <c r="AD796" s="860"/>
      <c r="AE796" s="518"/>
      <c r="AF796" s="518"/>
      <c r="AG796" s="529"/>
      <c r="AH796" s="518"/>
      <c r="AJ796" s="595" t="b">
        <f t="shared" si="16"/>
        <v>0</v>
      </c>
    </row>
    <row r="797" spans="1:36" hidden="1" x14ac:dyDescent="0.45">
      <c r="B797" s="1085" t="s">
        <v>1456</v>
      </c>
      <c r="C797" s="1086"/>
      <c r="D797" s="1086"/>
      <c r="E797" s="1086"/>
      <c r="F797" s="1087"/>
      <c r="G797" s="885" t="str">
        <f>IF(CHOORData!T55&gt;0,CHOORData!T55,"")</f>
        <v/>
      </c>
      <c r="H797" s="885"/>
      <c r="I797" s="939">
        <f>CHOORData!W55</f>
        <v>0</v>
      </c>
      <c r="J797" s="1181"/>
      <c r="K797" s="939">
        <f>CHOORData!X55</f>
        <v>0</v>
      </c>
      <c r="L797" s="1181"/>
      <c r="M797" s="939">
        <f>CHOORData!Y55</f>
        <v>0</v>
      </c>
      <c r="N797" s="1181"/>
      <c r="O797" s="939">
        <f>CHOORData!Z55</f>
        <v>0</v>
      </c>
      <c r="P797" s="1181"/>
      <c r="Q797" s="940">
        <f>CHOORData!AA55</f>
        <v>0</v>
      </c>
      <c r="R797" s="940"/>
      <c r="S797" s="940"/>
      <c r="T797" s="940"/>
      <c r="U797" s="940">
        <f>CHOORData!BA55</f>
        <v>0</v>
      </c>
      <c r="V797" s="940"/>
      <c r="W797" s="940"/>
      <c r="X797" s="940"/>
      <c r="Y797" s="940">
        <f t="shared" si="15"/>
        <v>0</v>
      </c>
      <c r="Z797" s="940"/>
      <c r="AA797" s="940"/>
      <c r="AB797" s="940"/>
      <c r="AC797" s="859">
        <f>CHOORData!AB55</f>
        <v>0</v>
      </c>
      <c r="AD797" s="860"/>
      <c r="AE797" s="518"/>
      <c r="AF797" s="518"/>
      <c r="AG797" s="529"/>
      <c r="AH797" s="518"/>
      <c r="AJ797" s="595" t="b">
        <f t="shared" si="16"/>
        <v>0</v>
      </c>
    </row>
    <row r="798" spans="1:36" hidden="1" x14ac:dyDescent="0.45">
      <c r="B798" s="1085" t="s">
        <v>1457</v>
      </c>
      <c r="C798" s="1086"/>
      <c r="D798" s="1086"/>
      <c r="E798" s="1086"/>
      <c r="F798" s="1087"/>
      <c r="G798" s="885" t="str">
        <f>IF(CHOORData!T56&gt;0,CHOORData!T56,"")</f>
        <v/>
      </c>
      <c r="H798" s="885"/>
      <c r="I798" s="939">
        <f>CHOORData!W56</f>
        <v>0</v>
      </c>
      <c r="J798" s="1181"/>
      <c r="K798" s="939">
        <f>CHOORData!X56</f>
        <v>0</v>
      </c>
      <c r="L798" s="1181"/>
      <c r="M798" s="939">
        <f>CHOORData!Y56</f>
        <v>0</v>
      </c>
      <c r="N798" s="1181"/>
      <c r="O798" s="939">
        <f>CHOORData!Z56</f>
        <v>0</v>
      </c>
      <c r="P798" s="1181"/>
      <c r="Q798" s="940">
        <f>CHOORData!AA56</f>
        <v>0</v>
      </c>
      <c r="R798" s="940"/>
      <c r="S798" s="940"/>
      <c r="T798" s="940"/>
      <c r="U798" s="940">
        <f>CHOORData!BA56</f>
        <v>0</v>
      </c>
      <c r="V798" s="940"/>
      <c r="W798" s="940"/>
      <c r="X798" s="940"/>
      <c r="Y798" s="940">
        <f t="shared" si="15"/>
        <v>0</v>
      </c>
      <c r="Z798" s="940"/>
      <c r="AA798" s="940"/>
      <c r="AB798" s="940"/>
      <c r="AC798" s="859">
        <f>CHOORData!AB56</f>
        <v>0</v>
      </c>
      <c r="AD798" s="860"/>
      <c r="AE798" s="518"/>
      <c r="AF798" s="518"/>
      <c r="AG798" s="529"/>
      <c r="AH798" s="518"/>
      <c r="AJ798" s="595" t="b">
        <f t="shared" si="16"/>
        <v>0</v>
      </c>
    </row>
    <row r="799" spans="1:36" hidden="1" x14ac:dyDescent="0.45">
      <c r="B799" s="1085" t="s">
        <v>1458</v>
      </c>
      <c r="C799" s="1086"/>
      <c r="D799" s="1086"/>
      <c r="E799" s="1086"/>
      <c r="F799" s="1087"/>
      <c r="G799" s="885" t="str">
        <f>IF(CHOORData!T57&gt;0,CHOORData!T57,"")</f>
        <v/>
      </c>
      <c r="H799" s="885"/>
      <c r="I799" s="939">
        <f>CHOORData!W57</f>
        <v>0</v>
      </c>
      <c r="J799" s="1181"/>
      <c r="K799" s="939">
        <f>CHOORData!X57</f>
        <v>0</v>
      </c>
      <c r="L799" s="1181"/>
      <c r="M799" s="939">
        <f>CHOORData!Y57</f>
        <v>0</v>
      </c>
      <c r="N799" s="1181"/>
      <c r="O799" s="939">
        <f>CHOORData!Z57</f>
        <v>0</v>
      </c>
      <c r="P799" s="1181"/>
      <c r="Q799" s="940">
        <f>CHOORData!AA57</f>
        <v>0</v>
      </c>
      <c r="R799" s="940"/>
      <c r="S799" s="940"/>
      <c r="T799" s="940"/>
      <c r="U799" s="940">
        <f>CHOORData!BA57</f>
        <v>0</v>
      </c>
      <c r="V799" s="940"/>
      <c r="W799" s="940"/>
      <c r="X799" s="940"/>
      <c r="Y799" s="940">
        <f t="shared" si="15"/>
        <v>0</v>
      </c>
      <c r="Z799" s="940"/>
      <c r="AA799" s="940"/>
      <c r="AB799" s="940"/>
      <c r="AC799" s="859">
        <f>CHOORData!AB57</f>
        <v>0</v>
      </c>
      <c r="AD799" s="860"/>
      <c r="AE799" s="518"/>
      <c r="AF799" s="518"/>
      <c r="AG799" s="529"/>
      <c r="AH799" s="518"/>
      <c r="AJ799" s="595" t="b">
        <f t="shared" si="16"/>
        <v>0</v>
      </c>
    </row>
    <row r="800" spans="1:36" hidden="1" x14ac:dyDescent="0.45">
      <c r="B800" s="1085" t="s">
        <v>1459</v>
      </c>
      <c r="C800" s="1086"/>
      <c r="D800" s="1086"/>
      <c r="E800" s="1086"/>
      <c r="F800" s="1087"/>
      <c r="G800" s="885" t="str">
        <f>IF(CHOORData!T58&gt;0,CHOORData!T58,"")</f>
        <v/>
      </c>
      <c r="H800" s="885"/>
      <c r="I800" s="939">
        <f>CHOORData!W58</f>
        <v>0</v>
      </c>
      <c r="J800" s="1181"/>
      <c r="K800" s="939">
        <f>CHOORData!X58</f>
        <v>0</v>
      </c>
      <c r="L800" s="1181"/>
      <c r="M800" s="939">
        <f>CHOORData!Y58</f>
        <v>0</v>
      </c>
      <c r="N800" s="1181"/>
      <c r="O800" s="939">
        <f>CHOORData!Z58</f>
        <v>0</v>
      </c>
      <c r="P800" s="1181"/>
      <c r="Q800" s="940">
        <f>CHOORData!AA58</f>
        <v>0</v>
      </c>
      <c r="R800" s="940"/>
      <c r="S800" s="940"/>
      <c r="T800" s="940"/>
      <c r="U800" s="940">
        <f>CHOORData!BA58</f>
        <v>0</v>
      </c>
      <c r="V800" s="940"/>
      <c r="W800" s="940"/>
      <c r="X800" s="940"/>
      <c r="Y800" s="940">
        <f t="shared" si="15"/>
        <v>0</v>
      </c>
      <c r="Z800" s="940"/>
      <c r="AA800" s="940"/>
      <c r="AB800" s="940"/>
      <c r="AC800" s="859">
        <f>CHOORData!AB58</f>
        <v>0</v>
      </c>
      <c r="AD800" s="860"/>
      <c r="AE800" s="518"/>
      <c r="AF800" s="518"/>
      <c r="AG800" s="529"/>
      <c r="AH800" s="518"/>
      <c r="AJ800" s="595" t="b">
        <f t="shared" si="16"/>
        <v>0</v>
      </c>
    </row>
    <row r="801" spans="1:36" hidden="1" x14ac:dyDescent="0.45">
      <c r="A801" s="518"/>
      <c r="B801" s="1085" t="s">
        <v>1460</v>
      </c>
      <c r="C801" s="1086"/>
      <c r="D801" s="1086"/>
      <c r="E801" s="1086"/>
      <c r="F801" s="1087"/>
      <c r="G801" s="885" t="str">
        <f>IF(CHOORData!T59&gt;0,CHOORData!T59,"")</f>
        <v/>
      </c>
      <c r="H801" s="885"/>
      <c r="I801" s="939">
        <f>CHOORData!W59</f>
        <v>0</v>
      </c>
      <c r="J801" s="1181"/>
      <c r="K801" s="939">
        <f>CHOORData!X59</f>
        <v>0</v>
      </c>
      <c r="L801" s="1181"/>
      <c r="M801" s="939">
        <f>CHOORData!Y59</f>
        <v>0</v>
      </c>
      <c r="N801" s="1181"/>
      <c r="O801" s="939">
        <f>CHOORData!Z59</f>
        <v>0</v>
      </c>
      <c r="P801" s="1181"/>
      <c r="Q801" s="940">
        <f>CHOORData!AA59</f>
        <v>0</v>
      </c>
      <c r="R801" s="940"/>
      <c r="S801" s="940"/>
      <c r="T801" s="940"/>
      <c r="U801" s="940">
        <f>CHOORData!BA59</f>
        <v>0</v>
      </c>
      <c r="V801" s="940"/>
      <c r="W801" s="940"/>
      <c r="X801" s="940"/>
      <c r="Y801" s="940">
        <f t="shared" si="15"/>
        <v>0</v>
      </c>
      <c r="Z801" s="940"/>
      <c r="AA801" s="940"/>
      <c r="AB801" s="940"/>
      <c r="AC801" s="859">
        <f>CHOORData!AB59</f>
        <v>0</v>
      </c>
      <c r="AD801" s="860"/>
      <c r="AE801" s="518"/>
      <c r="AF801" s="518"/>
      <c r="AG801" s="529"/>
      <c r="AH801" s="518"/>
      <c r="AJ801" s="595" t="b">
        <f t="shared" si="16"/>
        <v>0</v>
      </c>
    </row>
    <row r="802" spans="1:36" hidden="1" x14ac:dyDescent="0.45">
      <c r="A802" s="518"/>
      <c r="B802" s="1085" t="s">
        <v>1461</v>
      </c>
      <c r="C802" s="1086"/>
      <c r="D802" s="1086"/>
      <c r="E802" s="1086"/>
      <c r="F802" s="1087"/>
      <c r="G802" s="885" t="str">
        <f>IF(CHOORData!T60&gt;0,CHOORData!T60,"")</f>
        <v/>
      </c>
      <c r="H802" s="885"/>
      <c r="I802" s="939">
        <f>CHOORData!W60</f>
        <v>0</v>
      </c>
      <c r="J802" s="1181"/>
      <c r="K802" s="939">
        <f>CHOORData!X60</f>
        <v>0</v>
      </c>
      <c r="L802" s="1181"/>
      <c r="M802" s="939">
        <f>CHOORData!Y60</f>
        <v>0</v>
      </c>
      <c r="N802" s="1181"/>
      <c r="O802" s="939">
        <f>CHOORData!Z60</f>
        <v>0</v>
      </c>
      <c r="P802" s="1181"/>
      <c r="Q802" s="940">
        <f>CHOORData!AA60</f>
        <v>0</v>
      </c>
      <c r="R802" s="940"/>
      <c r="S802" s="940"/>
      <c r="T802" s="940"/>
      <c r="U802" s="940">
        <f>CHOORData!BA60</f>
        <v>0</v>
      </c>
      <c r="V802" s="940"/>
      <c r="W802" s="940"/>
      <c r="X802" s="940"/>
      <c r="Y802" s="940">
        <f t="shared" si="15"/>
        <v>0</v>
      </c>
      <c r="Z802" s="940"/>
      <c r="AA802" s="940"/>
      <c r="AB802" s="940"/>
      <c r="AC802" s="859">
        <f>CHOORData!AB60</f>
        <v>0</v>
      </c>
      <c r="AD802" s="860"/>
      <c r="AE802" s="518"/>
      <c r="AF802" s="518"/>
      <c r="AG802" s="529"/>
      <c r="AH802" s="518"/>
      <c r="AJ802" s="595" t="b">
        <f t="shared" si="16"/>
        <v>0</v>
      </c>
    </row>
    <row r="803" spans="1:36" hidden="1" x14ac:dyDescent="0.45">
      <c r="A803" s="518"/>
      <c r="B803" s="518"/>
      <c r="C803" s="518"/>
      <c r="D803" s="518"/>
      <c r="E803" s="518"/>
      <c r="F803" s="518"/>
      <c r="G803" s="518"/>
      <c r="H803" s="518"/>
      <c r="I803" s="518"/>
      <c r="J803" s="518"/>
      <c r="K803" s="518"/>
      <c r="L803" s="518"/>
      <c r="M803" s="518"/>
      <c r="N803" s="518"/>
      <c r="O803" s="518"/>
      <c r="P803" s="518"/>
      <c r="Q803" s="518"/>
      <c r="R803" s="518"/>
      <c r="S803" s="518"/>
      <c r="T803" s="518"/>
      <c r="U803" s="518"/>
      <c r="V803" s="518"/>
      <c r="W803" s="518"/>
      <c r="X803" s="518"/>
      <c r="Y803" s="518"/>
      <c r="Z803" s="518"/>
      <c r="AA803" s="518"/>
      <c r="AB803" s="518"/>
      <c r="AC803" s="518"/>
      <c r="AD803" s="518"/>
      <c r="AE803" s="518"/>
      <c r="AF803" s="518"/>
      <c r="AG803" s="518"/>
      <c r="AH803" s="518"/>
      <c r="AJ803" s="595" t="b">
        <f>AJ738</f>
        <v>0</v>
      </c>
    </row>
    <row r="804" spans="1:36" hidden="1" x14ac:dyDescent="0.45">
      <c r="A804" s="518"/>
      <c r="B804" s="911" t="s">
        <v>173</v>
      </c>
      <c r="C804" s="912"/>
      <c r="D804" s="912"/>
      <c r="E804" s="912"/>
      <c r="F804" s="912"/>
      <c r="G804" s="912"/>
      <c r="H804" s="913">
        <f>CH_OOR_UnrestrictedTotalRequested</f>
        <v>0</v>
      </c>
      <c r="I804" s="914"/>
      <c r="J804" s="914"/>
      <c r="K804" s="914"/>
      <c r="L804" s="914"/>
      <c r="M804" s="914"/>
      <c r="N804" s="915"/>
      <c r="O804" s="518"/>
      <c r="P804" s="518"/>
      <c r="Q804" s="518"/>
      <c r="R804" s="518"/>
      <c r="S804" s="518"/>
      <c r="T804" s="518"/>
      <c r="U804" s="518"/>
      <c r="V804" s="518"/>
      <c r="W804" s="518"/>
      <c r="X804" s="518"/>
      <c r="Y804" s="518"/>
      <c r="Z804" s="518"/>
      <c r="AA804" s="518"/>
      <c r="AB804" s="518"/>
      <c r="AC804" s="518"/>
      <c r="AD804" s="518"/>
      <c r="AE804" s="518"/>
      <c r="AF804" s="518"/>
      <c r="AG804" s="518"/>
      <c r="AH804" s="518"/>
      <c r="AJ804" s="595"/>
    </row>
    <row r="805" spans="1:36" hidden="1" x14ac:dyDescent="0.45">
      <c r="A805" s="518"/>
      <c r="B805" s="518"/>
      <c r="C805" s="518"/>
      <c r="D805" s="518"/>
      <c r="E805" s="518"/>
      <c r="F805" s="518"/>
      <c r="G805" s="518"/>
      <c r="H805" s="518"/>
      <c r="I805" s="518"/>
      <c r="J805" s="518"/>
      <c r="K805" s="518"/>
      <c r="L805" s="518"/>
      <c r="M805" s="518"/>
      <c r="N805" s="518"/>
      <c r="O805" s="518"/>
      <c r="P805" s="518"/>
      <c r="Q805" s="518"/>
      <c r="R805" s="518"/>
      <c r="S805" s="518"/>
      <c r="T805" s="518"/>
      <c r="U805" s="518"/>
      <c r="V805" s="518"/>
      <c r="W805" s="518"/>
      <c r="X805" s="518"/>
      <c r="Y805" s="518"/>
      <c r="Z805" s="518"/>
      <c r="AA805" s="518"/>
      <c r="AB805" s="518"/>
      <c r="AC805" s="518"/>
      <c r="AD805" s="518"/>
      <c r="AE805" s="518"/>
      <c r="AF805" s="518"/>
      <c r="AG805" s="518"/>
      <c r="AH805" s="518"/>
      <c r="AJ805" s="595"/>
    </row>
    <row r="806" spans="1:36" hidden="1" x14ac:dyDescent="0.45">
      <c r="A806" s="518"/>
      <c r="B806" s="532" t="s">
        <v>1854</v>
      </c>
      <c r="C806" s="532"/>
      <c r="D806" s="532"/>
      <c r="E806" s="532"/>
      <c r="F806" s="532"/>
      <c r="G806" s="532"/>
      <c r="H806" s="532"/>
      <c r="I806" s="532"/>
      <c r="J806" s="532"/>
      <c r="K806" s="532"/>
      <c r="L806" s="532"/>
      <c r="M806" s="532"/>
      <c r="N806" s="532"/>
      <c r="O806" s="532"/>
      <c r="P806" s="532"/>
      <c r="Q806" s="532"/>
      <c r="R806" s="518"/>
      <c r="S806" s="518"/>
      <c r="T806" s="518"/>
      <c r="U806" s="518"/>
      <c r="V806" s="518"/>
      <c r="W806" s="518"/>
      <c r="X806" s="518"/>
      <c r="Y806" s="518"/>
      <c r="Z806" s="518"/>
      <c r="AA806" s="518"/>
      <c r="AB806" s="518"/>
      <c r="AC806" s="518"/>
      <c r="AD806" s="518"/>
      <c r="AE806" s="518"/>
      <c r="AF806" s="518"/>
      <c r="AG806" s="518"/>
      <c r="AH806" s="518"/>
      <c r="AJ806" s="595"/>
    </row>
    <row r="807" spans="1:36" hidden="1" x14ac:dyDescent="0.45">
      <c r="A807" s="518"/>
      <c r="B807" s="877" t="s">
        <v>174</v>
      </c>
      <c r="C807" s="877"/>
      <c r="D807" s="877"/>
      <c r="E807" s="877"/>
      <c r="F807" s="877"/>
      <c r="G807" s="877"/>
      <c r="H807" s="877"/>
      <c r="I807" s="877"/>
      <c r="J807" s="877"/>
      <c r="K807" s="877"/>
      <c r="L807" s="877"/>
      <c r="M807" s="877"/>
      <c r="N807" s="877"/>
      <c r="O807" s="878"/>
      <c r="P807" s="879"/>
      <c r="Q807" s="880"/>
      <c r="R807" s="518"/>
      <c r="S807" s="518"/>
      <c r="T807" s="518"/>
      <c r="U807" s="518"/>
      <c r="V807" s="518"/>
      <c r="W807" s="518"/>
      <c r="X807" s="518"/>
      <c r="Y807" s="518"/>
      <c r="Z807" s="518"/>
      <c r="AA807" s="518"/>
      <c r="AB807" s="518"/>
      <c r="AC807" s="518"/>
      <c r="AD807" s="518"/>
      <c r="AE807" s="518"/>
      <c r="AF807" s="518"/>
      <c r="AG807" s="518"/>
      <c r="AH807" s="518"/>
      <c r="AJ807" s="595"/>
    </row>
    <row r="808" spans="1:36" hidden="1" x14ac:dyDescent="0.45">
      <c r="A808" s="518"/>
      <c r="B808" s="877" t="s">
        <v>175</v>
      </c>
      <c r="C808" s="877"/>
      <c r="D808" s="877"/>
      <c r="E808" s="877"/>
      <c r="F808" s="877"/>
      <c r="G808" s="877"/>
      <c r="H808" s="877"/>
      <c r="I808" s="877"/>
      <c r="J808" s="877"/>
      <c r="K808" s="877"/>
      <c r="L808" s="877"/>
      <c r="M808" s="877"/>
      <c r="N808" s="877"/>
      <c r="O808" s="878" t="str">
        <f>IF(CH_OOR_UnrestrictedCommunityNeedPoints=0,"",CH_OOR_UnrestrictedCommunityNeedPoints)</f>
        <v/>
      </c>
      <c r="P808" s="879"/>
      <c r="Q808" s="880"/>
      <c r="R808" s="518"/>
      <c r="S808" s="518"/>
      <c r="T808" s="518"/>
      <c r="U808" s="518"/>
      <c r="V808" s="518"/>
      <c r="W808" s="518"/>
      <c r="X808" s="518"/>
      <c r="Y808" s="518"/>
      <c r="Z808" s="518"/>
      <c r="AA808" s="518"/>
      <c r="AB808" s="518"/>
      <c r="AC808" s="518"/>
      <c r="AD808" s="518"/>
      <c r="AE808" s="518"/>
      <c r="AF808" s="518"/>
      <c r="AG808" s="518"/>
      <c r="AH808" s="518"/>
      <c r="AJ808" s="595"/>
    </row>
    <row r="809" spans="1:36" hidden="1" x14ac:dyDescent="0.45">
      <c r="A809" s="518"/>
      <c r="B809" s="877" t="s">
        <v>176</v>
      </c>
      <c r="C809" s="877"/>
      <c r="D809" s="877"/>
      <c r="E809" s="877"/>
      <c r="F809" s="877"/>
      <c r="G809" s="877"/>
      <c r="H809" s="877"/>
      <c r="I809" s="877"/>
      <c r="J809" s="877"/>
      <c r="K809" s="877"/>
      <c r="L809" s="877"/>
      <c r="M809" s="877"/>
      <c r="N809" s="877"/>
      <c r="O809" s="878" t="str">
        <f>IF(CH_OOR_UnrestrictedFeasibilityPoints=0,"",CH_OOR_UnrestrictedFeasibilityPoints)</f>
        <v/>
      </c>
      <c r="P809" s="879"/>
      <c r="Q809" s="880"/>
      <c r="R809" s="518"/>
      <c r="S809" s="518"/>
      <c r="T809" s="518"/>
      <c r="U809" s="518"/>
      <c r="V809" s="518"/>
      <c r="W809" s="518"/>
      <c r="X809" s="518"/>
      <c r="Y809" s="518"/>
      <c r="Z809" s="518"/>
      <c r="AA809" s="518"/>
      <c r="AB809" s="518"/>
      <c r="AC809" s="518"/>
      <c r="AD809" s="518"/>
      <c r="AE809" s="518"/>
      <c r="AF809" s="518"/>
      <c r="AG809" s="518"/>
      <c r="AH809" s="518"/>
      <c r="AJ809" s="595"/>
    </row>
    <row r="810" spans="1:36" hidden="1" x14ac:dyDescent="0.45">
      <c r="A810" s="518"/>
      <c r="B810" s="877" t="s">
        <v>177</v>
      </c>
      <c r="C810" s="877"/>
      <c r="D810" s="877"/>
      <c r="E810" s="877"/>
      <c r="F810" s="877"/>
      <c r="G810" s="877"/>
      <c r="H810" s="877"/>
      <c r="I810" s="877"/>
      <c r="J810" s="877"/>
      <c r="K810" s="877"/>
      <c r="L810" s="877"/>
      <c r="M810" s="877"/>
      <c r="N810" s="877"/>
      <c r="O810" s="878" t="str">
        <f>IF(CH_OOR_UnrestrictedRevitalizationPoints=0,"",CH_OOR_UnrestrictedRevitalizationPoints)</f>
        <v/>
      </c>
      <c r="P810" s="879"/>
      <c r="Q810" s="880"/>
      <c r="R810" s="518"/>
      <c r="S810" s="518"/>
      <c r="T810" s="518"/>
      <c r="U810" s="518"/>
      <c r="V810" s="518"/>
      <c r="W810" s="518"/>
      <c r="X810" s="518"/>
      <c r="Y810" s="518"/>
      <c r="Z810" s="518"/>
      <c r="AA810" s="518"/>
      <c r="AB810" s="518"/>
      <c r="AC810" s="518"/>
      <c r="AD810" s="518"/>
      <c r="AE810" s="518"/>
      <c r="AF810" s="518"/>
      <c r="AG810" s="518"/>
      <c r="AH810" s="518"/>
      <c r="AJ810" s="595"/>
    </row>
    <row r="811" spans="1:36" hidden="1" x14ac:dyDescent="0.45">
      <c r="A811" s="518"/>
      <c r="B811" s="881" t="s">
        <v>178</v>
      </c>
      <c r="C811" s="881"/>
      <c r="D811" s="881"/>
      <c r="E811" s="881"/>
      <c r="F811" s="881"/>
      <c r="G811" s="881"/>
      <c r="H811" s="881"/>
      <c r="I811" s="881"/>
      <c r="J811" s="881"/>
      <c r="K811" s="881"/>
      <c r="L811" s="881"/>
      <c r="M811" s="881"/>
      <c r="N811" s="881"/>
      <c r="O811" s="882" t="s">
        <v>195</v>
      </c>
      <c r="P811" s="883"/>
      <c r="Q811" s="884"/>
      <c r="R811" s="518"/>
      <c r="S811" s="518"/>
      <c r="T811" s="518"/>
      <c r="U811" s="518"/>
      <c r="V811" s="518"/>
      <c r="W811" s="518"/>
      <c r="X811" s="518"/>
      <c r="Y811" s="518"/>
      <c r="Z811" s="518"/>
      <c r="AA811" s="518"/>
      <c r="AB811" s="518"/>
      <c r="AC811" s="518"/>
      <c r="AD811" s="518"/>
      <c r="AE811" s="518"/>
      <c r="AF811" s="518"/>
      <c r="AG811" s="518"/>
      <c r="AH811" s="518"/>
      <c r="AJ811" s="595"/>
    </row>
    <row r="812" spans="1:36" hidden="1" x14ac:dyDescent="0.45">
      <c r="A812" s="518"/>
      <c r="B812" s="881" t="s">
        <v>179</v>
      </c>
      <c r="C812" s="881"/>
      <c r="D812" s="881"/>
      <c r="E812" s="881"/>
      <c r="F812" s="881"/>
      <c r="G812" s="881"/>
      <c r="H812" s="881"/>
      <c r="I812" s="881"/>
      <c r="J812" s="881"/>
      <c r="K812" s="881"/>
      <c r="L812" s="881"/>
      <c r="M812" s="881"/>
      <c r="N812" s="881"/>
      <c r="O812" s="882" t="s">
        <v>195</v>
      </c>
      <c r="P812" s="883"/>
      <c r="Q812" s="884"/>
      <c r="R812" s="518"/>
      <c r="S812" s="518"/>
      <c r="T812" s="518"/>
      <c r="U812" s="518"/>
      <c r="V812" s="518"/>
      <c r="W812" s="518"/>
      <c r="X812" s="518"/>
      <c r="Y812" s="518"/>
      <c r="Z812" s="518"/>
      <c r="AA812" s="518"/>
      <c r="AB812" s="518"/>
      <c r="AC812" s="518"/>
      <c r="AD812" s="518"/>
      <c r="AE812" s="518"/>
      <c r="AF812" s="518"/>
      <c r="AG812" s="518"/>
      <c r="AH812" s="518"/>
      <c r="AJ812" s="595"/>
    </row>
    <row r="813" spans="1:36" hidden="1" x14ac:dyDescent="0.45">
      <c r="A813" s="518"/>
      <c r="B813" s="877" t="s">
        <v>180</v>
      </c>
      <c r="C813" s="877"/>
      <c r="D813" s="877"/>
      <c r="E813" s="877"/>
      <c r="F813" s="877"/>
      <c r="G813" s="877"/>
      <c r="H813" s="877"/>
      <c r="I813" s="877"/>
      <c r="J813" s="877"/>
      <c r="K813" s="877"/>
      <c r="L813" s="877"/>
      <c r="M813" s="877"/>
      <c r="N813" s="877"/>
      <c r="O813" s="878"/>
      <c r="P813" s="879"/>
      <c r="Q813" s="880"/>
      <c r="R813" s="518"/>
      <c r="S813" s="518"/>
      <c r="T813" s="518"/>
      <c r="U813" s="518"/>
      <c r="V813" s="518"/>
      <c r="W813" s="518"/>
      <c r="X813" s="518"/>
      <c r="Y813" s="518"/>
      <c r="Z813" s="518"/>
      <c r="AA813" s="518"/>
      <c r="AB813" s="518"/>
      <c r="AC813" s="518"/>
      <c r="AD813" s="518"/>
      <c r="AE813" s="518"/>
      <c r="AF813" s="518"/>
      <c r="AG813" s="518"/>
      <c r="AH813" s="518"/>
      <c r="AJ813" s="595"/>
    </row>
    <row r="814" spans="1:36" hidden="1" x14ac:dyDescent="0.45">
      <c r="A814" s="518"/>
      <c r="B814" s="1225" t="s">
        <v>181</v>
      </c>
      <c r="C814" s="1225"/>
      <c r="D814" s="1225"/>
      <c r="E814" s="1225"/>
      <c r="F814" s="1225"/>
      <c r="G814" s="1225"/>
      <c r="H814" s="1225"/>
      <c r="I814" s="1225"/>
      <c r="J814" s="1225"/>
      <c r="K814" s="1225"/>
      <c r="L814" s="1225"/>
      <c r="M814" s="1225"/>
      <c r="N814" s="1225"/>
      <c r="O814" s="927"/>
      <c r="P814" s="928"/>
      <c r="Q814" s="929"/>
      <c r="R814" s="518"/>
      <c r="S814" s="518"/>
      <c r="T814" s="518"/>
      <c r="U814" s="518"/>
      <c r="V814" s="518"/>
      <c r="W814" s="518"/>
      <c r="X814" s="518"/>
      <c r="Y814" s="518"/>
      <c r="Z814" s="518"/>
      <c r="AA814" s="518"/>
      <c r="AB814" s="518"/>
      <c r="AC814" s="518"/>
      <c r="AD814" s="518"/>
      <c r="AE814" s="518"/>
      <c r="AF814" s="518"/>
      <c r="AG814" s="518"/>
      <c r="AH814" s="518"/>
      <c r="AJ814" s="595"/>
    </row>
    <row r="815" spans="1:36" hidden="1" x14ac:dyDescent="0.45">
      <c r="A815" s="518"/>
      <c r="B815" s="1226" t="s">
        <v>182</v>
      </c>
      <c r="C815" s="1226"/>
      <c r="D815" s="1226"/>
      <c r="E815" s="1226"/>
      <c r="F815" s="1226"/>
      <c r="G815" s="1226"/>
      <c r="H815" s="1226"/>
      <c r="I815" s="1226"/>
      <c r="J815" s="1226"/>
      <c r="K815" s="1226"/>
      <c r="L815" s="1226"/>
      <c r="M815" s="1226"/>
      <c r="N815" s="1226"/>
      <c r="O815" s="878">
        <f>SUM(O807:Q813)-O814</f>
        <v>0</v>
      </c>
      <c r="P815" s="879"/>
      <c r="Q815" s="880"/>
      <c r="R815" s="518"/>
      <c r="S815" s="518"/>
      <c r="T815" s="518"/>
      <c r="U815" s="518"/>
      <c r="V815" s="518"/>
      <c r="W815" s="518"/>
      <c r="X815" s="518"/>
      <c r="Y815" s="518"/>
      <c r="Z815" s="518"/>
      <c r="AA815" s="518"/>
      <c r="AB815" s="518"/>
      <c r="AC815" s="518"/>
      <c r="AD815" s="518"/>
      <c r="AE815" s="518"/>
      <c r="AF815" s="518"/>
      <c r="AG815" s="518"/>
      <c r="AH815" s="518"/>
      <c r="AJ815" s="595"/>
    </row>
    <row r="816" spans="1:36" hidden="1" x14ac:dyDescent="0.45">
      <c r="A816" s="518"/>
      <c r="B816" s="517"/>
      <c r="C816" s="517"/>
      <c r="D816" s="517"/>
      <c r="E816" s="517"/>
      <c r="F816" s="517"/>
      <c r="G816" s="517"/>
      <c r="H816" s="517"/>
      <c r="I816" s="517"/>
      <c r="J816" s="517"/>
      <c r="K816" s="517"/>
      <c r="L816" s="517"/>
      <c r="M816" s="517"/>
      <c r="N816" s="517"/>
      <c r="O816" s="532"/>
      <c r="P816" s="532"/>
      <c r="Q816" s="532"/>
      <c r="R816" s="518"/>
      <c r="S816" s="533"/>
      <c r="T816" s="533"/>
      <c r="U816" s="533"/>
      <c r="V816" s="533"/>
      <c r="W816" s="533"/>
      <c r="X816" s="533"/>
      <c r="Y816" s="533"/>
      <c r="Z816" s="533"/>
      <c r="AA816" s="533"/>
      <c r="AB816" s="533"/>
      <c r="AC816" s="533"/>
      <c r="AD816" s="533"/>
      <c r="AE816" s="533"/>
      <c r="AF816" s="533"/>
      <c r="AG816" s="533"/>
      <c r="AH816" s="518"/>
      <c r="AJ816" s="595"/>
    </row>
    <row r="817" spans="1:36" ht="200.15" hidden="1" customHeight="1" x14ac:dyDescent="0.45">
      <c r="A817" s="518"/>
      <c r="B817" s="926" t="s">
        <v>183</v>
      </c>
      <c r="C817" s="926"/>
      <c r="D817" s="926"/>
      <c r="E817" s="926"/>
      <c r="F817" s="926"/>
      <c r="G817" s="926"/>
      <c r="H817" s="926"/>
      <c r="I817" s="926"/>
      <c r="J817" s="926"/>
      <c r="K817" s="926"/>
      <c r="L817" s="926"/>
      <c r="M817" s="926"/>
      <c r="N817" s="926"/>
      <c r="O817" s="926"/>
      <c r="P817" s="926"/>
      <c r="Q817" s="926"/>
      <c r="R817" s="926"/>
      <c r="S817" s="926"/>
      <c r="T817" s="926"/>
      <c r="U817" s="926"/>
      <c r="V817" s="926"/>
      <c r="W817" s="926"/>
      <c r="X817" s="926"/>
      <c r="Y817" s="926"/>
      <c r="Z817" s="926"/>
      <c r="AA817" s="926"/>
      <c r="AB817" s="926"/>
      <c r="AC817" s="926"/>
      <c r="AD817" s="926"/>
      <c r="AE817" s="926"/>
      <c r="AF817" s="926"/>
      <c r="AG817" s="926"/>
      <c r="AH817" s="518"/>
      <c r="AJ817" s="595"/>
    </row>
    <row r="818" spans="1:36" hidden="1" x14ac:dyDescent="0.45">
      <c r="A818" s="518"/>
      <c r="B818" s="518"/>
      <c r="C818" s="518"/>
      <c r="D818" s="518"/>
      <c r="E818" s="518"/>
      <c r="F818" s="518"/>
      <c r="G818" s="518"/>
      <c r="H818" s="518"/>
      <c r="I818" s="518"/>
      <c r="J818" s="518"/>
      <c r="K818" s="518"/>
      <c r="L818" s="518"/>
      <c r="M818" s="518"/>
      <c r="N818" s="518"/>
      <c r="O818" s="518"/>
      <c r="P818" s="518"/>
      <c r="Q818" s="518"/>
      <c r="R818" s="518"/>
      <c r="S818" s="518"/>
      <c r="T818" s="518"/>
      <c r="U818" s="518"/>
      <c r="V818" s="518"/>
      <c r="W818" s="518"/>
      <c r="X818" s="518"/>
      <c r="Y818" s="518"/>
      <c r="Z818" s="518"/>
      <c r="AA818" s="518"/>
      <c r="AB818" s="518"/>
      <c r="AC818" s="518"/>
      <c r="AD818" s="518"/>
      <c r="AE818" s="518"/>
      <c r="AF818" s="518"/>
      <c r="AG818" s="518"/>
      <c r="AH818" s="518"/>
      <c r="AJ818" s="595"/>
    </row>
    <row r="819" spans="1:36" hidden="1" x14ac:dyDescent="0.45">
      <c r="A819" s="518"/>
      <c r="B819" s="518"/>
      <c r="C819" s="518"/>
      <c r="D819" s="518"/>
      <c r="E819" s="518"/>
      <c r="F819" s="518"/>
      <c r="G819" s="518"/>
      <c r="H819" s="518"/>
      <c r="I819" s="518"/>
      <c r="J819" s="518"/>
      <c r="K819" s="518"/>
      <c r="L819" s="518"/>
      <c r="M819" s="518"/>
      <c r="N819" s="518"/>
      <c r="O819" s="518"/>
      <c r="P819" s="518"/>
      <c r="Q819" s="518"/>
      <c r="R819" s="518"/>
      <c r="S819" s="518"/>
      <c r="T819" s="518"/>
      <c r="U819" s="518"/>
      <c r="V819" s="518"/>
      <c r="W819" s="518"/>
      <c r="X819" s="518"/>
      <c r="Y819" s="518"/>
      <c r="Z819" s="518"/>
      <c r="AA819" s="518"/>
      <c r="AB819" s="518"/>
      <c r="AC819" s="518"/>
      <c r="AD819" s="518"/>
      <c r="AE819" s="518"/>
      <c r="AF819" s="518"/>
      <c r="AG819" s="518"/>
      <c r="AH819" s="518"/>
      <c r="AJ819" s="595" t="b">
        <f>AND(AJ$696,CH_OOR_ManufacturedTotalRequested&gt;0)</f>
        <v>0</v>
      </c>
    </row>
    <row r="820" spans="1:36" hidden="1" x14ac:dyDescent="0.45">
      <c r="A820" s="518"/>
      <c r="B820" s="923" t="s">
        <v>1858</v>
      </c>
      <c r="C820" s="923"/>
      <c r="D820" s="923"/>
      <c r="E820" s="923"/>
      <c r="F820" s="923"/>
      <c r="G820" s="923"/>
      <c r="H820" s="923"/>
      <c r="I820" s="923"/>
      <c r="J820" s="923"/>
      <c r="K820" s="923"/>
      <c r="L820" s="923"/>
      <c r="M820" s="923"/>
      <c r="N820" s="923"/>
      <c r="O820" s="923"/>
      <c r="P820" s="923"/>
      <c r="Q820" s="923"/>
      <c r="R820" s="923"/>
      <c r="S820" s="923"/>
      <c r="T820" s="923"/>
      <c r="U820" s="923"/>
      <c r="V820" s="923"/>
      <c r="W820" s="923"/>
      <c r="X820" s="923"/>
      <c r="Y820" s="923"/>
      <c r="Z820" s="923"/>
      <c r="AA820" s="923"/>
      <c r="AB820" s="923"/>
      <c r="AC820" s="923"/>
      <c r="AD820" s="923"/>
      <c r="AE820" s="923"/>
      <c r="AF820" s="923"/>
      <c r="AG820" s="923"/>
      <c r="AH820" s="518"/>
      <c r="AJ820" s="595"/>
    </row>
    <row r="821" spans="1:36" ht="16" hidden="1" customHeight="1" x14ac:dyDescent="0.45">
      <c r="A821" s="518"/>
      <c r="B821" s="924" t="s">
        <v>1834</v>
      </c>
      <c r="C821" s="925"/>
      <c r="D821" s="925"/>
      <c r="E821" s="925"/>
      <c r="F821" s="925"/>
      <c r="G821" s="925"/>
      <c r="H821" s="925"/>
      <c r="I821" s="925"/>
      <c r="J821" s="925"/>
      <c r="K821" s="925"/>
      <c r="L821" s="925"/>
      <c r="M821" s="925"/>
      <c r="N821" s="925"/>
      <c r="O821" s="925"/>
      <c r="P821" s="925"/>
      <c r="Q821" s="925"/>
      <c r="R821" s="925"/>
      <c r="S821" s="925"/>
      <c r="T821" s="925"/>
      <c r="U821" s="925"/>
      <c r="V821" s="925"/>
      <c r="W821" s="925"/>
      <c r="X821" s="925"/>
      <c r="Y821" s="925"/>
      <c r="Z821" s="925"/>
      <c r="AA821" s="925"/>
      <c r="AB821" s="925"/>
      <c r="AC821" s="925"/>
      <c r="AD821" s="925"/>
      <c r="AE821" s="925"/>
      <c r="AF821" s="925"/>
      <c r="AG821" s="925"/>
      <c r="AH821" s="518"/>
      <c r="AJ821" s="595"/>
    </row>
    <row r="822" spans="1:36" ht="16" hidden="1" customHeight="1" x14ac:dyDescent="0.45">
      <c r="A822" s="518"/>
      <c r="B822" s="602"/>
      <c r="C822" s="586"/>
      <c r="D822" s="586"/>
      <c r="E822" s="586"/>
      <c r="F822" s="586"/>
      <c r="G822" s="586"/>
      <c r="H822" s="586"/>
      <c r="I822" s="586"/>
      <c r="J822" s="586"/>
      <c r="K822" s="586"/>
      <c r="L822" s="586"/>
      <c r="M822" s="586"/>
      <c r="N822" s="586"/>
      <c r="O822" s="586"/>
      <c r="P822" s="586"/>
      <c r="Q822" s="586"/>
      <c r="R822" s="586"/>
      <c r="S822" s="586"/>
      <c r="T822" s="586"/>
      <c r="U822" s="586"/>
      <c r="V822" s="586"/>
      <c r="W822" s="586"/>
      <c r="X822" s="586"/>
      <c r="Y822" s="586"/>
      <c r="Z822" s="586"/>
      <c r="AA822" s="586"/>
      <c r="AB822" s="586"/>
      <c r="AC822" s="586"/>
      <c r="AD822" s="586"/>
      <c r="AE822" s="586"/>
      <c r="AF822" s="586"/>
      <c r="AG822" s="586"/>
      <c r="AH822" s="518"/>
      <c r="AJ822" s="595"/>
    </row>
    <row r="823" spans="1:36" hidden="1" x14ac:dyDescent="0.45">
      <c r="A823" s="518"/>
      <c r="B823" s="532" t="s">
        <v>1856</v>
      </c>
      <c r="C823" s="518"/>
      <c r="D823" s="518"/>
      <c r="E823" s="518"/>
      <c r="F823" s="518"/>
      <c r="G823" s="518"/>
      <c r="H823" s="518"/>
      <c r="I823" s="518"/>
      <c r="J823" s="518"/>
      <c r="K823" s="518"/>
      <c r="L823" s="518"/>
      <c r="M823" s="518"/>
      <c r="N823" s="518"/>
      <c r="O823" s="518"/>
      <c r="P823" s="518"/>
      <c r="Q823" s="518"/>
      <c r="R823" s="518"/>
      <c r="S823" s="518"/>
      <c r="T823" s="518"/>
      <c r="U823" s="518"/>
      <c r="V823" s="518"/>
      <c r="W823" s="518"/>
      <c r="X823" s="518"/>
      <c r="Y823" s="518"/>
      <c r="Z823" s="518"/>
      <c r="AA823" s="518"/>
      <c r="AB823" s="518"/>
      <c r="AC823" s="518"/>
      <c r="AD823" s="518"/>
      <c r="AE823" s="518"/>
      <c r="AF823" s="518"/>
      <c r="AG823" s="518"/>
      <c r="AH823" s="518"/>
      <c r="AJ823" s="595"/>
    </row>
    <row r="824" spans="1:36" ht="16" hidden="1" customHeight="1" x14ac:dyDescent="0.45">
      <c r="A824" s="518"/>
      <c r="B824" s="862" t="s">
        <v>108</v>
      </c>
      <c r="C824" s="863"/>
      <c r="D824" s="863"/>
      <c r="E824" s="863"/>
      <c r="F824" s="892"/>
      <c r="G824" s="862" t="s">
        <v>1487</v>
      </c>
      <c r="H824" s="892"/>
      <c r="I824" s="872" t="s">
        <v>91</v>
      </c>
      <c r="J824" s="872"/>
      <c r="K824" s="862" t="s">
        <v>110</v>
      </c>
      <c r="L824" s="863"/>
      <c r="M824" s="863"/>
      <c r="N824" s="892"/>
      <c r="O824" s="862" t="s">
        <v>111</v>
      </c>
      <c r="P824" s="863"/>
      <c r="Q824" s="863"/>
      <c r="R824" s="892"/>
      <c r="S824" s="862" t="s">
        <v>113</v>
      </c>
      <c r="T824" s="863"/>
      <c r="U824" s="863"/>
      <c r="V824" s="892"/>
      <c r="W824" s="862" t="s">
        <v>114</v>
      </c>
      <c r="X824" s="892"/>
      <c r="Y824" s="518"/>
      <c r="Z824" s="518"/>
      <c r="AA824" s="518"/>
      <c r="AB824" s="518"/>
      <c r="AC824" s="518"/>
      <c r="AD824" s="518"/>
      <c r="AE824" s="518"/>
      <c r="AF824" s="518"/>
      <c r="AG824" s="518"/>
      <c r="AH824" s="518"/>
      <c r="AJ824" s="595"/>
    </row>
    <row r="825" spans="1:36" hidden="1" x14ac:dyDescent="0.45">
      <c r="A825" s="518"/>
      <c r="B825" s="864"/>
      <c r="C825" s="865"/>
      <c r="D825" s="865"/>
      <c r="E825" s="865"/>
      <c r="F825" s="893"/>
      <c r="G825" s="864"/>
      <c r="H825" s="893"/>
      <c r="I825" s="872"/>
      <c r="J825" s="872"/>
      <c r="K825" s="1229"/>
      <c r="L825" s="1230"/>
      <c r="M825" s="1230"/>
      <c r="N825" s="1231"/>
      <c r="O825" s="1229"/>
      <c r="P825" s="1230"/>
      <c r="Q825" s="1230"/>
      <c r="R825" s="1231"/>
      <c r="S825" s="1229"/>
      <c r="T825" s="1230"/>
      <c r="U825" s="1230"/>
      <c r="V825" s="1231"/>
      <c r="W825" s="864"/>
      <c r="X825" s="893"/>
      <c r="Y825" s="518"/>
      <c r="Z825" s="518"/>
      <c r="AA825" s="518"/>
      <c r="AB825" s="518"/>
      <c r="AC825" s="518"/>
      <c r="AD825" s="518"/>
      <c r="AE825" s="518"/>
      <c r="AF825" s="518"/>
      <c r="AG825" s="518"/>
      <c r="AH825" s="518"/>
      <c r="AJ825" s="595"/>
    </row>
    <row r="826" spans="1:36" hidden="1" x14ac:dyDescent="0.45">
      <c r="A826" s="518"/>
      <c r="B826" s="514" t="s">
        <v>1405</v>
      </c>
      <c r="C826" s="515"/>
      <c r="D826" s="515"/>
      <c r="E826" s="515"/>
      <c r="F826" s="516"/>
      <c r="G826" s="890" t="str">
        <f>IF(CHOORData!T3=0,"",CHOORData!T3)</f>
        <v/>
      </c>
      <c r="H826" s="910"/>
      <c r="I826" s="1227">
        <f>CHOORData!AF3</f>
        <v>0</v>
      </c>
      <c r="J826" s="1228"/>
      <c r="K826" s="868">
        <f>CHOORData!AG3</f>
        <v>0</v>
      </c>
      <c r="L826" s="869"/>
      <c r="M826" s="869"/>
      <c r="N826" s="870"/>
      <c r="O826" s="868">
        <f>CHOORData!BC3</f>
        <v>0</v>
      </c>
      <c r="P826" s="869"/>
      <c r="Q826" s="869"/>
      <c r="R826" s="870"/>
      <c r="S826" s="902">
        <f>SUM(K826:R826)</f>
        <v>0</v>
      </c>
      <c r="T826" s="903"/>
      <c r="U826" s="903"/>
      <c r="V826" s="904"/>
      <c r="W826" s="859">
        <f>CHOORData!AH3</f>
        <v>0</v>
      </c>
      <c r="X826" s="860"/>
      <c r="Y826" s="518"/>
      <c r="Z826" s="518"/>
      <c r="AA826" s="518"/>
      <c r="AB826" s="518"/>
      <c r="AC826" s="518"/>
      <c r="AD826" s="518"/>
      <c r="AE826" s="518"/>
      <c r="AF826" s="518"/>
      <c r="AG826" s="518"/>
      <c r="AH826" s="518"/>
      <c r="AJ826" s="595" t="b">
        <f>AND(AJ$819,S826&gt;0)</f>
        <v>0</v>
      </c>
    </row>
    <row r="827" spans="1:36" hidden="1" x14ac:dyDescent="0.45">
      <c r="A827" s="518"/>
      <c r="B827" s="514" t="s">
        <v>1406</v>
      </c>
      <c r="C827" s="515"/>
      <c r="D827" s="515"/>
      <c r="E827" s="515"/>
      <c r="F827" s="516"/>
      <c r="G827" s="890" t="str">
        <f>IF(CHOORData!T4=0,"",CHOORData!T4)</f>
        <v/>
      </c>
      <c r="H827" s="910"/>
      <c r="I827" s="1227">
        <f>CHOORData!AF4</f>
        <v>0</v>
      </c>
      <c r="J827" s="1228"/>
      <c r="K827" s="868">
        <f>CHOORData!AG4</f>
        <v>0</v>
      </c>
      <c r="L827" s="869"/>
      <c r="M827" s="869"/>
      <c r="N827" s="870"/>
      <c r="O827" s="868">
        <f>CHOORData!BC4</f>
        <v>0</v>
      </c>
      <c r="P827" s="869"/>
      <c r="Q827" s="869"/>
      <c r="R827" s="870"/>
      <c r="S827" s="902">
        <f t="shared" ref="S827:S883" si="17">SUM(K827:R827)</f>
        <v>0</v>
      </c>
      <c r="T827" s="903"/>
      <c r="U827" s="903"/>
      <c r="V827" s="904"/>
      <c r="W827" s="859">
        <f>CHOORData!AH4</f>
        <v>0</v>
      </c>
      <c r="X827" s="860"/>
      <c r="Y827" s="518"/>
      <c r="Z827" s="518"/>
      <c r="AA827" s="518"/>
      <c r="AB827" s="518"/>
      <c r="AC827" s="518"/>
      <c r="AD827" s="518"/>
      <c r="AE827" s="518"/>
      <c r="AF827" s="518"/>
      <c r="AG827" s="518"/>
      <c r="AH827" s="518"/>
      <c r="AJ827" s="595" t="b">
        <f t="shared" ref="AJ827:AJ883" si="18">AND(AJ$819,S827&gt;0)</f>
        <v>0</v>
      </c>
    </row>
    <row r="828" spans="1:36" hidden="1" x14ac:dyDescent="0.45">
      <c r="A828" s="518"/>
      <c r="B828" s="514" t="s">
        <v>1407</v>
      </c>
      <c r="C828" s="515"/>
      <c r="D828" s="515"/>
      <c r="E828" s="515"/>
      <c r="F828" s="516"/>
      <c r="G828" s="890" t="str">
        <f>IF(CHOORData!T5=0,"",CHOORData!T5)</f>
        <v/>
      </c>
      <c r="H828" s="910"/>
      <c r="I828" s="1227">
        <f>CHOORData!AF5</f>
        <v>0</v>
      </c>
      <c r="J828" s="1228"/>
      <c r="K828" s="868">
        <f>CHOORData!AG5</f>
        <v>0</v>
      </c>
      <c r="L828" s="869"/>
      <c r="M828" s="869"/>
      <c r="N828" s="870"/>
      <c r="O828" s="868">
        <f>CHOORData!BC5</f>
        <v>0</v>
      </c>
      <c r="P828" s="869"/>
      <c r="Q828" s="869"/>
      <c r="R828" s="870"/>
      <c r="S828" s="902">
        <f t="shared" si="17"/>
        <v>0</v>
      </c>
      <c r="T828" s="903"/>
      <c r="U828" s="903"/>
      <c r="V828" s="904"/>
      <c r="W828" s="859">
        <f>CHOORData!AH5</f>
        <v>0</v>
      </c>
      <c r="X828" s="860"/>
      <c r="Y828" s="518"/>
      <c r="Z828" s="518"/>
      <c r="AA828" s="518"/>
      <c r="AB828" s="518"/>
      <c r="AC828" s="518"/>
      <c r="AD828" s="518"/>
      <c r="AE828" s="518"/>
      <c r="AF828" s="518"/>
      <c r="AG828" s="518"/>
      <c r="AH828" s="518"/>
      <c r="AJ828" s="595" t="b">
        <f t="shared" si="18"/>
        <v>0</v>
      </c>
    </row>
    <row r="829" spans="1:36" hidden="1" x14ac:dyDescent="0.45">
      <c r="A829" s="518"/>
      <c r="B829" s="514" t="s">
        <v>1408</v>
      </c>
      <c r="C829" s="515"/>
      <c r="D829" s="515"/>
      <c r="E829" s="515"/>
      <c r="F829" s="516"/>
      <c r="G829" s="890" t="str">
        <f>IF(CHOORData!T6=0,"",CHOORData!T6)</f>
        <v/>
      </c>
      <c r="H829" s="910"/>
      <c r="I829" s="1227">
        <f>CHOORData!AF6</f>
        <v>0</v>
      </c>
      <c r="J829" s="1228"/>
      <c r="K829" s="868">
        <f>CHOORData!AG6</f>
        <v>0</v>
      </c>
      <c r="L829" s="869"/>
      <c r="M829" s="869"/>
      <c r="N829" s="870"/>
      <c r="O829" s="868">
        <f>CHOORData!BC6</f>
        <v>0</v>
      </c>
      <c r="P829" s="869"/>
      <c r="Q829" s="869"/>
      <c r="R829" s="870"/>
      <c r="S829" s="902">
        <f t="shared" si="17"/>
        <v>0</v>
      </c>
      <c r="T829" s="903"/>
      <c r="U829" s="903"/>
      <c r="V829" s="904"/>
      <c r="W829" s="859">
        <f>CHOORData!AH6</f>
        <v>0</v>
      </c>
      <c r="X829" s="860"/>
      <c r="Y829" s="518"/>
      <c r="Z829" s="518"/>
      <c r="AA829" s="518"/>
      <c r="AB829" s="518"/>
      <c r="AC829" s="518"/>
      <c r="AD829" s="518"/>
      <c r="AE829" s="518"/>
      <c r="AF829" s="518"/>
      <c r="AG829" s="518"/>
      <c r="AH829" s="518"/>
      <c r="AJ829" s="595" t="b">
        <f t="shared" si="18"/>
        <v>0</v>
      </c>
    </row>
    <row r="830" spans="1:36" hidden="1" x14ac:dyDescent="0.45">
      <c r="A830" s="518"/>
      <c r="B830" s="514" t="s">
        <v>1409</v>
      </c>
      <c r="C830" s="515"/>
      <c r="D830" s="515"/>
      <c r="E830" s="515"/>
      <c r="F830" s="516"/>
      <c r="G830" s="890" t="str">
        <f>IF(CHOORData!T7=0,"",CHOORData!T7)</f>
        <v/>
      </c>
      <c r="H830" s="910"/>
      <c r="I830" s="1227">
        <f>CHOORData!AF7</f>
        <v>0</v>
      </c>
      <c r="J830" s="1228"/>
      <c r="K830" s="868">
        <f>CHOORData!AG7</f>
        <v>0</v>
      </c>
      <c r="L830" s="869"/>
      <c r="M830" s="869"/>
      <c r="N830" s="870"/>
      <c r="O830" s="868">
        <f>CHOORData!BC7</f>
        <v>0</v>
      </c>
      <c r="P830" s="869"/>
      <c r="Q830" s="869"/>
      <c r="R830" s="870"/>
      <c r="S830" s="902">
        <f t="shared" si="17"/>
        <v>0</v>
      </c>
      <c r="T830" s="903"/>
      <c r="U830" s="903"/>
      <c r="V830" s="904"/>
      <c r="W830" s="859">
        <f>CHOORData!AH7</f>
        <v>0</v>
      </c>
      <c r="X830" s="860"/>
      <c r="Y830" s="518"/>
      <c r="Z830" s="518"/>
      <c r="AA830" s="518"/>
      <c r="AB830" s="518"/>
      <c r="AC830" s="518"/>
      <c r="AD830" s="518"/>
      <c r="AE830" s="518"/>
      <c r="AF830" s="518"/>
      <c r="AG830" s="518"/>
      <c r="AH830" s="518"/>
      <c r="AJ830" s="595" t="b">
        <f t="shared" si="18"/>
        <v>0</v>
      </c>
    </row>
    <row r="831" spans="1:36" hidden="1" x14ac:dyDescent="0.45">
      <c r="A831" s="518"/>
      <c r="B831" s="514" t="s">
        <v>1410</v>
      </c>
      <c r="C831" s="515"/>
      <c r="D831" s="515"/>
      <c r="E831" s="515"/>
      <c r="F831" s="516"/>
      <c r="G831" s="890" t="str">
        <f>IF(CHOORData!T8=0,"",CHOORData!T8)</f>
        <v/>
      </c>
      <c r="H831" s="910"/>
      <c r="I831" s="1227">
        <f>CHOORData!AF8</f>
        <v>0</v>
      </c>
      <c r="J831" s="1228"/>
      <c r="K831" s="868">
        <f>CHOORData!AG8</f>
        <v>0</v>
      </c>
      <c r="L831" s="869"/>
      <c r="M831" s="869"/>
      <c r="N831" s="870"/>
      <c r="O831" s="868">
        <f>CHOORData!BC8</f>
        <v>0</v>
      </c>
      <c r="P831" s="869"/>
      <c r="Q831" s="869"/>
      <c r="R831" s="870"/>
      <c r="S831" s="902">
        <f t="shared" si="17"/>
        <v>0</v>
      </c>
      <c r="T831" s="903"/>
      <c r="U831" s="903"/>
      <c r="V831" s="904"/>
      <c r="W831" s="859">
        <f>CHOORData!AH8</f>
        <v>0</v>
      </c>
      <c r="X831" s="860"/>
      <c r="Y831" s="518"/>
      <c r="Z831" s="518"/>
      <c r="AA831" s="518"/>
      <c r="AB831" s="518"/>
      <c r="AC831" s="518"/>
      <c r="AD831" s="518"/>
      <c r="AE831" s="518"/>
      <c r="AF831" s="518"/>
      <c r="AG831" s="518"/>
      <c r="AH831" s="518"/>
      <c r="AJ831" s="595" t="b">
        <f t="shared" si="18"/>
        <v>0</v>
      </c>
    </row>
    <row r="832" spans="1:36" hidden="1" x14ac:dyDescent="0.45">
      <c r="A832" s="518"/>
      <c r="B832" s="514" t="s">
        <v>1411</v>
      </c>
      <c r="C832" s="515"/>
      <c r="D832" s="515"/>
      <c r="E832" s="515"/>
      <c r="F832" s="516"/>
      <c r="G832" s="890" t="str">
        <f>IF(CHOORData!T9=0,"",CHOORData!T9)</f>
        <v/>
      </c>
      <c r="H832" s="910"/>
      <c r="I832" s="1227">
        <f>CHOORData!AF9</f>
        <v>0</v>
      </c>
      <c r="J832" s="1228"/>
      <c r="K832" s="868">
        <f>CHOORData!AG9</f>
        <v>0</v>
      </c>
      <c r="L832" s="869"/>
      <c r="M832" s="869"/>
      <c r="N832" s="870"/>
      <c r="O832" s="868">
        <f>CHOORData!BC9</f>
        <v>0</v>
      </c>
      <c r="P832" s="869"/>
      <c r="Q832" s="869"/>
      <c r="R832" s="870"/>
      <c r="S832" s="902">
        <f t="shared" si="17"/>
        <v>0</v>
      </c>
      <c r="T832" s="903"/>
      <c r="U832" s="903"/>
      <c r="V832" s="904"/>
      <c r="W832" s="859">
        <f>CHOORData!AH9</f>
        <v>0</v>
      </c>
      <c r="X832" s="860"/>
      <c r="Y832" s="518"/>
      <c r="Z832" s="518"/>
      <c r="AA832" s="518"/>
      <c r="AB832" s="518"/>
      <c r="AC832" s="518"/>
      <c r="AD832" s="518"/>
      <c r="AE832" s="518"/>
      <c r="AF832" s="518"/>
      <c r="AG832" s="518"/>
      <c r="AH832" s="518"/>
      <c r="AJ832" s="595" t="b">
        <f t="shared" si="18"/>
        <v>0</v>
      </c>
    </row>
    <row r="833" spans="1:36" hidden="1" x14ac:dyDescent="0.45">
      <c r="A833" s="518"/>
      <c r="B833" s="514" t="s">
        <v>1412</v>
      </c>
      <c r="C833" s="515"/>
      <c r="D833" s="515"/>
      <c r="E833" s="515"/>
      <c r="F833" s="516"/>
      <c r="G833" s="890" t="str">
        <f>IF(CHOORData!T10=0,"",CHOORData!T10)</f>
        <v/>
      </c>
      <c r="H833" s="910"/>
      <c r="I833" s="1227">
        <f>CHOORData!AF10</f>
        <v>0</v>
      </c>
      <c r="J833" s="1228"/>
      <c r="K833" s="868">
        <f>CHOORData!AG10</f>
        <v>0</v>
      </c>
      <c r="L833" s="869"/>
      <c r="M833" s="869"/>
      <c r="N833" s="870"/>
      <c r="O833" s="868">
        <f>CHOORData!BC10</f>
        <v>0</v>
      </c>
      <c r="P833" s="869"/>
      <c r="Q833" s="869"/>
      <c r="R833" s="870"/>
      <c r="S833" s="902">
        <f t="shared" si="17"/>
        <v>0</v>
      </c>
      <c r="T833" s="903"/>
      <c r="U833" s="903"/>
      <c r="V833" s="904"/>
      <c r="W833" s="859">
        <f>CHOORData!AH10</f>
        <v>0</v>
      </c>
      <c r="X833" s="860"/>
      <c r="Y833" s="518"/>
      <c r="Z833" s="518"/>
      <c r="AA833" s="518"/>
      <c r="AB833" s="518"/>
      <c r="AC833" s="518"/>
      <c r="AD833" s="518"/>
      <c r="AE833" s="518"/>
      <c r="AF833" s="518"/>
      <c r="AG833" s="518"/>
      <c r="AH833" s="518"/>
      <c r="AJ833" s="595" t="b">
        <f t="shared" si="18"/>
        <v>0</v>
      </c>
    </row>
    <row r="834" spans="1:36" hidden="1" x14ac:dyDescent="0.45">
      <c r="A834" s="518"/>
      <c r="B834" s="514" t="s">
        <v>1413</v>
      </c>
      <c r="C834" s="515"/>
      <c r="D834" s="515"/>
      <c r="E834" s="515"/>
      <c r="F834" s="516"/>
      <c r="G834" s="890" t="str">
        <f>IF(CHOORData!T11=0,"",CHOORData!T11)</f>
        <v/>
      </c>
      <c r="H834" s="910"/>
      <c r="I834" s="1227">
        <f>CHOORData!AF11</f>
        <v>0</v>
      </c>
      <c r="J834" s="1228"/>
      <c r="K834" s="868">
        <f>CHOORData!AG11</f>
        <v>0</v>
      </c>
      <c r="L834" s="869"/>
      <c r="M834" s="869"/>
      <c r="N834" s="870"/>
      <c r="O834" s="868">
        <f>CHOORData!BC11</f>
        <v>0</v>
      </c>
      <c r="P834" s="869"/>
      <c r="Q834" s="869"/>
      <c r="R834" s="870"/>
      <c r="S834" s="902">
        <f t="shared" si="17"/>
        <v>0</v>
      </c>
      <c r="T834" s="903"/>
      <c r="U834" s="903"/>
      <c r="V834" s="904"/>
      <c r="W834" s="859">
        <f>CHOORData!AH11</f>
        <v>0</v>
      </c>
      <c r="X834" s="860"/>
      <c r="Y834" s="518"/>
      <c r="Z834" s="518"/>
      <c r="AA834" s="518"/>
      <c r="AB834" s="518"/>
      <c r="AC834" s="518"/>
      <c r="AD834" s="518"/>
      <c r="AE834" s="518"/>
      <c r="AF834" s="518"/>
      <c r="AG834" s="518"/>
      <c r="AH834" s="518"/>
      <c r="AJ834" s="595" t="b">
        <f t="shared" si="18"/>
        <v>0</v>
      </c>
    </row>
    <row r="835" spans="1:36" hidden="1" x14ac:dyDescent="0.45">
      <c r="A835" s="518"/>
      <c r="B835" s="514" t="s">
        <v>1414</v>
      </c>
      <c r="C835" s="515"/>
      <c r="D835" s="515"/>
      <c r="E835" s="515"/>
      <c r="F835" s="516"/>
      <c r="G835" s="890" t="str">
        <f>IF(CHOORData!T12=0,"",CHOORData!T12)</f>
        <v/>
      </c>
      <c r="H835" s="910"/>
      <c r="I835" s="1227">
        <f>CHOORData!AF12</f>
        <v>0</v>
      </c>
      <c r="J835" s="1228"/>
      <c r="K835" s="868">
        <f>CHOORData!AG12</f>
        <v>0</v>
      </c>
      <c r="L835" s="869"/>
      <c r="M835" s="869"/>
      <c r="N835" s="870"/>
      <c r="O835" s="868">
        <f>CHOORData!BC12</f>
        <v>0</v>
      </c>
      <c r="P835" s="869"/>
      <c r="Q835" s="869"/>
      <c r="R835" s="870"/>
      <c r="S835" s="902">
        <f t="shared" si="17"/>
        <v>0</v>
      </c>
      <c r="T835" s="903"/>
      <c r="U835" s="903"/>
      <c r="V835" s="904"/>
      <c r="W835" s="859">
        <f>CHOORData!AH12</f>
        <v>0</v>
      </c>
      <c r="X835" s="860"/>
      <c r="Y835" s="518"/>
      <c r="Z835" s="518"/>
      <c r="AA835" s="518"/>
      <c r="AB835" s="518"/>
      <c r="AC835" s="518"/>
      <c r="AD835" s="518"/>
      <c r="AE835" s="518"/>
      <c r="AF835" s="518"/>
      <c r="AG835" s="518"/>
      <c r="AH835" s="518"/>
      <c r="AJ835" s="595" t="b">
        <f t="shared" si="18"/>
        <v>0</v>
      </c>
    </row>
    <row r="836" spans="1:36" hidden="1" x14ac:dyDescent="0.45">
      <c r="A836" s="518"/>
      <c r="B836" s="514" t="s">
        <v>1415</v>
      </c>
      <c r="C836" s="515"/>
      <c r="D836" s="515"/>
      <c r="E836" s="515"/>
      <c r="F836" s="516"/>
      <c r="G836" s="890" t="str">
        <f>IF(CHOORData!T13=0,"",CHOORData!T13)</f>
        <v/>
      </c>
      <c r="H836" s="910"/>
      <c r="I836" s="1227">
        <f>CHOORData!AF13</f>
        <v>0</v>
      </c>
      <c r="J836" s="1228"/>
      <c r="K836" s="868">
        <f>CHOORData!AG13</f>
        <v>0</v>
      </c>
      <c r="L836" s="869"/>
      <c r="M836" s="869"/>
      <c r="N836" s="870"/>
      <c r="O836" s="868">
        <f>CHOORData!BC13</f>
        <v>0</v>
      </c>
      <c r="P836" s="869"/>
      <c r="Q836" s="869"/>
      <c r="R836" s="870"/>
      <c r="S836" s="902">
        <f t="shared" si="17"/>
        <v>0</v>
      </c>
      <c r="T836" s="903"/>
      <c r="U836" s="903"/>
      <c r="V836" s="904"/>
      <c r="W836" s="859">
        <f>CHOORData!AH13</f>
        <v>0</v>
      </c>
      <c r="X836" s="860"/>
      <c r="Y836" s="518"/>
      <c r="Z836" s="518"/>
      <c r="AA836" s="518"/>
      <c r="AB836" s="518"/>
      <c r="AC836" s="518"/>
      <c r="AD836" s="518"/>
      <c r="AE836" s="518"/>
      <c r="AF836" s="518"/>
      <c r="AG836" s="518"/>
      <c r="AH836" s="518"/>
      <c r="AJ836" s="595" t="b">
        <f t="shared" si="18"/>
        <v>0</v>
      </c>
    </row>
    <row r="837" spans="1:36" hidden="1" x14ac:dyDescent="0.45">
      <c r="A837" s="518"/>
      <c r="B837" s="514" t="s">
        <v>1416</v>
      </c>
      <c r="C837" s="515"/>
      <c r="D837" s="515"/>
      <c r="E837" s="515"/>
      <c r="F837" s="516"/>
      <c r="G837" s="890" t="str">
        <f>IF(CHOORData!T14=0,"",CHOORData!T14)</f>
        <v/>
      </c>
      <c r="H837" s="910"/>
      <c r="I837" s="1227">
        <f>CHOORData!AF14</f>
        <v>0</v>
      </c>
      <c r="J837" s="1228"/>
      <c r="K837" s="868">
        <f>CHOORData!AG14</f>
        <v>0</v>
      </c>
      <c r="L837" s="869"/>
      <c r="M837" s="869"/>
      <c r="N837" s="870"/>
      <c r="O837" s="868">
        <f>CHOORData!BC14</f>
        <v>0</v>
      </c>
      <c r="P837" s="869"/>
      <c r="Q837" s="869"/>
      <c r="R837" s="870"/>
      <c r="S837" s="902">
        <f t="shared" si="17"/>
        <v>0</v>
      </c>
      <c r="T837" s="903"/>
      <c r="U837" s="903"/>
      <c r="V837" s="904"/>
      <c r="W837" s="859">
        <f>CHOORData!AH14</f>
        <v>0</v>
      </c>
      <c r="X837" s="860"/>
      <c r="Y837" s="518"/>
      <c r="Z837" s="518"/>
      <c r="AA837" s="518"/>
      <c r="AB837" s="518"/>
      <c r="AC837" s="518"/>
      <c r="AD837" s="518"/>
      <c r="AE837" s="518"/>
      <c r="AF837" s="518"/>
      <c r="AG837" s="518"/>
      <c r="AH837" s="518"/>
      <c r="AJ837" s="595" t="b">
        <f t="shared" si="18"/>
        <v>0</v>
      </c>
    </row>
    <row r="838" spans="1:36" hidden="1" x14ac:dyDescent="0.45">
      <c r="A838" s="518"/>
      <c r="B838" s="514" t="s">
        <v>1417</v>
      </c>
      <c r="C838" s="515"/>
      <c r="D838" s="515"/>
      <c r="E838" s="515"/>
      <c r="F838" s="516"/>
      <c r="G838" s="890" t="str">
        <f>IF(CHOORData!T15=0,"",CHOORData!T15)</f>
        <v/>
      </c>
      <c r="H838" s="910"/>
      <c r="I838" s="1227">
        <f>CHOORData!AF15</f>
        <v>0</v>
      </c>
      <c r="J838" s="1228"/>
      <c r="K838" s="868">
        <f>CHOORData!AG15</f>
        <v>0</v>
      </c>
      <c r="L838" s="869"/>
      <c r="M838" s="869"/>
      <c r="N838" s="870"/>
      <c r="O838" s="868">
        <f>CHOORData!BC15</f>
        <v>0</v>
      </c>
      <c r="P838" s="869"/>
      <c r="Q838" s="869"/>
      <c r="R838" s="870"/>
      <c r="S838" s="902">
        <f t="shared" si="17"/>
        <v>0</v>
      </c>
      <c r="T838" s="903"/>
      <c r="U838" s="903"/>
      <c r="V838" s="904"/>
      <c r="W838" s="859">
        <f>CHOORData!AH15</f>
        <v>0</v>
      </c>
      <c r="X838" s="860"/>
      <c r="Y838" s="518"/>
      <c r="Z838" s="518"/>
      <c r="AA838" s="518"/>
      <c r="AB838" s="518"/>
      <c r="AC838" s="518"/>
      <c r="AD838" s="518"/>
      <c r="AE838" s="518"/>
      <c r="AF838" s="518"/>
      <c r="AG838" s="518"/>
      <c r="AH838" s="518"/>
      <c r="AJ838" s="595" t="b">
        <f t="shared" si="18"/>
        <v>0</v>
      </c>
    </row>
    <row r="839" spans="1:36" hidden="1" x14ac:dyDescent="0.45">
      <c r="A839" s="518"/>
      <c r="B839" s="514" t="s">
        <v>1418</v>
      </c>
      <c r="C839" s="515"/>
      <c r="D839" s="515"/>
      <c r="E839" s="515"/>
      <c r="F839" s="516"/>
      <c r="G839" s="890" t="str">
        <f>IF(CHOORData!T16=0,"",CHOORData!T16)</f>
        <v/>
      </c>
      <c r="H839" s="910"/>
      <c r="I839" s="1227">
        <f>CHOORData!AF16</f>
        <v>0</v>
      </c>
      <c r="J839" s="1228"/>
      <c r="K839" s="868">
        <f>CHOORData!AG16</f>
        <v>0</v>
      </c>
      <c r="L839" s="869"/>
      <c r="M839" s="869"/>
      <c r="N839" s="870"/>
      <c r="O839" s="868">
        <f>CHOORData!BC16</f>
        <v>0</v>
      </c>
      <c r="P839" s="869"/>
      <c r="Q839" s="869"/>
      <c r="R839" s="870"/>
      <c r="S839" s="902">
        <f t="shared" si="17"/>
        <v>0</v>
      </c>
      <c r="T839" s="903"/>
      <c r="U839" s="903"/>
      <c r="V839" s="904"/>
      <c r="W839" s="859">
        <f>CHOORData!AH16</f>
        <v>0</v>
      </c>
      <c r="X839" s="860"/>
      <c r="Y839" s="518"/>
      <c r="Z839" s="518"/>
      <c r="AA839" s="518"/>
      <c r="AB839" s="518"/>
      <c r="AC839" s="518"/>
      <c r="AD839" s="518"/>
      <c r="AE839" s="518"/>
      <c r="AF839" s="518"/>
      <c r="AG839" s="518"/>
      <c r="AH839" s="518"/>
      <c r="AJ839" s="595" t="b">
        <f t="shared" si="18"/>
        <v>0</v>
      </c>
    </row>
    <row r="840" spans="1:36" hidden="1" x14ac:dyDescent="0.45">
      <c r="A840" s="518"/>
      <c r="B840" s="514" t="s">
        <v>1419</v>
      </c>
      <c r="C840" s="515"/>
      <c r="D840" s="515"/>
      <c r="E840" s="515"/>
      <c r="F840" s="516"/>
      <c r="G840" s="890" t="str">
        <f>IF(CHOORData!T17=0,"",CHOORData!T17)</f>
        <v/>
      </c>
      <c r="H840" s="910"/>
      <c r="I840" s="1227">
        <f>CHOORData!AF17</f>
        <v>0</v>
      </c>
      <c r="J840" s="1228"/>
      <c r="K840" s="868">
        <f>CHOORData!AG17</f>
        <v>0</v>
      </c>
      <c r="L840" s="869"/>
      <c r="M840" s="869"/>
      <c r="N840" s="870"/>
      <c r="O840" s="868">
        <f>CHOORData!BC17</f>
        <v>0</v>
      </c>
      <c r="P840" s="869"/>
      <c r="Q840" s="869"/>
      <c r="R840" s="870"/>
      <c r="S840" s="902">
        <f t="shared" si="17"/>
        <v>0</v>
      </c>
      <c r="T840" s="903"/>
      <c r="U840" s="903"/>
      <c r="V840" s="904"/>
      <c r="W840" s="859">
        <f>CHOORData!AH17</f>
        <v>0</v>
      </c>
      <c r="X840" s="860"/>
      <c r="Y840" s="518"/>
      <c r="Z840" s="518"/>
      <c r="AA840" s="518"/>
      <c r="AB840" s="518"/>
      <c r="AC840" s="518"/>
      <c r="AD840" s="518"/>
      <c r="AE840" s="518"/>
      <c r="AF840" s="518"/>
      <c r="AG840" s="518"/>
      <c r="AH840" s="518"/>
      <c r="AJ840" s="595" t="b">
        <f t="shared" si="18"/>
        <v>0</v>
      </c>
    </row>
    <row r="841" spans="1:36" hidden="1" x14ac:dyDescent="0.45">
      <c r="A841" s="518"/>
      <c r="B841" s="514" t="s">
        <v>1420</v>
      </c>
      <c r="C841" s="515"/>
      <c r="D841" s="515"/>
      <c r="E841" s="515"/>
      <c r="F841" s="516"/>
      <c r="G841" s="890" t="str">
        <f>IF(CHOORData!T18=0,"",CHOORData!T18)</f>
        <v/>
      </c>
      <c r="H841" s="910"/>
      <c r="I841" s="1227">
        <f>CHOORData!AF18</f>
        <v>0</v>
      </c>
      <c r="J841" s="1228"/>
      <c r="K841" s="868">
        <f>CHOORData!AG18</f>
        <v>0</v>
      </c>
      <c r="L841" s="869"/>
      <c r="M841" s="869"/>
      <c r="N841" s="870"/>
      <c r="O841" s="868">
        <f>CHOORData!BC18</f>
        <v>0</v>
      </c>
      <c r="P841" s="869"/>
      <c r="Q841" s="869"/>
      <c r="R841" s="870"/>
      <c r="S841" s="902">
        <f t="shared" si="17"/>
        <v>0</v>
      </c>
      <c r="T841" s="903"/>
      <c r="U841" s="903"/>
      <c r="V841" s="904"/>
      <c r="W841" s="859">
        <f>CHOORData!AH18</f>
        <v>0</v>
      </c>
      <c r="X841" s="860"/>
      <c r="Y841" s="518"/>
      <c r="Z841" s="518"/>
      <c r="AA841" s="518"/>
      <c r="AB841" s="518"/>
      <c r="AC841" s="518"/>
      <c r="AD841" s="518"/>
      <c r="AE841" s="518"/>
      <c r="AF841" s="518"/>
      <c r="AG841" s="518"/>
      <c r="AH841" s="518"/>
      <c r="AJ841" s="595" t="b">
        <f t="shared" si="18"/>
        <v>0</v>
      </c>
    </row>
    <row r="842" spans="1:36" hidden="1" x14ac:dyDescent="0.45">
      <c r="A842" s="518"/>
      <c r="B842" s="514" t="s">
        <v>1421</v>
      </c>
      <c r="C842" s="515"/>
      <c r="D842" s="515"/>
      <c r="E842" s="515"/>
      <c r="F842" s="516"/>
      <c r="G842" s="890" t="str">
        <f>IF(CHOORData!T19=0,"",CHOORData!T19)</f>
        <v/>
      </c>
      <c r="H842" s="910"/>
      <c r="I842" s="1227">
        <f>CHOORData!AF19</f>
        <v>0</v>
      </c>
      <c r="J842" s="1228"/>
      <c r="K842" s="868">
        <f>CHOORData!AG19</f>
        <v>0</v>
      </c>
      <c r="L842" s="869"/>
      <c r="M842" s="869"/>
      <c r="N842" s="870"/>
      <c r="O842" s="868">
        <f>CHOORData!BC19</f>
        <v>0</v>
      </c>
      <c r="P842" s="869"/>
      <c r="Q842" s="869"/>
      <c r="R842" s="870"/>
      <c r="S842" s="902">
        <f t="shared" si="17"/>
        <v>0</v>
      </c>
      <c r="T842" s="903"/>
      <c r="U842" s="903"/>
      <c r="V842" s="904"/>
      <c r="W842" s="859">
        <f>CHOORData!AH19</f>
        <v>0</v>
      </c>
      <c r="X842" s="860"/>
      <c r="Y842" s="518"/>
      <c r="Z842" s="518"/>
      <c r="AA842" s="518"/>
      <c r="AB842" s="518"/>
      <c r="AC842" s="518"/>
      <c r="AD842" s="518"/>
      <c r="AE842" s="518"/>
      <c r="AF842" s="518"/>
      <c r="AG842" s="518"/>
      <c r="AH842" s="518"/>
      <c r="AJ842" s="595" t="b">
        <f t="shared" si="18"/>
        <v>0</v>
      </c>
    </row>
    <row r="843" spans="1:36" hidden="1" x14ac:dyDescent="0.45">
      <c r="A843" s="518"/>
      <c r="B843" s="514" t="s">
        <v>1422</v>
      </c>
      <c r="C843" s="515"/>
      <c r="D843" s="515"/>
      <c r="E843" s="515"/>
      <c r="F843" s="516"/>
      <c r="G843" s="890" t="str">
        <f>IF(CHOORData!T20=0,"",CHOORData!T20)</f>
        <v/>
      </c>
      <c r="H843" s="910"/>
      <c r="I843" s="1227">
        <f>CHOORData!AF20</f>
        <v>0</v>
      </c>
      <c r="J843" s="1228"/>
      <c r="K843" s="868">
        <f>CHOORData!AG20</f>
        <v>0</v>
      </c>
      <c r="L843" s="869"/>
      <c r="M843" s="869"/>
      <c r="N843" s="870"/>
      <c r="O843" s="868">
        <f>CHOORData!BC20</f>
        <v>0</v>
      </c>
      <c r="P843" s="869"/>
      <c r="Q843" s="869"/>
      <c r="R843" s="870"/>
      <c r="S843" s="902">
        <f t="shared" si="17"/>
        <v>0</v>
      </c>
      <c r="T843" s="903"/>
      <c r="U843" s="903"/>
      <c r="V843" s="904"/>
      <c r="W843" s="859">
        <f>CHOORData!AH20</f>
        <v>0</v>
      </c>
      <c r="X843" s="860"/>
      <c r="Y843" s="518"/>
      <c r="Z843" s="518"/>
      <c r="AA843" s="518"/>
      <c r="AB843" s="518"/>
      <c r="AC843" s="518"/>
      <c r="AD843" s="518"/>
      <c r="AE843" s="518"/>
      <c r="AF843" s="518"/>
      <c r="AG843" s="518"/>
      <c r="AH843" s="518"/>
      <c r="AJ843" s="595" t="b">
        <f t="shared" si="18"/>
        <v>0</v>
      </c>
    </row>
    <row r="844" spans="1:36" hidden="1" x14ac:dyDescent="0.45">
      <c r="A844" s="518"/>
      <c r="B844" s="514" t="s">
        <v>1423</v>
      </c>
      <c r="C844" s="515"/>
      <c r="D844" s="515"/>
      <c r="E844" s="515"/>
      <c r="F844" s="516"/>
      <c r="G844" s="890" t="str">
        <f>IF(CHOORData!T21=0,"",CHOORData!T21)</f>
        <v/>
      </c>
      <c r="H844" s="910"/>
      <c r="I844" s="1227">
        <f>CHOORData!AF21</f>
        <v>0</v>
      </c>
      <c r="J844" s="1228"/>
      <c r="K844" s="868">
        <f>CHOORData!AG21</f>
        <v>0</v>
      </c>
      <c r="L844" s="869"/>
      <c r="M844" s="869"/>
      <c r="N844" s="870"/>
      <c r="O844" s="868">
        <f>CHOORData!BC21</f>
        <v>0</v>
      </c>
      <c r="P844" s="869"/>
      <c r="Q844" s="869"/>
      <c r="R844" s="870"/>
      <c r="S844" s="902">
        <f t="shared" si="17"/>
        <v>0</v>
      </c>
      <c r="T844" s="903"/>
      <c r="U844" s="903"/>
      <c r="V844" s="904"/>
      <c r="W844" s="859">
        <f>CHOORData!AH21</f>
        <v>0</v>
      </c>
      <c r="X844" s="860"/>
      <c r="Y844" s="518"/>
      <c r="Z844" s="518"/>
      <c r="AA844" s="518"/>
      <c r="AB844" s="518"/>
      <c r="AC844" s="518"/>
      <c r="AD844" s="518"/>
      <c r="AE844" s="518"/>
      <c r="AF844" s="518"/>
      <c r="AG844" s="518"/>
      <c r="AH844" s="518"/>
      <c r="AJ844" s="595" t="b">
        <f t="shared" si="18"/>
        <v>0</v>
      </c>
    </row>
    <row r="845" spans="1:36" hidden="1" x14ac:dyDescent="0.45">
      <c r="A845" s="518"/>
      <c r="B845" s="514" t="s">
        <v>1424</v>
      </c>
      <c r="C845" s="515"/>
      <c r="D845" s="515"/>
      <c r="E845" s="515"/>
      <c r="F845" s="516"/>
      <c r="G845" s="890" t="str">
        <f>IF(CHOORData!T22=0,"",CHOORData!T22)</f>
        <v/>
      </c>
      <c r="H845" s="910"/>
      <c r="I845" s="1227">
        <f>CHOORData!AF22</f>
        <v>0</v>
      </c>
      <c r="J845" s="1228"/>
      <c r="K845" s="868">
        <f>CHOORData!AG22</f>
        <v>0</v>
      </c>
      <c r="L845" s="869"/>
      <c r="M845" s="869"/>
      <c r="N845" s="870"/>
      <c r="O845" s="868">
        <f>CHOORData!BC22</f>
        <v>0</v>
      </c>
      <c r="P845" s="869"/>
      <c r="Q845" s="869"/>
      <c r="R845" s="870"/>
      <c r="S845" s="902">
        <f t="shared" si="17"/>
        <v>0</v>
      </c>
      <c r="T845" s="903"/>
      <c r="U845" s="903"/>
      <c r="V845" s="904"/>
      <c r="W845" s="859">
        <f>CHOORData!AH22</f>
        <v>0</v>
      </c>
      <c r="X845" s="860"/>
      <c r="Y845" s="518"/>
      <c r="Z845" s="518"/>
      <c r="AA845" s="518"/>
      <c r="AB845" s="518"/>
      <c r="AC845" s="518"/>
      <c r="AD845" s="518"/>
      <c r="AE845" s="518"/>
      <c r="AF845" s="518"/>
      <c r="AG845" s="518"/>
      <c r="AH845" s="518"/>
      <c r="AJ845" s="595" t="b">
        <f t="shared" si="18"/>
        <v>0</v>
      </c>
    </row>
    <row r="846" spans="1:36" hidden="1" x14ac:dyDescent="0.45">
      <c r="A846" s="518"/>
      <c r="B846" s="514" t="s">
        <v>1425</v>
      </c>
      <c r="C846" s="515"/>
      <c r="D846" s="515"/>
      <c r="E846" s="515"/>
      <c r="F846" s="516"/>
      <c r="G846" s="890" t="str">
        <f>IF(CHOORData!T23=0,"",CHOORData!T23)</f>
        <v/>
      </c>
      <c r="H846" s="910"/>
      <c r="I846" s="1227">
        <f>CHOORData!AF23</f>
        <v>0</v>
      </c>
      <c r="J846" s="1228"/>
      <c r="K846" s="868">
        <f>CHOORData!AG23</f>
        <v>0</v>
      </c>
      <c r="L846" s="869"/>
      <c r="M846" s="869"/>
      <c r="N846" s="870"/>
      <c r="O846" s="868">
        <f>CHOORData!BC23</f>
        <v>0</v>
      </c>
      <c r="P846" s="869"/>
      <c r="Q846" s="869"/>
      <c r="R846" s="870"/>
      <c r="S846" s="902">
        <f t="shared" si="17"/>
        <v>0</v>
      </c>
      <c r="T846" s="903"/>
      <c r="U846" s="903"/>
      <c r="V846" s="904"/>
      <c r="W846" s="859">
        <f>CHOORData!AH23</f>
        <v>0</v>
      </c>
      <c r="X846" s="860"/>
      <c r="Y846" s="518"/>
      <c r="Z846" s="518"/>
      <c r="AA846" s="518"/>
      <c r="AB846" s="518"/>
      <c r="AC846" s="518"/>
      <c r="AD846" s="518"/>
      <c r="AE846" s="518"/>
      <c r="AF846" s="518"/>
      <c r="AG846" s="518"/>
      <c r="AH846" s="518"/>
      <c r="AJ846" s="595" t="b">
        <f t="shared" si="18"/>
        <v>0</v>
      </c>
    </row>
    <row r="847" spans="1:36" hidden="1" x14ac:dyDescent="0.45">
      <c r="A847" s="518"/>
      <c r="B847" s="514" t="s">
        <v>1426</v>
      </c>
      <c r="C847" s="515"/>
      <c r="D847" s="515"/>
      <c r="E847" s="515"/>
      <c r="F847" s="516"/>
      <c r="G847" s="890" t="str">
        <f>IF(CHOORData!T24=0,"",CHOORData!T24)</f>
        <v/>
      </c>
      <c r="H847" s="910"/>
      <c r="I847" s="1227">
        <f>CHOORData!AF24</f>
        <v>0</v>
      </c>
      <c r="J847" s="1228"/>
      <c r="K847" s="868">
        <f>CHOORData!AG24</f>
        <v>0</v>
      </c>
      <c r="L847" s="869"/>
      <c r="M847" s="869"/>
      <c r="N847" s="870"/>
      <c r="O847" s="868">
        <f>CHOORData!BC24</f>
        <v>0</v>
      </c>
      <c r="P847" s="869"/>
      <c r="Q847" s="869"/>
      <c r="R847" s="870"/>
      <c r="S847" s="902">
        <f t="shared" si="17"/>
        <v>0</v>
      </c>
      <c r="T847" s="903"/>
      <c r="U847" s="903"/>
      <c r="V847" s="904"/>
      <c r="W847" s="859">
        <f>CHOORData!AH24</f>
        <v>0</v>
      </c>
      <c r="X847" s="860"/>
      <c r="Y847" s="518"/>
      <c r="Z847" s="518"/>
      <c r="AA847" s="518"/>
      <c r="AB847" s="518"/>
      <c r="AC847" s="518"/>
      <c r="AD847" s="518"/>
      <c r="AE847" s="518"/>
      <c r="AF847" s="518"/>
      <c r="AG847" s="518"/>
      <c r="AH847" s="518"/>
      <c r="AJ847" s="595" t="b">
        <f t="shared" si="18"/>
        <v>0</v>
      </c>
    </row>
    <row r="848" spans="1:36" hidden="1" x14ac:dyDescent="0.45">
      <c r="A848" s="518"/>
      <c r="B848" s="514" t="s">
        <v>1427</v>
      </c>
      <c r="C848" s="515"/>
      <c r="D848" s="515"/>
      <c r="E848" s="515"/>
      <c r="F848" s="516"/>
      <c r="G848" s="890" t="str">
        <f>IF(CHOORData!T25=0,"",CHOORData!T25)</f>
        <v/>
      </c>
      <c r="H848" s="910"/>
      <c r="I848" s="1227">
        <f>CHOORData!AF25</f>
        <v>0</v>
      </c>
      <c r="J848" s="1228"/>
      <c r="K848" s="868">
        <f>CHOORData!AG25</f>
        <v>0</v>
      </c>
      <c r="L848" s="869"/>
      <c r="M848" s="869"/>
      <c r="N848" s="870"/>
      <c r="O848" s="868">
        <f>CHOORData!BC25</f>
        <v>0</v>
      </c>
      <c r="P848" s="869"/>
      <c r="Q848" s="869"/>
      <c r="R848" s="870"/>
      <c r="S848" s="902">
        <f t="shared" si="17"/>
        <v>0</v>
      </c>
      <c r="T848" s="903"/>
      <c r="U848" s="903"/>
      <c r="V848" s="904"/>
      <c r="W848" s="859">
        <f>CHOORData!AH25</f>
        <v>0</v>
      </c>
      <c r="X848" s="860"/>
      <c r="Y848" s="518"/>
      <c r="Z848" s="518"/>
      <c r="AA848" s="518"/>
      <c r="AB848" s="518"/>
      <c r="AC848" s="518"/>
      <c r="AD848" s="518"/>
      <c r="AE848" s="518"/>
      <c r="AF848" s="518"/>
      <c r="AG848" s="518"/>
      <c r="AH848" s="518"/>
      <c r="AJ848" s="595" t="b">
        <f t="shared" si="18"/>
        <v>0</v>
      </c>
    </row>
    <row r="849" spans="1:36" hidden="1" x14ac:dyDescent="0.45">
      <c r="A849" s="518"/>
      <c r="B849" s="514" t="s">
        <v>1428</v>
      </c>
      <c r="C849" s="515"/>
      <c r="D849" s="515"/>
      <c r="E849" s="515"/>
      <c r="F849" s="516"/>
      <c r="G849" s="890" t="str">
        <f>IF(CHOORData!T26=0,"",CHOORData!T26)</f>
        <v/>
      </c>
      <c r="H849" s="910"/>
      <c r="I849" s="1227">
        <f>CHOORData!AF26</f>
        <v>0</v>
      </c>
      <c r="J849" s="1228"/>
      <c r="K849" s="868">
        <f>CHOORData!AG26</f>
        <v>0</v>
      </c>
      <c r="L849" s="869"/>
      <c r="M849" s="869"/>
      <c r="N849" s="870"/>
      <c r="O849" s="868">
        <f>CHOORData!BC26</f>
        <v>0</v>
      </c>
      <c r="P849" s="869"/>
      <c r="Q849" s="869"/>
      <c r="R849" s="870"/>
      <c r="S849" s="902">
        <f t="shared" si="17"/>
        <v>0</v>
      </c>
      <c r="T849" s="903"/>
      <c r="U849" s="903"/>
      <c r="V849" s="904"/>
      <c r="W849" s="859">
        <f>CHOORData!AH26</f>
        <v>0</v>
      </c>
      <c r="X849" s="860"/>
      <c r="Y849" s="518"/>
      <c r="Z849" s="518"/>
      <c r="AA849" s="518"/>
      <c r="AB849" s="518"/>
      <c r="AC849" s="518"/>
      <c r="AD849" s="518"/>
      <c r="AE849" s="518"/>
      <c r="AF849" s="518"/>
      <c r="AG849" s="518"/>
      <c r="AH849" s="518"/>
      <c r="AJ849" s="595" t="b">
        <f t="shared" si="18"/>
        <v>0</v>
      </c>
    </row>
    <row r="850" spans="1:36" hidden="1" x14ac:dyDescent="0.45">
      <c r="A850" s="518"/>
      <c r="B850" s="514" t="s">
        <v>1429</v>
      </c>
      <c r="C850" s="515"/>
      <c r="D850" s="515"/>
      <c r="E850" s="515"/>
      <c r="F850" s="516"/>
      <c r="G850" s="890" t="str">
        <f>IF(CHOORData!T27=0,"",CHOORData!T27)</f>
        <v/>
      </c>
      <c r="H850" s="910"/>
      <c r="I850" s="1227">
        <f>CHOORData!AF27</f>
        <v>0</v>
      </c>
      <c r="J850" s="1228"/>
      <c r="K850" s="868">
        <f>CHOORData!AG27</f>
        <v>0</v>
      </c>
      <c r="L850" s="869"/>
      <c r="M850" s="869"/>
      <c r="N850" s="870"/>
      <c r="O850" s="868">
        <f>CHOORData!BC27</f>
        <v>0</v>
      </c>
      <c r="P850" s="869"/>
      <c r="Q850" s="869"/>
      <c r="R850" s="870"/>
      <c r="S850" s="902">
        <f t="shared" si="17"/>
        <v>0</v>
      </c>
      <c r="T850" s="903"/>
      <c r="U850" s="903"/>
      <c r="V850" s="904"/>
      <c r="W850" s="859">
        <f>CHOORData!AH27</f>
        <v>0</v>
      </c>
      <c r="X850" s="860"/>
      <c r="Y850" s="518"/>
      <c r="Z850" s="518"/>
      <c r="AA850" s="518"/>
      <c r="AB850" s="518"/>
      <c r="AC850" s="518"/>
      <c r="AD850" s="518"/>
      <c r="AE850" s="518"/>
      <c r="AF850" s="518"/>
      <c r="AG850" s="518"/>
      <c r="AH850" s="518"/>
      <c r="AJ850" s="595" t="b">
        <f t="shared" si="18"/>
        <v>0</v>
      </c>
    </row>
    <row r="851" spans="1:36" hidden="1" x14ac:dyDescent="0.45">
      <c r="A851" s="518"/>
      <c r="B851" s="514" t="s">
        <v>1430</v>
      </c>
      <c r="C851" s="515"/>
      <c r="D851" s="515"/>
      <c r="E851" s="515"/>
      <c r="F851" s="516"/>
      <c r="G851" s="890" t="str">
        <f>IF(CHOORData!T28=0,"",CHOORData!T28)</f>
        <v/>
      </c>
      <c r="H851" s="910"/>
      <c r="I851" s="1227">
        <f>CHOORData!AF28</f>
        <v>0</v>
      </c>
      <c r="J851" s="1228"/>
      <c r="K851" s="868">
        <f>CHOORData!AG28</f>
        <v>0</v>
      </c>
      <c r="L851" s="869"/>
      <c r="M851" s="869"/>
      <c r="N851" s="870"/>
      <c r="O851" s="868">
        <f>CHOORData!BC28</f>
        <v>0</v>
      </c>
      <c r="P851" s="869"/>
      <c r="Q851" s="869"/>
      <c r="R851" s="870"/>
      <c r="S851" s="902">
        <f t="shared" si="17"/>
        <v>0</v>
      </c>
      <c r="T851" s="903"/>
      <c r="U851" s="903"/>
      <c r="V851" s="904"/>
      <c r="W851" s="859">
        <f>CHOORData!AH28</f>
        <v>0</v>
      </c>
      <c r="X851" s="860"/>
      <c r="Y851" s="518"/>
      <c r="Z851" s="518"/>
      <c r="AA851" s="518"/>
      <c r="AB851" s="518"/>
      <c r="AC851" s="518"/>
      <c r="AD851" s="518"/>
      <c r="AE851" s="518"/>
      <c r="AF851" s="518"/>
      <c r="AG851" s="518"/>
      <c r="AH851" s="518"/>
      <c r="AJ851" s="595" t="b">
        <f t="shared" si="18"/>
        <v>0</v>
      </c>
    </row>
    <row r="852" spans="1:36" hidden="1" x14ac:dyDescent="0.45">
      <c r="A852" s="518"/>
      <c r="B852" s="514" t="s">
        <v>1431</v>
      </c>
      <c r="C852" s="515"/>
      <c r="D852" s="515"/>
      <c r="E852" s="515"/>
      <c r="F852" s="516"/>
      <c r="G852" s="890" t="str">
        <f>IF(CHOORData!T29=0,"",CHOORData!T29)</f>
        <v/>
      </c>
      <c r="H852" s="910"/>
      <c r="I852" s="1227">
        <f>CHOORData!AF29</f>
        <v>0</v>
      </c>
      <c r="J852" s="1228"/>
      <c r="K852" s="868">
        <f>CHOORData!AG29</f>
        <v>0</v>
      </c>
      <c r="L852" s="869"/>
      <c r="M852" s="869"/>
      <c r="N852" s="870"/>
      <c r="O852" s="868">
        <f>CHOORData!BC29</f>
        <v>0</v>
      </c>
      <c r="P852" s="869"/>
      <c r="Q852" s="869"/>
      <c r="R852" s="870"/>
      <c r="S852" s="902">
        <f t="shared" si="17"/>
        <v>0</v>
      </c>
      <c r="T852" s="903"/>
      <c r="U852" s="903"/>
      <c r="V852" s="904"/>
      <c r="W852" s="859">
        <f>CHOORData!AH29</f>
        <v>0</v>
      </c>
      <c r="X852" s="860"/>
      <c r="Y852" s="518"/>
      <c r="Z852" s="518"/>
      <c r="AA852" s="518"/>
      <c r="AB852" s="518"/>
      <c r="AC852" s="518"/>
      <c r="AD852" s="518"/>
      <c r="AE852" s="518"/>
      <c r="AF852" s="518"/>
      <c r="AG852" s="518"/>
      <c r="AH852" s="518"/>
      <c r="AJ852" s="595" t="b">
        <f t="shared" si="18"/>
        <v>0</v>
      </c>
    </row>
    <row r="853" spans="1:36" hidden="1" x14ac:dyDescent="0.45">
      <c r="A853" s="518"/>
      <c r="B853" s="514" t="s">
        <v>1432</v>
      </c>
      <c r="C853" s="515"/>
      <c r="D853" s="515"/>
      <c r="E853" s="515"/>
      <c r="F853" s="516"/>
      <c r="G853" s="890" t="str">
        <f>IF(CHOORData!T30=0,"",CHOORData!T30)</f>
        <v/>
      </c>
      <c r="H853" s="910"/>
      <c r="I853" s="1227">
        <f>CHOORData!AF30</f>
        <v>0</v>
      </c>
      <c r="J853" s="1228"/>
      <c r="K853" s="868">
        <f>CHOORData!AG30</f>
        <v>0</v>
      </c>
      <c r="L853" s="869"/>
      <c r="M853" s="869"/>
      <c r="N853" s="870"/>
      <c r="O853" s="868">
        <f>CHOORData!BC30</f>
        <v>0</v>
      </c>
      <c r="P853" s="869"/>
      <c r="Q853" s="869"/>
      <c r="R853" s="870"/>
      <c r="S853" s="902">
        <f t="shared" si="17"/>
        <v>0</v>
      </c>
      <c r="T853" s="903"/>
      <c r="U853" s="903"/>
      <c r="V853" s="904"/>
      <c r="W853" s="859">
        <f>CHOORData!AH30</f>
        <v>0</v>
      </c>
      <c r="X853" s="860"/>
      <c r="Y853" s="518"/>
      <c r="Z853" s="518"/>
      <c r="AA853" s="518"/>
      <c r="AB853" s="518"/>
      <c r="AC853" s="518"/>
      <c r="AD853" s="518"/>
      <c r="AE853" s="518"/>
      <c r="AF853" s="518"/>
      <c r="AG853" s="518"/>
      <c r="AH853" s="518"/>
      <c r="AJ853" s="595" t="b">
        <f t="shared" si="18"/>
        <v>0</v>
      </c>
    </row>
    <row r="854" spans="1:36" hidden="1" x14ac:dyDescent="0.45">
      <c r="A854" s="518"/>
      <c r="B854" s="514" t="s">
        <v>1433</v>
      </c>
      <c r="C854" s="515"/>
      <c r="D854" s="515"/>
      <c r="E854" s="515"/>
      <c r="F854" s="516"/>
      <c r="G854" s="890" t="str">
        <f>IF(CHOORData!T31=0,"",CHOORData!T31)</f>
        <v/>
      </c>
      <c r="H854" s="910"/>
      <c r="I854" s="1227">
        <f>CHOORData!AF31</f>
        <v>0</v>
      </c>
      <c r="J854" s="1228"/>
      <c r="K854" s="868">
        <f>CHOORData!AG31</f>
        <v>0</v>
      </c>
      <c r="L854" s="869"/>
      <c r="M854" s="869"/>
      <c r="N854" s="870"/>
      <c r="O854" s="868">
        <f>CHOORData!BC31</f>
        <v>0</v>
      </c>
      <c r="P854" s="869"/>
      <c r="Q854" s="869"/>
      <c r="R854" s="870"/>
      <c r="S854" s="902">
        <f t="shared" si="17"/>
        <v>0</v>
      </c>
      <c r="T854" s="903"/>
      <c r="U854" s="903"/>
      <c r="V854" s="904"/>
      <c r="W854" s="859">
        <f>CHOORData!AH31</f>
        <v>0</v>
      </c>
      <c r="X854" s="860"/>
      <c r="Y854" s="518"/>
      <c r="Z854" s="518"/>
      <c r="AA854" s="518"/>
      <c r="AB854" s="518"/>
      <c r="AC854" s="518"/>
      <c r="AD854" s="518"/>
      <c r="AE854" s="518"/>
      <c r="AF854" s="518"/>
      <c r="AG854" s="518"/>
      <c r="AH854" s="518"/>
      <c r="AJ854" s="595" t="b">
        <f t="shared" si="18"/>
        <v>0</v>
      </c>
    </row>
    <row r="855" spans="1:36" hidden="1" x14ac:dyDescent="0.45">
      <c r="A855" s="518"/>
      <c r="B855" s="514" t="s">
        <v>1434</v>
      </c>
      <c r="C855" s="515"/>
      <c r="D855" s="515"/>
      <c r="E855" s="515"/>
      <c r="F855" s="516"/>
      <c r="G855" s="890" t="str">
        <f>IF(CHOORData!T32=0,"",CHOORData!T32)</f>
        <v/>
      </c>
      <c r="H855" s="910"/>
      <c r="I855" s="1227">
        <f>CHOORData!AF32</f>
        <v>0</v>
      </c>
      <c r="J855" s="1228"/>
      <c r="K855" s="868">
        <f>CHOORData!AG32</f>
        <v>0</v>
      </c>
      <c r="L855" s="869"/>
      <c r="M855" s="869"/>
      <c r="N855" s="870"/>
      <c r="O855" s="868">
        <f>CHOORData!BC32</f>
        <v>0</v>
      </c>
      <c r="P855" s="869"/>
      <c r="Q855" s="869"/>
      <c r="R855" s="870"/>
      <c r="S855" s="902">
        <f t="shared" si="17"/>
        <v>0</v>
      </c>
      <c r="T855" s="903"/>
      <c r="U855" s="903"/>
      <c r="V855" s="904"/>
      <c r="W855" s="859">
        <f>CHOORData!AH32</f>
        <v>0</v>
      </c>
      <c r="X855" s="860"/>
      <c r="Y855" s="518"/>
      <c r="Z855" s="518"/>
      <c r="AA855" s="518"/>
      <c r="AB855" s="518"/>
      <c r="AC855" s="518"/>
      <c r="AD855" s="518"/>
      <c r="AE855" s="518"/>
      <c r="AF855" s="518"/>
      <c r="AG855" s="518"/>
      <c r="AH855" s="518"/>
      <c r="AJ855" s="595" t="b">
        <f t="shared" si="18"/>
        <v>0</v>
      </c>
    </row>
    <row r="856" spans="1:36" hidden="1" x14ac:dyDescent="0.45">
      <c r="A856" s="518"/>
      <c r="B856" s="514" t="s">
        <v>1435</v>
      </c>
      <c r="C856" s="515"/>
      <c r="D856" s="515"/>
      <c r="E856" s="515"/>
      <c r="F856" s="516"/>
      <c r="G856" s="890" t="str">
        <f>IF(CHOORData!T33=0,"",CHOORData!T33)</f>
        <v/>
      </c>
      <c r="H856" s="910"/>
      <c r="I856" s="1227">
        <f>CHOORData!AF33</f>
        <v>0</v>
      </c>
      <c r="J856" s="1228"/>
      <c r="K856" s="868">
        <f>CHOORData!AG33</f>
        <v>0</v>
      </c>
      <c r="L856" s="869"/>
      <c r="M856" s="869"/>
      <c r="N856" s="870"/>
      <c r="O856" s="868">
        <f>CHOORData!BC33</f>
        <v>0</v>
      </c>
      <c r="P856" s="869"/>
      <c r="Q856" s="869"/>
      <c r="R856" s="870"/>
      <c r="S856" s="902">
        <f t="shared" si="17"/>
        <v>0</v>
      </c>
      <c r="T856" s="903"/>
      <c r="U856" s="903"/>
      <c r="V856" s="904"/>
      <c r="W856" s="859">
        <f>CHOORData!AH33</f>
        <v>0</v>
      </c>
      <c r="X856" s="860"/>
      <c r="Y856" s="518"/>
      <c r="Z856" s="518"/>
      <c r="AA856" s="518"/>
      <c r="AB856" s="518"/>
      <c r="AC856" s="518"/>
      <c r="AD856" s="518"/>
      <c r="AE856" s="518"/>
      <c r="AF856" s="518"/>
      <c r="AG856" s="518"/>
      <c r="AH856" s="518"/>
      <c r="AJ856" s="595" t="b">
        <f t="shared" si="18"/>
        <v>0</v>
      </c>
    </row>
    <row r="857" spans="1:36" hidden="1" x14ac:dyDescent="0.45">
      <c r="A857" s="518"/>
      <c r="B857" s="514" t="s">
        <v>1436</v>
      </c>
      <c r="C857" s="515"/>
      <c r="D857" s="515"/>
      <c r="E857" s="515"/>
      <c r="F857" s="516"/>
      <c r="G857" s="890" t="str">
        <f>IF(CHOORData!T34=0,"",CHOORData!T34)</f>
        <v/>
      </c>
      <c r="H857" s="910"/>
      <c r="I857" s="1227">
        <f>CHOORData!AF34</f>
        <v>0</v>
      </c>
      <c r="J857" s="1228"/>
      <c r="K857" s="868">
        <f>CHOORData!AG34</f>
        <v>0</v>
      </c>
      <c r="L857" s="869"/>
      <c r="M857" s="869"/>
      <c r="N857" s="870"/>
      <c r="O857" s="868">
        <f>CHOORData!BC34</f>
        <v>0</v>
      </c>
      <c r="P857" s="869"/>
      <c r="Q857" s="869"/>
      <c r="R857" s="870"/>
      <c r="S857" s="902">
        <f t="shared" si="17"/>
        <v>0</v>
      </c>
      <c r="T857" s="903"/>
      <c r="U857" s="903"/>
      <c r="V857" s="904"/>
      <c r="W857" s="859">
        <f>CHOORData!AH34</f>
        <v>0</v>
      </c>
      <c r="X857" s="860"/>
      <c r="Y857" s="518"/>
      <c r="Z857" s="518"/>
      <c r="AA857" s="518"/>
      <c r="AB857" s="518"/>
      <c r="AC857" s="518"/>
      <c r="AD857" s="518"/>
      <c r="AE857" s="518"/>
      <c r="AF857" s="518"/>
      <c r="AG857" s="518"/>
      <c r="AH857" s="518"/>
      <c r="AJ857" s="595" t="b">
        <f t="shared" si="18"/>
        <v>0</v>
      </c>
    </row>
    <row r="858" spans="1:36" hidden="1" x14ac:dyDescent="0.45">
      <c r="A858" s="518"/>
      <c r="B858" s="514" t="s">
        <v>1437</v>
      </c>
      <c r="C858" s="515"/>
      <c r="D858" s="515"/>
      <c r="E858" s="515"/>
      <c r="F858" s="516"/>
      <c r="G858" s="890" t="str">
        <f>IF(CHOORData!T35=0,"",CHOORData!T35)</f>
        <v/>
      </c>
      <c r="H858" s="910"/>
      <c r="I858" s="1227">
        <f>CHOORData!AF35</f>
        <v>0</v>
      </c>
      <c r="J858" s="1228"/>
      <c r="K858" s="868">
        <f>CHOORData!AG35</f>
        <v>0</v>
      </c>
      <c r="L858" s="869"/>
      <c r="M858" s="869"/>
      <c r="N858" s="870"/>
      <c r="O858" s="868">
        <f>CHOORData!BC35</f>
        <v>0</v>
      </c>
      <c r="P858" s="869"/>
      <c r="Q858" s="869"/>
      <c r="R858" s="870"/>
      <c r="S858" s="902">
        <f t="shared" si="17"/>
        <v>0</v>
      </c>
      <c r="T858" s="903"/>
      <c r="U858" s="903"/>
      <c r="V858" s="904"/>
      <c r="W858" s="859">
        <f>CHOORData!AH35</f>
        <v>0</v>
      </c>
      <c r="X858" s="860"/>
      <c r="Y858" s="518"/>
      <c r="Z858" s="518"/>
      <c r="AA858" s="518"/>
      <c r="AB858" s="518"/>
      <c r="AC858" s="518"/>
      <c r="AD858" s="518"/>
      <c r="AE858" s="518"/>
      <c r="AF858" s="518"/>
      <c r="AG858" s="518"/>
      <c r="AH858" s="518"/>
      <c r="AJ858" s="595" t="b">
        <f t="shared" si="18"/>
        <v>0</v>
      </c>
    </row>
    <row r="859" spans="1:36" hidden="1" x14ac:dyDescent="0.45">
      <c r="A859" s="518"/>
      <c r="B859" s="514" t="s">
        <v>1438</v>
      </c>
      <c r="C859" s="515"/>
      <c r="D859" s="515"/>
      <c r="E859" s="515"/>
      <c r="F859" s="516"/>
      <c r="G859" s="890" t="str">
        <f>IF(CHOORData!T36=0,"",CHOORData!T36)</f>
        <v/>
      </c>
      <c r="H859" s="910"/>
      <c r="I859" s="1227">
        <f>CHOORData!AF36</f>
        <v>0</v>
      </c>
      <c r="J859" s="1228"/>
      <c r="K859" s="868">
        <f>CHOORData!AG36</f>
        <v>0</v>
      </c>
      <c r="L859" s="869"/>
      <c r="M859" s="869"/>
      <c r="N859" s="870"/>
      <c r="O859" s="868">
        <f>CHOORData!BC36</f>
        <v>0</v>
      </c>
      <c r="P859" s="869"/>
      <c r="Q859" s="869"/>
      <c r="R859" s="870"/>
      <c r="S859" s="902">
        <f t="shared" si="17"/>
        <v>0</v>
      </c>
      <c r="T859" s="903"/>
      <c r="U859" s="903"/>
      <c r="V859" s="904"/>
      <c r="W859" s="859">
        <f>CHOORData!AH36</f>
        <v>0</v>
      </c>
      <c r="X859" s="860"/>
      <c r="Y859" s="518"/>
      <c r="Z859" s="518"/>
      <c r="AA859" s="518"/>
      <c r="AB859" s="518"/>
      <c r="AC859" s="518"/>
      <c r="AD859" s="518"/>
      <c r="AE859" s="518"/>
      <c r="AF859" s="518"/>
      <c r="AG859" s="518"/>
      <c r="AH859" s="518"/>
      <c r="AJ859" s="595" t="b">
        <f t="shared" si="18"/>
        <v>0</v>
      </c>
    </row>
    <row r="860" spans="1:36" hidden="1" x14ac:dyDescent="0.45">
      <c r="A860" s="518"/>
      <c r="B860" s="514" t="s">
        <v>1439</v>
      </c>
      <c r="C860" s="515"/>
      <c r="D860" s="515"/>
      <c r="E860" s="515"/>
      <c r="F860" s="516"/>
      <c r="G860" s="890" t="str">
        <f>IF(CHOORData!T37=0,"",CHOORData!T37)</f>
        <v/>
      </c>
      <c r="H860" s="910"/>
      <c r="I860" s="1227">
        <f>CHOORData!AF37</f>
        <v>0</v>
      </c>
      <c r="J860" s="1228"/>
      <c r="K860" s="868">
        <f>CHOORData!AG37</f>
        <v>0</v>
      </c>
      <c r="L860" s="869"/>
      <c r="M860" s="869"/>
      <c r="N860" s="870"/>
      <c r="O860" s="868">
        <f>CHOORData!BC37</f>
        <v>0</v>
      </c>
      <c r="P860" s="869"/>
      <c r="Q860" s="869"/>
      <c r="R860" s="870"/>
      <c r="S860" s="902">
        <f t="shared" si="17"/>
        <v>0</v>
      </c>
      <c r="T860" s="903"/>
      <c r="U860" s="903"/>
      <c r="V860" s="904"/>
      <c r="W860" s="859">
        <f>CHOORData!AH37</f>
        <v>0</v>
      </c>
      <c r="X860" s="860"/>
      <c r="Y860" s="518"/>
      <c r="Z860" s="518"/>
      <c r="AA860" s="518"/>
      <c r="AB860" s="518"/>
      <c r="AC860" s="518"/>
      <c r="AD860" s="518"/>
      <c r="AE860" s="518"/>
      <c r="AF860" s="518"/>
      <c r="AG860" s="518"/>
      <c r="AH860" s="518"/>
      <c r="AJ860" s="595" t="b">
        <f t="shared" si="18"/>
        <v>0</v>
      </c>
    </row>
    <row r="861" spans="1:36" hidden="1" x14ac:dyDescent="0.45">
      <c r="A861" s="518"/>
      <c r="B861" s="514" t="s">
        <v>1440</v>
      </c>
      <c r="C861" s="515"/>
      <c r="D861" s="515"/>
      <c r="E861" s="515"/>
      <c r="F861" s="516"/>
      <c r="G861" s="890" t="str">
        <f>IF(CHOORData!T38=0,"",CHOORData!T38)</f>
        <v/>
      </c>
      <c r="H861" s="910"/>
      <c r="I861" s="1227">
        <f>CHOORData!AF38</f>
        <v>0</v>
      </c>
      <c r="J861" s="1228"/>
      <c r="K861" s="868">
        <f>CHOORData!AG38</f>
        <v>0</v>
      </c>
      <c r="L861" s="869"/>
      <c r="M861" s="869"/>
      <c r="N861" s="870"/>
      <c r="O861" s="868">
        <f>CHOORData!BC38</f>
        <v>0</v>
      </c>
      <c r="P861" s="869"/>
      <c r="Q861" s="869"/>
      <c r="R861" s="870"/>
      <c r="S861" s="902">
        <f t="shared" si="17"/>
        <v>0</v>
      </c>
      <c r="T861" s="903"/>
      <c r="U861" s="903"/>
      <c r="V861" s="904"/>
      <c r="W861" s="859">
        <f>CHOORData!AH38</f>
        <v>0</v>
      </c>
      <c r="X861" s="860"/>
      <c r="Y861" s="518"/>
      <c r="Z861" s="518"/>
      <c r="AA861" s="518"/>
      <c r="AB861" s="518"/>
      <c r="AC861" s="518"/>
      <c r="AD861" s="518"/>
      <c r="AE861" s="518"/>
      <c r="AF861" s="518"/>
      <c r="AG861" s="518"/>
      <c r="AH861" s="518"/>
      <c r="AJ861" s="595" t="b">
        <f t="shared" si="18"/>
        <v>0</v>
      </c>
    </row>
    <row r="862" spans="1:36" hidden="1" x14ac:dyDescent="0.45">
      <c r="A862" s="518"/>
      <c r="B862" s="514" t="s">
        <v>1441</v>
      </c>
      <c r="C862" s="515"/>
      <c r="D862" s="515"/>
      <c r="E862" s="515"/>
      <c r="F862" s="516"/>
      <c r="G862" s="890" t="str">
        <f>IF(CHOORData!T39=0,"",CHOORData!T39)</f>
        <v/>
      </c>
      <c r="H862" s="910"/>
      <c r="I862" s="1227">
        <f>CHOORData!AF39</f>
        <v>0</v>
      </c>
      <c r="J862" s="1228"/>
      <c r="K862" s="868">
        <f>CHOORData!AG39</f>
        <v>0</v>
      </c>
      <c r="L862" s="869"/>
      <c r="M862" s="869"/>
      <c r="N862" s="870"/>
      <c r="O862" s="868">
        <f>CHOORData!BC39</f>
        <v>0</v>
      </c>
      <c r="P862" s="869"/>
      <c r="Q862" s="869"/>
      <c r="R862" s="870"/>
      <c r="S862" s="902">
        <f t="shared" si="17"/>
        <v>0</v>
      </c>
      <c r="T862" s="903"/>
      <c r="U862" s="903"/>
      <c r="V862" s="904"/>
      <c r="W862" s="859">
        <f>CHOORData!AH39</f>
        <v>0</v>
      </c>
      <c r="X862" s="860"/>
      <c r="Y862" s="518"/>
      <c r="Z862" s="518"/>
      <c r="AA862" s="518"/>
      <c r="AB862" s="518"/>
      <c r="AC862" s="518"/>
      <c r="AD862" s="518"/>
      <c r="AE862" s="518"/>
      <c r="AF862" s="518"/>
      <c r="AG862" s="518"/>
      <c r="AH862" s="518"/>
      <c r="AJ862" s="595" t="b">
        <f t="shared" si="18"/>
        <v>0</v>
      </c>
    </row>
    <row r="863" spans="1:36" hidden="1" x14ac:dyDescent="0.45">
      <c r="A863" s="518"/>
      <c r="B863" s="514" t="s">
        <v>152</v>
      </c>
      <c r="C863" s="515"/>
      <c r="D863" s="515"/>
      <c r="E863" s="515"/>
      <c r="F863" s="516"/>
      <c r="G863" s="890" t="str">
        <f>IF(CHOORData!T40=0,"",CHOORData!T40)</f>
        <v/>
      </c>
      <c r="H863" s="910"/>
      <c r="I863" s="1227">
        <f>CHOORData!AF40</f>
        <v>0</v>
      </c>
      <c r="J863" s="1228"/>
      <c r="K863" s="868">
        <f>CHOORData!AG40</f>
        <v>0</v>
      </c>
      <c r="L863" s="869"/>
      <c r="M863" s="869"/>
      <c r="N863" s="870"/>
      <c r="O863" s="868">
        <f>CHOORData!BC40</f>
        <v>0</v>
      </c>
      <c r="P863" s="869"/>
      <c r="Q863" s="869"/>
      <c r="R863" s="870"/>
      <c r="S863" s="902">
        <f t="shared" si="17"/>
        <v>0</v>
      </c>
      <c r="T863" s="903"/>
      <c r="U863" s="903"/>
      <c r="V863" s="904"/>
      <c r="W863" s="859">
        <f>CHOORData!AH40</f>
        <v>0</v>
      </c>
      <c r="X863" s="860"/>
      <c r="Y863" s="518"/>
      <c r="Z863" s="518"/>
      <c r="AA863" s="518"/>
      <c r="AB863" s="518"/>
      <c r="AC863" s="518"/>
      <c r="AD863" s="518"/>
      <c r="AE863" s="518"/>
      <c r="AF863" s="518"/>
      <c r="AG863" s="518"/>
      <c r="AH863" s="518"/>
      <c r="AJ863" s="595" t="b">
        <f t="shared" si="18"/>
        <v>0</v>
      </c>
    </row>
    <row r="864" spans="1:36" hidden="1" x14ac:dyDescent="0.45">
      <c r="A864" s="518"/>
      <c r="B864" s="514" t="s">
        <v>1442</v>
      </c>
      <c r="C864" s="515"/>
      <c r="D864" s="515"/>
      <c r="E864" s="515"/>
      <c r="F864" s="516"/>
      <c r="G864" s="890" t="str">
        <f>IF(CHOORData!T41=0,"",CHOORData!T41)</f>
        <v/>
      </c>
      <c r="H864" s="910"/>
      <c r="I864" s="1227">
        <f>CHOORData!AF41</f>
        <v>0</v>
      </c>
      <c r="J864" s="1228"/>
      <c r="K864" s="868">
        <f>CHOORData!AG41</f>
        <v>0</v>
      </c>
      <c r="L864" s="869"/>
      <c r="M864" s="869"/>
      <c r="N864" s="870"/>
      <c r="O864" s="868">
        <f>CHOORData!BC41</f>
        <v>0</v>
      </c>
      <c r="P864" s="869"/>
      <c r="Q864" s="869"/>
      <c r="R864" s="870"/>
      <c r="S864" s="902">
        <f t="shared" si="17"/>
        <v>0</v>
      </c>
      <c r="T864" s="903"/>
      <c r="U864" s="903"/>
      <c r="V864" s="904"/>
      <c r="W864" s="859">
        <f>CHOORData!AH41</f>
        <v>0</v>
      </c>
      <c r="X864" s="860"/>
      <c r="Y864" s="518"/>
      <c r="Z864" s="518"/>
      <c r="AA864" s="518"/>
      <c r="AB864" s="518"/>
      <c r="AC864" s="518"/>
      <c r="AD864" s="518"/>
      <c r="AE864" s="518"/>
      <c r="AF864" s="518"/>
      <c r="AG864" s="518"/>
      <c r="AH864" s="518"/>
      <c r="AJ864" s="595" t="b">
        <f t="shared" si="18"/>
        <v>0</v>
      </c>
    </row>
    <row r="865" spans="1:36" hidden="1" x14ac:dyDescent="0.45">
      <c r="A865" s="518"/>
      <c r="B865" s="514" t="s">
        <v>1443</v>
      </c>
      <c r="C865" s="515"/>
      <c r="D865" s="515"/>
      <c r="E865" s="515"/>
      <c r="F865" s="516"/>
      <c r="G865" s="890" t="str">
        <f>IF(CHOORData!T42=0,"",CHOORData!T42)</f>
        <v/>
      </c>
      <c r="H865" s="910"/>
      <c r="I865" s="1227">
        <f>CHOORData!AF42</f>
        <v>0</v>
      </c>
      <c r="J865" s="1228"/>
      <c r="K865" s="868">
        <f>CHOORData!AG42</f>
        <v>0</v>
      </c>
      <c r="L865" s="869"/>
      <c r="M865" s="869"/>
      <c r="N865" s="870"/>
      <c r="O865" s="868">
        <f>CHOORData!BC42</f>
        <v>0</v>
      </c>
      <c r="P865" s="869"/>
      <c r="Q865" s="869"/>
      <c r="R865" s="870"/>
      <c r="S865" s="902">
        <f t="shared" si="17"/>
        <v>0</v>
      </c>
      <c r="T865" s="903"/>
      <c r="U865" s="903"/>
      <c r="V865" s="904"/>
      <c r="W865" s="859">
        <f>CHOORData!AH42</f>
        <v>0</v>
      </c>
      <c r="X865" s="860"/>
      <c r="Y865" s="518"/>
      <c r="Z865" s="518"/>
      <c r="AA865" s="518"/>
      <c r="AB865" s="518"/>
      <c r="AC865" s="518"/>
      <c r="AD865" s="518"/>
      <c r="AE865" s="518"/>
      <c r="AF865" s="518"/>
      <c r="AG865" s="518"/>
      <c r="AH865" s="518"/>
      <c r="AJ865" s="595" t="b">
        <f t="shared" si="18"/>
        <v>0</v>
      </c>
    </row>
    <row r="866" spans="1:36" hidden="1" x14ac:dyDescent="0.45">
      <c r="A866" s="518"/>
      <c r="B866" s="514" t="s">
        <v>1444</v>
      </c>
      <c r="C866" s="515"/>
      <c r="D866" s="515"/>
      <c r="E866" s="515"/>
      <c r="F866" s="516"/>
      <c r="G866" s="890" t="str">
        <f>IF(CHOORData!T43=0,"",CHOORData!T43)</f>
        <v/>
      </c>
      <c r="H866" s="910"/>
      <c r="I866" s="1227">
        <f>CHOORData!AF43</f>
        <v>0</v>
      </c>
      <c r="J866" s="1228"/>
      <c r="K866" s="868">
        <f>CHOORData!AG43</f>
        <v>0</v>
      </c>
      <c r="L866" s="869"/>
      <c r="M866" s="869"/>
      <c r="N866" s="870"/>
      <c r="O866" s="868">
        <f>CHOORData!BC43</f>
        <v>0</v>
      </c>
      <c r="P866" s="869"/>
      <c r="Q866" s="869"/>
      <c r="R866" s="870"/>
      <c r="S866" s="902">
        <f t="shared" si="17"/>
        <v>0</v>
      </c>
      <c r="T866" s="903"/>
      <c r="U866" s="903"/>
      <c r="V866" s="904"/>
      <c r="W866" s="859">
        <f>CHOORData!AH43</f>
        <v>0</v>
      </c>
      <c r="X866" s="860"/>
      <c r="Y866" s="518"/>
      <c r="Z866" s="518"/>
      <c r="AA866" s="518"/>
      <c r="AB866" s="518"/>
      <c r="AC866" s="518"/>
      <c r="AD866" s="518"/>
      <c r="AE866" s="518"/>
      <c r="AF866" s="518"/>
      <c r="AG866" s="518"/>
      <c r="AH866" s="518"/>
      <c r="AJ866" s="595" t="b">
        <f t="shared" si="18"/>
        <v>0</v>
      </c>
    </row>
    <row r="867" spans="1:36" hidden="1" x14ac:dyDescent="0.45">
      <c r="A867" s="518"/>
      <c r="B867" s="514" t="s">
        <v>1445</v>
      </c>
      <c r="C867" s="515"/>
      <c r="D867" s="515"/>
      <c r="E867" s="515"/>
      <c r="F867" s="516"/>
      <c r="G867" s="890" t="str">
        <f>IF(CHOORData!T44=0,"",CHOORData!T44)</f>
        <v/>
      </c>
      <c r="H867" s="910"/>
      <c r="I867" s="1227">
        <f>CHOORData!AF44</f>
        <v>0</v>
      </c>
      <c r="J867" s="1228"/>
      <c r="K867" s="868">
        <f>CHOORData!AG44</f>
        <v>0</v>
      </c>
      <c r="L867" s="869"/>
      <c r="M867" s="869"/>
      <c r="N867" s="870"/>
      <c r="O867" s="868">
        <f>CHOORData!BC44</f>
        <v>0</v>
      </c>
      <c r="P867" s="869"/>
      <c r="Q867" s="869"/>
      <c r="R867" s="870"/>
      <c r="S867" s="902">
        <f t="shared" si="17"/>
        <v>0</v>
      </c>
      <c r="T867" s="903"/>
      <c r="U867" s="903"/>
      <c r="V867" s="904"/>
      <c r="W867" s="859">
        <f>CHOORData!AH44</f>
        <v>0</v>
      </c>
      <c r="X867" s="860"/>
      <c r="Y867" s="518"/>
      <c r="Z867" s="518"/>
      <c r="AA867" s="518"/>
      <c r="AB867" s="518"/>
      <c r="AC867" s="518"/>
      <c r="AD867" s="518"/>
      <c r="AE867" s="518"/>
      <c r="AF867" s="518"/>
      <c r="AG867" s="518"/>
      <c r="AH867" s="518"/>
      <c r="AJ867" s="595" t="b">
        <f t="shared" si="18"/>
        <v>0</v>
      </c>
    </row>
    <row r="868" spans="1:36" hidden="1" x14ac:dyDescent="0.45">
      <c r="A868" s="518"/>
      <c r="B868" s="514" t="s">
        <v>1446</v>
      </c>
      <c r="C868" s="515"/>
      <c r="D868" s="515"/>
      <c r="E868" s="515"/>
      <c r="F868" s="516"/>
      <c r="G868" s="890" t="str">
        <f>IF(CHOORData!T45=0,"",CHOORData!T45)</f>
        <v/>
      </c>
      <c r="H868" s="910"/>
      <c r="I868" s="1227">
        <f>CHOORData!AF45</f>
        <v>0</v>
      </c>
      <c r="J868" s="1228"/>
      <c r="K868" s="868">
        <f>CHOORData!AG45</f>
        <v>0</v>
      </c>
      <c r="L868" s="869"/>
      <c r="M868" s="869"/>
      <c r="N868" s="870"/>
      <c r="O868" s="868">
        <f>CHOORData!BC45</f>
        <v>0</v>
      </c>
      <c r="P868" s="869"/>
      <c r="Q868" s="869"/>
      <c r="R868" s="870"/>
      <c r="S868" s="902">
        <f t="shared" si="17"/>
        <v>0</v>
      </c>
      <c r="T868" s="903"/>
      <c r="U868" s="903"/>
      <c r="V868" s="904"/>
      <c r="W868" s="859">
        <f>CHOORData!AH45</f>
        <v>0</v>
      </c>
      <c r="X868" s="860"/>
      <c r="Y868" s="518"/>
      <c r="Z868" s="518"/>
      <c r="AA868" s="518"/>
      <c r="AB868" s="518"/>
      <c r="AC868" s="518"/>
      <c r="AD868" s="518"/>
      <c r="AE868" s="518"/>
      <c r="AF868" s="518"/>
      <c r="AG868" s="518"/>
      <c r="AH868" s="518"/>
      <c r="AJ868" s="595" t="b">
        <f t="shared" si="18"/>
        <v>0</v>
      </c>
    </row>
    <row r="869" spans="1:36" hidden="1" x14ac:dyDescent="0.45">
      <c r="B869" s="514" t="s">
        <v>1447</v>
      </c>
      <c r="C869" s="515"/>
      <c r="D869" s="515"/>
      <c r="E869" s="515"/>
      <c r="F869" s="516"/>
      <c r="G869" s="890" t="str">
        <f>IF(CHOORData!T46=0,"",CHOORData!T46)</f>
        <v/>
      </c>
      <c r="H869" s="910"/>
      <c r="I869" s="1227">
        <f>CHOORData!AF46</f>
        <v>0</v>
      </c>
      <c r="J869" s="1228"/>
      <c r="K869" s="868">
        <f>CHOORData!AG46</f>
        <v>0</v>
      </c>
      <c r="L869" s="869"/>
      <c r="M869" s="869"/>
      <c r="N869" s="870"/>
      <c r="O869" s="868">
        <f>CHOORData!BC46</f>
        <v>0</v>
      </c>
      <c r="P869" s="869"/>
      <c r="Q869" s="869"/>
      <c r="R869" s="870"/>
      <c r="S869" s="902">
        <f t="shared" si="17"/>
        <v>0</v>
      </c>
      <c r="T869" s="903"/>
      <c r="U869" s="903"/>
      <c r="V869" s="904"/>
      <c r="W869" s="859">
        <f>CHOORData!AH46</f>
        <v>0</v>
      </c>
      <c r="X869" s="860"/>
      <c r="Y869" s="518"/>
      <c r="Z869" s="518"/>
      <c r="AA869" s="518"/>
      <c r="AB869" s="518"/>
      <c r="AC869" s="518"/>
      <c r="AD869" s="518"/>
      <c r="AE869" s="518"/>
      <c r="AF869" s="518"/>
      <c r="AG869" s="518"/>
      <c r="AH869" s="518"/>
      <c r="AJ869" s="595" t="b">
        <f t="shared" si="18"/>
        <v>0</v>
      </c>
    </row>
    <row r="870" spans="1:36" hidden="1" x14ac:dyDescent="0.45">
      <c r="B870" s="514" t="s">
        <v>1448</v>
      </c>
      <c r="C870" s="515"/>
      <c r="D870" s="515"/>
      <c r="E870" s="515"/>
      <c r="F870" s="516"/>
      <c r="G870" s="890" t="str">
        <f>IF(CHOORData!T47=0,"",CHOORData!T47)</f>
        <v/>
      </c>
      <c r="H870" s="910"/>
      <c r="I870" s="1227">
        <f>CHOORData!AF47</f>
        <v>0</v>
      </c>
      <c r="J870" s="1228"/>
      <c r="K870" s="868">
        <f>CHOORData!AG47</f>
        <v>0</v>
      </c>
      <c r="L870" s="869"/>
      <c r="M870" s="869"/>
      <c r="N870" s="870"/>
      <c r="O870" s="868">
        <f>CHOORData!BC47</f>
        <v>0</v>
      </c>
      <c r="P870" s="869"/>
      <c r="Q870" s="869"/>
      <c r="R870" s="870"/>
      <c r="S870" s="902">
        <f t="shared" si="17"/>
        <v>0</v>
      </c>
      <c r="T870" s="903"/>
      <c r="U870" s="903"/>
      <c r="V870" s="904"/>
      <c r="W870" s="859">
        <f>CHOORData!AH47</f>
        <v>0</v>
      </c>
      <c r="X870" s="860"/>
      <c r="Y870" s="518"/>
      <c r="Z870" s="518"/>
      <c r="AA870" s="518"/>
      <c r="AB870" s="518"/>
      <c r="AC870" s="518"/>
      <c r="AD870" s="518"/>
      <c r="AE870" s="518"/>
      <c r="AF870" s="518"/>
      <c r="AG870" s="518"/>
      <c r="AH870" s="518"/>
      <c r="AJ870" s="595" t="b">
        <f t="shared" si="18"/>
        <v>0</v>
      </c>
    </row>
    <row r="871" spans="1:36" hidden="1" x14ac:dyDescent="0.45">
      <c r="B871" s="514" t="s">
        <v>1449</v>
      </c>
      <c r="C871" s="515"/>
      <c r="D871" s="515"/>
      <c r="E871" s="515"/>
      <c r="F871" s="516"/>
      <c r="G871" s="890" t="str">
        <f>IF(CHOORData!T48=0,"",CHOORData!T48)</f>
        <v/>
      </c>
      <c r="H871" s="910"/>
      <c r="I871" s="1227">
        <f>CHOORData!AF48</f>
        <v>0</v>
      </c>
      <c r="J871" s="1228"/>
      <c r="K871" s="868">
        <f>CHOORData!AG48</f>
        <v>0</v>
      </c>
      <c r="L871" s="869"/>
      <c r="M871" s="869"/>
      <c r="N871" s="870"/>
      <c r="O871" s="868">
        <f>CHOORData!BC48</f>
        <v>0</v>
      </c>
      <c r="P871" s="869"/>
      <c r="Q871" s="869"/>
      <c r="R871" s="870"/>
      <c r="S871" s="902">
        <f t="shared" si="17"/>
        <v>0</v>
      </c>
      <c r="T871" s="903"/>
      <c r="U871" s="903"/>
      <c r="V871" s="904"/>
      <c r="W871" s="859">
        <f>CHOORData!AH48</f>
        <v>0</v>
      </c>
      <c r="X871" s="860"/>
      <c r="Y871" s="518"/>
      <c r="Z871" s="518"/>
      <c r="AA871" s="518"/>
      <c r="AB871" s="518"/>
      <c r="AC871" s="518"/>
      <c r="AD871" s="518"/>
      <c r="AE871" s="518"/>
      <c r="AF871" s="518"/>
      <c r="AG871" s="518"/>
      <c r="AH871" s="518"/>
      <c r="AJ871" s="595" t="b">
        <f t="shared" si="18"/>
        <v>0</v>
      </c>
    </row>
    <row r="872" spans="1:36" hidden="1" x14ac:dyDescent="0.45">
      <c r="B872" s="514" t="s">
        <v>1450</v>
      </c>
      <c r="C872" s="515"/>
      <c r="D872" s="515"/>
      <c r="E872" s="515"/>
      <c r="F872" s="516"/>
      <c r="G872" s="890" t="str">
        <f>IF(CHOORData!T49=0,"",CHOORData!T49)</f>
        <v/>
      </c>
      <c r="H872" s="910"/>
      <c r="I872" s="1227">
        <f>CHOORData!AF49</f>
        <v>0</v>
      </c>
      <c r="J872" s="1228"/>
      <c r="K872" s="868">
        <f>CHOORData!AG49</f>
        <v>0</v>
      </c>
      <c r="L872" s="869"/>
      <c r="M872" s="869"/>
      <c r="N872" s="870"/>
      <c r="O872" s="868">
        <f>CHOORData!BC49</f>
        <v>0</v>
      </c>
      <c r="P872" s="869"/>
      <c r="Q872" s="869"/>
      <c r="R872" s="870"/>
      <c r="S872" s="902">
        <f t="shared" si="17"/>
        <v>0</v>
      </c>
      <c r="T872" s="903"/>
      <c r="U872" s="903"/>
      <c r="V872" s="904"/>
      <c r="W872" s="859">
        <f>CHOORData!AH49</f>
        <v>0</v>
      </c>
      <c r="X872" s="860"/>
      <c r="Y872" s="518"/>
      <c r="Z872" s="518"/>
      <c r="AA872" s="518"/>
      <c r="AB872" s="518"/>
      <c r="AC872" s="518"/>
      <c r="AD872" s="518"/>
      <c r="AE872" s="518"/>
      <c r="AF872" s="518"/>
      <c r="AG872" s="518"/>
      <c r="AH872" s="518"/>
      <c r="AJ872" s="595" t="b">
        <f t="shared" si="18"/>
        <v>0</v>
      </c>
    </row>
    <row r="873" spans="1:36" hidden="1" x14ac:dyDescent="0.45">
      <c r="B873" s="514" t="s">
        <v>1451</v>
      </c>
      <c r="C873" s="515"/>
      <c r="D873" s="515"/>
      <c r="E873" s="515"/>
      <c r="F873" s="516"/>
      <c r="G873" s="890" t="str">
        <f>IF(CHOORData!T50=0,"",CHOORData!T50)</f>
        <v/>
      </c>
      <c r="H873" s="910"/>
      <c r="I873" s="1227">
        <f>CHOORData!AF50</f>
        <v>0</v>
      </c>
      <c r="J873" s="1228"/>
      <c r="K873" s="868">
        <f>CHOORData!AG50</f>
        <v>0</v>
      </c>
      <c r="L873" s="869"/>
      <c r="M873" s="869"/>
      <c r="N873" s="870"/>
      <c r="O873" s="868">
        <f>CHOORData!BC50</f>
        <v>0</v>
      </c>
      <c r="P873" s="869"/>
      <c r="Q873" s="869"/>
      <c r="R873" s="870"/>
      <c r="S873" s="902">
        <f t="shared" si="17"/>
        <v>0</v>
      </c>
      <c r="T873" s="903"/>
      <c r="U873" s="903"/>
      <c r="V873" s="904"/>
      <c r="W873" s="859">
        <f>CHOORData!AH50</f>
        <v>0</v>
      </c>
      <c r="X873" s="860"/>
      <c r="Y873" s="518"/>
      <c r="Z873" s="518"/>
      <c r="AA873" s="518"/>
      <c r="AB873" s="518"/>
      <c r="AC873" s="518"/>
      <c r="AD873" s="518"/>
      <c r="AE873" s="518"/>
      <c r="AF873" s="518"/>
      <c r="AG873" s="518"/>
      <c r="AH873" s="518"/>
      <c r="AJ873" s="595" t="b">
        <f t="shared" si="18"/>
        <v>0</v>
      </c>
    </row>
    <row r="874" spans="1:36" hidden="1" x14ac:dyDescent="0.45">
      <c r="B874" s="514" t="s">
        <v>1452</v>
      </c>
      <c r="C874" s="515"/>
      <c r="D874" s="515"/>
      <c r="E874" s="515"/>
      <c r="F874" s="516"/>
      <c r="G874" s="890" t="str">
        <f>IF(CHOORData!T51=0,"",CHOORData!T51)</f>
        <v/>
      </c>
      <c r="H874" s="910"/>
      <c r="I874" s="1227">
        <f>CHOORData!AF51</f>
        <v>0</v>
      </c>
      <c r="J874" s="1228"/>
      <c r="K874" s="868">
        <f>CHOORData!AG51</f>
        <v>0</v>
      </c>
      <c r="L874" s="869"/>
      <c r="M874" s="869"/>
      <c r="N874" s="870"/>
      <c r="O874" s="868">
        <f>CHOORData!BC51</f>
        <v>0</v>
      </c>
      <c r="P874" s="869"/>
      <c r="Q874" s="869"/>
      <c r="R874" s="870"/>
      <c r="S874" s="902">
        <f t="shared" si="17"/>
        <v>0</v>
      </c>
      <c r="T874" s="903"/>
      <c r="U874" s="903"/>
      <c r="V874" s="904"/>
      <c r="W874" s="859">
        <f>CHOORData!AH51</f>
        <v>0</v>
      </c>
      <c r="X874" s="860"/>
      <c r="Y874" s="518"/>
      <c r="Z874" s="518"/>
      <c r="AA874" s="518"/>
      <c r="AB874" s="518"/>
      <c r="AC874" s="518"/>
      <c r="AD874" s="518"/>
      <c r="AE874" s="518"/>
      <c r="AF874" s="518"/>
      <c r="AG874" s="518"/>
      <c r="AH874" s="518"/>
      <c r="AJ874" s="595" t="b">
        <f t="shared" si="18"/>
        <v>0</v>
      </c>
    </row>
    <row r="875" spans="1:36" hidden="1" x14ac:dyDescent="0.45">
      <c r="B875" s="514" t="s">
        <v>1453</v>
      </c>
      <c r="C875" s="515"/>
      <c r="D875" s="515"/>
      <c r="E875" s="515"/>
      <c r="F875" s="516"/>
      <c r="G875" s="890" t="str">
        <f>IF(CHOORData!T52=0,"",CHOORData!T52)</f>
        <v/>
      </c>
      <c r="H875" s="910"/>
      <c r="I875" s="1227">
        <f>CHOORData!AF52</f>
        <v>0</v>
      </c>
      <c r="J875" s="1228"/>
      <c r="K875" s="868">
        <f>CHOORData!AG52</f>
        <v>0</v>
      </c>
      <c r="L875" s="869"/>
      <c r="M875" s="869"/>
      <c r="N875" s="870"/>
      <c r="O875" s="868">
        <f>CHOORData!BC52</f>
        <v>0</v>
      </c>
      <c r="P875" s="869"/>
      <c r="Q875" s="869"/>
      <c r="R875" s="870"/>
      <c r="S875" s="902">
        <f t="shared" si="17"/>
        <v>0</v>
      </c>
      <c r="T875" s="903"/>
      <c r="U875" s="903"/>
      <c r="V875" s="904"/>
      <c r="W875" s="859">
        <f>CHOORData!AH52</f>
        <v>0</v>
      </c>
      <c r="X875" s="860"/>
      <c r="Y875" s="518"/>
      <c r="Z875" s="518"/>
      <c r="AA875" s="518"/>
      <c r="AB875" s="518"/>
      <c r="AC875" s="518"/>
      <c r="AD875" s="518"/>
      <c r="AE875" s="518"/>
      <c r="AF875" s="518"/>
      <c r="AG875" s="518"/>
      <c r="AH875" s="518"/>
      <c r="AJ875" s="595" t="b">
        <f t="shared" si="18"/>
        <v>0</v>
      </c>
    </row>
    <row r="876" spans="1:36" hidden="1" x14ac:dyDescent="0.45">
      <c r="B876" s="514" t="s">
        <v>1454</v>
      </c>
      <c r="C876" s="515"/>
      <c r="D876" s="515"/>
      <c r="E876" s="515"/>
      <c r="F876" s="516"/>
      <c r="G876" s="890" t="str">
        <f>IF(CHOORData!T53=0,"",CHOORData!T53)</f>
        <v/>
      </c>
      <c r="H876" s="910"/>
      <c r="I876" s="1227">
        <f>CHOORData!AF53</f>
        <v>0</v>
      </c>
      <c r="J876" s="1228"/>
      <c r="K876" s="868">
        <f>CHOORData!AG53</f>
        <v>0</v>
      </c>
      <c r="L876" s="869"/>
      <c r="M876" s="869"/>
      <c r="N876" s="870"/>
      <c r="O876" s="868">
        <f>CHOORData!BC53</f>
        <v>0</v>
      </c>
      <c r="P876" s="869"/>
      <c r="Q876" s="869"/>
      <c r="R876" s="870"/>
      <c r="S876" s="902">
        <f t="shared" si="17"/>
        <v>0</v>
      </c>
      <c r="T876" s="903"/>
      <c r="U876" s="903"/>
      <c r="V876" s="904"/>
      <c r="W876" s="859">
        <f>CHOORData!AH53</f>
        <v>0</v>
      </c>
      <c r="X876" s="860"/>
      <c r="Y876" s="518"/>
      <c r="Z876" s="518"/>
      <c r="AA876" s="518"/>
      <c r="AB876" s="518"/>
      <c r="AC876" s="518"/>
      <c r="AD876" s="518"/>
      <c r="AE876" s="518"/>
      <c r="AF876" s="518"/>
      <c r="AG876" s="518"/>
      <c r="AH876" s="518"/>
      <c r="AJ876" s="595" t="b">
        <f t="shared" si="18"/>
        <v>0</v>
      </c>
    </row>
    <row r="877" spans="1:36" hidden="1" x14ac:dyDescent="0.45">
      <c r="B877" s="514" t="s">
        <v>1455</v>
      </c>
      <c r="C877" s="515"/>
      <c r="D877" s="515"/>
      <c r="E877" s="515"/>
      <c r="F877" s="516"/>
      <c r="G877" s="890" t="str">
        <f>IF(CHOORData!T54=0,"",CHOORData!T54)</f>
        <v/>
      </c>
      <c r="H877" s="910"/>
      <c r="I877" s="1227">
        <f>CHOORData!AF54</f>
        <v>0</v>
      </c>
      <c r="J877" s="1228"/>
      <c r="K877" s="868">
        <f>CHOORData!AG54</f>
        <v>0</v>
      </c>
      <c r="L877" s="869"/>
      <c r="M877" s="869"/>
      <c r="N877" s="870"/>
      <c r="O877" s="868">
        <f>CHOORData!BC54</f>
        <v>0</v>
      </c>
      <c r="P877" s="869"/>
      <c r="Q877" s="869"/>
      <c r="R877" s="870"/>
      <c r="S877" s="902">
        <f t="shared" si="17"/>
        <v>0</v>
      </c>
      <c r="T877" s="903"/>
      <c r="U877" s="903"/>
      <c r="V877" s="904"/>
      <c r="W877" s="859">
        <f>CHOORData!AH54</f>
        <v>0</v>
      </c>
      <c r="X877" s="860"/>
      <c r="Y877" s="518"/>
      <c r="Z877" s="518"/>
      <c r="AA877" s="518"/>
      <c r="AB877" s="518"/>
      <c r="AC877" s="518"/>
      <c r="AD877" s="518"/>
      <c r="AE877" s="518"/>
      <c r="AF877" s="518"/>
      <c r="AG877" s="518"/>
      <c r="AH877" s="518"/>
      <c r="AJ877" s="595" t="b">
        <f t="shared" si="18"/>
        <v>0</v>
      </c>
    </row>
    <row r="878" spans="1:36" hidden="1" x14ac:dyDescent="0.45">
      <c r="B878" s="514" t="s">
        <v>1456</v>
      </c>
      <c r="C878" s="515"/>
      <c r="D878" s="515"/>
      <c r="E878" s="515"/>
      <c r="F878" s="516"/>
      <c r="G878" s="890" t="str">
        <f>IF(CHOORData!T55=0,"",CHOORData!T55)</f>
        <v/>
      </c>
      <c r="H878" s="910"/>
      <c r="I878" s="1227">
        <f>CHOORData!AF55</f>
        <v>0</v>
      </c>
      <c r="J878" s="1228"/>
      <c r="K878" s="868">
        <f>CHOORData!AG55</f>
        <v>0</v>
      </c>
      <c r="L878" s="869"/>
      <c r="M878" s="869"/>
      <c r="N878" s="870"/>
      <c r="O878" s="868">
        <f>CHOORData!BC55</f>
        <v>0</v>
      </c>
      <c r="P878" s="869"/>
      <c r="Q878" s="869"/>
      <c r="R878" s="870"/>
      <c r="S878" s="902">
        <f t="shared" si="17"/>
        <v>0</v>
      </c>
      <c r="T878" s="903"/>
      <c r="U878" s="903"/>
      <c r="V878" s="904"/>
      <c r="W878" s="859">
        <f>CHOORData!AH55</f>
        <v>0</v>
      </c>
      <c r="X878" s="860"/>
      <c r="Y878" s="518"/>
      <c r="Z878" s="518"/>
      <c r="AA878" s="518"/>
      <c r="AB878" s="518"/>
      <c r="AC878" s="518"/>
      <c r="AD878" s="518"/>
      <c r="AE878" s="518"/>
      <c r="AF878" s="518"/>
      <c r="AG878" s="518"/>
      <c r="AH878" s="518"/>
      <c r="AJ878" s="595" t="b">
        <f t="shared" si="18"/>
        <v>0</v>
      </c>
    </row>
    <row r="879" spans="1:36" hidden="1" x14ac:dyDescent="0.45">
      <c r="B879" s="514" t="s">
        <v>1457</v>
      </c>
      <c r="C879" s="515"/>
      <c r="D879" s="515"/>
      <c r="E879" s="515"/>
      <c r="F879" s="516"/>
      <c r="G879" s="890" t="str">
        <f>IF(CHOORData!T56=0,"",CHOORData!T56)</f>
        <v/>
      </c>
      <c r="H879" s="910"/>
      <c r="I879" s="1227">
        <f>CHOORData!AF56</f>
        <v>0</v>
      </c>
      <c r="J879" s="1228"/>
      <c r="K879" s="868">
        <f>CHOORData!AG56</f>
        <v>0</v>
      </c>
      <c r="L879" s="869"/>
      <c r="M879" s="869"/>
      <c r="N879" s="870"/>
      <c r="O879" s="868">
        <f>CHOORData!BC56</f>
        <v>0</v>
      </c>
      <c r="P879" s="869"/>
      <c r="Q879" s="869"/>
      <c r="R879" s="870"/>
      <c r="S879" s="902">
        <f t="shared" si="17"/>
        <v>0</v>
      </c>
      <c r="T879" s="903"/>
      <c r="U879" s="903"/>
      <c r="V879" s="904"/>
      <c r="W879" s="859">
        <f>CHOORData!AH56</f>
        <v>0</v>
      </c>
      <c r="X879" s="860"/>
      <c r="Y879" s="518"/>
      <c r="Z879" s="518"/>
      <c r="AA879" s="518"/>
      <c r="AB879" s="518"/>
      <c r="AC879" s="518"/>
      <c r="AD879" s="518"/>
      <c r="AE879" s="518"/>
      <c r="AF879" s="518"/>
      <c r="AG879" s="518"/>
      <c r="AH879" s="518"/>
      <c r="AJ879" s="595" t="b">
        <f t="shared" si="18"/>
        <v>0</v>
      </c>
    </row>
    <row r="880" spans="1:36" hidden="1" x14ac:dyDescent="0.45">
      <c r="B880" s="514" t="s">
        <v>1458</v>
      </c>
      <c r="C880" s="515"/>
      <c r="D880" s="515"/>
      <c r="E880" s="515"/>
      <c r="F880" s="516"/>
      <c r="G880" s="890" t="str">
        <f>IF(CHOORData!T57=0,"",CHOORData!T57)</f>
        <v/>
      </c>
      <c r="H880" s="910"/>
      <c r="I880" s="1227">
        <f>CHOORData!AF57</f>
        <v>0</v>
      </c>
      <c r="J880" s="1228"/>
      <c r="K880" s="868">
        <f>CHOORData!AG57</f>
        <v>0</v>
      </c>
      <c r="L880" s="869"/>
      <c r="M880" s="869"/>
      <c r="N880" s="870"/>
      <c r="O880" s="868">
        <f>CHOORData!BC57</f>
        <v>0</v>
      </c>
      <c r="P880" s="869"/>
      <c r="Q880" s="869"/>
      <c r="R880" s="870"/>
      <c r="S880" s="902">
        <f t="shared" si="17"/>
        <v>0</v>
      </c>
      <c r="T880" s="903"/>
      <c r="U880" s="903"/>
      <c r="V880" s="904"/>
      <c r="W880" s="859">
        <f>CHOORData!AH57</f>
        <v>0</v>
      </c>
      <c r="X880" s="860"/>
      <c r="Y880" s="518"/>
      <c r="Z880" s="518"/>
      <c r="AA880" s="518"/>
      <c r="AB880" s="518"/>
      <c r="AC880" s="518"/>
      <c r="AD880" s="518"/>
      <c r="AE880" s="518"/>
      <c r="AF880" s="518"/>
      <c r="AG880" s="518"/>
      <c r="AH880" s="518"/>
      <c r="AJ880" s="595" t="b">
        <f t="shared" si="18"/>
        <v>0</v>
      </c>
    </row>
    <row r="881" spans="1:36" hidden="1" x14ac:dyDescent="0.45">
      <c r="B881" s="514" t="s">
        <v>1459</v>
      </c>
      <c r="C881" s="515"/>
      <c r="D881" s="515"/>
      <c r="E881" s="515"/>
      <c r="F881" s="516"/>
      <c r="G881" s="890" t="str">
        <f>IF(CHOORData!T58=0,"",CHOORData!T58)</f>
        <v/>
      </c>
      <c r="H881" s="910"/>
      <c r="I881" s="1227">
        <f>CHOORData!AF58</f>
        <v>0</v>
      </c>
      <c r="J881" s="1228"/>
      <c r="K881" s="868">
        <f>CHOORData!AG58</f>
        <v>0</v>
      </c>
      <c r="L881" s="869"/>
      <c r="M881" s="869"/>
      <c r="N881" s="870"/>
      <c r="O881" s="868">
        <f>CHOORData!BC58</f>
        <v>0</v>
      </c>
      <c r="P881" s="869"/>
      <c r="Q881" s="869"/>
      <c r="R881" s="870"/>
      <c r="S881" s="902">
        <f t="shared" si="17"/>
        <v>0</v>
      </c>
      <c r="T881" s="903"/>
      <c r="U881" s="903"/>
      <c r="V881" s="904"/>
      <c r="W881" s="859">
        <f>CHOORData!AH58</f>
        <v>0</v>
      </c>
      <c r="X881" s="860"/>
      <c r="Y881" s="518"/>
      <c r="Z881" s="518"/>
      <c r="AA881" s="518"/>
      <c r="AB881" s="518"/>
      <c r="AC881" s="518"/>
      <c r="AD881" s="518"/>
      <c r="AE881" s="518"/>
      <c r="AF881" s="518"/>
      <c r="AG881" s="518"/>
      <c r="AH881" s="518"/>
      <c r="AJ881" s="595" t="b">
        <f t="shared" si="18"/>
        <v>0</v>
      </c>
    </row>
    <row r="882" spans="1:36" hidden="1" x14ac:dyDescent="0.45">
      <c r="A882" s="518"/>
      <c r="B882" s="514" t="s">
        <v>1460</v>
      </c>
      <c r="C882" s="515"/>
      <c r="D882" s="515"/>
      <c r="E882" s="515"/>
      <c r="F882" s="516"/>
      <c r="G882" s="890" t="str">
        <f>IF(CHOORData!T59=0,"",CHOORData!T59)</f>
        <v/>
      </c>
      <c r="H882" s="910"/>
      <c r="I882" s="1227">
        <f>CHOORData!AF59</f>
        <v>0</v>
      </c>
      <c r="J882" s="1228"/>
      <c r="K882" s="868">
        <f>CHOORData!AG59</f>
        <v>0</v>
      </c>
      <c r="L882" s="869"/>
      <c r="M882" s="869"/>
      <c r="N882" s="870"/>
      <c r="O882" s="868">
        <f>CHOORData!BC59</f>
        <v>0</v>
      </c>
      <c r="P882" s="869"/>
      <c r="Q882" s="869"/>
      <c r="R882" s="870"/>
      <c r="S882" s="902">
        <f t="shared" si="17"/>
        <v>0</v>
      </c>
      <c r="T882" s="903"/>
      <c r="U882" s="903"/>
      <c r="V882" s="904"/>
      <c r="W882" s="859">
        <f>CHOORData!AH59</f>
        <v>0</v>
      </c>
      <c r="X882" s="860"/>
      <c r="Y882" s="518"/>
      <c r="Z882" s="518"/>
      <c r="AA882" s="518"/>
      <c r="AB882" s="518"/>
      <c r="AC882" s="518"/>
      <c r="AD882" s="518"/>
      <c r="AE882" s="518"/>
      <c r="AF882" s="518"/>
      <c r="AG882" s="518"/>
      <c r="AH882" s="518"/>
      <c r="AJ882" s="595" t="b">
        <f t="shared" si="18"/>
        <v>0</v>
      </c>
    </row>
    <row r="883" spans="1:36" hidden="1" x14ac:dyDescent="0.45">
      <c r="A883" s="518"/>
      <c r="B883" s="514" t="s">
        <v>1461</v>
      </c>
      <c r="C883" s="515"/>
      <c r="D883" s="515"/>
      <c r="E883" s="515"/>
      <c r="F883" s="516"/>
      <c r="G883" s="890" t="str">
        <f>IF(CHOORData!T60=0,"",CHOORData!T60)</f>
        <v/>
      </c>
      <c r="H883" s="910"/>
      <c r="I883" s="1227">
        <f>CHOORData!AF60</f>
        <v>0</v>
      </c>
      <c r="J883" s="1228"/>
      <c r="K883" s="868">
        <f>CHOORData!AG60</f>
        <v>0</v>
      </c>
      <c r="L883" s="869"/>
      <c r="M883" s="869"/>
      <c r="N883" s="870"/>
      <c r="O883" s="868">
        <f>CHOORData!BC60</f>
        <v>0</v>
      </c>
      <c r="P883" s="869"/>
      <c r="Q883" s="869"/>
      <c r="R883" s="870"/>
      <c r="S883" s="902">
        <f t="shared" si="17"/>
        <v>0</v>
      </c>
      <c r="T883" s="903"/>
      <c r="U883" s="903"/>
      <c r="V883" s="904"/>
      <c r="W883" s="859">
        <f>CHOORData!AH60</f>
        <v>0</v>
      </c>
      <c r="X883" s="860"/>
      <c r="Y883" s="518"/>
      <c r="Z883" s="518"/>
      <c r="AA883" s="518"/>
      <c r="AB883" s="518"/>
      <c r="AC883" s="518"/>
      <c r="AD883" s="518"/>
      <c r="AE883" s="518"/>
      <c r="AF883" s="518"/>
      <c r="AG883" s="518"/>
      <c r="AH883" s="518"/>
      <c r="AJ883" s="595" t="b">
        <f t="shared" si="18"/>
        <v>0</v>
      </c>
    </row>
    <row r="884" spans="1:36" hidden="1" x14ac:dyDescent="0.45">
      <c r="A884" s="518"/>
      <c r="B884" s="518"/>
      <c r="C884" s="518"/>
      <c r="D884" s="518"/>
      <c r="E884" s="518"/>
      <c r="F884" s="518"/>
      <c r="G884" s="518"/>
      <c r="H884" s="518"/>
      <c r="I884" s="518"/>
      <c r="J884" s="518"/>
      <c r="K884" s="518"/>
      <c r="L884" s="518"/>
      <c r="M884" s="518"/>
      <c r="N884" s="518"/>
      <c r="O884" s="518"/>
      <c r="P884" s="518"/>
      <c r="Q884" s="518"/>
      <c r="R884" s="518"/>
      <c r="S884" s="518"/>
      <c r="T884" s="518"/>
      <c r="U884" s="518"/>
      <c r="V884" s="518"/>
      <c r="W884" s="518"/>
      <c r="X884" s="518"/>
      <c r="Y884" s="518"/>
      <c r="Z884" s="518"/>
      <c r="AA884" s="518"/>
      <c r="AB884" s="518"/>
      <c r="AC884" s="518"/>
      <c r="AD884" s="518"/>
      <c r="AE884" s="518"/>
      <c r="AF884" s="518"/>
      <c r="AG884" s="518"/>
      <c r="AH884" s="518"/>
      <c r="AJ884" s="595" t="b">
        <f>AJ819</f>
        <v>0</v>
      </c>
    </row>
    <row r="885" spans="1:36" hidden="1" x14ac:dyDescent="0.45">
      <c r="A885" s="518"/>
      <c r="B885" s="911" t="s">
        <v>173</v>
      </c>
      <c r="C885" s="912"/>
      <c r="D885" s="912"/>
      <c r="E885" s="912"/>
      <c r="F885" s="912"/>
      <c r="G885" s="912"/>
      <c r="H885" s="913">
        <f>CH_OOR_ManufacturedTotalRequested</f>
        <v>0</v>
      </c>
      <c r="I885" s="914"/>
      <c r="J885" s="914"/>
      <c r="K885" s="914"/>
      <c r="L885" s="914"/>
      <c r="M885" s="914"/>
      <c r="N885" s="915"/>
      <c r="O885" s="518"/>
      <c r="P885" s="518"/>
      <c r="Q885" s="518"/>
      <c r="R885" s="518"/>
      <c r="S885" s="518"/>
      <c r="T885" s="518"/>
      <c r="U885" s="518"/>
      <c r="V885" s="518"/>
      <c r="W885" s="518"/>
      <c r="X885" s="518"/>
      <c r="Y885" s="518"/>
      <c r="Z885" s="518"/>
      <c r="AA885" s="518"/>
      <c r="AB885" s="518"/>
      <c r="AC885" s="518"/>
      <c r="AD885" s="518"/>
      <c r="AE885" s="518"/>
      <c r="AF885" s="518"/>
      <c r="AG885" s="518"/>
      <c r="AH885" s="518"/>
      <c r="AJ885" s="595"/>
    </row>
    <row r="886" spans="1:36" hidden="1" x14ac:dyDescent="0.45">
      <c r="A886" s="518"/>
      <c r="B886" s="518"/>
      <c r="C886" s="518"/>
      <c r="D886" s="518"/>
      <c r="E886" s="518"/>
      <c r="F886" s="518"/>
      <c r="G886" s="518"/>
      <c r="H886" s="518"/>
      <c r="I886" s="518"/>
      <c r="J886" s="518"/>
      <c r="K886" s="518"/>
      <c r="L886" s="518"/>
      <c r="M886" s="518"/>
      <c r="N886" s="518"/>
      <c r="O886" s="518"/>
      <c r="P886" s="518"/>
      <c r="Q886" s="518"/>
      <c r="R886" s="518"/>
      <c r="S886" s="518"/>
      <c r="T886" s="518"/>
      <c r="U886" s="518"/>
      <c r="V886" s="518"/>
      <c r="W886" s="518"/>
      <c r="X886" s="518"/>
      <c r="Y886" s="518"/>
      <c r="Z886" s="518"/>
      <c r="AA886" s="518"/>
      <c r="AB886" s="518"/>
      <c r="AC886" s="518"/>
      <c r="AD886" s="518"/>
      <c r="AE886" s="518"/>
      <c r="AF886" s="518"/>
      <c r="AG886" s="518"/>
      <c r="AH886" s="518"/>
      <c r="AJ886" s="595"/>
    </row>
    <row r="887" spans="1:36" hidden="1" x14ac:dyDescent="0.45">
      <c r="A887" s="518"/>
      <c r="B887" s="532" t="s">
        <v>1854</v>
      </c>
      <c r="C887" s="532"/>
      <c r="D887" s="532"/>
      <c r="E887" s="532"/>
      <c r="F887" s="532"/>
      <c r="G887" s="532"/>
      <c r="H887" s="532"/>
      <c r="I887" s="532"/>
      <c r="J887" s="532"/>
      <c r="K887" s="532"/>
      <c r="L887" s="532"/>
      <c r="M887" s="532"/>
      <c r="N887" s="532"/>
      <c r="O887" s="532"/>
      <c r="P887" s="532"/>
      <c r="Q887" s="532"/>
      <c r="R887" s="518"/>
      <c r="S887" s="518"/>
      <c r="T887" s="518"/>
      <c r="U887" s="518"/>
      <c r="V887" s="518"/>
      <c r="W887" s="518"/>
      <c r="X887" s="518"/>
      <c r="Y887" s="518"/>
      <c r="Z887" s="518"/>
      <c r="AA887" s="518"/>
      <c r="AB887" s="518"/>
      <c r="AC887" s="518"/>
      <c r="AD887" s="518"/>
      <c r="AE887" s="518"/>
      <c r="AF887" s="518"/>
      <c r="AG887" s="518"/>
      <c r="AH887" s="518"/>
      <c r="AJ887" s="595"/>
    </row>
    <row r="888" spans="1:36" hidden="1" x14ac:dyDescent="0.45">
      <c r="A888" s="518"/>
      <c r="B888" s="877" t="s">
        <v>174</v>
      </c>
      <c r="C888" s="877"/>
      <c r="D888" s="877"/>
      <c r="E888" s="877"/>
      <c r="F888" s="877"/>
      <c r="G888" s="877"/>
      <c r="H888" s="877"/>
      <c r="I888" s="877"/>
      <c r="J888" s="877"/>
      <c r="K888" s="877"/>
      <c r="L888" s="877"/>
      <c r="M888" s="877"/>
      <c r="N888" s="877"/>
      <c r="O888" s="878"/>
      <c r="P888" s="879"/>
      <c r="Q888" s="880"/>
      <c r="R888" s="518"/>
      <c r="S888" s="518"/>
      <c r="T888" s="518"/>
      <c r="U888" s="518"/>
      <c r="V888" s="518"/>
      <c r="W888" s="518"/>
      <c r="X888" s="518"/>
      <c r="Y888" s="518"/>
      <c r="Z888" s="518"/>
      <c r="AA888" s="518"/>
      <c r="AB888" s="518"/>
      <c r="AC888" s="518"/>
      <c r="AD888" s="518"/>
      <c r="AE888" s="518"/>
      <c r="AF888" s="518"/>
      <c r="AG888" s="518"/>
      <c r="AH888" s="518"/>
      <c r="AJ888" s="595"/>
    </row>
    <row r="889" spans="1:36" hidden="1" x14ac:dyDescent="0.45">
      <c r="A889" s="518"/>
      <c r="B889" s="877" t="s">
        <v>175</v>
      </c>
      <c r="C889" s="877"/>
      <c r="D889" s="877"/>
      <c r="E889" s="877"/>
      <c r="F889" s="877"/>
      <c r="G889" s="877"/>
      <c r="H889" s="877"/>
      <c r="I889" s="877"/>
      <c r="J889" s="877"/>
      <c r="K889" s="877"/>
      <c r="L889" s="877"/>
      <c r="M889" s="877"/>
      <c r="N889" s="877"/>
      <c r="O889" s="878" t="str">
        <f>IF(CH_OOR_ManufacturedCommunityNeedPoints=0,"",CH_OOR_ManufacturedCommunityNeedPoints)</f>
        <v/>
      </c>
      <c r="P889" s="879"/>
      <c r="Q889" s="880"/>
      <c r="R889" s="518"/>
      <c r="S889" s="518"/>
      <c r="T889" s="518"/>
      <c r="U889" s="518"/>
      <c r="V889" s="518"/>
      <c r="W889" s="518"/>
      <c r="X889" s="518"/>
      <c r="Y889" s="518"/>
      <c r="Z889" s="518"/>
      <c r="AA889" s="518"/>
      <c r="AB889" s="518"/>
      <c r="AC889" s="518"/>
      <c r="AD889" s="518"/>
      <c r="AE889" s="518"/>
      <c r="AF889" s="518"/>
      <c r="AG889" s="518"/>
      <c r="AH889" s="518"/>
      <c r="AJ889" s="595"/>
    </row>
    <row r="890" spans="1:36" hidden="1" x14ac:dyDescent="0.45">
      <c r="A890" s="518"/>
      <c r="B890" s="877" t="s">
        <v>176</v>
      </c>
      <c r="C890" s="877"/>
      <c r="D890" s="877"/>
      <c r="E890" s="877"/>
      <c r="F890" s="877"/>
      <c r="G890" s="877"/>
      <c r="H890" s="877"/>
      <c r="I890" s="877"/>
      <c r="J890" s="877"/>
      <c r="K890" s="877"/>
      <c r="L890" s="877"/>
      <c r="M890" s="877"/>
      <c r="N890" s="877"/>
      <c r="O890" s="878" t="str">
        <f>IF(CH_OOR_ManufacturedFeasibilityPoints=0,"",CH_OOR_ManufacturedFeasibilityPoints)</f>
        <v/>
      </c>
      <c r="P890" s="879"/>
      <c r="Q890" s="880"/>
      <c r="R890" s="518"/>
      <c r="S890" s="518"/>
      <c r="T890" s="518"/>
      <c r="U890" s="518"/>
      <c r="V890" s="518"/>
      <c r="W890" s="518"/>
      <c r="X890" s="518"/>
      <c r="Y890" s="518"/>
      <c r="Z890" s="518"/>
      <c r="AA890" s="518"/>
      <c r="AB890" s="518"/>
      <c r="AC890" s="518"/>
      <c r="AD890" s="518"/>
      <c r="AE890" s="518"/>
      <c r="AF890" s="518"/>
      <c r="AG890" s="518"/>
      <c r="AH890" s="518"/>
      <c r="AJ890" s="595"/>
    </row>
    <row r="891" spans="1:36" hidden="1" x14ac:dyDescent="0.45">
      <c r="A891" s="518"/>
      <c r="B891" s="877" t="s">
        <v>177</v>
      </c>
      <c r="C891" s="877"/>
      <c r="D891" s="877"/>
      <c r="E891" s="877"/>
      <c r="F891" s="877"/>
      <c r="G891" s="877"/>
      <c r="H891" s="877"/>
      <c r="I891" s="877"/>
      <c r="J891" s="877"/>
      <c r="K891" s="877"/>
      <c r="L891" s="877"/>
      <c r="M891" s="877"/>
      <c r="N891" s="877"/>
      <c r="O891" s="878" t="str">
        <f>IF(CH_OOR_ManufacturedRevitalizationPoints=0,"",CH_OOR_ManufacturedRevitalizationPoints)</f>
        <v/>
      </c>
      <c r="P891" s="879"/>
      <c r="Q891" s="880"/>
      <c r="R891" s="518"/>
      <c r="S891" s="518"/>
      <c r="T891" s="518"/>
      <c r="U891" s="518"/>
      <c r="V891" s="518"/>
      <c r="W891" s="518"/>
      <c r="X891" s="518"/>
      <c r="Y891" s="518"/>
      <c r="Z891" s="518"/>
      <c r="AA891" s="518"/>
      <c r="AB891" s="518"/>
      <c r="AC891" s="518"/>
      <c r="AD891" s="518"/>
      <c r="AE891" s="518"/>
      <c r="AF891" s="518"/>
      <c r="AG891" s="518"/>
      <c r="AH891" s="518"/>
      <c r="AJ891" s="595"/>
    </row>
    <row r="892" spans="1:36" hidden="1" x14ac:dyDescent="0.45">
      <c r="A892" s="518"/>
      <c r="B892" s="881" t="s">
        <v>178</v>
      </c>
      <c r="C892" s="881"/>
      <c r="D892" s="881"/>
      <c r="E892" s="881"/>
      <c r="F892" s="881"/>
      <c r="G892" s="881"/>
      <c r="H892" s="881"/>
      <c r="I892" s="881"/>
      <c r="J892" s="881"/>
      <c r="K892" s="881"/>
      <c r="L892" s="881"/>
      <c r="M892" s="881"/>
      <c r="N892" s="881"/>
      <c r="O892" s="882" t="s">
        <v>195</v>
      </c>
      <c r="P892" s="883"/>
      <c r="Q892" s="884"/>
      <c r="R892" s="518"/>
      <c r="S892" s="518"/>
      <c r="T892" s="518"/>
      <c r="U892" s="518"/>
      <c r="V892" s="518"/>
      <c r="W892" s="518"/>
      <c r="X892" s="518"/>
      <c r="Y892" s="518"/>
      <c r="Z892" s="518"/>
      <c r="AA892" s="518"/>
      <c r="AB892" s="518"/>
      <c r="AC892" s="518"/>
      <c r="AD892" s="518"/>
      <c r="AE892" s="518"/>
      <c r="AF892" s="518"/>
      <c r="AG892" s="518"/>
      <c r="AH892" s="518"/>
      <c r="AJ892" s="595"/>
    </row>
    <row r="893" spans="1:36" hidden="1" x14ac:dyDescent="0.45">
      <c r="A893" s="518"/>
      <c r="B893" s="881" t="s">
        <v>179</v>
      </c>
      <c r="C893" s="881"/>
      <c r="D893" s="881"/>
      <c r="E893" s="881"/>
      <c r="F893" s="881"/>
      <c r="G893" s="881"/>
      <c r="H893" s="881"/>
      <c r="I893" s="881"/>
      <c r="J893" s="881"/>
      <c r="K893" s="881"/>
      <c r="L893" s="881"/>
      <c r="M893" s="881"/>
      <c r="N893" s="881"/>
      <c r="O893" s="882" t="s">
        <v>195</v>
      </c>
      <c r="P893" s="883"/>
      <c r="Q893" s="884"/>
      <c r="R893" s="518"/>
      <c r="S893" s="518"/>
      <c r="T893" s="518"/>
      <c r="U893" s="518"/>
      <c r="V893" s="518"/>
      <c r="W893" s="518"/>
      <c r="X893" s="518"/>
      <c r="Y893" s="518"/>
      <c r="Z893" s="518"/>
      <c r="AA893" s="518"/>
      <c r="AB893" s="518"/>
      <c r="AC893" s="518"/>
      <c r="AD893" s="518"/>
      <c r="AE893" s="518"/>
      <c r="AF893" s="518"/>
      <c r="AG893" s="518"/>
      <c r="AH893" s="518"/>
      <c r="AJ893" s="595"/>
    </row>
    <row r="894" spans="1:36" hidden="1" x14ac:dyDescent="0.45">
      <c r="A894" s="518"/>
      <c r="B894" s="877" t="s">
        <v>180</v>
      </c>
      <c r="C894" s="877"/>
      <c r="D894" s="877"/>
      <c r="E894" s="877"/>
      <c r="F894" s="877"/>
      <c r="G894" s="877"/>
      <c r="H894" s="877"/>
      <c r="I894" s="877"/>
      <c r="J894" s="877"/>
      <c r="K894" s="877"/>
      <c r="L894" s="877"/>
      <c r="M894" s="877"/>
      <c r="N894" s="877"/>
      <c r="O894" s="878"/>
      <c r="P894" s="879"/>
      <c r="Q894" s="880"/>
      <c r="R894" s="518"/>
      <c r="S894" s="518"/>
      <c r="T894" s="518"/>
      <c r="U894" s="518"/>
      <c r="V894" s="518"/>
      <c r="W894" s="518"/>
      <c r="X894" s="518"/>
      <c r="Y894" s="518"/>
      <c r="Z894" s="518"/>
      <c r="AA894" s="518"/>
      <c r="AB894" s="518"/>
      <c r="AC894" s="518"/>
      <c r="AD894" s="518"/>
      <c r="AE894" s="518"/>
      <c r="AF894" s="518"/>
      <c r="AG894" s="518"/>
      <c r="AH894" s="518"/>
      <c r="AJ894" s="595"/>
    </row>
    <row r="895" spans="1:36" hidden="1" x14ac:dyDescent="0.45">
      <c r="A895" s="518"/>
      <c r="B895" s="1225" t="s">
        <v>181</v>
      </c>
      <c r="C895" s="1225"/>
      <c r="D895" s="1225"/>
      <c r="E895" s="1225"/>
      <c r="F895" s="1225"/>
      <c r="G895" s="1225"/>
      <c r="H895" s="1225"/>
      <c r="I895" s="1225"/>
      <c r="J895" s="1225"/>
      <c r="K895" s="1225"/>
      <c r="L895" s="1225"/>
      <c r="M895" s="1225"/>
      <c r="N895" s="1225"/>
      <c r="O895" s="927"/>
      <c r="P895" s="928"/>
      <c r="Q895" s="929"/>
      <c r="R895" s="518"/>
      <c r="S895" s="518"/>
      <c r="T895" s="518"/>
      <c r="U895" s="518"/>
      <c r="V895" s="518"/>
      <c r="W895" s="518"/>
      <c r="X895" s="518"/>
      <c r="Y895" s="518"/>
      <c r="Z895" s="518"/>
      <c r="AA895" s="518"/>
      <c r="AB895" s="518"/>
      <c r="AC895" s="518"/>
      <c r="AD895" s="518"/>
      <c r="AE895" s="518"/>
      <c r="AF895" s="518"/>
      <c r="AG895" s="518"/>
      <c r="AH895" s="518"/>
      <c r="AJ895" s="595"/>
    </row>
    <row r="896" spans="1:36" hidden="1" x14ac:dyDescent="0.45">
      <c r="A896" s="518"/>
      <c r="B896" s="1226" t="s">
        <v>182</v>
      </c>
      <c r="C896" s="1226"/>
      <c r="D896" s="1226"/>
      <c r="E896" s="1226"/>
      <c r="F896" s="1226"/>
      <c r="G896" s="1226"/>
      <c r="H896" s="1226"/>
      <c r="I896" s="1226"/>
      <c r="J896" s="1226"/>
      <c r="K896" s="1226"/>
      <c r="L896" s="1226"/>
      <c r="M896" s="1226"/>
      <c r="N896" s="1226"/>
      <c r="O896" s="878">
        <f>SUM(O888:Q894)-O895</f>
        <v>0</v>
      </c>
      <c r="P896" s="879"/>
      <c r="Q896" s="880"/>
      <c r="R896" s="518"/>
      <c r="S896" s="518"/>
      <c r="T896" s="518"/>
      <c r="U896" s="518"/>
      <c r="V896" s="518"/>
      <c r="W896" s="518"/>
      <c r="X896" s="518"/>
      <c r="Y896" s="518"/>
      <c r="Z896" s="518"/>
      <c r="AA896" s="518"/>
      <c r="AB896" s="518"/>
      <c r="AC896" s="518"/>
      <c r="AD896" s="518"/>
      <c r="AE896" s="518"/>
      <c r="AF896" s="518"/>
      <c r="AG896" s="518"/>
      <c r="AH896" s="518"/>
      <c r="AJ896" s="595"/>
    </row>
    <row r="897" spans="1:36" hidden="1" x14ac:dyDescent="0.45">
      <c r="A897" s="518"/>
      <c r="B897" s="517"/>
      <c r="C897" s="517"/>
      <c r="D897" s="517"/>
      <c r="E897" s="517"/>
      <c r="F897" s="517"/>
      <c r="G897" s="517"/>
      <c r="H897" s="517"/>
      <c r="I897" s="517"/>
      <c r="J897" s="517"/>
      <c r="K897" s="517"/>
      <c r="L897" s="517"/>
      <c r="M897" s="517"/>
      <c r="N897" s="517"/>
      <c r="O897" s="532"/>
      <c r="P897" s="532"/>
      <c r="Q897" s="532"/>
      <c r="R897" s="518"/>
      <c r="S897" s="533"/>
      <c r="T897" s="533"/>
      <c r="U897" s="533"/>
      <c r="V897" s="533"/>
      <c r="W897" s="533"/>
      <c r="X897" s="533"/>
      <c r="Y897" s="533"/>
      <c r="Z897" s="533"/>
      <c r="AA897" s="533"/>
      <c r="AB897" s="533"/>
      <c r="AC897" s="533"/>
      <c r="AD897" s="533"/>
      <c r="AE897" s="533"/>
      <c r="AF897" s="533"/>
      <c r="AG897" s="533"/>
      <c r="AH897" s="518"/>
      <c r="AJ897" s="595"/>
    </row>
    <row r="898" spans="1:36" ht="200.15" hidden="1" customHeight="1" x14ac:dyDescent="0.45">
      <c r="A898" s="518"/>
      <c r="B898" s="926" t="s">
        <v>183</v>
      </c>
      <c r="C898" s="926"/>
      <c r="D898" s="926"/>
      <c r="E898" s="926"/>
      <c r="F898" s="926"/>
      <c r="G898" s="926"/>
      <c r="H898" s="926"/>
      <c r="I898" s="926"/>
      <c r="J898" s="926"/>
      <c r="K898" s="926"/>
      <c r="L898" s="926"/>
      <c r="M898" s="926"/>
      <c r="N898" s="926"/>
      <c r="O898" s="926"/>
      <c r="P898" s="926"/>
      <c r="Q898" s="926"/>
      <c r="R898" s="926"/>
      <c r="S898" s="926"/>
      <c r="T898" s="926"/>
      <c r="U898" s="926"/>
      <c r="V898" s="926"/>
      <c r="W898" s="926"/>
      <c r="X898" s="926"/>
      <c r="Y898" s="926"/>
      <c r="Z898" s="926"/>
      <c r="AA898" s="926"/>
      <c r="AB898" s="926"/>
      <c r="AC898" s="926"/>
      <c r="AD898" s="926"/>
      <c r="AE898" s="926"/>
      <c r="AF898" s="926"/>
      <c r="AG898" s="926"/>
      <c r="AH898" s="518"/>
      <c r="AJ898" s="595"/>
    </row>
    <row r="899" spans="1:36" hidden="1" x14ac:dyDescent="0.45">
      <c r="A899" s="518"/>
      <c r="B899" s="518"/>
      <c r="C899" s="518"/>
      <c r="D899" s="518"/>
      <c r="E899" s="518"/>
      <c r="F899" s="518"/>
      <c r="G899" s="518"/>
      <c r="H899" s="518"/>
      <c r="I899" s="518"/>
      <c r="J899" s="518"/>
      <c r="K899" s="518"/>
      <c r="L899" s="518"/>
      <c r="M899" s="518"/>
      <c r="N899" s="518"/>
      <c r="O899" s="518"/>
      <c r="P899" s="518"/>
      <c r="Q899" s="518"/>
      <c r="R899" s="518"/>
      <c r="S899" s="518"/>
      <c r="T899" s="518"/>
      <c r="U899" s="518"/>
      <c r="V899" s="518"/>
      <c r="W899" s="518"/>
      <c r="X899" s="518"/>
      <c r="Y899" s="518"/>
      <c r="Z899" s="518"/>
      <c r="AA899" s="518"/>
      <c r="AB899" s="518"/>
      <c r="AC899" s="518"/>
      <c r="AD899" s="518"/>
      <c r="AE899" s="518"/>
      <c r="AF899" s="518"/>
      <c r="AG899" s="518"/>
      <c r="AH899" s="518"/>
      <c r="AJ899" s="595"/>
    </row>
    <row r="900" spans="1:36" hidden="1" x14ac:dyDescent="0.45">
      <c r="A900" s="518"/>
      <c r="B900" s="518"/>
      <c r="C900" s="518"/>
      <c r="D900" s="518"/>
      <c r="E900" s="518"/>
      <c r="F900" s="518"/>
      <c r="G900" s="518"/>
      <c r="H900" s="518"/>
      <c r="I900" s="518"/>
      <c r="J900" s="518"/>
      <c r="K900" s="518"/>
      <c r="L900" s="518"/>
      <c r="M900" s="518"/>
      <c r="N900" s="518"/>
      <c r="O900" s="518"/>
      <c r="P900" s="518"/>
      <c r="Q900" s="518"/>
      <c r="R900" s="518"/>
      <c r="S900" s="518"/>
      <c r="T900" s="518"/>
      <c r="U900" s="518"/>
      <c r="V900" s="518"/>
      <c r="W900" s="518"/>
      <c r="X900" s="518"/>
      <c r="Y900" s="518"/>
      <c r="Z900" s="518"/>
      <c r="AA900" s="518"/>
      <c r="AB900" s="518"/>
      <c r="AC900" s="518"/>
      <c r="AD900" s="518"/>
      <c r="AE900" s="518"/>
      <c r="AF900" s="518"/>
      <c r="AG900" s="518"/>
      <c r="AH900" s="518"/>
      <c r="AJ900" s="595" t="b">
        <f>AND(AJ$696,CH_OOR_RuralTotalRequested&gt;0)</f>
        <v>0</v>
      </c>
    </row>
    <row r="901" spans="1:36" hidden="1" x14ac:dyDescent="0.45">
      <c r="A901" s="518"/>
      <c r="B901" s="923" t="s">
        <v>1858</v>
      </c>
      <c r="C901" s="923"/>
      <c r="D901" s="923"/>
      <c r="E901" s="923"/>
      <c r="F901" s="923"/>
      <c r="G901" s="923"/>
      <c r="H901" s="923"/>
      <c r="I901" s="923"/>
      <c r="J901" s="923"/>
      <c r="K901" s="923"/>
      <c r="L901" s="923"/>
      <c r="M901" s="923"/>
      <c r="N901" s="923"/>
      <c r="O901" s="923"/>
      <c r="P901" s="923"/>
      <c r="Q901" s="923"/>
      <c r="R901" s="923"/>
      <c r="S901" s="923"/>
      <c r="T901" s="923"/>
      <c r="U901" s="923"/>
      <c r="V901" s="923"/>
      <c r="W901" s="923"/>
      <c r="X901" s="923"/>
      <c r="Y901" s="923"/>
      <c r="Z901" s="923"/>
      <c r="AA901" s="923"/>
      <c r="AB901" s="923"/>
      <c r="AC901" s="923"/>
      <c r="AD901" s="923"/>
      <c r="AE901" s="923"/>
      <c r="AF901" s="923"/>
      <c r="AG901" s="923"/>
      <c r="AH901" s="518"/>
      <c r="AJ901" s="595"/>
    </row>
    <row r="902" spans="1:36" hidden="1" x14ac:dyDescent="0.45">
      <c r="A902" s="518"/>
      <c r="B902" s="924" t="s">
        <v>1832</v>
      </c>
      <c r="C902" s="925"/>
      <c r="D902" s="925"/>
      <c r="E902" s="925"/>
      <c r="F902" s="925"/>
      <c r="G902" s="925"/>
      <c r="H902" s="925"/>
      <c r="I902" s="925"/>
      <c r="J902" s="925"/>
      <c r="K902" s="925"/>
      <c r="L902" s="925"/>
      <c r="M902" s="925"/>
      <c r="N902" s="925"/>
      <c r="O902" s="925"/>
      <c r="P902" s="925"/>
      <c r="Q902" s="925"/>
      <c r="R902" s="925"/>
      <c r="S902" s="925"/>
      <c r="T902" s="925"/>
      <c r="U902" s="925"/>
      <c r="V902" s="925"/>
      <c r="W902" s="925"/>
      <c r="X902" s="925"/>
      <c r="Y902" s="925"/>
      <c r="Z902" s="925"/>
      <c r="AA902" s="925"/>
      <c r="AB902" s="925"/>
      <c r="AC902" s="925"/>
      <c r="AD902" s="925"/>
      <c r="AE902" s="925"/>
      <c r="AF902" s="925"/>
      <c r="AG902" s="925"/>
      <c r="AH902" s="518"/>
      <c r="AJ902" s="595"/>
    </row>
    <row r="903" spans="1:36" hidden="1" x14ac:dyDescent="0.45">
      <c r="A903" s="518"/>
      <c r="B903" s="602"/>
      <c r="C903" s="586"/>
      <c r="D903" s="586"/>
      <c r="E903" s="586"/>
      <c r="F903" s="586"/>
      <c r="G903" s="586"/>
      <c r="H903" s="586"/>
      <c r="I903" s="586"/>
      <c r="J903" s="586"/>
      <c r="K903" s="586"/>
      <c r="L903" s="586"/>
      <c r="M903" s="586"/>
      <c r="N903" s="586"/>
      <c r="O903" s="586"/>
      <c r="P903" s="586"/>
      <c r="Q903" s="586"/>
      <c r="R903" s="586"/>
      <c r="S903" s="586"/>
      <c r="T903" s="586"/>
      <c r="U903" s="586"/>
      <c r="V903" s="586"/>
      <c r="W903" s="586"/>
      <c r="X903" s="586"/>
      <c r="Y903" s="586"/>
      <c r="Z903" s="586"/>
      <c r="AA903" s="586"/>
      <c r="AB903" s="586"/>
      <c r="AC903" s="586"/>
      <c r="AD903" s="586"/>
      <c r="AE903" s="586"/>
      <c r="AF903" s="586"/>
      <c r="AG903" s="586"/>
      <c r="AH903" s="518"/>
      <c r="AJ903" s="595"/>
    </row>
    <row r="904" spans="1:36" hidden="1" x14ac:dyDescent="0.45">
      <c r="A904" s="518"/>
      <c r="B904" s="532" t="s">
        <v>1856</v>
      </c>
      <c r="C904" s="518"/>
      <c r="D904" s="518"/>
      <c r="E904" s="518"/>
      <c r="F904" s="518"/>
      <c r="G904" s="518"/>
      <c r="H904" s="518"/>
      <c r="I904" s="518"/>
      <c r="J904" s="518"/>
      <c r="K904" s="518"/>
      <c r="L904" s="518"/>
      <c r="M904" s="518"/>
      <c r="N904" s="518"/>
      <c r="O904" s="518"/>
      <c r="P904" s="518"/>
      <c r="Q904" s="518"/>
      <c r="R904" s="518"/>
      <c r="S904" s="518"/>
      <c r="T904" s="518"/>
      <c r="U904" s="518"/>
      <c r="V904" s="518"/>
      <c r="W904" s="518"/>
      <c r="X904" s="518"/>
      <c r="Y904" s="518"/>
      <c r="Z904" s="518"/>
      <c r="AA904" s="518"/>
      <c r="AB904" s="518"/>
      <c r="AC904" s="518"/>
      <c r="AD904" s="518"/>
      <c r="AE904" s="518"/>
      <c r="AF904" s="518"/>
      <c r="AG904" s="518"/>
      <c r="AH904" s="518"/>
      <c r="AJ904" s="595"/>
    </row>
    <row r="905" spans="1:36" ht="16" hidden="1" customHeight="1" x14ac:dyDescent="0.45">
      <c r="A905" s="518"/>
      <c r="B905" s="862" t="s">
        <v>108</v>
      </c>
      <c r="C905" s="863"/>
      <c r="D905" s="863"/>
      <c r="E905" s="863"/>
      <c r="F905" s="892"/>
      <c r="G905" s="872" t="s">
        <v>1487</v>
      </c>
      <c r="H905" s="872"/>
      <c r="I905" s="872" t="s">
        <v>204</v>
      </c>
      <c r="J905" s="872"/>
      <c r="K905" s="872" t="s">
        <v>205</v>
      </c>
      <c r="L905" s="872"/>
      <c r="M905" s="872" t="s">
        <v>206</v>
      </c>
      <c r="N905" s="872"/>
      <c r="O905" s="872" t="s">
        <v>207</v>
      </c>
      <c r="P905" s="872"/>
      <c r="Q905" s="872" t="s">
        <v>110</v>
      </c>
      <c r="R905" s="872"/>
      <c r="S905" s="872"/>
      <c r="T905" s="872"/>
      <c r="U905" s="872" t="s">
        <v>111</v>
      </c>
      <c r="V905" s="872"/>
      <c r="W905" s="872"/>
      <c r="X905" s="872"/>
      <c r="Y905" s="1182" t="s">
        <v>113</v>
      </c>
      <c r="Z905" s="1058"/>
      <c r="AA905" s="1058"/>
      <c r="AB905" s="1059"/>
      <c r="AC905" s="862" t="s">
        <v>114</v>
      </c>
      <c r="AD905" s="863"/>
      <c r="AE905" s="603"/>
      <c r="AF905" s="604"/>
      <c r="AG905" s="569"/>
      <c r="AH905" s="518"/>
      <c r="AJ905" s="595"/>
    </row>
    <row r="906" spans="1:36" hidden="1" x14ac:dyDescent="0.45">
      <c r="A906" s="518"/>
      <c r="B906" s="864"/>
      <c r="C906" s="865"/>
      <c r="D906" s="865"/>
      <c r="E906" s="865"/>
      <c r="F906" s="893"/>
      <c r="G906" s="872"/>
      <c r="H906" s="872"/>
      <c r="I906" s="872"/>
      <c r="J906" s="872"/>
      <c r="K906" s="872"/>
      <c r="L906" s="872"/>
      <c r="M906" s="872"/>
      <c r="N906" s="872"/>
      <c r="O906" s="872"/>
      <c r="P906" s="872"/>
      <c r="Q906" s="872"/>
      <c r="R906" s="872"/>
      <c r="S906" s="872"/>
      <c r="T906" s="872"/>
      <c r="U906" s="872"/>
      <c r="V906" s="872"/>
      <c r="W906" s="872"/>
      <c r="X906" s="872"/>
      <c r="Y906" s="1060"/>
      <c r="Z906" s="1061"/>
      <c r="AA906" s="1061"/>
      <c r="AB906" s="1062"/>
      <c r="AC906" s="864"/>
      <c r="AD906" s="865"/>
      <c r="AE906" s="603"/>
      <c r="AF906" s="604"/>
      <c r="AG906" s="569"/>
      <c r="AH906" s="518"/>
      <c r="AJ906" s="595"/>
    </row>
    <row r="907" spans="1:36" ht="16" hidden="1" customHeight="1" x14ac:dyDescent="0.45">
      <c r="A907" s="518"/>
      <c r="B907" s="514" t="s">
        <v>1405</v>
      </c>
      <c r="C907" s="530"/>
      <c r="D907" s="530"/>
      <c r="E907" s="530"/>
      <c r="F907" s="534"/>
      <c r="G907" s="885" t="str">
        <f>IF(CHOORData!T3=0,"",CHOORData!T3)</f>
        <v/>
      </c>
      <c r="H907" s="885"/>
      <c r="I907" s="941">
        <f>CHOORData!AL3</f>
        <v>0</v>
      </c>
      <c r="J907" s="942"/>
      <c r="K907" s="941">
        <f>CHOORData!AM3</f>
        <v>0</v>
      </c>
      <c r="L907" s="942"/>
      <c r="M907" s="941">
        <f>CHOORData!AN3</f>
        <v>0</v>
      </c>
      <c r="N907" s="942"/>
      <c r="O907" s="941">
        <f>CHOORData!AO3</f>
        <v>0</v>
      </c>
      <c r="P907" s="942"/>
      <c r="Q907" s="868">
        <f>CHOORData!AP3</f>
        <v>0</v>
      </c>
      <c r="R907" s="869"/>
      <c r="S907" s="869"/>
      <c r="T907" s="870"/>
      <c r="U907" s="868">
        <f>CHOORData!BE3</f>
        <v>0</v>
      </c>
      <c r="V907" s="869"/>
      <c r="W907" s="869"/>
      <c r="X907" s="870"/>
      <c r="Y907" s="868">
        <f>SUM(Q907:X907)</f>
        <v>0</v>
      </c>
      <c r="Z907" s="869"/>
      <c r="AA907" s="869"/>
      <c r="AB907" s="870"/>
      <c r="AC907" s="866">
        <f>CHOORData!AQ3</f>
        <v>0</v>
      </c>
      <c r="AD907" s="900"/>
      <c r="AE907" s="619"/>
      <c r="AF907" s="610"/>
      <c r="AG907" s="588"/>
      <c r="AH907" s="518"/>
      <c r="AJ907" s="595" t="b">
        <f>AND(AJ$900,Y907&gt;0)</f>
        <v>0</v>
      </c>
    </row>
    <row r="908" spans="1:36" ht="16" hidden="1" customHeight="1" x14ac:dyDescent="0.45">
      <c r="A908" s="518"/>
      <c r="B908" s="514" t="s">
        <v>1406</v>
      </c>
      <c r="C908" s="530"/>
      <c r="D908" s="530"/>
      <c r="E908" s="530"/>
      <c r="F908" s="534"/>
      <c r="G908" s="885" t="str">
        <f>IF(CHOORData!T4=0,"",CHOORData!T4)</f>
        <v/>
      </c>
      <c r="H908" s="885"/>
      <c r="I908" s="941">
        <f>CHOORData!AL4</f>
        <v>0</v>
      </c>
      <c r="J908" s="942"/>
      <c r="K908" s="941">
        <f>CHOORData!AM4</f>
        <v>0</v>
      </c>
      <c r="L908" s="942"/>
      <c r="M908" s="941">
        <f>CHOORData!AN4</f>
        <v>0</v>
      </c>
      <c r="N908" s="942"/>
      <c r="O908" s="941">
        <f>CHOORData!AO4</f>
        <v>0</v>
      </c>
      <c r="P908" s="942"/>
      <c r="Q908" s="868">
        <f>CHOORData!AP4</f>
        <v>0</v>
      </c>
      <c r="R908" s="869"/>
      <c r="S908" s="869"/>
      <c r="T908" s="870"/>
      <c r="U908" s="868">
        <f>CHOORData!BE4</f>
        <v>0</v>
      </c>
      <c r="V908" s="869"/>
      <c r="W908" s="869"/>
      <c r="X908" s="870"/>
      <c r="Y908" s="868">
        <f t="shared" ref="Y908:Y964" si="19">SUM(Q908:X908)</f>
        <v>0</v>
      </c>
      <c r="Z908" s="869"/>
      <c r="AA908" s="869"/>
      <c r="AB908" s="870"/>
      <c r="AC908" s="866">
        <f>CHOORData!AQ4</f>
        <v>0</v>
      </c>
      <c r="AD908" s="900"/>
      <c r="AE908" s="619"/>
      <c r="AF908" s="610"/>
      <c r="AG908" s="588"/>
      <c r="AH908" s="518"/>
      <c r="AJ908" s="595" t="b">
        <f t="shared" ref="AJ908:AJ964" si="20">AND(AJ$900,Y908&gt;0)</f>
        <v>0</v>
      </c>
    </row>
    <row r="909" spans="1:36" ht="16" hidden="1" customHeight="1" x14ac:dyDescent="0.45">
      <c r="A909" s="518"/>
      <c r="B909" s="514" t="s">
        <v>1407</v>
      </c>
      <c r="C909" s="530"/>
      <c r="D909" s="530"/>
      <c r="E909" s="530"/>
      <c r="F909" s="534"/>
      <c r="G909" s="885" t="str">
        <f>IF(CHOORData!T5=0,"",CHOORData!T5)</f>
        <v/>
      </c>
      <c r="H909" s="885"/>
      <c r="I909" s="941">
        <f>CHOORData!AL5</f>
        <v>0</v>
      </c>
      <c r="J909" s="942"/>
      <c r="K909" s="941">
        <f>CHOORData!AM5</f>
        <v>0</v>
      </c>
      <c r="L909" s="942"/>
      <c r="M909" s="941">
        <f>CHOORData!AN5</f>
        <v>0</v>
      </c>
      <c r="N909" s="942"/>
      <c r="O909" s="941">
        <f>CHOORData!AO5</f>
        <v>0</v>
      </c>
      <c r="P909" s="942"/>
      <c r="Q909" s="868">
        <f>CHOORData!AP5</f>
        <v>0</v>
      </c>
      <c r="R909" s="869"/>
      <c r="S909" s="869"/>
      <c r="T909" s="870"/>
      <c r="U909" s="868">
        <f>CHOORData!BE5</f>
        <v>0</v>
      </c>
      <c r="V909" s="869"/>
      <c r="W909" s="869"/>
      <c r="X909" s="870"/>
      <c r="Y909" s="868">
        <f t="shared" si="19"/>
        <v>0</v>
      </c>
      <c r="Z909" s="869"/>
      <c r="AA909" s="869"/>
      <c r="AB909" s="870"/>
      <c r="AC909" s="866">
        <f>CHOORData!AQ5</f>
        <v>0</v>
      </c>
      <c r="AD909" s="900"/>
      <c r="AE909" s="619"/>
      <c r="AF909" s="610"/>
      <c r="AG909" s="588"/>
      <c r="AH909" s="518"/>
      <c r="AJ909" s="595" t="b">
        <f t="shared" si="20"/>
        <v>0</v>
      </c>
    </row>
    <row r="910" spans="1:36" ht="16" hidden="1" customHeight="1" x14ac:dyDescent="0.45">
      <c r="A910" s="518"/>
      <c r="B910" s="514" t="s">
        <v>1408</v>
      </c>
      <c r="C910" s="530"/>
      <c r="D910" s="530"/>
      <c r="E910" s="530"/>
      <c r="F910" s="534"/>
      <c r="G910" s="885" t="str">
        <f>IF(CHOORData!T6=0,"",CHOORData!T6)</f>
        <v/>
      </c>
      <c r="H910" s="885"/>
      <c r="I910" s="941">
        <f>CHOORData!AL6</f>
        <v>0</v>
      </c>
      <c r="J910" s="942"/>
      <c r="K910" s="941">
        <f>CHOORData!AM6</f>
        <v>0</v>
      </c>
      <c r="L910" s="942"/>
      <c r="M910" s="941">
        <f>CHOORData!AN6</f>
        <v>0</v>
      </c>
      <c r="N910" s="942"/>
      <c r="O910" s="941">
        <f>CHOORData!AO6</f>
        <v>0</v>
      </c>
      <c r="P910" s="942"/>
      <c r="Q910" s="868">
        <f>CHOORData!AP6</f>
        <v>0</v>
      </c>
      <c r="R910" s="869"/>
      <c r="S910" s="869"/>
      <c r="T910" s="870"/>
      <c r="U910" s="868">
        <f>CHOORData!BE6</f>
        <v>0</v>
      </c>
      <c r="V910" s="869"/>
      <c r="W910" s="869"/>
      <c r="X910" s="870"/>
      <c r="Y910" s="868">
        <f t="shared" si="19"/>
        <v>0</v>
      </c>
      <c r="Z910" s="869"/>
      <c r="AA910" s="869"/>
      <c r="AB910" s="870"/>
      <c r="AC910" s="866">
        <f>CHOORData!AQ6</f>
        <v>0</v>
      </c>
      <c r="AD910" s="900"/>
      <c r="AE910" s="619"/>
      <c r="AF910" s="610"/>
      <c r="AG910" s="588"/>
      <c r="AH910" s="518"/>
      <c r="AJ910" s="595" t="b">
        <f t="shared" si="20"/>
        <v>0</v>
      </c>
    </row>
    <row r="911" spans="1:36" ht="16" hidden="1" customHeight="1" x14ac:dyDescent="0.45">
      <c r="A911" s="518"/>
      <c r="B911" s="514" t="s">
        <v>1409</v>
      </c>
      <c r="C911" s="530"/>
      <c r="D911" s="530"/>
      <c r="E911" s="530"/>
      <c r="F911" s="534"/>
      <c r="G911" s="885" t="str">
        <f>IF(CHOORData!T7=0,"",CHOORData!T7)</f>
        <v/>
      </c>
      <c r="H911" s="885"/>
      <c r="I911" s="941">
        <f>CHOORData!AL7</f>
        <v>0</v>
      </c>
      <c r="J911" s="942"/>
      <c r="K911" s="941">
        <f>CHOORData!AM7</f>
        <v>0</v>
      </c>
      <c r="L911" s="942"/>
      <c r="M911" s="941">
        <f>CHOORData!AN7</f>
        <v>0</v>
      </c>
      <c r="N911" s="942"/>
      <c r="O911" s="941">
        <f>CHOORData!AO7</f>
        <v>0</v>
      </c>
      <c r="P911" s="942"/>
      <c r="Q911" s="868">
        <f>CHOORData!AP7</f>
        <v>0</v>
      </c>
      <c r="R911" s="869"/>
      <c r="S911" s="869"/>
      <c r="T911" s="870"/>
      <c r="U911" s="868">
        <f>CHOORData!BE7</f>
        <v>0</v>
      </c>
      <c r="V911" s="869"/>
      <c r="W911" s="869"/>
      <c r="X911" s="870"/>
      <c r="Y911" s="868">
        <f t="shared" si="19"/>
        <v>0</v>
      </c>
      <c r="Z911" s="869"/>
      <c r="AA911" s="869"/>
      <c r="AB911" s="870"/>
      <c r="AC911" s="866">
        <f>CHOORData!AQ7</f>
        <v>0</v>
      </c>
      <c r="AD911" s="900"/>
      <c r="AE911" s="619"/>
      <c r="AF911" s="610"/>
      <c r="AG911" s="588"/>
      <c r="AH911" s="518"/>
      <c r="AJ911" s="595" t="b">
        <f t="shared" si="20"/>
        <v>0</v>
      </c>
    </row>
    <row r="912" spans="1:36" ht="16" hidden="1" customHeight="1" x14ac:dyDescent="0.45">
      <c r="A912" s="518"/>
      <c r="B912" s="514" t="s">
        <v>1410</v>
      </c>
      <c r="C912" s="530"/>
      <c r="D912" s="530"/>
      <c r="E912" s="530"/>
      <c r="F912" s="534"/>
      <c r="G912" s="885" t="str">
        <f>IF(CHOORData!T8=0,"",CHOORData!T8)</f>
        <v/>
      </c>
      <c r="H912" s="885"/>
      <c r="I912" s="941">
        <f>CHOORData!AL8</f>
        <v>0</v>
      </c>
      <c r="J912" s="942"/>
      <c r="K912" s="941">
        <f>CHOORData!AM8</f>
        <v>0</v>
      </c>
      <c r="L912" s="942"/>
      <c r="M912" s="941">
        <f>CHOORData!AN8</f>
        <v>0</v>
      </c>
      <c r="N912" s="942"/>
      <c r="O912" s="941">
        <f>CHOORData!AO8</f>
        <v>0</v>
      </c>
      <c r="P912" s="942"/>
      <c r="Q912" s="868">
        <f>CHOORData!AP8</f>
        <v>0</v>
      </c>
      <c r="R912" s="869"/>
      <c r="S912" s="869"/>
      <c r="T912" s="870"/>
      <c r="U912" s="868">
        <f>CHOORData!BE8</f>
        <v>0</v>
      </c>
      <c r="V912" s="869"/>
      <c r="W912" s="869"/>
      <c r="X912" s="870"/>
      <c r="Y912" s="868">
        <f t="shared" si="19"/>
        <v>0</v>
      </c>
      <c r="Z912" s="869"/>
      <c r="AA912" s="869"/>
      <c r="AB912" s="870"/>
      <c r="AC912" s="866">
        <f>CHOORData!AQ8</f>
        <v>0</v>
      </c>
      <c r="AD912" s="900"/>
      <c r="AE912" s="619"/>
      <c r="AF912" s="610"/>
      <c r="AG912" s="588"/>
      <c r="AH912" s="518"/>
      <c r="AJ912" s="595" t="b">
        <f t="shared" si="20"/>
        <v>0</v>
      </c>
    </row>
    <row r="913" spans="1:36" ht="16" hidden="1" customHeight="1" x14ac:dyDescent="0.45">
      <c r="A913" s="518"/>
      <c r="B913" s="514" t="s">
        <v>1411</v>
      </c>
      <c r="C913" s="530"/>
      <c r="D913" s="530"/>
      <c r="E913" s="530"/>
      <c r="F913" s="534"/>
      <c r="G913" s="885" t="str">
        <f>IF(CHOORData!T9=0,"",CHOORData!T9)</f>
        <v/>
      </c>
      <c r="H913" s="885"/>
      <c r="I913" s="941">
        <f>CHOORData!AL9</f>
        <v>0</v>
      </c>
      <c r="J913" s="942"/>
      <c r="K913" s="941">
        <f>CHOORData!AM9</f>
        <v>0</v>
      </c>
      <c r="L913" s="942"/>
      <c r="M913" s="941">
        <f>CHOORData!AN9</f>
        <v>0</v>
      </c>
      <c r="N913" s="942"/>
      <c r="O913" s="941">
        <f>CHOORData!AO9</f>
        <v>0</v>
      </c>
      <c r="P913" s="942"/>
      <c r="Q913" s="868">
        <f>CHOORData!AP9</f>
        <v>0</v>
      </c>
      <c r="R913" s="869"/>
      <c r="S913" s="869"/>
      <c r="T913" s="870"/>
      <c r="U913" s="868">
        <f>CHOORData!BE9</f>
        <v>0</v>
      </c>
      <c r="V913" s="869"/>
      <c r="W913" s="869"/>
      <c r="X913" s="870"/>
      <c r="Y913" s="868">
        <f t="shared" si="19"/>
        <v>0</v>
      </c>
      <c r="Z913" s="869"/>
      <c r="AA913" s="869"/>
      <c r="AB913" s="870"/>
      <c r="AC913" s="866">
        <f>CHOORData!AQ9</f>
        <v>0</v>
      </c>
      <c r="AD913" s="900"/>
      <c r="AE913" s="619"/>
      <c r="AF913" s="610"/>
      <c r="AG913" s="588"/>
      <c r="AH913" s="518"/>
      <c r="AJ913" s="595" t="b">
        <f t="shared" si="20"/>
        <v>0</v>
      </c>
    </row>
    <row r="914" spans="1:36" ht="16" hidden="1" customHeight="1" x14ac:dyDescent="0.45">
      <c r="A914" s="518"/>
      <c r="B914" s="514" t="s">
        <v>1412</v>
      </c>
      <c r="C914" s="530"/>
      <c r="D914" s="530"/>
      <c r="E914" s="530"/>
      <c r="F914" s="534"/>
      <c r="G914" s="885" t="str">
        <f>IF(CHOORData!T10=0,"",CHOORData!T10)</f>
        <v/>
      </c>
      <c r="H914" s="885"/>
      <c r="I914" s="941">
        <f>CHOORData!AL10</f>
        <v>0</v>
      </c>
      <c r="J914" s="942"/>
      <c r="K914" s="941">
        <f>CHOORData!AM10</f>
        <v>0</v>
      </c>
      <c r="L914" s="942"/>
      <c r="M914" s="941">
        <f>CHOORData!AN10</f>
        <v>0</v>
      </c>
      <c r="N914" s="942"/>
      <c r="O914" s="941">
        <f>CHOORData!AO10</f>
        <v>0</v>
      </c>
      <c r="P914" s="942"/>
      <c r="Q914" s="868">
        <f>CHOORData!AP10</f>
        <v>0</v>
      </c>
      <c r="R914" s="869"/>
      <c r="S914" s="869"/>
      <c r="T914" s="870"/>
      <c r="U914" s="868">
        <f>CHOORData!BE10</f>
        <v>0</v>
      </c>
      <c r="V914" s="869"/>
      <c r="W914" s="869"/>
      <c r="X914" s="870"/>
      <c r="Y914" s="868">
        <f t="shared" si="19"/>
        <v>0</v>
      </c>
      <c r="Z914" s="869"/>
      <c r="AA914" s="869"/>
      <c r="AB914" s="870"/>
      <c r="AC914" s="866">
        <f>CHOORData!AQ10</f>
        <v>0</v>
      </c>
      <c r="AD914" s="900"/>
      <c r="AE914" s="619"/>
      <c r="AF914" s="610"/>
      <c r="AG914" s="588"/>
      <c r="AH914" s="518"/>
      <c r="AJ914" s="595" t="b">
        <f t="shared" si="20"/>
        <v>0</v>
      </c>
    </row>
    <row r="915" spans="1:36" ht="16" hidden="1" customHeight="1" x14ac:dyDescent="0.45">
      <c r="A915" s="518"/>
      <c r="B915" s="514" t="s">
        <v>1413</v>
      </c>
      <c r="C915" s="530"/>
      <c r="D915" s="530"/>
      <c r="E915" s="530"/>
      <c r="F915" s="534"/>
      <c r="G915" s="885" t="str">
        <f>IF(CHOORData!T11=0,"",CHOORData!T11)</f>
        <v/>
      </c>
      <c r="H915" s="885"/>
      <c r="I915" s="941">
        <f>CHOORData!AL11</f>
        <v>0</v>
      </c>
      <c r="J915" s="942"/>
      <c r="K915" s="941">
        <f>CHOORData!AM11</f>
        <v>0</v>
      </c>
      <c r="L915" s="942"/>
      <c r="M915" s="941">
        <f>CHOORData!AN11</f>
        <v>0</v>
      </c>
      <c r="N915" s="942"/>
      <c r="O915" s="941">
        <f>CHOORData!AO11</f>
        <v>0</v>
      </c>
      <c r="P915" s="942"/>
      <c r="Q915" s="868">
        <f>CHOORData!AP11</f>
        <v>0</v>
      </c>
      <c r="R915" s="869"/>
      <c r="S915" s="869"/>
      <c r="T915" s="870"/>
      <c r="U915" s="868">
        <f>CHOORData!BE11</f>
        <v>0</v>
      </c>
      <c r="V915" s="869"/>
      <c r="W915" s="869"/>
      <c r="X915" s="870"/>
      <c r="Y915" s="868">
        <f t="shared" si="19"/>
        <v>0</v>
      </c>
      <c r="Z915" s="869"/>
      <c r="AA915" s="869"/>
      <c r="AB915" s="870"/>
      <c r="AC915" s="866">
        <f>CHOORData!AQ11</f>
        <v>0</v>
      </c>
      <c r="AD915" s="900"/>
      <c r="AE915" s="619"/>
      <c r="AF915" s="610"/>
      <c r="AG915" s="588"/>
      <c r="AH915" s="518"/>
      <c r="AJ915" s="595" t="b">
        <f t="shared" si="20"/>
        <v>0</v>
      </c>
    </row>
    <row r="916" spans="1:36" ht="16" hidden="1" customHeight="1" x14ac:dyDescent="0.45">
      <c r="A916" s="518"/>
      <c r="B916" s="514" t="s">
        <v>1414</v>
      </c>
      <c r="C916" s="530"/>
      <c r="D916" s="530"/>
      <c r="E916" s="530"/>
      <c r="F916" s="534"/>
      <c r="G916" s="885" t="str">
        <f>IF(CHOORData!T12=0,"",CHOORData!T12)</f>
        <v/>
      </c>
      <c r="H916" s="885"/>
      <c r="I916" s="941">
        <f>CHOORData!AL12</f>
        <v>0</v>
      </c>
      <c r="J916" s="942"/>
      <c r="K916" s="941">
        <f>CHOORData!AM12</f>
        <v>0</v>
      </c>
      <c r="L916" s="942"/>
      <c r="M916" s="941">
        <f>CHOORData!AN12</f>
        <v>0</v>
      </c>
      <c r="N916" s="942"/>
      <c r="O916" s="941">
        <f>CHOORData!AO12</f>
        <v>0</v>
      </c>
      <c r="P916" s="942"/>
      <c r="Q916" s="868">
        <f>CHOORData!AP12</f>
        <v>0</v>
      </c>
      <c r="R916" s="869"/>
      <c r="S916" s="869"/>
      <c r="T916" s="870"/>
      <c r="U916" s="868">
        <f>CHOORData!BE12</f>
        <v>0</v>
      </c>
      <c r="V916" s="869"/>
      <c r="W916" s="869"/>
      <c r="X916" s="870"/>
      <c r="Y916" s="868">
        <f t="shared" si="19"/>
        <v>0</v>
      </c>
      <c r="Z916" s="869"/>
      <c r="AA916" s="869"/>
      <c r="AB916" s="870"/>
      <c r="AC916" s="866">
        <f>CHOORData!AQ12</f>
        <v>0</v>
      </c>
      <c r="AD916" s="900"/>
      <c r="AE916" s="619"/>
      <c r="AF916" s="610"/>
      <c r="AG916" s="588"/>
      <c r="AH916" s="518"/>
      <c r="AJ916" s="595" t="b">
        <f t="shared" si="20"/>
        <v>0</v>
      </c>
    </row>
    <row r="917" spans="1:36" ht="16" hidden="1" customHeight="1" x14ac:dyDescent="0.45">
      <c r="A917" s="518"/>
      <c r="B917" s="514" t="s">
        <v>1415</v>
      </c>
      <c r="C917" s="530"/>
      <c r="D917" s="530"/>
      <c r="E917" s="530"/>
      <c r="F917" s="534"/>
      <c r="G917" s="885" t="str">
        <f>IF(CHOORData!T13=0,"",CHOORData!T13)</f>
        <v/>
      </c>
      <c r="H917" s="885"/>
      <c r="I917" s="941">
        <f>CHOORData!AL13</f>
        <v>0</v>
      </c>
      <c r="J917" s="942"/>
      <c r="K917" s="941">
        <f>CHOORData!AM13</f>
        <v>0</v>
      </c>
      <c r="L917" s="942"/>
      <c r="M917" s="941">
        <f>CHOORData!AN13</f>
        <v>0</v>
      </c>
      <c r="N917" s="942"/>
      <c r="O917" s="941">
        <f>CHOORData!AO13</f>
        <v>0</v>
      </c>
      <c r="P917" s="942"/>
      <c r="Q917" s="868">
        <f>CHOORData!AP13</f>
        <v>0</v>
      </c>
      <c r="R917" s="869"/>
      <c r="S917" s="869"/>
      <c r="T917" s="870"/>
      <c r="U917" s="868">
        <f>CHOORData!BE13</f>
        <v>0</v>
      </c>
      <c r="V917" s="869"/>
      <c r="W917" s="869"/>
      <c r="X917" s="870"/>
      <c r="Y917" s="868">
        <f t="shared" si="19"/>
        <v>0</v>
      </c>
      <c r="Z917" s="869"/>
      <c r="AA917" s="869"/>
      <c r="AB917" s="870"/>
      <c r="AC917" s="866">
        <f>CHOORData!AQ13</f>
        <v>0</v>
      </c>
      <c r="AD917" s="900"/>
      <c r="AE917" s="619"/>
      <c r="AF917" s="610"/>
      <c r="AG917" s="588"/>
      <c r="AH917" s="518"/>
      <c r="AJ917" s="595" t="b">
        <f t="shared" si="20"/>
        <v>0</v>
      </c>
    </row>
    <row r="918" spans="1:36" ht="16" hidden="1" customHeight="1" x14ac:dyDescent="0.45">
      <c r="A918" s="518"/>
      <c r="B918" s="514" t="s">
        <v>1416</v>
      </c>
      <c r="C918" s="530"/>
      <c r="D918" s="530"/>
      <c r="E918" s="530"/>
      <c r="F918" s="534"/>
      <c r="G918" s="885" t="str">
        <f>IF(CHOORData!T14=0,"",CHOORData!T14)</f>
        <v/>
      </c>
      <c r="H918" s="885"/>
      <c r="I918" s="941">
        <f>CHOORData!AL14</f>
        <v>0</v>
      </c>
      <c r="J918" s="942"/>
      <c r="K918" s="941">
        <f>CHOORData!AM14</f>
        <v>0</v>
      </c>
      <c r="L918" s="942"/>
      <c r="M918" s="941">
        <f>CHOORData!AN14</f>
        <v>0</v>
      </c>
      <c r="N918" s="942"/>
      <c r="O918" s="941">
        <f>CHOORData!AO14</f>
        <v>0</v>
      </c>
      <c r="P918" s="942"/>
      <c r="Q918" s="868">
        <f>CHOORData!AP14</f>
        <v>0</v>
      </c>
      <c r="R918" s="869"/>
      <c r="S918" s="869"/>
      <c r="T918" s="870"/>
      <c r="U918" s="868">
        <f>CHOORData!BE14</f>
        <v>0</v>
      </c>
      <c r="V918" s="869"/>
      <c r="W918" s="869"/>
      <c r="X918" s="870"/>
      <c r="Y918" s="868">
        <f t="shared" si="19"/>
        <v>0</v>
      </c>
      <c r="Z918" s="869"/>
      <c r="AA918" s="869"/>
      <c r="AB918" s="870"/>
      <c r="AC918" s="866">
        <f>CHOORData!AQ14</f>
        <v>0</v>
      </c>
      <c r="AD918" s="900"/>
      <c r="AE918" s="619"/>
      <c r="AF918" s="610"/>
      <c r="AG918" s="588"/>
      <c r="AH918" s="518"/>
      <c r="AJ918" s="595" t="b">
        <f t="shared" si="20"/>
        <v>0</v>
      </c>
    </row>
    <row r="919" spans="1:36" ht="16" hidden="1" customHeight="1" x14ac:dyDescent="0.45">
      <c r="A919" s="518"/>
      <c r="B919" s="514" t="s">
        <v>1417</v>
      </c>
      <c r="C919" s="530"/>
      <c r="D919" s="530"/>
      <c r="E919" s="530"/>
      <c r="F919" s="534"/>
      <c r="G919" s="885" t="str">
        <f>IF(CHOORData!T15=0,"",CHOORData!T15)</f>
        <v/>
      </c>
      <c r="H919" s="885"/>
      <c r="I919" s="941">
        <f>CHOORData!AL15</f>
        <v>0</v>
      </c>
      <c r="J919" s="942"/>
      <c r="K919" s="941">
        <f>CHOORData!AM15</f>
        <v>0</v>
      </c>
      <c r="L919" s="942"/>
      <c r="M919" s="941">
        <f>CHOORData!AN15</f>
        <v>0</v>
      </c>
      <c r="N919" s="942"/>
      <c r="O919" s="941">
        <f>CHOORData!AO15</f>
        <v>0</v>
      </c>
      <c r="P919" s="942"/>
      <c r="Q919" s="868">
        <f>CHOORData!AP15</f>
        <v>0</v>
      </c>
      <c r="R919" s="869"/>
      <c r="S919" s="869"/>
      <c r="T919" s="870"/>
      <c r="U919" s="868">
        <f>CHOORData!BE15</f>
        <v>0</v>
      </c>
      <c r="V919" s="869"/>
      <c r="W919" s="869"/>
      <c r="X919" s="870"/>
      <c r="Y919" s="868">
        <f t="shared" si="19"/>
        <v>0</v>
      </c>
      <c r="Z919" s="869"/>
      <c r="AA919" s="869"/>
      <c r="AB919" s="870"/>
      <c r="AC919" s="866">
        <f>CHOORData!AQ15</f>
        <v>0</v>
      </c>
      <c r="AD919" s="900"/>
      <c r="AE919" s="619"/>
      <c r="AF919" s="610"/>
      <c r="AG919" s="588"/>
      <c r="AH919" s="518"/>
      <c r="AJ919" s="595" t="b">
        <f t="shared" si="20"/>
        <v>0</v>
      </c>
    </row>
    <row r="920" spans="1:36" ht="16" hidden="1" customHeight="1" x14ac:dyDescent="0.45">
      <c r="A920" s="518"/>
      <c r="B920" s="514" t="s">
        <v>1418</v>
      </c>
      <c r="C920" s="530"/>
      <c r="D920" s="530"/>
      <c r="E920" s="530"/>
      <c r="F920" s="534"/>
      <c r="G920" s="885" t="str">
        <f>IF(CHOORData!T16=0,"",CHOORData!T16)</f>
        <v/>
      </c>
      <c r="H920" s="885"/>
      <c r="I920" s="941">
        <f>CHOORData!AL16</f>
        <v>0</v>
      </c>
      <c r="J920" s="942"/>
      <c r="K920" s="941">
        <f>CHOORData!AM16</f>
        <v>0</v>
      </c>
      <c r="L920" s="942"/>
      <c r="M920" s="941">
        <f>CHOORData!AN16</f>
        <v>0</v>
      </c>
      <c r="N920" s="942"/>
      <c r="O920" s="941">
        <f>CHOORData!AO16</f>
        <v>0</v>
      </c>
      <c r="P920" s="942"/>
      <c r="Q920" s="868">
        <f>CHOORData!AP16</f>
        <v>0</v>
      </c>
      <c r="R920" s="869"/>
      <c r="S920" s="869"/>
      <c r="T920" s="870"/>
      <c r="U920" s="868">
        <f>CHOORData!BE16</f>
        <v>0</v>
      </c>
      <c r="V920" s="869"/>
      <c r="W920" s="869"/>
      <c r="X920" s="870"/>
      <c r="Y920" s="868">
        <f t="shared" si="19"/>
        <v>0</v>
      </c>
      <c r="Z920" s="869"/>
      <c r="AA920" s="869"/>
      <c r="AB920" s="870"/>
      <c r="AC920" s="866">
        <f>CHOORData!AQ16</f>
        <v>0</v>
      </c>
      <c r="AD920" s="900"/>
      <c r="AE920" s="619"/>
      <c r="AF920" s="610"/>
      <c r="AG920" s="588"/>
      <c r="AH920" s="518"/>
      <c r="AJ920" s="595" t="b">
        <f t="shared" si="20"/>
        <v>0</v>
      </c>
    </row>
    <row r="921" spans="1:36" ht="16" hidden="1" customHeight="1" x14ac:dyDescent="0.45">
      <c r="A921" s="518"/>
      <c r="B921" s="514" t="s">
        <v>1419</v>
      </c>
      <c r="C921" s="530"/>
      <c r="D921" s="530"/>
      <c r="E921" s="530"/>
      <c r="F921" s="534"/>
      <c r="G921" s="885" t="str">
        <f>IF(CHOORData!T17=0,"",CHOORData!T17)</f>
        <v/>
      </c>
      <c r="H921" s="885"/>
      <c r="I921" s="941">
        <f>CHOORData!AL17</f>
        <v>0</v>
      </c>
      <c r="J921" s="942"/>
      <c r="K921" s="941">
        <f>CHOORData!AM17</f>
        <v>0</v>
      </c>
      <c r="L921" s="942"/>
      <c r="M921" s="941">
        <f>CHOORData!AN17</f>
        <v>0</v>
      </c>
      <c r="N921" s="942"/>
      <c r="O921" s="941">
        <f>CHOORData!AO17</f>
        <v>0</v>
      </c>
      <c r="P921" s="942"/>
      <c r="Q921" s="868">
        <f>CHOORData!AP17</f>
        <v>0</v>
      </c>
      <c r="R921" s="869"/>
      <c r="S921" s="869"/>
      <c r="T921" s="870"/>
      <c r="U921" s="868">
        <f>CHOORData!BE17</f>
        <v>0</v>
      </c>
      <c r="V921" s="869"/>
      <c r="W921" s="869"/>
      <c r="X921" s="870"/>
      <c r="Y921" s="868">
        <f t="shared" si="19"/>
        <v>0</v>
      </c>
      <c r="Z921" s="869"/>
      <c r="AA921" s="869"/>
      <c r="AB921" s="870"/>
      <c r="AC921" s="866">
        <f>CHOORData!AQ17</f>
        <v>0</v>
      </c>
      <c r="AD921" s="900"/>
      <c r="AE921" s="619"/>
      <c r="AF921" s="610"/>
      <c r="AG921" s="588"/>
      <c r="AH921" s="518"/>
      <c r="AJ921" s="595" t="b">
        <f t="shared" si="20"/>
        <v>0</v>
      </c>
    </row>
    <row r="922" spans="1:36" ht="16" hidden="1" customHeight="1" x14ac:dyDescent="0.45">
      <c r="A922" s="518"/>
      <c r="B922" s="514" t="s">
        <v>1420</v>
      </c>
      <c r="C922" s="530"/>
      <c r="D922" s="530"/>
      <c r="E922" s="530"/>
      <c r="F922" s="534"/>
      <c r="G922" s="885" t="str">
        <f>IF(CHOORData!T18=0,"",CHOORData!T18)</f>
        <v/>
      </c>
      <c r="H922" s="885"/>
      <c r="I922" s="941">
        <f>CHOORData!AL18</f>
        <v>0</v>
      </c>
      <c r="J922" s="942"/>
      <c r="K922" s="941">
        <f>CHOORData!AM18</f>
        <v>0</v>
      </c>
      <c r="L922" s="942"/>
      <c r="M922" s="941">
        <f>CHOORData!AN18</f>
        <v>0</v>
      </c>
      <c r="N922" s="942"/>
      <c r="O922" s="941">
        <f>CHOORData!AO18</f>
        <v>0</v>
      </c>
      <c r="P922" s="942"/>
      <c r="Q922" s="868">
        <f>CHOORData!AP18</f>
        <v>0</v>
      </c>
      <c r="R922" s="869"/>
      <c r="S922" s="869"/>
      <c r="T922" s="870"/>
      <c r="U922" s="868">
        <f>CHOORData!BE18</f>
        <v>0</v>
      </c>
      <c r="V922" s="869"/>
      <c r="W922" s="869"/>
      <c r="X922" s="870"/>
      <c r="Y922" s="868">
        <f t="shared" si="19"/>
        <v>0</v>
      </c>
      <c r="Z922" s="869"/>
      <c r="AA922" s="869"/>
      <c r="AB922" s="870"/>
      <c r="AC922" s="866">
        <f>CHOORData!AQ18</f>
        <v>0</v>
      </c>
      <c r="AD922" s="900"/>
      <c r="AE922" s="619"/>
      <c r="AF922" s="610"/>
      <c r="AG922" s="588"/>
      <c r="AH922" s="518"/>
      <c r="AJ922" s="595" t="b">
        <f t="shared" si="20"/>
        <v>0</v>
      </c>
    </row>
    <row r="923" spans="1:36" ht="16" hidden="1" customHeight="1" x14ac:dyDescent="0.45">
      <c r="A923" s="518"/>
      <c r="B923" s="514" t="s">
        <v>1421</v>
      </c>
      <c r="C923" s="530"/>
      <c r="D923" s="530"/>
      <c r="E923" s="530"/>
      <c r="F923" s="534"/>
      <c r="G923" s="885" t="str">
        <f>IF(CHOORData!T19=0,"",CHOORData!T19)</f>
        <v/>
      </c>
      <c r="H923" s="885"/>
      <c r="I923" s="941">
        <f>CHOORData!AL19</f>
        <v>0</v>
      </c>
      <c r="J923" s="942"/>
      <c r="K923" s="941">
        <f>CHOORData!AM19</f>
        <v>0</v>
      </c>
      <c r="L923" s="942"/>
      <c r="M923" s="941">
        <f>CHOORData!AN19</f>
        <v>0</v>
      </c>
      <c r="N923" s="942"/>
      <c r="O923" s="941">
        <f>CHOORData!AO19</f>
        <v>0</v>
      </c>
      <c r="P923" s="942"/>
      <c r="Q923" s="868">
        <f>CHOORData!AP19</f>
        <v>0</v>
      </c>
      <c r="R923" s="869"/>
      <c r="S923" s="869"/>
      <c r="T923" s="870"/>
      <c r="U923" s="868">
        <f>CHOORData!BE19</f>
        <v>0</v>
      </c>
      <c r="V923" s="869"/>
      <c r="W923" s="869"/>
      <c r="X923" s="870"/>
      <c r="Y923" s="868">
        <f t="shared" si="19"/>
        <v>0</v>
      </c>
      <c r="Z923" s="869"/>
      <c r="AA923" s="869"/>
      <c r="AB923" s="870"/>
      <c r="AC923" s="866">
        <f>CHOORData!AQ19</f>
        <v>0</v>
      </c>
      <c r="AD923" s="900"/>
      <c r="AE923" s="619"/>
      <c r="AF923" s="610"/>
      <c r="AG923" s="588"/>
      <c r="AH923" s="518"/>
      <c r="AJ923" s="595" t="b">
        <f t="shared" si="20"/>
        <v>0</v>
      </c>
    </row>
    <row r="924" spans="1:36" ht="16" hidden="1" customHeight="1" x14ac:dyDescent="0.45">
      <c r="A924" s="518"/>
      <c r="B924" s="514" t="s">
        <v>1422</v>
      </c>
      <c r="C924" s="530"/>
      <c r="D924" s="530"/>
      <c r="E924" s="530"/>
      <c r="F924" s="534"/>
      <c r="G924" s="885" t="str">
        <f>IF(CHOORData!T20=0,"",CHOORData!T20)</f>
        <v/>
      </c>
      <c r="H924" s="885"/>
      <c r="I924" s="941">
        <f>CHOORData!AL20</f>
        <v>0</v>
      </c>
      <c r="J924" s="942"/>
      <c r="K924" s="941">
        <f>CHOORData!AM20</f>
        <v>0</v>
      </c>
      <c r="L924" s="942"/>
      <c r="M924" s="941">
        <f>CHOORData!AN20</f>
        <v>0</v>
      </c>
      <c r="N924" s="942"/>
      <c r="O924" s="941">
        <f>CHOORData!AO20</f>
        <v>0</v>
      </c>
      <c r="P924" s="942"/>
      <c r="Q924" s="868">
        <f>CHOORData!AP20</f>
        <v>0</v>
      </c>
      <c r="R924" s="869"/>
      <c r="S924" s="869"/>
      <c r="T924" s="870"/>
      <c r="U924" s="868">
        <f>CHOORData!BE20</f>
        <v>0</v>
      </c>
      <c r="V924" s="869"/>
      <c r="W924" s="869"/>
      <c r="X924" s="870"/>
      <c r="Y924" s="868">
        <f t="shared" si="19"/>
        <v>0</v>
      </c>
      <c r="Z924" s="869"/>
      <c r="AA924" s="869"/>
      <c r="AB924" s="870"/>
      <c r="AC924" s="866">
        <f>CHOORData!AQ20</f>
        <v>0</v>
      </c>
      <c r="AD924" s="900"/>
      <c r="AE924" s="619"/>
      <c r="AF924" s="610"/>
      <c r="AG924" s="588"/>
      <c r="AH924" s="518"/>
      <c r="AJ924" s="595" t="b">
        <f t="shared" si="20"/>
        <v>0</v>
      </c>
    </row>
    <row r="925" spans="1:36" ht="16" hidden="1" customHeight="1" x14ac:dyDescent="0.45">
      <c r="A925" s="518"/>
      <c r="B925" s="514" t="s">
        <v>1423</v>
      </c>
      <c r="C925" s="530"/>
      <c r="D925" s="530"/>
      <c r="E925" s="530"/>
      <c r="F925" s="534"/>
      <c r="G925" s="885" t="str">
        <f>IF(CHOORData!T21=0,"",CHOORData!T21)</f>
        <v/>
      </c>
      <c r="H925" s="885"/>
      <c r="I925" s="941">
        <f>CHOORData!AL21</f>
        <v>0</v>
      </c>
      <c r="J925" s="942"/>
      <c r="K925" s="941">
        <f>CHOORData!AM21</f>
        <v>0</v>
      </c>
      <c r="L925" s="942"/>
      <c r="M925" s="941">
        <f>CHOORData!AN21</f>
        <v>0</v>
      </c>
      <c r="N925" s="942"/>
      <c r="O925" s="941">
        <f>CHOORData!AO21</f>
        <v>0</v>
      </c>
      <c r="P925" s="942"/>
      <c r="Q925" s="868">
        <f>CHOORData!AP21</f>
        <v>0</v>
      </c>
      <c r="R925" s="869"/>
      <c r="S925" s="869"/>
      <c r="T925" s="870"/>
      <c r="U925" s="868">
        <f>CHOORData!BE21</f>
        <v>0</v>
      </c>
      <c r="V925" s="869"/>
      <c r="W925" s="869"/>
      <c r="X925" s="870"/>
      <c r="Y925" s="868">
        <f t="shared" si="19"/>
        <v>0</v>
      </c>
      <c r="Z925" s="869"/>
      <c r="AA925" s="869"/>
      <c r="AB925" s="870"/>
      <c r="AC925" s="866">
        <f>CHOORData!AQ21</f>
        <v>0</v>
      </c>
      <c r="AD925" s="900"/>
      <c r="AE925" s="619"/>
      <c r="AF925" s="610"/>
      <c r="AG925" s="588"/>
      <c r="AH925" s="518"/>
      <c r="AJ925" s="595" t="b">
        <f t="shared" si="20"/>
        <v>0</v>
      </c>
    </row>
    <row r="926" spans="1:36" ht="16" hidden="1" customHeight="1" x14ac:dyDescent="0.45">
      <c r="A926" s="518"/>
      <c r="B926" s="514" t="s">
        <v>1424</v>
      </c>
      <c r="C926" s="530"/>
      <c r="D926" s="530"/>
      <c r="E926" s="530"/>
      <c r="F926" s="534"/>
      <c r="G926" s="885" t="str">
        <f>IF(CHOORData!T22=0,"",CHOORData!T22)</f>
        <v/>
      </c>
      <c r="H926" s="885"/>
      <c r="I926" s="941">
        <f>CHOORData!AL22</f>
        <v>0</v>
      </c>
      <c r="J926" s="942"/>
      <c r="K926" s="941">
        <f>CHOORData!AM22</f>
        <v>0</v>
      </c>
      <c r="L926" s="942"/>
      <c r="M926" s="941">
        <f>CHOORData!AN22</f>
        <v>0</v>
      </c>
      <c r="N926" s="942"/>
      <c r="O926" s="941">
        <f>CHOORData!AO22</f>
        <v>0</v>
      </c>
      <c r="P926" s="942"/>
      <c r="Q926" s="868">
        <f>CHOORData!AP22</f>
        <v>0</v>
      </c>
      <c r="R926" s="869"/>
      <c r="S926" s="869"/>
      <c r="T926" s="870"/>
      <c r="U926" s="868">
        <f>CHOORData!BE22</f>
        <v>0</v>
      </c>
      <c r="V926" s="869"/>
      <c r="W926" s="869"/>
      <c r="X926" s="870"/>
      <c r="Y926" s="868">
        <f t="shared" si="19"/>
        <v>0</v>
      </c>
      <c r="Z926" s="869"/>
      <c r="AA926" s="869"/>
      <c r="AB926" s="870"/>
      <c r="AC926" s="866">
        <f>CHOORData!AQ22</f>
        <v>0</v>
      </c>
      <c r="AD926" s="900"/>
      <c r="AE926" s="619"/>
      <c r="AF926" s="610"/>
      <c r="AG926" s="588"/>
      <c r="AH926" s="518"/>
      <c r="AJ926" s="595" t="b">
        <f t="shared" si="20"/>
        <v>0</v>
      </c>
    </row>
    <row r="927" spans="1:36" hidden="1" x14ac:dyDescent="0.45">
      <c r="A927" s="518"/>
      <c r="B927" s="514" t="s">
        <v>1425</v>
      </c>
      <c r="C927" s="530"/>
      <c r="D927" s="530"/>
      <c r="E927" s="530"/>
      <c r="F927" s="534"/>
      <c r="G927" s="885" t="str">
        <f>IF(CHOORData!T23=0,"",CHOORData!T23)</f>
        <v/>
      </c>
      <c r="H927" s="885"/>
      <c r="I927" s="941">
        <f>CHOORData!AL23</f>
        <v>0</v>
      </c>
      <c r="J927" s="942"/>
      <c r="K927" s="941">
        <f>CHOORData!AM23</f>
        <v>0</v>
      </c>
      <c r="L927" s="942"/>
      <c r="M927" s="941">
        <f>CHOORData!AN23</f>
        <v>0</v>
      </c>
      <c r="N927" s="942"/>
      <c r="O927" s="941">
        <f>CHOORData!AO23</f>
        <v>0</v>
      </c>
      <c r="P927" s="942"/>
      <c r="Q927" s="868">
        <f>CHOORData!AP23</f>
        <v>0</v>
      </c>
      <c r="R927" s="869"/>
      <c r="S927" s="869"/>
      <c r="T927" s="870"/>
      <c r="U927" s="868">
        <f>CHOORData!BE23</f>
        <v>0</v>
      </c>
      <c r="V927" s="869"/>
      <c r="W927" s="869"/>
      <c r="X927" s="870"/>
      <c r="Y927" s="868">
        <f t="shared" si="19"/>
        <v>0</v>
      </c>
      <c r="Z927" s="869"/>
      <c r="AA927" s="869"/>
      <c r="AB927" s="870"/>
      <c r="AC927" s="866">
        <f>CHOORData!AQ23</f>
        <v>0</v>
      </c>
      <c r="AD927" s="900"/>
      <c r="AE927" s="619"/>
      <c r="AF927" s="610"/>
      <c r="AG927" s="588"/>
      <c r="AH927" s="518"/>
      <c r="AJ927" s="595" t="b">
        <f t="shared" si="20"/>
        <v>0</v>
      </c>
    </row>
    <row r="928" spans="1:36" hidden="1" x14ac:dyDescent="0.45">
      <c r="A928" s="518"/>
      <c r="B928" s="514" t="s">
        <v>1426</v>
      </c>
      <c r="C928" s="530"/>
      <c r="D928" s="530"/>
      <c r="E928" s="530"/>
      <c r="F928" s="534"/>
      <c r="G928" s="885" t="str">
        <f>IF(CHOORData!T24=0,"",CHOORData!T24)</f>
        <v/>
      </c>
      <c r="H928" s="885"/>
      <c r="I928" s="941">
        <f>CHOORData!AL24</f>
        <v>0</v>
      </c>
      <c r="J928" s="942"/>
      <c r="K928" s="941">
        <f>CHOORData!AM24</f>
        <v>0</v>
      </c>
      <c r="L928" s="942"/>
      <c r="M928" s="941">
        <f>CHOORData!AN24</f>
        <v>0</v>
      </c>
      <c r="N928" s="942"/>
      <c r="O928" s="941">
        <f>CHOORData!AO24</f>
        <v>0</v>
      </c>
      <c r="P928" s="942"/>
      <c r="Q928" s="868">
        <f>CHOORData!AP24</f>
        <v>0</v>
      </c>
      <c r="R928" s="869"/>
      <c r="S928" s="869"/>
      <c r="T928" s="870"/>
      <c r="U928" s="868">
        <f>CHOORData!BE24</f>
        <v>0</v>
      </c>
      <c r="V928" s="869"/>
      <c r="W928" s="869"/>
      <c r="X928" s="870"/>
      <c r="Y928" s="868">
        <f t="shared" si="19"/>
        <v>0</v>
      </c>
      <c r="Z928" s="869"/>
      <c r="AA928" s="869"/>
      <c r="AB928" s="870"/>
      <c r="AC928" s="866">
        <f>CHOORData!AQ24</f>
        <v>0</v>
      </c>
      <c r="AD928" s="900"/>
      <c r="AE928" s="619"/>
      <c r="AF928" s="610"/>
      <c r="AG928" s="588"/>
      <c r="AH928" s="518"/>
      <c r="AJ928" s="595" t="b">
        <f t="shared" si="20"/>
        <v>0</v>
      </c>
    </row>
    <row r="929" spans="1:36" hidden="1" x14ac:dyDescent="0.45">
      <c r="A929" s="518"/>
      <c r="B929" s="514" t="s">
        <v>1427</v>
      </c>
      <c r="C929" s="530"/>
      <c r="D929" s="530"/>
      <c r="E929" s="530"/>
      <c r="F929" s="534"/>
      <c r="G929" s="885" t="str">
        <f>IF(CHOORData!T25=0,"",CHOORData!T25)</f>
        <v/>
      </c>
      <c r="H929" s="885"/>
      <c r="I929" s="941">
        <f>CHOORData!AL25</f>
        <v>0</v>
      </c>
      <c r="J929" s="942"/>
      <c r="K929" s="941">
        <f>CHOORData!AM25</f>
        <v>0</v>
      </c>
      <c r="L929" s="942"/>
      <c r="M929" s="941">
        <f>CHOORData!AN25</f>
        <v>0</v>
      </c>
      <c r="N929" s="942"/>
      <c r="O929" s="941">
        <f>CHOORData!AO25</f>
        <v>0</v>
      </c>
      <c r="P929" s="942"/>
      <c r="Q929" s="868">
        <f>CHOORData!AP25</f>
        <v>0</v>
      </c>
      <c r="R929" s="869"/>
      <c r="S929" s="869"/>
      <c r="T929" s="870"/>
      <c r="U929" s="868">
        <f>CHOORData!BE25</f>
        <v>0</v>
      </c>
      <c r="V929" s="869"/>
      <c r="W929" s="869"/>
      <c r="X929" s="870"/>
      <c r="Y929" s="868">
        <f t="shared" si="19"/>
        <v>0</v>
      </c>
      <c r="Z929" s="869"/>
      <c r="AA929" s="869"/>
      <c r="AB929" s="870"/>
      <c r="AC929" s="866">
        <f>CHOORData!AQ25</f>
        <v>0</v>
      </c>
      <c r="AD929" s="900"/>
      <c r="AE929" s="619"/>
      <c r="AF929" s="610"/>
      <c r="AG929" s="588"/>
      <c r="AH929" s="518"/>
      <c r="AJ929" s="595" t="b">
        <f t="shared" si="20"/>
        <v>0</v>
      </c>
    </row>
    <row r="930" spans="1:36" hidden="1" x14ac:dyDescent="0.45">
      <c r="A930" s="518"/>
      <c r="B930" s="514" t="s">
        <v>1428</v>
      </c>
      <c r="C930" s="530"/>
      <c r="D930" s="530"/>
      <c r="E930" s="530"/>
      <c r="F930" s="534"/>
      <c r="G930" s="885" t="str">
        <f>IF(CHOORData!T26=0,"",CHOORData!T26)</f>
        <v/>
      </c>
      <c r="H930" s="885"/>
      <c r="I930" s="941">
        <f>CHOORData!AL26</f>
        <v>0</v>
      </c>
      <c r="J930" s="942"/>
      <c r="K930" s="941">
        <f>CHOORData!AM26</f>
        <v>0</v>
      </c>
      <c r="L930" s="942"/>
      <c r="M930" s="941">
        <f>CHOORData!AN26</f>
        <v>0</v>
      </c>
      <c r="N930" s="942"/>
      <c r="O930" s="941">
        <f>CHOORData!AO26</f>
        <v>0</v>
      </c>
      <c r="P930" s="942"/>
      <c r="Q930" s="868">
        <f>CHOORData!AP26</f>
        <v>0</v>
      </c>
      <c r="R930" s="869"/>
      <c r="S930" s="869"/>
      <c r="T930" s="870"/>
      <c r="U930" s="868">
        <f>CHOORData!BE26</f>
        <v>0</v>
      </c>
      <c r="V930" s="869"/>
      <c r="W930" s="869"/>
      <c r="X930" s="870"/>
      <c r="Y930" s="868">
        <f t="shared" si="19"/>
        <v>0</v>
      </c>
      <c r="Z930" s="869"/>
      <c r="AA930" s="869"/>
      <c r="AB930" s="870"/>
      <c r="AC930" s="866">
        <f>CHOORData!AQ26</f>
        <v>0</v>
      </c>
      <c r="AD930" s="900"/>
      <c r="AE930" s="619"/>
      <c r="AF930" s="610"/>
      <c r="AG930" s="588"/>
      <c r="AH930" s="518"/>
      <c r="AJ930" s="595" t="b">
        <f t="shared" si="20"/>
        <v>0</v>
      </c>
    </row>
    <row r="931" spans="1:36" hidden="1" x14ac:dyDescent="0.45">
      <c r="A931" s="518"/>
      <c r="B931" s="514" t="s">
        <v>1429</v>
      </c>
      <c r="C931" s="530"/>
      <c r="D931" s="530"/>
      <c r="E931" s="530"/>
      <c r="F931" s="534"/>
      <c r="G931" s="885" t="str">
        <f>IF(CHOORData!T27=0,"",CHOORData!T27)</f>
        <v/>
      </c>
      <c r="H931" s="885"/>
      <c r="I931" s="941">
        <f>CHOORData!AL27</f>
        <v>0</v>
      </c>
      <c r="J931" s="942"/>
      <c r="K931" s="941">
        <f>CHOORData!AM27</f>
        <v>0</v>
      </c>
      <c r="L931" s="942"/>
      <c r="M931" s="941">
        <f>CHOORData!AN27</f>
        <v>0</v>
      </c>
      <c r="N931" s="942"/>
      <c r="O931" s="941">
        <f>CHOORData!AO27</f>
        <v>0</v>
      </c>
      <c r="P931" s="942"/>
      <c r="Q931" s="868">
        <f>CHOORData!AP27</f>
        <v>0</v>
      </c>
      <c r="R931" s="869"/>
      <c r="S931" s="869"/>
      <c r="T931" s="870"/>
      <c r="U931" s="868">
        <f>CHOORData!BE27</f>
        <v>0</v>
      </c>
      <c r="V931" s="869"/>
      <c r="W931" s="869"/>
      <c r="X931" s="870"/>
      <c r="Y931" s="868">
        <f t="shared" si="19"/>
        <v>0</v>
      </c>
      <c r="Z931" s="869"/>
      <c r="AA931" s="869"/>
      <c r="AB931" s="870"/>
      <c r="AC931" s="866">
        <f>CHOORData!AQ27</f>
        <v>0</v>
      </c>
      <c r="AD931" s="900"/>
      <c r="AE931" s="619"/>
      <c r="AF931" s="610"/>
      <c r="AG931" s="588"/>
      <c r="AH931" s="518"/>
      <c r="AJ931" s="595" t="b">
        <f t="shared" si="20"/>
        <v>0</v>
      </c>
    </row>
    <row r="932" spans="1:36" hidden="1" x14ac:dyDescent="0.45">
      <c r="A932" s="518"/>
      <c r="B932" s="514" t="s">
        <v>1430</v>
      </c>
      <c r="C932" s="530"/>
      <c r="D932" s="530"/>
      <c r="E932" s="530"/>
      <c r="F932" s="534"/>
      <c r="G932" s="885" t="str">
        <f>IF(CHOORData!T28=0,"",CHOORData!T28)</f>
        <v/>
      </c>
      <c r="H932" s="885"/>
      <c r="I932" s="941">
        <f>CHOORData!AL28</f>
        <v>0</v>
      </c>
      <c r="J932" s="942"/>
      <c r="K932" s="941">
        <f>CHOORData!AM28</f>
        <v>0</v>
      </c>
      <c r="L932" s="942"/>
      <c r="M932" s="941">
        <f>CHOORData!AN28</f>
        <v>0</v>
      </c>
      <c r="N932" s="942"/>
      <c r="O932" s="941">
        <f>CHOORData!AO28</f>
        <v>0</v>
      </c>
      <c r="P932" s="942"/>
      <c r="Q932" s="868">
        <f>CHOORData!AP28</f>
        <v>0</v>
      </c>
      <c r="R932" s="869"/>
      <c r="S932" s="869"/>
      <c r="T932" s="870"/>
      <c r="U932" s="868">
        <f>CHOORData!BE28</f>
        <v>0</v>
      </c>
      <c r="V932" s="869"/>
      <c r="W932" s="869"/>
      <c r="X932" s="870"/>
      <c r="Y932" s="868">
        <f t="shared" si="19"/>
        <v>0</v>
      </c>
      <c r="Z932" s="869"/>
      <c r="AA932" s="869"/>
      <c r="AB932" s="870"/>
      <c r="AC932" s="866">
        <f>CHOORData!AQ28</f>
        <v>0</v>
      </c>
      <c r="AD932" s="900"/>
      <c r="AE932" s="619"/>
      <c r="AF932" s="610"/>
      <c r="AG932" s="588"/>
      <c r="AH932" s="518"/>
      <c r="AJ932" s="595" t="b">
        <f t="shared" si="20"/>
        <v>0</v>
      </c>
    </row>
    <row r="933" spans="1:36" hidden="1" x14ac:dyDescent="0.45">
      <c r="A933" s="518"/>
      <c r="B933" s="514" t="s">
        <v>1431</v>
      </c>
      <c r="C933" s="530"/>
      <c r="D933" s="530"/>
      <c r="E933" s="530"/>
      <c r="F933" s="534"/>
      <c r="G933" s="885" t="str">
        <f>IF(CHOORData!T29=0,"",CHOORData!T29)</f>
        <v/>
      </c>
      <c r="H933" s="885"/>
      <c r="I933" s="941">
        <f>CHOORData!AL29</f>
        <v>0</v>
      </c>
      <c r="J933" s="942"/>
      <c r="K933" s="941">
        <f>CHOORData!AM29</f>
        <v>0</v>
      </c>
      <c r="L933" s="942"/>
      <c r="M933" s="941">
        <f>CHOORData!AN29</f>
        <v>0</v>
      </c>
      <c r="N933" s="942"/>
      <c r="O933" s="941">
        <f>CHOORData!AO29</f>
        <v>0</v>
      </c>
      <c r="P933" s="942"/>
      <c r="Q933" s="868">
        <f>CHOORData!AP29</f>
        <v>0</v>
      </c>
      <c r="R933" s="869"/>
      <c r="S933" s="869"/>
      <c r="T933" s="870"/>
      <c r="U933" s="868">
        <f>CHOORData!BE29</f>
        <v>0</v>
      </c>
      <c r="V933" s="869"/>
      <c r="W933" s="869"/>
      <c r="X933" s="870"/>
      <c r="Y933" s="868">
        <f t="shared" si="19"/>
        <v>0</v>
      </c>
      <c r="Z933" s="869"/>
      <c r="AA933" s="869"/>
      <c r="AB933" s="870"/>
      <c r="AC933" s="866">
        <f>CHOORData!AQ29</f>
        <v>0</v>
      </c>
      <c r="AD933" s="900"/>
      <c r="AE933" s="619"/>
      <c r="AF933" s="610"/>
      <c r="AG933" s="588"/>
      <c r="AH933" s="518"/>
      <c r="AJ933" s="595" t="b">
        <f t="shared" si="20"/>
        <v>0</v>
      </c>
    </row>
    <row r="934" spans="1:36" hidden="1" x14ac:dyDescent="0.45">
      <c r="A934" s="518"/>
      <c r="B934" s="514" t="s">
        <v>1432</v>
      </c>
      <c r="C934" s="530"/>
      <c r="D934" s="530"/>
      <c r="E934" s="530"/>
      <c r="F934" s="534"/>
      <c r="G934" s="885" t="str">
        <f>IF(CHOORData!T30=0,"",CHOORData!T30)</f>
        <v/>
      </c>
      <c r="H934" s="885"/>
      <c r="I934" s="941">
        <f>CHOORData!AL30</f>
        <v>0</v>
      </c>
      <c r="J934" s="942"/>
      <c r="K934" s="941">
        <f>CHOORData!AM30</f>
        <v>0</v>
      </c>
      <c r="L934" s="942"/>
      <c r="M934" s="941">
        <f>CHOORData!AN30</f>
        <v>0</v>
      </c>
      <c r="N934" s="942"/>
      <c r="O934" s="941">
        <f>CHOORData!AO30</f>
        <v>0</v>
      </c>
      <c r="P934" s="942"/>
      <c r="Q934" s="868">
        <f>CHOORData!AP30</f>
        <v>0</v>
      </c>
      <c r="R934" s="869"/>
      <c r="S934" s="869"/>
      <c r="T934" s="870"/>
      <c r="U934" s="868">
        <f>CHOORData!BE30</f>
        <v>0</v>
      </c>
      <c r="V934" s="869"/>
      <c r="W934" s="869"/>
      <c r="X934" s="870"/>
      <c r="Y934" s="868">
        <f t="shared" si="19"/>
        <v>0</v>
      </c>
      <c r="Z934" s="869"/>
      <c r="AA934" s="869"/>
      <c r="AB934" s="870"/>
      <c r="AC934" s="866">
        <f>CHOORData!AQ30</f>
        <v>0</v>
      </c>
      <c r="AD934" s="900"/>
      <c r="AE934" s="619"/>
      <c r="AF934" s="610"/>
      <c r="AG934" s="588"/>
      <c r="AH934" s="518"/>
      <c r="AJ934" s="595" t="b">
        <f t="shared" si="20"/>
        <v>0</v>
      </c>
    </row>
    <row r="935" spans="1:36" hidden="1" x14ac:dyDescent="0.45">
      <c r="A935" s="518"/>
      <c r="B935" s="514" t="s">
        <v>1433</v>
      </c>
      <c r="C935" s="530"/>
      <c r="D935" s="530"/>
      <c r="E935" s="530"/>
      <c r="F935" s="534"/>
      <c r="G935" s="885" t="str">
        <f>IF(CHOORData!T31=0,"",CHOORData!T31)</f>
        <v/>
      </c>
      <c r="H935" s="885"/>
      <c r="I935" s="941">
        <f>CHOORData!AL31</f>
        <v>0</v>
      </c>
      <c r="J935" s="942"/>
      <c r="K935" s="941">
        <f>CHOORData!AM31</f>
        <v>0</v>
      </c>
      <c r="L935" s="942"/>
      <c r="M935" s="941">
        <f>CHOORData!AN31</f>
        <v>0</v>
      </c>
      <c r="N935" s="942"/>
      <c r="O935" s="941">
        <f>CHOORData!AO31</f>
        <v>0</v>
      </c>
      <c r="P935" s="942"/>
      <c r="Q935" s="868">
        <f>CHOORData!AP31</f>
        <v>0</v>
      </c>
      <c r="R935" s="869"/>
      <c r="S935" s="869"/>
      <c r="T935" s="870"/>
      <c r="U935" s="868">
        <f>CHOORData!BE31</f>
        <v>0</v>
      </c>
      <c r="V935" s="869"/>
      <c r="W935" s="869"/>
      <c r="X935" s="870"/>
      <c r="Y935" s="868">
        <f t="shared" si="19"/>
        <v>0</v>
      </c>
      <c r="Z935" s="869"/>
      <c r="AA935" s="869"/>
      <c r="AB935" s="870"/>
      <c r="AC935" s="866">
        <f>CHOORData!AQ31</f>
        <v>0</v>
      </c>
      <c r="AD935" s="900"/>
      <c r="AE935" s="619"/>
      <c r="AF935" s="610"/>
      <c r="AG935" s="588"/>
      <c r="AH935" s="518"/>
      <c r="AJ935" s="595" t="b">
        <f t="shared" si="20"/>
        <v>0</v>
      </c>
    </row>
    <row r="936" spans="1:36" hidden="1" x14ac:dyDescent="0.45">
      <c r="A936" s="518"/>
      <c r="B936" s="514" t="s">
        <v>1434</v>
      </c>
      <c r="C936" s="530"/>
      <c r="D936" s="530"/>
      <c r="E936" s="530"/>
      <c r="F936" s="534"/>
      <c r="G936" s="885" t="str">
        <f>IF(CHOORData!T32=0,"",CHOORData!T32)</f>
        <v/>
      </c>
      <c r="H936" s="885"/>
      <c r="I936" s="941">
        <f>CHOORData!AL32</f>
        <v>0</v>
      </c>
      <c r="J936" s="942"/>
      <c r="K936" s="941">
        <f>CHOORData!AM32</f>
        <v>0</v>
      </c>
      <c r="L936" s="942"/>
      <c r="M936" s="941">
        <f>CHOORData!AN32</f>
        <v>0</v>
      </c>
      <c r="N936" s="942"/>
      <c r="O936" s="941">
        <f>CHOORData!AO32</f>
        <v>0</v>
      </c>
      <c r="P936" s="942"/>
      <c r="Q936" s="868">
        <f>CHOORData!AP32</f>
        <v>0</v>
      </c>
      <c r="R936" s="869"/>
      <c r="S936" s="869"/>
      <c r="T936" s="870"/>
      <c r="U936" s="868">
        <f>CHOORData!BE32</f>
        <v>0</v>
      </c>
      <c r="V936" s="869"/>
      <c r="W936" s="869"/>
      <c r="X936" s="870"/>
      <c r="Y936" s="868">
        <f t="shared" si="19"/>
        <v>0</v>
      </c>
      <c r="Z936" s="869"/>
      <c r="AA936" s="869"/>
      <c r="AB936" s="870"/>
      <c r="AC936" s="866">
        <f>CHOORData!AQ32</f>
        <v>0</v>
      </c>
      <c r="AD936" s="900"/>
      <c r="AE936" s="619"/>
      <c r="AF936" s="610"/>
      <c r="AG936" s="588"/>
      <c r="AH936" s="518"/>
      <c r="AJ936" s="595" t="b">
        <f t="shared" si="20"/>
        <v>0</v>
      </c>
    </row>
    <row r="937" spans="1:36" hidden="1" x14ac:dyDescent="0.45">
      <c r="A937" s="518"/>
      <c r="B937" s="514" t="s">
        <v>1435</v>
      </c>
      <c r="C937" s="530"/>
      <c r="D937" s="530"/>
      <c r="E937" s="530"/>
      <c r="F937" s="534"/>
      <c r="G937" s="885" t="str">
        <f>IF(CHOORData!T33=0,"",CHOORData!T33)</f>
        <v/>
      </c>
      <c r="H937" s="885"/>
      <c r="I937" s="941">
        <f>CHOORData!AL33</f>
        <v>0</v>
      </c>
      <c r="J937" s="942"/>
      <c r="K937" s="941">
        <f>CHOORData!AM33</f>
        <v>0</v>
      </c>
      <c r="L937" s="942"/>
      <c r="M937" s="941">
        <f>CHOORData!AN33</f>
        <v>0</v>
      </c>
      <c r="N937" s="942"/>
      <c r="O937" s="941">
        <f>CHOORData!AO33</f>
        <v>0</v>
      </c>
      <c r="P937" s="942"/>
      <c r="Q937" s="868">
        <f>CHOORData!AP33</f>
        <v>0</v>
      </c>
      <c r="R937" s="869"/>
      <c r="S937" s="869"/>
      <c r="T937" s="870"/>
      <c r="U937" s="868">
        <f>CHOORData!BE33</f>
        <v>0</v>
      </c>
      <c r="V937" s="869"/>
      <c r="W937" s="869"/>
      <c r="X937" s="870"/>
      <c r="Y937" s="868">
        <f t="shared" si="19"/>
        <v>0</v>
      </c>
      <c r="Z937" s="869"/>
      <c r="AA937" s="869"/>
      <c r="AB937" s="870"/>
      <c r="AC937" s="866">
        <f>CHOORData!AQ33</f>
        <v>0</v>
      </c>
      <c r="AD937" s="900"/>
      <c r="AE937" s="619"/>
      <c r="AF937" s="610"/>
      <c r="AG937" s="588"/>
      <c r="AH937" s="518"/>
      <c r="AJ937" s="595" t="b">
        <f t="shared" si="20"/>
        <v>0</v>
      </c>
    </row>
    <row r="938" spans="1:36" hidden="1" x14ac:dyDescent="0.45">
      <c r="A938" s="518"/>
      <c r="B938" s="514" t="s">
        <v>1436</v>
      </c>
      <c r="C938" s="530"/>
      <c r="D938" s="530"/>
      <c r="E938" s="530"/>
      <c r="F938" s="534"/>
      <c r="G938" s="885" t="str">
        <f>IF(CHOORData!T34=0,"",CHOORData!T34)</f>
        <v/>
      </c>
      <c r="H938" s="885"/>
      <c r="I938" s="941">
        <f>CHOORData!AL34</f>
        <v>0</v>
      </c>
      <c r="J938" s="942"/>
      <c r="K938" s="941">
        <f>CHOORData!AM34</f>
        <v>0</v>
      </c>
      <c r="L938" s="942"/>
      <c r="M938" s="941">
        <f>CHOORData!AN34</f>
        <v>0</v>
      </c>
      <c r="N938" s="942"/>
      <c r="O938" s="941">
        <f>CHOORData!AO34</f>
        <v>0</v>
      </c>
      <c r="P938" s="942"/>
      <c r="Q938" s="868">
        <f>CHOORData!AP34</f>
        <v>0</v>
      </c>
      <c r="R938" s="869"/>
      <c r="S938" s="869"/>
      <c r="T938" s="870"/>
      <c r="U938" s="868">
        <f>CHOORData!BE34</f>
        <v>0</v>
      </c>
      <c r="V938" s="869"/>
      <c r="W938" s="869"/>
      <c r="X938" s="870"/>
      <c r="Y938" s="868">
        <f t="shared" si="19"/>
        <v>0</v>
      </c>
      <c r="Z938" s="869"/>
      <c r="AA938" s="869"/>
      <c r="AB938" s="870"/>
      <c r="AC938" s="866">
        <f>CHOORData!AQ34</f>
        <v>0</v>
      </c>
      <c r="AD938" s="900"/>
      <c r="AE938" s="619"/>
      <c r="AF938" s="610"/>
      <c r="AG938" s="588"/>
      <c r="AH938" s="518"/>
      <c r="AJ938" s="595" t="b">
        <f t="shared" si="20"/>
        <v>0</v>
      </c>
    </row>
    <row r="939" spans="1:36" hidden="1" x14ac:dyDescent="0.45">
      <c r="A939" s="518"/>
      <c r="B939" s="514" t="s">
        <v>1437</v>
      </c>
      <c r="C939" s="530"/>
      <c r="D939" s="530"/>
      <c r="E939" s="530"/>
      <c r="F939" s="534"/>
      <c r="G939" s="885" t="str">
        <f>IF(CHOORData!T35=0,"",CHOORData!T35)</f>
        <v/>
      </c>
      <c r="H939" s="885"/>
      <c r="I939" s="941">
        <f>CHOORData!AL35</f>
        <v>0</v>
      </c>
      <c r="J939" s="942"/>
      <c r="K939" s="941">
        <f>CHOORData!AM35</f>
        <v>0</v>
      </c>
      <c r="L939" s="942"/>
      <c r="M939" s="941">
        <f>CHOORData!AN35</f>
        <v>0</v>
      </c>
      <c r="N939" s="942"/>
      <c r="O939" s="941">
        <f>CHOORData!AO35</f>
        <v>0</v>
      </c>
      <c r="P939" s="942"/>
      <c r="Q939" s="868">
        <f>CHOORData!AP35</f>
        <v>0</v>
      </c>
      <c r="R939" s="869"/>
      <c r="S939" s="869"/>
      <c r="T939" s="870"/>
      <c r="U939" s="868">
        <f>CHOORData!BE35</f>
        <v>0</v>
      </c>
      <c r="V939" s="869"/>
      <c r="W939" s="869"/>
      <c r="X939" s="870"/>
      <c r="Y939" s="868">
        <f t="shared" si="19"/>
        <v>0</v>
      </c>
      <c r="Z939" s="869"/>
      <c r="AA939" s="869"/>
      <c r="AB939" s="870"/>
      <c r="AC939" s="866">
        <f>CHOORData!AQ35</f>
        <v>0</v>
      </c>
      <c r="AD939" s="900"/>
      <c r="AE939" s="619"/>
      <c r="AF939" s="610"/>
      <c r="AG939" s="588"/>
      <c r="AH939" s="518"/>
      <c r="AJ939" s="595" t="b">
        <f t="shared" si="20"/>
        <v>0</v>
      </c>
    </row>
    <row r="940" spans="1:36" hidden="1" x14ac:dyDescent="0.45">
      <c r="A940" s="518"/>
      <c r="B940" s="514" t="s">
        <v>1438</v>
      </c>
      <c r="C940" s="530"/>
      <c r="D940" s="530"/>
      <c r="E940" s="530"/>
      <c r="F940" s="534"/>
      <c r="G940" s="885" t="str">
        <f>IF(CHOORData!T36=0,"",CHOORData!T36)</f>
        <v/>
      </c>
      <c r="H940" s="885"/>
      <c r="I940" s="941">
        <f>CHOORData!AL36</f>
        <v>0</v>
      </c>
      <c r="J940" s="942"/>
      <c r="K940" s="941">
        <f>CHOORData!AM36</f>
        <v>0</v>
      </c>
      <c r="L940" s="942"/>
      <c r="M940" s="941">
        <f>CHOORData!AN36</f>
        <v>0</v>
      </c>
      <c r="N940" s="942"/>
      <c r="O940" s="941">
        <f>CHOORData!AO36</f>
        <v>0</v>
      </c>
      <c r="P940" s="942"/>
      <c r="Q940" s="868">
        <f>CHOORData!AP36</f>
        <v>0</v>
      </c>
      <c r="R940" s="869"/>
      <c r="S940" s="869"/>
      <c r="T940" s="870"/>
      <c r="U940" s="868">
        <f>CHOORData!BE36</f>
        <v>0</v>
      </c>
      <c r="V940" s="869"/>
      <c r="W940" s="869"/>
      <c r="X940" s="870"/>
      <c r="Y940" s="868">
        <f t="shared" si="19"/>
        <v>0</v>
      </c>
      <c r="Z940" s="869"/>
      <c r="AA940" s="869"/>
      <c r="AB940" s="870"/>
      <c r="AC940" s="866">
        <f>CHOORData!AQ36</f>
        <v>0</v>
      </c>
      <c r="AD940" s="900"/>
      <c r="AE940" s="619"/>
      <c r="AF940" s="610"/>
      <c r="AG940" s="588"/>
      <c r="AH940" s="518"/>
      <c r="AJ940" s="595" t="b">
        <f t="shared" si="20"/>
        <v>0</v>
      </c>
    </row>
    <row r="941" spans="1:36" hidden="1" x14ac:dyDescent="0.45">
      <c r="A941" s="518"/>
      <c r="B941" s="514" t="s">
        <v>1439</v>
      </c>
      <c r="C941" s="530"/>
      <c r="D941" s="530"/>
      <c r="E941" s="530"/>
      <c r="F941" s="534"/>
      <c r="G941" s="885" t="str">
        <f>IF(CHOORData!T37=0,"",CHOORData!T37)</f>
        <v/>
      </c>
      <c r="H941" s="885"/>
      <c r="I941" s="941">
        <f>CHOORData!AL37</f>
        <v>0</v>
      </c>
      <c r="J941" s="942"/>
      <c r="K941" s="941">
        <f>CHOORData!AM37</f>
        <v>0</v>
      </c>
      <c r="L941" s="942"/>
      <c r="M941" s="941">
        <f>CHOORData!AN37</f>
        <v>0</v>
      </c>
      <c r="N941" s="942"/>
      <c r="O941" s="941">
        <f>CHOORData!AO37</f>
        <v>0</v>
      </c>
      <c r="P941" s="942"/>
      <c r="Q941" s="868">
        <f>CHOORData!AP37</f>
        <v>0</v>
      </c>
      <c r="R941" s="869"/>
      <c r="S941" s="869"/>
      <c r="T941" s="870"/>
      <c r="U941" s="868">
        <f>CHOORData!BE37</f>
        <v>0</v>
      </c>
      <c r="V941" s="869"/>
      <c r="W941" s="869"/>
      <c r="X941" s="870"/>
      <c r="Y941" s="868">
        <f t="shared" si="19"/>
        <v>0</v>
      </c>
      <c r="Z941" s="869"/>
      <c r="AA941" s="869"/>
      <c r="AB941" s="870"/>
      <c r="AC941" s="866">
        <f>CHOORData!AQ37</f>
        <v>0</v>
      </c>
      <c r="AD941" s="900"/>
      <c r="AE941" s="619"/>
      <c r="AF941" s="610"/>
      <c r="AG941" s="588"/>
      <c r="AH941" s="518"/>
      <c r="AJ941" s="595" t="b">
        <f t="shared" si="20"/>
        <v>0</v>
      </c>
    </row>
    <row r="942" spans="1:36" hidden="1" x14ac:dyDescent="0.45">
      <c r="A942" s="518"/>
      <c r="B942" s="514" t="s">
        <v>1440</v>
      </c>
      <c r="C942" s="530"/>
      <c r="D942" s="530"/>
      <c r="E942" s="530"/>
      <c r="F942" s="534"/>
      <c r="G942" s="885" t="str">
        <f>IF(CHOORData!T38=0,"",CHOORData!T38)</f>
        <v/>
      </c>
      <c r="H942" s="885"/>
      <c r="I942" s="941">
        <f>CHOORData!AL38</f>
        <v>0</v>
      </c>
      <c r="J942" s="942"/>
      <c r="K942" s="941">
        <f>CHOORData!AM38</f>
        <v>0</v>
      </c>
      <c r="L942" s="942"/>
      <c r="M942" s="941">
        <f>CHOORData!AN38</f>
        <v>0</v>
      </c>
      <c r="N942" s="942"/>
      <c r="O942" s="941">
        <f>CHOORData!AO38</f>
        <v>0</v>
      </c>
      <c r="P942" s="942"/>
      <c r="Q942" s="868">
        <f>CHOORData!AP38</f>
        <v>0</v>
      </c>
      <c r="R942" s="869"/>
      <c r="S942" s="869"/>
      <c r="T942" s="870"/>
      <c r="U942" s="868">
        <f>CHOORData!BE38</f>
        <v>0</v>
      </c>
      <c r="V942" s="869"/>
      <c r="W942" s="869"/>
      <c r="X942" s="870"/>
      <c r="Y942" s="868">
        <f t="shared" si="19"/>
        <v>0</v>
      </c>
      <c r="Z942" s="869"/>
      <c r="AA942" s="869"/>
      <c r="AB942" s="870"/>
      <c r="AC942" s="866">
        <f>CHOORData!AQ38</f>
        <v>0</v>
      </c>
      <c r="AD942" s="900"/>
      <c r="AE942" s="619"/>
      <c r="AF942" s="610"/>
      <c r="AG942" s="588"/>
      <c r="AH942" s="518"/>
      <c r="AJ942" s="595" t="b">
        <f t="shared" si="20"/>
        <v>0</v>
      </c>
    </row>
    <row r="943" spans="1:36" hidden="1" x14ac:dyDescent="0.45">
      <c r="A943" s="518"/>
      <c r="B943" s="514" t="s">
        <v>1441</v>
      </c>
      <c r="C943" s="530"/>
      <c r="D943" s="530"/>
      <c r="E943" s="530"/>
      <c r="F943" s="534"/>
      <c r="G943" s="885" t="str">
        <f>IF(CHOORData!T39=0,"",CHOORData!T39)</f>
        <v/>
      </c>
      <c r="H943" s="885"/>
      <c r="I943" s="941">
        <f>CHOORData!AL39</f>
        <v>0</v>
      </c>
      <c r="J943" s="942"/>
      <c r="K943" s="941">
        <f>CHOORData!AM39</f>
        <v>0</v>
      </c>
      <c r="L943" s="942"/>
      <c r="M943" s="941">
        <f>CHOORData!AN39</f>
        <v>0</v>
      </c>
      <c r="N943" s="942"/>
      <c r="O943" s="941">
        <f>CHOORData!AO39</f>
        <v>0</v>
      </c>
      <c r="P943" s="942"/>
      <c r="Q943" s="868">
        <f>CHOORData!AP39</f>
        <v>0</v>
      </c>
      <c r="R943" s="869"/>
      <c r="S943" s="869"/>
      <c r="T943" s="870"/>
      <c r="U943" s="868">
        <f>CHOORData!BE39</f>
        <v>0</v>
      </c>
      <c r="V943" s="869"/>
      <c r="W943" s="869"/>
      <c r="X943" s="870"/>
      <c r="Y943" s="868">
        <f t="shared" si="19"/>
        <v>0</v>
      </c>
      <c r="Z943" s="869"/>
      <c r="AA943" s="869"/>
      <c r="AB943" s="870"/>
      <c r="AC943" s="866">
        <f>CHOORData!AQ39</f>
        <v>0</v>
      </c>
      <c r="AD943" s="900"/>
      <c r="AE943" s="619"/>
      <c r="AF943" s="610"/>
      <c r="AG943" s="588"/>
      <c r="AH943" s="518"/>
      <c r="AJ943" s="595" t="b">
        <f t="shared" si="20"/>
        <v>0</v>
      </c>
    </row>
    <row r="944" spans="1:36" hidden="1" x14ac:dyDescent="0.45">
      <c r="A944" s="518"/>
      <c r="B944" s="514" t="s">
        <v>152</v>
      </c>
      <c r="C944" s="530"/>
      <c r="D944" s="530"/>
      <c r="E944" s="530"/>
      <c r="F944" s="534"/>
      <c r="G944" s="885" t="str">
        <f>IF(CHOORData!T40=0,"",CHOORData!T40)</f>
        <v/>
      </c>
      <c r="H944" s="885"/>
      <c r="I944" s="941">
        <f>CHOORData!AL40</f>
        <v>0</v>
      </c>
      <c r="J944" s="942"/>
      <c r="K944" s="941">
        <f>CHOORData!AM40</f>
        <v>0</v>
      </c>
      <c r="L944" s="942"/>
      <c r="M944" s="941">
        <f>CHOORData!AN40</f>
        <v>0</v>
      </c>
      <c r="N944" s="942"/>
      <c r="O944" s="941">
        <f>CHOORData!AO40</f>
        <v>0</v>
      </c>
      <c r="P944" s="942"/>
      <c r="Q944" s="868">
        <f>CHOORData!AP40</f>
        <v>0</v>
      </c>
      <c r="R944" s="869"/>
      <c r="S944" s="869"/>
      <c r="T944" s="870"/>
      <c r="U944" s="868">
        <f>CHOORData!BE40</f>
        <v>0</v>
      </c>
      <c r="V944" s="869"/>
      <c r="W944" s="869"/>
      <c r="X944" s="870"/>
      <c r="Y944" s="868">
        <f t="shared" si="19"/>
        <v>0</v>
      </c>
      <c r="Z944" s="869"/>
      <c r="AA944" s="869"/>
      <c r="AB944" s="870"/>
      <c r="AC944" s="866">
        <f>CHOORData!AQ40</f>
        <v>0</v>
      </c>
      <c r="AD944" s="900"/>
      <c r="AE944" s="619"/>
      <c r="AF944" s="610"/>
      <c r="AG944" s="588"/>
      <c r="AH944" s="518"/>
      <c r="AJ944" s="595" t="b">
        <f t="shared" si="20"/>
        <v>0</v>
      </c>
    </row>
    <row r="945" spans="1:36" hidden="1" x14ac:dyDescent="0.45">
      <c r="A945" s="518"/>
      <c r="B945" s="514" t="s">
        <v>1442</v>
      </c>
      <c r="C945" s="530"/>
      <c r="D945" s="530"/>
      <c r="E945" s="530"/>
      <c r="F945" s="534"/>
      <c r="G945" s="885" t="str">
        <f>IF(CHOORData!T41=0,"",CHOORData!T41)</f>
        <v/>
      </c>
      <c r="H945" s="885"/>
      <c r="I945" s="941">
        <f>CHOORData!AL41</f>
        <v>0</v>
      </c>
      <c r="J945" s="942"/>
      <c r="K945" s="941">
        <f>CHOORData!AM41</f>
        <v>0</v>
      </c>
      <c r="L945" s="942"/>
      <c r="M945" s="941">
        <f>CHOORData!AN41</f>
        <v>0</v>
      </c>
      <c r="N945" s="942"/>
      <c r="O945" s="941">
        <f>CHOORData!AO41</f>
        <v>0</v>
      </c>
      <c r="P945" s="942"/>
      <c r="Q945" s="868">
        <f>CHOORData!AP41</f>
        <v>0</v>
      </c>
      <c r="R945" s="869"/>
      <c r="S945" s="869"/>
      <c r="T945" s="870"/>
      <c r="U945" s="868">
        <f>CHOORData!BE41</f>
        <v>0</v>
      </c>
      <c r="V945" s="869"/>
      <c r="W945" s="869"/>
      <c r="X945" s="870"/>
      <c r="Y945" s="868">
        <f t="shared" si="19"/>
        <v>0</v>
      </c>
      <c r="Z945" s="869"/>
      <c r="AA945" s="869"/>
      <c r="AB945" s="870"/>
      <c r="AC945" s="866">
        <f>CHOORData!AQ41</f>
        <v>0</v>
      </c>
      <c r="AD945" s="900"/>
      <c r="AE945" s="619"/>
      <c r="AF945" s="610"/>
      <c r="AG945" s="588"/>
      <c r="AH945" s="518"/>
      <c r="AJ945" s="595" t="b">
        <f t="shared" si="20"/>
        <v>0</v>
      </c>
    </row>
    <row r="946" spans="1:36" hidden="1" x14ac:dyDescent="0.45">
      <c r="A946" s="518"/>
      <c r="B946" s="514" t="s">
        <v>1443</v>
      </c>
      <c r="C946" s="530"/>
      <c r="D946" s="530"/>
      <c r="E946" s="530"/>
      <c r="F946" s="534"/>
      <c r="G946" s="885" t="str">
        <f>IF(CHOORData!T42=0,"",CHOORData!T42)</f>
        <v/>
      </c>
      <c r="H946" s="885"/>
      <c r="I946" s="941">
        <f>CHOORData!AL42</f>
        <v>0</v>
      </c>
      <c r="J946" s="942"/>
      <c r="K946" s="941">
        <f>CHOORData!AM42</f>
        <v>0</v>
      </c>
      <c r="L946" s="942"/>
      <c r="M946" s="941">
        <f>CHOORData!AN42</f>
        <v>0</v>
      </c>
      <c r="N946" s="942"/>
      <c r="O946" s="941">
        <f>CHOORData!AO42</f>
        <v>0</v>
      </c>
      <c r="P946" s="942"/>
      <c r="Q946" s="868">
        <f>CHOORData!AP42</f>
        <v>0</v>
      </c>
      <c r="R946" s="869"/>
      <c r="S946" s="869"/>
      <c r="T946" s="870"/>
      <c r="U946" s="868">
        <f>CHOORData!BE42</f>
        <v>0</v>
      </c>
      <c r="V946" s="869"/>
      <c r="W946" s="869"/>
      <c r="X946" s="870"/>
      <c r="Y946" s="868">
        <f t="shared" si="19"/>
        <v>0</v>
      </c>
      <c r="Z946" s="869"/>
      <c r="AA946" s="869"/>
      <c r="AB946" s="870"/>
      <c r="AC946" s="866">
        <f>CHOORData!AQ42</f>
        <v>0</v>
      </c>
      <c r="AD946" s="900"/>
      <c r="AE946" s="619"/>
      <c r="AF946" s="610"/>
      <c r="AG946" s="588"/>
      <c r="AH946" s="518"/>
      <c r="AJ946" s="595" t="b">
        <f t="shared" si="20"/>
        <v>0</v>
      </c>
    </row>
    <row r="947" spans="1:36" hidden="1" x14ac:dyDescent="0.45">
      <c r="A947" s="518"/>
      <c r="B947" s="514" t="s">
        <v>1444</v>
      </c>
      <c r="C947" s="530"/>
      <c r="D947" s="530"/>
      <c r="E947" s="530"/>
      <c r="F947" s="534"/>
      <c r="G947" s="885" t="str">
        <f>IF(CHOORData!T43=0,"",CHOORData!T43)</f>
        <v/>
      </c>
      <c r="H947" s="885"/>
      <c r="I947" s="941">
        <f>CHOORData!AL43</f>
        <v>0</v>
      </c>
      <c r="J947" s="942"/>
      <c r="K947" s="941">
        <f>CHOORData!AM43</f>
        <v>0</v>
      </c>
      <c r="L947" s="942"/>
      <c r="M947" s="941">
        <f>CHOORData!AN43</f>
        <v>0</v>
      </c>
      <c r="N947" s="942"/>
      <c r="O947" s="941">
        <f>CHOORData!AO43</f>
        <v>0</v>
      </c>
      <c r="P947" s="942"/>
      <c r="Q947" s="868">
        <f>CHOORData!AP43</f>
        <v>0</v>
      </c>
      <c r="R947" s="869"/>
      <c r="S947" s="869"/>
      <c r="T947" s="870"/>
      <c r="U947" s="868">
        <f>CHOORData!BE43</f>
        <v>0</v>
      </c>
      <c r="V947" s="869"/>
      <c r="W947" s="869"/>
      <c r="X947" s="870"/>
      <c r="Y947" s="868">
        <f t="shared" si="19"/>
        <v>0</v>
      </c>
      <c r="Z947" s="869"/>
      <c r="AA947" s="869"/>
      <c r="AB947" s="870"/>
      <c r="AC947" s="866">
        <f>CHOORData!AQ43</f>
        <v>0</v>
      </c>
      <c r="AD947" s="900"/>
      <c r="AE947" s="619"/>
      <c r="AF947" s="610"/>
      <c r="AG947" s="588"/>
      <c r="AH947" s="518"/>
      <c r="AJ947" s="595" t="b">
        <f t="shared" si="20"/>
        <v>0</v>
      </c>
    </row>
    <row r="948" spans="1:36" hidden="1" x14ac:dyDescent="0.45">
      <c r="A948" s="518"/>
      <c r="B948" s="514" t="s">
        <v>1445</v>
      </c>
      <c r="C948" s="530"/>
      <c r="D948" s="530"/>
      <c r="E948" s="530"/>
      <c r="F948" s="534"/>
      <c r="G948" s="885" t="str">
        <f>IF(CHOORData!T44=0,"",CHOORData!T44)</f>
        <v/>
      </c>
      <c r="H948" s="885"/>
      <c r="I948" s="941">
        <f>CHOORData!AL44</f>
        <v>0</v>
      </c>
      <c r="J948" s="942"/>
      <c r="K948" s="941">
        <f>CHOORData!AM44</f>
        <v>0</v>
      </c>
      <c r="L948" s="942"/>
      <c r="M948" s="941">
        <f>CHOORData!AN44</f>
        <v>0</v>
      </c>
      <c r="N948" s="942"/>
      <c r="O948" s="941">
        <f>CHOORData!AO44</f>
        <v>0</v>
      </c>
      <c r="P948" s="942"/>
      <c r="Q948" s="868">
        <f>CHOORData!AP44</f>
        <v>0</v>
      </c>
      <c r="R948" s="869"/>
      <c r="S948" s="869"/>
      <c r="T948" s="870"/>
      <c r="U948" s="868">
        <f>CHOORData!BE44</f>
        <v>0</v>
      </c>
      <c r="V948" s="869"/>
      <c r="W948" s="869"/>
      <c r="X948" s="870"/>
      <c r="Y948" s="868">
        <f t="shared" si="19"/>
        <v>0</v>
      </c>
      <c r="Z948" s="869"/>
      <c r="AA948" s="869"/>
      <c r="AB948" s="870"/>
      <c r="AC948" s="866">
        <f>CHOORData!AQ44</f>
        <v>0</v>
      </c>
      <c r="AD948" s="900"/>
      <c r="AE948" s="619"/>
      <c r="AF948" s="610"/>
      <c r="AG948" s="588"/>
      <c r="AH948" s="518"/>
      <c r="AJ948" s="595" t="b">
        <f t="shared" si="20"/>
        <v>0</v>
      </c>
    </row>
    <row r="949" spans="1:36" hidden="1" x14ac:dyDescent="0.45">
      <c r="A949" s="518"/>
      <c r="B949" s="514" t="s">
        <v>1446</v>
      </c>
      <c r="C949" s="530"/>
      <c r="D949" s="530"/>
      <c r="E949" s="530"/>
      <c r="F949" s="534"/>
      <c r="G949" s="885" t="str">
        <f>IF(CHOORData!T45=0,"",CHOORData!T45)</f>
        <v/>
      </c>
      <c r="H949" s="885"/>
      <c r="I949" s="941">
        <f>CHOORData!AL45</f>
        <v>0</v>
      </c>
      <c r="J949" s="942"/>
      <c r="K949" s="941">
        <f>CHOORData!AM45</f>
        <v>0</v>
      </c>
      <c r="L949" s="942"/>
      <c r="M949" s="941">
        <f>CHOORData!AN45</f>
        <v>0</v>
      </c>
      <c r="N949" s="942"/>
      <c r="O949" s="941">
        <f>CHOORData!AO45</f>
        <v>0</v>
      </c>
      <c r="P949" s="942"/>
      <c r="Q949" s="868">
        <f>CHOORData!AP45</f>
        <v>0</v>
      </c>
      <c r="R949" s="869"/>
      <c r="S949" s="869"/>
      <c r="T949" s="870"/>
      <c r="U949" s="868">
        <f>CHOORData!BE45</f>
        <v>0</v>
      </c>
      <c r="V949" s="869"/>
      <c r="W949" s="869"/>
      <c r="X949" s="870"/>
      <c r="Y949" s="868">
        <f t="shared" si="19"/>
        <v>0</v>
      </c>
      <c r="Z949" s="869"/>
      <c r="AA949" s="869"/>
      <c r="AB949" s="870"/>
      <c r="AC949" s="866">
        <f>CHOORData!AQ45</f>
        <v>0</v>
      </c>
      <c r="AD949" s="900"/>
      <c r="AE949" s="619"/>
      <c r="AF949" s="610"/>
      <c r="AG949" s="588"/>
      <c r="AH949" s="518"/>
      <c r="AJ949" s="595" t="b">
        <f t="shared" si="20"/>
        <v>0</v>
      </c>
    </row>
    <row r="950" spans="1:36" hidden="1" x14ac:dyDescent="0.45">
      <c r="B950" s="514" t="s">
        <v>1447</v>
      </c>
      <c r="C950" s="530"/>
      <c r="D950" s="530"/>
      <c r="E950" s="530"/>
      <c r="F950" s="534"/>
      <c r="G950" s="885" t="str">
        <f>IF(CHOORData!T46=0,"",CHOORData!T46)</f>
        <v/>
      </c>
      <c r="H950" s="885"/>
      <c r="I950" s="941">
        <f>CHOORData!AL46</f>
        <v>0</v>
      </c>
      <c r="J950" s="942"/>
      <c r="K950" s="941">
        <f>CHOORData!AM46</f>
        <v>0</v>
      </c>
      <c r="L950" s="942"/>
      <c r="M950" s="941">
        <f>CHOORData!AN46</f>
        <v>0</v>
      </c>
      <c r="N950" s="942"/>
      <c r="O950" s="941">
        <f>CHOORData!AO46</f>
        <v>0</v>
      </c>
      <c r="P950" s="942"/>
      <c r="Q950" s="868">
        <f>CHOORData!AP46</f>
        <v>0</v>
      </c>
      <c r="R950" s="869"/>
      <c r="S950" s="869"/>
      <c r="T950" s="870"/>
      <c r="U950" s="868">
        <f>CHOORData!BE46</f>
        <v>0</v>
      </c>
      <c r="V950" s="869"/>
      <c r="W950" s="869"/>
      <c r="X950" s="870"/>
      <c r="Y950" s="868">
        <f t="shared" si="19"/>
        <v>0</v>
      </c>
      <c r="Z950" s="869"/>
      <c r="AA950" s="869"/>
      <c r="AB950" s="870"/>
      <c r="AC950" s="866">
        <f>CHOORData!AQ46</f>
        <v>0</v>
      </c>
      <c r="AD950" s="900"/>
      <c r="AE950" s="619"/>
      <c r="AF950" s="610"/>
      <c r="AG950" s="588"/>
      <c r="AH950" s="518"/>
      <c r="AJ950" s="595" t="b">
        <f t="shared" si="20"/>
        <v>0</v>
      </c>
    </row>
    <row r="951" spans="1:36" hidden="1" x14ac:dyDescent="0.45">
      <c r="B951" s="514" t="s">
        <v>1448</v>
      </c>
      <c r="C951" s="530"/>
      <c r="D951" s="530"/>
      <c r="E951" s="530"/>
      <c r="F951" s="534"/>
      <c r="G951" s="885" t="str">
        <f>IF(CHOORData!T47=0,"",CHOORData!T47)</f>
        <v/>
      </c>
      <c r="H951" s="885"/>
      <c r="I951" s="941">
        <f>CHOORData!AL47</f>
        <v>0</v>
      </c>
      <c r="J951" s="942"/>
      <c r="K951" s="941">
        <f>CHOORData!AM47</f>
        <v>0</v>
      </c>
      <c r="L951" s="942"/>
      <c r="M951" s="941">
        <f>CHOORData!AN47</f>
        <v>0</v>
      </c>
      <c r="N951" s="942"/>
      <c r="O951" s="941">
        <f>CHOORData!AO47</f>
        <v>0</v>
      </c>
      <c r="P951" s="942"/>
      <c r="Q951" s="868">
        <f>CHOORData!AP47</f>
        <v>0</v>
      </c>
      <c r="R951" s="869"/>
      <c r="S951" s="869"/>
      <c r="T951" s="870"/>
      <c r="U951" s="868">
        <f>CHOORData!BE47</f>
        <v>0</v>
      </c>
      <c r="V951" s="869"/>
      <c r="W951" s="869"/>
      <c r="X951" s="870"/>
      <c r="Y951" s="868">
        <f t="shared" si="19"/>
        <v>0</v>
      </c>
      <c r="Z951" s="869"/>
      <c r="AA951" s="869"/>
      <c r="AB951" s="870"/>
      <c r="AC951" s="866">
        <f>CHOORData!AQ47</f>
        <v>0</v>
      </c>
      <c r="AD951" s="900"/>
      <c r="AE951" s="619"/>
      <c r="AF951" s="610"/>
      <c r="AG951" s="588"/>
      <c r="AH951" s="518"/>
      <c r="AJ951" s="595" t="b">
        <f t="shared" si="20"/>
        <v>0</v>
      </c>
    </row>
    <row r="952" spans="1:36" hidden="1" x14ac:dyDescent="0.45">
      <c r="B952" s="514" t="s">
        <v>1449</v>
      </c>
      <c r="C952" s="530"/>
      <c r="D952" s="530"/>
      <c r="E952" s="530"/>
      <c r="F952" s="534"/>
      <c r="G952" s="885" t="str">
        <f>IF(CHOORData!T48=0,"",CHOORData!T48)</f>
        <v/>
      </c>
      <c r="H952" s="885"/>
      <c r="I952" s="941">
        <f>CHOORData!AL48</f>
        <v>0</v>
      </c>
      <c r="J952" s="942"/>
      <c r="K952" s="941">
        <f>CHOORData!AM48</f>
        <v>0</v>
      </c>
      <c r="L952" s="942"/>
      <c r="M952" s="941">
        <f>CHOORData!AN48</f>
        <v>0</v>
      </c>
      <c r="N952" s="942"/>
      <c r="O952" s="941">
        <f>CHOORData!AO48</f>
        <v>0</v>
      </c>
      <c r="P952" s="942"/>
      <c r="Q952" s="868">
        <f>CHOORData!AP48</f>
        <v>0</v>
      </c>
      <c r="R952" s="869"/>
      <c r="S952" s="869"/>
      <c r="T952" s="870"/>
      <c r="U952" s="868">
        <f>CHOORData!BE48</f>
        <v>0</v>
      </c>
      <c r="V952" s="869"/>
      <c r="W952" s="869"/>
      <c r="X952" s="870"/>
      <c r="Y952" s="868">
        <f t="shared" si="19"/>
        <v>0</v>
      </c>
      <c r="Z952" s="869"/>
      <c r="AA952" s="869"/>
      <c r="AB952" s="870"/>
      <c r="AC952" s="866">
        <f>CHOORData!AQ48</f>
        <v>0</v>
      </c>
      <c r="AD952" s="900"/>
      <c r="AE952" s="619"/>
      <c r="AF952" s="610"/>
      <c r="AG952" s="588"/>
      <c r="AH952" s="518"/>
      <c r="AJ952" s="595" t="b">
        <f t="shared" si="20"/>
        <v>0</v>
      </c>
    </row>
    <row r="953" spans="1:36" hidden="1" x14ac:dyDescent="0.45">
      <c r="B953" s="514" t="s">
        <v>1450</v>
      </c>
      <c r="C953" s="530"/>
      <c r="D953" s="530"/>
      <c r="E953" s="530"/>
      <c r="F953" s="534"/>
      <c r="G953" s="885" t="str">
        <f>IF(CHOORData!T49=0,"",CHOORData!T49)</f>
        <v/>
      </c>
      <c r="H953" s="885"/>
      <c r="I953" s="941">
        <f>CHOORData!AL49</f>
        <v>0</v>
      </c>
      <c r="J953" s="942"/>
      <c r="K953" s="941">
        <f>CHOORData!AM49</f>
        <v>0</v>
      </c>
      <c r="L953" s="942"/>
      <c r="M953" s="941">
        <f>CHOORData!AN49</f>
        <v>0</v>
      </c>
      <c r="N953" s="942"/>
      <c r="O953" s="941">
        <f>CHOORData!AO49</f>
        <v>0</v>
      </c>
      <c r="P953" s="942"/>
      <c r="Q953" s="868">
        <f>CHOORData!AP49</f>
        <v>0</v>
      </c>
      <c r="R953" s="869"/>
      <c r="S953" s="869"/>
      <c r="T953" s="870"/>
      <c r="U953" s="868">
        <f>CHOORData!BE49</f>
        <v>0</v>
      </c>
      <c r="V953" s="869"/>
      <c r="W953" s="869"/>
      <c r="X953" s="870"/>
      <c r="Y953" s="868">
        <f t="shared" si="19"/>
        <v>0</v>
      </c>
      <c r="Z953" s="869"/>
      <c r="AA953" s="869"/>
      <c r="AB953" s="870"/>
      <c r="AC953" s="866">
        <f>CHOORData!AQ49</f>
        <v>0</v>
      </c>
      <c r="AD953" s="900"/>
      <c r="AE953" s="619"/>
      <c r="AF953" s="610"/>
      <c r="AG953" s="588"/>
      <c r="AH953" s="518"/>
      <c r="AJ953" s="595" t="b">
        <f t="shared" si="20"/>
        <v>0</v>
      </c>
    </row>
    <row r="954" spans="1:36" hidden="1" x14ac:dyDescent="0.45">
      <c r="B954" s="514" t="s">
        <v>1451</v>
      </c>
      <c r="C954" s="530"/>
      <c r="D954" s="530"/>
      <c r="E954" s="530"/>
      <c r="F954" s="534"/>
      <c r="G954" s="885" t="str">
        <f>IF(CHOORData!T50=0,"",CHOORData!T50)</f>
        <v/>
      </c>
      <c r="H954" s="885"/>
      <c r="I954" s="941">
        <f>CHOORData!AL50</f>
        <v>0</v>
      </c>
      <c r="J954" s="942"/>
      <c r="K954" s="941">
        <f>CHOORData!AM50</f>
        <v>0</v>
      </c>
      <c r="L954" s="942"/>
      <c r="M954" s="941">
        <f>CHOORData!AN50</f>
        <v>0</v>
      </c>
      <c r="N954" s="942"/>
      <c r="O954" s="941">
        <f>CHOORData!AO50</f>
        <v>0</v>
      </c>
      <c r="P954" s="942"/>
      <c r="Q954" s="868">
        <f>CHOORData!AP50</f>
        <v>0</v>
      </c>
      <c r="R954" s="869"/>
      <c r="S954" s="869"/>
      <c r="T954" s="870"/>
      <c r="U954" s="868">
        <f>CHOORData!BE50</f>
        <v>0</v>
      </c>
      <c r="V954" s="869"/>
      <c r="W954" s="869"/>
      <c r="X954" s="870"/>
      <c r="Y954" s="868">
        <f t="shared" si="19"/>
        <v>0</v>
      </c>
      <c r="Z954" s="869"/>
      <c r="AA954" s="869"/>
      <c r="AB954" s="870"/>
      <c r="AC954" s="866">
        <f>CHOORData!AQ50</f>
        <v>0</v>
      </c>
      <c r="AD954" s="900"/>
      <c r="AE954" s="619"/>
      <c r="AF954" s="610"/>
      <c r="AG954" s="588"/>
      <c r="AH954" s="518"/>
      <c r="AJ954" s="595" t="b">
        <f t="shared" si="20"/>
        <v>0</v>
      </c>
    </row>
    <row r="955" spans="1:36" hidden="1" x14ac:dyDescent="0.45">
      <c r="B955" s="514" t="s">
        <v>1452</v>
      </c>
      <c r="C955" s="530"/>
      <c r="D955" s="530"/>
      <c r="E955" s="530"/>
      <c r="F955" s="534"/>
      <c r="G955" s="885" t="str">
        <f>IF(CHOORData!T51=0,"",CHOORData!T51)</f>
        <v/>
      </c>
      <c r="H955" s="885"/>
      <c r="I955" s="941">
        <f>CHOORData!AL51</f>
        <v>0</v>
      </c>
      <c r="J955" s="942"/>
      <c r="K955" s="941">
        <f>CHOORData!AM51</f>
        <v>0</v>
      </c>
      <c r="L955" s="942"/>
      <c r="M955" s="941">
        <f>CHOORData!AN51</f>
        <v>0</v>
      </c>
      <c r="N955" s="942"/>
      <c r="O955" s="941">
        <f>CHOORData!AO51</f>
        <v>0</v>
      </c>
      <c r="P955" s="942"/>
      <c r="Q955" s="868">
        <f>CHOORData!AP51</f>
        <v>0</v>
      </c>
      <c r="R955" s="869"/>
      <c r="S955" s="869"/>
      <c r="T955" s="870"/>
      <c r="U955" s="868">
        <f>CHOORData!BE51</f>
        <v>0</v>
      </c>
      <c r="V955" s="869"/>
      <c r="W955" s="869"/>
      <c r="X955" s="870"/>
      <c r="Y955" s="868">
        <f t="shared" si="19"/>
        <v>0</v>
      </c>
      <c r="Z955" s="869"/>
      <c r="AA955" s="869"/>
      <c r="AB955" s="870"/>
      <c r="AC955" s="866">
        <f>CHOORData!AQ51</f>
        <v>0</v>
      </c>
      <c r="AD955" s="900"/>
      <c r="AE955" s="619"/>
      <c r="AF955" s="610"/>
      <c r="AG955" s="588"/>
      <c r="AH955" s="518"/>
      <c r="AJ955" s="595" t="b">
        <f t="shared" si="20"/>
        <v>0</v>
      </c>
    </row>
    <row r="956" spans="1:36" hidden="1" x14ac:dyDescent="0.45">
      <c r="B956" s="514" t="s">
        <v>1453</v>
      </c>
      <c r="C956" s="530"/>
      <c r="D956" s="530"/>
      <c r="E956" s="530"/>
      <c r="F956" s="534"/>
      <c r="G956" s="885" t="str">
        <f>IF(CHOORData!T52=0,"",CHOORData!T52)</f>
        <v/>
      </c>
      <c r="H956" s="885"/>
      <c r="I956" s="941">
        <f>CHOORData!AL52</f>
        <v>0</v>
      </c>
      <c r="J956" s="942"/>
      <c r="K956" s="941">
        <f>CHOORData!AM52</f>
        <v>0</v>
      </c>
      <c r="L956" s="942"/>
      <c r="M956" s="941">
        <f>CHOORData!AN52</f>
        <v>0</v>
      </c>
      <c r="N956" s="942"/>
      <c r="O956" s="941">
        <f>CHOORData!AO52</f>
        <v>0</v>
      </c>
      <c r="P956" s="942"/>
      <c r="Q956" s="868">
        <f>CHOORData!AP52</f>
        <v>0</v>
      </c>
      <c r="R956" s="869"/>
      <c r="S956" s="869"/>
      <c r="T956" s="870"/>
      <c r="U956" s="868">
        <f>CHOORData!BE52</f>
        <v>0</v>
      </c>
      <c r="V956" s="869"/>
      <c r="W956" s="869"/>
      <c r="X956" s="870"/>
      <c r="Y956" s="868">
        <f t="shared" si="19"/>
        <v>0</v>
      </c>
      <c r="Z956" s="869"/>
      <c r="AA956" s="869"/>
      <c r="AB956" s="870"/>
      <c r="AC956" s="866">
        <f>CHOORData!AQ52</f>
        <v>0</v>
      </c>
      <c r="AD956" s="900"/>
      <c r="AE956" s="619"/>
      <c r="AF956" s="610"/>
      <c r="AG956" s="588"/>
      <c r="AH956" s="518"/>
      <c r="AJ956" s="595" t="b">
        <f t="shared" si="20"/>
        <v>0</v>
      </c>
    </row>
    <row r="957" spans="1:36" hidden="1" x14ac:dyDescent="0.45">
      <c r="B957" s="514" t="s">
        <v>1454</v>
      </c>
      <c r="C957" s="530"/>
      <c r="D957" s="530"/>
      <c r="E957" s="530"/>
      <c r="F957" s="534"/>
      <c r="G957" s="885" t="str">
        <f>IF(CHOORData!T53=0,"",CHOORData!T53)</f>
        <v/>
      </c>
      <c r="H957" s="885"/>
      <c r="I957" s="941">
        <f>CHOORData!AL53</f>
        <v>0</v>
      </c>
      <c r="J957" s="942"/>
      <c r="K957" s="941">
        <f>CHOORData!AM53</f>
        <v>0</v>
      </c>
      <c r="L957" s="942"/>
      <c r="M957" s="941">
        <f>CHOORData!AN53</f>
        <v>0</v>
      </c>
      <c r="N957" s="942"/>
      <c r="O957" s="941">
        <f>CHOORData!AO53</f>
        <v>0</v>
      </c>
      <c r="P957" s="942"/>
      <c r="Q957" s="868">
        <f>CHOORData!AP53</f>
        <v>0</v>
      </c>
      <c r="R957" s="869"/>
      <c r="S957" s="869"/>
      <c r="T957" s="870"/>
      <c r="U957" s="868">
        <f>CHOORData!BE53</f>
        <v>0</v>
      </c>
      <c r="V957" s="869"/>
      <c r="W957" s="869"/>
      <c r="X957" s="870"/>
      <c r="Y957" s="868">
        <f t="shared" si="19"/>
        <v>0</v>
      </c>
      <c r="Z957" s="869"/>
      <c r="AA957" s="869"/>
      <c r="AB957" s="870"/>
      <c r="AC957" s="866">
        <f>CHOORData!AQ53</f>
        <v>0</v>
      </c>
      <c r="AD957" s="900"/>
      <c r="AE957" s="619"/>
      <c r="AF957" s="610"/>
      <c r="AG957" s="588"/>
      <c r="AH957" s="518"/>
      <c r="AJ957" s="595" t="b">
        <f t="shared" si="20"/>
        <v>0</v>
      </c>
    </row>
    <row r="958" spans="1:36" hidden="1" x14ac:dyDescent="0.45">
      <c r="B958" s="514" t="s">
        <v>1455</v>
      </c>
      <c r="C958" s="530"/>
      <c r="D958" s="530"/>
      <c r="E958" s="530"/>
      <c r="F958" s="534"/>
      <c r="G958" s="885" t="str">
        <f>IF(CHOORData!T54=0,"",CHOORData!T54)</f>
        <v/>
      </c>
      <c r="H958" s="885"/>
      <c r="I958" s="941">
        <f>CHOORData!AL54</f>
        <v>0</v>
      </c>
      <c r="J958" s="942"/>
      <c r="K958" s="941">
        <f>CHOORData!AM54</f>
        <v>0</v>
      </c>
      <c r="L958" s="942"/>
      <c r="M958" s="941">
        <f>CHOORData!AN54</f>
        <v>0</v>
      </c>
      <c r="N958" s="942"/>
      <c r="O958" s="941">
        <f>CHOORData!AO54</f>
        <v>0</v>
      </c>
      <c r="P958" s="942"/>
      <c r="Q958" s="868">
        <f>CHOORData!AP54</f>
        <v>0</v>
      </c>
      <c r="R958" s="869"/>
      <c r="S958" s="869"/>
      <c r="T958" s="870"/>
      <c r="U958" s="868">
        <f>CHOORData!BE54</f>
        <v>0</v>
      </c>
      <c r="V958" s="869"/>
      <c r="W958" s="869"/>
      <c r="X958" s="870"/>
      <c r="Y958" s="868">
        <f t="shared" si="19"/>
        <v>0</v>
      </c>
      <c r="Z958" s="869"/>
      <c r="AA958" s="869"/>
      <c r="AB958" s="870"/>
      <c r="AC958" s="866">
        <f>CHOORData!AQ54</f>
        <v>0</v>
      </c>
      <c r="AD958" s="900"/>
      <c r="AE958" s="619"/>
      <c r="AF958" s="610"/>
      <c r="AG958" s="588"/>
      <c r="AH958" s="518"/>
      <c r="AJ958" s="595" t="b">
        <f t="shared" si="20"/>
        <v>0</v>
      </c>
    </row>
    <row r="959" spans="1:36" hidden="1" x14ac:dyDescent="0.45">
      <c r="B959" s="514" t="s">
        <v>1456</v>
      </c>
      <c r="C959" s="530"/>
      <c r="D959" s="530"/>
      <c r="E959" s="530"/>
      <c r="F959" s="534"/>
      <c r="G959" s="885" t="str">
        <f>IF(CHOORData!T55=0,"",CHOORData!T55)</f>
        <v/>
      </c>
      <c r="H959" s="885"/>
      <c r="I959" s="941">
        <f>CHOORData!AL55</f>
        <v>0</v>
      </c>
      <c r="J959" s="942"/>
      <c r="K959" s="941">
        <f>CHOORData!AM55</f>
        <v>0</v>
      </c>
      <c r="L959" s="942"/>
      <c r="M959" s="941">
        <f>CHOORData!AN55</f>
        <v>0</v>
      </c>
      <c r="N959" s="942"/>
      <c r="O959" s="941">
        <f>CHOORData!AO55</f>
        <v>0</v>
      </c>
      <c r="P959" s="942"/>
      <c r="Q959" s="868">
        <f>CHOORData!AP55</f>
        <v>0</v>
      </c>
      <c r="R959" s="869"/>
      <c r="S959" s="869"/>
      <c r="T959" s="870"/>
      <c r="U959" s="868">
        <f>CHOORData!BE55</f>
        <v>0</v>
      </c>
      <c r="V959" s="869"/>
      <c r="W959" s="869"/>
      <c r="X959" s="870"/>
      <c r="Y959" s="868">
        <f t="shared" si="19"/>
        <v>0</v>
      </c>
      <c r="Z959" s="869"/>
      <c r="AA959" s="869"/>
      <c r="AB959" s="870"/>
      <c r="AC959" s="866">
        <f>CHOORData!AQ55</f>
        <v>0</v>
      </c>
      <c r="AD959" s="900"/>
      <c r="AE959" s="619"/>
      <c r="AF959" s="610"/>
      <c r="AG959" s="588"/>
      <c r="AH959" s="518"/>
      <c r="AJ959" s="595" t="b">
        <f t="shared" si="20"/>
        <v>0</v>
      </c>
    </row>
    <row r="960" spans="1:36" hidden="1" x14ac:dyDescent="0.45">
      <c r="B960" s="514" t="s">
        <v>1457</v>
      </c>
      <c r="C960" s="530"/>
      <c r="D960" s="530"/>
      <c r="E960" s="530"/>
      <c r="F960" s="534"/>
      <c r="G960" s="885" t="str">
        <f>IF(CHOORData!T56=0,"",CHOORData!T56)</f>
        <v/>
      </c>
      <c r="H960" s="885"/>
      <c r="I960" s="941">
        <f>CHOORData!AL56</f>
        <v>0</v>
      </c>
      <c r="J960" s="942"/>
      <c r="K960" s="941">
        <f>CHOORData!AM56</f>
        <v>0</v>
      </c>
      <c r="L960" s="942"/>
      <c r="M960" s="941">
        <f>CHOORData!AN56</f>
        <v>0</v>
      </c>
      <c r="N960" s="942"/>
      <c r="O960" s="941">
        <f>CHOORData!AO56</f>
        <v>0</v>
      </c>
      <c r="P960" s="942"/>
      <c r="Q960" s="868">
        <f>CHOORData!AP56</f>
        <v>0</v>
      </c>
      <c r="R960" s="869"/>
      <c r="S960" s="869"/>
      <c r="T960" s="870"/>
      <c r="U960" s="868">
        <f>CHOORData!BE56</f>
        <v>0</v>
      </c>
      <c r="V960" s="869"/>
      <c r="W960" s="869"/>
      <c r="X960" s="870"/>
      <c r="Y960" s="868">
        <f t="shared" si="19"/>
        <v>0</v>
      </c>
      <c r="Z960" s="869"/>
      <c r="AA960" s="869"/>
      <c r="AB960" s="870"/>
      <c r="AC960" s="866">
        <f>CHOORData!AQ56</f>
        <v>0</v>
      </c>
      <c r="AD960" s="900"/>
      <c r="AE960" s="619"/>
      <c r="AF960" s="610"/>
      <c r="AG960" s="588"/>
      <c r="AH960" s="518"/>
      <c r="AJ960" s="595" t="b">
        <f t="shared" si="20"/>
        <v>0</v>
      </c>
    </row>
    <row r="961" spans="1:36" hidden="1" x14ac:dyDescent="0.45">
      <c r="B961" s="514" t="s">
        <v>1458</v>
      </c>
      <c r="C961" s="530"/>
      <c r="D961" s="530"/>
      <c r="E961" s="530"/>
      <c r="F961" s="534"/>
      <c r="G961" s="885" t="str">
        <f>IF(CHOORData!T57=0,"",CHOORData!T57)</f>
        <v/>
      </c>
      <c r="H961" s="885"/>
      <c r="I961" s="941">
        <f>CHOORData!AL57</f>
        <v>0</v>
      </c>
      <c r="J961" s="942"/>
      <c r="K961" s="941">
        <f>CHOORData!AM57</f>
        <v>0</v>
      </c>
      <c r="L961" s="942"/>
      <c r="M961" s="941">
        <f>CHOORData!AN57</f>
        <v>0</v>
      </c>
      <c r="N961" s="942"/>
      <c r="O961" s="941">
        <f>CHOORData!AO57</f>
        <v>0</v>
      </c>
      <c r="P961" s="942"/>
      <c r="Q961" s="868">
        <f>CHOORData!AP57</f>
        <v>0</v>
      </c>
      <c r="R961" s="869"/>
      <c r="S961" s="869"/>
      <c r="T961" s="870"/>
      <c r="U961" s="868">
        <f>CHOORData!BE57</f>
        <v>0</v>
      </c>
      <c r="V961" s="869"/>
      <c r="W961" s="869"/>
      <c r="X961" s="870"/>
      <c r="Y961" s="868">
        <f t="shared" si="19"/>
        <v>0</v>
      </c>
      <c r="Z961" s="869"/>
      <c r="AA961" s="869"/>
      <c r="AB961" s="870"/>
      <c r="AC961" s="866">
        <f>CHOORData!AQ57</f>
        <v>0</v>
      </c>
      <c r="AD961" s="900"/>
      <c r="AE961" s="619"/>
      <c r="AF961" s="610"/>
      <c r="AG961" s="588"/>
      <c r="AH961" s="518"/>
      <c r="AJ961" s="595" t="b">
        <f t="shared" si="20"/>
        <v>0</v>
      </c>
    </row>
    <row r="962" spans="1:36" hidden="1" x14ac:dyDescent="0.45">
      <c r="B962" s="514" t="s">
        <v>1459</v>
      </c>
      <c r="C962" s="530"/>
      <c r="D962" s="530"/>
      <c r="E962" s="530"/>
      <c r="F962" s="534"/>
      <c r="G962" s="885" t="str">
        <f>IF(CHOORData!T58=0,"",CHOORData!T58)</f>
        <v/>
      </c>
      <c r="H962" s="885"/>
      <c r="I962" s="941">
        <f>CHOORData!AL58</f>
        <v>0</v>
      </c>
      <c r="J962" s="942"/>
      <c r="K962" s="941">
        <f>CHOORData!AM58</f>
        <v>0</v>
      </c>
      <c r="L962" s="942"/>
      <c r="M962" s="941">
        <f>CHOORData!AN58</f>
        <v>0</v>
      </c>
      <c r="N962" s="942"/>
      <c r="O962" s="941">
        <f>CHOORData!AO58</f>
        <v>0</v>
      </c>
      <c r="P962" s="942"/>
      <c r="Q962" s="868">
        <f>CHOORData!AP58</f>
        <v>0</v>
      </c>
      <c r="R962" s="869"/>
      <c r="S962" s="869"/>
      <c r="T962" s="870"/>
      <c r="U962" s="868">
        <f>CHOORData!BE58</f>
        <v>0</v>
      </c>
      <c r="V962" s="869"/>
      <c r="W962" s="869"/>
      <c r="X962" s="870"/>
      <c r="Y962" s="868">
        <f t="shared" si="19"/>
        <v>0</v>
      </c>
      <c r="Z962" s="869"/>
      <c r="AA962" s="869"/>
      <c r="AB962" s="870"/>
      <c r="AC962" s="866">
        <f>CHOORData!AQ58</f>
        <v>0</v>
      </c>
      <c r="AD962" s="900"/>
      <c r="AE962" s="619"/>
      <c r="AF962" s="610"/>
      <c r="AG962" s="588"/>
      <c r="AH962" s="518"/>
      <c r="AJ962" s="595" t="b">
        <f t="shared" si="20"/>
        <v>0</v>
      </c>
    </row>
    <row r="963" spans="1:36" hidden="1" x14ac:dyDescent="0.45">
      <c r="A963" s="518"/>
      <c r="B963" s="514" t="s">
        <v>1460</v>
      </c>
      <c r="C963" s="530"/>
      <c r="D963" s="530"/>
      <c r="E963" s="530"/>
      <c r="F963" s="534"/>
      <c r="G963" s="885" t="str">
        <f>IF(CHOORData!T59=0,"",CHOORData!T59)</f>
        <v/>
      </c>
      <c r="H963" s="885"/>
      <c r="I963" s="941">
        <f>CHOORData!AL59</f>
        <v>0</v>
      </c>
      <c r="J963" s="942"/>
      <c r="K963" s="941">
        <f>CHOORData!AM59</f>
        <v>0</v>
      </c>
      <c r="L963" s="942"/>
      <c r="M963" s="941">
        <f>CHOORData!AN59</f>
        <v>0</v>
      </c>
      <c r="N963" s="942"/>
      <c r="O963" s="941">
        <f>CHOORData!AO59</f>
        <v>0</v>
      </c>
      <c r="P963" s="942"/>
      <c r="Q963" s="868">
        <f>CHOORData!AP59</f>
        <v>0</v>
      </c>
      <c r="R963" s="869"/>
      <c r="S963" s="869"/>
      <c r="T963" s="870"/>
      <c r="U963" s="868">
        <f>CHOORData!BE59</f>
        <v>0</v>
      </c>
      <c r="V963" s="869"/>
      <c r="W963" s="869"/>
      <c r="X963" s="870"/>
      <c r="Y963" s="868">
        <f t="shared" si="19"/>
        <v>0</v>
      </c>
      <c r="Z963" s="869"/>
      <c r="AA963" s="869"/>
      <c r="AB963" s="870"/>
      <c r="AC963" s="866">
        <f>CHOORData!AQ59</f>
        <v>0</v>
      </c>
      <c r="AD963" s="900"/>
      <c r="AE963" s="619"/>
      <c r="AF963" s="610"/>
      <c r="AG963" s="588"/>
      <c r="AH963" s="518"/>
      <c r="AJ963" s="595" t="b">
        <f t="shared" si="20"/>
        <v>0</v>
      </c>
    </row>
    <row r="964" spans="1:36" hidden="1" x14ac:dyDescent="0.45">
      <c r="A964" s="518"/>
      <c r="B964" s="514" t="s">
        <v>1461</v>
      </c>
      <c r="C964" s="530"/>
      <c r="D964" s="530"/>
      <c r="E964" s="530"/>
      <c r="F964" s="534"/>
      <c r="G964" s="885" t="str">
        <f>IF(CHOORData!T60=0,"",CHOORData!T60)</f>
        <v/>
      </c>
      <c r="H964" s="885"/>
      <c r="I964" s="941">
        <f>CHOORData!AL60</f>
        <v>0</v>
      </c>
      <c r="J964" s="942"/>
      <c r="K964" s="941">
        <f>CHOORData!AM60</f>
        <v>0</v>
      </c>
      <c r="L964" s="942"/>
      <c r="M964" s="941">
        <f>CHOORData!AN60</f>
        <v>0</v>
      </c>
      <c r="N964" s="942"/>
      <c r="O964" s="941">
        <f>CHOORData!AO60</f>
        <v>0</v>
      </c>
      <c r="P964" s="942"/>
      <c r="Q964" s="868">
        <f>CHOORData!AP60</f>
        <v>0</v>
      </c>
      <c r="R964" s="869"/>
      <c r="S964" s="869"/>
      <c r="T964" s="870"/>
      <c r="U964" s="868">
        <f>CHOORData!BE60</f>
        <v>0</v>
      </c>
      <c r="V964" s="869"/>
      <c r="W964" s="869"/>
      <c r="X964" s="870"/>
      <c r="Y964" s="868">
        <f t="shared" si="19"/>
        <v>0</v>
      </c>
      <c r="Z964" s="869"/>
      <c r="AA964" s="869"/>
      <c r="AB964" s="870"/>
      <c r="AC964" s="866">
        <f>CHOORData!AQ60</f>
        <v>0</v>
      </c>
      <c r="AD964" s="900"/>
      <c r="AE964" s="619"/>
      <c r="AF964" s="610"/>
      <c r="AG964" s="588"/>
      <c r="AH964" s="518"/>
      <c r="AJ964" s="595" t="b">
        <f t="shared" si="20"/>
        <v>0</v>
      </c>
    </row>
    <row r="965" spans="1:36" hidden="1" x14ac:dyDescent="0.45">
      <c r="A965" s="518"/>
      <c r="B965" s="518"/>
      <c r="C965" s="518"/>
      <c r="D965" s="518"/>
      <c r="E965" s="518"/>
      <c r="F965" s="518"/>
      <c r="G965" s="589"/>
      <c r="H965" s="589"/>
      <c r="I965" s="518"/>
      <c r="J965" s="518"/>
      <c r="K965" s="518"/>
      <c r="L965" s="518"/>
      <c r="M965" s="518"/>
      <c r="N965" s="518"/>
      <c r="O965" s="518"/>
      <c r="P965" s="518"/>
      <c r="Q965" s="518"/>
      <c r="R965" s="518"/>
      <c r="S965" s="518"/>
      <c r="T965" s="518"/>
      <c r="U965" s="518"/>
      <c r="V965" s="518"/>
      <c r="W965" s="518"/>
      <c r="X965" s="518"/>
      <c r="Y965" s="518"/>
      <c r="Z965" s="518"/>
      <c r="AA965" s="518"/>
      <c r="AB965" s="518"/>
      <c r="AC965" s="518"/>
      <c r="AD965" s="518"/>
      <c r="AE965" s="518"/>
      <c r="AF965" s="518"/>
      <c r="AG965" s="518"/>
      <c r="AH965" s="518"/>
      <c r="AJ965" s="595" t="b">
        <f>AJ900</f>
        <v>0</v>
      </c>
    </row>
    <row r="966" spans="1:36" hidden="1" x14ac:dyDescent="0.45">
      <c r="A966" s="518"/>
      <c r="B966" s="911" t="s">
        <v>173</v>
      </c>
      <c r="C966" s="912"/>
      <c r="D966" s="912"/>
      <c r="E966" s="912"/>
      <c r="F966" s="912"/>
      <c r="G966" s="912"/>
      <c r="H966" s="913">
        <f>CH_OOR_RuralTotalRequested</f>
        <v>0</v>
      </c>
      <c r="I966" s="914"/>
      <c r="J966" s="914"/>
      <c r="K966" s="914"/>
      <c r="L966" s="914"/>
      <c r="M966" s="914"/>
      <c r="N966" s="915"/>
      <c r="O966" s="518"/>
      <c r="P966" s="518"/>
      <c r="Q966" s="518"/>
      <c r="R966" s="518"/>
      <c r="S966" s="518"/>
      <c r="T966" s="518"/>
      <c r="U966" s="518"/>
      <c r="V966" s="518"/>
      <c r="W966" s="518"/>
      <c r="X966" s="518"/>
      <c r="Y966" s="518"/>
      <c r="Z966" s="518"/>
      <c r="AA966" s="518"/>
      <c r="AB966" s="518"/>
      <c r="AC966" s="518"/>
      <c r="AD966" s="518"/>
      <c r="AE966" s="518"/>
      <c r="AF966" s="518"/>
      <c r="AG966" s="518"/>
      <c r="AH966" s="518"/>
      <c r="AJ966" s="595"/>
    </row>
    <row r="967" spans="1:36" hidden="1" x14ac:dyDescent="0.45">
      <c r="A967" s="518"/>
      <c r="B967" s="541"/>
      <c r="C967" s="541"/>
      <c r="D967" s="541"/>
      <c r="E967" s="541"/>
      <c r="F967" s="541"/>
      <c r="G967" s="541"/>
      <c r="H967" s="605"/>
      <c r="I967" s="605"/>
      <c r="J967" s="605"/>
      <c r="K967" s="605"/>
      <c r="L967" s="605"/>
      <c r="M967" s="605"/>
      <c r="N967" s="605"/>
      <c r="O967" s="518"/>
      <c r="P967" s="518"/>
      <c r="Q967" s="518"/>
      <c r="R967" s="518"/>
      <c r="S967" s="518"/>
      <c r="T967" s="518"/>
      <c r="U967" s="518"/>
      <c r="V967" s="518"/>
      <c r="W967" s="518"/>
      <c r="X967" s="518"/>
      <c r="Y967" s="518"/>
      <c r="Z967" s="518"/>
      <c r="AA967" s="518"/>
      <c r="AB967" s="518"/>
      <c r="AC967" s="518"/>
      <c r="AD967" s="518"/>
      <c r="AE967" s="518"/>
      <c r="AF967" s="518"/>
      <c r="AG967" s="518"/>
      <c r="AH967" s="518"/>
      <c r="AJ967" s="595"/>
    </row>
    <row r="968" spans="1:36" hidden="1" x14ac:dyDescent="0.45">
      <c r="A968" s="518"/>
      <c r="B968" s="532" t="s">
        <v>1854</v>
      </c>
      <c r="C968" s="518"/>
      <c r="D968" s="518"/>
      <c r="E968" s="518"/>
      <c r="F968" s="518"/>
      <c r="G968" s="518"/>
      <c r="H968" s="518"/>
      <c r="I968" s="518"/>
      <c r="J968" s="518"/>
      <c r="K968" s="518"/>
      <c r="L968" s="518"/>
      <c r="M968" s="518"/>
      <c r="N968" s="518"/>
      <c r="O968" s="518"/>
      <c r="P968" s="518"/>
      <c r="Q968" s="518"/>
      <c r="R968" s="518"/>
      <c r="S968" s="518"/>
      <c r="T968" s="518"/>
      <c r="U968" s="518"/>
      <c r="V968" s="518"/>
      <c r="W968" s="518"/>
      <c r="X968" s="518"/>
      <c r="Y968" s="518"/>
      <c r="Z968" s="518"/>
      <c r="AA968" s="518"/>
      <c r="AB968" s="518"/>
      <c r="AC968" s="518"/>
      <c r="AD968" s="518"/>
      <c r="AE968" s="518"/>
      <c r="AF968" s="518"/>
      <c r="AG968" s="518"/>
      <c r="AH968" s="518"/>
      <c r="AJ968" s="595"/>
    </row>
    <row r="969" spans="1:36" hidden="1" x14ac:dyDescent="0.45">
      <c r="A969" s="518"/>
      <c r="B969" s="922" t="s">
        <v>174</v>
      </c>
      <c r="C969" s="922"/>
      <c r="D969" s="922"/>
      <c r="E969" s="922"/>
      <c r="F969" s="922"/>
      <c r="G969" s="922"/>
      <c r="H969" s="922"/>
      <c r="I969" s="922"/>
      <c r="J969" s="922"/>
      <c r="K969" s="922"/>
      <c r="L969" s="922"/>
      <c r="M969" s="922"/>
      <c r="N969" s="922"/>
      <c r="O969" s="878"/>
      <c r="P969" s="879"/>
      <c r="Q969" s="880"/>
      <c r="R969" s="518"/>
      <c r="S969" s="518"/>
      <c r="T969" s="518"/>
      <c r="U969" s="518"/>
      <c r="V969" s="518"/>
      <c r="W969" s="518"/>
      <c r="X969" s="518"/>
      <c r="Y969" s="518"/>
      <c r="Z969" s="518"/>
      <c r="AA969" s="518"/>
      <c r="AB969" s="518"/>
      <c r="AC969" s="518"/>
      <c r="AD969" s="518"/>
      <c r="AE969" s="518"/>
      <c r="AF969" s="518"/>
      <c r="AG969" s="518"/>
      <c r="AH969" s="518"/>
      <c r="AJ969" s="595"/>
    </row>
    <row r="970" spans="1:36" hidden="1" x14ac:dyDescent="0.45">
      <c r="A970" s="518"/>
      <c r="B970" s="922" t="s">
        <v>175</v>
      </c>
      <c r="C970" s="922"/>
      <c r="D970" s="922"/>
      <c r="E970" s="922"/>
      <c r="F970" s="922"/>
      <c r="G970" s="922"/>
      <c r="H970" s="922"/>
      <c r="I970" s="922"/>
      <c r="J970" s="922"/>
      <c r="K970" s="922"/>
      <c r="L970" s="922"/>
      <c r="M970" s="922"/>
      <c r="N970" s="922"/>
      <c r="O970" s="878" t="str">
        <f>IF(CH_OOR_RuralCommunityNeedPoints=0,"",CH_OOR_RuralCommunityNeedPoints)</f>
        <v/>
      </c>
      <c r="P970" s="879"/>
      <c r="Q970" s="880"/>
      <c r="R970" s="518"/>
      <c r="S970" s="518"/>
      <c r="T970" s="518"/>
      <c r="U970" s="518"/>
      <c r="V970" s="518"/>
      <c r="W970" s="518"/>
      <c r="X970" s="518"/>
      <c r="Y970" s="518"/>
      <c r="Z970" s="518"/>
      <c r="AA970" s="518"/>
      <c r="AB970" s="518"/>
      <c r="AC970" s="518"/>
      <c r="AD970" s="518"/>
      <c r="AE970" s="518"/>
      <c r="AF970" s="518"/>
      <c r="AG970" s="518"/>
      <c r="AH970" s="518"/>
      <c r="AJ970" s="595"/>
    </row>
    <row r="971" spans="1:36" hidden="1" x14ac:dyDescent="0.45">
      <c r="A971" s="518"/>
      <c r="B971" s="922" t="s">
        <v>176</v>
      </c>
      <c r="C971" s="922"/>
      <c r="D971" s="922"/>
      <c r="E971" s="922"/>
      <c r="F971" s="922"/>
      <c r="G971" s="922"/>
      <c r="H971" s="922"/>
      <c r="I971" s="922"/>
      <c r="J971" s="922"/>
      <c r="K971" s="922"/>
      <c r="L971" s="922"/>
      <c r="M971" s="922"/>
      <c r="N971" s="922"/>
      <c r="O971" s="878" t="str">
        <f>IF(CH_OOR_RuralFeasibilityPoints=0,"",CH_OOR_RuralFeasibilityPoints)</f>
        <v/>
      </c>
      <c r="P971" s="879"/>
      <c r="Q971" s="880"/>
      <c r="R971" s="518"/>
      <c r="S971" s="518"/>
      <c r="T971" s="518"/>
      <c r="U971" s="518"/>
      <c r="V971" s="518"/>
      <c r="W971" s="518"/>
      <c r="X971" s="518"/>
      <c r="Y971" s="518"/>
      <c r="Z971" s="518"/>
      <c r="AA971" s="518"/>
      <c r="AB971" s="518"/>
      <c r="AC971" s="518"/>
      <c r="AD971" s="518"/>
      <c r="AE971" s="518"/>
      <c r="AF971" s="518"/>
      <c r="AG971" s="518"/>
      <c r="AH971" s="518"/>
      <c r="AJ971" s="595"/>
    </row>
    <row r="972" spans="1:36" hidden="1" x14ac:dyDescent="0.45">
      <c r="A972" s="518"/>
      <c r="B972" s="922" t="s">
        <v>177</v>
      </c>
      <c r="C972" s="922"/>
      <c r="D972" s="922"/>
      <c r="E972" s="922"/>
      <c r="F972" s="922"/>
      <c r="G972" s="922"/>
      <c r="H972" s="922"/>
      <c r="I972" s="922"/>
      <c r="J972" s="922"/>
      <c r="K972" s="922"/>
      <c r="L972" s="922"/>
      <c r="M972" s="922"/>
      <c r="N972" s="922"/>
      <c r="O972" s="878" t="str">
        <f>IF(CH_OOR_RuralRevitalizationPoints=0,"",CH_OOR_RuralRevitalizationPoints)</f>
        <v/>
      </c>
      <c r="P972" s="879"/>
      <c r="Q972" s="880"/>
      <c r="R972" s="518"/>
      <c r="S972" s="518"/>
      <c r="T972" s="518"/>
      <c r="U972" s="518"/>
      <c r="V972" s="518"/>
      <c r="W972" s="518"/>
      <c r="X972" s="518"/>
      <c r="Y972" s="518"/>
      <c r="Z972" s="518"/>
      <c r="AA972" s="518"/>
      <c r="AB972" s="518"/>
      <c r="AC972" s="518"/>
      <c r="AD972" s="518"/>
      <c r="AE972" s="518"/>
      <c r="AF972" s="518"/>
      <c r="AG972" s="518"/>
      <c r="AH972" s="518"/>
      <c r="AJ972" s="595"/>
    </row>
    <row r="973" spans="1:36" hidden="1" x14ac:dyDescent="0.45">
      <c r="A973" s="518"/>
      <c r="B973" s="1223" t="s">
        <v>178</v>
      </c>
      <c r="C973" s="1223"/>
      <c r="D973" s="1223"/>
      <c r="E973" s="1223"/>
      <c r="F973" s="1223"/>
      <c r="G973" s="1223"/>
      <c r="H973" s="1223"/>
      <c r="I973" s="1223"/>
      <c r="J973" s="1223"/>
      <c r="K973" s="1223"/>
      <c r="L973" s="1223"/>
      <c r="M973" s="1223"/>
      <c r="N973" s="1223"/>
      <c r="O973" s="882" t="s">
        <v>195</v>
      </c>
      <c r="P973" s="883"/>
      <c r="Q973" s="884"/>
      <c r="R973" s="518"/>
      <c r="S973" s="518"/>
      <c r="T973" s="518"/>
      <c r="U973" s="518"/>
      <c r="V973" s="518"/>
      <c r="W973" s="518"/>
      <c r="X973" s="518"/>
      <c r="Y973" s="518"/>
      <c r="Z973" s="518"/>
      <c r="AA973" s="518"/>
      <c r="AB973" s="518"/>
      <c r="AC973" s="518"/>
      <c r="AD973" s="518"/>
      <c r="AE973" s="518"/>
      <c r="AF973" s="518"/>
      <c r="AG973" s="518"/>
      <c r="AH973" s="518"/>
      <c r="AJ973" s="595"/>
    </row>
    <row r="974" spans="1:36" hidden="1" x14ac:dyDescent="0.45">
      <c r="A974" s="518"/>
      <c r="B974" s="1223" t="s">
        <v>179</v>
      </c>
      <c r="C974" s="1223"/>
      <c r="D974" s="1223"/>
      <c r="E974" s="1223"/>
      <c r="F974" s="1223"/>
      <c r="G974" s="1223"/>
      <c r="H974" s="1223"/>
      <c r="I974" s="1223"/>
      <c r="J974" s="1223"/>
      <c r="K974" s="1223"/>
      <c r="L974" s="1223"/>
      <c r="M974" s="1223"/>
      <c r="N974" s="1223"/>
      <c r="O974" s="882" t="s">
        <v>195</v>
      </c>
      <c r="P974" s="883"/>
      <c r="Q974" s="884"/>
      <c r="R974" s="518"/>
      <c r="S974" s="518"/>
      <c r="T974" s="518"/>
      <c r="U974" s="518"/>
      <c r="V974" s="518"/>
      <c r="W974" s="518"/>
      <c r="X974" s="518"/>
      <c r="Y974" s="518"/>
      <c r="Z974" s="518"/>
      <c r="AA974" s="518"/>
      <c r="AB974" s="518"/>
      <c r="AC974" s="518"/>
      <c r="AD974" s="518"/>
      <c r="AE974" s="518"/>
      <c r="AF974" s="518"/>
      <c r="AG974" s="518"/>
      <c r="AH974" s="518"/>
      <c r="AJ974" s="595"/>
    </row>
    <row r="975" spans="1:36" hidden="1" x14ac:dyDescent="0.45">
      <c r="A975" s="518"/>
      <c r="B975" s="922" t="s">
        <v>180</v>
      </c>
      <c r="C975" s="922"/>
      <c r="D975" s="922"/>
      <c r="E975" s="922"/>
      <c r="F975" s="922"/>
      <c r="G975" s="922"/>
      <c r="H975" s="922"/>
      <c r="I975" s="922"/>
      <c r="J975" s="922"/>
      <c r="K975" s="922"/>
      <c r="L975" s="922"/>
      <c r="M975" s="922"/>
      <c r="N975" s="922"/>
      <c r="O975" s="878"/>
      <c r="P975" s="879"/>
      <c r="Q975" s="880"/>
      <c r="R975" s="518"/>
      <c r="S975" s="518"/>
      <c r="T975" s="518"/>
      <c r="U975" s="518"/>
      <c r="V975" s="518"/>
      <c r="W975" s="518"/>
      <c r="X975" s="518"/>
      <c r="Y975" s="518"/>
      <c r="Z975" s="518"/>
      <c r="AA975" s="518"/>
      <c r="AB975" s="518"/>
      <c r="AC975" s="518"/>
      <c r="AD975" s="518"/>
      <c r="AE975" s="518"/>
      <c r="AF975" s="518"/>
      <c r="AG975" s="518"/>
      <c r="AH975" s="518"/>
      <c r="AJ975" s="595"/>
    </row>
    <row r="976" spans="1:36" hidden="1" x14ac:dyDescent="0.45">
      <c r="A976" s="518"/>
      <c r="B976" s="916" t="s">
        <v>181</v>
      </c>
      <c r="C976" s="916"/>
      <c r="D976" s="916"/>
      <c r="E976" s="916"/>
      <c r="F976" s="916"/>
      <c r="G976" s="916"/>
      <c r="H976" s="916"/>
      <c r="I976" s="916"/>
      <c r="J976" s="916"/>
      <c r="K976" s="916"/>
      <c r="L976" s="916"/>
      <c r="M976" s="916"/>
      <c r="N976" s="916"/>
      <c r="O976" s="927"/>
      <c r="P976" s="928"/>
      <c r="Q976" s="929"/>
      <c r="R976" s="518"/>
      <c r="S976" s="518"/>
      <c r="T976" s="518"/>
      <c r="U976" s="518"/>
      <c r="V976" s="518"/>
      <c r="W976" s="518"/>
      <c r="X976" s="518"/>
      <c r="Y976" s="518"/>
      <c r="Z976" s="518"/>
      <c r="AA976" s="518"/>
      <c r="AB976" s="518"/>
      <c r="AC976" s="518"/>
      <c r="AD976" s="518"/>
      <c r="AE976" s="518"/>
      <c r="AF976" s="518"/>
      <c r="AG976" s="518"/>
      <c r="AH976" s="518"/>
      <c r="AJ976" s="595"/>
    </row>
    <row r="977" spans="1:36" hidden="1" x14ac:dyDescent="0.45">
      <c r="A977" s="518"/>
      <c r="B977" s="930" t="s">
        <v>182</v>
      </c>
      <c r="C977" s="930"/>
      <c r="D977" s="930"/>
      <c r="E977" s="930"/>
      <c r="F977" s="930"/>
      <c r="G977" s="930"/>
      <c r="H977" s="930"/>
      <c r="I977" s="930"/>
      <c r="J977" s="930"/>
      <c r="K977" s="930"/>
      <c r="L977" s="930"/>
      <c r="M977" s="930"/>
      <c r="N977" s="930"/>
      <c r="O977" s="878">
        <f>SUM(O969:Q975)-O976</f>
        <v>0</v>
      </c>
      <c r="P977" s="879"/>
      <c r="Q977" s="880"/>
      <c r="R977" s="518"/>
      <c r="S977" s="518"/>
      <c r="T977" s="518"/>
      <c r="U977" s="518"/>
      <c r="V977" s="518"/>
      <c r="W977" s="518"/>
      <c r="X977" s="518"/>
      <c r="Y977" s="518"/>
      <c r="Z977" s="518"/>
      <c r="AA977" s="518"/>
      <c r="AB977" s="518"/>
      <c r="AC977" s="518"/>
      <c r="AD977" s="518"/>
      <c r="AE977" s="518"/>
      <c r="AF977" s="518"/>
      <c r="AG977" s="518"/>
      <c r="AH977" s="518"/>
      <c r="AJ977" s="595"/>
    </row>
    <row r="978" spans="1:36" hidden="1" x14ac:dyDescent="0.45">
      <c r="A978" s="518"/>
      <c r="B978" s="517"/>
      <c r="C978" s="517"/>
      <c r="D978" s="517"/>
      <c r="E978" s="517"/>
      <c r="F978" s="517"/>
      <c r="G978" s="517"/>
      <c r="H978" s="517"/>
      <c r="I978" s="517"/>
      <c r="J978" s="517"/>
      <c r="K978" s="517"/>
      <c r="L978" s="517"/>
      <c r="M978" s="517"/>
      <c r="N978" s="517"/>
      <c r="O978" s="532"/>
      <c r="P978" s="532"/>
      <c r="Q978" s="532"/>
      <c r="R978" s="518"/>
      <c r="S978" s="533"/>
      <c r="T978" s="533"/>
      <c r="U978" s="533"/>
      <c r="V978" s="533"/>
      <c r="W978" s="533"/>
      <c r="X978" s="533"/>
      <c r="Y978" s="533"/>
      <c r="Z978" s="533"/>
      <c r="AA978" s="533"/>
      <c r="AB978" s="533"/>
      <c r="AC978" s="533"/>
      <c r="AD978" s="533"/>
      <c r="AE978" s="533"/>
      <c r="AF978" s="533"/>
      <c r="AG978" s="533"/>
      <c r="AH978" s="518"/>
      <c r="AJ978" s="595"/>
    </row>
    <row r="979" spans="1:36" ht="200.15" hidden="1" customHeight="1" x14ac:dyDescent="0.45">
      <c r="A979" s="518"/>
      <c r="B979" s="926" t="s">
        <v>183</v>
      </c>
      <c r="C979" s="926"/>
      <c r="D979" s="926"/>
      <c r="E979" s="926"/>
      <c r="F979" s="926"/>
      <c r="G979" s="926"/>
      <c r="H979" s="926"/>
      <c r="I979" s="926"/>
      <c r="J979" s="926"/>
      <c r="K979" s="926"/>
      <c r="L979" s="926"/>
      <c r="M979" s="926"/>
      <c r="N979" s="926"/>
      <c r="O979" s="926"/>
      <c r="P979" s="926"/>
      <c r="Q979" s="926"/>
      <c r="R979" s="926"/>
      <c r="S979" s="926"/>
      <c r="T979" s="926"/>
      <c r="U979" s="926"/>
      <c r="V979" s="926"/>
      <c r="W979" s="926"/>
      <c r="X979" s="926"/>
      <c r="Y979" s="926"/>
      <c r="Z979" s="926"/>
      <c r="AA979" s="926"/>
      <c r="AB979" s="926"/>
      <c r="AC979" s="926"/>
      <c r="AD979" s="926"/>
      <c r="AE979" s="926"/>
      <c r="AF979" s="926"/>
      <c r="AG979" s="926"/>
      <c r="AH979" s="518"/>
      <c r="AJ979" s="595"/>
    </row>
    <row r="980" spans="1:36" hidden="1" x14ac:dyDescent="0.45">
      <c r="A980" s="518"/>
      <c r="B980" s="518"/>
      <c r="C980" s="518"/>
      <c r="D980" s="518"/>
      <c r="E980" s="518"/>
      <c r="F980" s="518"/>
      <c r="G980" s="518"/>
      <c r="H980" s="518"/>
      <c r="I980" s="518"/>
      <c r="J980" s="518"/>
      <c r="K980" s="518"/>
      <c r="L980" s="518"/>
      <c r="M980" s="518"/>
      <c r="N980" s="518"/>
      <c r="O980" s="518"/>
      <c r="P980" s="518"/>
      <c r="Q980" s="518"/>
      <c r="R980" s="518"/>
      <c r="S980" s="518"/>
      <c r="T980" s="518"/>
      <c r="U980" s="518"/>
      <c r="V980" s="518"/>
      <c r="W980" s="518"/>
      <c r="X980" s="518"/>
      <c r="Y980" s="518"/>
      <c r="Z980" s="518"/>
      <c r="AA980" s="518"/>
      <c r="AB980" s="518"/>
      <c r="AC980" s="518"/>
      <c r="AD980" s="518"/>
      <c r="AE980" s="518"/>
      <c r="AF980" s="518"/>
      <c r="AG980" s="518"/>
      <c r="AH980" s="518"/>
      <c r="AJ980" s="595"/>
    </row>
    <row r="981" spans="1:36" hidden="1" x14ac:dyDescent="0.45">
      <c r="A981" s="518"/>
      <c r="B981" s="518"/>
      <c r="C981" s="518"/>
      <c r="D981" s="518"/>
      <c r="E981" s="518"/>
      <c r="F981" s="518"/>
      <c r="G981" s="518"/>
      <c r="H981" s="518"/>
      <c r="I981" s="518"/>
      <c r="J981" s="518"/>
      <c r="K981" s="518"/>
      <c r="L981" s="518"/>
      <c r="M981" s="518"/>
      <c r="N981" s="518"/>
      <c r="O981" s="518"/>
      <c r="P981" s="518"/>
      <c r="Q981" s="518"/>
      <c r="R981" s="518"/>
      <c r="S981" s="518"/>
      <c r="T981" s="518"/>
      <c r="U981" s="518"/>
      <c r="V981" s="518"/>
      <c r="W981" s="518"/>
      <c r="X981" s="518"/>
      <c r="Y981" s="518"/>
      <c r="Z981" s="518"/>
      <c r="AA981" s="518"/>
      <c r="AB981" s="518"/>
      <c r="AC981" s="518"/>
      <c r="AD981" s="518"/>
      <c r="AE981" s="518"/>
      <c r="AF981" s="518"/>
      <c r="AG981" s="518"/>
      <c r="AH981" s="518"/>
      <c r="AJ981" s="595" t="b">
        <f>AND(AJ$696,CH_OOR_MFDRuralTotalRequested&gt;0)</f>
        <v>0</v>
      </c>
    </row>
    <row r="982" spans="1:36" hidden="1" x14ac:dyDescent="0.45">
      <c r="A982" s="518"/>
      <c r="B982" s="579" t="s">
        <v>1858</v>
      </c>
      <c r="C982" s="532"/>
      <c r="D982" s="532"/>
      <c r="E982" s="532"/>
      <c r="F982" s="532"/>
      <c r="G982" s="532"/>
      <c r="H982" s="532"/>
      <c r="I982" s="532"/>
      <c r="J982" s="532"/>
      <c r="K982" s="532"/>
      <c r="L982" s="532"/>
      <c r="M982" s="532"/>
      <c r="N982" s="532"/>
      <c r="O982" s="532"/>
      <c r="P982" s="532"/>
      <c r="Q982" s="532"/>
      <c r="R982" s="532"/>
      <c r="S982" s="532"/>
      <c r="T982" s="532"/>
      <c r="U982" s="532"/>
      <c r="V982" s="532"/>
      <c r="W982" s="532"/>
      <c r="X982" s="532"/>
      <c r="Y982" s="532"/>
      <c r="Z982" s="532"/>
      <c r="AA982" s="532"/>
      <c r="AB982" s="532"/>
      <c r="AC982" s="532"/>
      <c r="AD982" s="532"/>
      <c r="AE982" s="532"/>
      <c r="AF982" s="532"/>
      <c r="AG982" s="532"/>
      <c r="AH982" s="518"/>
      <c r="AJ982" s="595"/>
    </row>
    <row r="983" spans="1:36" hidden="1" x14ac:dyDescent="0.45">
      <c r="A983" s="518"/>
      <c r="B983" s="924" t="s">
        <v>1835</v>
      </c>
      <c r="C983" s="925"/>
      <c r="D983" s="925"/>
      <c r="E983" s="925"/>
      <c r="F983" s="925"/>
      <c r="G983" s="925"/>
      <c r="H983" s="925"/>
      <c r="I983" s="925"/>
      <c r="J983" s="925"/>
      <c r="K983" s="925"/>
      <c r="L983" s="925"/>
      <c r="M983" s="925"/>
      <c r="N983" s="925"/>
      <c r="O983" s="925"/>
      <c r="P983" s="925"/>
      <c r="Q983" s="925"/>
      <c r="R983" s="925"/>
      <c r="S983" s="925"/>
      <c r="T983" s="925"/>
      <c r="U983" s="925"/>
      <c r="V983" s="925"/>
      <c r="W983" s="925"/>
      <c r="X983" s="925"/>
      <c r="Y983" s="925"/>
      <c r="Z983" s="925"/>
      <c r="AA983" s="925"/>
      <c r="AB983" s="925"/>
      <c r="AC983" s="925"/>
      <c r="AD983" s="925"/>
      <c r="AE983" s="925"/>
      <c r="AF983" s="925"/>
      <c r="AG983" s="925"/>
      <c r="AH983" s="518"/>
      <c r="AJ983" s="595"/>
    </row>
    <row r="984" spans="1:36" hidden="1" x14ac:dyDescent="0.45">
      <c r="A984" s="518"/>
      <c r="B984" s="602"/>
      <c r="C984" s="586"/>
      <c r="D984" s="586"/>
      <c r="E984" s="586"/>
      <c r="F984" s="586"/>
      <c r="G984" s="586"/>
      <c r="H984" s="586"/>
      <c r="I984" s="586"/>
      <c r="J984" s="586"/>
      <c r="K984" s="586"/>
      <c r="L984" s="586"/>
      <c r="M984" s="586"/>
      <c r="N984" s="586"/>
      <c r="O984" s="586"/>
      <c r="P984" s="586"/>
      <c r="Q984" s="586"/>
      <c r="R984" s="586"/>
      <c r="S984" s="586"/>
      <c r="T984" s="586"/>
      <c r="U984" s="586"/>
      <c r="V984" s="586"/>
      <c r="W984" s="586"/>
      <c r="X984" s="586"/>
      <c r="Y984" s="586"/>
      <c r="Z984" s="586"/>
      <c r="AA984" s="586"/>
      <c r="AB984" s="586"/>
      <c r="AC984" s="586"/>
      <c r="AD984" s="586"/>
      <c r="AE984" s="586"/>
      <c r="AF984" s="586"/>
      <c r="AG984" s="586"/>
      <c r="AH984" s="518"/>
      <c r="AJ984" s="595"/>
    </row>
    <row r="985" spans="1:36" hidden="1" x14ac:dyDescent="0.45">
      <c r="A985" s="518"/>
      <c r="B985" s="532" t="s">
        <v>1856</v>
      </c>
      <c r="C985" s="518"/>
      <c r="D985" s="518"/>
      <c r="E985" s="518"/>
      <c r="F985" s="518"/>
      <c r="G985" s="518"/>
      <c r="H985" s="518"/>
      <c r="I985" s="518"/>
      <c r="J985" s="518"/>
      <c r="K985" s="518"/>
      <c r="L985" s="518"/>
      <c r="M985" s="518"/>
      <c r="N985" s="518"/>
      <c r="O985" s="518"/>
      <c r="P985" s="518"/>
      <c r="Q985" s="518"/>
      <c r="R985" s="518"/>
      <c r="S985" s="518"/>
      <c r="T985" s="518"/>
      <c r="U985" s="518"/>
      <c r="V985" s="518"/>
      <c r="W985" s="518"/>
      <c r="X985" s="518"/>
      <c r="Y985" s="586"/>
      <c r="Z985" s="586"/>
      <c r="AA985" s="518"/>
      <c r="AB985" s="518"/>
      <c r="AC985" s="518"/>
      <c r="AD985" s="518"/>
      <c r="AE985" s="518"/>
      <c r="AF985" s="518"/>
      <c r="AG985" s="518"/>
      <c r="AH985" s="518"/>
      <c r="AJ985" s="595"/>
    </row>
    <row r="986" spans="1:36" ht="16" hidden="1" customHeight="1" x14ac:dyDescent="0.45">
      <c r="A986" s="518"/>
      <c r="B986" s="862" t="s">
        <v>108</v>
      </c>
      <c r="C986" s="863"/>
      <c r="D986" s="863"/>
      <c r="E986" s="863"/>
      <c r="F986" s="892"/>
      <c r="G986" s="1224" t="s">
        <v>1487</v>
      </c>
      <c r="H986" s="1224"/>
      <c r="I986" s="872" t="s">
        <v>91</v>
      </c>
      <c r="J986" s="872"/>
      <c r="K986" s="872" t="s">
        <v>110</v>
      </c>
      <c r="L986" s="872"/>
      <c r="M986" s="872"/>
      <c r="N986" s="872"/>
      <c r="O986" s="872" t="s">
        <v>111</v>
      </c>
      <c r="P986" s="872"/>
      <c r="Q986" s="872"/>
      <c r="R986" s="872"/>
      <c r="S986" s="872" t="s">
        <v>113</v>
      </c>
      <c r="T986" s="872"/>
      <c r="U986" s="872"/>
      <c r="V986" s="872"/>
      <c r="W986" s="862" t="s">
        <v>114</v>
      </c>
      <c r="X986" s="892"/>
      <c r="Y986" s="586"/>
      <c r="Z986" s="586"/>
      <c r="AA986" s="518"/>
      <c r="AB986" s="529"/>
      <c r="AC986" s="569"/>
      <c r="AD986" s="569"/>
      <c r="AE986" s="569"/>
      <c r="AF986" s="529"/>
      <c r="AG986" s="529"/>
      <c r="AH986" s="529"/>
      <c r="AJ986" s="595"/>
    </row>
    <row r="987" spans="1:36" hidden="1" x14ac:dyDescent="0.45">
      <c r="A987" s="518"/>
      <c r="B987" s="864"/>
      <c r="C987" s="865"/>
      <c r="D987" s="865"/>
      <c r="E987" s="865"/>
      <c r="F987" s="893"/>
      <c r="G987" s="1224"/>
      <c r="H987" s="1224"/>
      <c r="I987" s="872"/>
      <c r="J987" s="872"/>
      <c r="K987" s="872"/>
      <c r="L987" s="872"/>
      <c r="M987" s="872"/>
      <c r="N987" s="872"/>
      <c r="O987" s="872"/>
      <c r="P987" s="872"/>
      <c r="Q987" s="872"/>
      <c r="R987" s="872"/>
      <c r="S987" s="872"/>
      <c r="T987" s="872"/>
      <c r="U987" s="872"/>
      <c r="V987" s="872"/>
      <c r="W987" s="864"/>
      <c r="X987" s="893"/>
      <c r="Y987" s="586"/>
      <c r="Z987" s="586"/>
      <c r="AA987" s="518"/>
      <c r="AB987" s="529"/>
      <c r="AC987" s="569"/>
      <c r="AD987" s="569"/>
      <c r="AE987" s="569"/>
      <c r="AF987" s="529"/>
      <c r="AG987" s="529"/>
      <c r="AH987" s="529"/>
      <c r="AJ987" s="595"/>
    </row>
    <row r="988" spans="1:36" ht="16" hidden="1" customHeight="1" x14ac:dyDescent="0.45">
      <c r="A988" s="518"/>
      <c r="B988" s="514" t="s">
        <v>1405</v>
      </c>
      <c r="C988" s="530"/>
      <c r="D988" s="530"/>
      <c r="E988" s="530"/>
      <c r="F988" s="534"/>
      <c r="G988" s="1181" t="str">
        <f>IF(CHOORData!T3=0,"",CHOORData!T3)</f>
        <v/>
      </c>
      <c r="H988" s="1181"/>
      <c r="I988" s="939">
        <f>CHOORData!AU3</f>
        <v>0</v>
      </c>
      <c r="J988" s="1181"/>
      <c r="K988" s="940">
        <f>CHOORData!AV3</f>
        <v>0</v>
      </c>
      <c r="L988" s="940"/>
      <c r="M988" s="940"/>
      <c r="N988" s="940"/>
      <c r="O988" s="868">
        <f>CHOORData!BG3</f>
        <v>0</v>
      </c>
      <c r="P988" s="869"/>
      <c r="Q988" s="869"/>
      <c r="R988" s="870"/>
      <c r="S988" s="940">
        <f>SUM(K988:R988)</f>
        <v>0</v>
      </c>
      <c r="T988" s="940"/>
      <c r="U988" s="940"/>
      <c r="V988" s="940"/>
      <c r="W988" s="866">
        <f>CHOORData!AW3</f>
        <v>0</v>
      </c>
      <c r="X988" s="867"/>
      <c r="Y988" s="586"/>
      <c r="Z988" s="586"/>
      <c r="AA988" s="518"/>
      <c r="AB988" s="529"/>
      <c r="AC988" s="588"/>
      <c r="AD988" s="588"/>
      <c r="AE988" s="588"/>
      <c r="AF988" s="529"/>
      <c r="AG988" s="529"/>
      <c r="AH988" s="529"/>
      <c r="AJ988" s="595" t="b">
        <f>AND(AJ$981,S988&gt;0)</f>
        <v>0</v>
      </c>
    </row>
    <row r="989" spans="1:36" ht="16" hidden="1" customHeight="1" x14ac:dyDescent="0.45">
      <c r="A989" s="518"/>
      <c r="B989" s="514" t="s">
        <v>1406</v>
      </c>
      <c r="C989" s="530"/>
      <c r="D989" s="530"/>
      <c r="E989" s="530"/>
      <c r="F989" s="534"/>
      <c r="G989" s="1181" t="str">
        <f>IF(CHOORData!T4=0,"",CHOORData!T4)</f>
        <v/>
      </c>
      <c r="H989" s="1181"/>
      <c r="I989" s="939">
        <f>CHOORData!AU4</f>
        <v>0</v>
      </c>
      <c r="J989" s="1181"/>
      <c r="K989" s="940">
        <f>CHOORData!AV4</f>
        <v>0</v>
      </c>
      <c r="L989" s="940"/>
      <c r="M989" s="940"/>
      <c r="N989" s="940"/>
      <c r="O989" s="868">
        <f>CHOORData!BG4</f>
        <v>0</v>
      </c>
      <c r="P989" s="869"/>
      <c r="Q989" s="869"/>
      <c r="R989" s="870"/>
      <c r="S989" s="940">
        <f t="shared" ref="S989:S1045" si="21">SUM(K989:R989)</f>
        <v>0</v>
      </c>
      <c r="T989" s="940"/>
      <c r="U989" s="940"/>
      <c r="V989" s="940"/>
      <c r="W989" s="866">
        <f>CHOORData!AW4</f>
        <v>0</v>
      </c>
      <c r="X989" s="867"/>
      <c r="Y989" s="586"/>
      <c r="Z989" s="586"/>
      <c r="AA989" s="518"/>
      <c r="AB989" s="529"/>
      <c r="AC989" s="588"/>
      <c r="AD989" s="588"/>
      <c r="AE989" s="588"/>
      <c r="AF989" s="529"/>
      <c r="AG989" s="529"/>
      <c r="AH989" s="529"/>
      <c r="AJ989" s="595" t="b">
        <f t="shared" ref="AJ989:AJ1045" si="22">AND(AJ$981,S989&gt;0)</f>
        <v>0</v>
      </c>
    </row>
    <row r="990" spans="1:36" ht="16" hidden="1" customHeight="1" x14ac:dyDescent="0.45">
      <c r="A990" s="518"/>
      <c r="B990" s="514" t="s">
        <v>1407</v>
      </c>
      <c r="C990" s="530"/>
      <c r="D990" s="530"/>
      <c r="E990" s="530"/>
      <c r="F990" s="534"/>
      <c r="G990" s="1181" t="str">
        <f>IF(CHOORData!T5=0,"",CHOORData!T5)</f>
        <v/>
      </c>
      <c r="H990" s="1181"/>
      <c r="I990" s="939">
        <f>CHOORData!AU5</f>
        <v>0</v>
      </c>
      <c r="J990" s="1181"/>
      <c r="K990" s="940">
        <f>CHOORData!AV5</f>
        <v>0</v>
      </c>
      <c r="L990" s="940"/>
      <c r="M990" s="940"/>
      <c r="N990" s="940"/>
      <c r="O990" s="868">
        <f>CHOORData!BG5</f>
        <v>0</v>
      </c>
      <c r="P990" s="869"/>
      <c r="Q990" s="869"/>
      <c r="R990" s="870"/>
      <c r="S990" s="940">
        <f t="shared" si="21"/>
        <v>0</v>
      </c>
      <c r="T990" s="940"/>
      <c r="U990" s="940"/>
      <c r="V990" s="940"/>
      <c r="W990" s="866">
        <f>CHOORData!AW5</f>
        <v>0</v>
      </c>
      <c r="X990" s="867"/>
      <c r="Y990" s="586"/>
      <c r="Z990" s="586"/>
      <c r="AA990" s="518"/>
      <c r="AB990" s="529"/>
      <c r="AC990" s="588"/>
      <c r="AD990" s="588"/>
      <c r="AE990" s="588"/>
      <c r="AF990" s="529"/>
      <c r="AG990" s="529"/>
      <c r="AH990" s="529"/>
      <c r="AJ990" s="595" t="b">
        <f t="shared" si="22"/>
        <v>0</v>
      </c>
    </row>
    <row r="991" spans="1:36" ht="16" hidden="1" customHeight="1" x14ac:dyDescent="0.45">
      <c r="A991" s="518"/>
      <c r="B991" s="514" t="s">
        <v>1408</v>
      </c>
      <c r="C991" s="530"/>
      <c r="D991" s="530"/>
      <c r="E991" s="530"/>
      <c r="F991" s="534"/>
      <c r="G991" s="1181" t="str">
        <f>IF(CHOORData!T6=0,"",CHOORData!T6)</f>
        <v/>
      </c>
      <c r="H991" s="1181"/>
      <c r="I991" s="939">
        <f>CHOORData!AU6</f>
        <v>0</v>
      </c>
      <c r="J991" s="1181"/>
      <c r="K991" s="940">
        <f>CHOORData!AV6</f>
        <v>0</v>
      </c>
      <c r="L991" s="940"/>
      <c r="M991" s="940"/>
      <c r="N991" s="940"/>
      <c r="O991" s="868">
        <f>CHOORData!BG6</f>
        <v>0</v>
      </c>
      <c r="P991" s="869"/>
      <c r="Q991" s="869"/>
      <c r="R991" s="870"/>
      <c r="S991" s="940">
        <f t="shared" si="21"/>
        <v>0</v>
      </c>
      <c r="T991" s="940"/>
      <c r="U991" s="940"/>
      <c r="V991" s="940"/>
      <c r="W991" s="866">
        <f>CHOORData!AW6</f>
        <v>0</v>
      </c>
      <c r="X991" s="867"/>
      <c r="Y991" s="586"/>
      <c r="Z991" s="586"/>
      <c r="AA991" s="518"/>
      <c r="AB991" s="529"/>
      <c r="AC991" s="588"/>
      <c r="AD991" s="588"/>
      <c r="AE991" s="588"/>
      <c r="AF991" s="529"/>
      <c r="AG991" s="529"/>
      <c r="AH991" s="529"/>
      <c r="AJ991" s="595" t="b">
        <f t="shared" si="22"/>
        <v>0</v>
      </c>
    </row>
    <row r="992" spans="1:36" ht="16" hidden="1" customHeight="1" x14ac:dyDescent="0.45">
      <c r="A992" s="518"/>
      <c r="B992" s="514" t="s">
        <v>1409</v>
      </c>
      <c r="C992" s="530"/>
      <c r="D992" s="530"/>
      <c r="E992" s="530"/>
      <c r="F992" s="534"/>
      <c r="G992" s="1181" t="str">
        <f>IF(CHOORData!T7=0,"",CHOORData!T7)</f>
        <v/>
      </c>
      <c r="H992" s="1181"/>
      <c r="I992" s="939">
        <f>CHOORData!AU7</f>
        <v>0</v>
      </c>
      <c r="J992" s="1181"/>
      <c r="K992" s="940">
        <f>CHOORData!AV7</f>
        <v>0</v>
      </c>
      <c r="L992" s="940"/>
      <c r="M992" s="940"/>
      <c r="N992" s="940"/>
      <c r="O992" s="868">
        <f>CHOORData!BG7</f>
        <v>0</v>
      </c>
      <c r="P992" s="869"/>
      <c r="Q992" s="869"/>
      <c r="R992" s="870"/>
      <c r="S992" s="940">
        <f t="shared" si="21"/>
        <v>0</v>
      </c>
      <c r="T992" s="940"/>
      <c r="U992" s="940"/>
      <c r="V992" s="940"/>
      <c r="W992" s="866">
        <f>CHOORData!AW7</f>
        <v>0</v>
      </c>
      <c r="X992" s="867"/>
      <c r="Y992" s="586"/>
      <c r="Z992" s="586"/>
      <c r="AA992" s="518"/>
      <c r="AB992" s="529"/>
      <c r="AC992" s="588"/>
      <c r="AD992" s="588"/>
      <c r="AE992" s="588"/>
      <c r="AF992" s="529"/>
      <c r="AG992" s="529"/>
      <c r="AH992" s="529"/>
      <c r="AJ992" s="595" t="b">
        <f t="shared" si="22"/>
        <v>0</v>
      </c>
    </row>
    <row r="993" spans="1:36" ht="16" hidden="1" customHeight="1" x14ac:dyDescent="0.45">
      <c r="A993" s="518"/>
      <c r="B993" s="514" t="s">
        <v>1410</v>
      </c>
      <c r="C993" s="530"/>
      <c r="D993" s="530"/>
      <c r="E993" s="530"/>
      <c r="F993" s="534"/>
      <c r="G993" s="1181" t="str">
        <f>IF(CHOORData!T8=0,"",CHOORData!T8)</f>
        <v/>
      </c>
      <c r="H993" s="1181"/>
      <c r="I993" s="939">
        <f>CHOORData!AU8</f>
        <v>0</v>
      </c>
      <c r="J993" s="1181"/>
      <c r="K993" s="940">
        <f>CHOORData!AV8</f>
        <v>0</v>
      </c>
      <c r="L993" s="940"/>
      <c r="M993" s="940"/>
      <c r="N993" s="940"/>
      <c r="O993" s="868">
        <f>CHOORData!BG8</f>
        <v>0</v>
      </c>
      <c r="P993" s="869"/>
      <c r="Q993" s="869"/>
      <c r="R993" s="870"/>
      <c r="S993" s="940">
        <f t="shared" si="21"/>
        <v>0</v>
      </c>
      <c r="T993" s="940"/>
      <c r="U993" s="940"/>
      <c r="V993" s="940"/>
      <c r="W993" s="866">
        <f>CHOORData!AW8</f>
        <v>0</v>
      </c>
      <c r="X993" s="867"/>
      <c r="Y993" s="586"/>
      <c r="Z993" s="586"/>
      <c r="AA993" s="518"/>
      <c r="AB993" s="529"/>
      <c r="AC993" s="588"/>
      <c r="AD993" s="588"/>
      <c r="AE993" s="588"/>
      <c r="AF993" s="529"/>
      <c r="AG993" s="529"/>
      <c r="AH993" s="529"/>
      <c r="AJ993" s="595" t="b">
        <f t="shared" si="22"/>
        <v>0</v>
      </c>
    </row>
    <row r="994" spans="1:36" ht="16" hidden="1" customHeight="1" x14ac:dyDescent="0.45">
      <c r="A994" s="518"/>
      <c r="B994" s="514" t="s">
        <v>1411</v>
      </c>
      <c r="C994" s="530"/>
      <c r="D994" s="530"/>
      <c r="E994" s="530"/>
      <c r="F994" s="534"/>
      <c r="G994" s="1181" t="str">
        <f>IF(CHOORData!T9=0,"",CHOORData!T9)</f>
        <v/>
      </c>
      <c r="H994" s="1181"/>
      <c r="I994" s="939">
        <f>CHOORData!AU9</f>
        <v>0</v>
      </c>
      <c r="J994" s="1181"/>
      <c r="K994" s="940">
        <f>CHOORData!AV9</f>
        <v>0</v>
      </c>
      <c r="L994" s="940"/>
      <c r="M994" s="940"/>
      <c r="N994" s="940"/>
      <c r="O994" s="868">
        <f>CHOORData!BG9</f>
        <v>0</v>
      </c>
      <c r="P994" s="869"/>
      <c r="Q994" s="869"/>
      <c r="R994" s="870"/>
      <c r="S994" s="940">
        <f t="shared" si="21"/>
        <v>0</v>
      </c>
      <c r="T994" s="940"/>
      <c r="U994" s="940"/>
      <c r="V994" s="940"/>
      <c r="W994" s="866">
        <f>CHOORData!AW9</f>
        <v>0</v>
      </c>
      <c r="X994" s="867"/>
      <c r="Y994" s="586"/>
      <c r="Z994" s="586"/>
      <c r="AA994" s="518"/>
      <c r="AB994" s="529"/>
      <c r="AC994" s="588"/>
      <c r="AD994" s="588"/>
      <c r="AE994" s="588"/>
      <c r="AF994" s="529"/>
      <c r="AG994" s="529"/>
      <c r="AH994" s="529"/>
      <c r="AJ994" s="595" t="b">
        <f t="shared" si="22"/>
        <v>0</v>
      </c>
    </row>
    <row r="995" spans="1:36" ht="16" hidden="1" customHeight="1" x14ac:dyDescent="0.45">
      <c r="A995" s="518"/>
      <c r="B995" s="514" t="s">
        <v>1412</v>
      </c>
      <c r="C995" s="530"/>
      <c r="D995" s="530"/>
      <c r="E995" s="530"/>
      <c r="F995" s="534"/>
      <c r="G995" s="1181" t="str">
        <f>IF(CHOORData!T10=0,"",CHOORData!T10)</f>
        <v/>
      </c>
      <c r="H995" s="1181"/>
      <c r="I995" s="939">
        <f>CHOORData!AU10</f>
        <v>0</v>
      </c>
      <c r="J995" s="1181"/>
      <c r="K995" s="940">
        <f>CHOORData!AV10</f>
        <v>0</v>
      </c>
      <c r="L995" s="940"/>
      <c r="M995" s="940"/>
      <c r="N995" s="940"/>
      <c r="O995" s="868">
        <f>CHOORData!BG10</f>
        <v>0</v>
      </c>
      <c r="P995" s="869"/>
      <c r="Q995" s="869"/>
      <c r="R995" s="870"/>
      <c r="S995" s="940">
        <f t="shared" si="21"/>
        <v>0</v>
      </c>
      <c r="T995" s="940"/>
      <c r="U995" s="940"/>
      <c r="V995" s="940"/>
      <c r="W995" s="866">
        <f>CHOORData!AW10</f>
        <v>0</v>
      </c>
      <c r="X995" s="867"/>
      <c r="Y995" s="586"/>
      <c r="Z995" s="586"/>
      <c r="AA995" s="518"/>
      <c r="AB995" s="529"/>
      <c r="AC995" s="588"/>
      <c r="AD995" s="588"/>
      <c r="AE995" s="588"/>
      <c r="AF995" s="529"/>
      <c r="AG995" s="529"/>
      <c r="AH995" s="529"/>
      <c r="AJ995" s="595" t="b">
        <f t="shared" si="22"/>
        <v>0</v>
      </c>
    </row>
    <row r="996" spans="1:36" ht="16" hidden="1" customHeight="1" x14ac:dyDescent="0.45">
      <c r="A996" s="518"/>
      <c r="B996" s="514" t="s">
        <v>1413</v>
      </c>
      <c r="C996" s="530"/>
      <c r="D996" s="530"/>
      <c r="E996" s="530"/>
      <c r="F996" s="534"/>
      <c r="G996" s="1181" t="str">
        <f>IF(CHOORData!T11=0,"",CHOORData!T11)</f>
        <v/>
      </c>
      <c r="H996" s="1181"/>
      <c r="I996" s="939">
        <f>CHOORData!AU11</f>
        <v>0</v>
      </c>
      <c r="J996" s="1181"/>
      <c r="K996" s="940">
        <f>CHOORData!AV11</f>
        <v>0</v>
      </c>
      <c r="L996" s="940"/>
      <c r="M996" s="940"/>
      <c r="N996" s="940"/>
      <c r="O996" s="868">
        <f>CHOORData!BG11</f>
        <v>0</v>
      </c>
      <c r="P996" s="869"/>
      <c r="Q996" s="869"/>
      <c r="R996" s="870"/>
      <c r="S996" s="940">
        <f t="shared" si="21"/>
        <v>0</v>
      </c>
      <c r="T996" s="940"/>
      <c r="U996" s="940"/>
      <c r="V996" s="940"/>
      <c r="W996" s="866">
        <f>CHOORData!AW11</f>
        <v>0</v>
      </c>
      <c r="X996" s="867"/>
      <c r="Y996" s="586"/>
      <c r="Z996" s="586"/>
      <c r="AA996" s="518"/>
      <c r="AB996" s="529"/>
      <c r="AC996" s="588"/>
      <c r="AD996" s="588"/>
      <c r="AE996" s="588"/>
      <c r="AF996" s="529"/>
      <c r="AG996" s="529"/>
      <c r="AH996" s="529"/>
      <c r="AJ996" s="595" t="b">
        <f t="shared" si="22"/>
        <v>0</v>
      </c>
    </row>
    <row r="997" spans="1:36" ht="16" hidden="1" customHeight="1" x14ac:dyDescent="0.45">
      <c r="A997" s="518"/>
      <c r="B997" s="514" t="s">
        <v>1414</v>
      </c>
      <c r="C997" s="530"/>
      <c r="D997" s="530"/>
      <c r="E997" s="530"/>
      <c r="F997" s="534"/>
      <c r="G997" s="1181" t="str">
        <f>IF(CHOORData!T12=0,"",CHOORData!T12)</f>
        <v/>
      </c>
      <c r="H997" s="1181"/>
      <c r="I997" s="939">
        <f>CHOORData!AU12</f>
        <v>0</v>
      </c>
      <c r="J997" s="1181"/>
      <c r="K997" s="940">
        <f>CHOORData!AV12</f>
        <v>0</v>
      </c>
      <c r="L997" s="940"/>
      <c r="M997" s="940"/>
      <c r="N997" s="940"/>
      <c r="O997" s="868">
        <f>CHOORData!BG12</f>
        <v>0</v>
      </c>
      <c r="P997" s="869"/>
      <c r="Q997" s="869"/>
      <c r="R997" s="870"/>
      <c r="S997" s="940">
        <f t="shared" si="21"/>
        <v>0</v>
      </c>
      <c r="T997" s="940"/>
      <c r="U997" s="940"/>
      <c r="V997" s="940"/>
      <c r="W997" s="866">
        <f>CHOORData!AW12</f>
        <v>0</v>
      </c>
      <c r="X997" s="867"/>
      <c r="Y997" s="586"/>
      <c r="Z997" s="586"/>
      <c r="AA997" s="518"/>
      <c r="AB997" s="529"/>
      <c r="AC997" s="588"/>
      <c r="AD997" s="588"/>
      <c r="AE997" s="588"/>
      <c r="AF997" s="529"/>
      <c r="AG997" s="529"/>
      <c r="AH997" s="529"/>
      <c r="AJ997" s="595" t="b">
        <f t="shared" si="22"/>
        <v>0</v>
      </c>
    </row>
    <row r="998" spans="1:36" ht="16" hidden="1" customHeight="1" x14ac:dyDescent="0.45">
      <c r="A998" s="518"/>
      <c r="B998" s="514" t="s">
        <v>1415</v>
      </c>
      <c r="C998" s="530"/>
      <c r="D998" s="530"/>
      <c r="E998" s="530"/>
      <c r="F998" s="534"/>
      <c r="G998" s="1181" t="str">
        <f>IF(CHOORData!T13=0,"",CHOORData!T13)</f>
        <v/>
      </c>
      <c r="H998" s="1181"/>
      <c r="I998" s="939">
        <f>CHOORData!AU13</f>
        <v>0</v>
      </c>
      <c r="J998" s="1181"/>
      <c r="K998" s="940">
        <f>CHOORData!AV13</f>
        <v>0</v>
      </c>
      <c r="L998" s="940"/>
      <c r="M998" s="940"/>
      <c r="N998" s="940"/>
      <c r="O998" s="868">
        <f>CHOORData!BG13</f>
        <v>0</v>
      </c>
      <c r="P998" s="869"/>
      <c r="Q998" s="869"/>
      <c r="R998" s="870"/>
      <c r="S998" s="940">
        <f t="shared" si="21"/>
        <v>0</v>
      </c>
      <c r="T998" s="940"/>
      <c r="U998" s="940"/>
      <c r="V998" s="940"/>
      <c r="W998" s="866">
        <f>CHOORData!AW13</f>
        <v>0</v>
      </c>
      <c r="X998" s="867"/>
      <c r="Y998" s="586"/>
      <c r="Z998" s="586"/>
      <c r="AA998" s="518"/>
      <c r="AB998" s="529"/>
      <c r="AC998" s="588"/>
      <c r="AD998" s="588"/>
      <c r="AE998" s="588"/>
      <c r="AF998" s="529"/>
      <c r="AG998" s="529"/>
      <c r="AH998" s="529"/>
      <c r="AJ998" s="595" t="b">
        <f t="shared" si="22"/>
        <v>0</v>
      </c>
    </row>
    <row r="999" spans="1:36" ht="16" hidden="1" customHeight="1" x14ac:dyDescent="0.45">
      <c r="A999" s="518"/>
      <c r="B999" s="514" t="s">
        <v>1416</v>
      </c>
      <c r="C999" s="530"/>
      <c r="D999" s="530"/>
      <c r="E999" s="530"/>
      <c r="F999" s="534"/>
      <c r="G999" s="1181" t="str">
        <f>IF(CHOORData!T14=0,"",CHOORData!T14)</f>
        <v/>
      </c>
      <c r="H999" s="1181"/>
      <c r="I999" s="939">
        <f>CHOORData!AU14</f>
        <v>0</v>
      </c>
      <c r="J999" s="1181"/>
      <c r="K999" s="940">
        <f>CHOORData!AV14</f>
        <v>0</v>
      </c>
      <c r="L999" s="940"/>
      <c r="M999" s="940"/>
      <c r="N999" s="940"/>
      <c r="O999" s="868">
        <f>CHOORData!BG14</f>
        <v>0</v>
      </c>
      <c r="P999" s="869"/>
      <c r="Q999" s="869"/>
      <c r="R999" s="870"/>
      <c r="S999" s="940">
        <f t="shared" si="21"/>
        <v>0</v>
      </c>
      <c r="T999" s="940"/>
      <c r="U999" s="940"/>
      <c r="V999" s="940"/>
      <c r="W999" s="866">
        <f>CHOORData!AW14</f>
        <v>0</v>
      </c>
      <c r="X999" s="867"/>
      <c r="Y999" s="586"/>
      <c r="Z999" s="586"/>
      <c r="AA999" s="518"/>
      <c r="AB999" s="529"/>
      <c r="AC999" s="588"/>
      <c r="AD999" s="588"/>
      <c r="AE999" s="588"/>
      <c r="AF999" s="529"/>
      <c r="AG999" s="529"/>
      <c r="AH999" s="529"/>
      <c r="AJ999" s="595" t="b">
        <f t="shared" si="22"/>
        <v>0</v>
      </c>
    </row>
    <row r="1000" spans="1:36" ht="16" hidden="1" customHeight="1" x14ac:dyDescent="0.45">
      <c r="A1000" s="518"/>
      <c r="B1000" s="514" t="s">
        <v>1417</v>
      </c>
      <c r="C1000" s="530"/>
      <c r="D1000" s="530"/>
      <c r="E1000" s="530"/>
      <c r="F1000" s="534"/>
      <c r="G1000" s="1181" t="str">
        <f>IF(CHOORData!T15=0,"",CHOORData!T15)</f>
        <v/>
      </c>
      <c r="H1000" s="1181"/>
      <c r="I1000" s="939">
        <f>CHOORData!AU15</f>
        <v>0</v>
      </c>
      <c r="J1000" s="1181"/>
      <c r="K1000" s="940">
        <f>CHOORData!AV15</f>
        <v>0</v>
      </c>
      <c r="L1000" s="940"/>
      <c r="M1000" s="940"/>
      <c r="N1000" s="940"/>
      <c r="O1000" s="868">
        <f>CHOORData!BG15</f>
        <v>0</v>
      </c>
      <c r="P1000" s="869"/>
      <c r="Q1000" s="869"/>
      <c r="R1000" s="870"/>
      <c r="S1000" s="940">
        <f t="shared" si="21"/>
        <v>0</v>
      </c>
      <c r="T1000" s="940"/>
      <c r="U1000" s="940"/>
      <c r="V1000" s="940"/>
      <c r="W1000" s="866">
        <f>CHOORData!AW15</f>
        <v>0</v>
      </c>
      <c r="X1000" s="867"/>
      <c r="Y1000" s="586"/>
      <c r="Z1000" s="586"/>
      <c r="AA1000" s="518"/>
      <c r="AB1000" s="529"/>
      <c r="AC1000" s="588"/>
      <c r="AD1000" s="588"/>
      <c r="AE1000" s="588"/>
      <c r="AF1000" s="529"/>
      <c r="AG1000" s="529"/>
      <c r="AH1000" s="529"/>
      <c r="AJ1000" s="595" t="b">
        <f t="shared" si="22"/>
        <v>0</v>
      </c>
    </row>
    <row r="1001" spans="1:36" ht="16" hidden="1" customHeight="1" x14ac:dyDescent="0.45">
      <c r="A1001" s="518"/>
      <c r="B1001" s="514" t="s">
        <v>1418</v>
      </c>
      <c r="C1001" s="530"/>
      <c r="D1001" s="530"/>
      <c r="E1001" s="530"/>
      <c r="F1001" s="534"/>
      <c r="G1001" s="1181" t="str">
        <f>IF(CHOORData!T16=0,"",CHOORData!T16)</f>
        <v/>
      </c>
      <c r="H1001" s="1181"/>
      <c r="I1001" s="939">
        <f>CHOORData!AU16</f>
        <v>0</v>
      </c>
      <c r="J1001" s="1181"/>
      <c r="K1001" s="940">
        <f>CHOORData!AV16</f>
        <v>0</v>
      </c>
      <c r="L1001" s="940"/>
      <c r="M1001" s="940"/>
      <c r="N1001" s="940"/>
      <c r="O1001" s="868">
        <f>CHOORData!BG16</f>
        <v>0</v>
      </c>
      <c r="P1001" s="869"/>
      <c r="Q1001" s="869"/>
      <c r="R1001" s="870"/>
      <c r="S1001" s="940">
        <f t="shared" si="21"/>
        <v>0</v>
      </c>
      <c r="T1001" s="940"/>
      <c r="U1001" s="940"/>
      <c r="V1001" s="940"/>
      <c r="W1001" s="866">
        <f>CHOORData!AW16</f>
        <v>0</v>
      </c>
      <c r="X1001" s="867"/>
      <c r="Y1001" s="586"/>
      <c r="Z1001" s="586"/>
      <c r="AA1001" s="518"/>
      <c r="AB1001" s="529"/>
      <c r="AC1001" s="588"/>
      <c r="AD1001" s="588"/>
      <c r="AE1001" s="588"/>
      <c r="AF1001" s="529"/>
      <c r="AG1001" s="529"/>
      <c r="AH1001" s="529"/>
      <c r="AJ1001" s="595" t="b">
        <f t="shared" si="22"/>
        <v>0</v>
      </c>
    </row>
    <row r="1002" spans="1:36" ht="16" hidden="1" customHeight="1" x14ac:dyDescent="0.45">
      <c r="A1002" s="518"/>
      <c r="B1002" s="514" t="s">
        <v>1419</v>
      </c>
      <c r="C1002" s="530"/>
      <c r="D1002" s="530"/>
      <c r="E1002" s="530"/>
      <c r="F1002" s="534"/>
      <c r="G1002" s="1181" t="str">
        <f>IF(CHOORData!T17=0,"",CHOORData!T17)</f>
        <v/>
      </c>
      <c r="H1002" s="1181"/>
      <c r="I1002" s="939">
        <f>CHOORData!AU17</f>
        <v>0</v>
      </c>
      <c r="J1002" s="1181"/>
      <c r="K1002" s="940">
        <f>CHOORData!AV17</f>
        <v>0</v>
      </c>
      <c r="L1002" s="940"/>
      <c r="M1002" s="940"/>
      <c r="N1002" s="940"/>
      <c r="O1002" s="868">
        <f>CHOORData!BG17</f>
        <v>0</v>
      </c>
      <c r="P1002" s="869"/>
      <c r="Q1002" s="869"/>
      <c r="R1002" s="870"/>
      <c r="S1002" s="940">
        <f t="shared" si="21"/>
        <v>0</v>
      </c>
      <c r="T1002" s="940"/>
      <c r="U1002" s="940"/>
      <c r="V1002" s="940"/>
      <c r="W1002" s="866">
        <f>CHOORData!AW17</f>
        <v>0</v>
      </c>
      <c r="X1002" s="867"/>
      <c r="Y1002" s="586"/>
      <c r="Z1002" s="586"/>
      <c r="AA1002" s="518"/>
      <c r="AB1002" s="529"/>
      <c r="AC1002" s="588"/>
      <c r="AD1002" s="588"/>
      <c r="AE1002" s="588"/>
      <c r="AF1002" s="529"/>
      <c r="AG1002" s="529"/>
      <c r="AH1002" s="529"/>
      <c r="AJ1002" s="595" t="b">
        <f t="shared" si="22"/>
        <v>0</v>
      </c>
    </row>
    <row r="1003" spans="1:36" ht="16" hidden="1" customHeight="1" x14ac:dyDescent="0.45">
      <c r="A1003" s="518"/>
      <c r="B1003" s="514" t="s">
        <v>1420</v>
      </c>
      <c r="C1003" s="530"/>
      <c r="D1003" s="530"/>
      <c r="E1003" s="530"/>
      <c r="F1003" s="534"/>
      <c r="G1003" s="1181" t="str">
        <f>IF(CHOORData!T18=0,"",CHOORData!T18)</f>
        <v/>
      </c>
      <c r="H1003" s="1181"/>
      <c r="I1003" s="939">
        <f>CHOORData!AU18</f>
        <v>0</v>
      </c>
      <c r="J1003" s="1181"/>
      <c r="K1003" s="940">
        <f>CHOORData!AV18</f>
        <v>0</v>
      </c>
      <c r="L1003" s="940"/>
      <c r="M1003" s="940"/>
      <c r="N1003" s="940"/>
      <c r="O1003" s="868">
        <f>CHOORData!BG18</f>
        <v>0</v>
      </c>
      <c r="P1003" s="869"/>
      <c r="Q1003" s="869"/>
      <c r="R1003" s="870"/>
      <c r="S1003" s="940">
        <f t="shared" si="21"/>
        <v>0</v>
      </c>
      <c r="T1003" s="940"/>
      <c r="U1003" s="940"/>
      <c r="V1003" s="940"/>
      <c r="W1003" s="866">
        <f>CHOORData!AW18</f>
        <v>0</v>
      </c>
      <c r="X1003" s="867"/>
      <c r="Y1003" s="586"/>
      <c r="Z1003" s="586"/>
      <c r="AA1003" s="518"/>
      <c r="AB1003" s="529"/>
      <c r="AC1003" s="588"/>
      <c r="AD1003" s="588"/>
      <c r="AE1003" s="588"/>
      <c r="AF1003" s="529"/>
      <c r="AG1003" s="529"/>
      <c r="AH1003" s="529"/>
      <c r="AJ1003" s="595" t="b">
        <f t="shared" si="22"/>
        <v>0</v>
      </c>
    </row>
    <row r="1004" spans="1:36" ht="16" hidden="1" customHeight="1" x14ac:dyDescent="0.45">
      <c r="A1004" s="518"/>
      <c r="B1004" s="514" t="s">
        <v>1421</v>
      </c>
      <c r="C1004" s="530"/>
      <c r="D1004" s="530"/>
      <c r="E1004" s="530"/>
      <c r="F1004" s="534"/>
      <c r="G1004" s="1181" t="str">
        <f>IF(CHOORData!T19=0,"",CHOORData!T19)</f>
        <v/>
      </c>
      <c r="H1004" s="1181"/>
      <c r="I1004" s="939">
        <f>CHOORData!AU19</f>
        <v>0</v>
      </c>
      <c r="J1004" s="1181"/>
      <c r="K1004" s="940">
        <f>CHOORData!AV19</f>
        <v>0</v>
      </c>
      <c r="L1004" s="940"/>
      <c r="M1004" s="940"/>
      <c r="N1004" s="940"/>
      <c r="O1004" s="868">
        <f>CHOORData!BG19</f>
        <v>0</v>
      </c>
      <c r="P1004" s="869"/>
      <c r="Q1004" s="869"/>
      <c r="R1004" s="870"/>
      <c r="S1004" s="940">
        <f t="shared" si="21"/>
        <v>0</v>
      </c>
      <c r="T1004" s="940"/>
      <c r="U1004" s="940"/>
      <c r="V1004" s="940"/>
      <c r="W1004" s="866">
        <f>CHOORData!AW19</f>
        <v>0</v>
      </c>
      <c r="X1004" s="867"/>
      <c r="Y1004" s="586"/>
      <c r="Z1004" s="586"/>
      <c r="AA1004" s="518"/>
      <c r="AB1004" s="529"/>
      <c r="AC1004" s="588"/>
      <c r="AD1004" s="588"/>
      <c r="AE1004" s="588"/>
      <c r="AF1004" s="529"/>
      <c r="AG1004" s="529"/>
      <c r="AH1004" s="529"/>
      <c r="AJ1004" s="595" t="b">
        <f t="shared" si="22"/>
        <v>0</v>
      </c>
    </row>
    <row r="1005" spans="1:36" ht="16" hidden="1" customHeight="1" x14ac:dyDescent="0.45">
      <c r="A1005" s="518"/>
      <c r="B1005" s="514" t="s">
        <v>1422</v>
      </c>
      <c r="C1005" s="530"/>
      <c r="D1005" s="530"/>
      <c r="E1005" s="530"/>
      <c r="F1005" s="534"/>
      <c r="G1005" s="1181" t="str">
        <f>IF(CHOORData!T20=0,"",CHOORData!T20)</f>
        <v/>
      </c>
      <c r="H1005" s="1181"/>
      <c r="I1005" s="939">
        <f>CHOORData!AU20</f>
        <v>0</v>
      </c>
      <c r="J1005" s="1181"/>
      <c r="K1005" s="940">
        <f>CHOORData!AV20</f>
        <v>0</v>
      </c>
      <c r="L1005" s="940"/>
      <c r="M1005" s="940"/>
      <c r="N1005" s="940"/>
      <c r="O1005" s="868">
        <f>CHOORData!BG20</f>
        <v>0</v>
      </c>
      <c r="P1005" s="869"/>
      <c r="Q1005" s="869"/>
      <c r="R1005" s="870"/>
      <c r="S1005" s="940">
        <f t="shared" si="21"/>
        <v>0</v>
      </c>
      <c r="T1005" s="940"/>
      <c r="U1005" s="940"/>
      <c r="V1005" s="940"/>
      <c r="W1005" s="866">
        <f>CHOORData!AW20</f>
        <v>0</v>
      </c>
      <c r="X1005" s="867"/>
      <c r="Y1005" s="586"/>
      <c r="Z1005" s="586"/>
      <c r="AA1005" s="518"/>
      <c r="AB1005" s="529"/>
      <c r="AC1005" s="588"/>
      <c r="AD1005" s="588"/>
      <c r="AE1005" s="588"/>
      <c r="AF1005" s="529"/>
      <c r="AG1005" s="529"/>
      <c r="AH1005" s="529"/>
      <c r="AJ1005" s="595" t="b">
        <f t="shared" si="22"/>
        <v>0</v>
      </c>
    </row>
    <row r="1006" spans="1:36" ht="16" hidden="1" customHeight="1" x14ac:dyDescent="0.45">
      <c r="A1006" s="518"/>
      <c r="B1006" s="514" t="s">
        <v>1423</v>
      </c>
      <c r="C1006" s="530"/>
      <c r="D1006" s="530"/>
      <c r="E1006" s="530"/>
      <c r="F1006" s="534"/>
      <c r="G1006" s="1181" t="str">
        <f>IF(CHOORData!T21=0,"",CHOORData!T21)</f>
        <v/>
      </c>
      <c r="H1006" s="1181"/>
      <c r="I1006" s="939">
        <f>CHOORData!AU21</f>
        <v>0</v>
      </c>
      <c r="J1006" s="1181"/>
      <c r="K1006" s="940">
        <f>CHOORData!AV21</f>
        <v>0</v>
      </c>
      <c r="L1006" s="940"/>
      <c r="M1006" s="940"/>
      <c r="N1006" s="940"/>
      <c r="O1006" s="868">
        <f>CHOORData!BG21</f>
        <v>0</v>
      </c>
      <c r="P1006" s="869"/>
      <c r="Q1006" s="869"/>
      <c r="R1006" s="870"/>
      <c r="S1006" s="940">
        <f t="shared" si="21"/>
        <v>0</v>
      </c>
      <c r="T1006" s="940"/>
      <c r="U1006" s="940"/>
      <c r="V1006" s="940"/>
      <c r="W1006" s="866">
        <f>CHOORData!AW21</f>
        <v>0</v>
      </c>
      <c r="X1006" s="867"/>
      <c r="Y1006" s="586"/>
      <c r="Z1006" s="586"/>
      <c r="AA1006" s="518"/>
      <c r="AB1006" s="529"/>
      <c r="AC1006" s="588"/>
      <c r="AD1006" s="588"/>
      <c r="AE1006" s="588"/>
      <c r="AF1006" s="529"/>
      <c r="AG1006" s="529"/>
      <c r="AH1006" s="529"/>
      <c r="AJ1006" s="595" t="b">
        <f t="shared" si="22"/>
        <v>0</v>
      </c>
    </row>
    <row r="1007" spans="1:36" ht="16" hidden="1" customHeight="1" x14ac:dyDescent="0.45">
      <c r="A1007" s="518"/>
      <c r="B1007" s="514" t="s">
        <v>1424</v>
      </c>
      <c r="C1007" s="530"/>
      <c r="D1007" s="530"/>
      <c r="E1007" s="530"/>
      <c r="F1007" s="534"/>
      <c r="G1007" s="1181" t="str">
        <f>IF(CHOORData!T22=0,"",CHOORData!T22)</f>
        <v/>
      </c>
      <c r="H1007" s="1181"/>
      <c r="I1007" s="939">
        <f>CHOORData!AU22</f>
        <v>0</v>
      </c>
      <c r="J1007" s="1181"/>
      <c r="K1007" s="940">
        <f>CHOORData!AV22</f>
        <v>0</v>
      </c>
      <c r="L1007" s="940"/>
      <c r="M1007" s="940"/>
      <c r="N1007" s="940"/>
      <c r="O1007" s="868">
        <f>CHOORData!BG22</f>
        <v>0</v>
      </c>
      <c r="P1007" s="869"/>
      <c r="Q1007" s="869"/>
      <c r="R1007" s="870"/>
      <c r="S1007" s="940">
        <f t="shared" si="21"/>
        <v>0</v>
      </c>
      <c r="T1007" s="940"/>
      <c r="U1007" s="940"/>
      <c r="V1007" s="940"/>
      <c r="W1007" s="866">
        <f>CHOORData!AW22</f>
        <v>0</v>
      </c>
      <c r="X1007" s="867"/>
      <c r="Y1007" s="586"/>
      <c r="Z1007" s="586"/>
      <c r="AA1007" s="518"/>
      <c r="AB1007" s="529"/>
      <c r="AC1007" s="588"/>
      <c r="AD1007" s="588"/>
      <c r="AE1007" s="588"/>
      <c r="AF1007" s="529"/>
      <c r="AG1007" s="529"/>
      <c r="AH1007" s="529"/>
      <c r="AJ1007" s="595" t="b">
        <f t="shared" si="22"/>
        <v>0</v>
      </c>
    </row>
    <row r="1008" spans="1:36" hidden="1" x14ac:dyDescent="0.45">
      <c r="A1008" s="518"/>
      <c r="B1008" s="514" t="s">
        <v>1425</v>
      </c>
      <c r="C1008" s="530"/>
      <c r="D1008" s="530"/>
      <c r="E1008" s="530"/>
      <c r="F1008" s="534"/>
      <c r="G1008" s="1181" t="str">
        <f>IF(CHOORData!T23=0,"",CHOORData!T23)</f>
        <v/>
      </c>
      <c r="H1008" s="1181"/>
      <c r="I1008" s="939">
        <f>CHOORData!AU23</f>
        <v>0</v>
      </c>
      <c r="J1008" s="1181"/>
      <c r="K1008" s="940">
        <f>CHOORData!AV23</f>
        <v>0</v>
      </c>
      <c r="L1008" s="940"/>
      <c r="M1008" s="940"/>
      <c r="N1008" s="940"/>
      <c r="O1008" s="868">
        <f>CHOORData!BG23</f>
        <v>0</v>
      </c>
      <c r="P1008" s="869"/>
      <c r="Q1008" s="869"/>
      <c r="R1008" s="870"/>
      <c r="S1008" s="940">
        <f t="shared" si="21"/>
        <v>0</v>
      </c>
      <c r="T1008" s="940"/>
      <c r="U1008" s="940"/>
      <c r="V1008" s="940"/>
      <c r="W1008" s="866">
        <f>CHOORData!AW23</f>
        <v>0</v>
      </c>
      <c r="X1008" s="867"/>
      <c r="Y1008" s="586"/>
      <c r="Z1008" s="586"/>
      <c r="AA1008" s="518"/>
      <c r="AB1008" s="529"/>
      <c r="AC1008" s="588"/>
      <c r="AD1008" s="588"/>
      <c r="AE1008" s="588"/>
      <c r="AF1008" s="529"/>
      <c r="AG1008" s="529"/>
      <c r="AH1008" s="529"/>
      <c r="AJ1008" s="595" t="b">
        <f t="shared" si="22"/>
        <v>0</v>
      </c>
    </row>
    <row r="1009" spans="1:36" hidden="1" x14ac:dyDescent="0.45">
      <c r="A1009" s="518"/>
      <c r="B1009" s="514" t="s">
        <v>1426</v>
      </c>
      <c r="C1009" s="530"/>
      <c r="D1009" s="530"/>
      <c r="E1009" s="530"/>
      <c r="F1009" s="534"/>
      <c r="G1009" s="1181" t="str">
        <f>IF(CHOORData!T24=0,"",CHOORData!T24)</f>
        <v/>
      </c>
      <c r="H1009" s="1181"/>
      <c r="I1009" s="939">
        <f>CHOORData!AU24</f>
        <v>0</v>
      </c>
      <c r="J1009" s="1181"/>
      <c r="K1009" s="940">
        <f>CHOORData!AV24</f>
        <v>0</v>
      </c>
      <c r="L1009" s="940"/>
      <c r="M1009" s="940"/>
      <c r="N1009" s="940"/>
      <c r="O1009" s="868">
        <f>CHOORData!BG24</f>
        <v>0</v>
      </c>
      <c r="P1009" s="869"/>
      <c r="Q1009" s="869"/>
      <c r="R1009" s="870"/>
      <c r="S1009" s="940">
        <f t="shared" si="21"/>
        <v>0</v>
      </c>
      <c r="T1009" s="940"/>
      <c r="U1009" s="940"/>
      <c r="V1009" s="940"/>
      <c r="W1009" s="866">
        <f>CHOORData!AW24</f>
        <v>0</v>
      </c>
      <c r="X1009" s="867"/>
      <c r="Y1009" s="586"/>
      <c r="Z1009" s="586"/>
      <c r="AA1009" s="518"/>
      <c r="AB1009" s="529"/>
      <c r="AC1009" s="588"/>
      <c r="AD1009" s="588"/>
      <c r="AE1009" s="588"/>
      <c r="AF1009" s="529"/>
      <c r="AG1009" s="529"/>
      <c r="AH1009" s="529"/>
      <c r="AJ1009" s="595" t="b">
        <f t="shared" si="22"/>
        <v>0</v>
      </c>
    </row>
    <row r="1010" spans="1:36" hidden="1" x14ac:dyDescent="0.45">
      <c r="A1010" s="518"/>
      <c r="B1010" s="514" t="s">
        <v>1427</v>
      </c>
      <c r="C1010" s="530"/>
      <c r="D1010" s="530"/>
      <c r="E1010" s="530"/>
      <c r="F1010" s="534"/>
      <c r="G1010" s="1181" t="str">
        <f>IF(CHOORData!T25=0,"",CHOORData!T25)</f>
        <v/>
      </c>
      <c r="H1010" s="1181"/>
      <c r="I1010" s="939">
        <f>CHOORData!AU25</f>
        <v>0</v>
      </c>
      <c r="J1010" s="1181"/>
      <c r="K1010" s="940">
        <f>CHOORData!AV25</f>
        <v>0</v>
      </c>
      <c r="L1010" s="940"/>
      <c r="M1010" s="940"/>
      <c r="N1010" s="940"/>
      <c r="O1010" s="868">
        <f>CHOORData!BG25</f>
        <v>0</v>
      </c>
      <c r="P1010" s="869"/>
      <c r="Q1010" s="869"/>
      <c r="R1010" s="870"/>
      <c r="S1010" s="940">
        <f t="shared" si="21"/>
        <v>0</v>
      </c>
      <c r="T1010" s="940"/>
      <c r="U1010" s="940"/>
      <c r="V1010" s="940"/>
      <c r="W1010" s="866">
        <f>CHOORData!AW25</f>
        <v>0</v>
      </c>
      <c r="X1010" s="867"/>
      <c r="Y1010" s="586"/>
      <c r="Z1010" s="586"/>
      <c r="AA1010" s="518"/>
      <c r="AB1010" s="529"/>
      <c r="AC1010" s="588"/>
      <c r="AD1010" s="588"/>
      <c r="AE1010" s="588"/>
      <c r="AF1010" s="529"/>
      <c r="AG1010" s="529"/>
      <c r="AH1010" s="529"/>
      <c r="AJ1010" s="595" t="b">
        <f t="shared" si="22"/>
        <v>0</v>
      </c>
    </row>
    <row r="1011" spans="1:36" hidden="1" x14ac:dyDescent="0.45">
      <c r="A1011" s="518"/>
      <c r="B1011" s="514" t="s">
        <v>1428</v>
      </c>
      <c r="C1011" s="530"/>
      <c r="D1011" s="530"/>
      <c r="E1011" s="530"/>
      <c r="F1011" s="534"/>
      <c r="G1011" s="1181" t="str">
        <f>IF(CHOORData!T26=0,"",CHOORData!T26)</f>
        <v/>
      </c>
      <c r="H1011" s="1181"/>
      <c r="I1011" s="939">
        <f>CHOORData!AU26</f>
        <v>0</v>
      </c>
      <c r="J1011" s="1181"/>
      <c r="K1011" s="940">
        <f>CHOORData!AV26</f>
        <v>0</v>
      </c>
      <c r="L1011" s="940"/>
      <c r="M1011" s="940"/>
      <c r="N1011" s="940"/>
      <c r="O1011" s="868">
        <f>CHOORData!BG26</f>
        <v>0</v>
      </c>
      <c r="P1011" s="869"/>
      <c r="Q1011" s="869"/>
      <c r="R1011" s="870"/>
      <c r="S1011" s="940">
        <f t="shared" si="21"/>
        <v>0</v>
      </c>
      <c r="T1011" s="940"/>
      <c r="U1011" s="940"/>
      <c r="V1011" s="940"/>
      <c r="W1011" s="866">
        <f>CHOORData!AW26</f>
        <v>0</v>
      </c>
      <c r="X1011" s="867"/>
      <c r="Y1011" s="586"/>
      <c r="Z1011" s="586"/>
      <c r="AA1011" s="518"/>
      <c r="AB1011" s="529"/>
      <c r="AC1011" s="588"/>
      <c r="AD1011" s="588"/>
      <c r="AE1011" s="588"/>
      <c r="AF1011" s="529"/>
      <c r="AG1011" s="529"/>
      <c r="AH1011" s="529"/>
      <c r="AJ1011" s="595" t="b">
        <f t="shared" si="22"/>
        <v>0</v>
      </c>
    </row>
    <row r="1012" spans="1:36" hidden="1" x14ac:dyDescent="0.45">
      <c r="A1012" s="518"/>
      <c r="B1012" s="514" t="s">
        <v>1429</v>
      </c>
      <c r="C1012" s="530"/>
      <c r="D1012" s="530"/>
      <c r="E1012" s="530"/>
      <c r="F1012" s="534"/>
      <c r="G1012" s="1181" t="str">
        <f>IF(CHOORData!T27=0,"",CHOORData!T27)</f>
        <v/>
      </c>
      <c r="H1012" s="1181"/>
      <c r="I1012" s="939">
        <f>CHOORData!AU27</f>
        <v>0</v>
      </c>
      <c r="J1012" s="1181"/>
      <c r="K1012" s="940">
        <f>CHOORData!AV27</f>
        <v>0</v>
      </c>
      <c r="L1012" s="940"/>
      <c r="M1012" s="940"/>
      <c r="N1012" s="940"/>
      <c r="O1012" s="868">
        <f>CHOORData!BG27</f>
        <v>0</v>
      </c>
      <c r="P1012" s="869"/>
      <c r="Q1012" s="869"/>
      <c r="R1012" s="870"/>
      <c r="S1012" s="940">
        <f t="shared" si="21"/>
        <v>0</v>
      </c>
      <c r="T1012" s="940"/>
      <c r="U1012" s="940"/>
      <c r="V1012" s="940"/>
      <c r="W1012" s="866">
        <f>CHOORData!AW27</f>
        <v>0</v>
      </c>
      <c r="X1012" s="867"/>
      <c r="Y1012" s="586"/>
      <c r="Z1012" s="586"/>
      <c r="AA1012" s="518"/>
      <c r="AB1012" s="529"/>
      <c r="AC1012" s="588"/>
      <c r="AD1012" s="588"/>
      <c r="AE1012" s="588"/>
      <c r="AF1012" s="529"/>
      <c r="AG1012" s="529"/>
      <c r="AH1012" s="529"/>
      <c r="AJ1012" s="595" t="b">
        <f t="shared" si="22"/>
        <v>0</v>
      </c>
    </row>
    <row r="1013" spans="1:36" hidden="1" x14ac:dyDescent="0.45">
      <c r="A1013" s="518"/>
      <c r="B1013" s="514" t="s">
        <v>1430</v>
      </c>
      <c r="C1013" s="530"/>
      <c r="D1013" s="530"/>
      <c r="E1013" s="530"/>
      <c r="F1013" s="534"/>
      <c r="G1013" s="1181" t="str">
        <f>IF(CHOORData!T28=0,"",CHOORData!T28)</f>
        <v/>
      </c>
      <c r="H1013" s="1181"/>
      <c r="I1013" s="939">
        <f>CHOORData!AU28</f>
        <v>0</v>
      </c>
      <c r="J1013" s="1181"/>
      <c r="K1013" s="940">
        <f>CHOORData!AV28</f>
        <v>0</v>
      </c>
      <c r="L1013" s="940"/>
      <c r="M1013" s="940"/>
      <c r="N1013" s="940"/>
      <c r="O1013" s="868">
        <f>CHOORData!BG28</f>
        <v>0</v>
      </c>
      <c r="P1013" s="869"/>
      <c r="Q1013" s="869"/>
      <c r="R1013" s="870"/>
      <c r="S1013" s="940">
        <f t="shared" si="21"/>
        <v>0</v>
      </c>
      <c r="T1013" s="940"/>
      <c r="U1013" s="940"/>
      <c r="V1013" s="940"/>
      <c r="W1013" s="866">
        <f>CHOORData!AW28</f>
        <v>0</v>
      </c>
      <c r="X1013" s="867"/>
      <c r="Y1013" s="586"/>
      <c r="Z1013" s="586"/>
      <c r="AA1013" s="518"/>
      <c r="AB1013" s="529"/>
      <c r="AC1013" s="588"/>
      <c r="AD1013" s="588"/>
      <c r="AE1013" s="588"/>
      <c r="AF1013" s="529"/>
      <c r="AG1013" s="529"/>
      <c r="AH1013" s="529"/>
      <c r="AJ1013" s="595" t="b">
        <f t="shared" si="22"/>
        <v>0</v>
      </c>
    </row>
    <row r="1014" spans="1:36" hidden="1" x14ac:dyDescent="0.45">
      <c r="A1014" s="518"/>
      <c r="B1014" s="514" t="s">
        <v>1431</v>
      </c>
      <c r="C1014" s="530"/>
      <c r="D1014" s="530"/>
      <c r="E1014" s="530"/>
      <c r="F1014" s="534"/>
      <c r="G1014" s="1181" t="str">
        <f>IF(CHOORData!T29=0,"",CHOORData!T29)</f>
        <v/>
      </c>
      <c r="H1014" s="1181"/>
      <c r="I1014" s="939">
        <f>CHOORData!AU29</f>
        <v>0</v>
      </c>
      <c r="J1014" s="1181"/>
      <c r="K1014" s="940">
        <f>CHOORData!AV29</f>
        <v>0</v>
      </c>
      <c r="L1014" s="940"/>
      <c r="M1014" s="940"/>
      <c r="N1014" s="940"/>
      <c r="O1014" s="868">
        <f>CHOORData!BG29</f>
        <v>0</v>
      </c>
      <c r="P1014" s="869"/>
      <c r="Q1014" s="869"/>
      <c r="R1014" s="870"/>
      <c r="S1014" s="940">
        <f t="shared" si="21"/>
        <v>0</v>
      </c>
      <c r="T1014" s="940"/>
      <c r="U1014" s="940"/>
      <c r="V1014" s="940"/>
      <c r="W1014" s="866">
        <f>CHOORData!AW29</f>
        <v>0</v>
      </c>
      <c r="X1014" s="867"/>
      <c r="Y1014" s="586"/>
      <c r="Z1014" s="586"/>
      <c r="AA1014" s="518"/>
      <c r="AB1014" s="529"/>
      <c r="AC1014" s="588"/>
      <c r="AD1014" s="588"/>
      <c r="AE1014" s="588"/>
      <c r="AF1014" s="529"/>
      <c r="AG1014" s="529"/>
      <c r="AH1014" s="529"/>
      <c r="AJ1014" s="595" t="b">
        <f t="shared" si="22"/>
        <v>0</v>
      </c>
    </row>
    <row r="1015" spans="1:36" hidden="1" x14ac:dyDescent="0.45">
      <c r="A1015" s="518"/>
      <c r="B1015" s="514" t="s">
        <v>1432</v>
      </c>
      <c r="C1015" s="530"/>
      <c r="D1015" s="530"/>
      <c r="E1015" s="530"/>
      <c r="F1015" s="534"/>
      <c r="G1015" s="1181" t="str">
        <f>IF(CHOORData!T30=0,"",CHOORData!T30)</f>
        <v/>
      </c>
      <c r="H1015" s="1181"/>
      <c r="I1015" s="939">
        <f>CHOORData!AU30</f>
        <v>0</v>
      </c>
      <c r="J1015" s="1181"/>
      <c r="K1015" s="940">
        <f>CHOORData!AV30</f>
        <v>0</v>
      </c>
      <c r="L1015" s="940"/>
      <c r="M1015" s="940"/>
      <c r="N1015" s="940"/>
      <c r="O1015" s="868">
        <f>CHOORData!BG30</f>
        <v>0</v>
      </c>
      <c r="P1015" s="869"/>
      <c r="Q1015" s="869"/>
      <c r="R1015" s="870"/>
      <c r="S1015" s="940">
        <f t="shared" si="21"/>
        <v>0</v>
      </c>
      <c r="T1015" s="940"/>
      <c r="U1015" s="940"/>
      <c r="V1015" s="940"/>
      <c r="W1015" s="866">
        <f>CHOORData!AW30</f>
        <v>0</v>
      </c>
      <c r="X1015" s="867"/>
      <c r="Y1015" s="586"/>
      <c r="Z1015" s="586"/>
      <c r="AA1015" s="518"/>
      <c r="AB1015" s="529"/>
      <c r="AC1015" s="588"/>
      <c r="AD1015" s="588"/>
      <c r="AE1015" s="588"/>
      <c r="AF1015" s="529"/>
      <c r="AG1015" s="529"/>
      <c r="AH1015" s="529"/>
      <c r="AJ1015" s="595" t="b">
        <f t="shared" si="22"/>
        <v>0</v>
      </c>
    </row>
    <row r="1016" spans="1:36" hidden="1" x14ac:dyDescent="0.45">
      <c r="A1016" s="518"/>
      <c r="B1016" s="514" t="s">
        <v>1433</v>
      </c>
      <c r="C1016" s="530"/>
      <c r="D1016" s="530"/>
      <c r="E1016" s="530"/>
      <c r="F1016" s="534"/>
      <c r="G1016" s="1181" t="str">
        <f>IF(CHOORData!T31=0,"",CHOORData!T31)</f>
        <v/>
      </c>
      <c r="H1016" s="1181"/>
      <c r="I1016" s="939">
        <f>CHOORData!AU31</f>
        <v>0</v>
      </c>
      <c r="J1016" s="1181"/>
      <c r="K1016" s="940">
        <f>CHOORData!AV31</f>
        <v>0</v>
      </c>
      <c r="L1016" s="940"/>
      <c r="M1016" s="940"/>
      <c r="N1016" s="940"/>
      <c r="O1016" s="868">
        <f>CHOORData!BG31</f>
        <v>0</v>
      </c>
      <c r="P1016" s="869"/>
      <c r="Q1016" s="869"/>
      <c r="R1016" s="870"/>
      <c r="S1016" s="940">
        <f t="shared" si="21"/>
        <v>0</v>
      </c>
      <c r="T1016" s="940"/>
      <c r="U1016" s="940"/>
      <c r="V1016" s="940"/>
      <c r="W1016" s="866">
        <f>CHOORData!AW31</f>
        <v>0</v>
      </c>
      <c r="X1016" s="867"/>
      <c r="Y1016" s="586"/>
      <c r="Z1016" s="586"/>
      <c r="AA1016" s="518"/>
      <c r="AB1016" s="529"/>
      <c r="AC1016" s="588"/>
      <c r="AD1016" s="588"/>
      <c r="AE1016" s="588"/>
      <c r="AF1016" s="529"/>
      <c r="AG1016" s="529"/>
      <c r="AH1016" s="529"/>
      <c r="AJ1016" s="595" t="b">
        <f t="shared" si="22"/>
        <v>0</v>
      </c>
    </row>
    <row r="1017" spans="1:36" hidden="1" x14ac:dyDescent="0.45">
      <c r="A1017" s="518"/>
      <c r="B1017" s="514" t="s">
        <v>1434</v>
      </c>
      <c r="C1017" s="530"/>
      <c r="D1017" s="530"/>
      <c r="E1017" s="530"/>
      <c r="F1017" s="534"/>
      <c r="G1017" s="1181" t="str">
        <f>IF(CHOORData!T32=0,"",CHOORData!T32)</f>
        <v/>
      </c>
      <c r="H1017" s="1181"/>
      <c r="I1017" s="939">
        <f>CHOORData!AU32</f>
        <v>0</v>
      </c>
      <c r="J1017" s="1181"/>
      <c r="K1017" s="940">
        <f>CHOORData!AV32</f>
        <v>0</v>
      </c>
      <c r="L1017" s="940"/>
      <c r="M1017" s="940"/>
      <c r="N1017" s="940"/>
      <c r="O1017" s="868">
        <f>CHOORData!BG32</f>
        <v>0</v>
      </c>
      <c r="P1017" s="869"/>
      <c r="Q1017" s="869"/>
      <c r="R1017" s="870"/>
      <c r="S1017" s="940">
        <f t="shared" si="21"/>
        <v>0</v>
      </c>
      <c r="T1017" s="940"/>
      <c r="U1017" s="940"/>
      <c r="V1017" s="940"/>
      <c r="W1017" s="866">
        <f>CHOORData!AW32</f>
        <v>0</v>
      </c>
      <c r="X1017" s="867"/>
      <c r="Y1017" s="586"/>
      <c r="Z1017" s="586"/>
      <c r="AA1017" s="518"/>
      <c r="AB1017" s="529"/>
      <c r="AC1017" s="588"/>
      <c r="AD1017" s="588"/>
      <c r="AE1017" s="588"/>
      <c r="AF1017" s="529"/>
      <c r="AG1017" s="529"/>
      <c r="AH1017" s="529"/>
      <c r="AJ1017" s="595" t="b">
        <f t="shared" si="22"/>
        <v>0</v>
      </c>
    </row>
    <row r="1018" spans="1:36" hidden="1" x14ac:dyDescent="0.45">
      <c r="A1018" s="518"/>
      <c r="B1018" s="514" t="s">
        <v>1435</v>
      </c>
      <c r="C1018" s="530"/>
      <c r="D1018" s="530"/>
      <c r="E1018" s="530"/>
      <c r="F1018" s="534"/>
      <c r="G1018" s="1181" t="str">
        <f>IF(CHOORData!T33=0,"",CHOORData!T33)</f>
        <v/>
      </c>
      <c r="H1018" s="1181"/>
      <c r="I1018" s="939">
        <f>CHOORData!AU33</f>
        <v>0</v>
      </c>
      <c r="J1018" s="1181"/>
      <c r="K1018" s="940">
        <f>CHOORData!AV33</f>
        <v>0</v>
      </c>
      <c r="L1018" s="940"/>
      <c r="M1018" s="940"/>
      <c r="N1018" s="940"/>
      <c r="O1018" s="868">
        <f>CHOORData!BG33</f>
        <v>0</v>
      </c>
      <c r="P1018" s="869"/>
      <c r="Q1018" s="869"/>
      <c r="R1018" s="870"/>
      <c r="S1018" s="940">
        <f t="shared" si="21"/>
        <v>0</v>
      </c>
      <c r="T1018" s="940"/>
      <c r="U1018" s="940"/>
      <c r="V1018" s="940"/>
      <c r="W1018" s="866">
        <f>CHOORData!AW33</f>
        <v>0</v>
      </c>
      <c r="X1018" s="867"/>
      <c r="Y1018" s="586"/>
      <c r="Z1018" s="586"/>
      <c r="AA1018" s="518"/>
      <c r="AB1018" s="529"/>
      <c r="AC1018" s="588"/>
      <c r="AD1018" s="588"/>
      <c r="AE1018" s="588"/>
      <c r="AF1018" s="529"/>
      <c r="AG1018" s="529"/>
      <c r="AH1018" s="529"/>
      <c r="AJ1018" s="595" t="b">
        <f t="shared" si="22"/>
        <v>0</v>
      </c>
    </row>
    <row r="1019" spans="1:36" hidden="1" x14ac:dyDescent="0.45">
      <c r="A1019" s="518"/>
      <c r="B1019" s="514" t="s">
        <v>1436</v>
      </c>
      <c r="C1019" s="530"/>
      <c r="D1019" s="530"/>
      <c r="E1019" s="530"/>
      <c r="F1019" s="534"/>
      <c r="G1019" s="1181" t="str">
        <f>IF(CHOORData!T34=0,"",CHOORData!T34)</f>
        <v/>
      </c>
      <c r="H1019" s="1181"/>
      <c r="I1019" s="939">
        <f>CHOORData!AU34</f>
        <v>0</v>
      </c>
      <c r="J1019" s="1181"/>
      <c r="K1019" s="940">
        <f>CHOORData!AV34</f>
        <v>0</v>
      </c>
      <c r="L1019" s="940"/>
      <c r="M1019" s="940"/>
      <c r="N1019" s="940"/>
      <c r="O1019" s="868">
        <f>CHOORData!BG34</f>
        <v>0</v>
      </c>
      <c r="P1019" s="869"/>
      <c r="Q1019" s="869"/>
      <c r="R1019" s="870"/>
      <c r="S1019" s="940">
        <f t="shared" si="21"/>
        <v>0</v>
      </c>
      <c r="T1019" s="940"/>
      <c r="U1019" s="940"/>
      <c r="V1019" s="940"/>
      <c r="W1019" s="866">
        <f>CHOORData!AW34</f>
        <v>0</v>
      </c>
      <c r="X1019" s="867"/>
      <c r="Y1019" s="586"/>
      <c r="Z1019" s="586"/>
      <c r="AA1019" s="518"/>
      <c r="AB1019" s="529"/>
      <c r="AC1019" s="588"/>
      <c r="AD1019" s="588"/>
      <c r="AE1019" s="588"/>
      <c r="AF1019" s="529"/>
      <c r="AG1019" s="529"/>
      <c r="AH1019" s="529"/>
      <c r="AJ1019" s="595" t="b">
        <f t="shared" si="22"/>
        <v>0</v>
      </c>
    </row>
    <row r="1020" spans="1:36" hidden="1" x14ac:dyDescent="0.45">
      <c r="A1020" s="518"/>
      <c r="B1020" s="514" t="s">
        <v>1437</v>
      </c>
      <c r="C1020" s="530"/>
      <c r="D1020" s="530"/>
      <c r="E1020" s="530"/>
      <c r="F1020" s="534"/>
      <c r="G1020" s="1181" t="str">
        <f>IF(CHOORData!T35=0,"",CHOORData!T35)</f>
        <v/>
      </c>
      <c r="H1020" s="1181"/>
      <c r="I1020" s="939">
        <f>CHOORData!AU35</f>
        <v>0</v>
      </c>
      <c r="J1020" s="1181"/>
      <c r="K1020" s="940">
        <f>CHOORData!AV35</f>
        <v>0</v>
      </c>
      <c r="L1020" s="940"/>
      <c r="M1020" s="940"/>
      <c r="N1020" s="940"/>
      <c r="O1020" s="868">
        <f>CHOORData!BG35</f>
        <v>0</v>
      </c>
      <c r="P1020" s="869"/>
      <c r="Q1020" s="869"/>
      <c r="R1020" s="870"/>
      <c r="S1020" s="940">
        <f t="shared" si="21"/>
        <v>0</v>
      </c>
      <c r="T1020" s="940"/>
      <c r="U1020" s="940"/>
      <c r="V1020" s="940"/>
      <c r="W1020" s="866">
        <f>CHOORData!AW35</f>
        <v>0</v>
      </c>
      <c r="X1020" s="867"/>
      <c r="Y1020" s="586"/>
      <c r="Z1020" s="586"/>
      <c r="AA1020" s="518"/>
      <c r="AB1020" s="529"/>
      <c r="AC1020" s="588"/>
      <c r="AD1020" s="588"/>
      <c r="AE1020" s="588"/>
      <c r="AF1020" s="529"/>
      <c r="AG1020" s="529"/>
      <c r="AH1020" s="529"/>
      <c r="AJ1020" s="595" t="b">
        <f t="shared" si="22"/>
        <v>0</v>
      </c>
    </row>
    <row r="1021" spans="1:36" hidden="1" x14ac:dyDescent="0.45">
      <c r="A1021" s="518"/>
      <c r="B1021" s="514" t="s">
        <v>1438</v>
      </c>
      <c r="C1021" s="530"/>
      <c r="D1021" s="530"/>
      <c r="E1021" s="530"/>
      <c r="F1021" s="534"/>
      <c r="G1021" s="1181" t="str">
        <f>IF(CHOORData!T36=0,"",CHOORData!T36)</f>
        <v/>
      </c>
      <c r="H1021" s="1181"/>
      <c r="I1021" s="939">
        <f>CHOORData!AU36</f>
        <v>0</v>
      </c>
      <c r="J1021" s="1181"/>
      <c r="K1021" s="940">
        <f>CHOORData!AV36</f>
        <v>0</v>
      </c>
      <c r="L1021" s="940"/>
      <c r="M1021" s="940"/>
      <c r="N1021" s="940"/>
      <c r="O1021" s="868">
        <f>CHOORData!BG36</f>
        <v>0</v>
      </c>
      <c r="P1021" s="869"/>
      <c r="Q1021" s="869"/>
      <c r="R1021" s="870"/>
      <c r="S1021" s="940">
        <f t="shared" si="21"/>
        <v>0</v>
      </c>
      <c r="T1021" s="940"/>
      <c r="U1021" s="940"/>
      <c r="V1021" s="940"/>
      <c r="W1021" s="866">
        <f>CHOORData!AW36</f>
        <v>0</v>
      </c>
      <c r="X1021" s="867"/>
      <c r="Y1021" s="586"/>
      <c r="Z1021" s="586"/>
      <c r="AA1021" s="518"/>
      <c r="AB1021" s="529"/>
      <c r="AC1021" s="588"/>
      <c r="AD1021" s="588"/>
      <c r="AE1021" s="588"/>
      <c r="AF1021" s="529"/>
      <c r="AG1021" s="529"/>
      <c r="AH1021" s="529"/>
      <c r="AJ1021" s="595" t="b">
        <f t="shared" si="22"/>
        <v>0</v>
      </c>
    </row>
    <row r="1022" spans="1:36" hidden="1" x14ac:dyDescent="0.45">
      <c r="A1022" s="518"/>
      <c r="B1022" s="514" t="s">
        <v>1439</v>
      </c>
      <c r="C1022" s="530"/>
      <c r="D1022" s="530"/>
      <c r="E1022" s="530"/>
      <c r="F1022" s="534"/>
      <c r="G1022" s="1181" t="str">
        <f>IF(CHOORData!T37=0,"",CHOORData!T37)</f>
        <v/>
      </c>
      <c r="H1022" s="1181"/>
      <c r="I1022" s="939">
        <f>CHOORData!AU37</f>
        <v>0</v>
      </c>
      <c r="J1022" s="1181"/>
      <c r="K1022" s="940">
        <f>CHOORData!AV37</f>
        <v>0</v>
      </c>
      <c r="L1022" s="940"/>
      <c r="M1022" s="940"/>
      <c r="N1022" s="940"/>
      <c r="O1022" s="868">
        <f>CHOORData!BG37</f>
        <v>0</v>
      </c>
      <c r="P1022" s="869"/>
      <c r="Q1022" s="869"/>
      <c r="R1022" s="870"/>
      <c r="S1022" s="940">
        <f t="shared" si="21"/>
        <v>0</v>
      </c>
      <c r="T1022" s="940"/>
      <c r="U1022" s="940"/>
      <c r="V1022" s="940"/>
      <c r="W1022" s="866">
        <f>CHOORData!AW37</f>
        <v>0</v>
      </c>
      <c r="X1022" s="867"/>
      <c r="Y1022" s="586"/>
      <c r="Z1022" s="586"/>
      <c r="AA1022" s="518"/>
      <c r="AB1022" s="529"/>
      <c r="AC1022" s="588"/>
      <c r="AD1022" s="588"/>
      <c r="AE1022" s="588"/>
      <c r="AF1022" s="529"/>
      <c r="AG1022" s="529"/>
      <c r="AH1022" s="529"/>
      <c r="AJ1022" s="595" t="b">
        <f t="shared" si="22"/>
        <v>0</v>
      </c>
    </row>
    <row r="1023" spans="1:36" hidden="1" x14ac:dyDescent="0.45">
      <c r="A1023" s="518"/>
      <c r="B1023" s="514" t="s">
        <v>1440</v>
      </c>
      <c r="C1023" s="530"/>
      <c r="D1023" s="530"/>
      <c r="E1023" s="530"/>
      <c r="F1023" s="534"/>
      <c r="G1023" s="1181" t="str">
        <f>IF(CHOORData!T38=0,"",CHOORData!T38)</f>
        <v/>
      </c>
      <c r="H1023" s="1181"/>
      <c r="I1023" s="939">
        <f>CHOORData!AU38</f>
        <v>0</v>
      </c>
      <c r="J1023" s="1181"/>
      <c r="K1023" s="940">
        <f>CHOORData!AV38</f>
        <v>0</v>
      </c>
      <c r="L1023" s="940"/>
      <c r="M1023" s="940"/>
      <c r="N1023" s="940"/>
      <c r="O1023" s="868">
        <f>CHOORData!BG38</f>
        <v>0</v>
      </c>
      <c r="P1023" s="869"/>
      <c r="Q1023" s="869"/>
      <c r="R1023" s="870"/>
      <c r="S1023" s="940">
        <f t="shared" si="21"/>
        <v>0</v>
      </c>
      <c r="T1023" s="940"/>
      <c r="U1023" s="940"/>
      <c r="V1023" s="940"/>
      <c r="W1023" s="866">
        <f>CHOORData!AW38</f>
        <v>0</v>
      </c>
      <c r="X1023" s="867"/>
      <c r="Y1023" s="586"/>
      <c r="Z1023" s="586"/>
      <c r="AA1023" s="518"/>
      <c r="AB1023" s="529"/>
      <c r="AC1023" s="588"/>
      <c r="AD1023" s="588"/>
      <c r="AE1023" s="588"/>
      <c r="AF1023" s="529"/>
      <c r="AG1023" s="529"/>
      <c r="AH1023" s="529"/>
      <c r="AJ1023" s="595" t="b">
        <f t="shared" si="22"/>
        <v>0</v>
      </c>
    </row>
    <row r="1024" spans="1:36" hidden="1" x14ac:dyDescent="0.45">
      <c r="A1024" s="518"/>
      <c r="B1024" s="514" t="s">
        <v>1441</v>
      </c>
      <c r="C1024" s="530"/>
      <c r="D1024" s="530"/>
      <c r="E1024" s="530"/>
      <c r="F1024" s="534"/>
      <c r="G1024" s="1181" t="str">
        <f>IF(CHOORData!T39=0,"",CHOORData!T39)</f>
        <v/>
      </c>
      <c r="H1024" s="1181"/>
      <c r="I1024" s="939">
        <f>CHOORData!AU39</f>
        <v>0</v>
      </c>
      <c r="J1024" s="1181"/>
      <c r="K1024" s="940">
        <f>CHOORData!AV39</f>
        <v>0</v>
      </c>
      <c r="L1024" s="940"/>
      <c r="M1024" s="940"/>
      <c r="N1024" s="940"/>
      <c r="O1024" s="868">
        <f>CHOORData!BG39</f>
        <v>0</v>
      </c>
      <c r="P1024" s="869"/>
      <c r="Q1024" s="869"/>
      <c r="R1024" s="870"/>
      <c r="S1024" s="940">
        <f t="shared" si="21"/>
        <v>0</v>
      </c>
      <c r="T1024" s="940"/>
      <c r="U1024" s="940"/>
      <c r="V1024" s="940"/>
      <c r="W1024" s="866">
        <f>CHOORData!AW39</f>
        <v>0</v>
      </c>
      <c r="X1024" s="867"/>
      <c r="Y1024" s="586"/>
      <c r="Z1024" s="586"/>
      <c r="AA1024" s="518"/>
      <c r="AB1024" s="529"/>
      <c r="AC1024" s="588"/>
      <c r="AD1024" s="588"/>
      <c r="AE1024" s="588"/>
      <c r="AF1024" s="529"/>
      <c r="AG1024" s="529"/>
      <c r="AH1024" s="529"/>
      <c r="AJ1024" s="595" t="b">
        <f t="shared" si="22"/>
        <v>0</v>
      </c>
    </row>
    <row r="1025" spans="1:36" hidden="1" x14ac:dyDescent="0.45">
      <c r="A1025" s="518"/>
      <c r="B1025" s="514" t="s">
        <v>152</v>
      </c>
      <c r="C1025" s="530"/>
      <c r="D1025" s="530"/>
      <c r="E1025" s="530"/>
      <c r="F1025" s="534"/>
      <c r="G1025" s="1181" t="str">
        <f>IF(CHOORData!T40=0,"",CHOORData!T40)</f>
        <v/>
      </c>
      <c r="H1025" s="1181"/>
      <c r="I1025" s="939">
        <f>CHOORData!AU40</f>
        <v>0</v>
      </c>
      <c r="J1025" s="1181"/>
      <c r="K1025" s="940">
        <f>CHOORData!AV40</f>
        <v>0</v>
      </c>
      <c r="L1025" s="940"/>
      <c r="M1025" s="940"/>
      <c r="N1025" s="940"/>
      <c r="O1025" s="868">
        <f>CHOORData!BG40</f>
        <v>0</v>
      </c>
      <c r="P1025" s="869"/>
      <c r="Q1025" s="869"/>
      <c r="R1025" s="870"/>
      <c r="S1025" s="940">
        <f t="shared" si="21"/>
        <v>0</v>
      </c>
      <c r="T1025" s="940"/>
      <c r="U1025" s="940"/>
      <c r="V1025" s="940"/>
      <c r="W1025" s="866">
        <f>CHOORData!AW40</f>
        <v>0</v>
      </c>
      <c r="X1025" s="867"/>
      <c r="Y1025" s="586"/>
      <c r="Z1025" s="586"/>
      <c r="AA1025" s="518"/>
      <c r="AB1025" s="529"/>
      <c r="AC1025" s="588"/>
      <c r="AD1025" s="588"/>
      <c r="AE1025" s="588"/>
      <c r="AF1025" s="529"/>
      <c r="AG1025" s="529"/>
      <c r="AH1025" s="529"/>
      <c r="AJ1025" s="595" t="b">
        <f t="shared" si="22"/>
        <v>0</v>
      </c>
    </row>
    <row r="1026" spans="1:36" hidden="1" x14ac:dyDescent="0.45">
      <c r="A1026" s="518"/>
      <c r="B1026" s="514" t="s">
        <v>1442</v>
      </c>
      <c r="C1026" s="530"/>
      <c r="D1026" s="530"/>
      <c r="E1026" s="530"/>
      <c r="F1026" s="534"/>
      <c r="G1026" s="1181" t="str">
        <f>IF(CHOORData!T41=0,"",CHOORData!T41)</f>
        <v/>
      </c>
      <c r="H1026" s="1181"/>
      <c r="I1026" s="939">
        <f>CHOORData!AU41</f>
        <v>0</v>
      </c>
      <c r="J1026" s="1181"/>
      <c r="K1026" s="940">
        <f>CHOORData!AV41</f>
        <v>0</v>
      </c>
      <c r="L1026" s="940"/>
      <c r="M1026" s="940"/>
      <c r="N1026" s="940"/>
      <c r="O1026" s="868">
        <f>CHOORData!BG41</f>
        <v>0</v>
      </c>
      <c r="P1026" s="869"/>
      <c r="Q1026" s="869"/>
      <c r="R1026" s="870"/>
      <c r="S1026" s="940">
        <f t="shared" si="21"/>
        <v>0</v>
      </c>
      <c r="T1026" s="940"/>
      <c r="U1026" s="940"/>
      <c r="V1026" s="940"/>
      <c r="W1026" s="866">
        <f>CHOORData!AW41</f>
        <v>0</v>
      </c>
      <c r="X1026" s="867"/>
      <c r="Y1026" s="586"/>
      <c r="Z1026" s="586"/>
      <c r="AA1026" s="518"/>
      <c r="AB1026" s="529"/>
      <c r="AC1026" s="588"/>
      <c r="AD1026" s="588"/>
      <c r="AE1026" s="588"/>
      <c r="AF1026" s="529"/>
      <c r="AG1026" s="529"/>
      <c r="AH1026" s="529"/>
      <c r="AJ1026" s="595" t="b">
        <f t="shared" si="22"/>
        <v>0</v>
      </c>
    </row>
    <row r="1027" spans="1:36" hidden="1" x14ac:dyDescent="0.45">
      <c r="A1027" s="518"/>
      <c r="B1027" s="514" t="s">
        <v>1443</v>
      </c>
      <c r="C1027" s="530"/>
      <c r="D1027" s="530"/>
      <c r="E1027" s="530"/>
      <c r="F1027" s="534"/>
      <c r="G1027" s="1181" t="str">
        <f>IF(CHOORData!T42=0,"",CHOORData!T42)</f>
        <v/>
      </c>
      <c r="H1027" s="1181"/>
      <c r="I1027" s="939">
        <f>CHOORData!AU42</f>
        <v>0</v>
      </c>
      <c r="J1027" s="1181"/>
      <c r="K1027" s="940">
        <f>CHOORData!AV42</f>
        <v>0</v>
      </c>
      <c r="L1027" s="940"/>
      <c r="M1027" s="940"/>
      <c r="N1027" s="940"/>
      <c r="O1027" s="868">
        <f>CHOORData!BG42</f>
        <v>0</v>
      </c>
      <c r="P1027" s="869"/>
      <c r="Q1027" s="869"/>
      <c r="R1027" s="870"/>
      <c r="S1027" s="940">
        <f t="shared" si="21"/>
        <v>0</v>
      </c>
      <c r="T1027" s="940"/>
      <c r="U1027" s="940"/>
      <c r="V1027" s="940"/>
      <c r="W1027" s="866">
        <f>CHOORData!AW42</f>
        <v>0</v>
      </c>
      <c r="X1027" s="867"/>
      <c r="Y1027" s="586"/>
      <c r="Z1027" s="586"/>
      <c r="AA1027" s="518"/>
      <c r="AB1027" s="529"/>
      <c r="AC1027" s="588"/>
      <c r="AD1027" s="588"/>
      <c r="AE1027" s="588"/>
      <c r="AF1027" s="529"/>
      <c r="AG1027" s="529"/>
      <c r="AH1027" s="529"/>
      <c r="AJ1027" s="595" t="b">
        <f t="shared" si="22"/>
        <v>0</v>
      </c>
    </row>
    <row r="1028" spans="1:36" hidden="1" x14ac:dyDescent="0.45">
      <c r="A1028" s="518"/>
      <c r="B1028" s="514" t="s">
        <v>1444</v>
      </c>
      <c r="C1028" s="530"/>
      <c r="D1028" s="530"/>
      <c r="E1028" s="530"/>
      <c r="F1028" s="534"/>
      <c r="G1028" s="1181" t="str">
        <f>IF(CHOORData!T43=0,"",CHOORData!T43)</f>
        <v/>
      </c>
      <c r="H1028" s="1181"/>
      <c r="I1028" s="939">
        <f>CHOORData!AU43</f>
        <v>0</v>
      </c>
      <c r="J1028" s="1181"/>
      <c r="K1028" s="940">
        <f>CHOORData!AV43</f>
        <v>0</v>
      </c>
      <c r="L1028" s="940"/>
      <c r="M1028" s="940"/>
      <c r="N1028" s="940"/>
      <c r="O1028" s="868">
        <f>CHOORData!BG43</f>
        <v>0</v>
      </c>
      <c r="P1028" s="869"/>
      <c r="Q1028" s="869"/>
      <c r="R1028" s="870"/>
      <c r="S1028" s="940">
        <f t="shared" si="21"/>
        <v>0</v>
      </c>
      <c r="T1028" s="940"/>
      <c r="U1028" s="940"/>
      <c r="V1028" s="940"/>
      <c r="W1028" s="866">
        <f>CHOORData!AW43</f>
        <v>0</v>
      </c>
      <c r="X1028" s="867"/>
      <c r="Y1028" s="586"/>
      <c r="Z1028" s="586"/>
      <c r="AA1028" s="518"/>
      <c r="AB1028" s="529"/>
      <c r="AC1028" s="588"/>
      <c r="AD1028" s="588"/>
      <c r="AE1028" s="588"/>
      <c r="AF1028" s="529"/>
      <c r="AG1028" s="529"/>
      <c r="AH1028" s="529"/>
      <c r="AJ1028" s="595" t="b">
        <f t="shared" si="22"/>
        <v>0</v>
      </c>
    </row>
    <row r="1029" spans="1:36" hidden="1" x14ac:dyDescent="0.45">
      <c r="A1029" s="518"/>
      <c r="B1029" s="514" t="s">
        <v>1445</v>
      </c>
      <c r="C1029" s="530"/>
      <c r="D1029" s="530"/>
      <c r="E1029" s="530"/>
      <c r="F1029" s="534"/>
      <c r="G1029" s="1181" t="str">
        <f>IF(CHOORData!T44=0,"",CHOORData!T44)</f>
        <v/>
      </c>
      <c r="H1029" s="1181"/>
      <c r="I1029" s="939">
        <f>CHOORData!AU44</f>
        <v>0</v>
      </c>
      <c r="J1029" s="1181"/>
      <c r="K1029" s="940">
        <f>CHOORData!AV44</f>
        <v>0</v>
      </c>
      <c r="L1029" s="940"/>
      <c r="M1029" s="940"/>
      <c r="N1029" s="940"/>
      <c r="O1029" s="868">
        <f>CHOORData!BG44</f>
        <v>0</v>
      </c>
      <c r="P1029" s="869"/>
      <c r="Q1029" s="869"/>
      <c r="R1029" s="870"/>
      <c r="S1029" s="940">
        <f t="shared" si="21"/>
        <v>0</v>
      </c>
      <c r="T1029" s="940"/>
      <c r="U1029" s="940"/>
      <c r="V1029" s="940"/>
      <c r="W1029" s="866">
        <f>CHOORData!AW44</f>
        <v>0</v>
      </c>
      <c r="X1029" s="867"/>
      <c r="Y1029" s="586"/>
      <c r="Z1029" s="586"/>
      <c r="AA1029" s="518"/>
      <c r="AB1029" s="529"/>
      <c r="AC1029" s="588"/>
      <c r="AD1029" s="588"/>
      <c r="AE1029" s="588"/>
      <c r="AF1029" s="529"/>
      <c r="AG1029" s="529"/>
      <c r="AH1029" s="529"/>
      <c r="AJ1029" s="595" t="b">
        <f t="shared" si="22"/>
        <v>0</v>
      </c>
    </row>
    <row r="1030" spans="1:36" hidden="1" x14ac:dyDescent="0.45">
      <c r="A1030" s="518"/>
      <c r="B1030" s="514" t="s">
        <v>1446</v>
      </c>
      <c r="C1030" s="530"/>
      <c r="D1030" s="530"/>
      <c r="E1030" s="530"/>
      <c r="F1030" s="534"/>
      <c r="G1030" s="1181" t="str">
        <f>IF(CHOORData!T45=0,"",CHOORData!T45)</f>
        <v/>
      </c>
      <c r="H1030" s="1181"/>
      <c r="I1030" s="939">
        <f>CHOORData!AU45</f>
        <v>0</v>
      </c>
      <c r="J1030" s="1181"/>
      <c r="K1030" s="940">
        <f>CHOORData!AV45</f>
        <v>0</v>
      </c>
      <c r="L1030" s="940"/>
      <c r="M1030" s="940"/>
      <c r="N1030" s="940"/>
      <c r="O1030" s="868">
        <f>CHOORData!BG45</f>
        <v>0</v>
      </c>
      <c r="P1030" s="869"/>
      <c r="Q1030" s="869"/>
      <c r="R1030" s="870"/>
      <c r="S1030" s="940">
        <f t="shared" si="21"/>
        <v>0</v>
      </c>
      <c r="T1030" s="940"/>
      <c r="U1030" s="940"/>
      <c r="V1030" s="940"/>
      <c r="W1030" s="866">
        <f>CHOORData!AW45</f>
        <v>0</v>
      </c>
      <c r="X1030" s="867"/>
      <c r="Y1030" s="586"/>
      <c r="Z1030" s="586"/>
      <c r="AA1030" s="518"/>
      <c r="AB1030" s="529"/>
      <c r="AC1030" s="588"/>
      <c r="AD1030" s="588"/>
      <c r="AE1030" s="588"/>
      <c r="AF1030" s="529"/>
      <c r="AG1030" s="529"/>
      <c r="AH1030" s="529"/>
      <c r="AJ1030" s="595" t="b">
        <f t="shared" si="22"/>
        <v>0</v>
      </c>
    </row>
    <row r="1031" spans="1:36" hidden="1" x14ac:dyDescent="0.45">
      <c r="B1031" s="514" t="s">
        <v>1447</v>
      </c>
      <c r="C1031" s="530"/>
      <c r="D1031" s="530"/>
      <c r="E1031" s="530"/>
      <c r="F1031" s="534"/>
      <c r="G1031" s="1181" t="str">
        <f>IF(CHOORData!T46=0,"",CHOORData!T46)</f>
        <v/>
      </c>
      <c r="H1031" s="1181"/>
      <c r="I1031" s="939">
        <f>CHOORData!AU46</f>
        <v>0</v>
      </c>
      <c r="J1031" s="1181"/>
      <c r="K1031" s="940">
        <f>CHOORData!AV46</f>
        <v>0</v>
      </c>
      <c r="L1031" s="940"/>
      <c r="M1031" s="940"/>
      <c r="N1031" s="940"/>
      <c r="O1031" s="868">
        <f>CHOORData!BG46</f>
        <v>0</v>
      </c>
      <c r="P1031" s="869"/>
      <c r="Q1031" s="869"/>
      <c r="R1031" s="870"/>
      <c r="S1031" s="940">
        <f t="shared" si="21"/>
        <v>0</v>
      </c>
      <c r="T1031" s="940"/>
      <c r="U1031" s="940"/>
      <c r="V1031" s="940"/>
      <c r="W1031" s="866">
        <f>CHOORData!AW46</f>
        <v>0</v>
      </c>
      <c r="X1031" s="867"/>
      <c r="Y1031" s="586"/>
      <c r="Z1031" s="586"/>
      <c r="AA1031" s="518"/>
      <c r="AB1031" s="518"/>
      <c r="AC1031" s="588"/>
      <c r="AD1031" s="588"/>
      <c r="AE1031" s="588"/>
      <c r="AF1031" s="518"/>
      <c r="AG1031" s="518"/>
      <c r="AH1031" s="518"/>
      <c r="AJ1031" s="595" t="b">
        <f t="shared" si="22"/>
        <v>0</v>
      </c>
    </row>
    <row r="1032" spans="1:36" hidden="1" x14ac:dyDescent="0.45">
      <c r="B1032" s="514" t="s">
        <v>1448</v>
      </c>
      <c r="C1032" s="530"/>
      <c r="D1032" s="530"/>
      <c r="E1032" s="530"/>
      <c r="F1032" s="534"/>
      <c r="G1032" s="1181" t="str">
        <f>IF(CHOORData!T47=0,"",CHOORData!T47)</f>
        <v/>
      </c>
      <c r="H1032" s="1181"/>
      <c r="I1032" s="939">
        <f>CHOORData!AU47</f>
        <v>0</v>
      </c>
      <c r="J1032" s="1181"/>
      <c r="K1032" s="940">
        <f>CHOORData!AV47</f>
        <v>0</v>
      </c>
      <c r="L1032" s="940"/>
      <c r="M1032" s="940"/>
      <c r="N1032" s="940"/>
      <c r="O1032" s="868">
        <f>CHOORData!BG47</f>
        <v>0</v>
      </c>
      <c r="P1032" s="869"/>
      <c r="Q1032" s="869"/>
      <c r="R1032" s="870"/>
      <c r="S1032" s="940">
        <f t="shared" si="21"/>
        <v>0</v>
      </c>
      <c r="T1032" s="940"/>
      <c r="U1032" s="940"/>
      <c r="V1032" s="940"/>
      <c r="W1032" s="866">
        <f>CHOORData!AW47</f>
        <v>0</v>
      </c>
      <c r="X1032" s="867"/>
      <c r="Y1032" s="586"/>
      <c r="Z1032" s="586"/>
      <c r="AA1032" s="518"/>
      <c r="AB1032" s="518"/>
      <c r="AC1032" s="588"/>
      <c r="AD1032" s="588"/>
      <c r="AE1032" s="588"/>
      <c r="AF1032" s="518"/>
      <c r="AG1032" s="518"/>
      <c r="AH1032" s="518"/>
      <c r="AJ1032" s="595" t="b">
        <f t="shared" si="22"/>
        <v>0</v>
      </c>
    </row>
    <row r="1033" spans="1:36" hidden="1" x14ac:dyDescent="0.45">
      <c r="B1033" s="514" t="s">
        <v>1449</v>
      </c>
      <c r="C1033" s="530"/>
      <c r="D1033" s="530"/>
      <c r="E1033" s="530"/>
      <c r="F1033" s="534"/>
      <c r="G1033" s="1181" t="str">
        <f>IF(CHOORData!T48=0,"",CHOORData!T48)</f>
        <v/>
      </c>
      <c r="H1033" s="1181"/>
      <c r="I1033" s="939">
        <f>CHOORData!AU48</f>
        <v>0</v>
      </c>
      <c r="J1033" s="1181"/>
      <c r="K1033" s="940">
        <f>CHOORData!AV48</f>
        <v>0</v>
      </c>
      <c r="L1033" s="940"/>
      <c r="M1033" s="940"/>
      <c r="N1033" s="940"/>
      <c r="O1033" s="868">
        <f>CHOORData!BG48</f>
        <v>0</v>
      </c>
      <c r="P1033" s="869"/>
      <c r="Q1033" s="869"/>
      <c r="R1033" s="870"/>
      <c r="S1033" s="940">
        <f t="shared" si="21"/>
        <v>0</v>
      </c>
      <c r="T1033" s="940"/>
      <c r="U1033" s="940"/>
      <c r="V1033" s="940"/>
      <c r="W1033" s="866">
        <f>CHOORData!AW48</f>
        <v>0</v>
      </c>
      <c r="X1033" s="867"/>
      <c r="Y1033" s="586"/>
      <c r="Z1033" s="586"/>
      <c r="AA1033" s="518"/>
      <c r="AB1033" s="518"/>
      <c r="AC1033" s="588"/>
      <c r="AD1033" s="588"/>
      <c r="AE1033" s="588"/>
      <c r="AF1033" s="518"/>
      <c r="AG1033" s="518"/>
      <c r="AH1033" s="518"/>
      <c r="AJ1033" s="595" t="b">
        <f t="shared" si="22"/>
        <v>0</v>
      </c>
    </row>
    <row r="1034" spans="1:36" hidden="1" x14ac:dyDescent="0.45">
      <c r="B1034" s="514" t="s">
        <v>1450</v>
      </c>
      <c r="C1034" s="530"/>
      <c r="D1034" s="530"/>
      <c r="E1034" s="530"/>
      <c r="F1034" s="534"/>
      <c r="G1034" s="1181" t="str">
        <f>IF(CHOORData!T49=0,"",CHOORData!T49)</f>
        <v/>
      </c>
      <c r="H1034" s="1181"/>
      <c r="I1034" s="939">
        <f>CHOORData!AU49</f>
        <v>0</v>
      </c>
      <c r="J1034" s="1181"/>
      <c r="K1034" s="940">
        <f>CHOORData!AV49</f>
        <v>0</v>
      </c>
      <c r="L1034" s="940"/>
      <c r="M1034" s="940"/>
      <c r="N1034" s="940"/>
      <c r="O1034" s="868">
        <f>CHOORData!BG49</f>
        <v>0</v>
      </c>
      <c r="P1034" s="869"/>
      <c r="Q1034" s="869"/>
      <c r="R1034" s="870"/>
      <c r="S1034" s="940">
        <f t="shared" si="21"/>
        <v>0</v>
      </c>
      <c r="T1034" s="940"/>
      <c r="U1034" s="940"/>
      <c r="V1034" s="940"/>
      <c r="W1034" s="866">
        <f>CHOORData!AW49</f>
        <v>0</v>
      </c>
      <c r="X1034" s="867"/>
      <c r="Y1034" s="586"/>
      <c r="Z1034" s="586"/>
      <c r="AA1034" s="518"/>
      <c r="AB1034" s="518"/>
      <c r="AC1034" s="588"/>
      <c r="AD1034" s="588"/>
      <c r="AE1034" s="588"/>
      <c r="AF1034" s="518"/>
      <c r="AG1034" s="518"/>
      <c r="AH1034" s="518"/>
      <c r="AJ1034" s="595" t="b">
        <f t="shared" si="22"/>
        <v>0</v>
      </c>
    </row>
    <row r="1035" spans="1:36" hidden="1" x14ac:dyDescent="0.45">
      <c r="B1035" s="514" t="s">
        <v>1451</v>
      </c>
      <c r="C1035" s="530"/>
      <c r="D1035" s="530"/>
      <c r="E1035" s="530"/>
      <c r="F1035" s="534"/>
      <c r="G1035" s="1181" t="str">
        <f>IF(CHOORData!T50=0,"",CHOORData!T50)</f>
        <v/>
      </c>
      <c r="H1035" s="1181"/>
      <c r="I1035" s="939">
        <f>CHOORData!AU50</f>
        <v>0</v>
      </c>
      <c r="J1035" s="1181"/>
      <c r="K1035" s="940">
        <f>CHOORData!AV50</f>
        <v>0</v>
      </c>
      <c r="L1035" s="940"/>
      <c r="M1035" s="940"/>
      <c r="N1035" s="940"/>
      <c r="O1035" s="868">
        <f>CHOORData!BG50</f>
        <v>0</v>
      </c>
      <c r="P1035" s="869"/>
      <c r="Q1035" s="869"/>
      <c r="R1035" s="870"/>
      <c r="S1035" s="940">
        <f t="shared" si="21"/>
        <v>0</v>
      </c>
      <c r="T1035" s="940"/>
      <c r="U1035" s="940"/>
      <c r="V1035" s="940"/>
      <c r="W1035" s="866">
        <f>CHOORData!AW50</f>
        <v>0</v>
      </c>
      <c r="X1035" s="867"/>
      <c r="Y1035" s="586"/>
      <c r="Z1035" s="586"/>
      <c r="AA1035" s="518"/>
      <c r="AB1035" s="518"/>
      <c r="AC1035" s="588"/>
      <c r="AD1035" s="588"/>
      <c r="AE1035" s="588"/>
      <c r="AF1035" s="518"/>
      <c r="AG1035" s="518"/>
      <c r="AH1035" s="518"/>
      <c r="AJ1035" s="595" t="b">
        <f t="shared" si="22"/>
        <v>0</v>
      </c>
    </row>
    <row r="1036" spans="1:36" hidden="1" x14ac:dyDescent="0.45">
      <c r="B1036" s="514" t="s">
        <v>1452</v>
      </c>
      <c r="C1036" s="530"/>
      <c r="D1036" s="530"/>
      <c r="E1036" s="530"/>
      <c r="F1036" s="534"/>
      <c r="G1036" s="1181" t="str">
        <f>IF(CHOORData!T51=0,"",CHOORData!T51)</f>
        <v/>
      </c>
      <c r="H1036" s="1181"/>
      <c r="I1036" s="939">
        <f>CHOORData!AU51</f>
        <v>0</v>
      </c>
      <c r="J1036" s="1181"/>
      <c r="K1036" s="940">
        <f>CHOORData!AV51</f>
        <v>0</v>
      </c>
      <c r="L1036" s="940"/>
      <c r="M1036" s="940"/>
      <c r="N1036" s="940"/>
      <c r="O1036" s="868">
        <f>CHOORData!BG51</f>
        <v>0</v>
      </c>
      <c r="P1036" s="869"/>
      <c r="Q1036" s="869"/>
      <c r="R1036" s="870"/>
      <c r="S1036" s="940">
        <f t="shared" si="21"/>
        <v>0</v>
      </c>
      <c r="T1036" s="940"/>
      <c r="U1036" s="940"/>
      <c r="V1036" s="940"/>
      <c r="W1036" s="866">
        <f>CHOORData!AW51</f>
        <v>0</v>
      </c>
      <c r="X1036" s="867"/>
      <c r="Y1036" s="586"/>
      <c r="Z1036" s="586"/>
      <c r="AA1036" s="518"/>
      <c r="AB1036" s="518"/>
      <c r="AC1036" s="588"/>
      <c r="AD1036" s="588"/>
      <c r="AE1036" s="588"/>
      <c r="AF1036" s="518"/>
      <c r="AG1036" s="518"/>
      <c r="AH1036" s="518"/>
      <c r="AJ1036" s="595" t="b">
        <f t="shared" si="22"/>
        <v>0</v>
      </c>
    </row>
    <row r="1037" spans="1:36" hidden="1" x14ac:dyDescent="0.45">
      <c r="B1037" s="514" t="s">
        <v>1453</v>
      </c>
      <c r="C1037" s="530"/>
      <c r="D1037" s="530"/>
      <c r="E1037" s="530"/>
      <c r="F1037" s="534"/>
      <c r="G1037" s="1181" t="str">
        <f>IF(CHOORData!T52=0,"",CHOORData!T52)</f>
        <v/>
      </c>
      <c r="H1037" s="1181"/>
      <c r="I1037" s="939">
        <f>CHOORData!AU52</f>
        <v>0</v>
      </c>
      <c r="J1037" s="1181"/>
      <c r="K1037" s="940">
        <f>CHOORData!AV52</f>
        <v>0</v>
      </c>
      <c r="L1037" s="940"/>
      <c r="M1037" s="940"/>
      <c r="N1037" s="940"/>
      <c r="O1037" s="868">
        <f>CHOORData!BG52</f>
        <v>0</v>
      </c>
      <c r="P1037" s="869"/>
      <c r="Q1037" s="869"/>
      <c r="R1037" s="870"/>
      <c r="S1037" s="940">
        <f t="shared" si="21"/>
        <v>0</v>
      </c>
      <c r="T1037" s="940"/>
      <c r="U1037" s="940"/>
      <c r="V1037" s="940"/>
      <c r="W1037" s="866">
        <f>CHOORData!AW52</f>
        <v>0</v>
      </c>
      <c r="X1037" s="867"/>
      <c r="Y1037" s="586"/>
      <c r="Z1037" s="586"/>
      <c r="AA1037" s="518"/>
      <c r="AB1037" s="518"/>
      <c r="AC1037" s="588"/>
      <c r="AD1037" s="588"/>
      <c r="AE1037" s="588"/>
      <c r="AF1037" s="518"/>
      <c r="AG1037" s="518"/>
      <c r="AH1037" s="518"/>
      <c r="AJ1037" s="595" t="b">
        <f t="shared" si="22"/>
        <v>0</v>
      </c>
    </row>
    <row r="1038" spans="1:36" hidden="1" x14ac:dyDescent="0.45">
      <c r="B1038" s="514" t="s">
        <v>1454</v>
      </c>
      <c r="C1038" s="530"/>
      <c r="D1038" s="530"/>
      <c r="E1038" s="530"/>
      <c r="F1038" s="534"/>
      <c r="G1038" s="1181" t="str">
        <f>IF(CHOORData!T53=0,"",CHOORData!T53)</f>
        <v/>
      </c>
      <c r="H1038" s="1181"/>
      <c r="I1038" s="939">
        <f>CHOORData!AU53</f>
        <v>0</v>
      </c>
      <c r="J1038" s="1181"/>
      <c r="K1038" s="940">
        <f>CHOORData!AV53</f>
        <v>0</v>
      </c>
      <c r="L1038" s="940"/>
      <c r="M1038" s="940"/>
      <c r="N1038" s="940"/>
      <c r="O1038" s="868">
        <f>CHOORData!BG53</f>
        <v>0</v>
      </c>
      <c r="P1038" s="869"/>
      <c r="Q1038" s="869"/>
      <c r="R1038" s="870"/>
      <c r="S1038" s="940">
        <f t="shared" si="21"/>
        <v>0</v>
      </c>
      <c r="T1038" s="940"/>
      <c r="U1038" s="940"/>
      <c r="V1038" s="940"/>
      <c r="W1038" s="866">
        <f>CHOORData!AW53</f>
        <v>0</v>
      </c>
      <c r="X1038" s="867"/>
      <c r="Y1038" s="586"/>
      <c r="Z1038" s="586"/>
      <c r="AA1038" s="518"/>
      <c r="AB1038" s="518"/>
      <c r="AC1038" s="588"/>
      <c r="AD1038" s="588"/>
      <c r="AE1038" s="588"/>
      <c r="AF1038" s="518"/>
      <c r="AG1038" s="518"/>
      <c r="AH1038" s="518"/>
      <c r="AJ1038" s="595" t="b">
        <f t="shared" si="22"/>
        <v>0</v>
      </c>
    </row>
    <row r="1039" spans="1:36" hidden="1" x14ac:dyDescent="0.45">
      <c r="B1039" s="514" t="s">
        <v>1455</v>
      </c>
      <c r="C1039" s="530"/>
      <c r="D1039" s="530"/>
      <c r="E1039" s="530"/>
      <c r="F1039" s="534"/>
      <c r="G1039" s="1181" t="str">
        <f>IF(CHOORData!T54=0,"",CHOORData!T54)</f>
        <v/>
      </c>
      <c r="H1039" s="1181"/>
      <c r="I1039" s="939">
        <f>CHOORData!AU54</f>
        <v>0</v>
      </c>
      <c r="J1039" s="1181"/>
      <c r="K1039" s="940">
        <f>CHOORData!AV54</f>
        <v>0</v>
      </c>
      <c r="L1039" s="940"/>
      <c r="M1039" s="940"/>
      <c r="N1039" s="940"/>
      <c r="O1039" s="868">
        <f>CHOORData!BG54</f>
        <v>0</v>
      </c>
      <c r="P1039" s="869"/>
      <c r="Q1039" s="869"/>
      <c r="R1039" s="870"/>
      <c r="S1039" s="940">
        <f t="shared" si="21"/>
        <v>0</v>
      </c>
      <c r="T1039" s="940"/>
      <c r="U1039" s="940"/>
      <c r="V1039" s="940"/>
      <c r="W1039" s="866">
        <f>CHOORData!AW54</f>
        <v>0</v>
      </c>
      <c r="X1039" s="867"/>
      <c r="Y1039" s="586"/>
      <c r="Z1039" s="586"/>
      <c r="AA1039" s="518"/>
      <c r="AB1039" s="518"/>
      <c r="AC1039" s="588"/>
      <c r="AD1039" s="588"/>
      <c r="AE1039" s="588"/>
      <c r="AF1039" s="518"/>
      <c r="AG1039" s="518"/>
      <c r="AH1039" s="518"/>
      <c r="AJ1039" s="595" t="b">
        <f t="shared" si="22"/>
        <v>0</v>
      </c>
    </row>
    <row r="1040" spans="1:36" hidden="1" x14ac:dyDescent="0.45">
      <c r="B1040" s="514" t="s">
        <v>1456</v>
      </c>
      <c r="C1040" s="530"/>
      <c r="D1040" s="530"/>
      <c r="E1040" s="530"/>
      <c r="F1040" s="534"/>
      <c r="G1040" s="1181" t="str">
        <f>IF(CHOORData!T55=0,"",CHOORData!T55)</f>
        <v/>
      </c>
      <c r="H1040" s="1181"/>
      <c r="I1040" s="939">
        <f>CHOORData!AU55</f>
        <v>0</v>
      </c>
      <c r="J1040" s="1181"/>
      <c r="K1040" s="940">
        <f>CHOORData!AV55</f>
        <v>0</v>
      </c>
      <c r="L1040" s="940"/>
      <c r="M1040" s="940"/>
      <c r="N1040" s="940"/>
      <c r="O1040" s="868">
        <f>CHOORData!BG55</f>
        <v>0</v>
      </c>
      <c r="P1040" s="869"/>
      <c r="Q1040" s="869"/>
      <c r="R1040" s="870"/>
      <c r="S1040" s="940">
        <f t="shared" si="21"/>
        <v>0</v>
      </c>
      <c r="T1040" s="940"/>
      <c r="U1040" s="940"/>
      <c r="V1040" s="940"/>
      <c r="W1040" s="866">
        <f>CHOORData!AW55</f>
        <v>0</v>
      </c>
      <c r="X1040" s="867"/>
      <c r="Y1040" s="586"/>
      <c r="Z1040" s="586"/>
      <c r="AA1040" s="518"/>
      <c r="AB1040" s="518"/>
      <c r="AC1040" s="588"/>
      <c r="AD1040" s="588"/>
      <c r="AE1040" s="588"/>
      <c r="AF1040" s="518"/>
      <c r="AG1040" s="518"/>
      <c r="AH1040" s="518"/>
      <c r="AJ1040" s="595" t="b">
        <f t="shared" si="22"/>
        <v>0</v>
      </c>
    </row>
    <row r="1041" spans="1:36" hidden="1" x14ac:dyDescent="0.45">
      <c r="B1041" s="514" t="s">
        <v>1457</v>
      </c>
      <c r="C1041" s="530"/>
      <c r="D1041" s="530"/>
      <c r="E1041" s="530"/>
      <c r="F1041" s="534"/>
      <c r="G1041" s="1181" t="str">
        <f>IF(CHOORData!T56=0,"",CHOORData!T56)</f>
        <v/>
      </c>
      <c r="H1041" s="1181"/>
      <c r="I1041" s="939">
        <f>CHOORData!AU56</f>
        <v>0</v>
      </c>
      <c r="J1041" s="1181"/>
      <c r="K1041" s="940">
        <f>CHOORData!AV56</f>
        <v>0</v>
      </c>
      <c r="L1041" s="940"/>
      <c r="M1041" s="940"/>
      <c r="N1041" s="940"/>
      <c r="O1041" s="868">
        <f>CHOORData!BG56</f>
        <v>0</v>
      </c>
      <c r="P1041" s="869"/>
      <c r="Q1041" s="869"/>
      <c r="R1041" s="870"/>
      <c r="S1041" s="940">
        <f t="shared" si="21"/>
        <v>0</v>
      </c>
      <c r="T1041" s="940"/>
      <c r="U1041" s="940"/>
      <c r="V1041" s="940"/>
      <c r="W1041" s="866">
        <f>CHOORData!AW56</f>
        <v>0</v>
      </c>
      <c r="X1041" s="867"/>
      <c r="Y1041" s="586"/>
      <c r="Z1041" s="586"/>
      <c r="AA1041" s="518"/>
      <c r="AB1041" s="518"/>
      <c r="AC1041" s="588"/>
      <c r="AD1041" s="588"/>
      <c r="AE1041" s="588"/>
      <c r="AF1041" s="518"/>
      <c r="AG1041" s="518"/>
      <c r="AH1041" s="518"/>
      <c r="AJ1041" s="595" t="b">
        <f t="shared" si="22"/>
        <v>0</v>
      </c>
    </row>
    <row r="1042" spans="1:36" hidden="1" x14ac:dyDescent="0.45">
      <c r="B1042" s="514" t="s">
        <v>1458</v>
      </c>
      <c r="C1042" s="530"/>
      <c r="D1042" s="530"/>
      <c r="E1042" s="530"/>
      <c r="F1042" s="534"/>
      <c r="G1042" s="1181" t="str">
        <f>IF(CHOORData!T57=0,"",CHOORData!T57)</f>
        <v/>
      </c>
      <c r="H1042" s="1181"/>
      <c r="I1042" s="939">
        <f>CHOORData!AU57</f>
        <v>0</v>
      </c>
      <c r="J1042" s="1181"/>
      <c r="K1042" s="940">
        <f>CHOORData!AV57</f>
        <v>0</v>
      </c>
      <c r="L1042" s="940"/>
      <c r="M1042" s="940"/>
      <c r="N1042" s="940"/>
      <c r="O1042" s="868">
        <f>CHOORData!BG57</f>
        <v>0</v>
      </c>
      <c r="P1042" s="869"/>
      <c r="Q1042" s="869"/>
      <c r="R1042" s="870"/>
      <c r="S1042" s="940">
        <f t="shared" si="21"/>
        <v>0</v>
      </c>
      <c r="T1042" s="940"/>
      <c r="U1042" s="940"/>
      <c r="V1042" s="940"/>
      <c r="W1042" s="866">
        <f>CHOORData!AW57</f>
        <v>0</v>
      </c>
      <c r="X1042" s="867"/>
      <c r="Y1042" s="586"/>
      <c r="Z1042" s="586"/>
      <c r="AA1042" s="518"/>
      <c r="AB1042" s="518"/>
      <c r="AC1042" s="588"/>
      <c r="AD1042" s="588"/>
      <c r="AE1042" s="588"/>
      <c r="AF1042" s="518"/>
      <c r="AG1042" s="518"/>
      <c r="AH1042" s="518"/>
      <c r="AJ1042" s="595" t="b">
        <f t="shared" si="22"/>
        <v>0</v>
      </c>
    </row>
    <row r="1043" spans="1:36" hidden="1" x14ac:dyDescent="0.45">
      <c r="B1043" s="514" t="s">
        <v>1459</v>
      </c>
      <c r="C1043" s="530"/>
      <c r="D1043" s="530"/>
      <c r="E1043" s="530"/>
      <c r="F1043" s="534"/>
      <c r="G1043" s="1181" t="str">
        <f>IF(CHOORData!T58=0,"",CHOORData!T58)</f>
        <v/>
      </c>
      <c r="H1043" s="1181"/>
      <c r="I1043" s="939">
        <f>CHOORData!AU58</f>
        <v>0</v>
      </c>
      <c r="J1043" s="1181"/>
      <c r="K1043" s="940">
        <f>CHOORData!AV58</f>
        <v>0</v>
      </c>
      <c r="L1043" s="940"/>
      <c r="M1043" s="940"/>
      <c r="N1043" s="940"/>
      <c r="O1043" s="868">
        <f>CHOORData!BG58</f>
        <v>0</v>
      </c>
      <c r="P1043" s="869"/>
      <c r="Q1043" s="869"/>
      <c r="R1043" s="870"/>
      <c r="S1043" s="940">
        <f t="shared" si="21"/>
        <v>0</v>
      </c>
      <c r="T1043" s="940"/>
      <c r="U1043" s="940"/>
      <c r="V1043" s="940"/>
      <c r="W1043" s="866">
        <f>CHOORData!AW58</f>
        <v>0</v>
      </c>
      <c r="X1043" s="867"/>
      <c r="Y1043" s="586"/>
      <c r="Z1043" s="586"/>
      <c r="AA1043" s="518"/>
      <c r="AB1043" s="518"/>
      <c r="AC1043" s="588"/>
      <c r="AD1043" s="588"/>
      <c r="AE1043" s="588"/>
      <c r="AF1043" s="518"/>
      <c r="AG1043" s="518"/>
      <c r="AH1043" s="518"/>
      <c r="AJ1043" s="595" t="b">
        <f t="shared" si="22"/>
        <v>0</v>
      </c>
    </row>
    <row r="1044" spans="1:36" hidden="1" x14ac:dyDescent="0.45">
      <c r="A1044" s="518"/>
      <c r="B1044" s="514" t="s">
        <v>1460</v>
      </c>
      <c r="C1044" s="530"/>
      <c r="D1044" s="530"/>
      <c r="E1044" s="530"/>
      <c r="F1044" s="534"/>
      <c r="G1044" s="1181" t="str">
        <f>IF(CHOORData!T59=0,"",CHOORData!T59)</f>
        <v/>
      </c>
      <c r="H1044" s="1181"/>
      <c r="I1044" s="939">
        <f>CHOORData!AU59</f>
        <v>0</v>
      </c>
      <c r="J1044" s="1181"/>
      <c r="K1044" s="940">
        <f>CHOORData!AV59</f>
        <v>0</v>
      </c>
      <c r="L1044" s="940"/>
      <c r="M1044" s="940"/>
      <c r="N1044" s="940"/>
      <c r="O1044" s="868">
        <f>CHOORData!BG59</f>
        <v>0</v>
      </c>
      <c r="P1044" s="869"/>
      <c r="Q1044" s="869"/>
      <c r="R1044" s="870"/>
      <c r="S1044" s="940">
        <f t="shared" si="21"/>
        <v>0</v>
      </c>
      <c r="T1044" s="940"/>
      <c r="U1044" s="940"/>
      <c r="V1044" s="940"/>
      <c r="W1044" s="866">
        <f>CHOORData!AW59</f>
        <v>0</v>
      </c>
      <c r="X1044" s="867"/>
      <c r="Y1044" s="586"/>
      <c r="Z1044" s="586"/>
      <c r="AA1044" s="518"/>
      <c r="AB1044" s="518"/>
      <c r="AC1044" s="588"/>
      <c r="AD1044" s="588"/>
      <c r="AE1044" s="588"/>
      <c r="AF1044" s="518"/>
      <c r="AG1044" s="518"/>
      <c r="AH1044" s="518"/>
      <c r="AJ1044" s="595" t="b">
        <f t="shared" si="22"/>
        <v>0</v>
      </c>
    </row>
    <row r="1045" spans="1:36" hidden="1" x14ac:dyDescent="0.45">
      <c r="A1045" s="518"/>
      <c r="B1045" s="514" t="s">
        <v>1461</v>
      </c>
      <c r="C1045" s="530"/>
      <c r="D1045" s="530"/>
      <c r="E1045" s="530"/>
      <c r="F1045" s="534"/>
      <c r="G1045" s="1181" t="str">
        <f>IF(CHOORData!T60=0,"",CHOORData!T60)</f>
        <v/>
      </c>
      <c r="H1045" s="1181"/>
      <c r="I1045" s="939">
        <f>CHOORData!AU60</f>
        <v>0</v>
      </c>
      <c r="J1045" s="1181"/>
      <c r="K1045" s="940">
        <f>CHOORData!AV60</f>
        <v>0</v>
      </c>
      <c r="L1045" s="940"/>
      <c r="M1045" s="940"/>
      <c r="N1045" s="940"/>
      <c r="O1045" s="868">
        <f>CHOORData!BG60</f>
        <v>0</v>
      </c>
      <c r="P1045" s="869"/>
      <c r="Q1045" s="869"/>
      <c r="R1045" s="870"/>
      <c r="S1045" s="940">
        <f t="shared" si="21"/>
        <v>0</v>
      </c>
      <c r="T1045" s="940"/>
      <c r="U1045" s="940"/>
      <c r="V1045" s="940"/>
      <c r="W1045" s="866">
        <f>CHOORData!AW60</f>
        <v>0</v>
      </c>
      <c r="X1045" s="867"/>
      <c r="Y1045" s="586"/>
      <c r="Z1045" s="586"/>
      <c r="AA1045" s="518"/>
      <c r="AB1045" s="518"/>
      <c r="AC1045" s="588"/>
      <c r="AD1045" s="588"/>
      <c r="AE1045" s="588"/>
      <c r="AF1045" s="518"/>
      <c r="AG1045" s="518"/>
      <c r="AH1045" s="518"/>
      <c r="AJ1045" s="595" t="b">
        <f t="shared" si="22"/>
        <v>0</v>
      </c>
    </row>
    <row r="1046" spans="1:36" hidden="1" x14ac:dyDescent="0.45">
      <c r="A1046" s="518"/>
      <c r="B1046" s="518"/>
      <c r="C1046" s="518"/>
      <c r="D1046" s="518"/>
      <c r="E1046" s="518"/>
      <c r="F1046" s="518"/>
      <c r="G1046" s="518"/>
      <c r="H1046" s="518"/>
      <c r="I1046" s="518"/>
      <c r="J1046" s="518"/>
      <c r="K1046" s="518"/>
      <c r="L1046" s="518"/>
      <c r="M1046" s="518"/>
      <c r="N1046" s="518"/>
      <c r="O1046" s="518"/>
      <c r="P1046" s="518"/>
      <c r="Q1046" s="518"/>
      <c r="R1046" s="518"/>
      <c r="S1046" s="518"/>
      <c r="T1046" s="518"/>
      <c r="U1046" s="518"/>
      <c r="V1046" s="518"/>
      <c r="W1046" s="518"/>
      <c r="X1046" s="518"/>
      <c r="Y1046" s="518"/>
      <c r="Z1046" s="518"/>
      <c r="AA1046" s="518"/>
      <c r="AB1046" s="518"/>
      <c r="AC1046" s="518"/>
      <c r="AD1046" s="518"/>
      <c r="AE1046" s="518"/>
      <c r="AF1046" s="518"/>
      <c r="AG1046" s="518"/>
      <c r="AH1046" s="518"/>
      <c r="AJ1046" s="595" t="b">
        <f>AJ981</f>
        <v>0</v>
      </c>
    </row>
    <row r="1047" spans="1:36" hidden="1" x14ac:dyDescent="0.45">
      <c r="A1047" s="518"/>
      <c r="B1047" s="911" t="s">
        <v>173</v>
      </c>
      <c r="C1047" s="912"/>
      <c r="D1047" s="912"/>
      <c r="E1047" s="912"/>
      <c r="F1047" s="912"/>
      <c r="G1047" s="912"/>
      <c r="H1047" s="913">
        <f>CH_OOR_MFDRuralTotalRequested</f>
        <v>0</v>
      </c>
      <c r="I1047" s="914"/>
      <c r="J1047" s="914"/>
      <c r="K1047" s="914"/>
      <c r="L1047" s="914"/>
      <c r="M1047" s="914"/>
      <c r="N1047" s="915"/>
      <c r="O1047" s="518"/>
      <c r="P1047" s="518"/>
      <c r="Q1047" s="518"/>
      <c r="R1047" s="518"/>
      <c r="S1047" s="518"/>
      <c r="T1047" s="518"/>
      <c r="U1047" s="518"/>
      <c r="V1047" s="518"/>
      <c r="W1047" s="518"/>
      <c r="X1047" s="518"/>
      <c r="Y1047" s="518"/>
      <c r="Z1047" s="518"/>
      <c r="AA1047" s="518"/>
      <c r="AB1047" s="518"/>
      <c r="AC1047" s="518"/>
      <c r="AD1047" s="518"/>
      <c r="AE1047" s="518"/>
      <c r="AF1047" s="518"/>
      <c r="AG1047" s="518"/>
      <c r="AH1047" s="518"/>
      <c r="AJ1047" s="595"/>
    </row>
    <row r="1048" spans="1:36" ht="16" hidden="1" customHeight="1" x14ac:dyDescent="0.45">
      <c r="A1048" s="518"/>
      <c r="B1048" s="924"/>
      <c r="C1048" s="925"/>
      <c r="D1048" s="925"/>
      <c r="E1048" s="925"/>
      <c r="F1048" s="925"/>
      <c r="G1048" s="925"/>
      <c r="H1048" s="925"/>
      <c r="I1048" s="925"/>
      <c r="J1048" s="925"/>
      <c r="K1048" s="925"/>
      <c r="L1048" s="925"/>
      <c r="M1048" s="925"/>
      <c r="N1048" s="925"/>
      <c r="O1048" s="925"/>
      <c r="P1048" s="925"/>
      <c r="Q1048" s="925"/>
      <c r="R1048" s="925"/>
      <c r="S1048" s="925"/>
      <c r="T1048" s="925"/>
      <c r="U1048" s="925"/>
      <c r="V1048" s="925"/>
      <c r="W1048" s="925"/>
      <c r="X1048" s="925"/>
      <c r="Y1048" s="925"/>
      <c r="Z1048" s="925"/>
      <c r="AA1048" s="925"/>
      <c r="AB1048" s="925"/>
      <c r="AC1048" s="925"/>
      <c r="AD1048" s="925"/>
      <c r="AE1048" s="925"/>
      <c r="AF1048" s="925"/>
      <c r="AG1048" s="925"/>
      <c r="AH1048" s="518"/>
      <c r="AJ1048" s="595"/>
    </row>
    <row r="1049" spans="1:36" hidden="1" x14ac:dyDescent="0.45">
      <c r="A1049" s="518"/>
      <c r="B1049" s="532" t="s">
        <v>1854</v>
      </c>
      <c r="C1049" s="518"/>
      <c r="D1049" s="518"/>
      <c r="E1049" s="518"/>
      <c r="F1049" s="518"/>
      <c r="G1049" s="518"/>
      <c r="H1049" s="518"/>
      <c r="I1049" s="518"/>
      <c r="J1049" s="518"/>
      <c r="K1049" s="518"/>
      <c r="L1049" s="518"/>
      <c r="M1049" s="518"/>
      <c r="N1049" s="518"/>
      <c r="O1049" s="518"/>
      <c r="P1049" s="518"/>
      <c r="Q1049" s="518"/>
      <c r="R1049" s="518"/>
      <c r="S1049" s="518"/>
      <c r="T1049" s="518"/>
      <c r="U1049" s="518"/>
      <c r="V1049" s="518"/>
      <c r="W1049" s="518"/>
      <c r="X1049" s="518"/>
      <c r="Y1049" s="518"/>
      <c r="Z1049" s="518"/>
      <c r="AA1049" s="518"/>
      <c r="AB1049" s="518"/>
      <c r="AC1049" s="518"/>
      <c r="AD1049" s="518"/>
      <c r="AE1049" s="518"/>
      <c r="AF1049" s="518"/>
      <c r="AG1049" s="518"/>
      <c r="AH1049" s="518"/>
      <c r="AJ1049" s="595"/>
    </row>
    <row r="1050" spans="1:36" hidden="1" x14ac:dyDescent="0.45">
      <c r="A1050" s="518"/>
      <c r="B1050" s="877" t="s">
        <v>174</v>
      </c>
      <c r="C1050" s="877"/>
      <c r="D1050" s="877"/>
      <c r="E1050" s="877"/>
      <c r="F1050" s="877"/>
      <c r="G1050" s="877"/>
      <c r="H1050" s="877"/>
      <c r="I1050" s="877"/>
      <c r="J1050" s="877"/>
      <c r="K1050" s="877"/>
      <c r="L1050" s="877"/>
      <c r="M1050" s="877"/>
      <c r="N1050" s="877"/>
      <c r="O1050" s="878"/>
      <c r="P1050" s="879"/>
      <c r="Q1050" s="880"/>
      <c r="R1050" s="518"/>
      <c r="S1050" s="518"/>
      <c r="T1050" s="518"/>
      <c r="U1050" s="518"/>
      <c r="V1050" s="518"/>
      <c r="W1050" s="518"/>
      <c r="X1050" s="518"/>
      <c r="Y1050" s="518"/>
      <c r="Z1050" s="518"/>
      <c r="AA1050" s="518"/>
      <c r="AB1050" s="518"/>
      <c r="AC1050" s="518"/>
      <c r="AD1050" s="518"/>
      <c r="AE1050" s="518"/>
      <c r="AF1050" s="518"/>
      <c r="AG1050" s="518"/>
      <c r="AH1050" s="518"/>
      <c r="AJ1050" s="595"/>
    </row>
    <row r="1051" spans="1:36" hidden="1" x14ac:dyDescent="0.45">
      <c r="A1051" s="518"/>
      <c r="B1051" s="877" t="s">
        <v>175</v>
      </c>
      <c r="C1051" s="877"/>
      <c r="D1051" s="877"/>
      <c r="E1051" s="877"/>
      <c r="F1051" s="877"/>
      <c r="G1051" s="877"/>
      <c r="H1051" s="877"/>
      <c r="I1051" s="877"/>
      <c r="J1051" s="877"/>
      <c r="K1051" s="877"/>
      <c r="L1051" s="877"/>
      <c r="M1051" s="877"/>
      <c r="N1051" s="877"/>
      <c r="O1051" s="878" t="str">
        <f>IF(CH_OOR_MFDRuralCommunityNeedPoints=0,"",CH_OOR_MFDRuralCommunityNeedPoints)</f>
        <v/>
      </c>
      <c r="P1051" s="879"/>
      <c r="Q1051" s="880"/>
      <c r="R1051" s="518"/>
      <c r="S1051" s="518"/>
      <c r="T1051" s="518"/>
      <c r="U1051" s="518"/>
      <c r="V1051" s="518"/>
      <c r="W1051" s="518"/>
      <c r="X1051" s="518"/>
      <c r="Y1051" s="518"/>
      <c r="Z1051" s="518"/>
      <c r="AA1051" s="518"/>
      <c r="AB1051" s="518"/>
      <c r="AC1051" s="518"/>
      <c r="AD1051" s="518"/>
      <c r="AE1051" s="518"/>
      <c r="AF1051" s="518"/>
      <c r="AG1051" s="518"/>
      <c r="AH1051" s="518"/>
      <c r="AJ1051" s="595"/>
    </row>
    <row r="1052" spans="1:36" hidden="1" x14ac:dyDescent="0.45">
      <c r="A1052" s="518"/>
      <c r="B1052" s="877" t="s">
        <v>176</v>
      </c>
      <c r="C1052" s="877"/>
      <c r="D1052" s="877"/>
      <c r="E1052" s="877"/>
      <c r="F1052" s="877"/>
      <c r="G1052" s="877"/>
      <c r="H1052" s="877"/>
      <c r="I1052" s="877"/>
      <c r="J1052" s="877"/>
      <c r="K1052" s="877"/>
      <c r="L1052" s="877"/>
      <c r="M1052" s="877"/>
      <c r="N1052" s="877"/>
      <c r="O1052" s="878" t="str">
        <f>IF(CH_OOR_MFDRuralFeasibilityPoints=0,"",CH_OOR_MFDRuralFeasibilityPoints)</f>
        <v/>
      </c>
      <c r="P1052" s="879"/>
      <c r="Q1052" s="880"/>
      <c r="R1052" s="518"/>
      <c r="S1052" s="518"/>
      <c r="T1052" s="518"/>
      <c r="U1052" s="518"/>
      <c r="V1052" s="518"/>
      <c r="W1052" s="518"/>
      <c r="X1052" s="518"/>
      <c r="Y1052" s="518"/>
      <c r="Z1052" s="518"/>
      <c r="AA1052" s="518"/>
      <c r="AB1052" s="518"/>
      <c r="AC1052" s="518"/>
      <c r="AD1052" s="518"/>
      <c r="AE1052" s="518"/>
      <c r="AF1052" s="518"/>
      <c r="AG1052" s="518"/>
      <c r="AH1052" s="518"/>
      <c r="AJ1052" s="595"/>
    </row>
    <row r="1053" spans="1:36" hidden="1" x14ac:dyDescent="0.45">
      <c r="A1053" s="518"/>
      <c r="B1053" s="877" t="s">
        <v>177</v>
      </c>
      <c r="C1053" s="877"/>
      <c r="D1053" s="877"/>
      <c r="E1053" s="877"/>
      <c r="F1053" s="877"/>
      <c r="G1053" s="877"/>
      <c r="H1053" s="877"/>
      <c r="I1053" s="877"/>
      <c r="J1053" s="877"/>
      <c r="K1053" s="877"/>
      <c r="L1053" s="877"/>
      <c r="M1053" s="877"/>
      <c r="N1053" s="877"/>
      <c r="O1053" s="878" t="str">
        <f>IF(CH_OOR_MFDRuralRevitalizationPoints=0,"",CH_OOR_MFDRuralRevitalizationPoints)</f>
        <v/>
      </c>
      <c r="P1053" s="879"/>
      <c r="Q1053" s="880"/>
      <c r="R1053" s="518"/>
      <c r="S1053" s="518"/>
      <c r="T1053" s="518"/>
      <c r="U1053" s="518"/>
      <c r="V1053" s="518"/>
      <c r="W1053" s="518"/>
      <c r="X1053" s="518"/>
      <c r="Y1053" s="518"/>
      <c r="Z1053" s="518"/>
      <c r="AA1053" s="518"/>
      <c r="AB1053" s="518"/>
      <c r="AC1053" s="518"/>
      <c r="AD1053" s="518"/>
      <c r="AE1053" s="518"/>
      <c r="AF1053" s="518"/>
      <c r="AG1053" s="518"/>
      <c r="AH1053" s="518"/>
      <c r="AJ1053" s="595"/>
    </row>
    <row r="1054" spans="1:36" hidden="1" x14ac:dyDescent="0.45">
      <c r="A1054" s="518"/>
      <c r="B1054" s="881" t="s">
        <v>178</v>
      </c>
      <c r="C1054" s="881"/>
      <c r="D1054" s="881"/>
      <c r="E1054" s="881"/>
      <c r="F1054" s="881"/>
      <c r="G1054" s="881"/>
      <c r="H1054" s="881"/>
      <c r="I1054" s="881"/>
      <c r="J1054" s="881"/>
      <c r="K1054" s="881"/>
      <c r="L1054" s="881"/>
      <c r="M1054" s="881"/>
      <c r="N1054" s="881"/>
      <c r="O1054" s="882" t="s">
        <v>195</v>
      </c>
      <c r="P1054" s="883"/>
      <c r="Q1054" s="884"/>
      <c r="R1054" s="518"/>
      <c r="S1054" s="518"/>
      <c r="T1054" s="518"/>
      <c r="U1054" s="518"/>
      <c r="V1054" s="518"/>
      <c r="W1054" s="518"/>
      <c r="X1054" s="518"/>
      <c r="Y1054" s="518"/>
      <c r="Z1054" s="518"/>
      <c r="AA1054" s="518"/>
      <c r="AB1054" s="518"/>
      <c r="AC1054" s="518"/>
      <c r="AD1054" s="518"/>
      <c r="AE1054" s="518"/>
      <c r="AF1054" s="518"/>
      <c r="AG1054" s="518"/>
      <c r="AH1054" s="518"/>
      <c r="AJ1054" s="595"/>
    </row>
    <row r="1055" spans="1:36" hidden="1" x14ac:dyDescent="0.45">
      <c r="A1055" s="518"/>
      <c r="B1055" s="881" t="s">
        <v>179</v>
      </c>
      <c r="C1055" s="881"/>
      <c r="D1055" s="881"/>
      <c r="E1055" s="881"/>
      <c r="F1055" s="881"/>
      <c r="G1055" s="881"/>
      <c r="H1055" s="881"/>
      <c r="I1055" s="881"/>
      <c r="J1055" s="881"/>
      <c r="K1055" s="881"/>
      <c r="L1055" s="881"/>
      <c r="M1055" s="881"/>
      <c r="N1055" s="881"/>
      <c r="O1055" s="882" t="s">
        <v>195</v>
      </c>
      <c r="P1055" s="883"/>
      <c r="Q1055" s="884"/>
      <c r="R1055" s="518"/>
      <c r="S1055" s="518"/>
      <c r="T1055" s="518"/>
      <c r="U1055" s="518"/>
      <c r="V1055" s="518"/>
      <c r="W1055" s="518"/>
      <c r="X1055" s="518"/>
      <c r="Y1055" s="518"/>
      <c r="Z1055" s="518"/>
      <c r="AA1055" s="518"/>
      <c r="AB1055" s="518"/>
      <c r="AC1055" s="518"/>
      <c r="AD1055" s="518"/>
      <c r="AE1055" s="518"/>
      <c r="AF1055" s="518"/>
      <c r="AG1055" s="518"/>
      <c r="AH1055" s="518"/>
      <c r="AJ1055" s="595"/>
    </row>
    <row r="1056" spans="1:36" hidden="1" x14ac:dyDescent="0.45">
      <c r="A1056" s="518"/>
      <c r="B1056" s="877" t="s">
        <v>180</v>
      </c>
      <c r="C1056" s="877"/>
      <c r="D1056" s="877"/>
      <c r="E1056" s="877"/>
      <c r="F1056" s="877"/>
      <c r="G1056" s="877"/>
      <c r="H1056" s="877"/>
      <c r="I1056" s="877"/>
      <c r="J1056" s="877"/>
      <c r="K1056" s="877"/>
      <c r="L1056" s="877"/>
      <c r="M1056" s="877"/>
      <c r="N1056" s="877"/>
      <c r="O1056" s="878"/>
      <c r="P1056" s="879"/>
      <c r="Q1056" s="880"/>
      <c r="R1056" s="518"/>
      <c r="S1056" s="518"/>
      <c r="T1056" s="518"/>
      <c r="U1056" s="518"/>
      <c r="V1056" s="518"/>
      <c r="W1056" s="518"/>
      <c r="X1056" s="518"/>
      <c r="Y1056" s="518"/>
      <c r="Z1056" s="518"/>
      <c r="AA1056" s="518"/>
      <c r="AB1056" s="518"/>
      <c r="AC1056" s="518"/>
      <c r="AD1056" s="518"/>
      <c r="AE1056" s="518"/>
      <c r="AF1056" s="518"/>
      <c r="AG1056" s="518"/>
      <c r="AH1056" s="518"/>
      <c r="AJ1056" s="595"/>
    </row>
    <row r="1057" spans="1:37" hidden="1" x14ac:dyDescent="0.45">
      <c r="A1057" s="518"/>
      <c r="B1057" s="1225" t="s">
        <v>181</v>
      </c>
      <c r="C1057" s="1225"/>
      <c r="D1057" s="1225"/>
      <c r="E1057" s="1225"/>
      <c r="F1057" s="1225"/>
      <c r="G1057" s="1225"/>
      <c r="H1057" s="1225"/>
      <c r="I1057" s="1225"/>
      <c r="J1057" s="1225"/>
      <c r="K1057" s="1225"/>
      <c r="L1057" s="1225"/>
      <c r="M1057" s="1225"/>
      <c r="N1057" s="1225"/>
      <c r="O1057" s="927"/>
      <c r="P1057" s="928"/>
      <c r="Q1057" s="929"/>
      <c r="R1057" s="518"/>
      <c r="S1057" s="518"/>
      <c r="T1057" s="518"/>
      <c r="U1057" s="518"/>
      <c r="V1057" s="518"/>
      <c r="W1057" s="518"/>
      <c r="X1057" s="518"/>
      <c r="Y1057" s="518"/>
      <c r="Z1057" s="518"/>
      <c r="AA1057" s="518"/>
      <c r="AB1057" s="518"/>
      <c r="AC1057" s="518"/>
      <c r="AD1057" s="518"/>
      <c r="AE1057" s="518"/>
      <c r="AF1057" s="518"/>
      <c r="AG1057" s="518"/>
      <c r="AH1057" s="518"/>
      <c r="AJ1057" s="595"/>
    </row>
    <row r="1058" spans="1:37" hidden="1" x14ac:dyDescent="0.45">
      <c r="A1058" s="518"/>
      <c r="B1058" s="1226" t="s">
        <v>182</v>
      </c>
      <c r="C1058" s="1226"/>
      <c r="D1058" s="1226"/>
      <c r="E1058" s="1226"/>
      <c r="F1058" s="1226"/>
      <c r="G1058" s="1226"/>
      <c r="H1058" s="1226"/>
      <c r="I1058" s="1226"/>
      <c r="J1058" s="1226"/>
      <c r="K1058" s="1226"/>
      <c r="L1058" s="1226"/>
      <c r="M1058" s="1226"/>
      <c r="N1058" s="1226"/>
      <c r="O1058" s="878">
        <f>SUM(O1050:Q1056)-O1057</f>
        <v>0</v>
      </c>
      <c r="P1058" s="879"/>
      <c r="Q1058" s="880"/>
      <c r="R1058" s="518"/>
      <c r="S1058" s="518"/>
      <c r="T1058" s="518"/>
      <c r="U1058" s="518"/>
      <c r="V1058" s="518"/>
      <c r="W1058" s="518"/>
      <c r="X1058" s="518"/>
      <c r="Y1058" s="518"/>
      <c r="Z1058" s="518"/>
      <c r="AA1058" s="518"/>
      <c r="AB1058" s="518"/>
      <c r="AC1058" s="518"/>
      <c r="AD1058" s="518"/>
      <c r="AE1058" s="518"/>
      <c r="AF1058" s="518"/>
      <c r="AG1058" s="518"/>
      <c r="AH1058" s="518"/>
      <c r="AJ1058" s="595"/>
    </row>
    <row r="1059" spans="1:37" hidden="1" x14ac:dyDescent="0.45">
      <c r="A1059" s="518"/>
      <c r="B1059" s="517"/>
      <c r="C1059" s="517"/>
      <c r="D1059" s="517"/>
      <c r="E1059" s="517"/>
      <c r="F1059" s="517"/>
      <c r="G1059" s="517"/>
      <c r="H1059" s="517"/>
      <c r="I1059" s="517"/>
      <c r="J1059" s="517"/>
      <c r="K1059" s="517"/>
      <c r="L1059" s="517"/>
      <c r="M1059" s="517"/>
      <c r="N1059" s="517"/>
      <c r="O1059" s="532"/>
      <c r="P1059" s="532"/>
      <c r="Q1059" s="532"/>
      <c r="R1059" s="518"/>
      <c r="S1059" s="533"/>
      <c r="T1059" s="533"/>
      <c r="U1059" s="533"/>
      <c r="V1059" s="533"/>
      <c r="W1059" s="533"/>
      <c r="X1059" s="533"/>
      <c r="Y1059" s="533"/>
      <c r="Z1059" s="533"/>
      <c r="AA1059" s="533"/>
      <c r="AB1059" s="533"/>
      <c r="AC1059" s="533"/>
      <c r="AD1059" s="533"/>
      <c r="AE1059" s="533"/>
      <c r="AF1059" s="533"/>
      <c r="AG1059" s="533"/>
      <c r="AH1059" s="518"/>
      <c r="AJ1059" s="595"/>
    </row>
    <row r="1060" spans="1:37" ht="200.15" hidden="1" customHeight="1" x14ac:dyDescent="0.45">
      <c r="A1060" s="518"/>
      <c r="B1060" s="926" t="s">
        <v>183</v>
      </c>
      <c r="C1060" s="926"/>
      <c r="D1060" s="926"/>
      <c r="E1060" s="926"/>
      <c r="F1060" s="926"/>
      <c r="G1060" s="926"/>
      <c r="H1060" s="926"/>
      <c r="I1060" s="926"/>
      <c r="J1060" s="926"/>
      <c r="K1060" s="926"/>
      <c r="L1060" s="926"/>
      <c r="M1060" s="926"/>
      <c r="N1060" s="926"/>
      <c r="O1060" s="926"/>
      <c r="P1060" s="926"/>
      <c r="Q1060" s="926"/>
      <c r="R1060" s="926"/>
      <c r="S1060" s="926"/>
      <c r="T1060" s="926"/>
      <c r="U1060" s="926"/>
      <c r="V1060" s="926"/>
      <c r="W1060" s="926"/>
      <c r="X1060" s="926"/>
      <c r="Y1060" s="926"/>
      <c r="Z1060" s="926"/>
      <c r="AA1060" s="926"/>
      <c r="AB1060" s="926"/>
      <c r="AC1060" s="926"/>
      <c r="AD1060" s="926"/>
      <c r="AE1060" s="926"/>
      <c r="AF1060" s="926"/>
      <c r="AG1060" s="926"/>
      <c r="AH1060" s="518"/>
      <c r="AJ1060" s="595"/>
    </row>
    <row r="1061" spans="1:37" hidden="1" x14ac:dyDescent="0.45">
      <c r="A1061" s="518"/>
      <c r="B1061" s="518"/>
      <c r="C1061" s="518"/>
      <c r="D1061" s="518"/>
      <c r="E1061" s="518"/>
      <c r="F1061" s="518"/>
      <c r="G1061" s="518"/>
      <c r="H1061" s="518"/>
      <c r="I1061" s="518"/>
      <c r="J1061" s="518"/>
      <c r="K1061" s="518"/>
      <c r="L1061" s="518"/>
      <c r="M1061" s="518"/>
      <c r="N1061" s="518"/>
      <c r="O1061" s="518"/>
      <c r="P1061" s="518"/>
      <c r="Q1061" s="518"/>
      <c r="R1061" s="518"/>
      <c r="S1061" s="518"/>
      <c r="T1061" s="518"/>
      <c r="U1061" s="518"/>
      <c r="V1061" s="518"/>
      <c r="W1061" s="518"/>
      <c r="X1061" s="518"/>
      <c r="Y1061" s="518"/>
      <c r="Z1061" s="518"/>
      <c r="AA1061" s="518"/>
      <c r="AB1061" s="518"/>
      <c r="AC1061" s="518"/>
      <c r="AD1061" s="518"/>
      <c r="AE1061" s="518"/>
      <c r="AF1061" s="518"/>
      <c r="AG1061" s="518"/>
      <c r="AH1061" s="518"/>
      <c r="AJ1061" s="595"/>
    </row>
    <row r="1062" spans="1:37" hidden="1" x14ac:dyDescent="0.45">
      <c r="A1062" s="518"/>
      <c r="B1062" s="518"/>
      <c r="C1062" s="518"/>
      <c r="D1062" s="518"/>
      <c r="E1062" s="518"/>
      <c r="F1062" s="518"/>
      <c r="G1062" s="518"/>
      <c r="H1062" s="518"/>
      <c r="I1062" s="518"/>
      <c r="J1062" s="518"/>
      <c r="K1062" s="518"/>
      <c r="L1062" s="518"/>
      <c r="M1062" s="518"/>
      <c r="N1062" s="518"/>
      <c r="O1062" s="518"/>
      <c r="P1062" s="518"/>
      <c r="Q1062" s="518"/>
      <c r="R1062" s="518"/>
      <c r="S1062" s="518"/>
      <c r="T1062" s="518"/>
      <c r="U1062" s="518"/>
      <c r="V1062" s="518"/>
      <c r="W1062" s="518"/>
      <c r="X1062" s="518"/>
      <c r="Y1062" s="518"/>
      <c r="Z1062" s="518"/>
      <c r="AA1062" s="518"/>
      <c r="AB1062" s="518"/>
      <c r="AC1062" s="518"/>
      <c r="AD1062" s="518"/>
      <c r="AE1062" s="518"/>
      <c r="AF1062" s="518"/>
      <c r="AG1062" s="518"/>
      <c r="AH1062" s="518"/>
      <c r="AJ1062" s="595" t="b">
        <f>AND(
APP_ApplyingForCalHome="Yes",
CH_ER_EligibleApplicant,
CH_SHTA_CompletionStatus="Final/Complete")</f>
        <v>0</v>
      </c>
      <c r="AK1062" s="462" t="s">
        <v>1477</v>
      </c>
    </row>
    <row r="1063" spans="1:37" hidden="1" x14ac:dyDescent="0.45">
      <c r="A1063" s="518"/>
      <c r="B1063" s="907" t="s">
        <v>208</v>
      </c>
      <c r="C1063" s="907"/>
      <c r="D1063" s="907"/>
      <c r="E1063" s="907"/>
      <c r="F1063" s="907"/>
      <c r="G1063" s="907"/>
      <c r="H1063" s="907"/>
      <c r="I1063" s="907"/>
      <c r="J1063" s="907"/>
      <c r="K1063" s="907"/>
      <c r="L1063" s="907"/>
      <c r="M1063" s="907"/>
      <c r="N1063" s="907"/>
      <c r="O1063" s="907"/>
      <c r="P1063" s="907"/>
      <c r="Q1063" s="907"/>
      <c r="R1063" s="907"/>
      <c r="S1063" s="907"/>
      <c r="T1063" s="907"/>
      <c r="U1063" s="907"/>
      <c r="V1063" s="907"/>
      <c r="W1063" s="907"/>
      <c r="X1063" s="907"/>
      <c r="Y1063" s="907"/>
      <c r="Z1063" s="907"/>
      <c r="AA1063" s="907"/>
      <c r="AB1063" s="907"/>
      <c r="AC1063" s="907"/>
      <c r="AD1063" s="907"/>
      <c r="AE1063" s="907"/>
      <c r="AF1063" s="907"/>
      <c r="AG1063" s="907"/>
      <c r="AH1063" s="518"/>
      <c r="AJ1063" s="595"/>
    </row>
    <row r="1064" spans="1:37" hidden="1" x14ac:dyDescent="0.45">
      <c r="A1064" s="518"/>
      <c r="B1064" s="517"/>
      <c r="C1064" s="517"/>
      <c r="D1064" s="517"/>
      <c r="E1064" s="517"/>
      <c r="F1064" s="517"/>
      <c r="G1064" s="517"/>
      <c r="H1064" s="517"/>
      <c r="I1064" s="517"/>
      <c r="J1064" s="517"/>
      <c r="K1064" s="517"/>
      <c r="L1064" s="517"/>
      <c r="M1064" s="517"/>
      <c r="N1064" s="517"/>
      <c r="O1064" s="517"/>
      <c r="P1064" s="517"/>
      <c r="Q1064" s="517"/>
      <c r="R1064" s="517"/>
      <c r="S1064" s="517"/>
      <c r="T1064" s="517"/>
      <c r="U1064" s="517"/>
      <c r="V1064" s="517"/>
      <c r="W1064" s="517"/>
      <c r="X1064" s="517"/>
      <c r="Y1064" s="517"/>
      <c r="Z1064" s="517"/>
      <c r="AA1064" s="517"/>
      <c r="AB1064" s="517"/>
      <c r="AC1064" s="517"/>
      <c r="AD1064" s="517"/>
      <c r="AE1064" s="517"/>
      <c r="AF1064" s="517"/>
      <c r="AG1064" s="517"/>
      <c r="AH1064" s="518"/>
      <c r="AJ1064" s="595"/>
    </row>
    <row r="1065" spans="1:37" hidden="1" x14ac:dyDescent="0.45">
      <c r="A1065" s="518"/>
      <c r="B1065" s="907" t="s">
        <v>88</v>
      </c>
      <c r="C1065" s="907"/>
      <c r="D1065" s="907"/>
      <c r="E1065" s="907"/>
      <c r="F1065" s="907"/>
      <c r="G1065" s="907"/>
      <c r="H1065" s="1213"/>
      <c r="I1065" s="1214"/>
      <c r="J1065" s="1215"/>
      <c r="K1065" s="1215"/>
      <c r="L1065" s="1215"/>
      <c r="M1065" s="1215"/>
      <c r="N1065" s="1215"/>
      <c r="O1065" s="1216"/>
      <c r="P1065" s="517"/>
      <c r="Q1065" s="517"/>
      <c r="R1065" s="517"/>
      <c r="S1065" s="517"/>
      <c r="T1065" s="517"/>
      <c r="U1065" s="517"/>
      <c r="V1065" s="517"/>
      <c r="W1065" s="517"/>
      <c r="X1065" s="517"/>
      <c r="Y1065" s="517"/>
      <c r="Z1065" s="517"/>
      <c r="AA1065" s="517"/>
      <c r="AB1065" s="517"/>
      <c r="AC1065" s="517"/>
      <c r="AD1065" s="517"/>
      <c r="AE1065" s="517"/>
      <c r="AF1065" s="1180"/>
      <c r="AG1065" s="1180"/>
      <c r="AH1065" s="518"/>
      <c r="AJ1065" s="595"/>
    </row>
    <row r="1066" spans="1:37" hidden="1" x14ac:dyDescent="0.45">
      <c r="A1066" s="518"/>
      <c r="B1066" s="518"/>
      <c r="C1066" s="518"/>
      <c r="D1066" s="518"/>
      <c r="E1066" s="518"/>
      <c r="F1066" s="518"/>
      <c r="G1066" s="518"/>
      <c r="H1066" s="518"/>
      <c r="I1066" s="518"/>
      <c r="J1066" s="518"/>
      <c r="K1066" s="518"/>
      <c r="L1066" s="518"/>
      <c r="M1066" s="518"/>
      <c r="N1066" s="518"/>
      <c r="O1066" s="518"/>
      <c r="P1066" s="518"/>
      <c r="Q1066" s="518"/>
      <c r="R1066" s="518"/>
      <c r="S1066" s="518"/>
      <c r="T1066" s="518"/>
      <c r="U1066" s="518"/>
      <c r="V1066" s="518"/>
      <c r="W1066" s="518"/>
      <c r="X1066" s="518"/>
      <c r="Y1066" s="518"/>
      <c r="Z1066" s="518"/>
      <c r="AA1066" s="518"/>
      <c r="AB1066" s="518"/>
      <c r="AC1066" s="518"/>
      <c r="AD1066" s="518"/>
      <c r="AE1066" s="518"/>
      <c r="AF1066" s="518"/>
      <c r="AG1066" s="518"/>
      <c r="AH1066" s="518"/>
      <c r="AJ1066" s="595"/>
    </row>
    <row r="1067" spans="1:37" ht="42" hidden="1" customHeight="1" x14ac:dyDescent="0.45">
      <c r="A1067" s="518"/>
      <c r="B1067" s="1124" t="s">
        <v>209</v>
      </c>
      <c r="C1067" s="1125"/>
      <c r="D1067" s="1125"/>
      <c r="E1067" s="1125"/>
      <c r="F1067" s="1125"/>
      <c r="G1067" s="1125"/>
      <c r="H1067" s="1125"/>
      <c r="I1067" s="1125"/>
      <c r="J1067" s="1125"/>
      <c r="K1067" s="1125"/>
      <c r="L1067" s="1125"/>
      <c r="M1067" s="1125"/>
      <c r="N1067" s="1125"/>
      <c r="O1067" s="1125"/>
      <c r="P1067" s="1125"/>
      <c r="Q1067" s="1125"/>
      <c r="R1067" s="1125"/>
      <c r="S1067" s="1125"/>
      <c r="T1067" s="1125"/>
      <c r="U1067" s="1125"/>
      <c r="V1067" s="1125"/>
      <c r="W1067" s="1125"/>
      <c r="X1067" s="1125"/>
      <c r="Y1067" s="1125"/>
      <c r="Z1067" s="1125"/>
      <c r="AA1067" s="1125"/>
      <c r="AB1067" s="1125"/>
      <c r="AC1067" s="1125"/>
      <c r="AD1067" s="1125"/>
      <c r="AE1067" s="573"/>
      <c r="AF1067" s="1192"/>
      <c r="AG1067" s="1193"/>
      <c r="AH1067" s="518"/>
      <c r="AJ1067" s="595"/>
    </row>
    <row r="1068" spans="1:37" hidden="1" x14ac:dyDescent="0.45">
      <c r="A1068" s="518"/>
      <c r="B1068" s="518"/>
      <c r="C1068" s="518"/>
      <c r="D1068" s="518"/>
      <c r="E1068" s="518"/>
      <c r="F1068" s="518"/>
      <c r="G1068" s="518"/>
      <c r="H1068" s="518"/>
      <c r="I1068" s="518"/>
      <c r="J1068" s="518"/>
      <c r="K1068" s="518"/>
      <c r="L1068" s="518"/>
      <c r="M1068" s="518"/>
      <c r="N1068" s="518"/>
      <c r="O1068" s="518"/>
      <c r="P1068" s="518"/>
      <c r="Q1068" s="518"/>
      <c r="R1068" s="518"/>
      <c r="S1068" s="518"/>
      <c r="T1068" s="518"/>
      <c r="U1068" s="518"/>
      <c r="V1068" s="518"/>
      <c r="W1068" s="518"/>
      <c r="X1068" s="518"/>
      <c r="Y1068" s="518"/>
      <c r="Z1068" s="518"/>
      <c r="AA1068" s="518"/>
      <c r="AB1068" s="518"/>
      <c r="AC1068" s="518"/>
      <c r="AD1068" s="518"/>
      <c r="AE1068" s="518"/>
      <c r="AF1068" s="518"/>
      <c r="AG1068" s="518"/>
      <c r="AH1068" s="518"/>
      <c r="AJ1068" s="595"/>
    </row>
    <row r="1069" spans="1:37" ht="16" hidden="1" customHeight="1" x14ac:dyDescent="0.45">
      <c r="A1069" s="518"/>
      <c r="B1069" s="1137" t="s">
        <v>90</v>
      </c>
      <c r="C1069" s="1138"/>
      <c r="D1069" s="1138"/>
      <c r="E1069" s="1138"/>
      <c r="F1069" s="1138"/>
      <c r="G1069" s="1138"/>
      <c r="H1069" s="1138"/>
      <c r="I1069" s="1138"/>
      <c r="J1069" s="1138"/>
      <c r="K1069" s="1138"/>
      <c r="L1069" s="1138"/>
      <c r="M1069" s="1138"/>
      <c r="N1069" s="1138"/>
      <c r="O1069" s="1138"/>
      <c r="P1069" s="1138"/>
      <c r="Q1069" s="1138"/>
      <c r="R1069" s="1138"/>
      <c r="S1069" s="1138"/>
      <c r="T1069" s="1138"/>
      <c r="U1069" s="1139"/>
      <c r="V1069" s="1217" t="s">
        <v>91</v>
      </c>
      <c r="W1069" s="1218"/>
      <c r="X1069" s="1219"/>
      <c r="Y1069" s="1217" t="s">
        <v>92</v>
      </c>
      <c r="Z1069" s="1218"/>
      <c r="AA1069" s="1219"/>
      <c r="AB1069" s="1217" t="s">
        <v>93</v>
      </c>
      <c r="AC1069" s="1218"/>
      <c r="AD1069" s="1219"/>
      <c r="AE1069" s="1217" t="s">
        <v>94</v>
      </c>
      <c r="AF1069" s="1218"/>
      <c r="AG1069" s="1219"/>
      <c r="AH1069" s="518"/>
      <c r="AJ1069" s="595"/>
    </row>
    <row r="1070" spans="1:37" hidden="1" x14ac:dyDescent="0.45">
      <c r="A1070" s="518"/>
      <c r="B1070" s="1140"/>
      <c r="C1070" s="1141"/>
      <c r="D1070" s="1141"/>
      <c r="E1070" s="1141"/>
      <c r="F1070" s="1141"/>
      <c r="G1070" s="1141"/>
      <c r="H1070" s="1141"/>
      <c r="I1070" s="1141"/>
      <c r="J1070" s="1141"/>
      <c r="K1070" s="1141"/>
      <c r="L1070" s="1141"/>
      <c r="M1070" s="1141"/>
      <c r="N1070" s="1141"/>
      <c r="O1070" s="1141"/>
      <c r="P1070" s="1141"/>
      <c r="Q1070" s="1141"/>
      <c r="R1070" s="1141"/>
      <c r="S1070" s="1141"/>
      <c r="T1070" s="1141"/>
      <c r="U1070" s="1142"/>
      <c r="V1070" s="1220"/>
      <c r="W1070" s="1221"/>
      <c r="X1070" s="1222"/>
      <c r="Y1070" s="1220"/>
      <c r="Z1070" s="1221"/>
      <c r="AA1070" s="1222"/>
      <c r="AB1070" s="1220"/>
      <c r="AC1070" s="1221"/>
      <c r="AD1070" s="1222"/>
      <c r="AE1070" s="1220"/>
      <c r="AF1070" s="1221"/>
      <c r="AG1070" s="1222"/>
      <c r="AH1070" s="518"/>
      <c r="AJ1070" s="595"/>
    </row>
    <row r="1071" spans="1:37" ht="16" hidden="1" customHeight="1" x14ac:dyDescent="0.45">
      <c r="A1071" s="518"/>
      <c r="B1071" s="1150"/>
      <c r="C1071" s="1151"/>
      <c r="D1071" s="1151"/>
      <c r="E1071" s="1151"/>
      <c r="F1071" s="1151"/>
      <c r="G1071" s="1151"/>
      <c r="H1071" s="1151"/>
      <c r="I1071" s="1151"/>
      <c r="J1071" s="1151"/>
      <c r="K1071" s="1151"/>
      <c r="L1071" s="1151"/>
      <c r="M1071" s="1151"/>
      <c r="N1071" s="1151"/>
      <c r="O1071" s="1151"/>
      <c r="P1071" s="1151"/>
      <c r="Q1071" s="1151"/>
      <c r="R1071" s="1151"/>
      <c r="S1071" s="1151"/>
      <c r="T1071" s="1151"/>
      <c r="U1071" s="1152"/>
      <c r="V1071" s="894"/>
      <c r="W1071" s="895"/>
      <c r="X1071" s="896"/>
      <c r="Y1071" s="1201"/>
      <c r="Z1071" s="1202"/>
      <c r="AA1071" s="1203"/>
      <c r="AB1071" s="1201"/>
      <c r="AC1071" s="1202"/>
      <c r="AD1071" s="1203"/>
      <c r="AE1071" s="1207" cm="1">
        <f t="array" ref="AE1071">wwDateDiff(CH_SHTA_PreviousProgramStart1,CH_SHTA_PreviousProgramEnd1)</f>
        <v>0</v>
      </c>
      <c r="AF1071" s="1208"/>
      <c r="AG1071" s="1209"/>
      <c r="AH1071" s="518"/>
      <c r="AJ1071" s="595"/>
    </row>
    <row r="1072" spans="1:37" hidden="1" x14ac:dyDescent="0.45">
      <c r="A1072" s="518"/>
      <c r="B1072" s="1153"/>
      <c r="C1072" s="1154"/>
      <c r="D1072" s="1154"/>
      <c r="E1072" s="1154"/>
      <c r="F1072" s="1154"/>
      <c r="G1072" s="1154"/>
      <c r="H1072" s="1154"/>
      <c r="I1072" s="1154"/>
      <c r="J1072" s="1154"/>
      <c r="K1072" s="1154"/>
      <c r="L1072" s="1154"/>
      <c r="M1072" s="1154"/>
      <c r="N1072" s="1154"/>
      <c r="O1072" s="1154"/>
      <c r="P1072" s="1154"/>
      <c r="Q1072" s="1154"/>
      <c r="R1072" s="1154"/>
      <c r="S1072" s="1154"/>
      <c r="T1072" s="1154"/>
      <c r="U1072" s="1155"/>
      <c r="V1072" s="897"/>
      <c r="W1072" s="898"/>
      <c r="X1072" s="899"/>
      <c r="Y1072" s="1204"/>
      <c r="Z1072" s="1205"/>
      <c r="AA1072" s="1206"/>
      <c r="AB1072" s="1204"/>
      <c r="AC1072" s="1205"/>
      <c r="AD1072" s="1206"/>
      <c r="AE1072" s="1210"/>
      <c r="AF1072" s="1211"/>
      <c r="AG1072" s="1212"/>
      <c r="AH1072" s="518"/>
      <c r="AJ1072" s="595"/>
    </row>
    <row r="1073" spans="1:36" ht="16" hidden="1" customHeight="1" x14ac:dyDescent="0.45">
      <c r="A1073" s="518"/>
      <c r="B1073" s="1150"/>
      <c r="C1073" s="1151"/>
      <c r="D1073" s="1151"/>
      <c r="E1073" s="1151"/>
      <c r="F1073" s="1151"/>
      <c r="G1073" s="1151"/>
      <c r="H1073" s="1151"/>
      <c r="I1073" s="1151"/>
      <c r="J1073" s="1151"/>
      <c r="K1073" s="1151"/>
      <c r="L1073" s="1151"/>
      <c r="M1073" s="1151"/>
      <c r="N1073" s="1151"/>
      <c r="O1073" s="1151"/>
      <c r="P1073" s="1151"/>
      <c r="Q1073" s="1151"/>
      <c r="R1073" s="1151"/>
      <c r="S1073" s="1151"/>
      <c r="T1073" s="1151"/>
      <c r="U1073" s="1152"/>
      <c r="V1073" s="894"/>
      <c r="W1073" s="895"/>
      <c r="X1073" s="896"/>
      <c r="Y1073" s="1201"/>
      <c r="Z1073" s="1202"/>
      <c r="AA1073" s="1203"/>
      <c r="AB1073" s="1201"/>
      <c r="AC1073" s="1202"/>
      <c r="AD1073" s="1203"/>
      <c r="AE1073" s="1207" cm="1">
        <f t="array" ref="AE1073">wwDateDiff(CH_SHTA_PreviousProgramStart2,CH_SHTA_PreviousProgramEnd2)</f>
        <v>0</v>
      </c>
      <c r="AF1073" s="1208"/>
      <c r="AG1073" s="1209"/>
      <c r="AH1073" s="518"/>
      <c r="AJ1073" s="595"/>
    </row>
    <row r="1074" spans="1:36" hidden="1" x14ac:dyDescent="0.45">
      <c r="A1074" s="518"/>
      <c r="B1074" s="1153"/>
      <c r="C1074" s="1154"/>
      <c r="D1074" s="1154"/>
      <c r="E1074" s="1154"/>
      <c r="F1074" s="1154"/>
      <c r="G1074" s="1154"/>
      <c r="H1074" s="1154"/>
      <c r="I1074" s="1154"/>
      <c r="J1074" s="1154"/>
      <c r="K1074" s="1154"/>
      <c r="L1074" s="1154"/>
      <c r="M1074" s="1154"/>
      <c r="N1074" s="1154"/>
      <c r="O1074" s="1154"/>
      <c r="P1074" s="1154"/>
      <c r="Q1074" s="1154"/>
      <c r="R1074" s="1154"/>
      <c r="S1074" s="1154"/>
      <c r="T1074" s="1154"/>
      <c r="U1074" s="1155"/>
      <c r="V1074" s="897"/>
      <c r="W1074" s="898"/>
      <c r="X1074" s="899"/>
      <c r="Y1074" s="1204"/>
      <c r="Z1074" s="1205"/>
      <c r="AA1074" s="1206"/>
      <c r="AB1074" s="1204"/>
      <c r="AC1074" s="1205"/>
      <c r="AD1074" s="1206"/>
      <c r="AE1074" s="1210"/>
      <c r="AF1074" s="1211"/>
      <c r="AG1074" s="1212"/>
      <c r="AH1074" s="518"/>
      <c r="AJ1074" s="595"/>
    </row>
    <row r="1075" spans="1:36" ht="16" hidden="1" customHeight="1" x14ac:dyDescent="0.45">
      <c r="A1075" s="518"/>
      <c r="B1075" s="1150"/>
      <c r="C1075" s="1151"/>
      <c r="D1075" s="1151"/>
      <c r="E1075" s="1151"/>
      <c r="F1075" s="1151"/>
      <c r="G1075" s="1151"/>
      <c r="H1075" s="1151"/>
      <c r="I1075" s="1151"/>
      <c r="J1075" s="1151"/>
      <c r="K1075" s="1151"/>
      <c r="L1075" s="1151"/>
      <c r="M1075" s="1151"/>
      <c r="N1075" s="1151"/>
      <c r="O1075" s="1151"/>
      <c r="P1075" s="1151"/>
      <c r="Q1075" s="1151"/>
      <c r="R1075" s="1151"/>
      <c r="S1075" s="1151"/>
      <c r="T1075" s="1151"/>
      <c r="U1075" s="1152"/>
      <c r="V1075" s="894"/>
      <c r="W1075" s="895"/>
      <c r="X1075" s="896"/>
      <c r="Y1075" s="1201"/>
      <c r="Z1075" s="1202"/>
      <c r="AA1075" s="1203"/>
      <c r="AB1075" s="1201"/>
      <c r="AC1075" s="1202"/>
      <c r="AD1075" s="1203"/>
      <c r="AE1075" s="1207" cm="1">
        <f t="array" ref="AE1075">wwDateDiff(CH_SHTA_PreviousProgramStart3,CH_SHTA_PreviousProgramEnd3)</f>
        <v>0</v>
      </c>
      <c r="AF1075" s="1208"/>
      <c r="AG1075" s="1209"/>
      <c r="AH1075" s="518"/>
      <c r="AJ1075" s="595"/>
    </row>
    <row r="1076" spans="1:36" hidden="1" x14ac:dyDescent="0.45">
      <c r="A1076" s="518"/>
      <c r="B1076" s="1153"/>
      <c r="C1076" s="1154"/>
      <c r="D1076" s="1154"/>
      <c r="E1076" s="1154"/>
      <c r="F1076" s="1154"/>
      <c r="G1076" s="1154"/>
      <c r="H1076" s="1154"/>
      <c r="I1076" s="1154"/>
      <c r="J1076" s="1154"/>
      <c r="K1076" s="1154"/>
      <c r="L1076" s="1154"/>
      <c r="M1076" s="1154"/>
      <c r="N1076" s="1154"/>
      <c r="O1076" s="1154"/>
      <c r="P1076" s="1154"/>
      <c r="Q1076" s="1154"/>
      <c r="R1076" s="1154"/>
      <c r="S1076" s="1154"/>
      <c r="T1076" s="1154"/>
      <c r="U1076" s="1155"/>
      <c r="V1076" s="897"/>
      <c r="W1076" s="898"/>
      <c r="X1076" s="899"/>
      <c r="Y1076" s="1204"/>
      <c r="Z1076" s="1205"/>
      <c r="AA1076" s="1206"/>
      <c r="AB1076" s="1204"/>
      <c r="AC1076" s="1205"/>
      <c r="AD1076" s="1206"/>
      <c r="AE1076" s="1210"/>
      <c r="AF1076" s="1211"/>
      <c r="AG1076" s="1212"/>
      <c r="AH1076" s="518"/>
      <c r="AJ1076" s="595"/>
    </row>
    <row r="1077" spans="1:36" ht="16" hidden="1" customHeight="1" x14ac:dyDescent="0.45">
      <c r="A1077" s="518"/>
      <c r="B1077" s="1150"/>
      <c r="C1077" s="1151"/>
      <c r="D1077" s="1151"/>
      <c r="E1077" s="1151"/>
      <c r="F1077" s="1151"/>
      <c r="G1077" s="1151"/>
      <c r="H1077" s="1151"/>
      <c r="I1077" s="1151"/>
      <c r="J1077" s="1151"/>
      <c r="K1077" s="1151"/>
      <c r="L1077" s="1151"/>
      <c r="M1077" s="1151"/>
      <c r="N1077" s="1151"/>
      <c r="O1077" s="1151"/>
      <c r="P1077" s="1151"/>
      <c r="Q1077" s="1151"/>
      <c r="R1077" s="1151"/>
      <c r="S1077" s="1151"/>
      <c r="T1077" s="1151"/>
      <c r="U1077" s="1152"/>
      <c r="V1077" s="894"/>
      <c r="W1077" s="895"/>
      <c r="X1077" s="896"/>
      <c r="Y1077" s="1201"/>
      <c r="Z1077" s="1202"/>
      <c r="AA1077" s="1203"/>
      <c r="AB1077" s="1201"/>
      <c r="AC1077" s="1202"/>
      <c r="AD1077" s="1203"/>
      <c r="AE1077" s="1207" cm="1">
        <f t="array" ref="AE1077">wwDateDiff(CH_SHTA_PreviousProgramStart4,CH_SHTA_PreviousProgramEnd4)</f>
        <v>0</v>
      </c>
      <c r="AF1077" s="1208"/>
      <c r="AG1077" s="1209"/>
      <c r="AH1077" s="518"/>
      <c r="AJ1077" s="595"/>
    </row>
    <row r="1078" spans="1:36" hidden="1" x14ac:dyDescent="0.45">
      <c r="A1078" s="518"/>
      <c r="B1078" s="1153"/>
      <c r="C1078" s="1154"/>
      <c r="D1078" s="1154"/>
      <c r="E1078" s="1154"/>
      <c r="F1078" s="1154"/>
      <c r="G1078" s="1154"/>
      <c r="H1078" s="1154"/>
      <c r="I1078" s="1154"/>
      <c r="J1078" s="1154"/>
      <c r="K1078" s="1154"/>
      <c r="L1078" s="1154"/>
      <c r="M1078" s="1154"/>
      <c r="N1078" s="1154"/>
      <c r="O1078" s="1154"/>
      <c r="P1078" s="1154"/>
      <c r="Q1078" s="1154"/>
      <c r="R1078" s="1154"/>
      <c r="S1078" s="1154"/>
      <c r="T1078" s="1154"/>
      <c r="U1078" s="1155"/>
      <c r="V1078" s="897"/>
      <c r="W1078" s="898"/>
      <c r="X1078" s="899"/>
      <c r="Y1078" s="1204"/>
      <c r="Z1078" s="1205"/>
      <c r="AA1078" s="1206"/>
      <c r="AB1078" s="1204"/>
      <c r="AC1078" s="1205"/>
      <c r="AD1078" s="1206"/>
      <c r="AE1078" s="1210"/>
      <c r="AF1078" s="1211"/>
      <c r="AG1078" s="1212"/>
      <c r="AH1078" s="518"/>
      <c r="AJ1078" s="595"/>
    </row>
    <row r="1079" spans="1:36" ht="16" hidden="1" customHeight="1" x14ac:dyDescent="0.45">
      <c r="A1079" s="518"/>
      <c r="B1079" s="1150"/>
      <c r="C1079" s="1151"/>
      <c r="D1079" s="1151"/>
      <c r="E1079" s="1151"/>
      <c r="F1079" s="1151"/>
      <c r="G1079" s="1151"/>
      <c r="H1079" s="1151"/>
      <c r="I1079" s="1151"/>
      <c r="J1079" s="1151"/>
      <c r="K1079" s="1151"/>
      <c r="L1079" s="1151"/>
      <c r="M1079" s="1151"/>
      <c r="N1079" s="1151"/>
      <c r="O1079" s="1151"/>
      <c r="P1079" s="1151"/>
      <c r="Q1079" s="1151"/>
      <c r="R1079" s="1151"/>
      <c r="S1079" s="1151"/>
      <c r="T1079" s="1151"/>
      <c r="U1079" s="1152"/>
      <c r="V1079" s="894"/>
      <c r="W1079" s="895"/>
      <c r="X1079" s="896"/>
      <c r="Y1079" s="1201"/>
      <c r="Z1079" s="1202"/>
      <c r="AA1079" s="1203"/>
      <c r="AB1079" s="1201"/>
      <c r="AC1079" s="1202"/>
      <c r="AD1079" s="1203"/>
      <c r="AE1079" s="1207" cm="1">
        <f t="array" ref="AE1079">wwDateDiff(CH_SHTA_PreviousProgramStart5,CH_SHTA_PreviousProgramEnd5)</f>
        <v>0</v>
      </c>
      <c r="AF1079" s="1208"/>
      <c r="AG1079" s="1209"/>
      <c r="AH1079" s="518"/>
      <c r="AJ1079" s="595"/>
    </row>
    <row r="1080" spans="1:36" hidden="1" x14ac:dyDescent="0.45">
      <c r="A1080" s="518"/>
      <c r="B1080" s="1153"/>
      <c r="C1080" s="1154"/>
      <c r="D1080" s="1154"/>
      <c r="E1080" s="1154"/>
      <c r="F1080" s="1154"/>
      <c r="G1080" s="1154"/>
      <c r="H1080" s="1154"/>
      <c r="I1080" s="1154"/>
      <c r="J1080" s="1154"/>
      <c r="K1080" s="1154"/>
      <c r="L1080" s="1154"/>
      <c r="M1080" s="1154"/>
      <c r="N1080" s="1154"/>
      <c r="O1080" s="1154"/>
      <c r="P1080" s="1154"/>
      <c r="Q1080" s="1154"/>
      <c r="R1080" s="1154"/>
      <c r="S1080" s="1154"/>
      <c r="T1080" s="1154"/>
      <c r="U1080" s="1155"/>
      <c r="V1080" s="897"/>
      <c r="W1080" s="898"/>
      <c r="X1080" s="899"/>
      <c r="Y1080" s="1204"/>
      <c r="Z1080" s="1205"/>
      <c r="AA1080" s="1206"/>
      <c r="AB1080" s="1204"/>
      <c r="AC1080" s="1205"/>
      <c r="AD1080" s="1206"/>
      <c r="AE1080" s="1210"/>
      <c r="AF1080" s="1211"/>
      <c r="AG1080" s="1212"/>
      <c r="AH1080" s="518"/>
      <c r="AJ1080" s="595"/>
    </row>
    <row r="1081" spans="1:36" hidden="1" x14ac:dyDescent="0.45">
      <c r="A1081" s="518"/>
      <c r="B1081" s="518"/>
      <c r="C1081" s="518"/>
      <c r="D1081" s="518"/>
      <c r="E1081" s="518"/>
      <c r="F1081" s="518"/>
      <c r="G1081" s="518"/>
      <c r="H1081" s="518"/>
      <c r="I1081" s="518"/>
      <c r="J1081" s="518"/>
      <c r="K1081" s="518"/>
      <c r="L1081" s="518"/>
      <c r="M1081" s="518"/>
      <c r="N1081" s="518"/>
      <c r="O1081" s="518"/>
      <c r="P1081" s="518"/>
      <c r="Q1081" s="518"/>
      <c r="R1081" s="518"/>
      <c r="S1081" s="518"/>
      <c r="T1081" s="518"/>
      <c r="U1081" s="518"/>
      <c r="V1081" s="518"/>
      <c r="W1081" s="518"/>
      <c r="X1081" s="518"/>
      <c r="Y1081" s="518"/>
      <c r="Z1081" s="518"/>
      <c r="AA1081" s="518"/>
      <c r="AB1081" s="518"/>
      <c r="AC1081" s="518"/>
      <c r="AD1081" s="518"/>
      <c r="AE1081" s="518"/>
      <c r="AF1081" s="518"/>
      <c r="AG1081" s="518"/>
      <c r="AH1081" s="518"/>
      <c r="AJ1081" s="595"/>
    </row>
    <row r="1082" spans="1:36" ht="29.5" hidden="1" customHeight="1" x14ac:dyDescent="0.45">
      <c r="A1082" s="518"/>
      <c r="B1082" s="1121" t="s">
        <v>210</v>
      </c>
      <c r="C1082" s="1122"/>
      <c r="D1082" s="1122"/>
      <c r="E1082" s="1122"/>
      <c r="F1082" s="1122"/>
      <c r="G1082" s="1122"/>
      <c r="H1082" s="1122"/>
      <c r="I1082" s="1122"/>
      <c r="J1082" s="1122"/>
      <c r="K1082" s="1122"/>
      <c r="L1082" s="1122"/>
      <c r="M1082" s="1122"/>
      <c r="N1082" s="1122"/>
      <c r="O1082" s="1122"/>
      <c r="P1082" s="1122"/>
      <c r="Q1082" s="1122"/>
      <c r="R1082" s="1122"/>
      <c r="S1082" s="1122"/>
      <c r="T1082" s="1122"/>
      <c r="U1082" s="1122"/>
      <c r="V1082" s="1122"/>
      <c r="W1082" s="1122"/>
      <c r="X1082" s="1122"/>
      <c r="Y1082" s="1122"/>
      <c r="Z1082" s="1122"/>
      <c r="AA1082" s="1122"/>
      <c r="AB1082" s="1122"/>
      <c r="AC1082" s="1122"/>
      <c r="AD1082" s="1122"/>
      <c r="AE1082" s="528"/>
      <c r="AF1082" s="1190"/>
      <c r="AG1082" s="1191"/>
      <c r="AH1082" s="518"/>
      <c r="AJ1082" s="595"/>
    </row>
    <row r="1083" spans="1:36" ht="40" hidden="1" customHeight="1" x14ac:dyDescent="0.45">
      <c r="A1083" s="518"/>
      <c r="B1083" s="1124" t="s">
        <v>211</v>
      </c>
      <c r="C1083" s="1125"/>
      <c r="D1083" s="1125"/>
      <c r="E1083" s="1125"/>
      <c r="F1083" s="1125"/>
      <c r="G1083" s="1125"/>
      <c r="H1083" s="1125"/>
      <c r="I1083" s="1125"/>
      <c r="J1083" s="1125"/>
      <c r="K1083" s="1125"/>
      <c r="L1083" s="1125"/>
      <c r="M1083" s="1125"/>
      <c r="N1083" s="1125"/>
      <c r="O1083" s="1125"/>
      <c r="P1083" s="1125"/>
      <c r="Q1083" s="1125"/>
      <c r="R1083" s="1125"/>
      <c r="S1083" s="1125"/>
      <c r="T1083" s="1125"/>
      <c r="U1083" s="1125"/>
      <c r="V1083" s="1125"/>
      <c r="W1083" s="1125"/>
      <c r="X1083" s="1125"/>
      <c r="Y1083" s="1125"/>
      <c r="Z1083" s="1125"/>
      <c r="AA1083" s="1125"/>
      <c r="AB1083" s="1125"/>
      <c r="AC1083" s="1125"/>
      <c r="AD1083" s="1125"/>
      <c r="AE1083" s="573"/>
      <c r="AF1083" s="1192"/>
      <c r="AG1083" s="1193"/>
      <c r="AH1083" s="518"/>
      <c r="AJ1083" s="595"/>
    </row>
    <row r="1084" spans="1:36" hidden="1" x14ac:dyDescent="0.45">
      <c r="A1084" s="518"/>
      <c r="B1084" s="518"/>
      <c r="C1084" s="518"/>
      <c r="D1084" s="518"/>
      <c r="E1084" s="518"/>
      <c r="F1084" s="518"/>
      <c r="G1084" s="518"/>
      <c r="H1084" s="518"/>
      <c r="I1084" s="518"/>
      <c r="J1084" s="518"/>
      <c r="K1084" s="518"/>
      <c r="L1084" s="518"/>
      <c r="M1084" s="518"/>
      <c r="N1084" s="518"/>
      <c r="O1084" s="518"/>
      <c r="P1084" s="518"/>
      <c r="Q1084" s="518"/>
      <c r="R1084" s="518"/>
      <c r="S1084" s="518"/>
      <c r="T1084" s="518"/>
      <c r="U1084" s="518"/>
      <c r="V1084" s="518"/>
      <c r="W1084" s="518"/>
      <c r="X1084" s="518"/>
      <c r="Y1084" s="518"/>
      <c r="Z1084" s="518"/>
      <c r="AA1084" s="518"/>
      <c r="AB1084" s="518"/>
      <c r="AC1084" s="518"/>
      <c r="AD1084" s="518"/>
      <c r="AE1084" s="518"/>
      <c r="AF1084" s="518"/>
      <c r="AG1084" s="518"/>
      <c r="AH1084" s="518"/>
      <c r="AJ1084" s="595"/>
    </row>
    <row r="1085" spans="1:36" hidden="1" x14ac:dyDescent="0.45">
      <c r="A1085" s="518"/>
      <c r="B1085" s="518"/>
      <c r="C1085" s="518"/>
      <c r="D1085" s="518"/>
      <c r="E1085" s="518"/>
      <c r="F1085" s="518"/>
      <c r="G1085" s="518"/>
      <c r="H1085" s="518"/>
      <c r="I1085" s="518"/>
      <c r="J1085" s="518"/>
      <c r="K1085" s="518"/>
      <c r="L1085" s="518"/>
      <c r="M1085" s="518"/>
      <c r="N1085" s="518"/>
      <c r="O1085" s="518"/>
      <c r="P1085" s="518"/>
      <c r="Q1085" s="518"/>
      <c r="R1085" s="518"/>
      <c r="S1085" s="518"/>
      <c r="T1085" s="518"/>
      <c r="U1085" s="518"/>
      <c r="V1085" s="518"/>
      <c r="W1085" s="518"/>
      <c r="X1085" s="518"/>
      <c r="Y1085" s="518"/>
      <c r="Z1085" s="518"/>
      <c r="AA1085" s="518"/>
      <c r="AB1085" s="518"/>
      <c r="AC1085" s="518"/>
      <c r="AD1085" s="518"/>
      <c r="AE1085" s="518"/>
      <c r="AF1085" s="518"/>
      <c r="AG1085" s="518"/>
      <c r="AH1085" s="518"/>
      <c r="AJ1085" s="595"/>
    </row>
    <row r="1086" spans="1:36" hidden="1" x14ac:dyDescent="0.45">
      <c r="A1086" s="518"/>
      <c r="B1086" s="907" t="str">
        <f>B$1063</f>
        <v>CalHome Technical Assistance for Self-Help Housing Application</v>
      </c>
      <c r="C1086" s="907"/>
      <c r="D1086" s="907"/>
      <c r="E1086" s="907"/>
      <c r="F1086" s="907"/>
      <c r="G1086" s="907"/>
      <c r="H1086" s="907"/>
      <c r="I1086" s="907"/>
      <c r="J1086" s="907"/>
      <c r="K1086" s="907"/>
      <c r="L1086" s="907"/>
      <c r="M1086" s="907"/>
      <c r="N1086" s="907"/>
      <c r="O1086" s="907"/>
      <c r="P1086" s="907"/>
      <c r="Q1086" s="907"/>
      <c r="R1086" s="907"/>
      <c r="S1086" s="907"/>
      <c r="T1086" s="907"/>
      <c r="U1086" s="907"/>
      <c r="V1086" s="907"/>
      <c r="W1086" s="907"/>
      <c r="X1086" s="907"/>
      <c r="Y1086" s="907"/>
      <c r="Z1086" s="907"/>
      <c r="AA1086" s="907"/>
      <c r="AB1086" s="907"/>
      <c r="AC1086" s="907"/>
      <c r="AD1086" s="907"/>
      <c r="AE1086" s="907"/>
      <c r="AF1086" s="907"/>
      <c r="AG1086" s="907"/>
      <c r="AH1086" s="518"/>
      <c r="AJ1086" s="595"/>
    </row>
    <row r="1087" spans="1:36" hidden="1" x14ac:dyDescent="0.45">
      <c r="A1087" s="518"/>
      <c r="B1087" s="518"/>
      <c r="C1087" s="518"/>
      <c r="D1087" s="518"/>
      <c r="E1087" s="518"/>
      <c r="F1087" s="518"/>
      <c r="G1087" s="518"/>
      <c r="H1087" s="518"/>
      <c r="I1087" s="518"/>
      <c r="J1087" s="518"/>
      <c r="K1087" s="518"/>
      <c r="L1087" s="518"/>
      <c r="M1087" s="518"/>
      <c r="N1087" s="518"/>
      <c r="O1087" s="518"/>
      <c r="P1087" s="518"/>
      <c r="Q1087" s="518"/>
      <c r="R1087" s="518"/>
      <c r="S1087" s="518"/>
      <c r="T1087" s="518"/>
      <c r="U1087" s="518"/>
      <c r="V1087" s="518"/>
      <c r="W1087" s="518"/>
      <c r="X1087" s="518"/>
      <c r="Y1087" s="518"/>
      <c r="Z1087" s="518"/>
      <c r="AA1087" s="518"/>
      <c r="AB1087" s="518"/>
      <c r="AC1087" s="518"/>
      <c r="AD1087" s="518"/>
      <c r="AE1087" s="518"/>
      <c r="AF1087" s="518"/>
      <c r="AG1087" s="518"/>
      <c r="AH1087" s="518"/>
      <c r="AJ1087" s="595"/>
    </row>
    <row r="1088" spans="1:36" hidden="1" x14ac:dyDescent="0.45">
      <c r="A1088" s="518"/>
      <c r="B1088" s="1194" t="s">
        <v>100</v>
      </c>
      <c r="C1088" s="1194"/>
      <c r="D1088" s="1194"/>
      <c r="E1088" s="1194"/>
      <c r="F1088" s="1194"/>
      <c r="G1088" s="1194"/>
      <c r="H1088" s="1194"/>
      <c r="I1088" s="1194"/>
      <c r="J1088" s="1194"/>
      <c r="K1088" s="1194"/>
      <c r="L1088" s="1194"/>
      <c r="M1088" s="1194"/>
      <c r="N1088" s="1194"/>
      <c r="O1088" s="1194"/>
      <c r="P1088" s="1194"/>
      <c r="Q1088" s="1194"/>
      <c r="R1088" s="1194"/>
      <c r="S1088" s="1194"/>
      <c r="T1088" s="1194"/>
      <c r="U1088" s="1194"/>
      <c r="V1088" s="1194"/>
      <c r="W1088" s="1194"/>
      <c r="X1088" s="1194"/>
      <c r="Y1088" s="1194"/>
      <c r="Z1088" s="1194"/>
      <c r="AA1088" s="1194"/>
      <c r="AB1088" s="1194"/>
      <c r="AC1088" s="1194"/>
      <c r="AD1088" s="1194"/>
      <c r="AE1088" s="1194"/>
      <c r="AF1088" s="1194"/>
      <c r="AG1088" s="1194"/>
      <c r="AH1088" s="518"/>
      <c r="AJ1088" s="595"/>
    </row>
    <row r="1089" spans="1:36" ht="304" hidden="1" customHeight="1" x14ac:dyDescent="0.45">
      <c r="A1089" s="518"/>
      <c r="B1089" s="1195"/>
      <c r="C1089" s="1196"/>
      <c r="D1089" s="1196"/>
      <c r="E1089" s="1196"/>
      <c r="F1089" s="1196"/>
      <c r="G1089" s="1196"/>
      <c r="H1089" s="1196"/>
      <c r="I1089" s="1196"/>
      <c r="J1089" s="1196"/>
      <c r="K1089" s="1196"/>
      <c r="L1089" s="1196"/>
      <c r="M1089" s="1196"/>
      <c r="N1089" s="1196"/>
      <c r="O1089" s="1196"/>
      <c r="P1089" s="1196"/>
      <c r="Q1089" s="1196"/>
      <c r="R1089" s="1196"/>
      <c r="S1089" s="1196"/>
      <c r="T1089" s="1196"/>
      <c r="U1089" s="1196"/>
      <c r="V1089" s="1196"/>
      <c r="W1089" s="1196"/>
      <c r="X1089" s="1196"/>
      <c r="Y1089" s="1196"/>
      <c r="Z1089" s="1196"/>
      <c r="AA1089" s="1196"/>
      <c r="AB1089" s="1196"/>
      <c r="AC1089" s="1196"/>
      <c r="AD1089" s="1196"/>
      <c r="AE1089" s="1196"/>
      <c r="AF1089" s="1196"/>
      <c r="AG1089" s="1197"/>
      <c r="AH1089" s="518"/>
      <c r="AJ1089" s="595"/>
    </row>
    <row r="1090" spans="1:36" ht="304" hidden="1" customHeight="1" x14ac:dyDescent="0.45">
      <c r="A1090" s="518"/>
      <c r="B1090" s="1198"/>
      <c r="C1090" s="1199"/>
      <c r="D1090" s="1199"/>
      <c r="E1090" s="1199"/>
      <c r="F1090" s="1199"/>
      <c r="G1090" s="1199"/>
      <c r="H1090" s="1199"/>
      <c r="I1090" s="1199"/>
      <c r="J1090" s="1199"/>
      <c r="K1090" s="1199"/>
      <c r="L1090" s="1199"/>
      <c r="M1090" s="1199"/>
      <c r="N1090" s="1199"/>
      <c r="O1090" s="1199"/>
      <c r="P1090" s="1199"/>
      <c r="Q1090" s="1199"/>
      <c r="R1090" s="1199"/>
      <c r="S1090" s="1199"/>
      <c r="T1090" s="1199"/>
      <c r="U1090" s="1199"/>
      <c r="V1090" s="1199"/>
      <c r="W1090" s="1199"/>
      <c r="X1090" s="1199"/>
      <c r="Y1090" s="1199"/>
      <c r="Z1090" s="1199"/>
      <c r="AA1090" s="1199"/>
      <c r="AB1090" s="1199"/>
      <c r="AC1090" s="1199"/>
      <c r="AD1090" s="1199"/>
      <c r="AE1090" s="1199"/>
      <c r="AF1090" s="1199"/>
      <c r="AG1090" s="1200"/>
      <c r="AH1090" s="518"/>
      <c r="AJ1090" s="595"/>
    </row>
    <row r="1091" spans="1:36" hidden="1" x14ac:dyDescent="0.45">
      <c r="A1091" s="518"/>
      <c r="B1091" s="518"/>
      <c r="C1091" s="518"/>
      <c r="D1091" s="518"/>
      <c r="E1091" s="518"/>
      <c r="F1091" s="518"/>
      <c r="G1091" s="518"/>
      <c r="H1091" s="518"/>
      <c r="I1091" s="518"/>
      <c r="J1091" s="518"/>
      <c r="K1091" s="518"/>
      <c r="L1091" s="518"/>
      <c r="M1091" s="518"/>
      <c r="N1091" s="518"/>
      <c r="O1091" s="518"/>
      <c r="P1091" s="518"/>
      <c r="Q1091" s="518"/>
      <c r="R1091" s="518"/>
      <c r="S1091" s="518"/>
      <c r="T1091" s="518"/>
      <c r="U1091" s="518"/>
      <c r="V1091" s="518"/>
      <c r="W1091" s="518"/>
      <c r="X1091" s="518"/>
      <c r="Y1091" s="518"/>
      <c r="Z1091" s="518"/>
      <c r="AA1091" s="518"/>
      <c r="AB1091" s="518"/>
      <c r="AC1091" s="518"/>
      <c r="AD1091" s="518"/>
      <c r="AE1091" s="518"/>
      <c r="AF1091" s="518"/>
      <c r="AG1091" s="518"/>
      <c r="AH1091" s="518"/>
      <c r="AJ1091" s="595"/>
    </row>
    <row r="1092" spans="1:36" hidden="1" x14ac:dyDescent="0.45">
      <c r="A1092" s="518"/>
      <c r="B1092" s="518"/>
      <c r="C1092" s="518"/>
      <c r="D1092" s="518"/>
      <c r="E1092" s="518"/>
      <c r="F1092" s="518"/>
      <c r="G1092" s="518"/>
      <c r="H1092" s="518"/>
      <c r="I1092" s="518"/>
      <c r="J1092" s="518"/>
      <c r="K1092" s="518"/>
      <c r="L1092" s="518"/>
      <c r="M1092" s="518"/>
      <c r="N1092" s="518"/>
      <c r="O1092" s="518"/>
      <c r="P1092" s="518"/>
      <c r="Q1092" s="518"/>
      <c r="R1092" s="518"/>
      <c r="S1092" s="518"/>
      <c r="T1092" s="518"/>
      <c r="U1092" s="518"/>
      <c r="V1092" s="518"/>
      <c r="W1092" s="518"/>
      <c r="X1092" s="518"/>
      <c r="Y1092" s="518"/>
      <c r="Z1092" s="518"/>
      <c r="AA1092" s="518"/>
      <c r="AB1092" s="518"/>
      <c r="AC1092" s="518"/>
      <c r="AD1092" s="518"/>
      <c r="AE1092" s="518"/>
      <c r="AF1092" s="518"/>
      <c r="AG1092" s="518"/>
      <c r="AH1092" s="518"/>
      <c r="AJ1092" s="595"/>
    </row>
    <row r="1093" spans="1:36" hidden="1" x14ac:dyDescent="0.45">
      <c r="A1093" s="518"/>
      <c r="B1093" s="907" t="str">
        <f>B$1063</f>
        <v>CalHome Technical Assistance for Self-Help Housing Application</v>
      </c>
      <c r="C1093" s="907"/>
      <c r="D1093" s="907"/>
      <c r="E1093" s="907"/>
      <c r="F1093" s="907"/>
      <c r="G1093" s="907"/>
      <c r="H1093" s="907"/>
      <c r="I1093" s="907"/>
      <c r="J1093" s="907"/>
      <c r="K1093" s="907"/>
      <c r="L1093" s="907"/>
      <c r="M1093" s="907"/>
      <c r="N1093" s="907"/>
      <c r="O1093" s="907"/>
      <c r="P1093" s="907"/>
      <c r="Q1093" s="907"/>
      <c r="R1093" s="907"/>
      <c r="S1093" s="907"/>
      <c r="T1093" s="907"/>
      <c r="U1093" s="907"/>
      <c r="V1093" s="907"/>
      <c r="W1093" s="907"/>
      <c r="X1093" s="907"/>
      <c r="Y1093" s="907"/>
      <c r="Z1093" s="907"/>
      <c r="AA1093" s="907"/>
      <c r="AB1093" s="907"/>
      <c r="AC1093" s="907"/>
      <c r="AD1093" s="907"/>
      <c r="AE1093" s="907"/>
      <c r="AF1093" s="907"/>
      <c r="AG1093" s="907"/>
      <c r="AH1093" s="518"/>
      <c r="AJ1093" s="595"/>
    </row>
    <row r="1094" spans="1:36" hidden="1" x14ac:dyDescent="0.45">
      <c r="A1094" s="518"/>
      <c r="B1094" s="518"/>
      <c r="C1094" s="518"/>
      <c r="D1094" s="518"/>
      <c r="E1094" s="518"/>
      <c r="F1094" s="518"/>
      <c r="G1094" s="518"/>
      <c r="H1094" s="518"/>
      <c r="I1094" s="518"/>
      <c r="J1094" s="518"/>
      <c r="K1094" s="518"/>
      <c r="L1094" s="518"/>
      <c r="M1094" s="518"/>
      <c r="N1094" s="518"/>
      <c r="O1094" s="518"/>
      <c r="P1094" s="518"/>
      <c r="Q1094" s="518"/>
      <c r="R1094" s="518"/>
      <c r="S1094" s="518"/>
      <c r="T1094" s="518"/>
      <c r="U1094" s="518"/>
      <c r="V1094" s="518"/>
      <c r="W1094" s="518"/>
      <c r="X1094" s="518"/>
      <c r="Y1094" s="518"/>
      <c r="Z1094" s="518"/>
      <c r="AA1094" s="518"/>
      <c r="AB1094" s="518"/>
      <c r="AC1094" s="518"/>
      <c r="AD1094" s="518"/>
      <c r="AE1094" s="518"/>
      <c r="AF1094" s="518"/>
      <c r="AG1094" s="518"/>
      <c r="AH1094" s="518"/>
      <c r="AJ1094" s="595"/>
    </row>
    <row r="1095" spans="1:36" hidden="1" x14ac:dyDescent="0.45">
      <c r="A1095" s="518"/>
      <c r="B1095" s="1194" t="s">
        <v>101</v>
      </c>
      <c r="C1095" s="1194"/>
      <c r="D1095" s="1194"/>
      <c r="E1095" s="1194"/>
      <c r="F1095" s="1194"/>
      <c r="G1095" s="1194"/>
      <c r="H1095" s="1194"/>
      <c r="I1095" s="1194"/>
      <c r="J1095" s="1194"/>
      <c r="K1095" s="1194"/>
      <c r="L1095" s="1194"/>
      <c r="M1095" s="1194"/>
      <c r="N1095" s="1194"/>
      <c r="O1095" s="1194"/>
      <c r="P1095" s="1194"/>
      <c r="Q1095" s="1194"/>
      <c r="R1095" s="1194"/>
      <c r="S1095" s="1194"/>
      <c r="T1095" s="1194"/>
      <c r="U1095" s="1194"/>
      <c r="V1095" s="1194"/>
      <c r="W1095" s="1194"/>
      <c r="X1095" s="1194"/>
      <c r="Y1095" s="1194"/>
      <c r="Z1095" s="1194"/>
      <c r="AA1095" s="1194"/>
      <c r="AB1095" s="1194"/>
      <c r="AC1095" s="1194"/>
      <c r="AD1095" s="1194"/>
      <c r="AE1095" s="1194"/>
      <c r="AF1095" s="1194"/>
      <c r="AG1095" s="1194"/>
      <c r="AH1095" s="518"/>
      <c r="AJ1095" s="595"/>
    </row>
    <row r="1096" spans="1:36" ht="304" hidden="1" customHeight="1" x14ac:dyDescent="0.45">
      <c r="A1096" s="518"/>
      <c r="B1096" s="1195"/>
      <c r="C1096" s="1196"/>
      <c r="D1096" s="1196"/>
      <c r="E1096" s="1196"/>
      <c r="F1096" s="1196"/>
      <c r="G1096" s="1196"/>
      <c r="H1096" s="1196"/>
      <c r="I1096" s="1196"/>
      <c r="J1096" s="1196"/>
      <c r="K1096" s="1196"/>
      <c r="L1096" s="1196"/>
      <c r="M1096" s="1196"/>
      <c r="N1096" s="1196"/>
      <c r="O1096" s="1196"/>
      <c r="P1096" s="1196"/>
      <c r="Q1096" s="1196"/>
      <c r="R1096" s="1196"/>
      <c r="S1096" s="1196"/>
      <c r="T1096" s="1196"/>
      <c r="U1096" s="1196"/>
      <c r="V1096" s="1196"/>
      <c r="W1096" s="1196"/>
      <c r="X1096" s="1196"/>
      <c r="Y1096" s="1196"/>
      <c r="Z1096" s="1196"/>
      <c r="AA1096" s="1196"/>
      <c r="AB1096" s="1196"/>
      <c r="AC1096" s="1196"/>
      <c r="AD1096" s="1196"/>
      <c r="AE1096" s="1196"/>
      <c r="AF1096" s="1196"/>
      <c r="AG1096" s="1197"/>
      <c r="AH1096" s="518"/>
      <c r="AJ1096" s="595"/>
    </row>
    <row r="1097" spans="1:36" ht="304" hidden="1" customHeight="1" x14ac:dyDescent="0.45">
      <c r="A1097" s="518"/>
      <c r="B1097" s="1198"/>
      <c r="C1097" s="1199"/>
      <c r="D1097" s="1199"/>
      <c r="E1097" s="1199"/>
      <c r="F1097" s="1199"/>
      <c r="G1097" s="1199"/>
      <c r="H1097" s="1199"/>
      <c r="I1097" s="1199"/>
      <c r="J1097" s="1199"/>
      <c r="K1097" s="1199"/>
      <c r="L1097" s="1199"/>
      <c r="M1097" s="1199"/>
      <c r="N1097" s="1199"/>
      <c r="O1097" s="1199"/>
      <c r="P1097" s="1199"/>
      <c r="Q1097" s="1199"/>
      <c r="R1097" s="1199"/>
      <c r="S1097" s="1199"/>
      <c r="T1097" s="1199"/>
      <c r="U1097" s="1199"/>
      <c r="V1097" s="1199"/>
      <c r="W1097" s="1199"/>
      <c r="X1097" s="1199"/>
      <c r="Y1097" s="1199"/>
      <c r="Z1097" s="1199"/>
      <c r="AA1097" s="1199"/>
      <c r="AB1097" s="1199"/>
      <c r="AC1097" s="1199"/>
      <c r="AD1097" s="1199"/>
      <c r="AE1097" s="1199"/>
      <c r="AF1097" s="1199"/>
      <c r="AG1097" s="1200"/>
      <c r="AH1097" s="518"/>
      <c r="AJ1097" s="595"/>
    </row>
    <row r="1098" spans="1:36" hidden="1" x14ac:dyDescent="0.45">
      <c r="A1098" s="518"/>
      <c r="B1098" s="517"/>
      <c r="C1098" s="517"/>
      <c r="D1098" s="517"/>
      <c r="E1098" s="517"/>
      <c r="F1098" s="517"/>
      <c r="G1098" s="517"/>
      <c r="H1098" s="517"/>
      <c r="I1098" s="517"/>
      <c r="J1098" s="517"/>
      <c r="K1098" s="517"/>
      <c r="L1098" s="517"/>
      <c r="M1098" s="517"/>
      <c r="N1098" s="517"/>
      <c r="O1098" s="517"/>
      <c r="P1098" s="517"/>
      <c r="Q1098" s="517"/>
      <c r="R1098" s="517"/>
      <c r="S1098" s="517"/>
      <c r="T1098" s="517"/>
      <c r="U1098" s="517"/>
      <c r="V1098" s="517"/>
      <c r="W1098" s="517"/>
      <c r="X1098" s="517"/>
      <c r="Y1098" s="517"/>
      <c r="Z1098" s="517"/>
      <c r="AA1098" s="517"/>
      <c r="AB1098" s="517"/>
      <c r="AC1098" s="517"/>
      <c r="AD1098" s="517"/>
      <c r="AE1098" s="517"/>
      <c r="AF1098" s="517"/>
      <c r="AG1098" s="517"/>
      <c r="AH1098" s="518"/>
      <c r="AJ1098" s="595"/>
    </row>
    <row r="1099" spans="1:36" hidden="1" x14ac:dyDescent="0.45">
      <c r="A1099" s="518"/>
      <c r="B1099" s="518"/>
      <c r="C1099" s="518"/>
      <c r="D1099" s="518"/>
      <c r="E1099" s="518"/>
      <c r="F1099" s="518"/>
      <c r="G1099" s="518"/>
      <c r="H1099" s="518"/>
      <c r="I1099" s="518"/>
      <c r="J1099" s="518"/>
      <c r="K1099" s="518"/>
      <c r="L1099" s="518"/>
      <c r="M1099" s="518"/>
      <c r="N1099" s="518"/>
      <c r="O1099" s="518"/>
      <c r="P1099" s="518"/>
      <c r="Q1099" s="518"/>
      <c r="R1099" s="518"/>
      <c r="S1099" s="518"/>
      <c r="T1099" s="518"/>
      <c r="U1099" s="518"/>
      <c r="V1099" s="518"/>
      <c r="W1099" s="518"/>
      <c r="X1099" s="518"/>
      <c r="Y1099" s="518"/>
      <c r="Z1099" s="518"/>
      <c r="AA1099" s="518"/>
      <c r="AB1099" s="518"/>
      <c r="AC1099" s="518"/>
      <c r="AD1099" s="518"/>
      <c r="AE1099" s="518"/>
      <c r="AF1099" s="518"/>
      <c r="AG1099" s="518"/>
      <c r="AH1099" s="518"/>
      <c r="AJ1099" s="595"/>
    </row>
    <row r="1100" spans="1:36" hidden="1" x14ac:dyDescent="0.45">
      <c r="A1100" s="518"/>
      <c r="B1100" s="923" t="str">
        <f>B1093</f>
        <v>CalHome Technical Assistance for Self-Help Housing Application</v>
      </c>
      <c r="C1100" s="923"/>
      <c r="D1100" s="923"/>
      <c r="E1100" s="923"/>
      <c r="F1100" s="923"/>
      <c r="G1100" s="923"/>
      <c r="H1100" s="923"/>
      <c r="I1100" s="923"/>
      <c r="J1100" s="923"/>
      <c r="K1100" s="923"/>
      <c r="L1100" s="923"/>
      <c r="M1100" s="923"/>
      <c r="N1100" s="923"/>
      <c r="O1100" s="923"/>
      <c r="P1100" s="923"/>
      <c r="Q1100" s="923"/>
      <c r="R1100" s="923"/>
      <c r="S1100" s="923"/>
      <c r="T1100" s="923"/>
      <c r="U1100" s="923"/>
      <c r="V1100" s="923"/>
      <c r="W1100" s="923"/>
      <c r="X1100" s="923"/>
      <c r="Y1100" s="923"/>
      <c r="Z1100" s="923"/>
      <c r="AA1100" s="923"/>
      <c r="AB1100" s="923"/>
      <c r="AC1100" s="923"/>
      <c r="AD1100" s="923"/>
      <c r="AE1100" s="923"/>
      <c r="AF1100" s="923"/>
      <c r="AG1100" s="923"/>
      <c r="AH1100" s="518"/>
      <c r="AJ1100" s="595"/>
    </row>
    <row r="1101" spans="1:36" hidden="1" x14ac:dyDescent="0.45">
      <c r="A1101" s="518"/>
      <c r="B1101" s="517"/>
      <c r="C1101" s="517"/>
      <c r="D1101" s="517"/>
      <c r="E1101" s="517"/>
      <c r="F1101" s="517"/>
      <c r="G1101" s="517"/>
      <c r="H1101" s="517"/>
      <c r="I1101" s="517"/>
      <c r="J1101" s="517"/>
      <c r="K1101" s="517"/>
      <c r="L1101" s="517"/>
      <c r="M1101" s="517"/>
      <c r="N1101" s="517"/>
      <c r="O1101" s="517"/>
      <c r="P1101" s="517"/>
      <c r="Q1101" s="517"/>
      <c r="R1101" s="517"/>
      <c r="S1101" s="517"/>
      <c r="T1101" s="517"/>
      <c r="U1101" s="517"/>
      <c r="V1101" s="517"/>
      <c r="W1101" s="517"/>
      <c r="X1101" s="517"/>
      <c r="Y1101" s="517"/>
      <c r="Z1101" s="517"/>
      <c r="AA1101" s="517"/>
      <c r="AB1101" s="517"/>
      <c r="AC1101" s="517"/>
      <c r="AD1101" s="517"/>
      <c r="AE1101" s="517"/>
      <c r="AF1101" s="517"/>
      <c r="AG1101" s="517"/>
      <c r="AH1101" s="518"/>
      <c r="AJ1101" s="595"/>
    </row>
    <row r="1102" spans="1:36" hidden="1" x14ac:dyDescent="0.45">
      <c r="A1102" s="518"/>
      <c r="B1102" s="579" t="s">
        <v>1785</v>
      </c>
      <c r="C1102" s="517"/>
      <c r="D1102" s="517"/>
      <c r="E1102" s="517"/>
      <c r="F1102" s="517"/>
      <c r="G1102" s="517"/>
      <c r="H1102" s="517"/>
      <c r="I1102" s="517"/>
      <c r="J1102" s="517"/>
      <c r="K1102" s="517"/>
      <c r="L1102" s="517"/>
      <c r="M1102" s="517"/>
      <c r="N1102" s="517"/>
      <c r="O1102" s="517"/>
      <c r="P1102" s="517"/>
      <c r="Q1102" s="517"/>
      <c r="R1102" s="517"/>
      <c r="S1102" s="517"/>
      <c r="T1102" s="517"/>
      <c r="U1102" s="517"/>
      <c r="V1102" s="517"/>
      <c r="W1102" s="517"/>
      <c r="X1102" s="517"/>
      <c r="Y1102" s="517"/>
      <c r="Z1102" s="517"/>
      <c r="AA1102" s="517"/>
      <c r="AB1102" s="517"/>
      <c r="AC1102" s="517"/>
      <c r="AD1102" s="517"/>
      <c r="AE1102" s="517"/>
      <c r="AF1102" s="517"/>
      <c r="AG1102" s="517"/>
      <c r="AH1102" s="518"/>
      <c r="AJ1102" s="595"/>
    </row>
    <row r="1103" spans="1:36" hidden="1" x14ac:dyDescent="0.45">
      <c r="A1103" s="518"/>
      <c r="B1103" s="517"/>
      <c r="C1103" s="517"/>
      <c r="D1103" s="517"/>
      <c r="E1103" s="517"/>
      <c r="F1103" s="517"/>
      <c r="G1103" s="517"/>
      <c r="H1103" s="517"/>
      <c r="I1103" s="517"/>
      <c r="J1103" s="517"/>
      <c r="K1103" s="517"/>
      <c r="L1103" s="517"/>
      <c r="M1103" s="517"/>
      <c r="N1103" s="517"/>
      <c r="O1103" s="517"/>
      <c r="P1103" s="517"/>
      <c r="Q1103" s="517"/>
      <c r="R1103" s="517"/>
      <c r="S1103" s="517"/>
      <c r="T1103" s="517"/>
      <c r="U1103" s="517"/>
      <c r="V1103" s="517"/>
      <c r="W1103" s="517"/>
      <c r="X1103" s="517"/>
      <c r="Y1103" s="517"/>
      <c r="Z1103" s="517"/>
      <c r="AA1103" s="517"/>
      <c r="AB1103" s="517"/>
      <c r="AC1103" s="517"/>
      <c r="AD1103" s="517"/>
      <c r="AE1103" s="517"/>
      <c r="AF1103" s="517"/>
      <c r="AG1103" s="517"/>
      <c r="AH1103" s="518"/>
      <c r="AJ1103" s="595"/>
    </row>
    <row r="1104" spans="1:36" ht="42.65" hidden="1" customHeight="1" x14ac:dyDescent="0.45">
      <c r="A1104" s="518"/>
      <c r="B1104" s="1183" t="s">
        <v>1786</v>
      </c>
      <c r="C1104" s="1183"/>
      <c r="D1104" s="1183"/>
      <c r="E1104" s="1183"/>
      <c r="F1104" s="1183"/>
      <c r="G1104" s="1183"/>
      <c r="H1104" s="1183"/>
      <c r="I1104" s="1183"/>
      <c r="J1104" s="1183"/>
      <c r="K1104" s="1183"/>
      <c r="L1104" s="1183"/>
      <c r="M1104" s="1183"/>
      <c r="N1104" s="1183"/>
      <c r="O1104" s="1183"/>
      <c r="P1104" s="1183"/>
      <c r="Q1104" s="1183"/>
      <c r="R1104" s="1183"/>
      <c r="S1104" s="1183"/>
      <c r="T1104" s="1183"/>
      <c r="U1104" s="1183"/>
      <c r="V1104" s="1183"/>
      <c r="W1104" s="1183"/>
      <c r="X1104" s="1183"/>
      <c r="Y1104" s="1183"/>
      <c r="Z1104" s="1183"/>
      <c r="AA1104" s="1183"/>
      <c r="AB1104" s="1183"/>
      <c r="AC1104" s="1183"/>
      <c r="AD1104" s="1183"/>
      <c r="AE1104" s="1183"/>
      <c r="AF1104" s="1183"/>
      <c r="AG1104" s="1183"/>
      <c r="AH1104" s="518"/>
      <c r="AJ1104" s="595"/>
    </row>
    <row r="1105" spans="1:36" hidden="1" x14ac:dyDescent="0.45">
      <c r="A1105" s="518"/>
      <c r="B1105" s="518"/>
      <c r="C1105" s="518"/>
      <c r="D1105" s="518"/>
      <c r="E1105" s="518"/>
      <c r="F1105" s="518"/>
      <c r="G1105" s="518"/>
      <c r="H1105" s="518"/>
      <c r="I1105" s="518"/>
      <c r="J1105" s="518"/>
      <c r="K1105" s="518"/>
      <c r="L1105" s="518"/>
      <c r="M1105" s="518"/>
      <c r="N1105" s="518"/>
      <c r="O1105" s="518"/>
      <c r="P1105" s="518"/>
      <c r="Q1105" s="518"/>
      <c r="R1105" s="518"/>
      <c r="S1105" s="518"/>
      <c r="T1105" s="518"/>
      <c r="U1105" s="518"/>
      <c r="V1105" s="518"/>
      <c r="W1105" s="518"/>
      <c r="X1105" s="518"/>
      <c r="Y1105" s="518"/>
      <c r="Z1105" s="518"/>
      <c r="AA1105" s="518"/>
      <c r="AB1105" s="518"/>
      <c r="AC1105" s="518"/>
      <c r="AD1105" s="518"/>
      <c r="AE1105" s="518"/>
      <c r="AF1105" s="518"/>
      <c r="AG1105" s="518"/>
      <c r="AH1105" s="518"/>
      <c r="AJ1105" s="595"/>
    </row>
    <row r="1106" spans="1:36" hidden="1" x14ac:dyDescent="0.45">
      <c r="A1106" s="518"/>
      <c r="B1106" s="1184"/>
      <c r="C1106" s="1185"/>
      <c r="D1106" s="1186"/>
      <c r="E1106" s="532"/>
      <c r="F1106" s="1083" t="s">
        <v>104</v>
      </c>
      <c r="G1106" s="1083"/>
      <c r="H1106" s="1083"/>
      <c r="I1106" s="1083"/>
      <c r="J1106" s="1083"/>
      <c r="K1106" s="1083"/>
      <c r="L1106" s="1083"/>
      <c r="M1106" s="1083"/>
      <c r="N1106" s="1083"/>
      <c r="O1106" s="1083"/>
      <c r="P1106" s="1083"/>
      <c r="Q1106" s="1083"/>
      <c r="R1106" s="1083"/>
      <c r="S1106" s="1083"/>
      <c r="T1106" s="1083"/>
      <c r="U1106" s="1083"/>
      <c r="V1106" s="1083"/>
      <c r="W1106" s="1083"/>
      <c r="X1106" s="1083"/>
      <c r="Y1106" s="1083"/>
      <c r="Z1106" s="1083"/>
      <c r="AA1106" s="1083"/>
      <c r="AB1106" s="1083"/>
      <c r="AC1106" s="1083"/>
      <c r="AD1106" s="1083"/>
      <c r="AE1106" s="1083"/>
      <c r="AF1106" s="1083"/>
      <c r="AG1106" s="1083"/>
      <c r="AH1106" s="518"/>
      <c r="AJ1106" s="595"/>
    </row>
    <row r="1107" spans="1:36" hidden="1" x14ac:dyDescent="0.45">
      <c r="A1107" s="518"/>
      <c r="B1107" s="1184"/>
      <c r="C1107" s="1185"/>
      <c r="D1107" s="1186"/>
      <c r="E1107" s="532"/>
      <c r="F1107" s="1083" t="s">
        <v>105</v>
      </c>
      <c r="G1107" s="1083"/>
      <c r="H1107" s="1083"/>
      <c r="I1107" s="1083"/>
      <c r="J1107" s="1083"/>
      <c r="K1107" s="1083"/>
      <c r="L1107" s="1083"/>
      <c r="M1107" s="1083"/>
      <c r="N1107" s="1083"/>
      <c r="O1107" s="1083"/>
      <c r="P1107" s="1083"/>
      <c r="Q1107" s="1083"/>
      <c r="R1107" s="1083"/>
      <c r="S1107" s="1083"/>
      <c r="T1107" s="1083"/>
      <c r="U1107" s="1083"/>
      <c r="V1107" s="1083"/>
      <c r="W1107" s="1083"/>
      <c r="X1107" s="1083"/>
      <c r="Y1107" s="1083"/>
      <c r="Z1107" s="1083"/>
      <c r="AA1107" s="1083"/>
      <c r="AB1107" s="1083"/>
      <c r="AC1107" s="1083"/>
      <c r="AD1107" s="1083"/>
      <c r="AE1107" s="1083"/>
      <c r="AF1107" s="1083"/>
      <c r="AG1107" s="1083"/>
      <c r="AH1107" s="518"/>
      <c r="AJ1107" s="595"/>
    </row>
    <row r="1108" spans="1:36" hidden="1" x14ac:dyDescent="0.45">
      <c r="A1108" s="518"/>
      <c r="B1108" s="1184"/>
      <c r="C1108" s="1185"/>
      <c r="D1108" s="1186"/>
      <c r="E1108" s="532"/>
      <c r="F1108" s="1083" t="s">
        <v>106</v>
      </c>
      <c r="G1108" s="1083"/>
      <c r="H1108" s="1083"/>
      <c r="I1108" s="1083"/>
      <c r="J1108" s="1083"/>
      <c r="K1108" s="1083"/>
      <c r="L1108" s="1083"/>
      <c r="M1108" s="1083"/>
      <c r="N1108" s="1083"/>
      <c r="O1108" s="1083"/>
      <c r="P1108" s="1083"/>
      <c r="Q1108" s="1083"/>
      <c r="R1108" s="1083"/>
      <c r="S1108" s="1083"/>
      <c r="T1108" s="1083"/>
      <c r="U1108" s="1083"/>
      <c r="V1108" s="1083"/>
      <c r="W1108" s="1083"/>
      <c r="X1108" s="1083"/>
      <c r="Y1108" s="1083"/>
      <c r="Z1108" s="1083"/>
      <c r="AA1108" s="1083"/>
      <c r="AB1108" s="1083"/>
      <c r="AC1108" s="1083"/>
      <c r="AD1108" s="1083"/>
      <c r="AE1108" s="1083"/>
      <c r="AF1108" s="1083"/>
      <c r="AG1108" s="1083"/>
      <c r="AH1108" s="518"/>
      <c r="AJ1108" s="595"/>
    </row>
    <row r="1109" spans="1:36" hidden="1" x14ac:dyDescent="0.45">
      <c r="A1109" s="518"/>
      <c r="B1109" s="518"/>
      <c r="C1109" s="518"/>
      <c r="D1109" s="518"/>
      <c r="E1109" s="518"/>
      <c r="F1109" s="518"/>
      <c r="G1109" s="518"/>
      <c r="H1109" s="518"/>
      <c r="I1109" s="518"/>
      <c r="J1109" s="518"/>
      <c r="K1109" s="518"/>
      <c r="L1109" s="518"/>
      <c r="M1109" s="518"/>
      <c r="N1109" s="518"/>
      <c r="O1109" s="518"/>
      <c r="P1109" s="518"/>
      <c r="Q1109" s="518"/>
      <c r="R1109" s="518"/>
      <c r="S1109" s="518"/>
      <c r="T1109" s="518"/>
      <c r="U1109" s="518"/>
      <c r="V1109" s="518"/>
      <c r="W1109" s="518"/>
      <c r="X1109" s="518"/>
      <c r="Y1109" s="518"/>
      <c r="Z1109" s="518"/>
      <c r="AA1109" s="518"/>
      <c r="AB1109" s="518"/>
      <c r="AC1109" s="518"/>
      <c r="AD1109" s="518"/>
      <c r="AE1109" s="518"/>
      <c r="AF1109" s="518"/>
      <c r="AG1109" s="518"/>
      <c r="AH1109" s="518"/>
      <c r="AJ1109" s="595"/>
    </row>
    <row r="1110" spans="1:36" hidden="1" x14ac:dyDescent="0.45">
      <c r="A1110" s="518"/>
      <c r="B1110" s="518"/>
      <c r="C1110" s="518"/>
      <c r="D1110" s="518"/>
      <c r="E1110" s="518"/>
      <c r="F1110" s="518"/>
      <c r="G1110" s="518"/>
      <c r="H1110" s="518"/>
      <c r="I1110" s="518"/>
      <c r="J1110" s="518"/>
      <c r="K1110" s="518"/>
      <c r="L1110" s="518"/>
      <c r="M1110" s="518"/>
      <c r="N1110" s="518"/>
      <c r="O1110" s="518"/>
      <c r="P1110" s="518"/>
      <c r="Q1110" s="518"/>
      <c r="R1110" s="518"/>
      <c r="S1110" s="518"/>
      <c r="T1110" s="518"/>
      <c r="U1110" s="518"/>
      <c r="V1110" s="518"/>
      <c r="W1110" s="518"/>
      <c r="X1110" s="518"/>
      <c r="Y1110" s="518"/>
      <c r="Z1110" s="518"/>
      <c r="AA1110" s="518"/>
      <c r="AB1110" s="518"/>
      <c r="AC1110" s="518"/>
      <c r="AD1110" s="518"/>
      <c r="AE1110" s="518"/>
      <c r="AF1110" s="518"/>
      <c r="AG1110" s="518"/>
      <c r="AH1110" s="518"/>
      <c r="AJ1110" s="595" t="b">
        <f>AND(AJ$1062,CH_SHTA_UnrestrictedTotalRequested&gt;0)</f>
        <v>0</v>
      </c>
    </row>
    <row r="1111" spans="1:36" hidden="1" x14ac:dyDescent="0.45">
      <c r="A1111" s="518"/>
      <c r="B1111" s="923" t="str">
        <f>B$1063</f>
        <v>CalHome Technical Assistance for Self-Help Housing Application</v>
      </c>
      <c r="C1111" s="923"/>
      <c r="D1111" s="923"/>
      <c r="E1111" s="923"/>
      <c r="F1111" s="923"/>
      <c r="G1111" s="923"/>
      <c r="H1111" s="923"/>
      <c r="I1111" s="923"/>
      <c r="J1111" s="923"/>
      <c r="K1111" s="923"/>
      <c r="L1111" s="923"/>
      <c r="M1111" s="923"/>
      <c r="N1111" s="923"/>
      <c r="O1111" s="923"/>
      <c r="P1111" s="923"/>
      <c r="Q1111" s="923"/>
      <c r="R1111" s="923"/>
      <c r="S1111" s="923"/>
      <c r="T1111" s="923"/>
      <c r="U1111" s="923"/>
      <c r="V1111" s="923"/>
      <c r="W1111" s="923"/>
      <c r="X1111" s="923"/>
      <c r="Y1111" s="923"/>
      <c r="Z1111" s="923"/>
      <c r="AA1111" s="923"/>
      <c r="AB1111" s="923"/>
      <c r="AC1111" s="923"/>
      <c r="AD1111" s="923"/>
      <c r="AE1111" s="923"/>
      <c r="AF1111" s="923"/>
      <c r="AG1111" s="923"/>
      <c r="AH1111" s="518"/>
      <c r="AJ1111" s="595"/>
    </row>
    <row r="1112" spans="1:36" ht="16" hidden="1" customHeight="1" x14ac:dyDescent="0.45">
      <c r="A1112" s="518"/>
      <c r="B1112" s="924" t="s">
        <v>107</v>
      </c>
      <c r="C1112" s="924"/>
      <c r="D1112" s="924"/>
      <c r="E1112" s="924"/>
      <c r="F1112" s="924"/>
      <c r="G1112" s="924"/>
      <c r="H1112" s="924"/>
      <c r="I1112" s="924"/>
      <c r="J1112" s="924"/>
      <c r="K1112" s="924"/>
      <c r="L1112" s="924"/>
      <c r="M1112" s="924"/>
      <c r="N1112" s="924"/>
      <c r="O1112" s="924"/>
      <c r="P1112" s="924"/>
      <c r="Q1112" s="924"/>
      <c r="R1112" s="924"/>
      <c r="S1112" s="924"/>
      <c r="T1112" s="924"/>
      <c r="U1112" s="924"/>
      <c r="V1112" s="924"/>
      <c r="W1112" s="924"/>
      <c r="X1112" s="924"/>
      <c r="Y1112" s="924"/>
      <c r="Z1112" s="924"/>
      <c r="AA1112" s="924"/>
      <c r="AB1112" s="924"/>
      <c r="AC1112" s="924"/>
      <c r="AD1112" s="924"/>
      <c r="AE1112" s="924"/>
      <c r="AF1112" s="924"/>
      <c r="AG1112" s="924"/>
      <c r="AH1112" s="518"/>
      <c r="AJ1112" s="595"/>
    </row>
    <row r="1113" spans="1:36" ht="16" hidden="1" customHeight="1" x14ac:dyDescent="0.45">
      <c r="A1113" s="518"/>
      <c r="B1113" s="594"/>
      <c r="C1113" s="594"/>
      <c r="D1113" s="594"/>
      <c r="E1113" s="594"/>
      <c r="F1113" s="594"/>
      <c r="G1113" s="594"/>
      <c r="H1113" s="594"/>
      <c r="I1113" s="594"/>
      <c r="J1113" s="594"/>
      <c r="K1113" s="594"/>
      <c r="L1113" s="594"/>
      <c r="M1113" s="594"/>
      <c r="N1113" s="594"/>
      <c r="O1113" s="594"/>
      <c r="P1113" s="594"/>
      <c r="Q1113" s="594"/>
      <c r="R1113" s="594"/>
      <c r="S1113" s="594"/>
      <c r="T1113" s="594"/>
      <c r="U1113" s="594"/>
      <c r="V1113" s="594"/>
      <c r="W1113" s="594"/>
      <c r="X1113" s="594"/>
      <c r="Y1113" s="594"/>
      <c r="Z1113" s="594"/>
      <c r="AA1113" s="594"/>
      <c r="AB1113" s="594"/>
      <c r="AC1113" s="594"/>
      <c r="AD1113" s="594"/>
      <c r="AE1113" s="594"/>
      <c r="AF1113" s="594"/>
      <c r="AG1113" s="594"/>
      <c r="AH1113" s="518"/>
      <c r="AJ1113" s="595"/>
    </row>
    <row r="1114" spans="1:36" hidden="1" x14ac:dyDescent="0.45">
      <c r="A1114" s="518"/>
      <c r="B1114" s="518" t="s">
        <v>1853</v>
      </c>
      <c r="C1114" s="518"/>
      <c r="D1114" s="518"/>
      <c r="E1114" s="518"/>
      <c r="F1114" s="518"/>
      <c r="G1114" s="518"/>
      <c r="H1114" s="518"/>
      <c r="I1114" s="518"/>
      <c r="J1114" s="518"/>
      <c r="K1114" s="518"/>
      <c r="L1114" s="518"/>
      <c r="M1114" s="518"/>
      <c r="N1114" s="518"/>
      <c r="O1114" s="518"/>
      <c r="P1114" s="518"/>
      <c r="Q1114" s="518"/>
      <c r="R1114" s="518"/>
      <c r="S1114" s="518"/>
      <c r="T1114" s="518"/>
      <c r="U1114" s="518"/>
      <c r="V1114" s="518"/>
      <c r="W1114" s="518"/>
      <c r="X1114" s="518"/>
      <c r="Y1114" s="518"/>
      <c r="Z1114" s="518"/>
      <c r="AA1114" s="518"/>
      <c r="AB1114" s="518"/>
      <c r="AC1114" s="594"/>
      <c r="AD1114" s="518"/>
      <c r="AE1114" s="518"/>
      <c r="AF1114" s="518"/>
      <c r="AG1114" s="518"/>
      <c r="AH1114" s="518"/>
      <c r="AJ1114" s="595"/>
    </row>
    <row r="1115" spans="1:36" ht="16" hidden="1" customHeight="1" x14ac:dyDescent="0.45">
      <c r="A1115" s="518"/>
      <c r="B1115" s="862" t="s">
        <v>108</v>
      </c>
      <c r="C1115" s="863"/>
      <c r="D1115" s="863"/>
      <c r="E1115" s="863"/>
      <c r="F1115" s="892"/>
      <c r="G1115" s="872" t="s">
        <v>1487</v>
      </c>
      <c r="H1115" s="872"/>
      <c r="I1115" s="872" t="s">
        <v>91</v>
      </c>
      <c r="J1115" s="872"/>
      <c r="K1115" s="872" t="s">
        <v>110</v>
      </c>
      <c r="L1115" s="872"/>
      <c r="M1115" s="872"/>
      <c r="N1115" s="872"/>
      <c r="O1115" s="872" t="s">
        <v>212</v>
      </c>
      <c r="P1115" s="872"/>
      <c r="Q1115" s="872"/>
      <c r="R1115" s="872"/>
      <c r="S1115" s="872" t="s">
        <v>113</v>
      </c>
      <c r="T1115" s="872"/>
      <c r="U1115" s="872"/>
      <c r="V1115" s="872"/>
      <c r="W1115" s="1251" t="s">
        <v>114</v>
      </c>
      <c r="X1115" s="1251"/>
      <c r="Y1115" s="1251"/>
      <c r="Z1115" s="1251"/>
      <c r="AA1115" s="518"/>
      <c r="AB1115" s="518"/>
      <c r="AC1115" s="594"/>
      <c r="AD1115" s="569"/>
      <c r="AE1115" s="569"/>
      <c r="AF1115" s="529"/>
      <c r="AG1115" s="529"/>
      <c r="AH1115" s="529"/>
      <c r="AJ1115" s="595"/>
    </row>
    <row r="1116" spans="1:36" hidden="1" x14ac:dyDescent="0.45">
      <c r="A1116" s="518"/>
      <c r="B1116" s="864"/>
      <c r="C1116" s="865"/>
      <c r="D1116" s="865"/>
      <c r="E1116" s="865"/>
      <c r="F1116" s="893"/>
      <c r="G1116" s="872"/>
      <c r="H1116" s="872"/>
      <c r="I1116" s="872"/>
      <c r="J1116" s="872"/>
      <c r="K1116" s="872"/>
      <c r="L1116" s="872"/>
      <c r="M1116" s="872"/>
      <c r="N1116" s="872"/>
      <c r="O1116" s="872"/>
      <c r="P1116" s="872"/>
      <c r="Q1116" s="872"/>
      <c r="R1116" s="872"/>
      <c r="S1116" s="872"/>
      <c r="T1116" s="872"/>
      <c r="U1116" s="872"/>
      <c r="V1116" s="872"/>
      <c r="W1116" s="1251"/>
      <c r="X1116" s="1251"/>
      <c r="Y1116" s="1251"/>
      <c r="Z1116" s="1251"/>
      <c r="AA1116" s="518"/>
      <c r="AB1116" s="518"/>
      <c r="AC1116" s="594"/>
      <c r="AD1116" s="569"/>
      <c r="AE1116" s="569"/>
      <c r="AF1116" s="529"/>
      <c r="AG1116" s="529"/>
      <c r="AH1116" s="529"/>
      <c r="AJ1116" s="595"/>
    </row>
    <row r="1117" spans="1:36" hidden="1" x14ac:dyDescent="0.45">
      <c r="A1117" s="518"/>
      <c r="B1117" s="514" t="s">
        <v>1405</v>
      </c>
      <c r="C1117" s="535"/>
      <c r="D1117" s="535"/>
      <c r="E1117" s="535"/>
      <c r="F1117" s="535"/>
      <c r="G1117" s="885" t="str">
        <f>IF(CHSHTAData!T3=0,"",CHSHTAData!T3)</f>
        <v/>
      </c>
      <c r="H1117" s="885"/>
      <c r="I1117" s="939">
        <f>CHSHTAData!W3</f>
        <v>0</v>
      </c>
      <c r="J1117" s="939"/>
      <c r="K1117" s="943">
        <f>CHSHTAData!X3</f>
        <v>0</v>
      </c>
      <c r="L1117" s="943"/>
      <c r="M1117" s="943"/>
      <c r="N1117" s="943"/>
      <c r="O1117" s="943">
        <f>CHSHTAData!Y3</f>
        <v>0</v>
      </c>
      <c r="P1117" s="943"/>
      <c r="Q1117" s="943"/>
      <c r="R1117" s="943"/>
      <c r="S1117" s="943">
        <f>SUM(K1117:R1117)</f>
        <v>0</v>
      </c>
      <c r="T1117" s="943"/>
      <c r="U1117" s="943"/>
      <c r="V1117" s="943"/>
      <c r="W1117" s="871" t="str">
        <f>IF(CHSHTAData!AA3=0,"",CHSHTAData!AA3)</f>
        <v/>
      </c>
      <c r="X1117" s="871"/>
      <c r="Y1117" s="871"/>
      <c r="Z1117" s="871"/>
      <c r="AA1117" s="518"/>
      <c r="AB1117" s="518"/>
      <c r="AC1117" s="594"/>
      <c r="AD1117" s="588"/>
      <c r="AE1117" s="588"/>
      <c r="AF1117" s="529"/>
      <c r="AG1117" s="529"/>
      <c r="AH1117" s="529"/>
      <c r="AJ1117" s="595" t="b">
        <f t="shared" ref="AJ1117:AJ1148" si="23">IF(AND(AJ$1110,S1117&gt;0),TRUE,FALSE)</f>
        <v>0</v>
      </c>
    </row>
    <row r="1118" spans="1:36" hidden="1" x14ac:dyDescent="0.45">
      <c r="A1118" s="518"/>
      <c r="B1118" s="514" t="s">
        <v>1406</v>
      </c>
      <c r="C1118" s="535"/>
      <c r="D1118" s="535"/>
      <c r="E1118" s="535"/>
      <c r="F1118" s="535"/>
      <c r="G1118" s="885" t="str">
        <f>IF(CHSHTAData!T4=0,"",CHSHTAData!T4)</f>
        <v/>
      </c>
      <c r="H1118" s="885"/>
      <c r="I1118" s="939">
        <f>CHSHTAData!W4</f>
        <v>0</v>
      </c>
      <c r="J1118" s="939"/>
      <c r="K1118" s="943" t="str">
        <f>IF(CHSHTAData!X4=0,"",CHSHTAData!X4)</f>
        <v/>
      </c>
      <c r="L1118" s="943"/>
      <c r="M1118" s="943"/>
      <c r="N1118" s="943"/>
      <c r="O1118" s="943" t="str">
        <f>IF(CHSHTAData!Y4=0,"",CHSHTAData!Y4)</f>
        <v/>
      </c>
      <c r="P1118" s="943"/>
      <c r="Q1118" s="943"/>
      <c r="R1118" s="943"/>
      <c r="S1118" s="943">
        <f t="shared" ref="S1118:S1174" si="24">SUM(K1118:R1118)</f>
        <v>0</v>
      </c>
      <c r="T1118" s="943"/>
      <c r="U1118" s="943"/>
      <c r="V1118" s="943"/>
      <c r="W1118" s="871" t="str">
        <f>IF(CHSHTAData!AA4=0,"",CHSHTAData!AA4)</f>
        <v/>
      </c>
      <c r="X1118" s="871"/>
      <c r="Y1118" s="871"/>
      <c r="Z1118" s="871"/>
      <c r="AA1118" s="518"/>
      <c r="AB1118" s="518"/>
      <c r="AC1118" s="594"/>
      <c r="AD1118" s="588"/>
      <c r="AE1118" s="588"/>
      <c r="AF1118" s="529"/>
      <c r="AG1118" s="529"/>
      <c r="AH1118" s="529"/>
      <c r="AJ1118" s="595" t="b">
        <f t="shared" si="23"/>
        <v>0</v>
      </c>
    </row>
    <row r="1119" spans="1:36" hidden="1" x14ac:dyDescent="0.45">
      <c r="A1119" s="518"/>
      <c r="B1119" s="514" t="s">
        <v>1407</v>
      </c>
      <c r="C1119" s="535"/>
      <c r="D1119" s="535"/>
      <c r="E1119" s="535"/>
      <c r="F1119" s="535"/>
      <c r="G1119" s="885" t="str">
        <f>IF(CHSHTAData!T5=0,"",CHSHTAData!T5)</f>
        <v/>
      </c>
      <c r="H1119" s="885"/>
      <c r="I1119" s="939">
        <f>CHSHTAData!W5</f>
        <v>0</v>
      </c>
      <c r="J1119" s="939"/>
      <c r="K1119" s="943" t="str">
        <f>IF(CHSHTAData!X5=0,"",CHSHTAData!X5)</f>
        <v/>
      </c>
      <c r="L1119" s="943"/>
      <c r="M1119" s="943"/>
      <c r="N1119" s="943"/>
      <c r="O1119" s="943" t="str">
        <f>IF(CHSHTAData!Y5=0,"",CHSHTAData!Y5)</f>
        <v/>
      </c>
      <c r="P1119" s="943"/>
      <c r="Q1119" s="943"/>
      <c r="R1119" s="943"/>
      <c r="S1119" s="943">
        <f t="shared" si="24"/>
        <v>0</v>
      </c>
      <c r="T1119" s="943"/>
      <c r="U1119" s="943"/>
      <c r="V1119" s="943"/>
      <c r="W1119" s="871" t="str">
        <f>IF(CHSHTAData!AA5=0,"",CHSHTAData!AA5)</f>
        <v/>
      </c>
      <c r="X1119" s="871"/>
      <c r="Y1119" s="871"/>
      <c r="Z1119" s="871"/>
      <c r="AA1119" s="518"/>
      <c r="AB1119" s="518"/>
      <c r="AC1119" s="594"/>
      <c r="AD1119" s="588"/>
      <c r="AE1119" s="588"/>
      <c r="AF1119" s="529"/>
      <c r="AG1119" s="529"/>
      <c r="AH1119" s="529"/>
      <c r="AJ1119" s="595" t="b">
        <f t="shared" si="23"/>
        <v>0</v>
      </c>
    </row>
    <row r="1120" spans="1:36" hidden="1" x14ac:dyDescent="0.45">
      <c r="A1120" s="518"/>
      <c r="B1120" s="514" t="s">
        <v>1408</v>
      </c>
      <c r="C1120" s="535"/>
      <c r="D1120" s="535"/>
      <c r="E1120" s="535"/>
      <c r="F1120" s="535"/>
      <c r="G1120" s="885" t="str">
        <f>IF(CHSHTAData!T6=0,"",CHSHTAData!T6)</f>
        <v/>
      </c>
      <c r="H1120" s="885"/>
      <c r="I1120" s="939">
        <f>CHSHTAData!W6</f>
        <v>0</v>
      </c>
      <c r="J1120" s="939"/>
      <c r="K1120" s="943" t="str">
        <f>IF(CHSHTAData!X6=0,"",CHSHTAData!X6)</f>
        <v/>
      </c>
      <c r="L1120" s="943"/>
      <c r="M1120" s="943"/>
      <c r="N1120" s="943"/>
      <c r="O1120" s="943" t="str">
        <f>IF(CHSHTAData!Y6=0,"",CHSHTAData!Y6)</f>
        <v/>
      </c>
      <c r="P1120" s="943"/>
      <c r="Q1120" s="943"/>
      <c r="R1120" s="943"/>
      <c r="S1120" s="943">
        <f t="shared" si="24"/>
        <v>0</v>
      </c>
      <c r="T1120" s="943"/>
      <c r="U1120" s="943"/>
      <c r="V1120" s="943"/>
      <c r="W1120" s="871" t="str">
        <f>IF(CHSHTAData!AA6=0,"",CHSHTAData!AA6)</f>
        <v/>
      </c>
      <c r="X1120" s="871"/>
      <c r="Y1120" s="871"/>
      <c r="Z1120" s="871"/>
      <c r="AA1120" s="518"/>
      <c r="AB1120" s="518"/>
      <c r="AC1120" s="594"/>
      <c r="AD1120" s="588"/>
      <c r="AE1120" s="588"/>
      <c r="AF1120" s="529"/>
      <c r="AG1120" s="529"/>
      <c r="AH1120" s="529"/>
      <c r="AJ1120" s="595" t="b">
        <f t="shared" si="23"/>
        <v>0</v>
      </c>
    </row>
    <row r="1121" spans="1:36" hidden="1" x14ac:dyDescent="0.45">
      <c r="A1121" s="518"/>
      <c r="B1121" s="514" t="s">
        <v>1409</v>
      </c>
      <c r="C1121" s="535"/>
      <c r="D1121" s="535"/>
      <c r="E1121" s="535"/>
      <c r="F1121" s="535"/>
      <c r="G1121" s="885" t="str">
        <f>IF(CHSHTAData!T7=0,"",CHSHTAData!T7)</f>
        <v/>
      </c>
      <c r="H1121" s="885"/>
      <c r="I1121" s="939">
        <f>CHSHTAData!W7</f>
        <v>0</v>
      </c>
      <c r="J1121" s="939"/>
      <c r="K1121" s="943" t="str">
        <f>IF(CHSHTAData!X7=0,"",CHSHTAData!X7)</f>
        <v/>
      </c>
      <c r="L1121" s="943"/>
      <c r="M1121" s="943"/>
      <c r="N1121" s="943"/>
      <c r="O1121" s="943" t="str">
        <f>IF(CHSHTAData!Y7=0,"",CHSHTAData!Y7)</f>
        <v/>
      </c>
      <c r="P1121" s="943"/>
      <c r="Q1121" s="943"/>
      <c r="R1121" s="943"/>
      <c r="S1121" s="943">
        <f t="shared" si="24"/>
        <v>0</v>
      </c>
      <c r="T1121" s="943"/>
      <c r="U1121" s="943"/>
      <c r="V1121" s="943"/>
      <c r="W1121" s="871" t="str">
        <f>IF(CHSHTAData!AA7=0,"",CHSHTAData!AA7)</f>
        <v/>
      </c>
      <c r="X1121" s="871"/>
      <c r="Y1121" s="871"/>
      <c r="Z1121" s="871"/>
      <c r="AA1121" s="518"/>
      <c r="AB1121" s="518"/>
      <c r="AC1121" s="594"/>
      <c r="AD1121" s="588"/>
      <c r="AE1121" s="588"/>
      <c r="AF1121" s="529"/>
      <c r="AG1121" s="529"/>
      <c r="AH1121" s="529"/>
      <c r="AJ1121" s="595" t="b">
        <f t="shared" si="23"/>
        <v>0</v>
      </c>
    </row>
    <row r="1122" spans="1:36" hidden="1" x14ac:dyDescent="0.45">
      <c r="A1122" s="518"/>
      <c r="B1122" s="514" t="s">
        <v>1410</v>
      </c>
      <c r="C1122" s="535"/>
      <c r="D1122" s="535"/>
      <c r="E1122" s="535"/>
      <c r="F1122" s="535"/>
      <c r="G1122" s="885" t="str">
        <f>IF(CHSHTAData!T8=0,"",CHSHTAData!T8)</f>
        <v/>
      </c>
      <c r="H1122" s="885"/>
      <c r="I1122" s="939">
        <f>CHSHTAData!W8</f>
        <v>0</v>
      </c>
      <c r="J1122" s="939"/>
      <c r="K1122" s="943" t="str">
        <f>IF(CHSHTAData!X8=0,"",CHSHTAData!X8)</f>
        <v/>
      </c>
      <c r="L1122" s="943"/>
      <c r="M1122" s="943"/>
      <c r="N1122" s="943"/>
      <c r="O1122" s="943" t="str">
        <f>IF(CHSHTAData!Y8=0,"",CHSHTAData!Y8)</f>
        <v/>
      </c>
      <c r="P1122" s="943"/>
      <c r="Q1122" s="943"/>
      <c r="R1122" s="943"/>
      <c r="S1122" s="943">
        <f t="shared" si="24"/>
        <v>0</v>
      </c>
      <c r="T1122" s="943"/>
      <c r="U1122" s="943"/>
      <c r="V1122" s="943"/>
      <c r="W1122" s="871" t="str">
        <f>IF(CHSHTAData!AA8=0,"",CHSHTAData!AA8)</f>
        <v/>
      </c>
      <c r="X1122" s="871"/>
      <c r="Y1122" s="871"/>
      <c r="Z1122" s="871"/>
      <c r="AA1122" s="518"/>
      <c r="AB1122" s="518"/>
      <c r="AC1122" s="594"/>
      <c r="AD1122" s="588"/>
      <c r="AE1122" s="588"/>
      <c r="AF1122" s="529"/>
      <c r="AG1122" s="529"/>
      <c r="AH1122" s="529"/>
      <c r="AJ1122" s="595" t="b">
        <f t="shared" si="23"/>
        <v>0</v>
      </c>
    </row>
    <row r="1123" spans="1:36" hidden="1" x14ac:dyDescent="0.45">
      <c r="A1123" s="518"/>
      <c r="B1123" s="514" t="s">
        <v>1411</v>
      </c>
      <c r="C1123" s="535"/>
      <c r="D1123" s="535"/>
      <c r="E1123" s="535"/>
      <c r="F1123" s="535"/>
      <c r="G1123" s="885" t="str">
        <f>IF(CHSHTAData!T9=0,"",CHSHTAData!T9)</f>
        <v/>
      </c>
      <c r="H1123" s="885"/>
      <c r="I1123" s="939">
        <f>CHSHTAData!W9</f>
        <v>0</v>
      </c>
      <c r="J1123" s="939"/>
      <c r="K1123" s="943" t="str">
        <f>IF(CHSHTAData!X9=0,"",CHSHTAData!X9)</f>
        <v/>
      </c>
      <c r="L1123" s="943"/>
      <c r="M1123" s="943"/>
      <c r="N1123" s="943"/>
      <c r="O1123" s="943" t="str">
        <f>IF(CHSHTAData!Y9=0,"",CHSHTAData!Y9)</f>
        <v/>
      </c>
      <c r="P1123" s="943"/>
      <c r="Q1123" s="943"/>
      <c r="R1123" s="943"/>
      <c r="S1123" s="943">
        <f t="shared" si="24"/>
        <v>0</v>
      </c>
      <c r="T1123" s="943"/>
      <c r="U1123" s="943"/>
      <c r="V1123" s="943"/>
      <c r="W1123" s="871" t="str">
        <f>IF(CHSHTAData!AA9=0,"",CHSHTAData!AA9)</f>
        <v/>
      </c>
      <c r="X1123" s="871"/>
      <c r="Y1123" s="871"/>
      <c r="Z1123" s="871"/>
      <c r="AA1123" s="518"/>
      <c r="AB1123" s="518"/>
      <c r="AC1123" s="594"/>
      <c r="AD1123" s="588"/>
      <c r="AE1123" s="588"/>
      <c r="AF1123" s="529"/>
      <c r="AG1123" s="529"/>
      <c r="AH1123" s="529"/>
      <c r="AJ1123" s="595" t="b">
        <f t="shared" si="23"/>
        <v>0</v>
      </c>
    </row>
    <row r="1124" spans="1:36" hidden="1" x14ac:dyDescent="0.45">
      <c r="A1124" s="518"/>
      <c r="B1124" s="514" t="s">
        <v>1412</v>
      </c>
      <c r="C1124" s="535"/>
      <c r="D1124" s="535"/>
      <c r="E1124" s="535"/>
      <c r="F1124" s="535"/>
      <c r="G1124" s="885" t="str">
        <f>IF(CHSHTAData!T10=0,"",CHSHTAData!T10)</f>
        <v/>
      </c>
      <c r="H1124" s="885"/>
      <c r="I1124" s="939">
        <f>CHSHTAData!W10</f>
        <v>0</v>
      </c>
      <c r="J1124" s="939"/>
      <c r="K1124" s="943" t="str">
        <f>IF(CHSHTAData!X10=0,"",CHSHTAData!X10)</f>
        <v/>
      </c>
      <c r="L1124" s="943"/>
      <c r="M1124" s="943"/>
      <c r="N1124" s="943"/>
      <c r="O1124" s="943" t="str">
        <f>IF(CHSHTAData!Y10=0,"",CHSHTAData!Y10)</f>
        <v/>
      </c>
      <c r="P1124" s="943"/>
      <c r="Q1124" s="943"/>
      <c r="R1124" s="943"/>
      <c r="S1124" s="943">
        <f t="shared" si="24"/>
        <v>0</v>
      </c>
      <c r="T1124" s="943"/>
      <c r="U1124" s="943"/>
      <c r="V1124" s="943"/>
      <c r="W1124" s="871" t="str">
        <f>IF(CHSHTAData!AA10=0,"",CHSHTAData!AA10)</f>
        <v/>
      </c>
      <c r="X1124" s="871"/>
      <c r="Y1124" s="871"/>
      <c r="Z1124" s="871"/>
      <c r="AA1124" s="518"/>
      <c r="AB1124" s="518"/>
      <c r="AC1124" s="594"/>
      <c r="AD1124" s="588"/>
      <c r="AE1124" s="588"/>
      <c r="AF1124" s="529"/>
      <c r="AG1124" s="529"/>
      <c r="AH1124" s="529"/>
      <c r="AJ1124" s="595" t="b">
        <f t="shared" si="23"/>
        <v>0</v>
      </c>
    </row>
    <row r="1125" spans="1:36" hidden="1" x14ac:dyDescent="0.45">
      <c r="A1125" s="518"/>
      <c r="B1125" s="514" t="s">
        <v>1413</v>
      </c>
      <c r="C1125" s="535"/>
      <c r="D1125" s="535"/>
      <c r="E1125" s="535"/>
      <c r="F1125" s="535"/>
      <c r="G1125" s="885" t="str">
        <f>IF(CHSHTAData!T11=0,"",CHSHTAData!T11)</f>
        <v/>
      </c>
      <c r="H1125" s="885"/>
      <c r="I1125" s="939">
        <f>CHSHTAData!W11</f>
        <v>0</v>
      </c>
      <c r="J1125" s="939"/>
      <c r="K1125" s="943" t="str">
        <f>IF(CHSHTAData!X11=0,"",CHSHTAData!X11)</f>
        <v/>
      </c>
      <c r="L1125" s="943"/>
      <c r="M1125" s="943"/>
      <c r="N1125" s="943"/>
      <c r="O1125" s="943" t="str">
        <f>IF(CHSHTAData!Y11=0,"",CHSHTAData!Y11)</f>
        <v/>
      </c>
      <c r="P1125" s="943"/>
      <c r="Q1125" s="943"/>
      <c r="R1125" s="943"/>
      <c r="S1125" s="943">
        <f t="shared" si="24"/>
        <v>0</v>
      </c>
      <c r="T1125" s="943"/>
      <c r="U1125" s="943"/>
      <c r="V1125" s="943"/>
      <c r="W1125" s="871" t="str">
        <f>IF(CHSHTAData!AA11=0,"",CHSHTAData!AA11)</f>
        <v/>
      </c>
      <c r="X1125" s="871"/>
      <c r="Y1125" s="871"/>
      <c r="Z1125" s="871"/>
      <c r="AA1125" s="518"/>
      <c r="AB1125" s="518"/>
      <c r="AC1125" s="594"/>
      <c r="AD1125" s="588"/>
      <c r="AE1125" s="588"/>
      <c r="AF1125" s="529"/>
      <c r="AG1125" s="529"/>
      <c r="AH1125" s="529"/>
      <c r="AJ1125" s="595" t="b">
        <f t="shared" si="23"/>
        <v>0</v>
      </c>
    </row>
    <row r="1126" spans="1:36" hidden="1" x14ac:dyDescent="0.45">
      <c r="A1126" s="518"/>
      <c r="B1126" s="514" t="s">
        <v>1414</v>
      </c>
      <c r="C1126" s="535"/>
      <c r="D1126" s="535"/>
      <c r="E1126" s="535"/>
      <c r="F1126" s="535"/>
      <c r="G1126" s="885" t="str">
        <f>IF(CHSHTAData!T12=0,"",CHSHTAData!T12)</f>
        <v/>
      </c>
      <c r="H1126" s="885"/>
      <c r="I1126" s="939">
        <f>CHSHTAData!W12</f>
        <v>0</v>
      </c>
      <c r="J1126" s="939"/>
      <c r="K1126" s="943" t="str">
        <f>IF(CHSHTAData!X12=0,"",CHSHTAData!X12)</f>
        <v/>
      </c>
      <c r="L1126" s="943"/>
      <c r="M1126" s="943"/>
      <c r="N1126" s="943"/>
      <c r="O1126" s="943" t="str">
        <f>IF(CHSHTAData!Y12=0,"",CHSHTAData!Y12)</f>
        <v/>
      </c>
      <c r="P1126" s="943"/>
      <c r="Q1126" s="943"/>
      <c r="R1126" s="943"/>
      <c r="S1126" s="943">
        <f t="shared" si="24"/>
        <v>0</v>
      </c>
      <c r="T1126" s="943"/>
      <c r="U1126" s="943"/>
      <c r="V1126" s="943"/>
      <c r="W1126" s="871" t="str">
        <f>IF(CHSHTAData!AA12=0,"",CHSHTAData!AA12)</f>
        <v/>
      </c>
      <c r="X1126" s="871"/>
      <c r="Y1126" s="871"/>
      <c r="Z1126" s="871"/>
      <c r="AA1126" s="518"/>
      <c r="AB1126" s="518"/>
      <c r="AC1126" s="594"/>
      <c r="AD1126" s="588"/>
      <c r="AE1126" s="588"/>
      <c r="AF1126" s="529"/>
      <c r="AG1126" s="529"/>
      <c r="AH1126" s="529"/>
      <c r="AJ1126" s="595" t="b">
        <f t="shared" si="23"/>
        <v>0</v>
      </c>
    </row>
    <row r="1127" spans="1:36" hidden="1" x14ac:dyDescent="0.45">
      <c r="A1127" s="518"/>
      <c r="B1127" s="514" t="s">
        <v>1415</v>
      </c>
      <c r="C1127" s="535"/>
      <c r="D1127" s="535"/>
      <c r="E1127" s="535"/>
      <c r="F1127" s="535"/>
      <c r="G1127" s="885" t="str">
        <f>IF(CHSHTAData!T13=0,"",CHSHTAData!T13)</f>
        <v/>
      </c>
      <c r="H1127" s="885"/>
      <c r="I1127" s="939">
        <f>CHSHTAData!W13</f>
        <v>0</v>
      </c>
      <c r="J1127" s="939"/>
      <c r="K1127" s="943" t="str">
        <f>IF(CHSHTAData!X13=0,"",CHSHTAData!X13)</f>
        <v/>
      </c>
      <c r="L1127" s="943"/>
      <c r="M1127" s="943"/>
      <c r="N1127" s="943"/>
      <c r="O1127" s="943" t="str">
        <f>IF(CHSHTAData!Y13=0,"",CHSHTAData!Y13)</f>
        <v/>
      </c>
      <c r="P1127" s="943"/>
      <c r="Q1127" s="943"/>
      <c r="R1127" s="943"/>
      <c r="S1127" s="943">
        <f t="shared" si="24"/>
        <v>0</v>
      </c>
      <c r="T1127" s="943"/>
      <c r="U1127" s="943"/>
      <c r="V1127" s="943"/>
      <c r="W1127" s="871" t="str">
        <f>IF(CHSHTAData!AA13=0,"",CHSHTAData!AA13)</f>
        <v/>
      </c>
      <c r="X1127" s="871"/>
      <c r="Y1127" s="871"/>
      <c r="Z1127" s="871"/>
      <c r="AA1127" s="518"/>
      <c r="AB1127" s="518"/>
      <c r="AC1127" s="594"/>
      <c r="AD1127" s="588"/>
      <c r="AE1127" s="588"/>
      <c r="AF1127" s="529"/>
      <c r="AG1127" s="529"/>
      <c r="AH1127" s="529"/>
      <c r="AJ1127" s="595" t="b">
        <f t="shared" si="23"/>
        <v>0</v>
      </c>
    </row>
    <row r="1128" spans="1:36" hidden="1" x14ac:dyDescent="0.45">
      <c r="A1128" s="518"/>
      <c r="B1128" s="514" t="s">
        <v>1416</v>
      </c>
      <c r="C1128" s="535"/>
      <c r="D1128" s="535"/>
      <c r="E1128" s="535"/>
      <c r="F1128" s="535"/>
      <c r="G1128" s="885" t="str">
        <f>IF(CHSHTAData!T14=0,"",CHSHTAData!T14)</f>
        <v/>
      </c>
      <c r="H1128" s="885"/>
      <c r="I1128" s="939">
        <f>CHSHTAData!W14</f>
        <v>0</v>
      </c>
      <c r="J1128" s="939"/>
      <c r="K1128" s="943" t="str">
        <f>IF(CHSHTAData!X14=0,"",CHSHTAData!X14)</f>
        <v/>
      </c>
      <c r="L1128" s="943"/>
      <c r="M1128" s="943"/>
      <c r="N1128" s="943"/>
      <c r="O1128" s="943" t="str">
        <f>IF(CHSHTAData!Y14=0,"",CHSHTAData!Y14)</f>
        <v/>
      </c>
      <c r="P1128" s="943"/>
      <c r="Q1128" s="943"/>
      <c r="R1128" s="943"/>
      <c r="S1128" s="943">
        <f t="shared" si="24"/>
        <v>0</v>
      </c>
      <c r="T1128" s="943"/>
      <c r="U1128" s="943"/>
      <c r="V1128" s="943"/>
      <c r="W1128" s="871" t="str">
        <f>IF(CHSHTAData!AA14=0,"",CHSHTAData!AA14)</f>
        <v/>
      </c>
      <c r="X1128" s="871"/>
      <c r="Y1128" s="871"/>
      <c r="Z1128" s="871"/>
      <c r="AA1128" s="518"/>
      <c r="AB1128" s="518"/>
      <c r="AC1128" s="594"/>
      <c r="AD1128" s="588"/>
      <c r="AE1128" s="588"/>
      <c r="AF1128" s="529"/>
      <c r="AG1128" s="529"/>
      <c r="AH1128" s="529"/>
      <c r="AJ1128" s="595" t="b">
        <f t="shared" si="23"/>
        <v>0</v>
      </c>
    </row>
    <row r="1129" spans="1:36" hidden="1" x14ac:dyDescent="0.45">
      <c r="A1129" s="518"/>
      <c r="B1129" s="514" t="s">
        <v>1417</v>
      </c>
      <c r="C1129" s="535"/>
      <c r="D1129" s="535"/>
      <c r="E1129" s="535"/>
      <c r="F1129" s="535"/>
      <c r="G1129" s="885" t="str">
        <f>IF(CHSHTAData!T15=0,"",CHSHTAData!T15)</f>
        <v/>
      </c>
      <c r="H1129" s="885"/>
      <c r="I1129" s="939">
        <f>CHSHTAData!W15</f>
        <v>0</v>
      </c>
      <c r="J1129" s="939"/>
      <c r="K1129" s="943" t="str">
        <f>IF(CHSHTAData!X15=0,"",CHSHTAData!X15)</f>
        <v/>
      </c>
      <c r="L1129" s="943"/>
      <c r="M1129" s="943"/>
      <c r="N1129" s="943"/>
      <c r="O1129" s="943" t="str">
        <f>IF(CHSHTAData!Y15=0,"",CHSHTAData!Y15)</f>
        <v/>
      </c>
      <c r="P1129" s="943"/>
      <c r="Q1129" s="943"/>
      <c r="R1129" s="943"/>
      <c r="S1129" s="943">
        <f t="shared" si="24"/>
        <v>0</v>
      </c>
      <c r="T1129" s="943"/>
      <c r="U1129" s="943"/>
      <c r="V1129" s="943"/>
      <c r="W1129" s="871" t="str">
        <f>IF(CHSHTAData!AA15=0,"",CHSHTAData!AA15)</f>
        <v/>
      </c>
      <c r="X1129" s="871"/>
      <c r="Y1129" s="871"/>
      <c r="Z1129" s="871"/>
      <c r="AA1129" s="518"/>
      <c r="AB1129" s="518"/>
      <c r="AC1129" s="594"/>
      <c r="AD1129" s="588"/>
      <c r="AE1129" s="588"/>
      <c r="AF1129" s="529"/>
      <c r="AG1129" s="529"/>
      <c r="AH1129" s="529"/>
      <c r="AJ1129" s="595" t="b">
        <f t="shared" si="23"/>
        <v>0</v>
      </c>
    </row>
    <row r="1130" spans="1:36" hidden="1" x14ac:dyDescent="0.45">
      <c r="A1130" s="518"/>
      <c r="B1130" s="514" t="s">
        <v>1418</v>
      </c>
      <c r="C1130" s="535"/>
      <c r="D1130" s="535"/>
      <c r="E1130" s="535"/>
      <c r="F1130" s="535"/>
      <c r="G1130" s="885" t="str">
        <f>IF(CHSHTAData!T16=0,"",CHSHTAData!T16)</f>
        <v/>
      </c>
      <c r="H1130" s="885"/>
      <c r="I1130" s="939">
        <f>CHSHTAData!W16</f>
        <v>0</v>
      </c>
      <c r="J1130" s="939"/>
      <c r="K1130" s="943" t="str">
        <f>IF(CHSHTAData!X16=0,"",CHSHTAData!X16)</f>
        <v/>
      </c>
      <c r="L1130" s="943"/>
      <c r="M1130" s="943"/>
      <c r="N1130" s="943"/>
      <c r="O1130" s="943" t="str">
        <f>IF(CHSHTAData!Y16=0,"",CHSHTAData!Y16)</f>
        <v/>
      </c>
      <c r="P1130" s="943"/>
      <c r="Q1130" s="943"/>
      <c r="R1130" s="943"/>
      <c r="S1130" s="943">
        <f t="shared" si="24"/>
        <v>0</v>
      </c>
      <c r="T1130" s="943"/>
      <c r="U1130" s="943"/>
      <c r="V1130" s="943"/>
      <c r="W1130" s="871" t="str">
        <f>IF(CHSHTAData!AA16=0,"",CHSHTAData!AA16)</f>
        <v/>
      </c>
      <c r="X1130" s="871"/>
      <c r="Y1130" s="871"/>
      <c r="Z1130" s="871"/>
      <c r="AA1130" s="518"/>
      <c r="AB1130" s="518"/>
      <c r="AC1130" s="594"/>
      <c r="AD1130" s="588"/>
      <c r="AE1130" s="588"/>
      <c r="AF1130" s="529"/>
      <c r="AG1130" s="529"/>
      <c r="AH1130" s="529"/>
      <c r="AJ1130" s="595" t="b">
        <f t="shared" si="23"/>
        <v>0</v>
      </c>
    </row>
    <row r="1131" spans="1:36" hidden="1" x14ac:dyDescent="0.45">
      <c r="A1131" s="518"/>
      <c r="B1131" s="514" t="s">
        <v>1419</v>
      </c>
      <c r="C1131" s="535"/>
      <c r="D1131" s="535"/>
      <c r="E1131" s="535"/>
      <c r="F1131" s="535"/>
      <c r="G1131" s="885" t="str">
        <f>IF(CHSHTAData!T17=0,"",CHSHTAData!T17)</f>
        <v/>
      </c>
      <c r="H1131" s="885"/>
      <c r="I1131" s="939">
        <f>CHSHTAData!W17</f>
        <v>0</v>
      </c>
      <c r="J1131" s="939"/>
      <c r="K1131" s="943" t="str">
        <f>IF(CHSHTAData!X17=0,"",CHSHTAData!X17)</f>
        <v/>
      </c>
      <c r="L1131" s="943"/>
      <c r="M1131" s="943"/>
      <c r="N1131" s="943"/>
      <c r="O1131" s="943" t="str">
        <f>IF(CHSHTAData!Y17=0,"",CHSHTAData!Y17)</f>
        <v/>
      </c>
      <c r="P1131" s="943"/>
      <c r="Q1131" s="943"/>
      <c r="R1131" s="943"/>
      <c r="S1131" s="943">
        <f t="shared" si="24"/>
        <v>0</v>
      </c>
      <c r="T1131" s="943"/>
      <c r="U1131" s="943"/>
      <c r="V1131" s="943"/>
      <c r="W1131" s="871" t="str">
        <f>IF(CHSHTAData!AA17=0,"",CHSHTAData!AA17)</f>
        <v/>
      </c>
      <c r="X1131" s="871"/>
      <c r="Y1131" s="871"/>
      <c r="Z1131" s="871"/>
      <c r="AA1131" s="518"/>
      <c r="AB1131" s="518"/>
      <c r="AC1131" s="594"/>
      <c r="AD1131" s="588"/>
      <c r="AE1131" s="588"/>
      <c r="AF1131" s="529"/>
      <c r="AG1131" s="529"/>
      <c r="AH1131" s="529"/>
      <c r="AJ1131" s="595" t="b">
        <f t="shared" si="23"/>
        <v>0</v>
      </c>
    </row>
    <row r="1132" spans="1:36" hidden="1" x14ac:dyDescent="0.45">
      <c r="A1132" s="518"/>
      <c r="B1132" s="514" t="s">
        <v>1420</v>
      </c>
      <c r="C1132" s="535"/>
      <c r="D1132" s="535"/>
      <c r="E1132" s="535"/>
      <c r="F1132" s="535"/>
      <c r="G1132" s="885" t="str">
        <f>IF(CHSHTAData!T18=0,"",CHSHTAData!T18)</f>
        <v/>
      </c>
      <c r="H1132" s="885"/>
      <c r="I1132" s="939">
        <f>CHSHTAData!W18</f>
        <v>0</v>
      </c>
      <c r="J1132" s="939"/>
      <c r="K1132" s="943" t="str">
        <f>IF(CHSHTAData!X18=0,"",CHSHTAData!X18)</f>
        <v/>
      </c>
      <c r="L1132" s="943"/>
      <c r="M1132" s="943"/>
      <c r="N1132" s="943"/>
      <c r="O1132" s="943" t="str">
        <f>IF(CHSHTAData!Y18=0,"",CHSHTAData!Y18)</f>
        <v/>
      </c>
      <c r="P1132" s="943"/>
      <c r="Q1132" s="943"/>
      <c r="R1132" s="943"/>
      <c r="S1132" s="943">
        <f t="shared" si="24"/>
        <v>0</v>
      </c>
      <c r="T1132" s="943"/>
      <c r="U1132" s="943"/>
      <c r="V1132" s="943"/>
      <c r="W1132" s="871" t="str">
        <f>IF(CHSHTAData!AA18=0,"",CHSHTAData!AA18)</f>
        <v/>
      </c>
      <c r="X1132" s="871"/>
      <c r="Y1132" s="871"/>
      <c r="Z1132" s="871"/>
      <c r="AA1132" s="518"/>
      <c r="AB1132" s="518"/>
      <c r="AC1132" s="594"/>
      <c r="AD1132" s="588"/>
      <c r="AE1132" s="588"/>
      <c r="AF1132" s="529"/>
      <c r="AG1132" s="529"/>
      <c r="AH1132" s="529"/>
      <c r="AJ1132" s="595" t="b">
        <f t="shared" si="23"/>
        <v>0</v>
      </c>
    </row>
    <row r="1133" spans="1:36" hidden="1" x14ac:dyDescent="0.45">
      <c r="A1133" s="518"/>
      <c r="B1133" s="514" t="s">
        <v>1421</v>
      </c>
      <c r="C1133" s="535"/>
      <c r="D1133" s="535"/>
      <c r="E1133" s="535"/>
      <c r="F1133" s="535"/>
      <c r="G1133" s="885" t="str">
        <f>IF(CHSHTAData!T19=0,"",CHSHTAData!T19)</f>
        <v/>
      </c>
      <c r="H1133" s="885"/>
      <c r="I1133" s="939">
        <f>CHSHTAData!W19</f>
        <v>0</v>
      </c>
      <c r="J1133" s="939"/>
      <c r="K1133" s="943" t="str">
        <f>IF(CHSHTAData!X19=0,"",CHSHTAData!X19)</f>
        <v/>
      </c>
      <c r="L1133" s="943"/>
      <c r="M1133" s="943"/>
      <c r="N1133" s="943"/>
      <c r="O1133" s="943" t="str">
        <f>IF(CHSHTAData!Y19=0,"",CHSHTAData!Y19)</f>
        <v/>
      </c>
      <c r="P1133" s="943"/>
      <c r="Q1133" s="943"/>
      <c r="R1133" s="943"/>
      <c r="S1133" s="943">
        <f t="shared" si="24"/>
        <v>0</v>
      </c>
      <c r="T1133" s="943"/>
      <c r="U1133" s="943"/>
      <c r="V1133" s="943"/>
      <c r="W1133" s="871" t="str">
        <f>IF(CHSHTAData!AA19=0,"",CHSHTAData!AA19)</f>
        <v/>
      </c>
      <c r="X1133" s="871"/>
      <c r="Y1133" s="871"/>
      <c r="Z1133" s="871"/>
      <c r="AA1133" s="518"/>
      <c r="AB1133" s="518"/>
      <c r="AC1133" s="594"/>
      <c r="AD1133" s="588"/>
      <c r="AE1133" s="588"/>
      <c r="AF1133" s="529"/>
      <c r="AG1133" s="529"/>
      <c r="AH1133" s="529"/>
      <c r="AJ1133" s="595" t="b">
        <f t="shared" si="23"/>
        <v>0</v>
      </c>
    </row>
    <row r="1134" spans="1:36" hidden="1" x14ac:dyDescent="0.45">
      <c r="A1134" s="518"/>
      <c r="B1134" s="514" t="s">
        <v>1422</v>
      </c>
      <c r="C1134" s="535"/>
      <c r="D1134" s="535"/>
      <c r="E1134" s="535"/>
      <c r="F1134" s="535"/>
      <c r="G1134" s="885" t="str">
        <f>IF(CHSHTAData!T20=0,"",CHSHTAData!T20)</f>
        <v/>
      </c>
      <c r="H1134" s="885"/>
      <c r="I1134" s="939">
        <f>CHSHTAData!W20</f>
        <v>0</v>
      </c>
      <c r="J1134" s="939"/>
      <c r="K1134" s="943" t="str">
        <f>IF(CHSHTAData!X20=0,"",CHSHTAData!X20)</f>
        <v/>
      </c>
      <c r="L1134" s="943"/>
      <c r="M1134" s="943"/>
      <c r="N1134" s="943"/>
      <c r="O1134" s="943" t="str">
        <f>IF(CHSHTAData!Y20=0,"",CHSHTAData!Y20)</f>
        <v/>
      </c>
      <c r="P1134" s="943"/>
      <c r="Q1134" s="943"/>
      <c r="R1134" s="943"/>
      <c r="S1134" s="943">
        <f t="shared" si="24"/>
        <v>0</v>
      </c>
      <c r="T1134" s="943"/>
      <c r="U1134" s="943"/>
      <c r="V1134" s="943"/>
      <c r="W1134" s="871" t="str">
        <f>IF(CHSHTAData!AA20=0,"",CHSHTAData!AA20)</f>
        <v/>
      </c>
      <c r="X1134" s="871"/>
      <c r="Y1134" s="871"/>
      <c r="Z1134" s="871"/>
      <c r="AA1134" s="518"/>
      <c r="AB1134" s="518"/>
      <c r="AC1134" s="594"/>
      <c r="AD1134" s="588"/>
      <c r="AE1134" s="588"/>
      <c r="AF1134" s="529"/>
      <c r="AG1134" s="529"/>
      <c r="AH1134" s="529"/>
      <c r="AJ1134" s="595" t="b">
        <f t="shared" si="23"/>
        <v>0</v>
      </c>
    </row>
    <row r="1135" spans="1:36" hidden="1" x14ac:dyDescent="0.45">
      <c r="A1135" s="518"/>
      <c r="B1135" s="514" t="s">
        <v>1423</v>
      </c>
      <c r="C1135" s="535"/>
      <c r="D1135" s="535"/>
      <c r="E1135" s="535"/>
      <c r="F1135" s="535"/>
      <c r="G1135" s="885" t="str">
        <f>IF(CHSHTAData!T21=0,"",CHSHTAData!T21)</f>
        <v/>
      </c>
      <c r="H1135" s="885"/>
      <c r="I1135" s="939">
        <f>CHSHTAData!W21</f>
        <v>0</v>
      </c>
      <c r="J1135" s="939"/>
      <c r="K1135" s="943" t="str">
        <f>IF(CHSHTAData!X21=0,"",CHSHTAData!X21)</f>
        <v/>
      </c>
      <c r="L1135" s="943"/>
      <c r="M1135" s="943"/>
      <c r="N1135" s="943"/>
      <c r="O1135" s="943" t="str">
        <f>IF(CHSHTAData!Y21=0,"",CHSHTAData!Y21)</f>
        <v/>
      </c>
      <c r="P1135" s="943"/>
      <c r="Q1135" s="943"/>
      <c r="R1135" s="943"/>
      <c r="S1135" s="943">
        <f t="shared" si="24"/>
        <v>0</v>
      </c>
      <c r="T1135" s="943"/>
      <c r="U1135" s="943"/>
      <c r="V1135" s="943"/>
      <c r="W1135" s="871" t="str">
        <f>IF(CHSHTAData!AA21=0,"",CHSHTAData!AA21)</f>
        <v/>
      </c>
      <c r="X1135" s="871"/>
      <c r="Y1135" s="871"/>
      <c r="Z1135" s="871"/>
      <c r="AA1135" s="518"/>
      <c r="AB1135" s="518"/>
      <c r="AC1135" s="594"/>
      <c r="AD1135" s="588"/>
      <c r="AE1135" s="588"/>
      <c r="AF1135" s="529"/>
      <c r="AG1135" s="529"/>
      <c r="AH1135" s="529"/>
      <c r="AJ1135" s="595" t="b">
        <f t="shared" si="23"/>
        <v>0</v>
      </c>
    </row>
    <row r="1136" spans="1:36" hidden="1" x14ac:dyDescent="0.45">
      <c r="A1136" s="518"/>
      <c r="B1136" s="514" t="s">
        <v>1424</v>
      </c>
      <c r="C1136" s="535"/>
      <c r="D1136" s="535"/>
      <c r="E1136" s="535"/>
      <c r="F1136" s="535"/>
      <c r="G1136" s="885" t="str">
        <f>IF(CHSHTAData!T22=0,"",CHSHTAData!T22)</f>
        <v/>
      </c>
      <c r="H1136" s="885"/>
      <c r="I1136" s="939">
        <f>CHSHTAData!W22</f>
        <v>0</v>
      </c>
      <c r="J1136" s="939"/>
      <c r="K1136" s="943" t="str">
        <f>IF(CHSHTAData!X22=0,"",CHSHTAData!X22)</f>
        <v/>
      </c>
      <c r="L1136" s="943"/>
      <c r="M1136" s="943"/>
      <c r="N1136" s="943"/>
      <c r="O1136" s="943" t="str">
        <f>IF(CHSHTAData!Y22=0,"",CHSHTAData!Y22)</f>
        <v/>
      </c>
      <c r="P1136" s="943"/>
      <c r="Q1136" s="943"/>
      <c r="R1136" s="943"/>
      <c r="S1136" s="943">
        <f t="shared" si="24"/>
        <v>0</v>
      </c>
      <c r="T1136" s="943"/>
      <c r="U1136" s="943"/>
      <c r="V1136" s="943"/>
      <c r="W1136" s="871" t="str">
        <f>IF(CHSHTAData!AA22=0,"",CHSHTAData!AA22)</f>
        <v/>
      </c>
      <c r="X1136" s="871"/>
      <c r="Y1136" s="871"/>
      <c r="Z1136" s="871"/>
      <c r="AA1136" s="518"/>
      <c r="AB1136" s="518"/>
      <c r="AC1136" s="594"/>
      <c r="AD1136" s="588"/>
      <c r="AE1136" s="588"/>
      <c r="AF1136" s="529"/>
      <c r="AG1136" s="529"/>
      <c r="AH1136" s="529"/>
      <c r="AJ1136" s="595" t="b">
        <f t="shared" si="23"/>
        <v>0</v>
      </c>
    </row>
    <row r="1137" spans="1:36" hidden="1" x14ac:dyDescent="0.45">
      <c r="A1137" s="518"/>
      <c r="B1137" s="514" t="s">
        <v>1425</v>
      </c>
      <c r="C1137" s="535"/>
      <c r="D1137" s="535"/>
      <c r="E1137" s="535"/>
      <c r="F1137" s="535"/>
      <c r="G1137" s="885" t="str">
        <f>IF(CHSHTAData!T23=0,"",CHSHTAData!T23)</f>
        <v/>
      </c>
      <c r="H1137" s="885"/>
      <c r="I1137" s="939">
        <f>CHSHTAData!W23</f>
        <v>0</v>
      </c>
      <c r="J1137" s="939"/>
      <c r="K1137" s="943" t="str">
        <f>IF(CHSHTAData!X23=0,"",CHSHTAData!X23)</f>
        <v/>
      </c>
      <c r="L1137" s="943"/>
      <c r="M1137" s="943"/>
      <c r="N1137" s="943"/>
      <c r="O1137" s="943" t="str">
        <f>IF(CHSHTAData!Y23=0,"",CHSHTAData!Y23)</f>
        <v/>
      </c>
      <c r="P1137" s="943"/>
      <c r="Q1137" s="943"/>
      <c r="R1137" s="943"/>
      <c r="S1137" s="943">
        <f t="shared" si="24"/>
        <v>0</v>
      </c>
      <c r="T1137" s="943"/>
      <c r="U1137" s="943"/>
      <c r="V1137" s="943"/>
      <c r="W1137" s="871" t="str">
        <f>IF(CHSHTAData!AA23=0,"",CHSHTAData!AA23)</f>
        <v/>
      </c>
      <c r="X1137" s="871"/>
      <c r="Y1137" s="871"/>
      <c r="Z1137" s="871"/>
      <c r="AA1137" s="518"/>
      <c r="AB1137" s="518"/>
      <c r="AC1137" s="594"/>
      <c r="AD1137" s="588"/>
      <c r="AE1137" s="588"/>
      <c r="AF1137" s="529"/>
      <c r="AG1137" s="529"/>
      <c r="AH1137" s="529"/>
      <c r="AJ1137" s="595" t="b">
        <f t="shared" si="23"/>
        <v>0</v>
      </c>
    </row>
    <row r="1138" spans="1:36" hidden="1" x14ac:dyDescent="0.45">
      <c r="A1138" s="518"/>
      <c r="B1138" s="514" t="s">
        <v>1426</v>
      </c>
      <c r="C1138" s="535"/>
      <c r="D1138" s="535"/>
      <c r="E1138" s="535"/>
      <c r="F1138" s="535"/>
      <c r="G1138" s="885" t="str">
        <f>IF(CHSHTAData!T24=0,"",CHSHTAData!T24)</f>
        <v/>
      </c>
      <c r="H1138" s="885"/>
      <c r="I1138" s="939">
        <f>CHSHTAData!W24</f>
        <v>0</v>
      </c>
      <c r="J1138" s="939"/>
      <c r="K1138" s="943" t="str">
        <f>IF(CHSHTAData!X24=0,"",CHSHTAData!X24)</f>
        <v/>
      </c>
      <c r="L1138" s="943"/>
      <c r="M1138" s="943"/>
      <c r="N1138" s="943"/>
      <c r="O1138" s="943" t="str">
        <f>IF(CHSHTAData!Y24=0,"",CHSHTAData!Y24)</f>
        <v/>
      </c>
      <c r="P1138" s="943"/>
      <c r="Q1138" s="943"/>
      <c r="R1138" s="943"/>
      <c r="S1138" s="943">
        <f t="shared" si="24"/>
        <v>0</v>
      </c>
      <c r="T1138" s="943"/>
      <c r="U1138" s="943"/>
      <c r="V1138" s="943"/>
      <c r="W1138" s="871" t="str">
        <f>IF(CHSHTAData!AA24=0,"",CHSHTAData!AA24)</f>
        <v/>
      </c>
      <c r="X1138" s="871"/>
      <c r="Y1138" s="871"/>
      <c r="Z1138" s="871"/>
      <c r="AA1138" s="518"/>
      <c r="AB1138" s="518"/>
      <c r="AC1138" s="594"/>
      <c r="AD1138" s="588"/>
      <c r="AE1138" s="588"/>
      <c r="AF1138" s="529"/>
      <c r="AG1138" s="529"/>
      <c r="AH1138" s="529"/>
      <c r="AJ1138" s="595" t="b">
        <f t="shared" si="23"/>
        <v>0</v>
      </c>
    </row>
    <row r="1139" spans="1:36" hidden="1" x14ac:dyDescent="0.45">
      <c r="A1139" s="518"/>
      <c r="B1139" s="514" t="s">
        <v>1427</v>
      </c>
      <c r="C1139" s="535"/>
      <c r="D1139" s="535"/>
      <c r="E1139" s="535"/>
      <c r="F1139" s="535"/>
      <c r="G1139" s="885" t="str">
        <f>IF(CHSHTAData!T25=0,"",CHSHTAData!T25)</f>
        <v/>
      </c>
      <c r="H1139" s="885"/>
      <c r="I1139" s="939">
        <f>CHSHTAData!W25</f>
        <v>0</v>
      </c>
      <c r="J1139" s="939"/>
      <c r="K1139" s="943" t="str">
        <f>IF(CHSHTAData!X25=0,"",CHSHTAData!X25)</f>
        <v/>
      </c>
      <c r="L1139" s="943"/>
      <c r="M1139" s="943"/>
      <c r="N1139" s="943"/>
      <c r="O1139" s="943" t="str">
        <f>IF(CHSHTAData!Y25=0,"",CHSHTAData!Y25)</f>
        <v/>
      </c>
      <c r="P1139" s="943"/>
      <c r="Q1139" s="943"/>
      <c r="R1139" s="943"/>
      <c r="S1139" s="943">
        <f t="shared" si="24"/>
        <v>0</v>
      </c>
      <c r="T1139" s="943"/>
      <c r="U1139" s="943"/>
      <c r="V1139" s="943"/>
      <c r="W1139" s="871" t="str">
        <f>IF(CHSHTAData!AA25=0,"",CHSHTAData!AA25)</f>
        <v/>
      </c>
      <c r="X1139" s="871"/>
      <c r="Y1139" s="871"/>
      <c r="Z1139" s="871"/>
      <c r="AA1139" s="518"/>
      <c r="AB1139" s="518"/>
      <c r="AC1139" s="594"/>
      <c r="AD1139" s="588"/>
      <c r="AE1139" s="588"/>
      <c r="AF1139" s="529"/>
      <c r="AG1139" s="529"/>
      <c r="AH1139" s="529"/>
      <c r="AJ1139" s="595" t="b">
        <f t="shared" si="23"/>
        <v>0</v>
      </c>
    </row>
    <row r="1140" spans="1:36" hidden="1" x14ac:dyDescent="0.45">
      <c r="A1140" s="518"/>
      <c r="B1140" s="514" t="s">
        <v>1428</v>
      </c>
      <c r="C1140" s="535"/>
      <c r="D1140" s="535"/>
      <c r="E1140" s="535"/>
      <c r="F1140" s="535"/>
      <c r="G1140" s="885" t="str">
        <f>IF(CHSHTAData!T26=0,"",CHSHTAData!T26)</f>
        <v/>
      </c>
      <c r="H1140" s="885"/>
      <c r="I1140" s="939">
        <f>CHSHTAData!W26</f>
        <v>0</v>
      </c>
      <c r="J1140" s="939"/>
      <c r="K1140" s="943" t="str">
        <f>IF(CHSHTAData!X26=0,"",CHSHTAData!X26)</f>
        <v/>
      </c>
      <c r="L1140" s="943"/>
      <c r="M1140" s="943"/>
      <c r="N1140" s="943"/>
      <c r="O1140" s="943" t="str">
        <f>IF(CHSHTAData!Y26=0,"",CHSHTAData!Y26)</f>
        <v/>
      </c>
      <c r="P1140" s="943"/>
      <c r="Q1140" s="943"/>
      <c r="R1140" s="943"/>
      <c r="S1140" s="943">
        <f t="shared" si="24"/>
        <v>0</v>
      </c>
      <c r="T1140" s="943"/>
      <c r="U1140" s="943"/>
      <c r="V1140" s="943"/>
      <c r="W1140" s="871" t="str">
        <f>IF(CHSHTAData!AA26=0,"",CHSHTAData!AA26)</f>
        <v/>
      </c>
      <c r="X1140" s="871"/>
      <c r="Y1140" s="871"/>
      <c r="Z1140" s="871"/>
      <c r="AA1140" s="518"/>
      <c r="AB1140" s="518"/>
      <c r="AC1140" s="594"/>
      <c r="AD1140" s="588"/>
      <c r="AE1140" s="588"/>
      <c r="AF1140" s="529"/>
      <c r="AG1140" s="529"/>
      <c r="AH1140" s="529"/>
      <c r="AJ1140" s="595" t="b">
        <f t="shared" si="23"/>
        <v>0</v>
      </c>
    </row>
    <row r="1141" spans="1:36" hidden="1" x14ac:dyDescent="0.45">
      <c r="A1141" s="518"/>
      <c r="B1141" s="514" t="s">
        <v>1429</v>
      </c>
      <c r="C1141" s="535"/>
      <c r="D1141" s="535"/>
      <c r="E1141" s="535"/>
      <c r="F1141" s="535"/>
      <c r="G1141" s="885" t="str">
        <f>IF(CHSHTAData!T27=0,"",CHSHTAData!T27)</f>
        <v/>
      </c>
      <c r="H1141" s="885"/>
      <c r="I1141" s="939">
        <f>CHSHTAData!W27</f>
        <v>0</v>
      </c>
      <c r="J1141" s="939"/>
      <c r="K1141" s="943" t="str">
        <f>IF(CHSHTAData!X27=0,"",CHSHTAData!X27)</f>
        <v/>
      </c>
      <c r="L1141" s="943"/>
      <c r="M1141" s="943"/>
      <c r="N1141" s="943"/>
      <c r="O1141" s="943" t="str">
        <f>IF(CHSHTAData!Y27=0,"",CHSHTAData!Y27)</f>
        <v/>
      </c>
      <c r="P1141" s="943"/>
      <c r="Q1141" s="943"/>
      <c r="R1141" s="943"/>
      <c r="S1141" s="943">
        <f t="shared" si="24"/>
        <v>0</v>
      </c>
      <c r="T1141" s="943"/>
      <c r="U1141" s="943"/>
      <c r="V1141" s="943"/>
      <c r="W1141" s="871" t="str">
        <f>IF(CHSHTAData!AA27=0,"",CHSHTAData!AA27)</f>
        <v/>
      </c>
      <c r="X1141" s="871"/>
      <c r="Y1141" s="871"/>
      <c r="Z1141" s="871"/>
      <c r="AA1141" s="518"/>
      <c r="AB1141" s="518"/>
      <c r="AC1141" s="594"/>
      <c r="AD1141" s="588"/>
      <c r="AE1141" s="588"/>
      <c r="AF1141" s="529"/>
      <c r="AG1141" s="529"/>
      <c r="AH1141" s="529"/>
      <c r="AJ1141" s="595" t="b">
        <f t="shared" si="23"/>
        <v>0</v>
      </c>
    </row>
    <row r="1142" spans="1:36" hidden="1" x14ac:dyDescent="0.45">
      <c r="A1142" s="518"/>
      <c r="B1142" s="514" t="s">
        <v>1430</v>
      </c>
      <c r="C1142" s="535"/>
      <c r="D1142" s="535"/>
      <c r="E1142" s="535"/>
      <c r="F1142" s="535"/>
      <c r="G1142" s="885" t="str">
        <f>IF(CHSHTAData!T28=0,"",CHSHTAData!T28)</f>
        <v/>
      </c>
      <c r="H1142" s="885"/>
      <c r="I1142" s="939">
        <f>CHSHTAData!W28</f>
        <v>0</v>
      </c>
      <c r="J1142" s="939"/>
      <c r="K1142" s="943" t="str">
        <f>IF(CHSHTAData!X28=0,"",CHSHTAData!X28)</f>
        <v/>
      </c>
      <c r="L1142" s="943"/>
      <c r="M1142" s="943"/>
      <c r="N1142" s="943"/>
      <c r="O1142" s="943" t="str">
        <f>IF(CHSHTAData!Y28=0,"",CHSHTAData!Y28)</f>
        <v/>
      </c>
      <c r="P1142" s="943"/>
      <c r="Q1142" s="943"/>
      <c r="R1142" s="943"/>
      <c r="S1142" s="943">
        <f t="shared" si="24"/>
        <v>0</v>
      </c>
      <c r="T1142" s="943"/>
      <c r="U1142" s="943"/>
      <c r="V1142" s="943"/>
      <c r="W1142" s="871" t="str">
        <f>IF(CHSHTAData!AA28=0,"",CHSHTAData!AA28)</f>
        <v/>
      </c>
      <c r="X1142" s="871"/>
      <c r="Y1142" s="871"/>
      <c r="Z1142" s="871"/>
      <c r="AA1142" s="518"/>
      <c r="AB1142" s="518"/>
      <c r="AC1142" s="594"/>
      <c r="AD1142" s="588"/>
      <c r="AE1142" s="588"/>
      <c r="AF1142" s="529"/>
      <c r="AG1142" s="529"/>
      <c r="AH1142" s="529"/>
      <c r="AJ1142" s="595" t="b">
        <f t="shared" si="23"/>
        <v>0</v>
      </c>
    </row>
    <row r="1143" spans="1:36" hidden="1" x14ac:dyDescent="0.45">
      <c r="A1143" s="518"/>
      <c r="B1143" s="514" t="s">
        <v>1431</v>
      </c>
      <c r="C1143" s="535"/>
      <c r="D1143" s="535"/>
      <c r="E1143" s="535"/>
      <c r="F1143" s="535"/>
      <c r="G1143" s="885" t="str">
        <f>IF(CHSHTAData!T29=0,"",CHSHTAData!T29)</f>
        <v/>
      </c>
      <c r="H1143" s="885"/>
      <c r="I1143" s="939">
        <f>CHSHTAData!W29</f>
        <v>0</v>
      </c>
      <c r="J1143" s="939"/>
      <c r="K1143" s="943" t="str">
        <f>IF(CHSHTAData!X29=0,"",CHSHTAData!X29)</f>
        <v/>
      </c>
      <c r="L1143" s="943"/>
      <c r="M1143" s="943"/>
      <c r="N1143" s="943"/>
      <c r="O1143" s="943" t="str">
        <f>IF(CHSHTAData!Y29=0,"",CHSHTAData!Y29)</f>
        <v/>
      </c>
      <c r="P1143" s="943"/>
      <c r="Q1143" s="943"/>
      <c r="R1143" s="943"/>
      <c r="S1143" s="943">
        <f t="shared" si="24"/>
        <v>0</v>
      </c>
      <c r="T1143" s="943"/>
      <c r="U1143" s="943"/>
      <c r="V1143" s="943"/>
      <c r="W1143" s="871" t="str">
        <f>IF(CHSHTAData!AA29=0,"",CHSHTAData!AA29)</f>
        <v/>
      </c>
      <c r="X1143" s="871"/>
      <c r="Y1143" s="871"/>
      <c r="Z1143" s="871"/>
      <c r="AA1143" s="518"/>
      <c r="AB1143" s="518"/>
      <c r="AC1143" s="594"/>
      <c r="AD1143" s="588"/>
      <c r="AE1143" s="588"/>
      <c r="AF1143" s="529"/>
      <c r="AG1143" s="529"/>
      <c r="AH1143" s="529"/>
      <c r="AJ1143" s="595" t="b">
        <f t="shared" si="23"/>
        <v>0</v>
      </c>
    </row>
    <row r="1144" spans="1:36" hidden="1" x14ac:dyDescent="0.45">
      <c r="A1144" s="518"/>
      <c r="B1144" s="514" t="s">
        <v>1432</v>
      </c>
      <c r="C1144" s="535"/>
      <c r="D1144" s="535"/>
      <c r="E1144" s="535"/>
      <c r="F1144" s="535"/>
      <c r="G1144" s="885" t="str">
        <f>IF(CHSHTAData!T30=0,"",CHSHTAData!T30)</f>
        <v/>
      </c>
      <c r="H1144" s="885"/>
      <c r="I1144" s="939">
        <f>CHSHTAData!W30</f>
        <v>0</v>
      </c>
      <c r="J1144" s="939"/>
      <c r="K1144" s="943" t="str">
        <f>IF(CHSHTAData!X30=0,"",CHSHTAData!X30)</f>
        <v/>
      </c>
      <c r="L1144" s="943"/>
      <c r="M1144" s="943"/>
      <c r="N1144" s="943"/>
      <c r="O1144" s="943" t="str">
        <f>IF(CHSHTAData!Y30=0,"",CHSHTAData!Y30)</f>
        <v/>
      </c>
      <c r="P1144" s="943"/>
      <c r="Q1144" s="943"/>
      <c r="R1144" s="943"/>
      <c r="S1144" s="943">
        <f t="shared" si="24"/>
        <v>0</v>
      </c>
      <c r="T1144" s="943"/>
      <c r="U1144" s="943"/>
      <c r="V1144" s="943"/>
      <c r="W1144" s="871" t="str">
        <f>IF(CHSHTAData!AA30=0,"",CHSHTAData!AA30)</f>
        <v/>
      </c>
      <c r="X1144" s="871"/>
      <c r="Y1144" s="871"/>
      <c r="Z1144" s="871"/>
      <c r="AA1144" s="518"/>
      <c r="AB1144" s="518"/>
      <c r="AC1144" s="594"/>
      <c r="AD1144" s="588"/>
      <c r="AE1144" s="588"/>
      <c r="AF1144" s="529"/>
      <c r="AG1144" s="529"/>
      <c r="AH1144" s="529"/>
      <c r="AJ1144" s="595" t="b">
        <f t="shared" si="23"/>
        <v>0</v>
      </c>
    </row>
    <row r="1145" spans="1:36" hidden="1" x14ac:dyDescent="0.45">
      <c r="A1145" s="518"/>
      <c r="B1145" s="514" t="s">
        <v>1433</v>
      </c>
      <c r="C1145" s="535"/>
      <c r="D1145" s="535"/>
      <c r="E1145" s="535"/>
      <c r="F1145" s="535"/>
      <c r="G1145" s="885" t="str">
        <f>IF(CHSHTAData!T31=0,"",CHSHTAData!T31)</f>
        <v/>
      </c>
      <c r="H1145" s="885"/>
      <c r="I1145" s="939">
        <f>CHSHTAData!W31</f>
        <v>0</v>
      </c>
      <c r="J1145" s="939"/>
      <c r="K1145" s="943" t="str">
        <f>IF(CHSHTAData!X31=0,"",CHSHTAData!X31)</f>
        <v/>
      </c>
      <c r="L1145" s="943"/>
      <c r="M1145" s="943"/>
      <c r="N1145" s="943"/>
      <c r="O1145" s="943" t="str">
        <f>IF(CHSHTAData!Y31=0,"",CHSHTAData!Y31)</f>
        <v/>
      </c>
      <c r="P1145" s="943"/>
      <c r="Q1145" s="943"/>
      <c r="R1145" s="943"/>
      <c r="S1145" s="943">
        <f t="shared" si="24"/>
        <v>0</v>
      </c>
      <c r="T1145" s="943"/>
      <c r="U1145" s="943"/>
      <c r="V1145" s="943"/>
      <c r="W1145" s="871" t="str">
        <f>IF(CHSHTAData!AA31=0,"",CHSHTAData!AA31)</f>
        <v/>
      </c>
      <c r="X1145" s="871"/>
      <c r="Y1145" s="871"/>
      <c r="Z1145" s="871"/>
      <c r="AA1145" s="518"/>
      <c r="AB1145" s="518"/>
      <c r="AC1145" s="594"/>
      <c r="AD1145" s="588"/>
      <c r="AE1145" s="588"/>
      <c r="AF1145" s="529"/>
      <c r="AG1145" s="529"/>
      <c r="AH1145" s="529"/>
      <c r="AJ1145" s="595" t="b">
        <f t="shared" si="23"/>
        <v>0</v>
      </c>
    </row>
    <row r="1146" spans="1:36" hidden="1" x14ac:dyDescent="0.45">
      <c r="A1146" s="518"/>
      <c r="B1146" s="514" t="s">
        <v>1434</v>
      </c>
      <c r="C1146" s="535"/>
      <c r="D1146" s="535"/>
      <c r="E1146" s="535"/>
      <c r="F1146" s="535"/>
      <c r="G1146" s="885" t="str">
        <f>IF(CHSHTAData!T32=0,"",CHSHTAData!T32)</f>
        <v/>
      </c>
      <c r="H1146" s="885"/>
      <c r="I1146" s="939">
        <f>CHSHTAData!W32</f>
        <v>0</v>
      </c>
      <c r="J1146" s="939"/>
      <c r="K1146" s="943" t="str">
        <f>IF(CHSHTAData!X32=0,"",CHSHTAData!X32)</f>
        <v/>
      </c>
      <c r="L1146" s="943"/>
      <c r="M1146" s="943"/>
      <c r="N1146" s="943"/>
      <c r="O1146" s="943" t="str">
        <f>IF(CHSHTAData!Y32=0,"",CHSHTAData!Y32)</f>
        <v/>
      </c>
      <c r="P1146" s="943"/>
      <c r="Q1146" s="943"/>
      <c r="R1146" s="943"/>
      <c r="S1146" s="943">
        <f t="shared" si="24"/>
        <v>0</v>
      </c>
      <c r="T1146" s="943"/>
      <c r="U1146" s="943"/>
      <c r="V1146" s="943"/>
      <c r="W1146" s="871" t="str">
        <f>IF(CHSHTAData!AA32=0,"",CHSHTAData!AA32)</f>
        <v/>
      </c>
      <c r="X1146" s="871"/>
      <c r="Y1146" s="871"/>
      <c r="Z1146" s="871"/>
      <c r="AA1146" s="518"/>
      <c r="AB1146" s="518"/>
      <c r="AC1146" s="594"/>
      <c r="AD1146" s="588"/>
      <c r="AE1146" s="588"/>
      <c r="AF1146" s="529"/>
      <c r="AG1146" s="529"/>
      <c r="AH1146" s="529"/>
      <c r="AJ1146" s="595" t="b">
        <f t="shared" si="23"/>
        <v>0</v>
      </c>
    </row>
    <row r="1147" spans="1:36" hidden="1" x14ac:dyDescent="0.45">
      <c r="A1147" s="518"/>
      <c r="B1147" s="514" t="s">
        <v>1435</v>
      </c>
      <c r="C1147" s="535"/>
      <c r="D1147" s="535"/>
      <c r="E1147" s="535"/>
      <c r="F1147" s="535"/>
      <c r="G1147" s="885" t="str">
        <f>IF(CHSHTAData!T33=0,"",CHSHTAData!T33)</f>
        <v/>
      </c>
      <c r="H1147" s="885"/>
      <c r="I1147" s="939">
        <f>CHSHTAData!W33</f>
        <v>0</v>
      </c>
      <c r="J1147" s="939"/>
      <c r="K1147" s="943" t="str">
        <f>IF(CHSHTAData!X33=0,"",CHSHTAData!X33)</f>
        <v/>
      </c>
      <c r="L1147" s="943"/>
      <c r="M1147" s="943"/>
      <c r="N1147" s="943"/>
      <c r="O1147" s="943" t="str">
        <f>IF(CHSHTAData!Y33=0,"",CHSHTAData!Y33)</f>
        <v/>
      </c>
      <c r="P1147" s="943"/>
      <c r="Q1147" s="943"/>
      <c r="R1147" s="943"/>
      <c r="S1147" s="943">
        <f t="shared" si="24"/>
        <v>0</v>
      </c>
      <c r="T1147" s="943"/>
      <c r="U1147" s="943"/>
      <c r="V1147" s="943"/>
      <c r="W1147" s="871" t="str">
        <f>IF(CHSHTAData!AA33=0,"",CHSHTAData!AA33)</f>
        <v/>
      </c>
      <c r="X1147" s="871"/>
      <c r="Y1147" s="871"/>
      <c r="Z1147" s="871"/>
      <c r="AA1147" s="518"/>
      <c r="AB1147" s="518"/>
      <c r="AC1147" s="594"/>
      <c r="AD1147" s="588"/>
      <c r="AE1147" s="588"/>
      <c r="AF1147" s="529"/>
      <c r="AG1147" s="529"/>
      <c r="AH1147" s="529"/>
      <c r="AJ1147" s="595" t="b">
        <f t="shared" si="23"/>
        <v>0</v>
      </c>
    </row>
    <row r="1148" spans="1:36" hidden="1" x14ac:dyDescent="0.45">
      <c r="A1148" s="518"/>
      <c r="B1148" s="514" t="s">
        <v>1436</v>
      </c>
      <c r="C1148" s="535"/>
      <c r="D1148" s="535"/>
      <c r="E1148" s="535"/>
      <c r="F1148" s="535"/>
      <c r="G1148" s="885" t="str">
        <f>IF(CHSHTAData!T34=0,"",CHSHTAData!T34)</f>
        <v/>
      </c>
      <c r="H1148" s="885"/>
      <c r="I1148" s="939">
        <f>CHSHTAData!W34</f>
        <v>0</v>
      </c>
      <c r="J1148" s="939"/>
      <c r="K1148" s="943" t="str">
        <f>IF(CHSHTAData!X34=0,"",CHSHTAData!X34)</f>
        <v/>
      </c>
      <c r="L1148" s="943"/>
      <c r="M1148" s="943"/>
      <c r="N1148" s="943"/>
      <c r="O1148" s="943" t="str">
        <f>IF(CHSHTAData!Y34=0,"",CHSHTAData!Y34)</f>
        <v/>
      </c>
      <c r="P1148" s="943"/>
      <c r="Q1148" s="943"/>
      <c r="R1148" s="943"/>
      <c r="S1148" s="943">
        <f t="shared" si="24"/>
        <v>0</v>
      </c>
      <c r="T1148" s="943"/>
      <c r="U1148" s="943"/>
      <c r="V1148" s="943"/>
      <c r="W1148" s="871" t="str">
        <f>IF(CHSHTAData!AA34=0,"",CHSHTAData!AA34)</f>
        <v/>
      </c>
      <c r="X1148" s="871"/>
      <c r="Y1148" s="871"/>
      <c r="Z1148" s="871"/>
      <c r="AA1148" s="518"/>
      <c r="AB1148" s="518"/>
      <c r="AC1148" s="594"/>
      <c r="AD1148" s="588"/>
      <c r="AE1148" s="588"/>
      <c r="AF1148" s="529"/>
      <c r="AG1148" s="529"/>
      <c r="AH1148" s="529"/>
      <c r="AJ1148" s="595" t="b">
        <f t="shared" si="23"/>
        <v>0</v>
      </c>
    </row>
    <row r="1149" spans="1:36" hidden="1" x14ac:dyDescent="0.45">
      <c r="A1149" s="518"/>
      <c r="B1149" s="514" t="s">
        <v>1437</v>
      </c>
      <c r="C1149" s="535"/>
      <c r="D1149" s="535"/>
      <c r="E1149" s="535"/>
      <c r="F1149" s="535"/>
      <c r="G1149" s="885" t="str">
        <f>IF(CHSHTAData!T35=0,"",CHSHTAData!T35)</f>
        <v/>
      </c>
      <c r="H1149" s="885"/>
      <c r="I1149" s="939">
        <f>CHSHTAData!W35</f>
        <v>0</v>
      </c>
      <c r="J1149" s="939"/>
      <c r="K1149" s="943" t="str">
        <f>IF(CHSHTAData!X35=0,"",CHSHTAData!X35)</f>
        <v/>
      </c>
      <c r="L1149" s="943"/>
      <c r="M1149" s="943"/>
      <c r="N1149" s="943"/>
      <c r="O1149" s="943" t="str">
        <f>IF(CHSHTAData!Y35=0,"",CHSHTAData!Y35)</f>
        <v/>
      </c>
      <c r="P1149" s="943"/>
      <c r="Q1149" s="943"/>
      <c r="R1149" s="943"/>
      <c r="S1149" s="943">
        <f t="shared" si="24"/>
        <v>0</v>
      </c>
      <c r="T1149" s="943"/>
      <c r="U1149" s="943"/>
      <c r="V1149" s="943"/>
      <c r="W1149" s="871" t="str">
        <f>IF(CHSHTAData!AA35=0,"",CHSHTAData!AA35)</f>
        <v/>
      </c>
      <c r="X1149" s="871"/>
      <c r="Y1149" s="871"/>
      <c r="Z1149" s="871"/>
      <c r="AA1149" s="518"/>
      <c r="AB1149" s="518"/>
      <c r="AC1149" s="594"/>
      <c r="AD1149" s="588"/>
      <c r="AE1149" s="588"/>
      <c r="AF1149" s="529"/>
      <c r="AG1149" s="529"/>
      <c r="AH1149" s="529"/>
      <c r="AJ1149" s="595" t="b">
        <f t="shared" ref="AJ1149:AJ1174" si="25">IF(AND(AJ$1110,S1149&gt;0),TRUE,FALSE)</f>
        <v>0</v>
      </c>
    </row>
    <row r="1150" spans="1:36" hidden="1" x14ac:dyDescent="0.45">
      <c r="A1150" s="518"/>
      <c r="B1150" s="514" t="s">
        <v>1438</v>
      </c>
      <c r="C1150" s="535"/>
      <c r="D1150" s="535"/>
      <c r="E1150" s="535"/>
      <c r="F1150" s="535"/>
      <c r="G1150" s="885" t="str">
        <f>IF(CHSHTAData!T36=0,"",CHSHTAData!T36)</f>
        <v/>
      </c>
      <c r="H1150" s="885"/>
      <c r="I1150" s="939">
        <f>CHSHTAData!W36</f>
        <v>0</v>
      </c>
      <c r="J1150" s="939"/>
      <c r="K1150" s="943" t="str">
        <f>IF(CHSHTAData!X36=0,"",CHSHTAData!X36)</f>
        <v/>
      </c>
      <c r="L1150" s="943"/>
      <c r="M1150" s="943"/>
      <c r="N1150" s="943"/>
      <c r="O1150" s="943" t="str">
        <f>IF(CHSHTAData!Y36=0,"",CHSHTAData!Y36)</f>
        <v/>
      </c>
      <c r="P1150" s="943"/>
      <c r="Q1150" s="943"/>
      <c r="R1150" s="943"/>
      <c r="S1150" s="943">
        <f t="shared" si="24"/>
        <v>0</v>
      </c>
      <c r="T1150" s="943"/>
      <c r="U1150" s="943"/>
      <c r="V1150" s="943"/>
      <c r="W1150" s="871" t="str">
        <f>IF(CHSHTAData!AA36=0,"",CHSHTAData!AA36)</f>
        <v/>
      </c>
      <c r="X1150" s="871"/>
      <c r="Y1150" s="871"/>
      <c r="Z1150" s="871"/>
      <c r="AA1150" s="518"/>
      <c r="AB1150" s="518"/>
      <c r="AC1150" s="594"/>
      <c r="AD1150" s="588"/>
      <c r="AE1150" s="588"/>
      <c r="AF1150" s="529"/>
      <c r="AG1150" s="529"/>
      <c r="AH1150" s="529"/>
      <c r="AJ1150" s="595" t="b">
        <f t="shared" si="25"/>
        <v>0</v>
      </c>
    </row>
    <row r="1151" spans="1:36" hidden="1" x14ac:dyDescent="0.45">
      <c r="A1151" s="518"/>
      <c r="B1151" s="514" t="s">
        <v>1439</v>
      </c>
      <c r="C1151" s="535"/>
      <c r="D1151" s="535"/>
      <c r="E1151" s="535"/>
      <c r="F1151" s="535"/>
      <c r="G1151" s="885" t="str">
        <f>IF(CHSHTAData!T37=0,"",CHSHTAData!T37)</f>
        <v/>
      </c>
      <c r="H1151" s="885"/>
      <c r="I1151" s="939">
        <f>CHSHTAData!W37</f>
        <v>0</v>
      </c>
      <c r="J1151" s="939"/>
      <c r="K1151" s="943" t="str">
        <f>IF(CHSHTAData!X37=0,"",CHSHTAData!X37)</f>
        <v/>
      </c>
      <c r="L1151" s="943"/>
      <c r="M1151" s="943"/>
      <c r="N1151" s="943"/>
      <c r="O1151" s="943" t="str">
        <f>IF(CHSHTAData!Y37=0,"",CHSHTAData!Y37)</f>
        <v/>
      </c>
      <c r="P1151" s="943"/>
      <c r="Q1151" s="943"/>
      <c r="R1151" s="943"/>
      <c r="S1151" s="943">
        <f t="shared" si="24"/>
        <v>0</v>
      </c>
      <c r="T1151" s="943"/>
      <c r="U1151" s="943"/>
      <c r="V1151" s="943"/>
      <c r="W1151" s="871" t="str">
        <f>IF(CHSHTAData!AA37=0,"",CHSHTAData!AA37)</f>
        <v/>
      </c>
      <c r="X1151" s="871"/>
      <c r="Y1151" s="871"/>
      <c r="Z1151" s="871"/>
      <c r="AA1151" s="518"/>
      <c r="AB1151" s="518"/>
      <c r="AC1151" s="594"/>
      <c r="AD1151" s="588"/>
      <c r="AE1151" s="588"/>
      <c r="AF1151" s="529"/>
      <c r="AG1151" s="529"/>
      <c r="AH1151" s="529"/>
      <c r="AJ1151" s="595" t="b">
        <f t="shared" si="25"/>
        <v>0</v>
      </c>
    </row>
    <row r="1152" spans="1:36" hidden="1" x14ac:dyDescent="0.45">
      <c r="A1152" s="518"/>
      <c r="B1152" s="514" t="s">
        <v>1440</v>
      </c>
      <c r="C1152" s="535"/>
      <c r="D1152" s="535"/>
      <c r="E1152" s="535"/>
      <c r="F1152" s="535"/>
      <c r="G1152" s="885" t="str">
        <f>IF(CHSHTAData!T38=0,"",CHSHTAData!T38)</f>
        <v/>
      </c>
      <c r="H1152" s="885"/>
      <c r="I1152" s="939">
        <f>CHSHTAData!W38</f>
        <v>0</v>
      </c>
      <c r="J1152" s="939"/>
      <c r="K1152" s="943" t="str">
        <f>IF(CHSHTAData!X38=0,"",CHSHTAData!X38)</f>
        <v/>
      </c>
      <c r="L1152" s="943"/>
      <c r="M1152" s="943"/>
      <c r="N1152" s="943"/>
      <c r="O1152" s="943" t="str">
        <f>IF(CHSHTAData!Y38=0,"",CHSHTAData!Y38)</f>
        <v/>
      </c>
      <c r="P1152" s="943"/>
      <c r="Q1152" s="943"/>
      <c r="R1152" s="943"/>
      <c r="S1152" s="943">
        <f t="shared" si="24"/>
        <v>0</v>
      </c>
      <c r="T1152" s="943"/>
      <c r="U1152" s="943"/>
      <c r="V1152" s="943"/>
      <c r="W1152" s="871" t="str">
        <f>IF(CHSHTAData!AA38=0,"",CHSHTAData!AA38)</f>
        <v/>
      </c>
      <c r="X1152" s="871"/>
      <c r="Y1152" s="871"/>
      <c r="Z1152" s="871"/>
      <c r="AA1152" s="518"/>
      <c r="AB1152" s="518"/>
      <c r="AC1152" s="594"/>
      <c r="AD1152" s="588"/>
      <c r="AE1152" s="588"/>
      <c r="AF1152" s="529"/>
      <c r="AG1152" s="529"/>
      <c r="AH1152" s="529"/>
      <c r="AJ1152" s="595" t="b">
        <f t="shared" si="25"/>
        <v>0</v>
      </c>
    </row>
    <row r="1153" spans="1:36" hidden="1" x14ac:dyDescent="0.45">
      <c r="A1153" s="518"/>
      <c r="B1153" s="514" t="s">
        <v>1441</v>
      </c>
      <c r="C1153" s="535"/>
      <c r="D1153" s="535"/>
      <c r="E1153" s="535"/>
      <c r="F1153" s="535"/>
      <c r="G1153" s="885" t="str">
        <f>IF(CHSHTAData!T39=0,"",CHSHTAData!T39)</f>
        <v/>
      </c>
      <c r="H1153" s="885"/>
      <c r="I1153" s="939">
        <f>CHSHTAData!W39</f>
        <v>0</v>
      </c>
      <c r="J1153" s="939"/>
      <c r="K1153" s="943" t="str">
        <f>IF(CHSHTAData!X39=0,"",CHSHTAData!X39)</f>
        <v/>
      </c>
      <c r="L1153" s="943"/>
      <c r="M1153" s="943"/>
      <c r="N1153" s="943"/>
      <c r="O1153" s="943" t="str">
        <f>IF(CHSHTAData!Y39=0,"",CHSHTAData!Y39)</f>
        <v/>
      </c>
      <c r="P1153" s="943"/>
      <c r="Q1153" s="943"/>
      <c r="R1153" s="943"/>
      <c r="S1153" s="943">
        <f t="shared" si="24"/>
        <v>0</v>
      </c>
      <c r="T1153" s="943"/>
      <c r="U1153" s="943"/>
      <c r="V1153" s="943"/>
      <c r="W1153" s="871" t="str">
        <f>IF(CHSHTAData!AA39=0,"",CHSHTAData!AA39)</f>
        <v/>
      </c>
      <c r="X1153" s="871"/>
      <c r="Y1153" s="871"/>
      <c r="Z1153" s="871"/>
      <c r="AA1153" s="518"/>
      <c r="AB1153" s="518"/>
      <c r="AC1153" s="594"/>
      <c r="AD1153" s="588"/>
      <c r="AE1153" s="588"/>
      <c r="AF1153" s="529"/>
      <c r="AG1153" s="529"/>
      <c r="AH1153" s="529"/>
      <c r="AJ1153" s="595" t="b">
        <f t="shared" si="25"/>
        <v>0</v>
      </c>
    </row>
    <row r="1154" spans="1:36" hidden="1" x14ac:dyDescent="0.45">
      <c r="A1154" s="518"/>
      <c r="B1154" s="514" t="s">
        <v>152</v>
      </c>
      <c r="C1154" s="535"/>
      <c r="D1154" s="535"/>
      <c r="E1154" s="535"/>
      <c r="F1154" s="535"/>
      <c r="G1154" s="885" t="str">
        <f>IF(CHSHTAData!T40=0,"",CHSHTAData!T40)</f>
        <v/>
      </c>
      <c r="H1154" s="885"/>
      <c r="I1154" s="939">
        <f>CHSHTAData!W40</f>
        <v>0</v>
      </c>
      <c r="J1154" s="939"/>
      <c r="K1154" s="943" t="str">
        <f>IF(CHSHTAData!X40=0,"",CHSHTAData!X40)</f>
        <v/>
      </c>
      <c r="L1154" s="943"/>
      <c r="M1154" s="943"/>
      <c r="N1154" s="943"/>
      <c r="O1154" s="943" t="str">
        <f>IF(CHSHTAData!Y40=0,"",CHSHTAData!Y40)</f>
        <v/>
      </c>
      <c r="P1154" s="943"/>
      <c r="Q1154" s="943"/>
      <c r="R1154" s="943"/>
      <c r="S1154" s="943">
        <f t="shared" si="24"/>
        <v>0</v>
      </c>
      <c r="T1154" s="943"/>
      <c r="U1154" s="943"/>
      <c r="V1154" s="943"/>
      <c r="W1154" s="871" t="str">
        <f>IF(CHSHTAData!AA40=0,"",CHSHTAData!AA40)</f>
        <v/>
      </c>
      <c r="X1154" s="871"/>
      <c r="Y1154" s="871"/>
      <c r="Z1154" s="871"/>
      <c r="AA1154" s="518"/>
      <c r="AB1154" s="518"/>
      <c r="AC1154" s="594"/>
      <c r="AD1154" s="588"/>
      <c r="AE1154" s="588"/>
      <c r="AF1154" s="529"/>
      <c r="AG1154" s="529"/>
      <c r="AH1154" s="529"/>
      <c r="AJ1154" s="595" t="b">
        <f t="shared" si="25"/>
        <v>0</v>
      </c>
    </row>
    <row r="1155" spans="1:36" hidden="1" x14ac:dyDescent="0.45">
      <c r="A1155" s="518"/>
      <c r="B1155" s="514" t="s">
        <v>1442</v>
      </c>
      <c r="C1155" s="535"/>
      <c r="D1155" s="535"/>
      <c r="E1155" s="535"/>
      <c r="F1155" s="535"/>
      <c r="G1155" s="885" t="str">
        <f>IF(CHSHTAData!T41=0,"",CHSHTAData!T41)</f>
        <v/>
      </c>
      <c r="H1155" s="885"/>
      <c r="I1155" s="939">
        <f>CHSHTAData!W41</f>
        <v>0</v>
      </c>
      <c r="J1155" s="939"/>
      <c r="K1155" s="943" t="str">
        <f>IF(CHSHTAData!X41=0,"",CHSHTAData!X41)</f>
        <v/>
      </c>
      <c r="L1155" s="943"/>
      <c r="M1155" s="943"/>
      <c r="N1155" s="943"/>
      <c r="O1155" s="943" t="str">
        <f>IF(CHSHTAData!Y41=0,"",CHSHTAData!Y41)</f>
        <v/>
      </c>
      <c r="P1155" s="943"/>
      <c r="Q1155" s="943"/>
      <c r="R1155" s="943"/>
      <c r="S1155" s="943">
        <f t="shared" si="24"/>
        <v>0</v>
      </c>
      <c r="T1155" s="943"/>
      <c r="U1155" s="943"/>
      <c r="V1155" s="943"/>
      <c r="W1155" s="871" t="str">
        <f>IF(CHSHTAData!AA41=0,"",CHSHTAData!AA41)</f>
        <v/>
      </c>
      <c r="X1155" s="871"/>
      <c r="Y1155" s="871"/>
      <c r="Z1155" s="871"/>
      <c r="AA1155" s="518"/>
      <c r="AB1155" s="518"/>
      <c r="AC1155" s="594"/>
      <c r="AD1155" s="588"/>
      <c r="AE1155" s="588"/>
      <c r="AF1155" s="529"/>
      <c r="AG1155" s="529"/>
      <c r="AH1155" s="529"/>
      <c r="AJ1155" s="595" t="b">
        <f t="shared" si="25"/>
        <v>0</v>
      </c>
    </row>
    <row r="1156" spans="1:36" hidden="1" x14ac:dyDescent="0.45">
      <c r="A1156" s="518"/>
      <c r="B1156" s="514" t="s">
        <v>1443</v>
      </c>
      <c r="C1156" s="535"/>
      <c r="D1156" s="535"/>
      <c r="E1156" s="535"/>
      <c r="F1156" s="535"/>
      <c r="G1156" s="885" t="str">
        <f>IF(CHSHTAData!T42=0,"",CHSHTAData!T42)</f>
        <v/>
      </c>
      <c r="H1156" s="885"/>
      <c r="I1156" s="939">
        <f>CHSHTAData!W42</f>
        <v>0</v>
      </c>
      <c r="J1156" s="939"/>
      <c r="K1156" s="943" t="str">
        <f>IF(CHSHTAData!X42=0,"",CHSHTAData!X42)</f>
        <v/>
      </c>
      <c r="L1156" s="943"/>
      <c r="M1156" s="943"/>
      <c r="N1156" s="943"/>
      <c r="O1156" s="943" t="str">
        <f>IF(CHSHTAData!Y42=0,"",CHSHTAData!Y42)</f>
        <v/>
      </c>
      <c r="P1156" s="943"/>
      <c r="Q1156" s="943"/>
      <c r="R1156" s="943"/>
      <c r="S1156" s="943">
        <f t="shared" si="24"/>
        <v>0</v>
      </c>
      <c r="T1156" s="943"/>
      <c r="U1156" s="943"/>
      <c r="V1156" s="943"/>
      <c r="W1156" s="871" t="str">
        <f>IF(CHSHTAData!AA42=0,"",CHSHTAData!AA42)</f>
        <v/>
      </c>
      <c r="X1156" s="871"/>
      <c r="Y1156" s="871"/>
      <c r="Z1156" s="871"/>
      <c r="AA1156" s="518"/>
      <c r="AB1156" s="518"/>
      <c r="AC1156" s="594"/>
      <c r="AD1156" s="588"/>
      <c r="AE1156" s="588"/>
      <c r="AF1156" s="529"/>
      <c r="AG1156" s="529"/>
      <c r="AH1156" s="529"/>
      <c r="AJ1156" s="595" t="b">
        <f t="shared" si="25"/>
        <v>0</v>
      </c>
    </row>
    <row r="1157" spans="1:36" hidden="1" x14ac:dyDescent="0.45">
      <c r="A1157" s="518"/>
      <c r="B1157" s="514" t="s">
        <v>1444</v>
      </c>
      <c r="C1157" s="535"/>
      <c r="D1157" s="535"/>
      <c r="E1157" s="535"/>
      <c r="F1157" s="535"/>
      <c r="G1157" s="885" t="str">
        <f>IF(CHSHTAData!T43=0,"",CHSHTAData!T43)</f>
        <v/>
      </c>
      <c r="H1157" s="885"/>
      <c r="I1157" s="939">
        <f>CHSHTAData!W43</f>
        <v>0</v>
      </c>
      <c r="J1157" s="939"/>
      <c r="K1157" s="943" t="str">
        <f>IF(CHSHTAData!X43=0,"",CHSHTAData!X43)</f>
        <v/>
      </c>
      <c r="L1157" s="943"/>
      <c r="M1157" s="943"/>
      <c r="N1157" s="943"/>
      <c r="O1157" s="943" t="str">
        <f>IF(CHSHTAData!Y43=0,"",CHSHTAData!Y43)</f>
        <v/>
      </c>
      <c r="P1157" s="943"/>
      <c r="Q1157" s="943"/>
      <c r="R1157" s="943"/>
      <c r="S1157" s="943">
        <f t="shared" si="24"/>
        <v>0</v>
      </c>
      <c r="T1157" s="943"/>
      <c r="U1157" s="943"/>
      <c r="V1157" s="943"/>
      <c r="W1157" s="871" t="str">
        <f>IF(CHSHTAData!AA43=0,"",CHSHTAData!AA43)</f>
        <v/>
      </c>
      <c r="X1157" s="871"/>
      <c r="Y1157" s="871"/>
      <c r="Z1157" s="871"/>
      <c r="AA1157" s="518"/>
      <c r="AB1157" s="518"/>
      <c r="AC1157" s="594"/>
      <c r="AD1157" s="588"/>
      <c r="AE1157" s="588"/>
      <c r="AF1157" s="529"/>
      <c r="AG1157" s="529"/>
      <c r="AH1157" s="529"/>
      <c r="AJ1157" s="595" t="b">
        <f t="shared" si="25"/>
        <v>0</v>
      </c>
    </row>
    <row r="1158" spans="1:36" hidden="1" x14ac:dyDescent="0.45">
      <c r="A1158" s="518"/>
      <c r="B1158" s="514" t="s">
        <v>1445</v>
      </c>
      <c r="C1158" s="535"/>
      <c r="D1158" s="535"/>
      <c r="E1158" s="535"/>
      <c r="F1158" s="535"/>
      <c r="G1158" s="885" t="str">
        <f>IF(CHSHTAData!T44=0,"",CHSHTAData!T44)</f>
        <v/>
      </c>
      <c r="H1158" s="885"/>
      <c r="I1158" s="939">
        <f>CHSHTAData!W44</f>
        <v>0</v>
      </c>
      <c r="J1158" s="939"/>
      <c r="K1158" s="943" t="str">
        <f>IF(CHSHTAData!X44=0,"",CHSHTAData!X44)</f>
        <v/>
      </c>
      <c r="L1158" s="943"/>
      <c r="M1158" s="943"/>
      <c r="N1158" s="943"/>
      <c r="O1158" s="943" t="str">
        <f>IF(CHSHTAData!Y44=0,"",CHSHTAData!Y44)</f>
        <v/>
      </c>
      <c r="P1158" s="943"/>
      <c r="Q1158" s="943"/>
      <c r="R1158" s="943"/>
      <c r="S1158" s="943">
        <f t="shared" si="24"/>
        <v>0</v>
      </c>
      <c r="T1158" s="943"/>
      <c r="U1158" s="943"/>
      <c r="V1158" s="943"/>
      <c r="W1158" s="871" t="str">
        <f>IF(CHSHTAData!AA44=0,"",CHSHTAData!AA44)</f>
        <v/>
      </c>
      <c r="X1158" s="871"/>
      <c r="Y1158" s="871"/>
      <c r="Z1158" s="871"/>
      <c r="AA1158" s="518"/>
      <c r="AB1158" s="518"/>
      <c r="AC1158" s="594"/>
      <c r="AD1158" s="588"/>
      <c r="AE1158" s="588"/>
      <c r="AF1158" s="529"/>
      <c r="AG1158" s="529"/>
      <c r="AH1158" s="529"/>
      <c r="AJ1158" s="595" t="b">
        <f t="shared" si="25"/>
        <v>0</v>
      </c>
    </row>
    <row r="1159" spans="1:36" hidden="1" x14ac:dyDescent="0.45">
      <c r="A1159" s="518"/>
      <c r="B1159" s="514" t="s">
        <v>1446</v>
      </c>
      <c r="C1159" s="535"/>
      <c r="D1159" s="535"/>
      <c r="E1159" s="535"/>
      <c r="F1159" s="535"/>
      <c r="G1159" s="885" t="str">
        <f>IF(CHSHTAData!T45=0,"",CHSHTAData!T45)</f>
        <v/>
      </c>
      <c r="H1159" s="885"/>
      <c r="I1159" s="939">
        <f>CHSHTAData!W45</f>
        <v>0</v>
      </c>
      <c r="J1159" s="939"/>
      <c r="K1159" s="943" t="str">
        <f>IF(CHSHTAData!X45=0,"",CHSHTAData!X45)</f>
        <v/>
      </c>
      <c r="L1159" s="943"/>
      <c r="M1159" s="943"/>
      <c r="N1159" s="943"/>
      <c r="O1159" s="943" t="str">
        <f>IF(CHSHTAData!Y45=0,"",CHSHTAData!Y45)</f>
        <v/>
      </c>
      <c r="P1159" s="943"/>
      <c r="Q1159" s="943"/>
      <c r="R1159" s="943"/>
      <c r="S1159" s="943">
        <f t="shared" si="24"/>
        <v>0</v>
      </c>
      <c r="T1159" s="943"/>
      <c r="U1159" s="943"/>
      <c r="V1159" s="943"/>
      <c r="W1159" s="871" t="str">
        <f>IF(CHSHTAData!AA45=0,"",CHSHTAData!AA45)</f>
        <v/>
      </c>
      <c r="X1159" s="871"/>
      <c r="Y1159" s="871"/>
      <c r="Z1159" s="871"/>
      <c r="AA1159" s="518"/>
      <c r="AB1159" s="518"/>
      <c r="AC1159" s="594"/>
      <c r="AD1159" s="588"/>
      <c r="AE1159" s="588"/>
      <c r="AF1159" s="529"/>
      <c r="AG1159" s="529"/>
      <c r="AH1159" s="529"/>
      <c r="AJ1159" s="595" t="b">
        <f t="shared" si="25"/>
        <v>0</v>
      </c>
    </row>
    <row r="1160" spans="1:36" hidden="1" x14ac:dyDescent="0.45">
      <c r="B1160" s="514" t="s">
        <v>1447</v>
      </c>
      <c r="C1160" s="535"/>
      <c r="D1160" s="535"/>
      <c r="E1160" s="535"/>
      <c r="F1160" s="535"/>
      <c r="G1160" s="885" t="str">
        <f>IF(CHSHTAData!T46=0,"",CHSHTAData!T46)</f>
        <v/>
      </c>
      <c r="H1160" s="885"/>
      <c r="I1160" s="939">
        <f>CHSHTAData!W46</f>
        <v>0</v>
      </c>
      <c r="J1160" s="939"/>
      <c r="K1160" s="943" t="str">
        <f>IF(CHSHTAData!X46=0,"",CHSHTAData!X46)</f>
        <v/>
      </c>
      <c r="L1160" s="943"/>
      <c r="M1160" s="943"/>
      <c r="N1160" s="943"/>
      <c r="O1160" s="943" t="str">
        <f>IF(CHSHTAData!Y46=0,"",CHSHTAData!Y46)</f>
        <v/>
      </c>
      <c r="P1160" s="943"/>
      <c r="Q1160" s="943"/>
      <c r="R1160" s="943"/>
      <c r="S1160" s="943">
        <f t="shared" si="24"/>
        <v>0</v>
      </c>
      <c r="T1160" s="943"/>
      <c r="U1160" s="943"/>
      <c r="V1160" s="943"/>
      <c r="W1160" s="871" t="str">
        <f>IF(CHSHTAData!AA46=0,"",CHSHTAData!AA46)</f>
        <v/>
      </c>
      <c r="X1160" s="871"/>
      <c r="Y1160" s="871"/>
      <c r="Z1160" s="871"/>
      <c r="AA1160" s="518"/>
      <c r="AB1160" s="518"/>
      <c r="AC1160" s="594"/>
      <c r="AD1160" s="588"/>
      <c r="AE1160" s="588"/>
      <c r="AF1160" s="529"/>
      <c r="AG1160" s="529"/>
      <c r="AH1160" s="518"/>
      <c r="AJ1160" s="595" t="b">
        <f t="shared" si="25"/>
        <v>0</v>
      </c>
    </row>
    <row r="1161" spans="1:36" hidden="1" x14ac:dyDescent="0.45">
      <c r="B1161" s="514" t="s">
        <v>1448</v>
      </c>
      <c r="C1161" s="535"/>
      <c r="D1161" s="535"/>
      <c r="E1161" s="535"/>
      <c r="F1161" s="535"/>
      <c r="G1161" s="885" t="str">
        <f>IF(CHSHTAData!T47=0,"",CHSHTAData!T47)</f>
        <v/>
      </c>
      <c r="H1161" s="885"/>
      <c r="I1161" s="939">
        <f>CHSHTAData!W47</f>
        <v>0</v>
      </c>
      <c r="J1161" s="939"/>
      <c r="K1161" s="943" t="str">
        <f>IF(CHSHTAData!X47=0,"",CHSHTAData!X47)</f>
        <v/>
      </c>
      <c r="L1161" s="943"/>
      <c r="M1161" s="943"/>
      <c r="N1161" s="943"/>
      <c r="O1161" s="943" t="str">
        <f>IF(CHSHTAData!Y47=0,"",CHSHTAData!Y47)</f>
        <v/>
      </c>
      <c r="P1161" s="943"/>
      <c r="Q1161" s="943"/>
      <c r="R1161" s="943"/>
      <c r="S1161" s="943">
        <f t="shared" si="24"/>
        <v>0</v>
      </c>
      <c r="T1161" s="943"/>
      <c r="U1161" s="943"/>
      <c r="V1161" s="943"/>
      <c r="W1161" s="871" t="str">
        <f>IF(CHSHTAData!AA47=0,"",CHSHTAData!AA47)</f>
        <v/>
      </c>
      <c r="X1161" s="871"/>
      <c r="Y1161" s="871"/>
      <c r="Z1161" s="871"/>
      <c r="AA1161" s="518"/>
      <c r="AB1161" s="518"/>
      <c r="AC1161" s="594"/>
      <c r="AD1161" s="588"/>
      <c r="AE1161" s="588"/>
      <c r="AF1161" s="529"/>
      <c r="AG1161" s="529"/>
      <c r="AH1161" s="518"/>
      <c r="AJ1161" s="595" t="b">
        <f t="shared" si="25"/>
        <v>0</v>
      </c>
    </row>
    <row r="1162" spans="1:36" hidden="1" x14ac:dyDescent="0.45">
      <c r="B1162" s="514" t="s">
        <v>1449</v>
      </c>
      <c r="C1162" s="535"/>
      <c r="D1162" s="535"/>
      <c r="E1162" s="535"/>
      <c r="F1162" s="535"/>
      <c r="G1162" s="885" t="str">
        <f>IF(CHSHTAData!T48=0,"",CHSHTAData!T48)</f>
        <v/>
      </c>
      <c r="H1162" s="885"/>
      <c r="I1162" s="939">
        <f>CHSHTAData!W48</f>
        <v>0</v>
      </c>
      <c r="J1162" s="939"/>
      <c r="K1162" s="943" t="str">
        <f>IF(CHSHTAData!X48=0,"",CHSHTAData!X48)</f>
        <v/>
      </c>
      <c r="L1162" s="943"/>
      <c r="M1162" s="943"/>
      <c r="N1162" s="943"/>
      <c r="O1162" s="943" t="str">
        <f>IF(CHSHTAData!Y48=0,"",CHSHTAData!Y48)</f>
        <v/>
      </c>
      <c r="P1162" s="943"/>
      <c r="Q1162" s="943"/>
      <c r="R1162" s="943"/>
      <c r="S1162" s="943">
        <f t="shared" si="24"/>
        <v>0</v>
      </c>
      <c r="T1162" s="943"/>
      <c r="U1162" s="943"/>
      <c r="V1162" s="943"/>
      <c r="W1162" s="871" t="str">
        <f>IF(CHSHTAData!AA48=0,"",CHSHTAData!AA48)</f>
        <v/>
      </c>
      <c r="X1162" s="871"/>
      <c r="Y1162" s="871"/>
      <c r="Z1162" s="871"/>
      <c r="AA1162" s="518"/>
      <c r="AB1162" s="518"/>
      <c r="AC1162" s="594"/>
      <c r="AD1162" s="588"/>
      <c r="AE1162" s="588"/>
      <c r="AF1162" s="529"/>
      <c r="AG1162" s="529"/>
      <c r="AH1162" s="518"/>
      <c r="AJ1162" s="595" t="b">
        <f t="shared" si="25"/>
        <v>0</v>
      </c>
    </row>
    <row r="1163" spans="1:36" hidden="1" x14ac:dyDescent="0.45">
      <c r="B1163" s="514" t="s">
        <v>1450</v>
      </c>
      <c r="C1163" s="535"/>
      <c r="D1163" s="535"/>
      <c r="E1163" s="535"/>
      <c r="F1163" s="535"/>
      <c r="G1163" s="885" t="str">
        <f>IF(CHSHTAData!T49=0,"",CHSHTAData!T49)</f>
        <v/>
      </c>
      <c r="H1163" s="885"/>
      <c r="I1163" s="939">
        <f>CHSHTAData!W49</f>
        <v>0</v>
      </c>
      <c r="J1163" s="939"/>
      <c r="K1163" s="943" t="str">
        <f>IF(CHSHTAData!X49=0,"",CHSHTAData!X49)</f>
        <v/>
      </c>
      <c r="L1163" s="943"/>
      <c r="M1163" s="943"/>
      <c r="N1163" s="943"/>
      <c r="O1163" s="943" t="str">
        <f>IF(CHSHTAData!Y49=0,"",CHSHTAData!Y49)</f>
        <v/>
      </c>
      <c r="P1163" s="943"/>
      <c r="Q1163" s="943"/>
      <c r="R1163" s="943"/>
      <c r="S1163" s="943">
        <f t="shared" si="24"/>
        <v>0</v>
      </c>
      <c r="T1163" s="943"/>
      <c r="U1163" s="943"/>
      <c r="V1163" s="943"/>
      <c r="W1163" s="871" t="str">
        <f>IF(CHSHTAData!AA49=0,"",CHSHTAData!AA49)</f>
        <v/>
      </c>
      <c r="X1163" s="871"/>
      <c r="Y1163" s="871"/>
      <c r="Z1163" s="871"/>
      <c r="AA1163" s="518"/>
      <c r="AB1163" s="518"/>
      <c r="AC1163" s="594"/>
      <c r="AD1163" s="588"/>
      <c r="AE1163" s="588"/>
      <c r="AF1163" s="529"/>
      <c r="AG1163" s="529"/>
      <c r="AH1163" s="518"/>
      <c r="AJ1163" s="595" t="b">
        <f t="shared" si="25"/>
        <v>0</v>
      </c>
    </row>
    <row r="1164" spans="1:36" hidden="1" x14ac:dyDescent="0.45">
      <c r="B1164" s="514" t="s">
        <v>1451</v>
      </c>
      <c r="C1164" s="535"/>
      <c r="D1164" s="535"/>
      <c r="E1164" s="535"/>
      <c r="F1164" s="535"/>
      <c r="G1164" s="885" t="str">
        <f>IF(CHSHTAData!T50=0,"",CHSHTAData!T50)</f>
        <v/>
      </c>
      <c r="H1164" s="885"/>
      <c r="I1164" s="939">
        <f>CHSHTAData!W50</f>
        <v>0</v>
      </c>
      <c r="J1164" s="939"/>
      <c r="K1164" s="943" t="str">
        <f>IF(CHSHTAData!X50=0,"",CHSHTAData!X50)</f>
        <v/>
      </c>
      <c r="L1164" s="943"/>
      <c r="M1164" s="943"/>
      <c r="N1164" s="943"/>
      <c r="O1164" s="943" t="str">
        <f>IF(CHSHTAData!Y50=0,"",CHSHTAData!Y50)</f>
        <v/>
      </c>
      <c r="P1164" s="943"/>
      <c r="Q1164" s="943"/>
      <c r="R1164" s="943"/>
      <c r="S1164" s="943">
        <f t="shared" si="24"/>
        <v>0</v>
      </c>
      <c r="T1164" s="943"/>
      <c r="U1164" s="943"/>
      <c r="V1164" s="943"/>
      <c r="W1164" s="871" t="str">
        <f>IF(CHSHTAData!AA50=0,"",CHSHTAData!AA50)</f>
        <v/>
      </c>
      <c r="X1164" s="871"/>
      <c r="Y1164" s="871"/>
      <c r="Z1164" s="871"/>
      <c r="AA1164" s="518"/>
      <c r="AB1164" s="518"/>
      <c r="AC1164" s="594"/>
      <c r="AD1164" s="588"/>
      <c r="AE1164" s="588"/>
      <c r="AF1164" s="529"/>
      <c r="AG1164" s="529"/>
      <c r="AH1164" s="518"/>
      <c r="AJ1164" s="595" t="b">
        <f t="shared" si="25"/>
        <v>0</v>
      </c>
    </row>
    <row r="1165" spans="1:36" hidden="1" x14ac:dyDescent="0.45">
      <c r="B1165" s="514" t="s">
        <v>1452</v>
      </c>
      <c r="C1165" s="535"/>
      <c r="D1165" s="535"/>
      <c r="E1165" s="535"/>
      <c r="F1165" s="535"/>
      <c r="G1165" s="885" t="str">
        <f>IF(CHSHTAData!T51=0,"",CHSHTAData!T51)</f>
        <v/>
      </c>
      <c r="H1165" s="885"/>
      <c r="I1165" s="939">
        <f>CHSHTAData!W51</f>
        <v>0</v>
      </c>
      <c r="J1165" s="939"/>
      <c r="K1165" s="943" t="str">
        <f>IF(CHSHTAData!X51=0,"",CHSHTAData!X51)</f>
        <v/>
      </c>
      <c r="L1165" s="943"/>
      <c r="M1165" s="943"/>
      <c r="N1165" s="943"/>
      <c r="O1165" s="943" t="str">
        <f>IF(CHSHTAData!Y51=0,"",CHSHTAData!Y51)</f>
        <v/>
      </c>
      <c r="P1165" s="943"/>
      <c r="Q1165" s="943"/>
      <c r="R1165" s="943"/>
      <c r="S1165" s="943">
        <f t="shared" si="24"/>
        <v>0</v>
      </c>
      <c r="T1165" s="943"/>
      <c r="U1165" s="943"/>
      <c r="V1165" s="943"/>
      <c r="W1165" s="871" t="str">
        <f>IF(CHSHTAData!AA51=0,"",CHSHTAData!AA51)</f>
        <v/>
      </c>
      <c r="X1165" s="871"/>
      <c r="Y1165" s="871"/>
      <c r="Z1165" s="871"/>
      <c r="AA1165" s="518"/>
      <c r="AB1165" s="518"/>
      <c r="AC1165" s="594"/>
      <c r="AD1165" s="588"/>
      <c r="AE1165" s="588"/>
      <c r="AF1165" s="529"/>
      <c r="AG1165" s="529"/>
      <c r="AH1165" s="518"/>
      <c r="AJ1165" s="595" t="b">
        <f t="shared" si="25"/>
        <v>0</v>
      </c>
    </row>
    <row r="1166" spans="1:36" hidden="1" x14ac:dyDescent="0.45">
      <c r="B1166" s="514" t="s">
        <v>1453</v>
      </c>
      <c r="C1166" s="535"/>
      <c r="D1166" s="535"/>
      <c r="E1166" s="535"/>
      <c r="F1166" s="535"/>
      <c r="G1166" s="885" t="str">
        <f>IF(CHSHTAData!T52=0,"",CHSHTAData!T52)</f>
        <v/>
      </c>
      <c r="H1166" s="885"/>
      <c r="I1166" s="939">
        <f>CHSHTAData!W52</f>
        <v>0</v>
      </c>
      <c r="J1166" s="939"/>
      <c r="K1166" s="943" t="str">
        <f>IF(CHSHTAData!X52=0,"",CHSHTAData!X52)</f>
        <v/>
      </c>
      <c r="L1166" s="943"/>
      <c r="M1166" s="943"/>
      <c r="N1166" s="943"/>
      <c r="O1166" s="943" t="str">
        <f>IF(CHSHTAData!Y52=0,"",CHSHTAData!Y52)</f>
        <v/>
      </c>
      <c r="P1166" s="943"/>
      <c r="Q1166" s="943"/>
      <c r="R1166" s="943"/>
      <c r="S1166" s="943">
        <f t="shared" si="24"/>
        <v>0</v>
      </c>
      <c r="T1166" s="943"/>
      <c r="U1166" s="943"/>
      <c r="V1166" s="943"/>
      <c r="W1166" s="871" t="str">
        <f>IF(CHSHTAData!AA52=0,"",CHSHTAData!AA52)</f>
        <v/>
      </c>
      <c r="X1166" s="871"/>
      <c r="Y1166" s="871"/>
      <c r="Z1166" s="871"/>
      <c r="AA1166" s="518"/>
      <c r="AB1166" s="518"/>
      <c r="AC1166" s="594"/>
      <c r="AD1166" s="588"/>
      <c r="AE1166" s="588"/>
      <c r="AF1166" s="529"/>
      <c r="AG1166" s="529"/>
      <c r="AH1166" s="518"/>
      <c r="AJ1166" s="595" t="b">
        <f t="shared" si="25"/>
        <v>0</v>
      </c>
    </row>
    <row r="1167" spans="1:36" hidden="1" x14ac:dyDescent="0.45">
      <c r="B1167" s="514" t="s">
        <v>1454</v>
      </c>
      <c r="C1167" s="535"/>
      <c r="D1167" s="535"/>
      <c r="E1167" s="535"/>
      <c r="F1167" s="535"/>
      <c r="G1167" s="885" t="str">
        <f>IF(CHSHTAData!T53=0,"",CHSHTAData!T53)</f>
        <v/>
      </c>
      <c r="H1167" s="885"/>
      <c r="I1167" s="939">
        <f>CHSHTAData!W53</f>
        <v>0</v>
      </c>
      <c r="J1167" s="939"/>
      <c r="K1167" s="943" t="str">
        <f>IF(CHSHTAData!X53=0,"",CHSHTAData!X53)</f>
        <v/>
      </c>
      <c r="L1167" s="943"/>
      <c r="M1167" s="943"/>
      <c r="N1167" s="943"/>
      <c r="O1167" s="943" t="str">
        <f>IF(CHSHTAData!Y53=0,"",CHSHTAData!Y53)</f>
        <v/>
      </c>
      <c r="P1167" s="943"/>
      <c r="Q1167" s="943"/>
      <c r="R1167" s="943"/>
      <c r="S1167" s="943">
        <f t="shared" si="24"/>
        <v>0</v>
      </c>
      <c r="T1167" s="943"/>
      <c r="U1167" s="943"/>
      <c r="V1167" s="943"/>
      <c r="W1167" s="871" t="str">
        <f>IF(CHSHTAData!AA53=0,"",CHSHTAData!AA53)</f>
        <v/>
      </c>
      <c r="X1167" s="871"/>
      <c r="Y1167" s="871"/>
      <c r="Z1167" s="871"/>
      <c r="AA1167" s="518"/>
      <c r="AB1167" s="518"/>
      <c r="AC1167" s="594"/>
      <c r="AD1167" s="588"/>
      <c r="AE1167" s="588"/>
      <c r="AF1167" s="529"/>
      <c r="AG1167" s="529"/>
      <c r="AH1167" s="518"/>
      <c r="AJ1167" s="595" t="b">
        <f t="shared" si="25"/>
        <v>0</v>
      </c>
    </row>
    <row r="1168" spans="1:36" hidden="1" x14ac:dyDescent="0.45">
      <c r="B1168" s="514" t="s">
        <v>1455</v>
      </c>
      <c r="C1168" s="535"/>
      <c r="D1168" s="535"/>
      <c r="E1168" s="535"/>
      <c r="F1168" s="535"/>
      <c r="G1168" s="885" t="str">
        <f>IF(CHSHTAData!T54=0,"",CHSHTAData!T54)</f>
        <v/>
      </c>
      <c r="H1168" s="885"/>
      <c r="I1168" s="939">
        <f>CHSHTAData!W54</f>
        <v>0</v>
      </c>
      <c r="J1168" s="939"/>
      <c r="K1168" s="943" t="str">
        <f>IF(CHSHTAData!X54=0,"",CHSHTAData!X54)</f>
        <v/>
      </c>
      <c r="L1168" s="943"/>
      <c r="M1168" s="943"/>
      <c r="N1168" s="943"/>
      <c r="O1168" s="943" t="str">
        <f>IF(CHSHTAData!Y54=0,"",CHSHTAData!Y54)</f>
        <v/>
      </c>
      <c r="P1168" s="943"/>
      <c r="Q1168" s="943"/>
      <c r="R1168" s="943"/>
      <c r="S1168" s="943">
        <f t="shared" si="24"/>
        <v>0</v>
      </c>
      <c r="T1168" s="943"/>
      <c r="U1168" s="943"/>
      <c r="V1168" s="943"/>
      <c r="W1168" s="871" t="str">
        <f>IF(CHSHTAData!AA54=0,"",CHSHTAData!AA54)</f>
        <v/>
      </c>
      <c r="X1168" s="871"/>
      <c r="Y1168" s="871"/>
      <c r="Z1168" s="871"/>
      <c r="AA1168" s="518"/>
      <c r="AB1168" s="518"/>
      <c r="AC1168" s="594"/>
      <c r="AD1168" s="588"/>
      <c r="AE1168" s="588"/>
      <c r="AF1168" s="529"/>
      <c r="AG1168" s="529"/>
      <c r="AH1168" s="518"/>
      <c r="AJ1168" s="595" t="b">
        <f t="shared" si="25"/>
        <v>0</v>
      </c>
    </row>
    <row r="1169" spans="1:36" hidden="1" x14ac:dyDescent="0.45">
      <c r="B1169" s="514" t="s">
        <v>1456</v>
      </c>
      <c r="C1169" s="535"/>
      <c r="D1169" s="535"/>
      <c r="E1169" s="535"/>
      <c r="F1169" s="535"/>
      <c r="G1169" s="885" t="str">
        <f>IF(CHSHTAData!T55=0,"",CHSHTAData!T55)</f>
        <v/>
      </c>
      <c r="H1169" s="885"/>
      <c r="I1169" s="939">
        <f>CHSHTAData!W55</f>
        <v>0</v>
      </c>
      <c r="J1169" s="939"/>
      <c r="K1169" s="943" t="str">
        <f>IF(CHSHTAData!X55=0,"",CHSHTAData!X55)</f>
        <v/>
      </c>
      <c r="L1169" s="943"/>
      <c r="M1169" s="943"/>
      <c r="N1169" s="943"/>
      <c r="O1169" s="943" t="str">
        <f>IF(CHSHTAData!Y55=0,"",CHSHTAData!Y55)</f>
        <v/>
      </c>
      <c r="P1169" s="943"/>
      <c r="Q1169" s="943"/>
      <c r="R1169" s="943"/>
      <c r="S1169" s="943">
        <f t="shared" si="24"/>
        <v>0</v>
      </c>
      <c r="T1169" s="943"/>
      <c r="U1169" s="943"/>
      <c r="V1169" s="943"/>
      <c r="W1169" s="871" t="str">
        <f>IF(CHSHTAData!AA55=0,"",CHSHTAData!AA55)</f>
        <v/>
      </c>
      <c r="X1169" s="871"/>
      <c r="Y1169" s="871"/>
      <c r="Z1169" s="871"/>
      <c r="AA1169" s="518"/>
      <c r="AB1169" s="518"/>
      <c r="AC1169" s="594"/>
      <c r="AD1169" s="588"/>
      <c r="AE1169" s="588"/>
      <c r="AF1169" s="529"/>
      <c r="AG1169" s="529"/>
      <c r="AH1169" s="518"/>
      <c r="AJ1169" s="595" t="b">
        <f t="shared" si="25"/>
        <v>0</v>
      </c>
    </row>
    <row r="1170" spans="1:36" hidden="1" x14ac:dyDescent="0.45">
      <c r="B1170" s="514" t="s">
        <v>1457</v>
      </c>
      <c r="C1170" s="535"/>
      <c r="D1170" s="535"/>
      <c r="E1170" s="535"/>
      <c r="F1170" s="535"/>
      <c r="G1170" s="885" t="str">
        <f>IF(CHSHTAData!T56=0,"",CHSHTAData!T56)</f>
        <v/>
      </c>
      <c r="H1170" s="885"/>
      <c r="I1170" s="939">
        <f>CHSHTAData!W56</f>
        <v>0</v>
      </c>
      <c r="J1170" s="939"/>
      <c r="K1170" s="943" t="str">
        <f>IF(CHSHTAData!X56=0,"",CHSHTAData!X56)</f>
        <v/>
      </c>
      <c r="L1170" s="943"/>
      <c r="M1170" s="943"/>
      <c r="N1170" s="943"/>
      <c r="O1170" s="943" t="str">
        <f>IF(CHSHTAData!Y56=0,"",CHSHTAData!Y56)</f>
        <v/>
      </c>
      <c r="P1170" s="943"/>
      <c r="Q1170" s="943"/>
      <c r="R1170" s="943"/>
      <c r="S1170" s="943">
        <f t="shared" si="24"/>
        <v>0</v>
      </c>
      <c r="T1170" s="943"/>
      <c r="U1170" s="943"/>
      <c r="V1170" s="943"/>
      <c r="W1170" s="871" t="str">
        <f>IF(CHSHTAData!AA56=0,"",CHSHTAData!AA56)</f>
        <v/>
      </c>
      <c r="X1170" s="871"/>
      <c r="Y1170" s="871"/>
      <c r="Z1170" s="871"/>
      <c r="AA1170" s="518"/>
      <c r="AB1170" s="518"/>
      <c r="AC1170" s="594"/>
      <c r="AD1170" s="588"/>
      <c r="AE1170" s="588"/>
      <c r="AF1170" s="529"/>
      <c r="AG1170" s="529"/>
      <c r="AH1170" s="518"/>
      <c r="AJ1170" s="595" t="b">
        <f t="shared" si="25"/>
        <v>0</v>
      </c>
    </row>
    <row r="1171" spans="1:36" hidden="1" x14ac:dyDescent="0.45">
      <c r="B1171" s="514" t="s">
        <v>1458</v>
      </c>
      <c r="C1171" s="535"/>
      <c r="D1171" s="535"/>
      <c r="E1171" s="535"/>
      <c r="F1171" s="535"/>
      <c r="G1171" s="885" t="str">
        <f>IF(CHSHTAData!T57=0,"",CHSHTAData!T57)</f>
        <v/>
      </c>
      <c r="H1171" s="885"/>
      <c r="I1171" s="939">
        <f>CHSHTAData!W57</f>
        <v>0</v>
      </c>
      <c r="J1171" s="939"/>
      <c r="K1171" s="943" t="str">
        <f>IF(CHSHTAData!X57=0,"",CHSHTAData!X57)</f>
        <v/>
      </c>
      <c r="L1171" s="943"/>
      <c r="M1171" s="943"/>
      <c r="N1171" s="943"/>
      <c r="O1171" s="943" t="str">
        <f>IF(CHSHTAData!Y57=0,"",CHSHTAData!Y57)</f>
        <v/>
      </c>
      <c r="P1171" s="943"/>
      <c r="Q1171" s="943"/>
      <c r="R1171" s="943"/>
      <c r="S1171" s="943">
        <f t="shared" si="24"/>
        <v>0</v>
      </c>
      <c r="T1171" s="943"/>
      <c r="U1171" s="943"/>
      <c r="V1171" s="943"/>
      <c r="W1171" s="871" t="str">
        <f>IF(CHSHTAData!AA57=0,"",CHSHTAData!AA57)</f>
        <v/>
      </c>
      <c r="X1171" s="871"/>
      <c r="Y1171" s="871"/>
      <c r="Z1171" s="871"/>
      <c r="AA1171" s="518"/>
      <c r="AB1171" s="518"/>
      <c r="AC1171" s="594"/>
      <c r="AD1171" s="588"/>
      <c r="AE1171" s="588"/>
      <c r="AF1171" s="529"/>
      <c r="AG1171" s="529"/>
      <c r="AH1171" s="518"/>
      <c r="AJ1171" s="595" t="b">
        <f t="shared" si="25"/>
        <v>0</v>
      </c>
    </row>
    <row r="1172" spans="1:36" hidden="1" x14ac:dyDescent="0.45">
      <c r="B1172" s="514" t="s">
        <v>1459</v>
      </c>
      <c r="C1172" s="535"/>
      <c r="D1172" s="535"/>
      <c r="E1172" s="535"/>
      <c r="F1172" s="535"/>
      <c r="G1172" s="885" t="str">
        <f>IF(CHSHTAData!T58=0,"",CHSHTAData!T58)</f>
        <v/>
      </c>
      <c r="H1172" s="885"/>
      <c r="I1172" s="939">
        <f>CHSHTAData!W58</f>
        <v>0</v>
      </c>
      <c r="J1172" s="939"/>
      <c r="K1172" s="943" t="str">
        <f>IF(CHSHTAData!X58=0,"",CHSHTAData!X58)</f>
        <v/>
      </c>
      <c r="L1172" s="943"/>
      <c r="M1172" s="943"/>
      <c r="N1172" s="943"/>
      <c r="O1172" s="943" t="str">
        <f>IF(CHSHTAData!Y58=0,"",CHSHTAData!Y58)</f>
        <v/>
      </c>
      <c r="P1172" s="943"/>
      <c r="Q1172" s="943"/>
      <c r="R1172" s="943"/>
      <c r="S1172" s="943">
        <f t="shared" si="24"/>
        <v>0</v>
      </c>
      <c r="T1172" s="943"/>
      <c r="U1172" s="943"/>
      <c r="V1172" s="943"/>
      <c r="W1172" s="871" t="str">
        <f>IF(CHSHTAData!AA58=0,"",CHSHTAData!AA58)</f>
        <v/>
      </c>
      <c r="X1172" s="871"/>
      <c r="Y1172" s="871"/>
      <c r="Z1172" s="871"/>
      <c r="AA1172" s="518"/>
      <c r="AB1172" s="518"/>
      <c r="AC1172" s="594"/>
      <c r="AD1172" s="588"/>
      <c r="AE1172" s="588"/>
      <c r="AF1172" s="529"/>
      <c r="AG1172" s="529"/>
      <c r="AH1172" s="518"/>
      <c r="AJ1172" s="595" t="b">
        <f t="shared" si="25"/>
        <v>0</v>
      </c>
    </row>
    <row r="1173" spans="1:36" hidden="1" x14ac:dyDescent="0.45">
      <c r="A1173" s="518"/>
      <c r="B1173" s="514" t="s">
        <v>1460</v>
      </c>
      <c r="C1173" s="535"/>
      <c r="D1173" s="535"/>
      <c r="E1173" s="535"/>
      <c r="F1173" s="535"/>
      <c r="G1173" s="885" t="str">
        <f>IF(CHSHTAData!T59=0,"",CHSHTAData!T59)</f>
        <v/>
      </c>
      <c r="H1173" s="885"/>
      <c r="I1173" s="939">
        <f>CHSHTAData!W59</f>
        <v>0</v>
      </c>
      <c r="J1173" s="939"/>
      <c r="K1173" s="943" t="str">
        <f>IF(CHSHTAData!X59=0,"",CHSHTAData!X59)</f>
        <v/>
      </c>
      <c r="L1173" s="943"/>
      <c r="M1173" s="943"/>
      <c r="N1173" s="943"/>
      <c r="O1173" s="943" t="str">
        <f>IF(CHSHTAData!Y59=0,"",CHSHTAData!Y59)</f>
        <v/>
      </c>
      <c r="P1173" s="943"/>
      <c r="Q1173" s="943"/>
      <c r="R1173" s="943"/>
      <c r="S1173" s="943">
        <f t="shared" si="24"/>
        <v>0</v>
      </c>
      <c r="T1173" s="943"/>
      <c r="U1173" s="943"/>
      <c r="V1173" s="943"/>
      <c r="W1173" s="871" t="str">
        <f>IF(CHSHTAData!AA59=0,"",CHSHTAData!AA59)</f>
        <v/>
      </c>
      <c r="X1173" s="871"/>
      <c r="Y1173" s="871"/>
      <c r="Z1173" s="871"/>
      <c r="AA1173" s="518"/>
      <c r="AB1173" s="518"/>
      <c r="AC1173" s="594"/>
      <c r="AD1173" s="588"/>
      <c r="AE1173" s="588"/>
      <c r="AF1173" s="529"/>
      <c r="AG1173" s="529"/>
      <c r="AH1173" s="518"/>
      <c r="AJ1173" s="595" t="b">
        <f t="shared" si="25"/>
        <v>0</v>
      </c>
    </row>
    <row r="1174" spans="1:36" hidden="1" x14ac:dyDescent="0.45">
      <c r="A1174" s="518"/>
      <c r="B1174" s="514" t="s">
        <v>1461</v>
      </c>
      <c r="C1174" s="535"/>
      <c r="D1174" s="535"/>
      <c r="E1174" s="535"/>
      <c r="F1174" s="535"/>
      <c r="G1174" s="885" t="str">
        <f>IF(CHSHTAData!T60=0,"",CHSHTAData!T60)</f>
        <v/>
      </c>
      <c r="H1174" s="885"/>
      <c r="I1174" s="939">
        <f>CHSHTAData!W60</f>
        <v>0</v>
      </c>
      <c r="J1174" s="939"/>
      <c r="K1174" s="943" t="str">
        <f>IF(CHSHTAData!X60=0,"",CHSHTAData!X60)</f>
        <v/>
      </c>
      <c r="L1174" s="943"/>
      <c r="M1174" s="943"/>
      <c r="N1174" s="943"/>
      <c r="O1174" s="943" t="str">
        <f>IF(CHSHTAData!Y60=0,"",CHSHTAData!Y60)</f>
        <v/>
      </c>
      <c r="P1174" s="943"/>
      <c r="Q1174" s="943"/>
      <c r="R1174" s="943"/>
      <c r="S1174" s="943">
        <f t="shared" si="24"/>
        <v>0</v>
      </c>
      <c r="T1174" s="943"/>
      <c r="U1174" s="943"/>
      <c r="V1174" s="943"/>
      <c r="W1174" s="871" t="str">
        <f>IF(CHSHTAData!AA60=0,"",CHSHTAData!AA60)</f>
        <v/>
      </c>
      <c r="X1174" s="871"/>
      <c r="Y1174" s="871"/>
      <c r="Z1174" s="871"/>
      <c r="AA1174" s="518"/>
      <c r="AB1174" s="518"/>
      <c r="AC1174" s="594"/>
      <c r="AD1174" s="588"/>
      <c r="AE1174" s="588"/>
      <c r="AF1174" s="529"/>
      <c r="AG1174" s="529"/>
      <c r="AH1174" s="518"/>
      <c r="AJ1174" s="595" t="b">
        <f t="shared" si="25"/>
        <v>0</v>
      </c>
    </row>
    <row r="1175" spans="1:36" hidden="1" x14ac:dyDescent="0.45">
      <c r="A1175" s="518"/>
      <c r="B1175" s="518"/>
      <c r="C1175" s="518"/>
      <c r="D1175" s="518"/>
      <c r="E1175" s="518"/>
      <c r="F1175" s="518"/>
      <c r="G1175" s="518"/>
      <c r="H1175" s="518"/>
      <c r="I1175" s="518"/>
      <c r="J1175" s="518"/>
      <c r="K1175" s="518"/>
      <c r="L1175" s="518"/>
      <c r="M1175" s="518"/>
      <c r="N1175" s="518"/>
      <c r="O1175" s="518"/>
      <c r="P1175" s="518"/>
      <c r="Q1175" s="518"/>
      <c r="R1175" s="518"/>
      <c r="S1175" s="518"/>
      <c r="T1175" s="518"/>
      <c r="U1175" s="518"/>
      <c r="V1175" s="518"/>
      <c r="W1175" s="518"/>
      <c r="X1175" s="518"/>
      <c r="Y1175" s="518"/>
      <c r="Z1175" s="518"/>
      <c r="AA1175" s="518"/>
      <c r="AB1175" s="518"/>
      <c r="AC1175" s="518"/>
      <c r="AD1175" s="518"/>
      <c r="AE1175" s="518"/>
      <c r="AF1175" s="518"/>
      <c r="AG1175" s="518"/>
      <c r="AH1175" s="518"/>
      <c r="AJ1175" s="595" t="b">
        <f>AJ1110</f>
        <v>0</v>
      </c>
    </row>
    <row r="1176" spans="1:36" ht="16" hidden="1" customHeight="1" x14ac:dyDescent="0.45">
      <c r="A1176" s="518"/>
      <c r="B1176" s="917" t="s">
        <v>173</v>
      </c>
      <c r="C1176" s="918"/>
      <c r="D1176" s="918"/>
      <c r="E1176" s="918"/>
      <c r="F1176" s="918"/>
      <c r="G1176" s="931"/>
      <c r="H1176" s="919">
        <f>CH_SHTA_UnrestrictedTotalRequested</f>
        <v>0</v>
      </c>
      <c r="I1176" s="920"/>
      <c r="J1176" s="920"/>
      <c r="K1176" s="920"/>
      <c r="L1176" s="920"/>
      <c r="M1176" s="920"/>
      <c r="N1176" s="921"/>
      <c r="O1176" s="518"/>
      <c r="P1176" s="518"/>
      <c r="Q1176" s="518"/>
      <c r="R1176" s="518"/>
      <c r="S1176" s="518"/>
      <c r="T1176" s="518"/>
      <c r="U1176" s="518"/>
      <c r="V1176" s="518"/>
      <c r="W1176" s="518"/>
      <c r="X1176" s="518"/>
      <c r="Y1176" s="518"/>
      <c r="Z1176" s="518"/>
      <c r="AA1176" s="518"/>
      <c r="AB1176" s="518"/>
      <c r="AC1176" s="518"/>
      <c r="AD1176" s="518"/>
      <c r="AE1176" s="518"/>
      <c r="AF1176" s="518"/>
      <c r="AG1176" s="518"/>
      <c r="AH1176" s="518"/>
      <c r="AJ1176" s="595"/>
    </row>
    <row r="1177" spans="1:36" hidden="1" x14ac:dyDescent="0.45">
      <c r="A1177" s="518"/>
      <c r="B1177" s="518"/>
      <c r="C1177" s="518"/>
      <c r="D1177" s="518"/>
      <c r="E1177" s="518"/>
      <c r="F1177" s="518"/>
      <c r="G1177" s="518"/>
      <c r="H1177" s="518"/>
      <c r="I1177" s="518"/>
      <c r="J1177" s="518"/>
      <c r="K1177" s="518"/>
      <c r="L1177" s="518"/>
      <c r="M1177" s="518"/>
      <c r="N1177" s="518"/>
      <c r="O1177" s="518"/>
      <c r="P1177" s="518"/>
      <c r="Q1177" s="518"/>
      <c r="R1177" s="518"/>
      <c r="S1177" s="518"/>
      <c r="T1177" s="518"/>
      <c r="U1177" s="518"/>
      <c r="V1177" s="518"/>
      <c r="W1177" s="518"/>
      <c r="X1177" s="518"/>
      <c r="Y1177" s="518"/>
      <c r="Z1177" s="518"/>
      <c r="AA1177" s="518"/>
      <c r="AB1177" s="518"/>
      <c r="AC1177" s="518"/>
      <c r="AD1177" s="518"/>
      <c r="AE1177" s="518"/>
      <c r="AF1177" s="518"/>
      <c r="AG1177" s="518"/>
      <c r="AH1177" s="518"/>
      <c r="AJ1177" s="595"/>
    </row>
    <row r="1178" spans="1:36" hidden="1" x14ac:dyDescent="0.45">
      <c r="A1178" s="518"/>
      <c r="B1178" s="517" t="s">
        <v>1854</v>
      </c>
      <c r="C1178" s="518"/>
      <c r="D1178" s="518"/>
      <c r="E1178" s="518"/>
      <c r="F1178" s="518"/>
      <c r="G1178" s="518"/>
      <c r="H1178" s="518"/>
      <c r="I1178" s="518"/>
      <c r="J1178" s="518"/>
      <c r="K1178" s="518"/>
      <c r="L1178" s="518"/>
      <c r="M1178" s="518"/>
      <c r="N1178" s="518"/>
      <c r="O1178" s="518"/>
      <c r="P1178" s="518"/>
      <c r="Q1178" s="518"/>
      <c r="R1178" s="518"/>
      <c r="S1178" s="518"/>
      <c r="T1178" s="518"/>
      <c r="U1178" s="518"/>
      <c r="V1178" s="518"/>
      <c r="W1178" s="518"/>
      <c r="X1178" s="518"/>
      <c r="Y1178" s="518"/>
      <c r="Z1178" s="518"/>
      <c r="AA1178" s="518"/>
      <c r="AB1178" s="518"/>
      <c r="AC1178" s="518"/>
      <c r="AD1178" s="518"/>
      <c r="AE1178" s="518"/>
      <c r="AF1178" s="518"/>
      <c r="AG1178" s="518"/>
      <c r="AH1178" s="518"/>
      <c r="AJ1178" s="595"/>
    </row>
    <row r="1179" spans="1:36" hidden="1" x14ac:dyDescent="0.45">
      <c r="A1179" s="518"/>
      <c r="B1179" s="932" t="s">
        <v>174</v>
      </c>
      <c r="C1179" s="933"/>
      <c r="D1179" s="933"/>
      <c r="E1179" s="933"/>
      <c r="F1179" s="933"/>
      <c r="G1179" s="933"/>
      <c r="H1179" s="933"/>
      <c r="I1179" s="933"/>
      <c r="J1179" s="933"/>
      <c r="K1179" s="933"/>
      <c r="L1179" s="933"/>
      <c r="M1179" s="933"/>
      <c r="N1179" s="934"/>
      <c r="O1179" s="878"/>
      <c r="P1179" s="879"/>
      <c r="Q1179" s="880"/>
      <c r="R1179" s="518"/>
      <c r="S1179" s="518"/>
      <c r="T1179" s="518"/>
      <c r="U1179" s="518"/>
      <c r="V1179" s="518"/>
      <c r="W1179" s="518"/>
      <c r="X1179" s="518"/>
      <c r="Y1179" s="518"/>
      <c r="Z1179" s="518"/>
      <c r="AA1179" s="518"/>
      <c r="AB1179" s="518"/>
      <c r="AC1179" s="518"/>
      <c r="AD1179" s="518"/>
      <c r="AE1179" s="518"/>
      <c r="AF1179" s="518"/>
      <c r="AG1179" s="518"/>
      <c r="AH1179" s="518"/>
      <c r="AJ1179" s="595"/>
    </row>
    <row r="1180" spans="1:36" hidden="1" x14ac:dyDescent="0.45">
      <c r="A1180" s="518"/>
      <c r="B1180" s="932" t="s">
        <v>175</v>
      </c>
      <c r="C1180" s="933"/>
      <c r="D1180" s="933"/>
      <c r="E1180" s="933"/>
      <c r="F1180" s="933"/>
      <c r="G1180" s="933"/>
      <c r="H1180" s="933"/>
      <c r="I1180" s="933"/>
      <c r="J1180" s="933"/>
      <c r="K1180" s="933"/>
      <c r="L1180" s="933"/>
      <c r="M1180" s="933"/>
      <c r="N1180" s="934"/>
      <c r="O1180" s="878"/>
      <c r="P1180" s="879"/>
      <c r="Q1180" s="880"/>
      <c r="R1180" s="518"/>
      <c r="S1180" s="518"/>
      <c r="T1180" s="518"/>
      <c r="U1180" s="518"/>
      <c r="V1180" s="518"/>
      <c r="W1180" s="518"/>
      <c r="X1180" s="518"/>
      <c r="Y1180" s="518"/>
      <c r="Z1180" s="518"/>
      <c r="AA1180" s="518"/>
      <c r="AB1180" s="518"/>
      <c r="AC1180" s="518"/>
      <c r="AD1180" s="518"/>
      <c r="AE1180" s="518"/>
      <c r="AF1180" s="518"/>
      <c r="AG1180" s="518"/>
      <c r="AH1180" s="518"/>
      <c r="AJ1180" s="595"/>
    </row>
    <row r="1181" spans="1:36" hidden="1" x14ac:dyDescent="0.45">
      <c r="A1181" s="518"/>
      <c r="B1181" s="932" t="s">
        <v>176</v>
      </c>
      <c r="C1181" s="933"/>
      <c r="D1181" s="933"/>
      <c r="E1181" s="933"/>
      <c r="F1181" s="933"/>
      <c r="G1181" s="933"/>
      <c r="H1181" s="933"/>
      <c r="I1181" s="933"/>
      <c r="J1181" s="933"/>
      <c r="K1181" s="933"/>
      <c r="L1181" s="933"/>
      <c r="M1181" s="933"/>
      <c r="N1181" s="934"/>
      <c r="O1181" s="878"/>
      <c r="P1181" s="879"/>
      <c r="Q1181" s="880"/>
      <c r="R1181" s="518"/>
      <c r="S1181" s="518"/>
      <c r="T1181" s="518"/>
      <c r="U1181" s="518"/>
      <c r="V1181" s="518"/>
      <c r="W1181" s="518"/>
      <c r="X1181" s="518"/>
      <c r="Y1181" s="518"/>
      <c r="Z1181" s="518"/>
      <c r="AA1181" s="518"/>
      <c r="AB1181" s="518"/>
      <c r="AC1181" s="518"/>
      <c r="AD1181" s="518"/>
      <c r="AE1181" s="518"/>
      <c r="AF1181" s="518"/>
      <c r="AG1181" s="518"/>
      <c r="AH1181" s="518"/>
      <c r="AJ1181" s="595"/>
    </row>
    <row r="1182" spans="1:36" hidden="1" x14ac:dyDescent="0.45">
      <c r="A1182" s="518"/>
      <c r="B1182" s="932" t="s">
        <v>177</v>
      </c>
      <c r="C1182" s="933"/>
      <c r="D1182" s="933"/>
      <c r="E1182" s="933"/>
      <c r="F1182" s="933"/>
      <c r="G1182" s="933"/>
      <c r="H1182" s="933"/>
      <c r="I1182" s="933"/>
      <c r="J1182" s="933"/>
      <c r="K1182" s="933"/>
      <c r="L1182" s="933"/>
      <c r="M1182" s="933"/>
      <c r="N1182" s="934"/>
      <c r="O1182" s="878"/>
      <c r="P1182" s="879"/>
      <c r="Q1182" s="880"/>
      <c r="R1182" s="518"/>
      <c r="S1182" s="518"/>
      <c r="T1182" s="518"/>
      <c r="U1182" s="518"/>
      <c r="V1182" s="518"/>
      <c r="W1182" s="518"/>
      <c r="X1182" s="518"/>
      <c r="Y1182" s="518"/>
      <c r="Z1182" s="518"/>
      <c r="AA1182" s="518"/>
      <c r="AB1182" s="518"/>
      <c r="AC1182" s="518"/>
      <c r="AD1182" s="518"/>
      <c r="AE1182" s="518"/>
      <c r="AF1182" s="518"/>
      <c r="AG1182" s="518"/>
      <c r="AH1182" s="518"/>
      <c r="AJ1182" s="595"/>
    </row>
    <row r="1183" spans="1:36" hidden="1" x14ac:dyDescent="0.45">
      <c r="A1183" s="518"/>
      <c r="B1183" s="932" t="s">
        <v>178</v>
      </c>
      <c r="C1183" s="933"/>
      <c r="D1183" s="933"/>
      <c r="E1183" s="933"/>
      <c r="F1183" s="933"/>
      <c r="G1183" s="933"/>
      <c r="H1183" s="933"/>
      <c r="I1183" s="933"/>
      <c r="J1183" s="933"/>
      <c r="K1183" s="933"/>
      <c r="L1183" s="933"/>
      <c r="M1183" s="933"/>
      <c r="N1183" s="934"/>
      <c r="O1183" s="878"/>
      <c r="P1183" s="879"/>
      <c r="Q1183" s="880"/>
      <c r="R1183" s="518"/>
      <c r="S1183" s="518"/>
      <c r="T1183" s="518"/>
      <c r="U1183" s="518"/>
      <c r="V1183" s="518"/>
      <c r="W1183" s="518"/>
      <c r="X1183" s="518"/>
      <c r="Y1183" s="518"/>
      <c r="Z1183" s="518"/>
      <c r="AA1183" s="518"/>
      <c r="AB1183" s="518"/>
      <c r="AC1183" s="518"/>
      <c r="AD1183" s="518"/>
      <c r="AE1183" s="518"/>
      <c r="AF1183" s="518"/>
      <c r="AG1183" s="518"/>
      <c r="AH1183" s="518"/>
      <c r="AJ1183" s="595"/>
    </row>
    <row r="1184" spans="1:36" hidden="1" x14ac:dyDescent="0.45">
      <c r="A1184" s="518"/>
      <c r="B1184" s="932" t="s">
        <v>179</v>
      </c>
      <c r="C1184" s="933"/>
      <c r="D1184" s="933"/>
      <c r="E1184" s="933"/>
      <c r="F1184" s="933"/>
      <c r="G1184" s="933"/>
      <c r="H1184" s="933"/>
      <c r="I1184" s="933"/>
      <c r="J1184" s="933"/>
      <c r="K1184" s="933"/>
      <c r="L1184" s="933"/>
      <c r="M1184" s="933"/>
      <c r="N1184" s="934"/>
      <c r="O1184" s="878"/>
      <c r="P1184" s="879"/>
      <c r="Q1184" s="880"/>
      <c r="R1184" s="518"/>
      <c r="S1184" s="518"/>
      <c r="T1184" s="518"/>
      <c r="U1184" s="518"/>
      <c r="V1184" s="518"/>
      <c r="W1184" s="518"/>
      <c r="X1184" s="518"/>
      <c r="Y1184" s="518"/>
      <c r="Z1184" s="518"/>
      <c r="AA1184" s="518"/>
      <c r="AB1184" s="518"/>
      <c r="AC1184" s="518"/>
      <c r="AD1184" s="518"/>
      <c r="AE1184" s="518"/>
      <c r="AF1184" s="518"/>
      <c r="AG1184" s="518"/>
      <c r="AH1184" s="518"/>
      <c r="AJ1184" s="595"/>
    </row>
    <row r="1185" spans="1:36" hidden="1" x14ac:dyDescent="0.45">
      <c r="A1185" s="518"/>
      <c r="B1185" s="932" t="s">
        <v>180</v>
      </c>
      <c r="C1185" s="933"/>
      <c r="D1185" s="933"/>
      <c r="E1185" s="933"/>
      <c r="F1185" s="933"/>
      <c r="G1185" s="933"/>
      <c r="H1185" s="933"/>
      <c r="I1185" s="933"/>
      <c r="J1185" s="933"/>
      <c r="K1185" s="933"/>
      <c r="L1185" s="933"/>
      <c r="M1185" s="933"/>
      <c r="N1185" s="934"/>
      <c r="O1185" s="878"/>
      <c r="P1185" s="879"/>
      <c r="Q1185" s="880"/>
      <c r="R1185" s="518"/>
      <c r="S1185" s="518"/>
      <c r="T1185" s="518"/>
      <c r="U1185" s="518"/>
      <c r="V1185" s="518"/>
      <c r="W1185" s="518"/>
      <c r="X1185" s="518"/>
      <c r="Y1185" s="518"/>
      <c r="Z1185" s="518"/>
      <c r="AA1185" s="518"/>
      <c r="AB1185" s="518"/>
      <c r="AC1185" s="518"/>
      <c r="AD1185" s="518"/>
      <c r="AE1185" s="518"/>
      <c r="AF1185" s="518"/>
      <c r="AG1185" s="518"/>
      <c r="AH1185" s="518"/>
      <c r="AJ1185" s="595"/>
    </row>
    <row r="1186" spans="1:36" hidden="1" x14ac:dyDescent="0.45">
      <c r="A1186" s="518"/>
      <c r="B1186" s="1168" t="s">
        <v>181</v>
      </c>
      <c r="C1186" s="1169"/>
      <c r="D1186" s="1169"/>
      <c r="E1186" s="1169"/>
      <c r="F1186" s="1169"/>
      <c r="G1186" s="1169"/>
      <c r="H1186" s="1169"/>
      <c r="I1186" s="1169"/>
      <c r="J1186" s="1169"/>
      <c r="K1186" s="1169"/>
      <c r="L1186" s="1169"/>
      <c r="M1186" s="1169"/>
      <c r="N1186" s="1170"/>
      <c r="O1186" s="927"/>
      <c r="P1186" s="928"/>
      <c r="Q1186" s="929"/>
      <c r="R1186" s="518"/>
      <c r="S1186" s="518"/>
      <c r="T1186" s="518"/>
      <c r="U1186" s="518"/>
      <c r="V1186" s="518"/>
      <c r="W1186" s="518"/>
      <c r="X1186" s="518"/>
      <c r="Y1186" s="518"/>
      <c r="Z1186" s="518"/>
      <c r="AA1186" s="518"/>
      <c r="AB1186" s="518"/>
      <c r="AC1186" s="518"/>
      <c r="AD1186" s="518"/>
      <c r="AE1186" s="518"/>
      <c r="AF1186" s="518"/>
      <c r="AG1186" s="518"/>
      <c r="AH1186" s="518"/>
      <c r="AJ1186" s="595"/>
    </row>
    <row r="1187" spans="1:36" hidden="1" x14ac:dyDescent="0.45">
      <c r="A1187" s="518"/>
      <c r="B1187" s="1171" t="s">
        <v>182</v>
      </c>
      <c r="C1187" s="1172"/>
      <c r="D1187" s="1172"/>
      <c r="E1187" s="1172"/>
      <c r="F1187" s="1172"/>
      <c r="G1187" s="1172"/>
      <c r="H1187" s="1172"/>
      <c r="I1187" s="1172"/>
      <c r="J1187" s="1172"/>
      <c r="K1187" s="1172"/>
      <c r="L1187" s="1172"/>
      <c r="M1187" s="1172"/>
      <c r="N1187" s="1173"/>
      <c r="O1187" s="878">
        <f>SUM(O1179:Q1185)-O1186</f>
        <v>0</v>
      </c>
      <c r="P1187" s="879"/>
      <c r="Q1187" s="880"/>
      <c r="R1187" s="518"/>
      <c r="S1187" s="518"/>
      <c r="T1187" s="518"/>
      <c r="U1187" s="518"/>
      <c r="V1187" s="518"/>
      <c r="W1187" s="518"/>
      <c r="X1187" s="518"/>
      <c r="Y1187" s="518"/>
      <c r="Z1187" s="518"/>
      <c r="AA1187" s="518"/>
      <c r="AB1187" s="518"/>
      <c r="AC1187" s="518"/>
      <c r="AD1187" s="518"/>
      <c r="AE1187" s="518"/>
      <c r="AF1187" s="518"/>
      <c r="AG1187" s="518"/>
      <c r="AH1187" s="518"/>
      <c r="AJ1187" s="595"/>
    </row>
    <row r="1188" spans="1:36" hidden="1" x14ac:dyDescent="0.45">
      <c r="A1188" s="518"/>
      <c r="B1188" s="517"/>
      <c r="C1188" s="517"/>
      <c r="D1188" s="517"/>
      <c r="E1188" s="517"/>
      <c r="F1188" s="517"/>
      <c r="G1188" s="517"/>
      <c r="H1188" s="517"/>
      <c r="I1188" s="517"/>
      <c r="J1188" s="517"/>
      <c r="K1188" s="517"/>
      <c r="L1188" s="517"/>
      <c r="M1188" s="517"/>
      <c r="N1188" s="517"/>
      <c r="O1188" s="532"/>
      <c r="P1188" s="532"/>
      <c r="Q1188" s="532"/>
      <c r="R1188" s="518"/>
      <c r="S1188" s="533"/>
      <c r="T1188" s="533"/>
      <c r="U1188" s="533"/>
      <c r="V1188" s="533"/>
      <c r="W1188" s="533"/>
      <c r="X1188" s="533"/>
      <c r="Y1188" s="533"/>
      <c r="Z1188" s="533"/>
      <c r="AA1188" s="533"/>
      <c r="AB1188" s="533"/>
      <c r="AC1188" s="533"/>
      <c r="AD1188" s="533"/>
      <c r="AE1188" s="533"/>
      <c r="AF1188" s="533"/>
      <c r="AG1188" s="533"/>
      <c r="AH1188" s="518"/>
      <c r="AJ1188" s="595"/>
    </row>
    <row r="1189" spans="1:36" ht="200.15" hidden="1" customHeight="1" x14ac:dyDescent="0.45">
      <c r="A1189" s="518"/>
      <c r="B1189" s="926" t="s">
        <v>183</v>
      </c>
      <c r="C1189" s="926"/>
      <c r="D1189" s="926"/>
      <c r="E1189" s="926"/>
      <c r="F1189" s="926"/>
      <c r="G1189" s="926"/>
      <c r="H1189" s="926"/>
      <c r="I1189" s="926"/>
      <c r="J1189" s="926"/>
      <c r="K1189" s="926"/>
      <c r="L1189" s="926"/>
      <c r="M1189" s="926"/>
      <c r="N1189" s="926"/>
      <c r="O1189" s="926"/>
      <c r="P1189" s="926"/>
      <c r="Q1189" s="926"/>
      <c r="R1189" s="926"/>
      <c r="S1189" s="926"/>
      <c r="T1189" s="926"/>
      <c r="U1189" s="926"/>
      <c r="V1189" s="926"/>
      <c r="W1189" s="926"/>
      <c r="X1189" s="926"/>
      <c r="Y1189" s="926"/>
      <c r="Z1189" s="926"/>
      <c r="AA1189" s="926"/>
      <c r="AB1189" s="926"/>
      <c r="AC1189" s="926"/>
      <c r="AD1189" s="926"/>
      <c r="AE1189" s="926"/>
      <c r="AF1189" s="926"/>
      <c r="AG1189" s="926"/>
      <c r="AH1189" s="518"/>
      <c r="AJ1189" s="595"/>
    </row>
    <row r="1190" spans="1:36" hidden="1" x14ac:dyDescent="0.45">
      <c r="A1190" s="518"/>
      <c r="B1190" s="518"/>
      <c r="C1190" s="518"/>
      <c r="D1190" s="518"/>
      <c r="E1190" s="518"/>
      <c r="F1190" s="518"/>
      <c r="G1190" s="518"/>
      <c r="H1190" s="518"/>
      <c r="I1190" s="518"/>
      <c r="J1190" s="518"/>
      <c r="K1190" s="518"/>
      <c r="L1190" s="518"/>
      <c r="M1190" s="518"/>
      <c r="N1190" s="518"/>
      <c r="O1190" s="518"/>
      <c r="P1190" s="518"/>
      <c r="Q1190" s="518"/>
      <c r="R1190" s="518"/>
      <c r="S1190" s="518"/>
      <c r="T1190" s="518"/>
      <c r="U1190" s="518"/>
      <c r="V1190" s="518"/>
      <c r="W1190" s="518"/>
      <c r="X1190" s="518"/>
      <c r="Y1190" s="518"/>
      <c r="Z1190" s="518"/>
      <c r="AA1190" s="518"/>
      <c r="AB1190" s="518"/>
      <c r="AC1190" s="518"/>
      <c r="AD1190" s="518"/>
      <c r="AE1190" s="518"/>
      <c r="AF1190" s="518"/>
      <c r="AG1190" s="518"/>
      <c r="AH1190" s="518"/>
      <c r="AJ1190" s="595"/>
    </row>
    <row r="1191" spans="1:36" hidden="1" x14ac:dyDescent="0.45">
      <c r="A1191" s="518"/>
      <c r="B1191" s="518"/>
      <c r="C1191" s="518"/>
      <c r="D1191" s="518"/>
      <c r="E1191" s="518"/>
      <c r="F1191" s="518"/>
      <c r="G1191" s="518"/>
      <c r="H1191" s="518"/>
      <c r="I1191" s="518"/>
      <c r="J1191" s="518"/>
      <c r="K1191" s="518"/>
      <c r="L1191" s="518"/>
      <c r="M1191" s="518"/>
      <c r="N1191" s="518"/>
      <c r="O1191" s="518"/>
      <c r="P1191" s="518"/>
      <c r="Q1191" s="518"/>
      <c r="R1191" s="518"/>
      <c r="S1191" s="518"/>
      <c r="T1191" s="518"/>
      <c r="U1191" s="518"/>
      <c r="V1191" s="518"/>
      <c r="W1191" s="518"/>
      <c r="X1191" s="518"/>
      <c r="Y1191" s="518"/>
      <c r="Z1191" s="518"/>
      <c r="AA1191" s="518"/>
      <c r="AB1191" s="518"/>
      <c r="AC1191" s="518"/>
      <c r="AD1191" s="518"/>
      <c r="AE1191" s="518"/>
      <c r="AF1191" s="518"/>
      <c r="AG1191" s="518"/>
      <c r="AH1191" s="518"/>
      <c r="AJ1191" s="595" t="b">
        <f>AND(AJ$1062,CH_SHTA_ManufacturedTotalRequested&gt;0)</f>
        <v>0</v>
      </c>
    </row>
    <row r="1192" spans="1:36" hidden="1" x14ac:dyDescent="0.45">
      <c r="A1192" s="518"/>
      <c r="B1192" s="923" t="str">
        <f>B$1063</f>
        <v>CalHome Technical Assistance for Self-Help Housing Application</v>
      </c>
      <c r="C1192" s="923"/>
      <c r="D1192" s="923"/>
      <c r="E1192" s="923"/>
      <c r="F1192" s="923"/>
      <c r="G1192" s="923"/>
      <c r="H1192" s="923"/>
      <c r="I1192" s="923"/>
      <c r="J1192" s="923"/>
      <c r="K1192" s="923"/>
      <c r="L1192" s="923"/>
      <c r="M1192" s="923"/>
      <c r="N1192" s="923"/>
      <c r="O1192" s="923"/>
      <c r="P1192" s="923"/>
      <c r="Q1192" s="923"/>
      <c r="R1192" s="923"/>
      <c r="S1192" s="923"/>
      <c r="T1192" s="923"/>
      <c r="U1192" s="923"/>
      <c r="V1192" s="923"/>
      <c r="W1192" s="923"/>
      <c r="X1192" s="923"/>
      <c r="Y1192" s="923"/>
      <c r="Z1192" s="923"/>
      <c r="AA1192" s="923"/>
      <c r="AB1192" s="923"/>
      <c r="AC1192" s="923"/>
      <c r="AD1192" s="923"/>
      <c r="AE1192" s="923"/>
      <c r="AF1192" s="923"/>
      <c r="AG1192" s="923"/>
      <c r="AH1192" s="518"/>
      <c r="AJ1192" s="595"/>
    </row>
    <row r="1193" spans="1:36" hidden="1" x14ac:dyDescent="0.45">
      <c r="A1193" s="518"/>
      <c r="B1193" s="924" t="s">
        <v>184</v>
      </c>
      <c r="C1193" s="925"/>
      <c r="D1193" s="925"/>
      <c r="E1193" s="925"/>
      <c r="F1193" s="925"/>
      <c r="G1193" s="925"/>
      <c r="H1193" s="925"/>
      <c r="I1193" s="925"/>
      <c r="J1193" s="925"/>
      <c r="K1193" s="925"/>
      <c r="L1193" s="925"/>
      <c r="M1193" s="925"/>
      <c r="N1193" s="925"/>
      <c r="O1193" s="925"/>
      <c r="P1193" s="925"/>
      <c r="Q1193" s="925"/>
      <c r="R1193" s="925"/>
      <c r="S1193" s="925"/>
      <c r="T1193" s="925"/>
      <c r="U1193" s="925"/>
      <c r="V1193" s="925"/>
      <c r="W1193" s="925"/>
      <c r="X1193" s="925"/>
      <c r="Y1193" s="925"/>
      <c r="Z1193" s="925"/>
      <c r="AA1193" s="925"/>
      <c r="AB1193" s="925"/>
      <c r="AC1193" s="925"/>
      <c r="AD1193" s="925"/>
      <c r="AE1193" s="925"/>
      <c r="AF1193" s="925"/>
      <c r="AG1193" s="925"/>
      <c r="AH1193" s="518"/>
      <c r="AJ1193" s="595"/>
    </row>
    <row r="1194" spans="1:36" hidden="1" x14ac:dyDescent="0.45">
      <c r="A1194" s="518"/>
      <c r="B1194" s="518"/>
      <c r="C1194" s="518"/>
      <c r="D1194" s="518"/>
      <c r="E1194" s="518"/>
      <c r="F1194" s="518"/>
      <c r="G1194" s="518"/>
      <c r="H1194" s="518"/>
      <c r="I1194" s="518"/>
      <c r="J1194" s="518"/>
      <c r="K1194" s="518"/>
      <c r="L1194" s="518"/>
      <c r="M1194" s="518"/>
      <c r="N1194" s="518"/>
      <c r="O1194" s="518"/>
      <c r="P1194" s="518"/>
      <c r="Q1194" s="518"/>
      <c r="R1194" s="518"/>
      <c r="S1194" s="518"/>
      <c r="T1194" s="518"/>
      <c r="U1194" s="518"/>
      <c r="V1194" s="518"/>
      <c r="W1194" s="518"/>
      <c r="X1194" s="518"/>
      <c r="Y1194" s="518"/>
      <c r="Z1194" s="518"/>
      <c r="AA1194" s="518"/>
      <c r="AB1194" s="518"/>
      <c r="AC1194" s="518"/>
      <c r="AD1194" s="518"/>
      <c r="AE1194" s="518"/>
      <c r="AF1194" s="518"/>
      <c r="AG1194" s="518"/>
      <c r="AH1194" s="518"/>
      <c r="AJ1194" s="595"/>
    </row>
    <row r="1195" spans="1:36" hidden="1" x14ac:dyDescent="0.45">
      <c r="A1195" s="518"/>
      <c r="B1195" s="518" t="s">
        <v>1853</v>
      </c>
      <c r="C1195" s="518"/>
      <c r="D1195" s="518"/>
      <c r="E1195" s="518"/>
      <c r="F1195" s="518"/>
      <c r="G1195" s="518"/>
      <c r="H1195" s="518"/>
      <c r="I1195" s="518"/>
      <c r="J1195" s="518"/>
      <c r="K1195" s="518"/>
      <c r="L1195" s="518"/>
      <c r="M1195" s="518"/>
      <c r="N1195" s="518"/>
      <c r="O1195" s="518"/>
      <c r="P1195" s="518"/>
      <c r="Q1195" s="518"/>
      <c r="R1195" s="518"/>
      <c r="S1195" s="518"/>
      <c r="T1195" s="518"/>
      <c r="U1195" s="518"/>
      <c r="V1195" s="518"/>
      <c r="W1195" s="518"/>
      <c r="X1195" s="518"/>
      <c r="Y1195" s="518"/>
      <c r="Z1195" s="518"/>
      <c r="AA1195" s="518"/>
      <c r="AB1195" s="518"/>
      <c r="AC1195" s="518"/>
      <c r="AD1195" s="518"/>
      <c r="AE1195" s="518"/>
      <c r="AF1195" s="518"/>
      <c r="AG1195" s="518"/>
      <c r="AH1195" s="518"/>
      <c r="AJ1195" s="595"/>
    </row>
    <row r="1196" spans="1:36" ht="16" hidden="1" customHeight="1" x14ac:dyDescent="0.45">
      <c r="A1196" s="518"/>
      <c r="B1196" s="862" t="s">
        <v>108</v>
      </c>
      <c r="C1196" s="863"/>
      <c r="D1196" s="863"/>
      <c r="E1196" s="863"/>
      <c r="F1196" s="863"/>
      <c r="G1196" s="862" t="s">
        <v>1487</v>
      </c>
      <c r="H1196" s="892"/>
      <c r="I1196" s="935" t="s">
        <v>91</v>
      </c>
      <c r="J1196" s="936"/>
      <c r="K1196" s="862" t="s">
        <v>110</v>
      </c>
      <c r="L1196" s="863"/>
      <c r="M1196" s="863"/>
      <c r="N1196" s="892"/>
      <c r="O1196" s="862" t="s">
        <v>212</v>
      </c>
      <c r="P1196" s="863"/>
      <c r="Q1196" s="863"/>
      <c r="R1196" s="892"/>
      <c r="S1196" s="862" t="s">
        <v>113</v>
      </c>
      <c r="T1196" s="863"/>
      <c r="U1196" s="863"/>
      <c r="V1196" s="892"/>
      <c r="W1196" s="862" t="s">
        <v>114</v>
      </c>
      <c r="X1196" s="863"/>
      <c r="Y1196" s="603"/>
      <c r="Z1196" s="604"/>
      <c r="AA1196" s="518"/>
      <c r="AB1196" s="518"/>
      <c r="AC1196" s="518"/>
      <c r="AD1196" s="518"/>
      <c r="AE1196" s="518"/>
      <c r="AF1196" s="529"/>
      <c r="AG1196" s="529"/>
      <c r="AH1196" s="529"/>
      <c r="AJ1196" s="595"/>
    </row>
    <row r="1197" spans="1:36" hidden="1" x14ac:dyDescent="0.45">
      <c r="A1197" s="518"/>
      <c r="B1197" s="864"/>
      <c r="C1197" s="865"/>
      <c r="D1197" s="865"/>
      <c r="E1197" s="865"/>
      <c r="F1197" s="865"/>
      <c r="G1197" s="864"/>
      <c r="H1197" s="893"/>
      <c r="I1197" s="937"/>
      <c r="J1197" s="938"/>
      <c r="K1197" s="864"/>
      <c r="L1197" s="865"/>
      <c r="M1197" s="865"/>
      <c r="N1197" s="893"/>
      <c r="O1197" s="864"/>
      <c r="P1197" s="865"/>
      <c r="Q1197" s="865"/>
      <c r="R1197" s="893"/>
      <c r="S1197" s="864"/>
      <c r="T1197" s="865"/>
      <c r="U1197" s="865"/>
      <c r="V1197" s="893"/>
      <c r="W1197" s="864"/>
      <c r="X1197" s="865"/>
      <c r="Y1197" s="603"/>
      <c r="Z1197" s="604"/>
      <c r="AA1197" s="518"/>
      <c r="AB1197" s="518"/>
      <c r="AC1197" s="518"/>
      <c r="AD1197" s="518"/>
      <c r="AE1197" s="518"/>
      <c r="AF1197" s="529"/>
      <c r="AG1197" s="529"/>
      <c r="AH1197" s="529"/>
      <c r="AJ1197" s="595"/>
    </row>
    <row r="1198" spans="1:36" hidden="1" x14ac:dyDescent="0.45">
      <c r="A1198" s="518"/>
      <c r="B1198" s="514" t="s">
        <v>1405</v>
      </c>
      <c r="C1198" s="535"/>
      <c r="D1198" s="535"/>
      <c r="E1198" s="535"/>
      <c r="F1198" s="535"/>
      <c r="G1198" s="885" t="str">
        <f>IF(CHSHTAData!T3=0,"",CHSHTAData!T3)</f>
        <v/>
      </c>
      <c r="H1198" s="885"/>
      <c r="I1198" s="888">
        <f>CHSHTAData!AE3</f>
        <v>0</v>
      </c>
      <c r="J1198" s="889"/>
      <c r="K1198" s="874">
        <f>CHSHTAData!AF3</f>
        <v>0</v>
      </c>
      <c r="L1198" s="875"/>
      <c r="M1198" s="875"/>
      <c r="N1198" s="876"/>
      <c r="O1198" s="874">
        <f>CHSHTAData!AG3</f>
        <v>0</v>
      </c>
      <c r="P1198" s="875"/>
      <c r="Q1198" s="875"/>
      <c r="R1198" s="876"/>
      <c r="S1198" s="874">
        <f>SUM(K1198:R1198)</f>
        <v>0</v>
      </c>
      <c r="T1198" s="875"/>
      <c r="U1198" s="875"/>
      <c r="V1198" s="876"/>
      <c r="W1198" s="859">
        <f>CHSHTAData!AI3</f>
        <v>0</v>
      </c>
      <c r="X1198" s="861"/>
      <c r="Y1198" s="619"/>
      <c r="Z1198" s="610"/>
      <c r="AA1198" s="518"/>
      <c r="AB1198" s="518"/>
      <c r="AC1198" s="518"/>
      <c r="AD1198" s="518"/>
      <c r="AE1198" s="518"/>
      <c r="AF1198" s="529"/>
      <c r="AG1198" s="529"/>
      <c r="AH1198" s="529"/>
      <c r="AJ1198" s="595" t="b">
        <f t="shared" ref="AJ1198:AJ1229" si="26">IF(AND(AJ$1191,S1198&gt;0),TRUE,FALSE)</f>
        <v>0</v>
      </c>
    </row>
    <row r="1199" spans="1:36" hidden="1" x14ac:dyDescent="0.45">
      <c r="A1199" s="518"/>
      <c r="B1199" s="514" t="s">
        <v>1406</v>
      </c>
      <c r="C1199" s="535"/>
      <c r="D1199" s="535"/>
      <c r="E1199" s="535"/>
      <c r="F1199" s="535"/>
      <c r="G1199" s="885" t="str">
        <f>IF(CHSHTAData!T4=0,"",CHSHTAData!T4)</f>
        <v/>
      </c>
      <c r="H1199" s="885"/>
      <c r="I1199" s="888">
        <f>CHSHTAData!AE4</f>
        <v>0</v>
      </c>
      <c r="J1199" s="889"/>
      <c r="K1199" s="874">
        <f>CHSHTAData!AF4</f>
        <v>0</v>
      </c>
      <c r="L1199" s="875"/>
      <c r="M1199" s="875"/>
      <c r="N1199" s="876"/>
      <c r="O1199" s="874">
        <f>CHSHTAData!AG4</f>
        <v>0</v>
      </c>
      <c r="P1199" s="875"/>
      <c r="Q1199" s="875"/>
      <c r="R1199" s="876"/>
      <c r="S1199" s="874">
        <f t="shared" ref="S1199:S1255" si="27">SUM(K1199:R1199)</f>
        <v>0</v>
      </c>
      <c r="T1199" s="875"/>
      <c r="U1199" s="875"/>
      <c r="V1199" s="876"/>
      <c r="W1199" s="859">
        <f>CHSHTAData!AI4</f>
        <v>0</v>
      </c>
      <c r="X1199" s="861"/>
      <c r="Y1199" s="619"/>
      <c r="Z1199" s="610"/>
      <c r="AA1199" s="518"/>
      <c r="AB1199" s="518"/>
      <c r="AC1199" s="518"/>
      <c r="AD1199" s="518"/>
      <c r="AE1199" s="518"/>
      <c r="AF1199" s="529"/>
      <c r="AG1199" s="529"/>
      <c r="AH1199" s="529"/>
      <c r="AJ1199" s="595" t="b">
        <f t="shared" si="26"/>
        <v>0</v>
      </c>
    </row>
    <row r="1200" spans="1:36" hidden="1" x14ac:dyDescent="0.45">
      <c r="A1200" s="518"/>
      <c r="B1200" s="514" t="s">
        <v>1407</v>
      </c>
      <c r="C1200" s="535"/>
      <c r="D1200" s="535"/>
      <c r="E1200" s="535"/>
      <c r="F1200" s="535"/>
      <c r="G1200" s="885" t="str">
        <f>IF(CHSHTAData!T5=0,"",CHSHTAData!T5)</f>
        <v/>
      </c>
      <c r="H1200" s="885"/>
      <c r="I1200" s="888">
        <f>CHSHTAData!AE5</f>
        <v>0</v>
      </c>
      <c r="J1200" s="889"/>
      <c r="K1200" s="874">
        <f>CHSHTAData!AF5</f>
        <v>0</v>
      </c>
      <c r="L1200" s="875"/>
      <c r="M1200" s="875"/>
      <c r="N1200" s="876"/>
      <c r="O1200" s="874">
        <f>CHSHTAData!AG5</f>
        <v>0</v>
      </c>
      <c r="P1200" s="875"/>
      <c r="Q1200" s="875"/>
      <c r="R1200" s="876"/>
      <c r="S1200" s="874">
        <f t="shared" si="27"/>
        <v>0</v>
      </c>
      <c r="T1200" s="875"/>
      <c r="U1200" s="875"/>
      <c r="V1200" s="876"/>
      <c r="W1200" s="859">
        <f>CHSHTAData!AI5</f>
        <v>0</v>
      </c>
      <c r="X1200" s="861"/>
      <c r="Y1200" s="619"/>
      <c r="Z1200" s="610"/>
      <c r="AA1200" s="518"/>
      <c r="AB1200" s="518"/>
      <c r="AC1200" s="518"/>
      <c r="AD1200" s="518"/>
      <c r="AE1200" s="518"/>
      <c r="AF1200" s="529"/>
      <c r="AG1200" s="529"/>
      <c r="AH1200" s="529"/>
      <c r="AJ1200" s="595" t="b">
        <f t="shared" si="26"/>
        <v>0</v>
      </c>
    </row>
    <row r="1201" spans="1:36" hidden="1" x14ac:dyDescent="0.45">
      <c r="A1201" s="518"/>
      <c r="B1201" s="514" t="s">
        <v>1408</v>
      </c>
      <c r="C1201" s="535"/>
      <c r="D1201" s="535"/>
      <c r="E1201" s="535"/>
      <c r="F1201" s="535"/>
      <c r="G1201" s="885" t="str">
        <f>IF(CHSHTAData!T6=0,"",CHSHTAData!T6)</f>
        <v/>
      </c>
      <c r="H1201" s="885"/>
      <c r="I1201" s="888">
        <f>CHSHTAData!AE6</f>
        <v>0</v>
      </c>
      <c r="J1201" s="889"/>
      <c r="K1201" s="874">
        <f>CHSHTAData!AF6</f>
        <v>0</v>
      </c>
      <c r="L1201" s="875"/>
      <c r="M1201" s="875"/>
      <c r="N1201" s="876"/>
      <c r="O1201" s="874">
        <f>CHSHTAData!AG6</f>
        <v>0</v>
      </c>
      <c r="P1201" s="875"/>
      <c r="Q1201" s="875"/>
      <c r="R1201" s="876"/>
      <c r="S1201" s="874">
        <f t="shared" si="27"/>
        <v>0</v>
      </c>
      <c r="T1201" s="875"/>
      <c r="U1201" s="875"/>
      <c r="V1201" s="876"/>
      <c r="W1201" s="859">
        <f>CHSHTAData!AI6</f>
        <v>0</v>
      </c>
      <c r="X1201" s="861"/>
      <c r="Y1201" s="619"/>
      <c r="Z1201" s="610"/>
      <c r="AA1201" s="518"/>
      <c r="AB1201" s="518"/>
      <c r="AC1201" s="518"/>
      <c r="AD1201" s="518"/>
      <c r="AE1201" s="518"/>
      <c r="AF1201" s="529"/>
      <c r="AG1201" s="529"/>
      <c r="AH1201" s="529"/>
      <c r="AJ1201" s="595" t="b">
        <f t="shared" si="26"/>
        <v>0</v>
      </c>
    </row>
    <row r="1202" spans="1:36" hidden="1" x14ac:dyDescent="0.45">
      <c r="A1202" s="518"/>
      <c r="B1202" s="514" t="s">
        <v>1409</v>
      </c>
      <c r="C1202" s="535"/>
      <c r="D1202" s="535"/>
      <c r="E1202" s="535"/>
      <c r="F1202" s="535"/>
      <c r="G1202" s="885" t="str">
        <f>IF(CHSHTAData!T7=0,"",CHSHTAData!T7)</f>
        <v/>
      </c>
      <c r="H1202" s="885"/>
      <c r="I1202" s="888">
        <f>CHSHTAData!AE7</f>
        <v>0</v>
      </c>
      <c r="J1202" s="889"/>
      <c r="K1202" s="874">
        <f>CHSHTAData!AF7</f>
        <v>0</v>
      </c>
      <c r="L1202" s="875"/>
      <c r="M1202" s="875"/>
      <c r="N1202" s="876"/>
      <c r="O1202" s="874">
        <f>CHSHTAData!AG7</f>
        <v>0</v>
      </c>
      <c r="P1202" s="875"/>
      <c r="Q1202" s="875"/>
      <c r="R1202" s="876"/>
      <c r="S1202" s="874">
        <f t="shared" si="27"/>
        <v>0</v>
      </c>
      <c r="T1202" s="875"/>
      <c r="U1202" s="875"/>
      <c r="V1202" s="876"/>
      <c r="W1202" s="859">
        <f>CHSHTAData!AI7</f>
        <v>0</v>
      </c>
      <c r="X1202" s="861"/>
      <c r="Y1202" s="619"/>
      <c r="Z1202" s="610"/>
      <c r="AA1202" s="518"/>
      <c r="AB1202" s="518"/>
      <c r="AC1202" s="518"/>
      <c r="AD1202" s="518"/>
      <c r="AE1202" s="518"/>
      <c r="AF1202" s="529"/>
      <c r="AG1202" s="529"/>
      <c r="AH1202" s="529"/>
      <c r="AJ1202" s="595" t="b">
        <f t="shared" si="26"/>
        <v>0</v>
      </c>
    </row>
    <row r="1203" spans="1:36" hidden="1" x14ac:dyDescent="0.45">
      <c r="A1203" s="518"/>
      <c r="B1203" s="514" t="s">
        <v>1410</v>
      </c>
      <c r="C1203" s="535"/>
      <c r="D1203" s="535"/>
      <c r="E1203" s="535"/>
      <c r="F1203" s="535"/>
      <c r="G1203" s="885" t="str">
        <f>IF(CHSHTAData!T8=0,"",CHSHTAData!T8)</f>
        <v/>
      </c>
      <c r="H1203" s="885"/>
      <c r="I1203" s="888">
        <f>CHSHTAData!AE8</f>
        <v>0</v>
      </c>
      <c r="J1203" s="889"/>
      <c r="K1203" s="874">
        <f>CHSHTAData!AF8</f>
        <v>0</v>
      </c>
      <c r="L1203" s="875"/>
      <c r="M1203" s="875"/>
      <c r="N1203" s="876"/>
      <c r="O1203" s="874">
        <f>CHSHTAData!AG8</f>
        <v>0</v>
      </c>
      <c r="P1203" s="875"/>
      <c r="Q1203" s="875"/>
      <c r="R1203" s="876"/>
      <c r="S1203" s="874">
        <f t="shared" si="27"/>
        <v>0</v>
      </c>
      <c r="T1203" s="875"/>
      <c r="U1203" s="875"/>
      <c r="V1203" s="876"/>
      <c r="W1203" s="859">
        <f>CHSHTAData!AI8</f>
        <v>0</v>
      </c>
      <c r="X1203" s="861"/>
      <c r="Y1203" s="619"/>
      <c r="Z1203" s="610"/>
      <c r="AA1203" s="518"/>
      <c r="AB1203" s="518"/>
      <c r="AC1203" s="518"/>
      <c r="AD1203" s="518"/>
      <c r="AE1203" s="518"/>
      <c r="AF1203" s="529"/>
      <c r="AG1203" s="529"/>
      <c r="AH1203" s="529"/>
      <c r="AJ1203" s="595" t="b">
        <f t="shared" si="26"/>
        <v>0</v>
      </c>
    </row>
    <row r="1204" spans="1:36" hidden="1" x14ac:dyDescent="0.45">
      <c r="A1204" s="518"/>
      <c r="B1204" s="514" t="s">
        <v>1411</v>
      </c>
      <c r="C1204" s="535"/>
      <c r="D1204" s="535"/>
      <c r="E1204" s="535"/>
      <c r="F1204" s="535"/>
      <c r="G1204" s="885" t="str">
        <f>IF(CHSHTAData!T9=0,"",CHSHTAData!T9)</f>
        <v/>
      </c>
      <c r="H1204" s="885"/>
      <c r="I1204" s="888">
        <f>CHSHTAData!AE9</f>
        <v>0</v>
      </c>
      <c r="J1204" s="889"/>
      <c r="K1204" s="874">
        <f>CHSHTAData!AF9</f>
        <v>0</v>
      </c>
      <c r="L1204" s="875"/>
      <c r="M1204" s="875"/>
      <c r="N1204" s="876"/>
      <c r="O1204" s="874">
        <f>CHSHTAData!AG9</f>
        <v>0</v>
      </c>
      <c r="P1204" s="875"/>
      <c r="Q1204" s="875"/>
      <c r="R1204" s="876"/>
      <c r="S1204" s="874">
        <f t="shared" si="27"/>
        <v>0</v>
      </c>
      <c r="T1204" s="875"/>
      <c r="U1204" s="875"/>
      <c r="V1204" s="876"/>
      <c r="W1204" s="859">
        <f>CHSHTAData!AI9</f>
        <v>0</v>
      </c>
      <c r="X1204" s="861"/>
      <c r="Y1204" s="619"/>
      <c r="Z1204" s="610"/>
      <c r="AA1204" s="518"/>
      <c r="AB1204" s="518"/>
      <c r="AC1204" s="518"/>
      <c r="AD1204" s="518"/>
      <c r="AE1204" s="518"/>
      <c r="AF1204" s="529"/>
      <c r="AG1204" s="529"/>
      <c r="AH1204" s="529"/>
      <c r="AJ1204" s="595" t="b">
        <f t="shared" si="26"/>
        <v>0</v>
      </c>
    </row>
    <row r="1205" spans="1:36" hidden="1" x14ac:dyDescent="0.45">
      <c r="A1205" s="518"/>
      <c r="B1205" s="514" t="s">
        <v>1412</v>
      </c>
      <c r="C1205" s="535"/>
      <c r="D1205" s="535"/>
      <c r="E1205" s="535"/>
      <c r="F1205" s="535"/>
      <c r="G1205" s="885" t="str">
        <f>IF(CHSHTAData!T10=0,"",CHSHTAData!T10)</f>
        <v/>
      </c>
      <c r="H1205" s="885"/>
      <c r="I1205" s="888">
        <f>CHSHTAData!AE10</f>
        <v>0</v>
      </c>
      <c r="J1205" s="889"/>
      <c r="K1205" s="874">
        <f>CHSHTAData!AF10</f>
        <v>0</v>
      </c>
      <c r="L1205" s="875"/>
      <c r="M1205" s="875"/>
      <c r="N1205" s="876"/>
      <c r="O1205" s="874">
        <f>CHSHTAData!AG10</f>
        <v>0</v>
      </c>
      <c r="P1205" s="875"/>
      <c r="Q1205" s="875"/>
      <c r="R1205" s="876"/>
      <c r="S1205" s="874">
        <f t="shared" si="27"/>
        <v>0</v>
      </c>
      <c r="T1205" s="875"/>
      <c r="U1205" s="875"/>
      <c r="V1205" s="876"/>
      <c r="W1205" s="859">
        <f>CHSHTAData!AI10</f>
        <v>0</v>
      </c>
      <c r="X1205" s="861"/>
      <c r="Y1205" s="619"/>
      <c r="Z1205" s="610"/>
      <c r="AA1205" s="518"/>
      <c r="AB1205" s="518"/>
      <c r="AC1205" s="518"/>
      <c r="AD1205" s="518"/>
      <c r="AE1205" s="518"/>
      <c r="AF1205" s="529"/>
      <c r="AG1205" s="529"/>
      <c r="AH1205" s="529"/>
      <c r="AJ1205" s="595" t="b">
        <f t="shared" si="26"/>
        <v>0</v>
      </c>
    </row>
    <row r="1206" spans="1:36" hidden="1" x14ac:dyDescent="0.45">
      <c r="A1206" s="518"/>
      <c r="B1206" s="514" t="s">
        <v>1413</v>
      </c>
      <c r="C1206" s="535"/>
      <c r="D1206" s="535"/>
      <c r="E1206" s="535"/>
      <c r="F1206" s="535"/>
      <c r="G1206" s="885" t="str">
        <f>IF(CHSHTAData!T11=0,"",CHSHTAData!T11)</f>
        <v/>
      </c>
      <c r="H1206" s="885"/>
      <c r="I1206" s="888">
        <f>CHSHTAData!AE11</f>
        <v>0</v>
      </c>
      <c r="J1206" s="889"/>
      <c r="K1206" s="874">
        <f>CHSHTAData!AF11</f>
        <v>0</v>
      </c>
      <c r="L1206" s="875"/>
      <c r="M1206" s="875"/>
      <c r="N1206" s="876"/>
      <c r="O1206" s="874">
        <f>CHSHTAData!AG11</f>
        <v>0</v>
      </c>
      <c r="P1206" s="875"/>
      <c r="Q1206" s="875"/>
      <c r="R1206" s="876"/>
      <c r="S1206" s="874">
        <f t="shared" si="27"/>
        <v>0</v>
      </c>
      <c r="T1206" s="875"/>
      <c r="U1206" s="875"/>
      <c r="V1206" s="876"/>
      <c r="W1206" s="859">
        <f>CHSHTAData!AI11</f>
        <v>0</v>
      </c>
      <c r="X1206" s="861"/>
      <c r="Y1206" s="619"/>
      <c r="Z1206" s="610"/>
      <c r="AA1206" s="518"/>
      <c r="AB1206" s="518"/>
      <c r="AC1206" s="518"/>
      <c r="AD1206" s="518"/>
      <c r="AE1206" s="518"/>
      <c r="AF1206" s="529"/>
      <c r="AG1206" s="529"/>
      <c r="AH1206" s="529"/>
      <c r="AJ1206" s="595" t="b">
        <f t="shared" si="26"/>
        <v>0</v>
      </c>
    </row>
    <row r="1207" spans="1:36" hidden="1" x14ac:dyDescent="0.45">
      <c r="A1207" s="518"/>
      <c r="B1207" s="514" t="s">
        <v>1414</v>
      </c>
      <c r="C1207" s="535"/>
      <c r="D1207" s="535"/>
      <c r="E1207" s="535"/>
      <c r="F1207" s="535"/>
      <c r="G1207" s="885" t="str">
        <f>IF(CHSHTAData!T12=0,"",CHSHTAData!T12)</f>
        <v/>
      </c>
      <c r="H1207" s="885"/>
      <c r="I1207" s="888">
        <f>CHSHTAData!AE12</f>
        <v>0</v>
      </c>
      <c r="J1207" s="889"/>
      <c r="K1207" s="874">
        <f>CHSHTAData!AF12</f>
        <v>0</v>
      </c>
      <c r="L1207" s="875"/>
      <c r="M1207" s="875"/>
      <c r="N1207" s="876"/>
      <c r="O1207" s="874">
        <f>CHSHTAData!AG12</f>
        <v>0</v>
      </c>
      <c r="P1207" s="875"/>
      <c r="Q1207" s="875"/>
      <c r="R1207" s="876"/>
      <c r="S1207" s="874">
        <f t="shared" si="27"/>
        <v>0</v>
      </c>
      <c r="T1207" s="875"/>
      <c r="U1207" s="875"/>
      <c r="V1207" s="876"/>
      <c r="W1207" s="859">
        <f>CHSHTAData!AI12</f>
        <v>0</v>
      </c>
      <c r="X1207" s="861"/>
      <c r="Y1207" s="619"/>
      <c r="Z1207" s="610"/>
      <c r="AA1207" s="518"/>
      <c r="AB1207" s="518"/>
      <c r="AC1207" s="518"/>
      <c r="AD1207" s="518"/>
      <c r="AE1207" s="518"/>
      <c r="AF1207" s="529"/>
      <c r="AG1207" s="529"/>
      <c r="AH1207" s="529"/>
      <c r="AJ1207" s="595" t="b">
        <f t="shared" si="26"/>
        <v>0</v>
      </c>
    </row>
    <row r="1208" spans="1:36" hidden="1" x14ac:dyDescent="0.45">
      <c r="A1208" s="518"/>
      <c r="B1208" s="514" t="s">
        <v>1415</v>
      </c>
      <c r="C1208" s="535"/>
      <c r="D1208" s="535"/>
      <c r="E1208" s="535"/>
      <c r="F1208" s="535"/>
      <c r="G1208" s="885" t="str">
        <f>IF(CHSHTAData!T13=0,"",CHSHTAData!T13)</f>
        <v/>
      </c>
      <c r="H1208" s="885"/>
      <c r="I1208" s="888">
        <f>CHSHTAData!AE13</f>
        <v>0</v>
      </c>
      <c r="J1208" s="889"/>
      <c r="K1208" s="874">
        <f>CHSHTAData!AF13</f>
        <v>0</v>
      </c>
      <c r="L1208" s="875"/>
      <c r="M1208" s="875"/>
      <c r="N1208" s="876"/>
      <c r="O1208" s="874">
        <f>CHSHTAData!AG13</f>
        <v>0</v>
      </c>
      <c r="P1208" s="875"/>
      <c r="Q1208" s="875"/>
      <c r="R1208" s="876"/>
      <c r="S1208" s="874">
        <f t="shared" si="27"/>
        <v>0</v>
      </c>
      <c r="T1208" s="875"/>
      <c r="U1208" s="875"/>
      <c r="V1208" s="876"/>
      <c r="W1208" s="859">
        <f>CHSHTAData!AI13</f>
        <v>0</v>
      </c>
      <c r="X1208" s="861"/>
      <c r="Y1208" s="619"/>
      <c r="Z1208" s="610"/>
      <c r="AA1208" s="518"/>
      <c r="AB1208" s="518"/>
      <c r="AC1208" s="518"/>
      <c r="AD1208" s="518"/>
      <c r="AE1208" s="518"/>
      <c r="AF1208" s="529"/>
      <c r="AG1208" s="529"/>
      <c r="AH1208" s="529"/>
      <c r="AJ1208" s="595" t="b">
        <f t="shared" si="26"/>
        <v>0</v>
      </c>
    </row>
    <row r="1209" spans="1:36" hidden="1" x14ac:dyDescent="0.45">
      <c r="A1209" s="518"/>
      <c r="B1209" s="514" t="s">
        <v>1416</v>
      </c>
      <c r="C1209" s="535"/>
      <c r="D1209" s="535"/>
      <c r="E1209" s="535"/>
      <c r="F1209" s="535"/>
      <c r="G1209" s="885" t="str">
        <f>IF(CHSHTAData!T14=0,"",CHSHTAData!T14)</f>
        <v/>
      </c>
      <c r="H1209" s="885"/>
      <c r="I1209" s="888">
        <f>CHSHTAData!AE14</f>
        <v>0</v>
      </c>
      <c r="J1209" s="889"/>
      <c r="K1209" s="874">
        <f>CHSHTAData!AF14</f>
        <v>0</v>
      </c>
      <c r="L1209" s="875"/>
      <c r="M1209" s="875"/>
      <c r="N1209" s="876"/>
      <c r="O1209" s="874">
        <f>CHSHTAData!AG14</f>
        <v>0</v>
      </c>
      <c r="P1209" s="875"/>
      <c r="Q1209" s="875"/>
      <c r="R1209" s="876"/>
      <c r="S1209" s="874">
        <f t="shared" si="27"/>
        <v>0</v>
      </c>
      <c r="T1209" s="875"/>
      <c r="U1209" s="875"/>
      <c r="V1209" s="876"/>
      <c r="W1209" s="859">
        <f>CHSHTAData!AI14</f>
        <v>0</v>
      </c>
      <c r="X1209" s="861"/>
      <c r="Y1209" s="619"/>
      <c r="Z1209" s="610"/>
      <c r="AA1209" s="518"/>
      <c r="AB1209" s="518"/>
      <c r="AC1209" s="518"/>
      <c r="AD1209" s="518"/>
      <c r="AE1209" s="518"/>
      <c r="AF1209" s="529"/>
      <c r="AG1209" s="529"/>
      <c r="AH1209" s="529"/>
      <c r="AJ1209" s="595" t="b">
        <f t="shared" si="26"/>
        <v>0</v>
      </c>
    </row>
    <row r="1210" spans="1:36" hidden="1" x14ac:dyDescent="0.45">
      <c r="A1210" s="518"/>
      <c r="B1210" s="514" t="s">
        <v>1417</v>
      </c>
      <c r="C1210" s="535"/>
      <c r="D1210" s="535"/>
      <c r="E1210" s="535"/>
      <c r="F1210" s="535"/>
      <c r="G1210" s="885" t="str">
        <f>IF(CHSHTAData!T15=0,"",CHSHTAData!T15)</f>
        <v/>
      </c>
      <c r="H1210" s="885"/>
      <c r="I1210" s="888">
        <f>CHSHTAData!AE15</f>
        <v>0</v>
      </c>
      <c r="J1210" s="889"/>
      <c r="K1210" s="874">
        <f>CHSHTAData!AF15</f>
        <v>0</v>
      </c>
      <c r="L1210" s="875"/>
      <c r="M1210" s="875"/>
      <c r="N1210" s="876"/>
      <c r="O1210" s="874">
        <f>CHSHTAData!AG15</f>
        <v>0</v>
      </c>
      <c r="P1210" s="875"/>
      <c r="Q1210" s="875"/>
      <c r="R1210" s="876"/>
      <c r="S1210" s="874">
        <f t="shared" si="27"/>
        <v>0</v>
      </c>
      <c r="T1210" s="875"/>
      <c r="U1210" s="875"/>
      <c r="V1210" s="876"/>
      <c r="W1210" s="859">
        <f>CHSHTAData!AI15</f>
        <v>0</v>
      </c>
      <c r="X1210" s="861"/>
      <c r="Y1210" s="619"/>
      <c r="Z1210" s="610"/>
      <c r="AA1210" s="518"/>
      <c r="AB1210" s="518"/>
      <c r="AC1210" s="518"/>
      <c r="AD1210" s="518"/>
      <c r="AE1210" s="518"/>
      <c r="AF1210" s="529"/>
      <c r="AG1210" s="529"/>
      <c r="AH1210" s="529"/>
      <c r="AJ1210" s="595" t="b">
        <f t="shared" si="26"/>
        <v>0</v>
      </c>
    </row>
    <row r="1211" spans="1:36" hidden="1" x14ac:dyDescent="0.45">
      <c r="A1211" s="518"/>
      <c r="B1211" s="514" t="s">
        <v>1418</v>
      </c>
      <c r="C1211" s="535"/>
      <c r="D1211" s="535"/>
      <c r="E1211" s="535"/>
      <c r="F1211" s="535"/>
      <c r="G1211" s="885" t="str">
        <f>IF(CHSHTAData!T16=0,"",CHSHTAData!T16)</f>
        <v/>
      </c>
      <c r="H1211" s="885"/>
      <c r="I1211" s="888">
        <f>CHSHTAData!AE16</f>
        <v>0</v>
      </c>
      <c r="J1211" s="889"/>
      <c r="K1211" s="874">
        <f>CHSHTAData!AF16</f>
        <v>0</v>
      </c>
      <c r="L1211" s="875"/>
      <c r="M1211" s="875"/>
      <c r="N1211" s="876"/>
      <c r="O1211" s="874">
        <f>CHSHTAData!AG16</f>
        <v>0</v>
      </c>
      <c r="P1211" s="875"/>
      <c r="Q1211" s="875"/>
      <c r="R1211" s="876"/>
      <c r="S1211" s="874">
        <f t="shared" si="27"/>
        <v>0</v>
      </c>
      <c r="T1211" s="875"/>
      <c r="U1211" s="875"/>
      <c r="V1211" s="876"/>
      <c r="W1211" s="859">
        <f>CHSHTAData!AI16</f>
        <v>0</v>
      </c>
      <c r="X1211" s="861"/>
      <c r="Y1211" s="619"/>
      <c r="Z1211" s="610"/>
      <c r="AA1211" s="518"/>
      <c r="AB1211" s="518"/>
      <c r="AC1211" s="518"/>
      <c r="AD1211" s="518"/>
      <c r="AE1211" s="518"/>
      <c r="AF1211" s="529"/>
      <c r="AG1211" s="529"/>
      <c r="AH1211" s="529"/>
      <c r="AJ1211" s="595" t="b">
        <f t="shared" si="26"/>
        <v>0</v>
      </c>
    </row>
    <row r="1212" spans="1:36" hidden="1" x14ac:dyDescent="0.45">
      <c r="A1212" s="518"/>
      <c r="B1212" s="514" t="s">
        <v>1419</v>
      </c>
      <c r="C1212" s="535"/>
      <c r="D1212" s="535"/>
      <c r="E1212" s="535"/>
      <c r="F1212" s="535"/>
      <c r="G1212" s="885" t="str">
        <f>IF(CHSHTAData!T17=0,"",CHSHTAData!T17)</f>
        <v/>
      </c>
      <c r="H1212" s="885"/>
      <c r="I1212" s="888">
        <f>CHSHTAData!AE17</f>
        <v>0</v>
      </c>
      <c r="J1212" s="889"/>
      <c r="K1212" s="874">
        <f>CHSHTAData!AF17</f>
        <v>0</v>
      </c>
      <c r="L1212" s="875"/>
      <c r="M1212" s="875"/>
      <c r="N1212" s="876"/>
      <c r="O1212" s="874">
        <f>CHSHTAData!AG17</f>
        <v>0</v>
      </c>
      <c r="P1212" s="875"/>
      <c r="Q1212" s="875"/>
      <c r="R1212" s="876"/>
      <c r="S1212" s="874">
        <f t="shared" si="27"/>
        <v>0</v>
      </c>
      <c r="T1212" s="875"/>
      <c r="U1212" s="875"/>
      <c r="V1212" s="876"/>
      <c r="W1212" s="859">
        <f>CHSHTAData!AI17</f>
        <v>0</v>
      </c>
      <c r="X1212" s="861"/>
      <c r="Y1212" s="619"/>
      <c r="Z1212" s="610"/>
      <c r="AA1212" s="518"/>
      <c r="AB1212" s="518"/>
      <c r="AC1212" s="518"/>
      <c r="AD1212" s="518"/>
      <c r="AE1212" s="518"/>
      <c r="AF1212" s="529"/>
      <c r="AG1212" s="529"/>
      <c r="AH1212" s="529"/>
      <c r="AJ1212" s="595" t="b">
        <f t="shared" si="26"/>
        <v>0</v>
      </c>
    </row>
    <row r="1213" spans="1:36" hidden="1" x14ac:dyDescent="0.45">
      <c r="A1213" s="518"/>
      <c r="B1213" s="514" t="s">
        <v>1420</v>
      </c>
      <c r="C1213" s="535"/>
      <c r="D1213" s="535"/>
      <c r="E1213" s="535"/>
      <c r="F1213" s="535"/>
      <c r="G1213" s="885" t="str">
        <f>IF(CHSHTAData!T18=0,"",CHSHTAData!T18)</f>
        <v/>
      </c>
      <c r="H1213" s="885"/>
      <c r="I1213" s="888">
        <f>CHSHTAData!AE18</f>
        <v>0</v>
      </c>
      <c r="J1213" s="889"/>
      <c r="K1213" s="874">
        <f>CHSHTAData!AF18</f>
        <v>0</v>
      </c>
      <c r="L1213" s="875"/>
      <c r="M1213" s="875"/>
      <c r="N1213" s="876"/>
      <c r="O1213" s="874">
        <f>CHSHTAData!AG18</f>
        <v>0</v>
      </c>
      <c r="P1213" s="875"/>
      <c r="Q1213" s="875"/>
      <c r="R1213" s="876"/>
      <c r="S1213" s="874">
        <f t="shared" si="27"/>
        <v>0</v>
      </c>
      <c r="T1213" s="875"/>
      <c r="U1213" s="875"/>
      <c r="V1213" s="876"/>
      <c r="W1213" s="859">
        <f>CHSHTAData!AI18</f>
        <v>0</v>
      </c>
      <c r="X1213" s="861"/>
      <c r="Y1213" s="619"/>
      <c r="Z1213" s="610"/>
      <c r="AA1213" s="518"/>
      <c r="AB1213" s="518"/>
      <c r="AC1213" s="518"/>
      <c r="AD1213" s="518"/>
      <c r="AE1213" s="518"/>
      <c r="AF1213" s="529"/>
      <c r="AG1213" s="529"/>
      <c r="AH1213" s="529"/>
      <c r="AJ1213" s="595" t="b">
        <f t="shared" si="26"/>
        <v>0</v>
      </c>
    </row>
    <row r="1214" spans="1:36" hidden="1" x14ac:dyDescent="0.45">
      <c r="A1214" s="518"/>
      <c r="B1214" s="514" t="s">
        <v>1421</v>
      </c>
      <c r="C1214" s="535"/>
      <c r="D1214" s="535"/>
      <c r="E1214" s="535"/>
      <c r="F1214" s="535"/>
      <c r="G1214" s="885" t="str">
        <f>IF(CHSHTAData!T19=0,"",CHSHTAData!T19)</f>
        <v/>
      </c>
      <c r="H1214" s="885"/>
      <c r="I1214" s="888">
        <f>CHSHTAData!AE19</f>
        <v>0</v>
      </c>
      <c r="J1214" s="889"/>
      <c r="K1214" s="874">
        <f>CHSHTAData!AF19</f>
        <v>0</v>
      </c>
      <c r="L1214" s="875"/>
      <c r="M1214" s="875"/>
      <c r="N1214" s="876"/>
      <c r="O1214" s="874">
        <f>CHSHTAData!AG19</f>
        <v>0</v>
      </c>
      <c r="P1214" s="875"/>
      <c r="Q1214" s="875"/>
      <c r="R1214" s="876"/>
      <c r="S1214" s="874">
        <f t="shared" si="27"/>
        <v>0</v>
      </c>
      <c r="T1214" s="875"/>
      <c r="U1214" s="875"/>
      <c r="V1214" s="876"/>
      <c r="W1214" s="859">
        <f>CHSHTAData!AI19</f>
        <v>0</v>
      </c>
      <c r="X1214" s="861"/>
      <c r="Y1214" s="619"/>
      <c r="Z1214" s="610"/>
      <c r="AA1214" s="518"/>
      <c r="AB1214" s="518"/>
      <c r="AC1214" s="518"/>
      <c r="AD1214" s="518"/>
      <c r="AE1214" s="518"/>
      <c r="AF1214" s="529"/>
      <c r="AG1214" s="529"/>
      <c r="AH1214" s="529"/>
      <c r="AJ1214" s="595" t="b">
        <f t="shared" si="26"/>
        <v>0</v>
      </c>
    </row>
    <row r="1215" spans="1:36" hidden="1" x14ac:dyDescent="0.45">
      <c r="A1215" s="518"/>
      <c r="B1215" s="514" t="s">
        <v>1422</v>
      </c>
      <c r="C1215" s="535"/>
      <c r="D1215" s="535"/>
      <c r="E1215" s="535"/>
      <c r="F1215" s="535"/>
      <c r="G1215" s="885" t="str">
        <f>IF(CHSHTAData!T20=0,"",CHSHTAData!T20)</f>
        <v/>
      </c>
      <c r="H1215" s="885"/>
      <c r="I1215" s="888">
        <f>CHSHTAData!AE20</f>
        <v>0</v>
      </c>
      <c r="J1215" s="889"/>
      <c r="K1215" s="874">
        <f>CHSHTAData!AF20</f>
        <v>0</v>
      </c>
      <c r="L1215" s="875"/>
      <c r="M1215" s="875"/>
      <c r="N1215" s="876"/>
      <c r="O1215" s="874">
        <f>CHSHTAData!AG20</f>
        <v>0</v>
      </c>
      <c r="P1215" s="875"/>
      <c r="Q1215" s="875"/>
      <c r="R1215" s="876"/>
      <c r="S1215" s="874">
        <f t="shared" si="27"/>
        <v>0</v>
      </c>
      <c r="T1215" s="875"/>
      <c r="U1215" s="875"/>
      <c r="V1215" s="876"/>
      <c r="W1215" s="859">
        <f>CHSHTAData!AI20</f>
        <v>0</v>
      </c>
      <c r="X1215" s="861"/>
      <c r="Y1215" s="619"/>
      <c r="Z1215" s="610"/>
      <c r="AA1215" s="518"/>
      <c r="AB1215" s="518"/>
      <c r="AC1215" s="518"/>
      <c r="AD1215" s="518"/>
      <c r="AE1215" s="518"/>
      <c r="AF1215" s="529"/>
      <c r="AG1215" s="529"/>
      <c r="AH1215" s="529"/>
      <c r="AJ1215" s="595" t="b">
        <f t="shared" si="26"/>
        <v>0</v>
      </c>
    </row>
    <row r="1216" spans="1:36" hidden="1" x14ac:dyDescent="0.45">
      <c r="A1216" s="518"/>
      <c r="B1216" s="514" t="s">
        <v>1423</v>
      </c>
      <c r="C1216" s="535"/>
      <c r="D1216" s="535"/>
      <c r="E1216" s="535"/>
      <c r="F1216" s="535"/>
      <c r="G1216" s="885" t="str">
        <f>IF(CHSHTAData!T21=0,"",CHSHTAData!T21)</f>
        <v/>
      </c>
      <c r="H1216" s="885"/>
      <c r="I1216" s="888">
        <f>CHSHTAData!AE21</f>
        <v>0</v>
      </c>
      <c r="J1216" s="889"/>
      <c r="K1216" s="874">
        <f>CHSHTAData!AF21</f>
        <v>0</v>
      </c>
      <c r="L1216" s="875"/>
      <c r="M1216" s="875"/>
      <c r="N1216" s="876"/>
      <c r="O1216" s="874">
        <f>CHSHTAData!AG21</f>
        <v>0</v>
      </c>
      <c r="P1216" s="875"/>
      <c r="Q1216" s="875"/>
      <c r="R1216" s="876"/>
      <c r="S1216" s="874">
        <f t="shared" si="27"/>
        <v>0</v>
      </c>
      <c r="T1216" s="875"/>
      <c r="U1216" s="875"/>
      <c r="V1216" s="876"/>
      <c r="W1216" s="859">
        <f>CHSHTAData!AI21</f>
        <v>0</v>
      </c>
      <c r="X1216" s="861"/>
      <c r="Y1216" s="619"/>
      <c r="Z1216" s="610"/>
      <c r="AA1216" s="518"/>
      <c r="AB1216" s="518"/>
      <c r="AC1216" s="518"/>
      <c r="AD1216" s="518"/>
      <c r="AE1216" s="518"/>
      <c r="AF1216" s="529"/>
      <c r="AG1216" s="529"/>
      <c r="AH1216" s="529"/>
      <c r="AJ1216" s="595" t="b">
        <f t="shared" si="26"/>
        <v>0</v>
      </c>
    </row>
    <row r="1217" spans="1:36" hidden="1" x14ac:dyDescent="0.45">
      <c r="A1217" s="518"/>
      <c r="B1217" s="514" t="s">
        <v>1424</v>
      </c>
      <c r="C1217" s="535"/>
      <c r="D1217" s="535"/>
      <c r="E1217" s="535"/>
      <c r="F1217" s="535"/>
      <c r="G1217" s="885" t="str">
        <f>IF(CHSHTAData!T22=0,"",CHSHTAData!T22)</f>
        <v/>
      </c>
      <c r="H1217" s="885"/>
      <c r="I1217" s="888">
        <f>CHSHTAData!AE22</f>
        <v>0</v>
      </c>
      <c r="J1217" s="889"/>
      <c r="K1217" s="874">
        <f>CHSHTAData!AF22</f>
        <v>0</v>
      </c>
      <c r="L1217" s="875"/>
      <c r="M1217" s="875"/>
      <c r="N1217" s="876"/>
      <c r="O1217" s="874">
        <f>CHSHTAData!AG22</f>
        <v>0</v>
      </c>
      <c r="P1217" s="875"/>
      <c r="Q1217" s="875"/>
      <c r="R1217" s="876"/>
      <c r="S1217" s="874">
        <f t="shared" si="27"/>
        <v>0</v>
      </c>
      <c r="T1217" s="875"/>
      <c r="U1217" s="875"/>
      <c r="V1217" s="876"/>
      <c r="W1217" s="859">
        <f>CHSHTAData!AI22</f>
        <v>0</v>
      </c>
      <c r="X1217" s="861"/>
      <c r="Y1217" s="619"/>
      <c r="Z1217" s="610"/>
      <c r="AA1217" s="518"/>
      <c r="AB1217" s="518"/>
      <c r="AC1217" s="518"/>
      <c r="AD1217" s="518"/>
      <c r="AE1217" s="518"/>
      <c r="AF1217" s="529"/>
      <c r="AG1217" s="529"/>
      <c r="AH1217" s="529"/>
      <c r="AJ1217" s="595" t="b">
        <f t="shared" si="26"/>
        <v>0</v>
      </c>
    </row>
    <row r="1218" spans="1:36" hidden="1" x14ac:dyDescent="0.45">
      <c r="A1218" s="518"/>
      <c r="B1218" s="514" t="s">
        <v>1425</v>
      </c>
      <c r="C1218" s="535"/>
      <c r="D1218" s="535"/>
      <c r="E1218" s="535"/>
      <c r="F1218" s="535"/>
      <c r="G1218" s="885" t="str">
        <f>IF(CHSHTAData!T23=0,"",CHSHTAData!T23)</f>
        <v/>
      </c>
      <c r="H1218" s="885"/>
      <c r="I1218" s="888">
        <f>CHSHTAData!AE23</f>
        <v>0</v>
      </c>
      <c r="J1218" s="889"/>
      <c r="K1218" s="874">
        <f>CHSHTAData!AF23</f>
        <v>0</v>
      </c>
      <c r="L1218" s="875"/>
      <c r="M1218" s="875"/>
      <c r="N1218" s="876"/>
      <c r="O1218" s="874">
        <f>CHSHTAData!AG23</f>
        <v>0</v>
      </c>
      <c r="P1218" s="875"/>
      <c r="Q1218" s="875"/>
      <c r="R1218" s="876"/>
      <c r="S1218" s="874">
        <f t="shared" si="27"/>
        <v>0</v>
      </c>
      <c r="T1218" s="875"/>
      <c r="U1218" s="875"/>
      <c r="V1218" s="876"/>
      <c r="W1218" s="859">
        <f>CHSHTAData!AI23</f>
        <v>0</v>
      </c>
      <c r="X1218" s="861"/>
      <c r="Y1218" s="619"/>
      <c r="Z1218" s="610"/>
      <c r="AA1218" s="518"/>
      <c r="AB1218" s="518"/>
      <c r="AC1218" s="518"/>
      <c r="AD1218" s="518"/>
      <c r="AE1218" s="518"/>
      <c r="AF1218" s="529"/>
      <c r="AG1218" s="529"/>
      <c r="AH1218" s="529"/>
      <c r="AJ1218" s="595" t="b">
        <f t="shared" si="26"/>
        <v>0</v>
      </c>
    </row>
    <row r="1219" spans="1:36" hidden="1" x14ac:dyDescent="0.45">
      <c r="A1219" s="518"/>
      <c r="B1219" s="514" t="s">
        <v>1426</v>
      </c>
      <c r="C1219" s="535"/>
      <c r="D1219" s="535"/>
      <c r="E1219" s="535"/>
      <c r="F1219" s="535"/>
      <c r="G1219" s="885" t="str">
        <f>IF(CHSHTAData!T24=0,"",CHSHTAData!T24)</f>
        <v/>
      </c>
      <c r="H1219" s="885"/>
      <c r="I1219" s="888">
        <f>CHSHTAData!AE24</f>
        <v>0</v>
      </c>
      <c r="J1219" s="889"/>
      <c r="K1219" s="874">
        <f>CHSHTAData!AF24</f>
        <v>0</v>
      </c>
      <c r="L1219" s="875"/>
      <c r="M1219" s="875"/>
      <c r="N1219" s="876"/>
      <c r="O1219" s="874">
        <f>CHSHTAData!AG24</f>
        <v>0</v>
      </c>
      <c r="P1219" s="875"/>
      <c r="Q1219" s="875"/>
      <c r="R1219" s="876"/>
      <c r="S1219" s="874">
        <f t="shared" si="27"/>
        <v>0</v>
      </c>
      <c r="T1219" s="875"/>
      <c r="U1219" s="875"/>
      <c r="V1219" s="876"/>
      <c r="W1219" s="859">
        <f>CHSHTAData!AI24</f>
        <v>0</v>
      </c>
      <c r="X1219" s="861"/>
      <c r="Y1219" s="619"/>
      <c r="Z1219" s="610"/>
      <c r="AA1219" s="518"/>
      <c r="AB1219" s="518"/>
      <c r="AC1219" s="518"/>
      <c r="AD1219" s="518"/>
      <c r="AE1219" s="518"/>
      <c r="AF1219" s="529"/>
      <c r="AG1219" s="529"/>
      <c r="AH1219" s="529"/>
      <c r="AJ1219" s="595" t="b">
        <f t="shared" si="26"/>
        <v>0</v>
      </c>
    </row>
    <row r="1220" spans="1:36" hidden="1" x14ac:dyDescent="0.45">
      <c r="A1220" s="518"/>
      <c r="B1220" s="514" t="s">
        <v>1427</v>
      </c>
      <c r="C1220" s="535"/>
      <c r="D1220" s="535"/>
      <c r="E1220" s="535"/>
      <c r="F1220" s="535"/>
      <c r="G1220" s="885" t="str">
        <f>IF(CHSHTAData!T25=0,"",CHSHTAData!T25)</f>
        <v/>
      </c>
      <c r="H1220" s="885"/>
      <c r="I1220" s="888">
        <f>CHSHTAData!AE25</f>
        <v>0</v>
      </c>
      <c r="J1220" s="889"/>
      <c r="K1220" s="874">
        <f>CHSHTAData!AF25</f>
        <v>0</v>
      </c>
      <c r="L1220" s="875"/>
      <c r="M1220" s="875"/>
      <c r="N1220" s="876"/>
      <c r="O1220" s="874">
        <f>CHSHTAData!AG25</f>
        <v>0</v>
      </c>
      <c r="P1220" s="875"/>
      <c r="Q1220" s="875"/>
      <c r="R1220" s="876"/>
      <c r="S1220" s="874">
        <f t="shared" si="27"/>
        <v>0</v>
      </c>
      <c r="T1220" s="875"/>
      <c r="U1220" s="875"/>
      <c r="V1220" s="876"/>
      <c r="W1220" s="859">
        <f>CHSHTAData!AI25</f>
        <v>0</v>
      </c>
      <c r="X1220" s="861"/>
      <c r="Y1220" s="619"/>
      <c r="Z1220" s="610"/>
      <c r="AA1220" s="518"/>
      <c r="AB1220" s="518"/>
      <c r="AC1220" s="518"/>
      <c r="AD1220" s="518"/>
      <c r="AE1220" s="518"/>
      <c r="AF1220" s="529"/>
      <c r="AG1220" s="529"/>
      <c r="AH1220" s="529"/>
      <c r="AJ1220" s="595" t="b">
        <f t="shared" si="26"/>
        <v>0</v>
      </c>
    </row>
    <row r="1221" spans="1:36" hidden="1" x14ac:dyDescent="0.45">
      <c r="A1221" s="518"/>
      <c r="B1221" s="514" t="s">
        <v>1428</v>
      </c>
      <c r="C1221" s="535"/>
      <c r="D1221" s="535"/>
      <c r="E1221" s="535"/>
      <c r="F1221" s="535"/>
      <c r="G1221" s="885" t="str">
        <f>IF(CHSHTAData!T26=0,"",CHSHTAData!T26)</f>
        <v/>
      </c>
      <c r="H1221" s="885"/>
      <c r="I1221" s="888">
        <f>CHSHTAData!AE26</f>
        <v>0</v>
      </c>
      <c r="J1221" s="889"/>
      <c r="K1221" s="874">
        <f>CHSHTAData!AF26</f>
        <v>0</v>
      </c>
      <c r="L1221" s="875"/>
      <c r="M1221" s="875"/>
      <c r="N1221" s="876"/>
      <c r="O1221" s="874">
        <f>CHSHTAData!AG26</f>
        <v>0</v>
      </c>
      <c r="P1221" s="875"/>
      <c r="Q1221" s="875"/>
      <c r="R1221" s="876"/>
      <c r="S1221" s="874">
        <f t="shared" si="27"/>
        <v>0</v>
      </c>
      <c r="T1221" s="875"/>
      <c r="U1221" s="875"/>
      <c r="V1221" s="876"/>
      <c r="W1221" s="859">
        <f>CHSHTAData!AI26</f>
        <v>0</v>
      </c>
      <c r="X1221" s="861"/>
      <c r="Y1221" s="619"/>
      <c r="Z1221" s="610"/>
      <c r="AA1221" s="518"/>
      <c r="AB1221" s="518"/>
      <c r="AC1221" s="518"/>
      <c r="AD1221" s="518"/>
      <c r="AE1221" s="518"/>
      <c r="AF1221" s="529"/>
      <c r="AG1221" s="529"/>
      <c r="AH1221" s="529"/>
      <c r="AJ1221" s="595" t="b">
        <f t="shared" si="26"/>
        <v>0</v>
      </c>
    </row>
    <row r="1222" spans="1:36" hidden="1" x14ac:dyDescent="0.45">
      <c r="A1222" s="518"/>
      <c r="B1222" s="514" t="s">
        <v>1429</v>
      </c>
      <c r="C1222" s="535"/>
      <c r="D1222" s="535"/>
      <c r="E1222" s="535"/>
      <c r="F1222" s="535"/>
      <c r="G1222" s="885" t="str">
        <f>IF(CHSHTAData!T27=0,"",CHSHTAData!T27)</f>
        <v/>
      </c>
      <c r="H1222" s="885"/>
      <c r="I1222" s="888">
        <f>CHSHTAData!AE27</f>
        <v>0</v>
      </c>
      <c r="J1222" s="889"/>
      <c r="K1222" s="874">
        <f>CHSHTAData!AF27</f>
        <v>0</v>
      </c>
      <c r="L1222" s="875"/>
      <c r="M1222" s="875"/>
      <c r="N1222" s="876"/>
      <c r="O1222" s="874">
        <f>CHSHTAData!AG27</f>
        <v>0</v>
      </c>
      <c r="P1222" s="875"/>
      <c r="Q1222" s="875"/>
      <c r="R1222" s="876"/>
      <c r="S1222" s="874">
        <f t="shared" si="27"/>
        <v>0</v>
      </c>
      <c r="T1222" s="875"/>
      <c r="U1222" s="875"/>
      <c r="V1222" s="876"/>
      <c r="W1222" s="859">
        <f>CHSHTAData!AI27</f>
        <v>0</v>
      </c>
      <c r="X1222" s="861"/>
      <c r="Y1222" s="619"/>
      <c r="Z1222" s="610"/>
      <c r="AA1222" s="518"/>
      <c r="AB1222" s="518"/>
      <c r="AC1222" s="518"/>
      <c r="AD1222" s="518"/>
      <c r="AE1222" s="518"/>
      <c r="AF1222" s="529"/>
      <c r="AG1222" s="529"/>
      <c r="AH1222" s="529"/>
      <c r="AJ1222" s="595" t="b">
        <f t="shared" si="26"/>
        <v>0</v>
      </c>
    </row>
    <row r="1223" spans="1:36" hidden="1" x14ac:dyDescent="0.45">
      <c r="A1223" s="518"/>
      <c r="B1223" s="514" t="s">
        <v>1430</v>
      </c>
      <c r="C1223" s="535"/>
      <c r="D1223" s="535"/>
      <c r="E1223" s="535"/>
      <c r="F1223" s="535"/>
      <c r="G1223" s="885" t="str">
        <f>IF(CHSHTAData!T28=0,"",CHSHTAData!T28)</f>
        <v/>
      </c>
      <c r="H1223" s="885"/>
      <c r="I1223" s="888">
        <f>CHSHTAData!AE28</f>
        <v>0</v>
      </c>
      <c r="J1223" s="889"/>
      <c r="K1223" s="874">
        <f>CHSHTAData!AF28</f>
        <v>0</v>
      </c>
      <c r="L1223" s="875"/>
      <c r="M1223" s="875"/>
      <c r="N1223" s="876"/>
      <c r="O1223" s="874">
        <f>CHSHTAData!AG28</f>
        <v>0</v>
      </c>
      <c r="P1223" s="875"/>
      <c r="Q1223" s="875"/>
      <c r="R1223" s="876"/>
      <c r="S1223" s="874">
        <f t="shared" si="27"/>
        <v>0</v>
      </c>
      <c r="T1223" s="875"/>
      <c r="U1223" s="875"/>
      <c r="V1223" s="876"/>
      <c r="W1223" s="859">
        <f>CHSHTAData!AI28</f>
        <v>0</v>
      </c>
      <c r="X1223" s="861"/>
      <c r="Y1223" s="619"/>
      <c r="Z1223" s="610"/>
      <c r="AA1223" s="518"/>
      <c r="AB1223" s="518"/>
      <c r="AC1223" s="518"/>
      <c r="AD1223" s="518"/>
      <c r="AE1223" s="518"/>
      <c r="AF1223" s="529"/>
      <c r="AG1223" s="529"/>
      <c r="AH1223" s="529"/>
      <c r="AJ1223" s="595" t="b">
        <f t="shared" si="26"/>
        <v>0</v>
      </c>
    </row>
    <row r="1224" spans="1:36" hidden="1" x14ac:dyDescent="0.45">
      <c r="A1224" s="518"/>
      <c r="B1224" s="514" t="s">
        <v>1431</v>
      </c>
      <c r="C1224" s="535"/>
      <c r="D1224" s="535"/>
      <c r="E1224" s="535"/>
      <c r="F1224" s="535"/>
      <c r="G1224" s="885" t="str">
        <f>IF(CHSHTAData!T29=0,"",CHSHTAData!T29)</f>
        <v/>
      </c>
      <c r="H1224" s="885"/>
      <c r="I1224" s="888">
        <f>CHSHTAData!AE29</f>
        <v>0</v>
      </c>
      <c r="J1224" s="889"/>
      <c r="K1224" s="874">
        <f>CHSHTAData!AF29</f>
        <v>0</v>
      </c>
      <c r="L1224" s="875"/>
      <c r="M1224" s="875"/>
      <c r="N1224" s="876"/>
      <c r="O1224" s="874">
        <f>CHSHTAData!AG29</f>
        <v>0</v>
      </c>
      <c r="P1224" s="875"/>
      <c r="Q1224" s="875"/>
      <c r="R1224" s="876"/>
      <c r="S1224" s="874">
        <f t="shared" si="27"/>
        <v>0</v>
      </c>
      <c r="T1224" s="875"/>
      <c r="U1224" s="875"/>
      <c r="V1224" s="876"/>
      <c r="W1224" s="859">
        <f>CHSHTAData!AI29</f>
        <v>0</v>
      </c>
      <c r="X1224" s="861"/>
      <c r="Y1224" s="619"/>
      <c r="Z1224" s="610"/>
      <c r="AA1224" s="518"/>
      <c r="AB1224" s="518"/>
      <c r="AC1224" s="518"/>
      <c r="AD1224" s="518"/>
      <c r="AE1224" s="518"/>
      <c r="AF1224" s="529"/>
      <c r="AG1224" s="529"/>
      <c r="AH1224" s="529"/>
      <c r="AJ1224" s="595" t="b">
        <f t="shared" si="26"/>
        <v>0</v>
      </c>
    </row>
    <row r="1225" spans="1:36" hidden="1" x14ac:dyDescent="0.45">
      <c r="A1225" s="518"/>
      <c r="B1225" s="514" t="s">
        <v>1432</v>
      </c>
      <c r="C1225" s="535"/>
      <c r="D1225" s="535"/>
      <c r="E1225" s="535"/>
      <c r="F1225" s="535"/>
      <c r="G1225" s="885" t="str">
        <f>IF(CHSHTAData!T30=0,"",CHSHTAData!T30)</f>
        <v/>
      </c>
      <c r="H1225" s="885"/>
      <c r="I1225" s="888">
        <f>CHSHTAData!AE30</f>
        <v>0</v>
      </c>
      <c r="J1225" s="889"/>
      <c r="K1225" s="874">
        <f>CHSHTAData!AF30</f>
        <v>0</v>
      </c>
      <c r="L1225" s="875"/>
      <c r="M1225" s="875"/>
      <c r="N1225" s="876"/>
      <c r="O1225" s="874">
        <f>CHSHTAData!AG30</f>
        <v>0</v>
      </c>
      <c r="P1225" s="875"/>
      <c r="Q1225" s="875"/>
      <c r="R1225" s="876"/>
      <c r="S1225" s="874">
        <f t="shared" si="27"/>
        <v>0</v>
      </c>
      <c r="T1225" s="875"/>
      <c r="U1225" s="875"/>
      <c r="V1225" s="876"/>
      <c r="W1225" s="859">
        <f>CHSHTAData!AI30</f>
        <v>0</v>
      </c>
      <c r="X1225" s="861"/>
      <c r="Y1225" s="619"/>
      <c r="Z1225" s="610"/>
      <c r="AA1225" s="518"/>
      <c r="AB1225" s="518"/>
      <c r="AC1225" s="518"/>
      <c r="AD1225" s="518"/>
      <c r="AE1225" s="518"/>
      <c r="AF1225" s="529"/>
      <c r="AG1225" s="529"/>
      <c r="AH1225" s="529"/>
      <c r="AJ1225" s="595" t="b">
        <f t="shared" si="26"/>
        <v>0</v>
      </c>
    </row>
    <row r="1226" spans="1:36" hidden="1" x14ac:dyDescent="0.45">
      <c r="A1226" s="518"/>
      <c r="B1226" s="514" t="s">
        <v>1433</v>
      </c>
      <c r="C1226" s="535"/>
      <c r="D1226" s="535"/>
      <c r="E1226" s="535"/>
      <c r="F1226" s="535"/>
      <c r="G1226" s="885" t="str">
        <f>IF(CHSHTAData!T31=0,"",CHSHTAData!T31)</f>
        <v/>
      </c>
      <c r="H1226" s="885"/>
      <c r="I1226" s="888">
        <f>CHSHTAData!AE31</f>
        <v>0</v>
      </c>
      <c r="J1226" s="889"/>
      <c r="K1226" s="874">
        <f>CHSHTAData!AF31</f>
        <v>0</v>
      </c>
      <c r="L1226" s="875"/>
      <c r="M1226" s="875"/>
      <c r="N1226" s="876"/>
      <c r="O1226" s="874">
        <f>CHSHTAData!AG31</f>
        <v>0</v>
      </c>
      <c r="P1226" s="875"/>
      <c r="Q1226" s="875"/>
      <c r="R1226" s="876"/>
      <c r="S1226" s="874">
        <f t="shared" si="27"/>
        <v>0</v>
      </c>
      <c r="T1226" s="875"/>
      <c r="U1226" s="875"/>
      <c r="V1226" s="876"/>
      <c r="W1226" s="859">
        <f>CHSHTAData!AI31</f>
        <v>0</v>
      </c>
      <c r="X1226" s="861"/>
      <c r="Y1226" s="619"/>
      <c r="Z1226" s="610"/>
      <c r="AA1226" s="518"/>
      <c r="AB1226" s="518"/>
      <c r="AC1226" s="518"/>
      <c r="AD1226" s="518"/>
      <c r="AE1226" s="518"/>
      <c r="AF1226" s="529"/>
      <c r="AG1226" s="529"/>
      <c r="AH1226" s="529"/>
      <c r="AJ1226" s="595" t="b">
        <f t="shared" si="26"/>
        <v>0</v>
      </c>
    </row>
    <row r="1227" spans="1:36" hidden="1" x14ac:dyDescent="0.45">
      <c r="A1227" s="518"/>
      <c r="B1227" s="514" t="s">
        <v>1434</v>
      </c>
      <c r="C1227" s="535"/>
      <c r="D1227" s="535"/>
      <c r="E1227" s="535"/>
      <c r="F1227" s="535"/>
      <c r="G1227" s="885" t="str">
        <f>IF(CHSHTAData!T32=0,"",CHSHTAData!T32)</f>
        <v/>
      </c>
      <c r="H1227" s="885"/>
      <c r="I1227" s="888">
        <f>CHSHTAData!AE32</f>
        <v>0</v>
      </c>
      <c r="J1227" s="889"/>
      <c r="K1227" s="874">
        <f>CHSHTAData!AF32</f>
        <v>0</v>
      </c>
      <c r="L1227" s="875"/>
      <c r="M1227" s="875"/>
      <c r="N1227" s="876"/>
      <c r="O1227" s="874">
        <f>CHSHTAData!AG32</f>
        <v>0</v>
      </c>
      <c r="P1227" s="875"/>
      <c r="Q1227" s="875"/>
      <c r="R1227" s="876"/>
      <c r="S1227" s="874">
        <f t="shared" si="27"/>
        <v>0</v>
      </c>
      <c r="T1227" s="875"/>
      <c r="U1227" s="875"/>
      <c r="V1227" s="876"/>
      <c r="W1227" s="859">
        <f>CHSHTAData!AI32</f>
        <v>0</v>
      </c>
      <c r="X1227" s="861"/>
      <c r="Y1227" s="619"/>
      <c r="Z1227" s="610"/>
      <c r="AA1227" s="518"/>
      <c r="AB1227" s="518"/>
      <c r="AC1227" s="518"/>
      <c r="AD1227" s="518"/>
      <c r="AE1227" s="518"/>
      <c r="AF1227" s="529"/>
      <c r="AG1227" s="529"/>
      <c r="AH1227" s="529"/>
      <c r="AJ1227" s="595" t="b">
        <f t="shared" si="26"/>
        <v>0</v>
      </c>
    </row>
    <row r="1228" spans="1:36" hidden="1" x14ac:dyDescent="0.45">
      <c r="A1228" s="518"/>
      <c r="B1228" s="514" t="s">
        <v>1435</v>
      </c>
      <c r="C1228" s="535"/>
      <c r="D1228" s="535"/>
      <c r="E1228" s="535"/>
      <c r="F1228" s="535"/>
      <c r="G1228" s="885" t="str">
        <f>IF(CHSHTAData!T33=0,"",CHSHTAData!T33)</f>
        <v/>
      </c>
      <c r="H1228" s="885"/>
      <c r="I1228" s="888">
        <f>CHSHTAData!AE33</f>
        <v>0</v>
      </c>
      <c r="J1228" s="889"/>
      <c r="K1228" s="874">
        <f>CHSHTAData!AF33</f>
        <v>0</v>
      </c>
      <c r="L1228" s="875"/>
      <c r="M1228" s="875"/>
      <c r="N1228" s="876"/>
      <c r="O1228" s="874">
        <f>CHSHTAData!AG33</f>
        <v>0</v>
      </c>
      <c r="P1228" s="875"/>
      <c r="Q1228" s="875"/>
      <c r="R1228" s="876"/>
      <c r="S1228" s="874">
        <f t="shared" si="27"/>
        <v>0</v>
      </c>
      <c r="T1228" s="875"/>
      <c r="U1228" s="875"/>
      <c r="V1228" s="876"/>
      <c r="W1228" s="859">
        <f>CHSHTAData!AI33</f>
        <v>0</v>
      </c>
      <c r="X1228" s="861"/>
      <c r="Y1228" s="619"/>
      <c r="Z1228" s="610"/>
      <c r="AA1228" s="518"/>
      <c r="AB1228" s="518"/>
      <c r="AC1228" s="518"/>
      <c r="AD1228" s="518"/>
      <c r="AE1228" s="518"/>
      <c r="AF1228" s="529"/>
      <c r="AG1228" s="529"/>
      <c r="AH1228" s="529"/>
      <c r="AJ1228" s="595" t="b">
        <f t="shared" si="26"/>
        <v>0</v>
      </c>
    </row>
    <row r="1229" spans="1:36" hidden="1" x14ac:dyDescent="0.45">
      <c r="A1229" s="518"/>
      <c r="B1229" s="514" t="s">
        <v>1436</v>
      </c>
      <c r="C1229" s="535"/>
      <c r="D1229" s="535"/>
      <c r="E1229" s="535"/>
      <c r="F1229" s="535"/>
      <c r="G1229" s="885" t="str">
        <f>IF(CHSHTAData!T34=0,"",CHSHTAData!T34)</f>
        <v/>
      </c>
      <c r="H1229" s="885"/>
      <c r="I1229" s="888">
        <f>CHSHTAData!AE34</f>
        <v>0</v>
      </c>
      <c r="J1229" s="889"/>
      <c r="K1229" s="874">
        <f>CHSHTAData!AF34</f>
        <v>0</v>
      </c>
      <c r="L1229" s="875"/>
      <c r="M1229" s="875"/>
      <c r="N1229" s="876"/>
      <c r="O1229" s="874">
        <f>CHSHTAData!AG34</f>
        <v>0</v>
      </c>
      <c r="P1229" s="875"/>
      <c r="Q1229" s="875"/>
      <c r="R1229" s="876"/>
      <c r="S1229" s="874">
        <f t="shared" si="27"/>
        <v>0</v>
      </c>
      <c r="T1229" s="875"/>
      <c r="U1229" s="875"/>
      <c r="V1229" s="876"/>
      <c r="W1229" s="859">
        <f>CHSHTAData!AI34</f>
        <v>0</v>
      </c>
      <c r="X1229" s="861"/>
      <c r="Y1229" s="619"/>
      <c r="Z1229" s="610"/>
      <c r="AA1229" s="518"/>
      <c r="AB1229" s="518"/>
      <c r="AC1229" s="518"/>
      <c r="AD1229" s="518"/>
      <c r="AE1229" s="518"/>
      <c r="AF1229" s="529"/>
      <c r="AG1229" s="529"/>
      <c r="AH1229" s="529"/>
      <c r="AJ1229" s="595" t="b">
        <f t="shared" si="26"/>
        <v>0</v>
      </c>
    </row>
    <row r="1230" spans="1:36" hidden="1" x14ac:dyDescent="0.45">
      <c r="A1230" s="518"/>
      <c r="B1230" s="514" t="s">
        <v>1437</v>
      </c>
      <c r="C1230" s="535"/>
      <c r="D1230" s="535"/>
      <c r="E1230" s="535"/>
      <c r="F1230" s="535"/>
      <c r="G1230" s="885" t="str">
        <f>IF(CHSHTAData!T35=0,"",CHSHTAData!T35)</f>
        <v/>
      </c>
      <c r="H1230" s="885"/>
      <c r="I1230" s="888">
        <f>CHSHTAData!AE35</f>
        <v>0</v>
      </c>
      <c r="J1230" s="889"/>
      <c r="K1230" s="874">
        <f>CHSHTAData!AF35</f>
        <v>0</v>
      </c>
      <c r="L1230" s="875"/>
      <c r="M1230" s="875"/>
      <c r="N1230" s="876"/>
      <c r="O1230" s="874">
        <f>CHSHTAData!AG35</f>
        <v>0</v>
      </c>
      <c r="P1230" s="875"/>
      <c r="Q1230" s="875"/>
      <c r="R1230" s="876"/>
      <c r="S1230" s="874">
        <f t="shared" si="27"/>
        <v>0</v>
      </c>
      <c r="T1230" s="875"/>
      <c r="U1230" s="875"/>
      <c r="V1230" s="876"/>
      <c r="W1230" s="859">
        <f>CHSHTAData!AI35</f>
        <v>0</v>
      </c>
      <c r="X1230" s="861"/>
      <c r="Y1230" s="619"/>
      <c r="Z1230" s="610"/>
      <c r="AA1230" s="518"/>
      <c r="AB1230" s="518"/>
      <c r="AC1230" s="518"/>
      <c r="AD1230" s="518"/>
      <c r="AE1230" s="518"/>
      <c r="AF1230" s="529"/>
      <c r="AG1230" s="529"/>
      <c r="AH1230" s="529"/>
      <c r="AJ1230" s="595" t="b">
        <f t="shared" ref="AJ1230:AJ1255" si="28">IF(AND(AJ$1191,S1230&gt;0),TRUE,FALSE)</f>
        <v>0</v>
      </c>
    </row>
    <row r="1231" spans="1:36" hidden="1" x14ac:dyDescent="0.45">
      <c r="A1231" s="518"/>
      <c r="B1231" s="514" t="s">
        <v>1438</v>
      </c>
      <c r="C1231" s="535"/>
      <c r="D1231" s="535"/>
      <c r="E1231" s="535"/>
      <c r="F1231" s="535"/>
      <c r="G1231" s="885" t="str">
        <f>IF(CHSHTAData!T36=0,"",CHSHTAData!T36)</f>
        <v/>
      </c>
      <c r="H1231" s="885"/>
      <c r="I1231" s="888">
        <f>CHSHTAData!AE36</f>
        <v>0</v>
      </c>
      <c r="J1231" s="889"/>
      <c r="K1231" s="874">
        <f>CHSHTAData!AF36</f>
        <v>0</v>
      </c>
      <c r="L1231" s="875"/>
      <c r="M1231" s="875"/>
      <c r="N1231" s="876"/>
      <c r="O1231" s="874">
        <f>CHSHTAData!AG36</f>
        <v>0</v>
      </c>
      <c r="P1231" s="875"/>
      <c r="Q1231" s="875"/>
      <c r="R1231" s="876"/>
      <c r="S1231" s="874">
        <f t="shared" si="27"/>
        <v>0</v>
      </c>
      <c r="T1231" s="875"/>
      <c r="U1231" s="875"/>
      <c r="V1231" s="876"/>
      <c r="W1231" s="859">
        <f>CHSHTAData!AI36</f>
        <v>0</v>
      </c>
      <c r="X1231" s="861"/>
      <c r="Y1231" s="619"/>
      <c r="Z1231" s="610"/>
      <c r="AA1231" s="518"/>
      <c r="AB1231" s="518"/>
      <c r="AC1231" s="518"/>
      <c r="AD1231" s="518"/>
      <c r="AE1231" s="518"/>
      <c r="AF1231" s="529"/>
      <c r="AG1231" s="529"/>
      <c r="AH1231" s="529"/>
      <c r="AJ1231" s="595" t="b">
        <f t="shared" si="28"/>
        <v>0</v>
      </c>
    </row>
    <row r="1232" spans="1:36" hidden="1" x14ac:dyDescent="0.45">
      <c r="A1232" s="518"/>
      <c r="B1232" s="514" t="s">
        <v>1439</v>
      </c>
      <c r="C1232" s="535"/>
      <c r="D1232" s="535"/>
      <c r="E1232" s="535"/>
      <c r="F1232" s="535"/>
      <c r="G1232" s="885" t="str">
        <f>IF(CHSHTAData!T37=0,"",CHSHTAData!T37)</f>
        <v/>
      </c>
      <c r="H1232" s="885"/>
      <c r="I1232" s="888">
        <f>CHSHTAData!AE37</f>
        <v>0</v>
      </c>
      <c r="J1232" s="889"/>
      <c r="K1232" s="874">
        <f>CHSHTAData!AF37</f>
        <v>0</v>
      </c>
      <c r="L1232" s="875"/>
      <c r="M1232" s="875"/>
      <c r="N1232" s="876"/>
      <c r="O1232" s="874">
        <f>CHSHTAData!AG37</f>
        <v>0</v>
      </c>
      <c r="P1232" s="875"/>
      <c r="Q1232" s="875"/>
      <c r="R1232" s="876"/>
      <c r="S1232" s="874">
        <f t="shared" si="27"/>
        <v>0</v>
      </c>
      <c r="T1232" s="875"/>
      <c r="U1232" s="875"/>
      <c r="V1232" s="876"/>
      <c r="W1232" s="859">
        <f>CHSHTAData!AI37</f>
        <v>0</v>
      </c>
      <c r="X1232" s="861"/>
      <c r="Y1232" s="619"/>
      <c r="Z1232" s="610"/>
      <c r="AA1232" s="518"/>
      <c r="AB1232" s="518"/>
      <c r="AC1232" s="518"/>
      <c r="AD1232" s="518"/>
      <c r="AE1232" s="518"/>
      <c r="AF1232" s="529"/>
      <c r="AG1232" s="529"/>
      <c r="AH1232" s="529"/>
      <c r="AJ1232" s="595" t="b">
        <f t="shared" si="28"/>
        <v>0</v>
      </c>
    </row>
    <row r="1233" spans="1:36" hidden="1" x14ac:dyDescent="0.45">
      <c r="A1233" s="518"/>
      <c r="B1233" s="514" t="s">
        <v>1440</v>
      </c>
      <c r="C1233" s="535"/>
      <c r="D1233" s="535"/>
      <c r="E1233" s="535"/>
      <c r="F1233" s="535"/>
      <c r="G1233" s="885" t="str">
        <f>IF(CHSHTAData!T38=0,"",CHSHTAData!T38)</f>
        <v/>
      </c>
      <c r="H1233" s="885"/>
      <c r="I1233" s="888">
        <f>CHSHTAData!AE38</f>
        <v>0</v>
      </c>
      <c r="J1233" s="889"/>
      <c r="K1233" s="874">
        <f>CHSHTAData!AF38</f>
        <v>0</v>
      </c>
      <c r="L1233" s="875"/>
      <c r="M1233" s="875"/>
      <c r="N1233" s="876"/>
      <c r="O1233" s="874">
        <f>CHSHTAData!AG38</f>
        <v>0</v>
      </c>
      <c r="P1233" s="875"/>
      <c r="Q1233" s="875"/>
      <c r="R1233" s="876"/>
      <c r="S1233" s="874">
        <f t="shared" si="27"/>
        <v>0</v>
      </c>
      <c r="T1233" s="875"/>
      <c r="U1233" s="875"/>
      <c r="V1233" s="876"/>
      <c r="W1233" s="859">
        <f>CHSHTAData!AI38</f>
        <v>0</v>
      </c>
      <c r="X1233" s="861"/>
      <c r="Y1233" s="619"/>
      <c r="Z1233" s="610"/>
      <c r="AA1233" s="518"/>
      <c r="AB1233" s="518"/>
      <c r="AC1233" s="518"/>
      <c r="AD1233" s="518"/>
      <c r="AE1233" s="518"/>
      <c r="AF1233" s="529"/>
      <c r="AG1233" s="529"/>
      <c r="AH1233" s="529"/>
      <c r="AJ1233" s="595" t="b">
        <f t="shared" si="28"/>
        <v>0</v>
      </c>
    </row>
    <row r="1234" spans="1:36" hidden="1" x14ac:dyDescent="0.45">
      <c r="A1234" s="518"/>
      <c r="B1234" s="514" t="s">
        <v>1441</v>
      </c>
      <c r="C1234" s="535"/>
      <c r="D1234" s="535"/>
      <c r="E1234" s="535"/>
      <c r="F1234" s="535"/>
      <c r="G1234" s="885" t="str">
        <f>IF(CHSHTAData!T39=0,"",CHSHTAData!T39)</f>
        <v/>
      </c>
      <c r="H1234" s="885"/>
      <c r="I1234" s="888">
        <f>CHSHTAData!AE39</f>
        <v>0</v>
      </c>
      <c r="J1234" s="889"/>
      <c r="K1234" s="874">
        <f>CHSHTAData!AF39</f>
        <v>0</v>
      </c>
      <c r="L1234" s="875"/>
      <c r="M1234" s="875"/>
      <c r="N1234" s="876"/>
      <c r="O1234" s="874">
        <f>CHSHTAData!AG39</f>
        <v>0</v>
      </c>
      <c r="P1234" s="875"/>
      <c r="Q1234" s="875"/>
      <c r="R1234" s="876"/>
      <c r="S1234" s="874">
        <f t="shared" si="27"/>
        <v>0</v>
      </c>
      <c r="T1234" s="875"/>
      <c r="U1234" s="875"/>
      <c r="V1234" s="876"/>
      <c r="W1234" s="859">
        <f>CHSHTAData!AI39</f>
        <v>0</v>
      </c>
      <c r="X1234" s="861"/>
      <c r="Y1234" s="619"/>
      <c r="Z1234" s="610"/>
      <c r="AA1234" s="518"/>
      <c r="AB1234" s="518"/>
      <c r="AC1234" s="518"/>
      <c r="AD1234" s="518"/>
      <c r="AE1234" s="518"/>
      <c r="AF1234" s="529"/>
      <c r="AG1234" s="529"/>
      <c r="AH1234" s="529"/>
      <c r="AJ1234" s="595" t="b">
        <f t="shared" si="28"/>
        <v>0</v>
      </c>
    </row>
    <row r="1235" spans="1:36" hidden="1" x14ac:dyDescent="0.45">
      <c r="A1235" s="518"/>
      <c r="B1235" s="514" t="s">
        <v>152</v>
      </c>
      <c r="C1235" s="535"/>
      <c r="D1235" s="535"/>
      <c r="E1235" s="535"/>
      <c r="F1235" s="535"/>
      <c r="G1235" s="885" t="str">
        <f>IF(CHSHTAData!T40=0,"",CHSHTAData!T40)</f>
        <v/>
      </c>
      <c r="H1235" s="885"/>
      <c r="I1235" s="888">
        <f>CHSHTAData!AE40</f>
        <v>0</v>
      </c>
      <c r="J1235" s="889"/>
      <c r="K1235" s="874">
        <f>CHSHTAData!AF40</f>
        <v>0</v>
      </c>
      <c r="L1235" s="875"/>
      <c r="M1235" s="875"/>
      <c r="N1235" s="876"/>
      <c r="O1235" s="874">
        <f>CHSHTAData!AG40</f>
        <v>0</v>
      </c>
      <c r="P1235" s="875"/>
      <c r="Q1235" s="875"/>
      <c r="R1235" s="876"/>
      <c r="S1235" s="874">
        <f t="shared" si="27"/>
        <v>0</v>
      </c>
      <c r="T1235" s="875"/>
      <c r="U1235" s="875"/>
      <c r="V1235" s="876"/>
      <c r="W1235" s="859">
        <f>CHSHTAData!AI40</f>
        <v>0</v>
      </c>
      <c r="X1235" s="861"/>
      <c r="Y1235" s="619"/>
      <c r="Z1235" s="610"/>
      <c r="AA1235" s="518"/>
      <c r="AB1235" s="518"/>
      <c r="AC1235" s="518"/>
      <c r="AD1235" s="518"/>
      <c r="AE1235" s="518"/>
      <c r="AF1235" s="529"/>
      <c r="AG1235" s="529"/>
      <c r="AH1235" s="529"/>
      <c r="AJ1235" s="595" t="b">
        <f t="shared" si="28"/>
        <v>0</v>
      </c>
    </row>
    <row r="1236" spans="1:36" hidden="1" x14ac:dyDescent="0.45">
      <c r="A1236" s="518"/>
      <c r="B1236" s="514" t="s">
        <v>1442</v>
      </c>
      <c r="C1236" s="535"/>
      <c r="D1236" s="535"/>
      <c r="E1236" s="535"/>
      <c r="F1236" s="535"/>
      <c r="G1236" s="885" t="str">
        <f>IF(CHSHTAData!T41=0,"",CHSHTAData!T41)</f>
        <v/>
      </c>
      <c r="H1236" s="885"/>
      <c r="I1236" s="888">
        <f>CHSHTAData!AE41</f>
        <v>0</v>
      </c>
      <c r="J1236" s="889"/>
      <c r="K1236" s="874">
        <f>CHSHTAData!AF41</f>
        <v>0</v>
      </c>
      <c r="L1236" s="875"/>
      <c r="M1236" s="875"/>
      <c r="N1236" s="876"/>
      <c r="O1236" s="874">
        <f>CHSHTAData!AG41</f>
        <v>0</v>
      </c>
      <c r="P1236" s="875"/>
      <c r="Q1236" s="875"/>
      <c r="R1236" s="876"/>
      <c r="S1236" s="874">
        <f t="shared" si="27"/>
        <v>0</v>
      </c>
      <c r="T1236" s="875"/>
      <c r="U1236" s="875"/>
      <c r="V1236" s="876"/>
      <c r="W1236" s="859">
        <f>CHSHTAData!AI41</f>
        <v>0</v>
      </c>
      <c r="X1236" s="861"/>
      <c r="Y1236" s="619"/>
      <c r="Z1236" s="610"/>
      <c r="AA1236" s="518"/>
      <c r="AB1236" s="518"/>
      <c r="AC1236" s="518"/>
      <c r="AD1236" s="518"/>
      <c r="AE1236" s="518"/>
      <c r="AF1236" s="529"/>
      <c r="AG1236" s="529"/>
      <c r="AH1236" s="529"/>
      <c r="AJ1236" s="595" t="b">
        <f t="shared" si="28"/>
        <v>0</v>
      </c>
    </row>
    <row r="1237" spans="1:36" hidden="1" x14ac:dyDescent="0.45">
      <c r="A1237" s="518"/>
      <c r="B1237" s="514" t="s">
        <v>1443</v>
      </c>
      <c r="C1237" s="535"/>
      <c r="D1237" s="535"/>
      <c r="E1237" s="535"/>
      <c r="F1237" s="535"/>
      <c r="G1237" s="885" t="str">
        <f>IF(CHSHTAData!T42=0,"",CHSHTAData!T42)</f>
        <v/>
      </c>
      <c r="H1237" s="885"/>
      <c r="I1237" s="888">
        <f>CHSHTAData!AE42</f>
        <v>0</v>
      </c>
      <c r="J1237" s="889"/>
      <c r="K1237" s="874">
        <f>CHSHTAData!AF42</f>
        <v>0</v>
      </c>
      <c r="L1237" s="875"/>
      <c r="M1237" s="875"/>
      <c r="N1237" s="876"/>
      <c r="O1237" s="874">
        <f>CHSHTAData!AG42</f>
        <v>0</v>
      </c>
      <c r="P1237" s="875"/>
      <c r="Q1237" s="875"/>
      <c r="R1237" s="876"/>
      <c r="S1237" s="874">
        <f t="shared" si="27"/>
        <v>0</v>
      </c>
      <c r="T1237" s="875"/>
      <c r="U1237" s="875"/>
      <c r="V1237" s="876"/>
      <c r="W1237" s="859">
        <f>CHSHTAData!AI42</f>
        <v>0</v>
      </c>
      <c r="X1237" s="861"/>
      <c r="Y1237" s="619"/>
      <c r="Z1237" s="610"/>
      <c r="AA1237" s="518"/>
      <c r="AB1237" s="518"/>
      <c r="AC1237" s="518"/>
      <c r="AD1237" s="518"/>
      <c r="AE1237" s="518"/>
      <c r="AF1237" s="529"/>
      <c r="AG1237" s="529"/>
      <c r="AH1237" s="529"/>
      <c r="AJ1237" s="595" t="b">
        <f t="shared" si="28"/>
        <v>0</v>
      </c>
    </row>
    <row r="1238" spans="1:36" hidden="1" x14ac:dyDescent="0.45">
      <c r="A1238" s="518"/>
      <c r="B1238" s="514" t="s">
        <v>1444</v>
      </c>
      <c r="C1238" s="535"/>
      <c r="D1238" s="535"/>
      <c r="E1238" s="535"/>
      <c r="F1238" s="535"/>
      <c r="G1238" s="885" t="str">
        <f>IF(CHSHTAData!T43=0,"",CHSHTAData!T43)</f>
        <v/>
      </c>
      <c r="H1238" s="885"/>
      <c r="I1238" s="888">
        <f>CHSHTAData!AE43</f>
        <v>0</v>
      </c>
      <c r="J1238" s="889"/>
      <c r="K1238" s="874">
        <f>CHSHTAData!AF43</f>
        <v>0</v>
      </c>
      <c r="L1238" s="875"/>
      <c r="M1238" s="875"/>
      <c r="N1238" s="876"/>
      <c r="O1238" s="874">
        <f>CHSHTAData!AG43</f>
        <v>0</v>
      </c>
      <c r="P1238" s="875"/>
      <c r="Q1238" s="875"/>
      <c r="R1238" s="876"/>
      <c r="S1238" s="874">
        <f t="shared" si="27"/>
        <v>0</v>
      </c>
      <c r="T1238" s="875"/>
      <c r="U1238" s="875"/>
      <c r="V1238" s="876"/>
      <c r="W1238" s="859">
        <f>CHSHTAData!AI43</f>
        <v>0</v>
      </c>
      <c r="X1238" s="861"/>
      <c r="Y1238" s="619"/>
      <c r="Z1238" s="610"/>
      <c r="AA1238" s="518"/>
      <c r="AB1238" s="518"/>
      <c r="AC1238" s="518"/>
      <c r="AD1238" s="518"/>
      <c r="AE1238" s="518"/>
      <c r="AF1238" s="529"/>
      <c r="AG1238" s="529"/>
      <c r="AH1238" s="529"/>
      <c r="AJ1238" s="595" t="b">
        <f t="shared" si="28"/>
        <v>0</v>
      </c>
    </row>
    <row r="1239" spans="1:36" hidden="1" x14ac:dyDescent="0.45">
      <c r="A1239" s="518"/>
      <c r="B1239" s="514" t="s">
        <v>1445</v>
      </c>
      <c r="C1239" s="535"/>
      <c r="D1239" s="535"/>
      <c r="E1239" s="535"/>
      <c r="F1239" s="535"/>
      <c r="G1239" s="885" t="str">
        <f>IF(CHSHTAData!T44=0,"",CHSHTAData!T44)</f>
        <v/>
      </c>
      <c r="H1239" s="885"/>
      <c r="I1239" s="888">
        <f>CHSHTAData!AE44</f>
        <v>0</v>
      </c>
      <c r="J1239" s="889"/>
      <c r="K1239" s="874">
        <f>CHSHTAData!AF44</f>
        <v>0</v>
      </c>
      <c r="L1239" s="875"/>
      <c r="M1239" s="875"/>
      <c r="N1239" s="876"/>
      <c r="O1239" s="874">
        <f>CHSHTAData!AG44</f>
        <v>0</v>
      </c>
      <c r="P1239" s="875"/>
      <c r="Q1239" s="875"/>
      <c r="R1239" s="876"/>
      <c r="S1239" s="874">
        <f t="shared" si="27"/>
        <v>0</v>
      </c>
      <c r="T1239" s="875"/>
      <c r="U1239" s="875"/>
      <c r="V1239" s="876"/>
      <c r="W1239" s="859">
        <f>CHSHTAData!AI44</f>
        <v>0</v>
      </c>
      <c r="X1239" s="861"/>
      <c r="Y1239" s="619"/>
      <c r="Z1239" s="610"/>
      <c r="AA1239" s="518"/>
      <c r="AB1239" s="518"/>
      <c r="AC1239" s="518"/>
      <c r="AD1239" s="518"/>
      <c r="AE1239" s="518"/>
      <c r="AF1239" s="529"/>
      <c r="AG1239" s="529"/>
      <c r="AH1239" s="529"/>
      <c r="AJ1239" s="595" t="b">
        <f t="shared" si="28"/>
        <v>0</v>
      </c>
    </row>
    <row r="1240" spans="1:36" hidden="1" x14ac:dyDescent="0.45">
      <c r="A1240" s="518"/>
      <c r="B1240" s="514" t="s">
        <v>1446</v>
      </c>
      <c r="C1240" s="535"/>
      <c r="D1240" s="535"/>
      <c r="E1240" s="535"/>
      <c r="F1240" s="535"/>
      <c r="G1240" s="885" t="str">
        <f>IF(CHSHTAData!T45=0,"",CHSHTAData!T45)</f>
        <v/>
      </c>
      <c r="H1240" s="885"/>
      <c r="I1240" s="888">
        <f>CHSHTAData!AE45</f>
        <v>0</v>
      </c>
      <c r="J1240" s="889"/>
      <c r="K1240" s="874">
        <f>CHSHTAData!AF45</f>
        <v>0</v>
      </c>
      <c r="L1240" s="875"/>
      <c r="M1240" s="875"/>
      <c r="N1240" s="876"/>
      <c r="O1240" s="874">
        <f>CHSHTAData!AG45</f>
        <v>0</v>
      </c>
      <c r="P1240" s="875"/>
      <c r="Q1240" s="875"/>
      <c r="R1240" s="876"/>
      <c r="S1240" s="874">
        <f t="shared" si="27"/>
        <v>0</v>
      </c>
      <c r="T1240" s="875"/>
      <c r="U1240" s="875"/>
      <c r="V1240" s="876"/>
      <c r="W1240" s="859">
        <f>CHSHTAData!AI45</f>
        <v>0</v>
      </c>
      <c r="X1240" s="861"/>
      <c r="Y1240" s="619"/>
      <c r="Z1240" s="610"/>
      <c r="AA1240" s="518"/>
      <c r="AB1240" s="518"/>
      <c r="AC1240" s="518"/>
      <c r="AD1240" s="518"/>
      <c r="AE1240" s="518"/>
      <c r="AF1240" s="529"/>
      <c r="AG1240" s="529"/>
      <c r="AH1240" s="529"/>
      <c r="AJ1240" s="595" t="b">
        <f t="shared" si="28"/>
        <v>0</v>
      </c>
    </row>
    <row r="1241" spans="1:36" hidden="1" x14ac:dyDescent="0.45">
      <c r="B1241" s="514" t="s">
        <v>1447</v>
      </c>
      <c r="C1241" s="535"/>
      <c r="D1241" s="535"/>
      <c r="E1241" s="535"/>
      <c r="F1241" s="535"/>
      <c r="G1241" s="885" t="str">
        <f>IF(CHSHTAData!T46=0,"",CHSHTAData!T46)</f>
        <v/>
      </c>
      <c r="H1241" s="885"/>
      <c r="I1241" s="888">
        <f>CHSHTAData!AE46</f>
        <v>0</v>
      </c>
      <c r="J1241" s="889"/>
      <c r="K1241" s="874">
        <f>CHSHTAData!AF46</f>
        <v>0</v>
      </c>
      <c r="L1241" s="875"/>
      <c r="M1241" s="875"/>
      <c r="N1241" s="876"/>
      <c r="O1241" s="874">
        <f>CHSHTAData!AG46</f>
        <v>0</v>
      </c>
      <c r="P1241" s="875"/>
      <c r="Q1241" s="875"/>
      <c r="R1241" s="876"/>
      <c r="S1241" s="874">
        <f t="shared" si="27"/>
        <v>0</v>
      </c>
      <c r="T1241" s="875"/>
      <c r="U1241" s="875"/>
      <c r="V1241" s="876"/>
      <c r="W1241" s="859">
        <f>CHSHTAData!AI46</f>
        <v>0</v>
      </c>
      <c r="X1241" s="861"/>
      <c r="Y1241" s="619"/>
      <c r="Z1241" s="610"/>
      <c r="AA1241" s="518"/>
      <c r="AB1241" s="518"/>
      <c r="AC1241" s="518"/>
      <c r="AD1241" s="518"/>
      <c r="AE1241" s="518"/>
      <c r="AF1241" s="529"/>
      <c r="AG1241" s="529"/>
      <c r="AH1241" s="518"/>
      <c r="AJ1241" s="595" t="b">
        <f t="shared" si="28"/>
        <v>0</v>
      </c>
    </row>
    <row r="1242" spans="1:36" hidden="1" x14ac:dyDescent="0.45">
      <c r="B1242" s="514" t="s">
        <v>1448</v>
      </c>
      <c r="C1242" s="535"/>
      <c r="D1242" s="535"/>
      <c r="E1242" s="535"/>
      <c r="F1242" s="535"/>
      <c r="G1242" s="885" t="str">
        <f>IF(CHSHTAData!T47=0,"",CHSHTAData!T47)</f>
        <v/>
      </c>
      <c r="H1242" s="885"/>
      <c r="I1242" s="888">
        <f>CHSHTAData!AE47</f>
        <v>0</v>
      </c>
      <c r="J1242" s="889"/>
      <c r="K1242" s="874">
        <f>CHSHTAData!AF47</f>
        <v>0</v>
      </c>
      <c r="L1242" s="875"/>
      <c r="M1242" s="875"/>
      <c r="N1242" s="876"/>
      <c r="O1242" s="874">
        <f>CHSHTAData!AG47</f>
        <v>0</v>
      </c>
      <c r="P1242" s="875"/>
      <c r="Q1242" s="875"/>
      <c r="R1242" s="876"/>
      <c r="S1242" s="874">
        <f t="shared" si="27"/>
        <v>0</v>
      </c>
      <c r="T1242" s="875"/>
      <c r="U1242" s="875"/>
      <c r="V1242" s="876"/>
      <c r="W1242" s="859">
        <f>CHSHTAData!AI47</f>
        <v>0</v>
      </c>
      <c r="X1242" s="861"/>
      <c r="Y1242" s="619"/>
      <c r="Z1242" s="610"/>
      <c r="AA1242" s="518"/>
      <c r="AB1242" s="518"/>
      <c r="AC1242" s="518"/>
      <c r="AD1242" s="518"/>
      <c r="AE1242" s="518"/>
      <c r="AF1242" s="529"/>
      <c r="AG1242" s="529"/>
      <c r="AH1242" s="518"/>
      <c r="AJ1242" s="595" t="b">
        <f t="shared" si="28"/>
        <v>0</v>
      </c>
    </row>
    <row r="1243" spans="1:36" hidden="1" x14ac:dyDescent="0.45">
      <c r="B1243" s="514" t="s">
        <v>1449</v>
      </c>
      <c r="C1243" s="535"/>
      <c r="D1243" s="535"/>
      <c r="E1243" s="535"/>
      <c r="F1243" s="535"/>
      <c r="G1243" s="885" t="str">
        <f>IF(CHSHTAData!T48=0,"",CHSHTAData!T48)</f>
        <v/>
      </c>
      <c r="H1243" s="885"/>
      <c r="I1243" s="888">
        <f>CHSHTAData!AE48</f>
        <v>0</v>
      </c>
      <c r="J1243" s="889"/>
      <c r="K1243" s="874">
        <f>CHSHTAData!AF48</f>
        <v>0</v>
      </c>
      <c r="L1243" s="875"/>
      <c r="M1243" s="875"/>
      <c r="N1243" s="876"/>
      <c r="O1243" s="874">
        <f>CHSHTAData!AG48</f>
        <v>0</v>
      </c>
      <c r="P1243" s="875"/>
      <c r="Q1243" s="875"/>
      <c r="R1243" s="876"/>
      <c r="S1243" s="874">
        <f t="shared" si="27"/>
        <v>0</v>
      </c>
      <c r="T1243" s="875"/>
      <c r="U1243" s="875"/>
      <c r="V1243" s="876"/>
      <c r="W1243" s="859">
        <f>CHSHTAData!AI48</f>
        <v>0</v>
      </c>
      <c r="X1243" s="861"/>
      <c r="Y1243" s="619"/>
      <c r="Z1243" s="610"/>
      <c r="AA1243" s="518"/>
      <c r="AB1243" s="518"/>
      <c r="AC1243" s="518"/>
      <c r="AD1243" s="518"/>
      <c r="AE1243" s="518"/>
      <c r="AF1243" s="529"/>
      <c r="AG1243" s="529"/>
      <c r="AH1243" s="518"/>
      <c r="AJ1243" s="595" t="b">
        <f t="shared" si="28"/>
        <v>0</v>
      </c>
    </row>
    <row r="1244" spans="1:36" hidden="1" x14ac:dyDescent="0.45">
      <c r="B1244" s="514" t="s">
        <v>1450</v>
      </c>
      <c r="C1244" s="535"/>
      <c r="D1244" s="535"/>
      <c r="E1244" s="535"/>
      <c r="F1244" s="535"/>
      <c r="G1244" s="885" t="str">
        <f>IF(CHSHTAData!T49=0,"",CHSHTAData!T49)</f>
        <v/>
      </c>
      <c r="H1244" s="885"/>
      <c r="I1244" s="888">
        <f>CHSHTAData!AE49</f>
        <v>0</v>
      </c>
      <c r="J1244" s="889"/>
      <c r="K1244" s="874">
        <f>CHSHTAData!AF49</f>
        <v>0</v>
      </c>
      <c r="L1244" s="875"/>
      <c r="M1244" s="875"/>
      <c r="N1244" s="876"/>
      <c r="O1244" s="874">
        <f>CHSHTAData!AG49</f>
        <v>0</v>
      </c>
      <c r="P1244" s="875"/>
      <c r="Q1244" s="875"/>
      <c r="R1244" s="876"/>
      <c r="S1244" s="874">
        <f t="shared" si="27"/>
        <v>0</v>
      </c>
      <c r="T1244" s="875"/>
      <c r="U1244" s="875"/>
      <c r="V1244" s="876"/>
      <c r="W1244" s="859">
        <f>CHSHTAData!AI49</f>
        <v>0</v>
      </c>
      <c r="X1244" s="861"/>
      <c r="Y1244" s="619"/>
      <c r="Z1244" s="610"/>
      <c r="AA1244" s="518"/>
      <c r="AB1244" s="518"/>
      <c r="AC1244" s="518"/>
      <c r="AD1244" s="518"/>
      <c r="AE1244" s="518"/>
      <c r="AF1244" s="529"/>
      <c r="AG1244" s="529"/>
      <c r="AH1244" s="518"/>
      <c r="AJ1244" s="595" t="b">
        <f t="shared" si="28"/>
        <v>0</v>
      </c>
    </row>
    <row r="1245" spans="1:36" hidden="1" x14ac:dyDescent="0.45">
      <c r="B1245" s="514" t="s">
        <v>1451</v>
      </c>
      <c r="C1245" s="535"/>
      <c r="D1245" s="535"/>
      <c r="E1245" s="535"/>
      <c r="F1245" s="535"/>
      <c r="G1245" s="885" t="str">
        <f>IF(CHSHTAData!T50=0,"",CHSHTAData!T50)</f>
        <v/>
      </c>
      <c r="H1245" s="885"/>
      <c r="I1245" s="888">
        <f>CHSHTAData!AE50</f>
        <v>0</v>
      </c>
      <c r="J1245" s="889"/>
      <c r="K1245" s="874">
        <f>CHSHTAData!AF50</f>
        <v>0</v>
      </c>
      <c r="L1245" s="875"/>
      <c r="M1245" s="875"/>
      <c r="N1245" s="876"/>
      <c r="O1245" s="874">
        <f>CHSHTAData!AG50</f>
        <v>0</v>
      </c>
      <c r="P1245" s="875"/>
      <c r="Q1245" s="875"/>
      <c r="R1245" s="876"/>
      <c r="S1245" s="874">
        <f t="shared" si="27"/>
        <v>0</v>
      </c>
      <c r="T1245" s="875"/>
      <c r="U1245" s="875"/>
      <c r="V1245" s="876"/>
      <c r="W1245" s="859">
        <f>CHSHTAData!AI50</f>
        <v>0</v>
      </c>
      <c r="X1245" s="861"/>
      <c r="Y1245" s="619"/>
      <c r="Z1245" s="610"/>
      <c r="AA1245" s="518"/>
      <c r="AB1245" s="518"/>
      <c r="AC1245" s="518"/>
      <c r="AD1245" s="518"/>
      <c r="AE1245" s="518"/>
      <c r="AF1245" s="529"/>
      <c r="AG1245" s="529"/>
      <c r="AH1245" s="518"/>
      <c r="AJ1245" s="595" t="b">
        <f t="shared" si="28"/>
        <v>0</v>
      </c>
    </row>
    <row r="1246" spans="1:36" hidden="1" x14ac:dyDescent="0.45">
      <c r="B1246" s="514" t="s">
        <v>1452</v>
      </c>
      <c r="C1246" s="535"/>
      <c r="D1246" s="535"/>
      <c r="E1246" s="535"/>
      <c r="F1246" s="535"/>
      <c r="G1246" s="885" t="str">
        <f>IF(CHSHTAData!T51=0,"",CHSHTAData!T51)</f>
        <v/>
      </c>
      <c r="H1246" s="885"/>
      <c r="I1246" s="888">
        <f>CHSHTAData!AE51</f>
        <v>0</v>
      </c>
      <c r="J1246" s="889"/>
      <c r="K1246" s="874">
        <f>CHSHTAData!AF51</f>
        <v>0</v>
      </c>
      <c r="L1246" s="875"/>
      <c r="M1246" s="875"/>
      <c r="N1246" s="876"/>
      <c r="O1246" s="874">
        <f>CHSHTAData!AG51</f>
        <v>0</v>
      </c>
      <c r="P1246" s="875"/>
      <c r="Q1246" s="875"/>
      <c r="R1246" s="876"/>
      <c r="S1246" s="874">
        <f t="shared" si="27"/>
        <v>0</v>
      </c>
      <c r="T1246" s="875"/>
      <c r="U1246" s="875"/>
      <c r="V1246" s="876"/>
      <c r="W1246" s="859">
        <f>CHSHTAData!AI51</f>
        <v>0</v>
      </c>
      <c r="X1246" s="861"/>
      <c r="Y1246" s="619"/>
      <c r="Z1246" s="610"/>
      <c r="AA1246" s="518"/>
      <c r="AB1246" s="518"/>
      <c r="AC1246" s="518"/>
      <c r="AD1246" s="518"/>
      <c r="AE1246" s="518"/>
      <c r="AF1246" s="529"/>
      <c r="AG1246" s="529"/>
      <c r="AH1246" s="518"/>
      <c r="AJ1246" s="595" t="b">
        <f t="shared" si="28"/>
        <v>0</v>
      </c>
    </row>
    <row r="1247" spans="1:36" hidden="1" x14ac:dyDescent="0.45">
      <c r="B1247" s="514" t="s">
        <v>1453</v>
      </c>
      <c r="C1247" s="535"/>
      <c r="D1247" s="535"/>
      <c r="E1247" s="535"/>
      <c r="F1247" s="535"/>
      <c r="G1247" s="885" t="str">
        <f>IF(CHSHTAData!T52=0,"",CHSHTAData!T52)</f>
        <v/>
      </c>
      <c r="H1247" s="885"/>
      <c r="I1247" s="888">
        <f>CHSHTAData!AE52</f>
        <v>0</v>
      </c>
      <c r="J1247" s="889"/>
      <c r="K1247" s="874">
        <f>CHSHTAData!AF52</f>
        <v>0</v>
      </c>
      <c r="L1247" s="875"/>
      <c r="M1247" s="875"/>
      <c r="N1247" s="876"/>
      <c r="O1247" s="874">
        <f>CHSHTAData!AG52</f>
        <v>0</v>
      </c>
      <c r="P1247" s="875"/>
      <c r="Q1247" s="875"/>
      <c r="R1247" s="876"/>
      <c r="S1247" s="874">
        <f t="shared" si="27"/>
        <v>0</v>
      </c>
      <c r="T1247" s="875"/>
      <c r="U1247" s="875"/>
      <c r="V1247" s="876"/>
      <c r="W1247" s="859">
        <f>CHSHTAData!AI52</f>
        <v>0</v>
      </c>
      <c r="X1247" s="861"/>
      <c r="Y1247" s="619"/>
      <c r="Z1247" s="610"/>
      <c r="AA1247" s="518"/>
      <c r="AB1247" s="518"/>
      <c r="AC1247" s="518"/>
      <c r="AD1247" s="518"/>
      <c r="AE1247" s="518"/>
      <c r="AF1247" s="529"/>
      <c r="AG1247" s="529"/>
      <c r="AH1247" s="518"/>
      <c r="AJ1247" s="595" t="b">
        <f t="shared" si="28"/>
        <v>0</v>
      </c>
    </row>
    <row r="1248" spans="1:36" hidden="1" x14ac:dyDescent="0.45">
      <c r="B1248" s="514" t="s">
        <v>1454</v>
      </c>
      <c r="C1248" s="535"/>
      <c r="D1248" s="535"/>
      <c r="E1248" s="535"/>
      <c r="F1248" s="535"/>
      <c r="G1248" s="885" t="str">
        <f>IF(CHSHTAData!T53=0,"",CHSHTAData!T53)</f>
        <v/>
      </c>
      <c r="H1248" s="885"/>
      <c r="I1248" s="888">
        <f>CHSHTAData!AE53</f>
        <v>0</v>
      </c>
      <c r="J1248" s="889"/>
      <c r="K1248" s="874">
        <f>CHSHTAData!AF53</f>
        <v>0</v>
      </c>
      <c r="L1248" s="875"/>
      <c r="M1248" s="875"/>
      <c r="N1248" s="876"/>
      <c r="O1248" s="874">
        <f>CHSHTAData!AG53</f>
        <v>0</v>
      </c>
      <c r="P1248" s="875"/>
      <c r="Q1248" s="875"/>
      <c r="R1248" s="876"/>
      <c r="S1248" s="874">
        <f t="shared" si="27"/>
        <v>0</v>
      </c>
      <c r="T1248" s="875"/>
      <c r="U1248" s="875"/>
      <c r="V1248" s="876"/>
      <c r="W1248" s="859">
        <f>CHSHTAData!AI53</f>
        <v>0</v>
      </c>
      <c r="X1248" s="861"/>
      <c r="Y1248" s="619"/>
      <c r="Z1248" s="610"/>
      <c r="AA1248" s="518"/>
      <c r="AB1248" s="518"/>
      <c r="AC1248" s="518"/>
      <c r="AD1248" s="518"/>
      <c r="AE1248" s="518"/>
      <c r="AF1248" s="529"/>
      <c r="AG1248" s="529"/>
      <c r="AH1248" s="518"/>
      <c r="AJ1248" s="595" t="b">
        <f t="shared" si="28"/>
        <v>0</v>
      </c>
    </row>
    <row r="1249" spans="1:36" hidden="1" x14ac:dyDescent="0.45">
      <c r="B1249" s="514" t="s">
        <v>1455</v>
      </c>
      <c r="C1249" s="535"/>
      <c r="D1249" s="535"/>
      <c r="E1249" s="535"/>
      <c r="F1249" s="535"/>
      <c r="G1249" s="885" t="str">
        <f>IF(CHSHTAData!T54=0,"",CHSHTAData!T54)</f>
        <v/>
      </c>
      <c r="H1249" s="885"/>
      <c r="I1249" s="888">
        <f>CHSHTAData!AE54</f>
        <v>0</v>
      </c>
      <c r="J1249" s="889"/>
      <c r="K1249" s="874">
        <f>CHSHTAData!AF54</f>
        <v>0</v>
      </c>
      <c r="L1249" s="875"/>
      <c r="M1249" s="875"/>
      <c r="N1249" s="876"/>
      <c r="O1249" s="874">
        <f>CHSHTAData!AG54</f>
        <v>0</v>
      </c>
      <c r="P1249" s="875"/>
      <c r="Q1249" s="875"/>
      <c r="R1249" s="876"/>
      <c r="S1249" s="874">
        <f t="shared" si="27"/>
        <v>0</v>
      </c>
      <c r="T1249" s="875"/>
      <c r="U1249" s="875"/>
      <c r="V1249" s="876"/>
      <c r="W1249" s="859">
        <f>CHSHTAData!AI54</f>
        <v>0</v>
      </c>
      <c r="X1249" s="861"/>
      <c r="Y1249" s="619"/>
      <c r="Z1249" s="610"/>
      <c r="AA1249" s="518"/>
      <c r="AB1249" s="518"/>
      <c r="AC1249" s="518"/>
      <c r="AD1249" s="518"/>
      <c r="AE1249" s="518"/>
      <c r="AF1249" s="529"/>
      <c r="AG1249" s="529"/>
      <c r="AH1249" s="518"/>
      <c r="AJ1249" s="595" t="b">
        <f t="shared" si="28"/>
        <v>0</v>
      </c>
    </row>
    <row r="1250" spans="1:36" hidden="1" x14ac:dyDescent="0.45">
      <c r="B1250" s="514" t="s">
        <v>1456</v>
      </c>
      <c r="C1250" s="535"/>
      <c r="D1250" s="535"/>
      <c r="E1250" s="535"/>
      <c r="F1250" s="535"/>
      <c r="G1250" s="885" t="str">
        <f>IF(CHSHTAData!T55=0,"",CHSHTAData!T55)</f>
        <v/>
      </c>
      <c r="H1250" s="885"/>
      <c r="I1250" s="888">
        <f>CHSHTAData!AE55</f>
        <v>0</v>
      </c>
      <c r="J1250" s="889"/>
      <c r="K1250" s="874">
        <f>CHSHTAData!AF55</f>
        <v>0</v>
      </c>
      <c r="L1250" s="875"/>
      <c r="M1250" s="875"/>
      <c r="N1250" s="876"/>
      <c r="O1250" s="874">
        <f>CHSHTAData!AG55</f>
        <v>0</v>
      </c>
      <c r="P1250" s="875"/>
      <c r="Q1250" s="875"/>
      <c r="R1250" s="876"/>
      <c r="S1250" s="874">
        <f t="shared" si="27"/>
        <v>0</v>
      </c>
      <c r="T1250" s="875"/>
      <c r="U1250" s="875"/>
      <c r="V1250" s="876"/>
      <c r="W1250" s="859">
        <f>CHSHTAData!AI55</f>
        <v>0</v>
      </c>
      <c r="X1250" s="861"/>
      <c r="Y1250" s="619"/>
      <c r="Z1250" s="610"/>
      <c r="AA1250" s="518"/>
      <c r="AB1250" s="518"/>
      <c r="AC1250" s="518"/>
      <c r="AD1250" s="518"/>
      <c r="AE1250" s="518"/>
      <c r="AF1250" s="529"/>
      <c r="AG1250" s="529"/>
      <c r="AH1250" s="518"/>
      <c r="AJ1250" s="595" t="b">
        <f t="shared" si="28"/>
        <v>0</v>
      </c>
    </row>
    <row r="1251" spans="1:36" hidden="1" x14ac:dyDescent="0.45">
      <c r="B1251" s="514" t="s">
        <v>1457</v>
      </c>
      <c r="C1251" s="535"/>
      <c r="D1251" s="535"/>
      <c r="E1251" s="535"/>
      <c r="F1251" s="535"/>
      <c r="G1251" s="885" t="str">
        <f>IF(CHSHTAData!T56=0,"",CHSHTAData!T56)</f>
        <v/>
      </c>
      <c r="H1251" s="885"/>
      <c r="I1251" s="888">
        <f>CHSHTAData!AE56</f>
        <v>0</v>
      </c>
      <c r="J1251" s="889"/>
      <c r="K1251" s="874">
        <f>CHSHTAData!AF56</f>
        <v>0</v>
      </c>
      <c r="L1251" s="875"/>
      <c r="M1251" s="875"/>
      <c r="N1251" s="876"/>
      <c r="O1251" s="874">
        <f>CHSHTAData!AG56</f>
        <v>0</v>
      </c>
      <c r="P1251" s="875"/>
      <c r="Q1251" s="875"/>
      <c r="R1251" s="876"/>
      <c r="S1251" s="874">
        <f t="shared" si="27"/>
        <v>0</v>
      </c>
      <c r="T1251" s="875"/>
      <c r="U1251" s="875"/>
      <c r="V1251" s="876"/>
      <c r="W1251" s="859">
        <f>CHSHTAData!AI56</f>
        <v>0</v>
      </c>
      <c r="X1251" s="861"/>
      <c r="Y1251" s="619"/>
      <c r="Z1251" s="610"/>
      <c r="AA1251" s="518"/>
      <c r="AB1251" s="518"/>
      <c r="AC1251" s="518"/>
      <c r="AD1251" s="518"/>
      <c r="AE1251" s="518"/>
      <c r="AF1251" s="529"/>
      <c r="AG1251" s="529"/>
      <c r="AH1251" s="518"/>
      <c r="AJ1251" s="595" t="b">
        <f t="shared" si="28"/>
        <v>0</v>
      </c>
    </row>
    <row r="1252" spans="1:36" hidden="1" x14ac:dyDescent="0.45">
      <c r="B1252" s="514" t="s">
        <v>1458</v>
      </c>
      <c r="C1252" s="535"/>
      <c r="D1252" s="535"/>
      <c r="E1252" s="535"/>
      <c r="F1252" s="535"/>
      <c r="G1252" s="885" t="str">
        <f>IF(CHSHTAData!T57=0,"",CHSHTAData!T57)</f>
        <v/>
      </c>
      <c r="H1252" s="885"/>
      <c r="I1252" s="888">
        <f>CHSHTAData!AE57</f>
        <v>0</v>
      </c>
      <c r="J1252" s="889"/>
      <c r="K1252" s="874">
        <f>CHSHTAData!AF57</f>
        <v>0</v>
      </c>
      <c r="L1252" s="875"/>
      <c r="M1252" s="875"/>
      <c r="N1252" s="876"/>
      <c r="O1252" s="874">
        <f>CHSHTAData!AG57</f>
        <v>0</v>
      </c>
      <c r="P1252" s="875"/>
      <c r="Q1252" s="875"/>
      <c r="R1252" s="876"/>
      <c r="S1252" s="874">
        <f t="shared" si="27"/>
        <v>0</v>
      </c>
      <c r="T1252" s="875"/>
      <c r="U1252" s="875"/>
      <c r="V1252" s="876"/>
      <c r="W1252" s="859">
        <f>CHSHTAData!AI57</f>
        <v>0</v>
      </c>
      <c r="X1252" s="861"/>
      <c r="Y1252" s="619"/>
      <c r="Z1252" s="610"/>
      <c r="AA1252" s="518"/>
      <c r="AB1252" s="518"/>
      <c r="AC1252" s="518"/>
      <c r="AD1252" s="518"/>
      <c r="AE1252" s="518"/>
      <c r="AF1252" s="529"/>
      <c r="AG1252" s="529"/>
      <c r="AH1252" s="518"/>
      <c r="AJ1252" s="595" t="b">
        <f t="shared" si="28"/>
        <v>0</v>
      </c>
    </row>
    <row r="1253" spans="1:36" hidden="1" x14ac:dyDescent="0.45">
      <c r="B1253" s="514" t="s">
        <v>1459</v>
      </c>
      <c r="C1253" s="535"/>
      <c r="D1253" s="535"/>
      <c r="E1253" s="535"/>
      <c r="F1253" s="535"/>
      <c r="G1253" s="885" t="str">
        <f>IF(CHSHTAData!T58=0,"",CHSHTAData!T58)</f>
        <v/>
      </c>
      <c r="H1253" s="885"/>
      <c r="I1253" s="888">
        <f>CHSHTAData!AE58</f>
        <v>0</v>
      </c>
      <c r="J1253" s="889"/>
      <c r="K1253" s="874">
        <f>CHSHTAData!AF58</f>
        <v>0</v>
      </c>
      <c r="L1253" s="875"/>
      <c r="M1253" s="875"/>
      <c r="N1253" s="876"/>
      <c r="O1253" s="874">
        <f>CHSHTAData!AG58</f>
        <v>0</v>
      </c>
      <c r="P1253" s="875"/>
      <c r="Q1253" s="875"/>
      <c r="R1253" s="876"/>
      <c r="S1253" s="874">
        <f t="shared" si="27"/>
        <v>0</v>
      </c>
      <c r="T1253" s="875"/>
      <c r="U1253" s="875"/>
      <c r="V1253" s="876"/>
      <c r="W1253" s="859">
        <f>CHSHTAData!AI58</f>
        <v>0</v>
      </c>
      <c r="X1253" s="861"/>
      <c r="Y1253" s="619"/>
      <c r="Z1253" s="610"/>
      <c r="AA1253" s="518"/>
      <c r="AB1253" s="518"/>
      <c r="AC1253" s="518"/>
      <c r="AD1253" s="518"/>
      <c r="AE1253" s="518"/>
      <c r="AF1253" s="529"/>
      <c r="AG1253" s="529"/>
      <c r="AH1253" s="518"/>
      <c r="AJ1253" s="595" t="b">
        <f t="shared" si="28"/>
        <v>0</v>
      </c>
    </row>
    <row r="1254" spans="1:36" hidden="1" x14ac:dyDescent="0.45">
      <c r="A1254" s="518"/>
      <c r="B1254" s="514" t="s">
        <v>1460</v>
      </c>
      <c r="C1254" s="535"/>
      <c r="D1254" s="535"/>
      <c r="E1254" s="535"/>
      <c r="F1254" s="535"/>
      <c r="G1254" s="885" t="str">
        <f>IF(CHSHTAData!T59=0,"",CHSHTAData!T59)</f>
        <v/>
      </c>
      <c r="H1254" s="885"/>
      <c r="I1254" s="888">
        <f>CHSHTAData!AE59</f>
        <v>0</v>
      </c>
      <c r="J1254" s="889"/>
      <c r="K1254" s="874">
        <f>CHSHTAData!AF59</f>
        <v>0</v>
      </c>
      <c r="L1254" s="875"/>
      <c r="M1254" s="875"/>
      <c r="N1254" s="876"/>
      <c r="O1254" s="874">
        <f>CHSHTAData!AG59</f>
        <v>0</v>
      </c>
      <c r="P1254" s="875"/>
      <c r="Q1254" s="875"/>
      <c r="R1254" s="876"/>
      <c r="S1254" s="874">
        <f t="shared" si="27"/>
        <v>0</v>
      </c>
      <c r="T1254" s="875"/>
      <c r="U1254" s="875"/>
      <c r="V1254" s="876"/>
      <c r="W1254" s="859">
        <f>CHSHTAData!AI59</f>
        <v>0</v>
      </c>
      <c r="X1254" s="861"/>
      <c r="Y1254" s="619"/>
      <c r="Z1254" s="610"/>
      <c r="AA1254" s="518"/>
      <c r="AB1254" s="518"/>
      <c r="AC1254" s="518"/>
      <c r="AD1254" s="518"/>
      <c r="AE1254" s="518"/>
      <c r="AF1254" s="529"/>
      <c r="AG1254" s="529"/>
      <c r="AH1254" s="518"/>
      <c r="AJ1254" s="595" t="b">
        <f t="shared" si="28"/>
        <v>0</v>
      </c>
    </row>
    <row r="1255" spans="1:36" hidden="1" x14ac:dyDescent="0.45">
      <c r="A1255" s="518"/>
      <c r="B1255" s="514" t="s">
        <v>1461</v>
      </c>
      <c r="C1255" s="535"/>
      <c r="D1255" s="535"/>
      <c r="E1255" s="535"/>
      <c r="F1255" s="535"/>
      <c r="G1255" s="885" t="str">
        <f>IF(CHSHTAData!T60=0,"",CHSHTAData!T60)</f>
        <v/>
      </c>
      <c r="H1255" s="885"/>
      <c r="I1255" s="888">
        <f>CHSHTAData!AE60</f>
        <v>0</v>
      </c>
      <c r="J1255" s="889"/>
      <c r="K1255" s="874">
        <f>CHSHTAData!AF60</f>
        <v>0</v>
      </c>
      <c r="L1255" s="875"/>
      <c r="M1255" s="875"/>
      <c r="N1255" s="876"/>
      <c r="O1255" s="874">
        <f>CHSHTAData!AG60</f>
        <v>0</v>
      </c>
      <c r="P1255" s="875"/>
      <c r="Q1255" s="875"/>
      <c r="R1255" s="876"/>
      <c r="S1255" s="874">
        <f t="shared" si="27"/>
        <v>0</v>
      </c>
      <c r="T1255" s="875"/>
      <c r="U1255" s="875"/>
      <c r="V1255" s="876"/>
      <c r="W1255" s="859">
        <f>CHSHTAData!AI60</f>
        <v>0</v>
      </c>
      <c r="X1255" s="861"/>
      <c r="Y1255" s="619"/>
      <c r="Z1255" s="610"/>
      <c r="AA1255" s="518"/>
      <c r="AB1255" s="518"/>
      <c r="AC1255" s="518"/>
      <c r="AD1255" s="518"/>
      <c r="AE1255" s="518"/>
      <c r="AF1255" s="529"/>
      <c r="AG1255" s="529"/>
      <c r="AH1255" s="518"/>
      <c r="AJ1255" s="595" t="b">
        <f t="shared" si="28"/>
        <v>0</v>
      </c>
    </row>
    <row r="1256" spans="1:36" hidden="1" x14ac:dyDescent="0.45">
      <c r="A1256" s="518"/>
      <c r="B1256" s="518"/>
      <c r="C1256" s="518"/>
      <c r="D1256" s="518"/>
      <c r="E1256" s="518"/>
      <c r="F1256" s="518"/>
      <c r="G1256" s="518"/>
      <c r="H1256" s="518"/>
      <c r="I1256" s="518"/>
      <c r="J1256" s="518"/>
      <c r="K1256" s="518"/>
      <c r="L1256" s="518"/>
      <c r="M1256" s="518"/>
      <c r="N1256" s="518"/>
      <c r="O1256" s="518"/>
      <c r="P1256" s="518"/>
      <c r="Q1256" s="518"/>
      <c r="R1256" s="518"/>
      <c r="S1256" s="518"/>
      <c r="T1256" s="518"/>
      <c r="U1256" s="518"/>
      <c r="V1256" s="518"/>
      <c r="W1256" s="518"/>
      <c r="X1256" s="518"/>
      <c r="Y1256" s="518"/>
      <c r="Z1256" s="518"/>
      <c r="AA1256" s="518"/>
      <c r="AB1256" s="518"/>
      <c r="AC1256" s="518"/>
      <c r="AD1256" s="518"/>
      <c r="AE1256" s="518"/>
      <c r="AF1256" s="518"/>
      <c r="AG1256" s="518"/>
      <c r="AH1256" s="518"/>
      <c r="AJ1256" s="595" t="b">
        <f>AJ1191</f>
        <v>0</v>
      </c>
    </row>
    <row r="1257" spans="1:36" hidden="1" x14ac:dyDescent="0.45">
      <c r="A1257" s="518"/>
      <c r="B1257" s="911" t="s">
        <v>173</v>
      </c>
      <c r="C1257" s="912"/>
      <c r="D1257" s="912"/>
      <c r="E1257" s="912"/>
      <c r="F1257" s="912"/>
      <c r="G1257" s="912"/>
      <c r="H1257" s="913">
        <f>CH_SHTA_ManufacturedTotalRequested</f>
        <v>0</v>
      </c>
      <c r="I1257" s="914"/>
      <c r="J1257" s="914"/>
      <c r="K1257" s="914"/>
      <c r="L1257" s="914"/>
      <c r="M1257" s="914"/>
      <c r="N1257" s="915"/>
      <c r="O1257" s="518"/>
      <c r="P1257" s="518"/>
      <c r="Q1257" s="518"/>
      <c r="R1257" s="518"/>
      <c r="S1257" s="518"/>
      <c r="T1257" s="518"/>
      <c r="U1257" s="518"/>
      <c r="V1257" s="518"/>
      <c r="W1257" s="518"/>
      <c r="X1257" s="518"/>
      <c r="Y1257" s="518"/>
      <c r="Z1257" s="518"/>
      <c r="AA1257" s="518"/>
      <c r="AB1257" s="518"/>
      <c r="AC1257" s="518"/>
      <c r="AD1257" s="518"/>
      <c r="AE1257" s="518"/>
      <c r="AF1257" s="518"/>
      <c r="AG1257" s="518"/>
      <c r="AH1257" s="518"/>
      <c r="AJ1257" s="595"/>
    </row>
    <row r="1258" spans="1:36" hidden="1" x14ac:dyDescent="0.45">
      <c r="A1258" s="518"/>
      <c r="B1258" s="518"/>
      <c r="C1258" s="518"/>
      <c r="D1258" s="518"/>
      <c r="E1258" s="518"/>
      <c r="F1258" s="518"/>
      <c r="G1258" s="518"/>
      <c r="H1258" s="518"/>
      <c r="I1258" s="518"/>
      <c r="J1258" s="518"/>
      <c r="K1258" s="518"/>
      <c r="L1258" s="518"/>
      <c r="M1258" s="518"/>
      <c r="N1258" s="518"/>
      <c r="O1258" s="518"/>
      <c r="P1258" s="518"/>
      <c r="Q1258" s="518"/>
      <c r="R1258" s="518"/>
      <c r="S1258" s="518"/>
      <c r="T1258" s="518"/>
      <c r="U1258" s="518"/>
      <c r="V1258" s="518"/>
      <c r="W1258" s="518"/>
      <c r="X1258" s="518"/>
      <c r="Y1258" s="518"/>
      <c r="Z1258" s="518"/>
      <c r="AA1258" s="518"/>
      <c r="AB1258" s="518"/>
      <c r="AC1258" s="518"/>
      <c r="AD1258" s="518"/>
      <c r="AE1258" s="518"/>
      <c r="AF1258" s="518"/>
      <c r="AG1258" s="518"/>
      <c r="AH1258" s="518"/>
      <c r="AJ1258" s="595"/>
    </row>
    <row r="1259" spans="1:36" hidden="1" x14ac:dyDescent="0.45">
      <c r="A1259" s="518"/>
      <c r="B1259" s="517" t="s">
        <v>1854</v>
      </c>
      <c r="C1259" s="518"/>
      <c r="D1259" s="518"/>
      <c r="E1259" s="518"/>
      <c r="F1259" s="518"/>
      <c r="G1259" s="518"/>
      <c r="H1259" s="518"/>
      <c r="I1259" s="518"/>
      <c r="J1259" s="518"/>
      <c r="K1259" s="518"/>
      <c r="L1259" s="518"/>
      <c r="M1259" s="518"/>
      <c r="N1259" s="518"/>
      <c r="O1259" s="518"/>
      <c r="P1259" s="518"/>
      <c r="Q1259" s="518"/>
      <c r="R1259" s="518"/>
      <c r="S1259" s="518"/>
      <c r="T1259" s="518"/>
      <c r="U1259" s="518"/>
      <c r="V1259" s="518"/>
      <c r="W1259" s="518"/>
      <c r="X1259" s="518"/>
      <c r="Y1259" s="518"/>
      <c r="Z1259" s="518"/>
      <c r="AA1259" s="518"/>
      <c r="AB1259" s="518"/>
      <c r="AC1259" s="518"/>
      <c r="AD1259" s="518"/>
      <c r="AE1259" s="518"/>
      <c r="AF1259" s="518"/>
      <c r="AG1259" s="518"/>
      <c r="AH1259" s="518"/>
      <c r="AJ1259" s="595"/>
    </row>
    <row r="1260" spans="1:36" hidden="1" x14ac:dyDescent="0.45">
      <c r="A1260" s="518"/>
      <c r="B1260" s="922" t="s">
        <v>174</v>
      </c>
      <c r="C1260" s="922"/>
      <c r="D1260" s="922"/>
      <c r="E1260" s="922"/>
      <c r="F1260" s="922"/>
      <c r="G1260" s="922"/>
      <c r="H1260" s="922"/>
      <c r="I1260" s="922"/>
      <c r="J1260" s="922"/>
      <c r="K1260" s="922"/>
      <c r="L1260" s="922"/>
      <c r="M1260" s="922"/>
      <c r="N1260" s="922"/>
      <c r="O1260" s="878"/>
      <c r="P1260" s="879"/>
      <c r="Q1260" s="880"/>
      <c r="R1260" s="518"/>
      <c r="S1260" s="518"/>
      <c r="T1260" s="518"/>
      <c r="U1260" s="518"/>
      <c r="V1260" s="518"/>
      <c r="W1260" s="518"/>
      <c r="X1260" s="518"/>
      <c r="Y1260" s="518"/>
      <c r="Z1260" s="518"/>
      <c r="AA1260" s="518"/>
      <c r="AB1260" s="518"/>
      <c r="AC1260" s="518"/>
      <c r="AD1260" s="518"/>
      <c r="AE1260" s="518"/>
      <c r="AF1260" s="518"/>
      <c r="AG1260" s="518"/>
      <c r="AH1260" s="518"/>
      <c r="AJ1260" s="595"/>
    </row>
    <row r="1261" spans="1:36" hidden="1" x14ac:dyDescent="0.45">
      <c r="A1261" s="518"/>
      <c r="B1261" s="922" t="s">
        <v>175</v>
      </c>
      <c r="C1261" s="922"/>
      <c r="D1261" s="922"/>
      <c r="E1261" s="922"/>
      <c r="F1261" s="922"/>
      <c r="G1261" s="922"/>
      <c r="H1261" s="922"/>
      <c r="I1261" s="922"/>
      <c r="J1261" s="922"/>
      <c r="K1261" s="922"/>
      <c r="L1261" s="922"/>
      <c r="M1261" s="922"/>
      <c r="N1261" s="922"/>
      <c r="O1261" s="878"/>
      <c r="P1261" s="879"/>
      <c r="Q1261" s="880"/>
      <c r="R1261" s="518"/>
      <c r="S1261" s="518"/>
      <c r="T1261" s="518"/>
      <c r="U1261" s="518"/>
      <c r="V1261" s="518"/>
      <c r="W1261" s="518"/>
      <c r="X1261" s="518"/>
      <c r="Y1261" s="518"/>
      <c r="Z1261" s="518"/>
      <c r="AA1261" s="518"/>
      <c r="AB1261" s="518"/>
      <c r="AC1261" s="518"/>
      <c r="AD1261" s="518"/>
      <c r="AE1261" s="518"/>
      <c r="AF1261" s="518"/>
      <c r="AG1261" s="518"/>
      <c r="AH1261" s="518"/>
      <c r="AJ1261" s="595"/>
    </row>
    <row r="1262" spans="1:36" hidden="1" x14ac:dyDescent="0.45">
      <c r="A1262" s="518"/>
      <c r="B1262" s="922" t="s">
        <v>176</v>
      </c>
      <c r="C1262" s="922"/>
      <c r="D1262" s="922"/>
      <c r="E1262" s="922"/>
      <c r="F1262" s="922"/>
      <c r="G1262" s="922"/>
      <c r="H1262" s="922"/>
      <c r="I1262" s="922"/>
      <c r="J1262" s="922"/>
      <c r="K1262" s="922"/>
      <c r="L1262" s="922"/>
      <c r="M1262" s="922"/>
      <c r="N1262" s="922"/>
      <c r="O1262" s="878"/>
      <c r="P1262" s="879"/>
      <c r="Q1262" s="880"/>
      <c r="R1262" s="518"/>
      <c r="S1262" s="518"/>
      <c r="T1262" s="518"/>
      <c r="U1262" s="518"/>
      <c r="V1262" s="518"/>
      <c r="W1262" s="518"/>
      <c r="X1262" s="518"/>
      <c r="Y1262" s="518"/>
      <c r="Z1262" s="518"/>
      <c r="AA1262" s="518"/>
      <c r="AB1262" s="518"/>
      <c r="AC1262" s="518"/>
      <c r="AD1262" s="518"/>
      <c r="AE1262" s="518"/>
      <c r="AF1262" s="518"/>
      <c r="AG1262" s="518"/>
      <c r="AH1262" s="518"/>
      <c r="AJ1262" s="595"/>
    </row>
    <row r="1263" spans="1:36" hidden="1" x14ac:dyDescent="0.45">
      <c r="A1263" s="518"/>
      <c r="B1263" s="922" t="s">
        <v>177</v>
      </c>
      <c r="C1263" s="922"/>
      <c r="D1263" s="922"/>
      <c r="E1263" s="922"/>
      <c r="F1263" s="922"/>
      <c r="G1263" s="922"/>
      <c r="H1263" s="922"/>
      <c r="I1263" s="922"/>
      <c r="J1263" s="922"/>
      <c r="K1263" s="922"/>
      <c r="L1263" s="922"/>
      <c r="M1263" s="922"/>
      <c r="N1263" s="922"/>
      <c r="O1263" s="878"/>
      <c r="P1263" s="879"/>
      <c r="Q1263" s="880"/>
      <c r="R1263" s="518"/>
      <c r="S1263" s="518"/>
      <c r="T1263" s="518"/>
      <c r="U1263" s="518"/>
      <c r="V1263" s="518"/>
      <c r="W1263" s="518"/>
      <c r="X1263" s="518"/>
      <c r="Y1263" s="518"/>
      <c r="Z1263" s="518"/>
      <c r="AA1263" s="518"/>
      <c r="AB1263" s="518"/>
      <c r="AC1263" s="518"/>
      <c r="AD1263" s="518"/>
      <c r="AE1263" s="518"/>
      <c r="AF1263" s="518"/>
      <c r="AG1263" s="518"/>
      <c r="AH1263" s="518"/>
      <c r="AJ1263" s="595"/>
    </row>
    <row r="1264" spans="1:36" hidden="1" x14ac:dyDescent="0.45">
      <c r="A1264" s="518"/>
      <c r="B1264" s="922" t="s">
        <v>178</v>
      </c>
      <c r="C1264" s="922"/>
      <c r="D1264" s="922"/>
      <c r="E1264" s="922"/>
      <c r="F1264" s="922"/>
      <c r="G1264" s="922"/>
      <c r="H1264" s="922"/>
      <c r="I1264" s="922"/>
      <c r="J1264" s="922"/>
      <c r="K1264" s="922"/>
      <c r="L1264" s="922"/>
      <c r="M1264" s="922"/>
      <c r="N1264" s="922"/>
      <c r="O1264" s="878"/>
      <c r="P1264" s="879"/>
      <c r="Q1264" s="880"/>
      <c r="R1264" s="518"/>
      <c r="S1264" s="518"/>
      <c r="T1264" s="518"/>
      <c r="U1264" s="518"/>
      <c r="V1264" s="518"/>
      <c r="W1264" s="518"/>
      <c r="X1264" s="518"/>
      <c r="Y1264" s="518"/>
      <c r="Z1264" s="518"/>
      <c r="AA1264" s="518"/>
      <c r="AB1264" s="518"/>
      <c r="AC1264" s="518"/>
      <c r="AD1264" s="518"/>
      <c r="AE1264" s="518"/>
      <c r="AF1264" s="518"/>
      <c r="AG1264" s="518"/>
      <c r="AH1264" s="518"/>
      <c r="AJ1264" s="595"/>
    </row>
    <row r="1265" spans="1:36" hidden="1" x14ac:dyDescent="0.45">
      <c r="A1265" s="518"/>
      <c r="B1265" s="922" t="s">
        <v>179</v>
      </c>
      <c r="C1265" s="922"/>
      <c r="D1265" s="922"/>
      <c r="E1265" s="922"/>
      <c r="F1265" s="922"/>
      <c r="G1265" s="922"/>
      <c r="H1265" s="922"/>
      <c r="I1265" s="922"/>
      <c r="J1265" s="922"/>
      <c r="K1265" s="922"/>
      <c r="L1265" s="922"/>
      <c r="M1265" s="922"/>
      <c r="N1265" s="922"/>
      <c r="O1265" s="878"/>
      <c r="P1265" s="879"/>
      <c r="Q1265" s="880"/>
      <c r="R1265" s="518"/>
      <c r="S1265" s="518"/>
      <c r="T1265" s="518"/>
      <c r="U1265" s="518"/>
      <c r="V1265" s="518"/>
      <c r="W1265" s="518"/>
      <c r="X1265" s="518"/>
      <c r="Y1265" s="518"/>
      <c r="Z1265" s="518"/>
      <c r="AA1265" s="518"/>
      <c r="AB1265" s="518"/>
      <c r="AC1265" s="518"/>
      <c r="AD1265" s="518"/>
      <c r="AE1265" s="518"/>
      <c r="AF1265" s="518"/>
      <c r="AG1265" s="518"/>
      <c r="AH1265" s="518"/>
      <c r="AJ1265" s="595"/>
    </row>
    <row r="1266" spans="1:36" hidden="1" x14ac:dyDescent="0.45">
      <c r="A1266" s="518"/>
      <c r="B1266" s="922" t="s">
        <v>180</v>
      </c>
      <c r="C1266" s="922"/>
      <c r="D1266" s="922"/>
      <c r="E1266" s="922"/>
      <c r="F1266" s="922"/>
      <c r="G1266" s="922"/>
      <c r="H1266" s="922"/>
      <c r="I1266" s="922"/>
      <c r="J1266" s="922"/>
      <c r="K1266" s="922"/>
      <c r="L1266" s="922"/>
      <c r="M1266" s="922"/>
      <c r="N1266" s="922"/>
      <c r="O1266" s="878"/>
      <c r="P1266" s="879"/>
      <c r="Q1266" s="880"/>
      <c r="R1266" s="518"/>
      <c r="S1266" s="518"/>
      <c r="T1266" s="518"/>
      <c r="U1266" s="518"/>
      <c r="V1266" s="518"/>
      <c r="W1266" s="518"/>
      <c r="X1266" s="518"/>
      <c r="Y1266" s="518"/>
      <c r="Z1266" s="518"/>
      <c r="AA1266" s="518"/>
      <c r="AB1266" s="518"/>
      <c r="AC1266" s="518"/>
      <c r="AD1266" s="518"/>
      <c r="AE1266" s="518"/>
      <c r="AF1266" s="518"/>
      <c r="AG1266" s="518"/>
      <c r="AH1266" s="518"/>
      <c r="AJ1266" s="595"/>
    </row>
    <row r="1267" spans="1:36" hidden="1" x14ac:dyDescent="0.45">
      <c r="A1267" s="518"/>
      <c r="B1267" s="916" t="s">
        <v>181</v>
      </c>
      <c r="C1267" s="916"/>
      <c r="D1267" s="916"/>
      <c r="E1267" s="916"/>
      <c r="F1267" s="916"/>
      <c r="G1267" s="916"/>
      <c r="H1267" s="916"/>
      <c r="I1267" s="916"/>
      <c r="J1267" s="916"/>
      <c r="K1267" s="916"/>
      <c r="L1267" s="916"/>
      <c r="M1267" s="916"/>
      <c r="N1267" s="916"/>
      <c r="O1267" s="927"/>
      <c r="P1267" s="928"/>
      <c r="Q1267" s="929"/>
      <c r="R1267" s="518"/>
      <c r="S1267" s="518"/>
      <c r="T1267" s="518"/>
      <c r="U1267" s="518"/>
      <c r="V1267" s="518"/>
      <c r="W1267" s="518"/>
      <c r="X1267" s="518"/>
      <c r="Y1267" s="518"/>
      <c r="Z1267" s="518"/>
      <c r="AA1267" s="518"/>
      <c r="AB1267" s="518"/>
      <c r="AC1267" s="518"/>
      <c r="AD1267" s="518"/>
      <c r="AE1267" s="518"/>
      <c r="AF1267" s="518"/>
      <c r="AG1267" s="518"/>
      <c r="AH1267" s="518"/>
      <c r="AJ1267" s="595"/>
    </row>
    <row r="1268" spans="1:36" hidden="1" x14ac:dyDescent="0.45">
      <c r="A1268" s="518"/>
      <c r="B1268" s="930" t="s">
        <v>182</v>
      </c>
      <c r="C1268" s="930"/>
      <c r="D1268" s="930"/>
      <c r="E1268" s="930"/>
      <c r="F1268" s="930"/>
      <c r="G1268" s="930"/>
      <c r="H1268" s="930"/>
      <c r="I1268" s="930"/>
      <c r="J1268" s="930"/>
      <c r="K1268" s="930"/>
      <c r="L1268" s="930"/>
      <c r="M1268" s="930"/>
      <c r="N1268" s="930"/>
      <c r="O1268" s="878">
        <f>SUM(O1260:Q1266)-O1267</f>
        <v>0</v>
      </c>
      <c r="P1268" s="879"/>
      <c r="Q1268" s="880"/>
      <c r="R1268" s="518"/>
      <c r="S1268" s="518"/>
      <c r="T1268" s="518"/>
      <c r="U1268" s="518"/>
      <c r="V1268" s="518"/>
      <c r="W1268" s="518"/>
      <c r="X1268" s="518"/>
      <c r="Y1268" s="518"/>
      <c r="Z1268" s="518"/>
      <c r="AA1268" s="518"/>
      <c r="AB1268" s="518"/>
      <c r="AC1268" s="518"/>
      <c r="AD1268" s="518"/>
      <c r="AE1268" s="518"/>
      <c r="AF1268" s="518"/>
      <c r="AG1268" s="518"/>
      <c r="AH1268" s="518"/>
      <c r="AJ1268" s="595"/>
    </row>
    <row r="1269" spans="1:36" hidden="1" x14ac:dyDescent="0.45">
      <c r="A1269" s="518"/>
      <c r="B1269" s="517"/>
      <c r="C1269" s="517"/>
      <c r="D1269" s="517"/>
      <c r="E1269" s="517"/>
      <c r="F1269" s="517"/>
      <c r="G1269" s="517"/>
      <c r="H1269" s="517"/>
      <c r="I1269" s="517"/>
      <c r="J1269" s="517"/>
      <c r="K1269" s="517"/>
      <c r="L1269" s="517"/>
      <c r="M1269" s="517"/>
      <c r="N1269" s="517"/>
      <c r="O1269" s="532"/>
      <c r="P1269" s="532"/>
      <c r="Q1269" s="532"/>
      <c r="R1269" s="518"/>
      <c r="S1269" s="533"/>
      <c r="T1269" s="533"/>
      <c r="U1269" s="533"/>
      <c r="V1269" s="533"/>
      <c r="W1269" s="533"/>
      <c r="X1269" s="533"/>
      <c r="Y1269" s="533"/>
      <c r="Z1269" s="533"/>
      <c r="AA1269" s="533"/>
      <c r="AB1269" s="533"/>
      <c r="AC1269" s="533"/>
      <c r="AD1269" s="533"/>
      <c r="AE1269" s="533"/>
      <c r="AF1269" s="533"/>
      <c r="AG1269" s="533"/>
      <c r="AH1269" s="518"/>
      <c r="AJ1269" s="595"/>
    </row>
    <row r="1270" spans="1:36" ht="200.15" hidden="1" customHeight="1" x14ac:dyDescent="0.45">
      <c r="A1270" s="518"/>
      <c r="B1270" s="926" t="s">
        <v>183</v>
      </c>
      <c r="C1270" s="926"/>
      <c r="D1270" s="926"/>
      <c r="E1270" s="926"/>
      <c r="F1270" s="926"/>
      <c r="G1270" s="926"/>
      <c r="H1270" s="926"/>
      <c r="I1270" s="926"/>
      <c r="J1270" s="926"/>
      <c r="K1270" s="926"/>
      <c r="L1270" s="926"/>
      <c r="M1270" s="926"/>
      <c r="N1270" s="926"/>
      <c r="O1270" s="926"/>
      <c r="P1270" s="926"/>
      <c r="Q1270" s="926"/>
      <c r="R1270" s="926"/>
      <c r="S1270" s="926"/>
      <c r="T1270" s="926"/>
      <c r="U1270" s="926"/>
      <c r="V1270" s="926"/>
      <c r="W1270" s="926"/>
      <c r="X1270" s="926"/>
      <c r="Y1270" s="926"/>
      <c r="Z1270" s="926"/>
      <c r="AA1270" s="926"/>
      <c r="AB1270" s="926"/>
      <c r="AC1270" s="926"/>
      <c r="AD1270" s="926"/>
      <c r="AE1270" s="926"/>
      <c r="AF1270" s="926"/>
      <c r="AG1270" s="926"/>
      <c r="AH1270" s="518"/>
      <c r="AJ1270" s="595"/>
    </row>
    <row r="1271" spans="1:36" hidden="1" x14ac:dyDescent="0.45">
      <c r="A1271" s="518"/>
      <c r="B1271" s="518"/>
      <c r="C1271" s="518"/>
      <c r="D1271" s="518"/>
      <c r="E1271" s="518"/>
      <c r="F1271" s="518"/>
      <c r="G1271" s="518"/>
      <c r="H1271" s="518"/>
      <c r="I1271" s="518"/>
      <c r="J1271" s="518"/>
      <c r="K1271" s="518"/>
      <c r="L1271" s="518"/>
      <c r="M1271" s="518"/>
      <c r="N1271" s="518"/>
      <c r="O1271" s="518"/>
      <c r="P1271" s="518"/>
      <c r="Q1271" s="518"/>
      <c r="R1271" s="518"/>
      <c r="S1271" s="518"/>
      <c r="T1271" s="518"/>
      <c r="U1271" s="518"/>
      <c r="V1271" s="518"/>
      <c r="W1271" s="518"/>
      <c r="X1271" s="518"/>
      <c r="Y1271" s="518"/>
      <c r="Z1271" s="518"/>
      <c r="AA1271" s="518"/>
      <c r="AB1271" s="518"/>
      <c r="AC1271" s="518"/>
      <c r="AD1271" s="518"/>
      <c r="AE1271" s="518"/>
      <c r="AF1271" s="518"/>
      <c r="AG1271" s="518"/>
      <c r="AH1271" s="518"/>
      <c r="AJ1271" s="595"/>
    </row>
    <row r="1272" spans="1:36" hidden="1" x14ac:dyDescent="0.45">
      <c r="A1272" s="518"/>
      <c r="B1272" s="518"/>
      <c r="C1272" s="518"/>
      <c r="D1272" s="518"/>
      <c r="E1272" s="518"/>
      <c r="F1272" s="518"/>
      <c r="G1272" s="518"/>
      <c r="H1272" s="518"/>
      <c r="I1272" s="518"/>
      <c r="J1272" s="518"/>
      <c r="K1272" s="518"/>
      <c r="L1272" s="518"/>
      <c r="M1272" s="518"/>
      <c r="N1272" s="518"/>
      <c r="O1272" s="518"/>
      <c r="P1272" s="518"/>
      <c r="Q1272" s="518"/>
      <c r="R1272" s="518"/>
      <c r="S1272" s="518"/>
      <c r="T1272" s="518"/>
      <c r="U1272" s="518"/>
      <c r="V1272" s="518"/>
      <c r="W1272" s="518"/>
      <c r="X1272" s="518"/>
      <c r="Y1272" s="518"/>
      <c r="Z1272" s="518"/>
      <c r="AA1272" s="518"/>
      <c r="AB1272" s="518"/>
      <c r="AC1272" s="518"/>
      <c r="AD1272" s="518"/>
      <c r="AE1272" s="518"/>
      <c r="AF1272" s="518"/>
      <c r="AG1272" s="518"/>
      <c r="AH1272" s="518"/>
      <c r="AJ1272" s="595" t="b">
        <f>AND(AJ$1062,CH_SHTA_RuralTotalRequested&gt;0)</f>
        <v>0</v>
      </c>
    </row>
    <row r="1273" spans="1:36" hidden="1" x14ac:dyDescent="0.45">
      <c r="A1273" s="518"/>
      <c r="B1273" s="923" t="str">
        <f>B$1063</f>
        <v>CalHome Technical Assistance for Self-Help Housing Application</v>
      </c>
      <c r="C1273" s="923"/>
      <c r="D1273" s="923"/>
      <c r="E1273" s="923"/>
      <c r="F1273" s="923"/>
      <c r="G1273" s="923"/>
      <c r="H1273" s="923"/>
      <c r="I1273" s="923"/>
      <c r="J1273" s="923"/>
      <c r="K1273" s="923"/>
      <c r="L1273" s="923"/>
      <c r="M1273" s="923"/>
      <c r="N1273" s="923"/>
      <c r="O1273" s="923"/>
      <c r="P1273" s="923"/>
      <c r="Q1273" s="923"/>
      <c r="R1273" s="923"/>
      <c r="S1273" s="923"/>
      <c r="T1273" s="923"/>
      <c r="U1273" s="923"/>
      <c r="V1273" s="923"/>
      <c r="W1273" s="923"/>
      <c r="X1273" s="923"/>
      <c r="Y1273" s="923"/>
      <c r="Z1273" s="923"/>
      <c r="AA1273" s="923"/>
      <c r="AB1273" s="923"/>
      <c r="AC1273" s="923"/>
      <c r="AD1273" s="923"/>
      <c r="AE1273" s="923"/>
      <c r="AF1273" s="923"/>
      <c r="AG1273" s="923"/>
      <c r="AH1273" s="518"/>
      <c r="AJ1273" s="595"/>
    </row>
    <row r="1274" spans="1:36" hidden="1" x14ac:dyDescent="0.45">
      <c r="A1274" s="518"/>
      <c r="B1274" s="924" t="s">
        <v>1832</v>
      </c>
      <c r="C1274" s="925"/>
      <c r="D1274" s="925"/>
      <c r="E1274" s="925"/>
      <c r="F1274" s="925"/>
      <c r="G1274" s="925"/>
      <c r="H1274" s="925"/>
      <c r="I1274" s="925"/>
      <c r="J1274" s="925"/>
      <c r="K1274" s="925"/>
      <c r="L1274" s="925"/>
      <c r="M1274" s="925"/>
      <c r="N1274" s="925"/>
      <c r="O1274" s="925"/>
      <c r="P1274" s="925"/>
      <c r="Q1274" s="925"/>
      <c r="R1274" s="925"/>
      <c r="S1274" s="925"/>
      <c r="T1274" s="925"/>
      <c r="U1274" s="925"/>
      <c r="V1274" s="925"/>
      <c r="W1274" s="925"/>
      <c r="X1274" s="925"/>
      <c r="Y1274" s="925"/>
      <c r="Z1274" s="925"/>
      <c r="AA1274" s="925"/>
      <c r="AB1274" s="925"/>
      <c r="AC1274" s="925"/>
      <c r="AD1274" s="925"/>
      <c r="AE1274" s="925"/>
      <c r="AF1274" s="925"/>
      <c r="AG1274" s="925"/>
      <c r="AH1274" s="518"/>
      <c r="AJ1274" s="595"/>
    </row>
    <row r="1275" spans="1:36" hidden="1" x14ac:dyDescent="0.45">
      <c r="A1275" s="518"/>
      <c r="B1275" s="518"/>
      <c r="C1275" s="518"/>
      <c r="D1275" s="518"/>
      <c r="E1275" s="518"/>
      <c r="F1275" s="518"/>
      <c r="G1275" s="518"/>
      <c r="H1275" s="518"/>
      <c r="I1275" s="518"/>
      <c r="J1275" s="518"/>
      <c r="K1275" s="518"/>
      <c r="L1275" s="518"/>
      <c r="M1275" s="518"/>
      <c r="N1275" s="518"/>
      <c r="O1275" s="518"/>
      <c r="P1275" s="518"/>
      <c r="Q1275" s="518"/>
      <c r="R1275" s="518"/>
      <c r="S1275" s="518"/>
      <c r="T1275" s="518"/>
      <c r="U1275" s="518"/>
      <c r="V1275" s="518"/>
      <c r="W1275" s="518"/>
      <c r="X1275" s="518"/>
      <c r="Y1275" s="518"/>
      <c r="Z1275" s="518"/>
      <c r="AA1275" s="518"/>
      <c r="AB1275" s="518"/>
      <c r="AC1275" s="518"/>
      <c r="AD1275" s="518"/>
      <c r="AE1275" s="518"/>
      <c r="AF1275" s="518"/>
      <c r="AG1275" s="518"/>
      <c r="AH1275" s="518"/>
      <c r="AJ1275" s="595"/>
    </row>
    <row r="1276" spans="1:36" hidden="1" x14ac:dyDescent="0.45">
      <c r="A1276" s="518"/>
      <c r="B1276" s="518" t="s">
        <v>1853</v>
      </c>
      <c r="C1276" s="518"/>
      <c r="D1276" s="518"/>
      <c r="E1276" s="518"/>
      <c r="F1276" s="518"/>
      <c r="G1276" s="518"/>
      <c r="H1276" s="518"/>
      <c r="I1276" s="518"/>
      <c r="J1276" s="518"/>
      <c r="K1276" s="518"/>
      <c r="L1276" s="518"/>
      <c r="M1276" s="518"/>
      <c r="N1276" s="518"/>
      <c r="O1276" s="518"/>
      <c r="P1276" s="518"/>
      <c r="Q1276" s="518"/>
      <c r="R1276" s="518"/>
      <c r="S1276" s="518"/>
      <c r="T1276" s="518"/>
      <c r="U1276" s="518"/>
      <c r="V1276" s="518"/>
      <c r="W1276" s="518"/>
      <c r="X1276" s="518"/>
      <c r="Y1276" s="518"/>
      <c r="Z1276" s="518"/>
      <c r="AA1276" s="518"/>
      <c r="AB1276" s="518"/>
      <c r="AC1276" s="518"/>
      <c r="AD1276" s="518"/>
      <c r="AE1276" s="518"/>
      <c r="AF1276" s="518"/>
      <c r="AG1276" s="518"/>
      <c r="AH1276" s="518"/>
      <c r="AJ1276" s="595"/>
    </row>
    <row r="1277" spans="1:36" ht="16" hidden="1" customHeight="1" x14ac:dyDescent="0.45">
      <c r="A1277" s="518"/>
      <c r="B1277" s="862" t="s">
        <v>108</v>
      </c>
      <c r="C1277" s="863"/>
      <c r="D1277" s="863"/>
      <c r="E1277" s="863"/>
      <c r="F1277" s="863"/>
      <c r="G1277" s="862" t="s">
        <v>1487</v>
      </c>
      <c r="H1277" s="892"/>
      <c r="I1277" s="862" t="s">
        <v>91</v>
      </c>
      <c r="J1277" s="863"/>
      <c r="K1277" s="862" t="s">
        <v>110</v>
      </c>
      <c r="L1277" s="863"/>
      <c r="M1277" s="863"/>
      <c r="N1277" s="892"/>
      <c r="O1277" s="862" t="s">
        <v>212</v>
      </c>
      <c r="P1277" s="863"/>
      <c r="Q1277" s="863"/>
      <c r="R1277" s="892"/>
      <c r="S1277" s="862" t="s">
        <v>113</v>
      </c>
      <c r="T1277" s="863"/>
      <c r="U1277" s="863"/>
      <c r="V1277" s="892"/>
      <c r="W1277" s="862" t="s">
        <v>114</v>
      </c>
      <c r="X1277" s="863"/>
      <c r="Y1277" s="603"/>
      <c r="Z1277" s="604"/>
      <c r="AA1277" s="518"/>
      <c r="AB1277" s="518"/>
      <c r="AC1277" s="518"/>
      <c r="AD1277" s="518"/>
      <c r="AE1277" s="518"/>
      <c r="AF1277" s="529"/>
      <c r="AG1277" s="529"/>
      <c r="AH1277" s="529"/>
      <c r="AJ1277" s="595"/>
    </row>
    <row r="1278" spans="1:36" hidden="1" x14ac:dyDescent="0.45">
      <c r="A1278" s="518"/>
      <c r="B1278" s="864"/>
      <c r="C1278" s="865"/>
      <c r="D1278" s="865"/>
      <c r="E1278" s="865"/>
      <c r="F1278" s="865"/>
      <c r="G1278" s="864"/>
      <c r="H1278" s="893"/>
      <c r="I1278" s="864"/>
      <c r="J1278" s="865"/>
      <c r="K1278" s="864"/>
      <c r="L1278" s="865"/>
      <c r="M1278" s="865"/>
      <c r="N1278" s="893"/>
      <c r="O1278" s="864"/>
      <c r="P1278" s="865"/>
      <c r="Q1278" s="865"/>
      <c r="R1278" s="893"/>
      <c r="S1278" s="864"/>
      <c r="T1278" s="865"/>
      <c r="U1278" s="865"/>
      <c r="V1278" s="893"/>
      <c r="W1278" s="864"/>
      <c r="X1278" s="865"/>
      <c r="Y1278" s="603"/>
      <c r="Z1278" s="604"/>
      <c r="AA1278" s="518"/>
      <c r="AB1278" s="518"/>
      <c r="AC1278" s="518"/>
      <c r="AD1278" s="518"/>
      <c r="AE1278" s="518"/>
      <c r="AF1278" s="529"/>
      <c r="AG1278" s="529"/>
      <c r="AH1278" s="529"/>
      <c r="AJ1278" s="595"/>
    </row>
    <row r="1279" spans="1:36" hidden="1" x14ac:dyDescent="0.45">
      <c r="A1279" s="518"/>
      <c r="B1279" s="514" t="s">
        <v>1405</v>
      </c>
      <c r="C1279" s="535"/>
      <c r="D1279" s="535"/>
      <c r="E1279" s="535"/>
      <c r="F1279" s="535"/>
      <c r="G1279" s="886" t="str">
        <f>IF(CHSHTAData!T3=0,"",CHSHTAData!T3)</f>
        <v/>
      </c>
      <c r="H1279" s="1232"/>
      <c r="I1279" s="888">
        <f>CHSHTAData!AM3</f>
        <v>0</v>
      </c>
      <c r="J1279" s="909"/>
      <c r="K1279" s="874">
        <f>CHSHTAData!AN3</f>
        <v>0</v>
      </c>
      <c r="L1279" s="875"/>
      <c r="M1279" s="875"/>
      <c r="N1279" s="876"/>
      <c r="O1279" s="874">
        <f>CHSHTAData!AO3</f>
        <v>0</v>
      </c>
      <c r="P1279" s="875"/>
      <c r="Q1279" s="875"/>
      <c r="R1279" s="876"/>
      <c r="S1279" s="874">
        <f>SUM(K1279:R1279)</f>
        <v>0</v>
      </c>
      <c r="T1279" s="875"/>
      <c r="U1279" s="875"/>
      <c r="V1279" s="876"/>
      <c r="W1279" s="859">
        <f>CHSHTAData!AQ3</f>
        <v>0</v>
      </c>
      <c r="X1279" s="861"/>
      <c r="Y1279" s="619"/>
      <c r="Z1279" s="610"/>
      <c r="AA1279" s="518"/>
      <c r="AB1279" s="518"/>
      <c r="AC1279" s="518"/>
      <c r="AD1279" s="518"/>
      <c r="AE1279" s="518"/>
      <c r="AF1279" s="529"/>
      <c r="AG1279" s="529"/>
      <c r="AH1279" s="529"/>
      <c r="AJ1279" s="595" t="b">
        <f t="shared" ref="AJ1279:AJ1310" si="29">IF(AND(AJ$1272,S1279&gt;0),TRUE,FALSE)</f>
        <v>0</v>
      </c>
    </row>
    <row r="1280" spans="1:36" hidden="1" x14ac:dyDescent="0.45">
      <c r="A1280" s="518"/>
      <c r="B1280" s="514" t="s">
        <v>1406</v>
      </c>
      <c r="C1280" s="535"/>
      <c r="D1280" s="535"/>
      <c r="E1280" s="535"/>
      <c r="F1280" s="535"/>
      <c r="G1280" s="886" t="str">
        <f>IF(CHSHTAData!T4=0,"",CHSHTAData!T4)</f>
        <v/>
      </c>
      <c r="H1280" s="887"/>
      <c r="I1280" s="888">
        <f>CHSHTAData!AM4</f>
        <v>0</v>
      </c>
      <c r="J1280" s="889"/>
      <c r="K1280" s="874">
        <f>CHSHTAData!AN4</f>
        <v>0</v>
      </c>
      <c r="L1280" s="875"/>
      <c r="M1280" s="875"/>
      <c r="N1280" s="876"/>
      <c r="O1280" s="874">
        <f>CHSHTAData!AO4</f>
        <v>0</v>
      </c>
      <c r="P1280" s="875"/>
      <c r="Q1280" s="875"/>
      <c r="R1280" s="876"/>
      <c r="S1280" s="874">
        <f t="shared" ref="S1280:S1336" si="30">SUM(K1280:R1280)</f>
        <v>0</v>
      </c>
      <c r="T1280" s="875"/>
      <c r="U1280" s="875"/>
      <c r="V1280" s="876"/>
      <c r="W1280" s="859">
        <f>CHSHTAData!AQ4</f>
        <v>0</v>
      </c>
      <c r="X1280" s="861"/>
      <c r="Y1280" s="619"/>
      <c r="Z1280" s="610"/>
      <c r="AA1280" s="518"/>
      <c r="AB1280" s="518"/>
      <c r="AC1280" s="518"/>
      <c r="AD1280" s="518"/>
      <c r="AE1280" s="518"/>
      <c r="AF1280" s="529"/>
      <c r="AG1280" s="529"/>
      <c r="AH1280" s="529"/>
      <c r="AJ1280" s="595" t="b">
        <f t="shared" si="29"/>
        <v>0</v>
      </c>
    </row>
    <row r="1281" spans="1:36" hidden="1" x14ac:dyDescent="0.45">
      <c r="A1281" s="518"/>
      <c r="B1281" s="514" t="s">
        <v>1407</v>
      </c>
      <c r="C1281" s="535"/>
      <c r="D1281" s="535"/>
      <c r="E1281" s="535"/>
      <c r="F1281" s="535"/>
      <c r="G1281" s="886" t="str">
        <f>IF(CHSHTAData!T5=0,"",CHSHTAData!T5)</f>
        <v/>
      </c>
      <c r="H1281" s="887"/>
      <c r="I1281" s="888">
        <f>CHSHTAData!AM5</f>
        <v>0</v>
      </c>
      <c r="J1281" s="889"/>
      <c r="K1281" s="874">
        <f>CHSHTAData!AN5</f>
        <v>0</v>
      </c>
      <c r="L1281" s="875"/>
      <c r="M1281" s="875"/>
      <c r="N1281" s="876"/>
      <c r="O1281" s="874">
        <f>CHSHTAData!AO5</f>
        <v>0</v>
      </c>
      <c r="P1281" s="875"/>
      <c r="Q1281" s="875"/>
      <c r="R1281" s="876"/>
      <c r="S1281" s="874">
        <f t="shared" si="30"/>
        <v>0</v>
      </c>
      <c r="T1281" s="875"/>
      <c r="U1281" s="875"/>
      <c r="V1281" s="876"/>
      <c r="W1281" s="859">
        <f>CHSHTAData!AQ5</f>
        <v>0</v>
      </c>
      <c r="X1281" s="861"/>
      <c r="Y1281" s="619"/>
      <c r="Z1281" s="610"/>
      <c r="AA1281" s="518"/>
      <c r="AB1281" s="518"/>
      <c r="AC1281" s="518"/>
      <c r="AD1281" s="518"/>
      <c r="AE1281" s="518"/>
      <c r="AF1281" s="529"/>
      <c r="AG1281" s="529"/>
      <c r="AH1281" s="529"/>
      <c r="AJ1281" s="595" t="b">
        <f t="shared" si="29"/>
        <v>0</v>
      </c>
    </row>
    <row r="1282" spans="1:36" hidden="1" x14ac:dyDescent="0.45">
      <c r="A1282" s="518"/>
      <c r="B1282" s="514" t="s">
        <v>1408</v>
      </c>
      <c r="C1282" s="535"/>
      <c r="D1282" s="535"/>
      <c r="E1282" s="535"/>
      <c r="F1282" s="535"/>
      <c r="G1282" s="886" t="str">
        <f>IF(CHSHTAData!T6=0,"",CHSHTAData!T6)</f>
        <v/>
      </c>
      <c r="H1282" s="887"/>
      <c r="I1282" s="888">
        <f>CHSHTAData!AM6</f>
        <v>0</v>
      </c>
      <c r="J1282" s="889"/>
      <c r="K1282" s="874">
        <f>CHSHTAData!AN6</f>
        <v>0</v>
      </c>
      <c r="L1282" s="875"/>
      <c r="M1282" s="875"/>
      <c r="N1282" s="876"/>
      <c r="O1282" s="874">
        <f>CHSHTAData!AO6</f>
        <v>0</v>
      </c>
      <c r="P1282" s="875"/>
      <c r="Q1282" s="875"/>
      <c r="R1282" s="876"/>
      <c r="S1282" s="874">
        <f t="shared" si="30"/>
        <v>0</v>
      </c>
      <c r="T1282" s="875"/>
      <c r="U1282" s="875"/>
      <c r="V1282" s="876"/>
      <c r="W1282" s="859">
        <f>CHSHTAData!AQ6</f>
        <v>0</v>
      </c>
      <c r="X1282" s="861"/>
      <c r="Y1282" s="619"/>
      <c r="Z1282" s="610"/>
      <c r="AA1282" s="518"/>
      <c r="AB1282" s="518"/>
      <c r="AC1282" s="518"/>
      <c r="AD1282" s="518"/>
      <c r="AE1282" s="518"/>
      <c r="AF1282" s="529"/>
      <c r="AG1282" s="529"/>
      <c r="AH1282" s="529"/>
      <c r="AJ1282" s="595" t="b">
        <f t="shared" si="29"/>
        <v>0</v>
      </c>
    </row>
    <row r="1283" spans="1:36" hidden="1" x14ac:dyDescent="0.45">
      <c r="A1283" s="518"/>
      <c r="B1283" s="514" t="s">
        <v>1409</v>
      </c>
      <c r="C1283" s="535"/>
      <c r="D1283" s="535"/>
      <c r="E1283" s="535"/>
      <c r="F1283" s="535"/>
      <c r="G1283" s="886" t="str">
        <f>IF(CHSHTAData!T7=0,"",CHSHTAData!T7)</f>
        <v/>
      </c>
      <c r="H1283" s="887"/>
      <c r="I1283" s="888">
        <f>CHSHTAData!AM7</f>
        <v>0</v>
      </c>
      <c r="J1283" s="889"/>
      <c r="K1283" s="874">
        <f>CHSHTAData!AN7</f>
        <v>0</v>
      </c>
      <c r="L1283" s="875"/>
      <c r="M1283" s="875"/>
      <c r="N1283" s="876"/>
      <c r="O1283" s="874">
        <f>CHSHTAData!AO7</f>
        <v>0</v>
      </c>
      <c r="P1283" s="875"/>
      <c r="Q1283" s="875"/>
      <c r="R1283" s="876"/>
      <c r="S1283" s="874">
        <f t="shared" si="30"/>
        <v>0</v>
      </c>
      <c r="T1283" s="875"/>
      <c r="U1283" s="875"/>
      <c r="V1283" s="876"/>
      <c r="W1283" s="859">
        <f>CHSHTAData!AQ7</f>
        <v>0</v>
      </c>
      <c r="X1283" s="861"/>
      <c r="Y1283" s="619"/>
      <c r="Z1283" s="610"/>
      <c r="AA1283" s="518"/>
      <c r="AB1283" s="518"/>
      <c r="AC1283" s="518"/>
      <c r="AD1283" s="518"/>
      <c r="AE1283" s="518"/>
      <c r="AF1283" s="529"/>
      <c r="AG1283" s="529"/>
      <c r="AH1283" s="529"/>
      <c r="AJ1283" s="595" t="b">
        <f t="shared" si="29"/>
        <v>0</v>
      </c>
    </row>
    <row r="1284" spans="1:36" hidden="1" x14ac:dyDescent="0.45">
      <c r="A1284" s="518"/>
      <c r="B1284" s="514" t="s">
        <v>1410</v>
      </c>
      <c r="C1284" s="535"/>
      <c r="D1284" s="535"/>
      <c r="E1284" s="535"/>
      <c r="F1284" s="535"/>
      <c r="G1284" s="886" t="str">
        <f>IF(CHSHTAData!T8=0,"",CHSHTAData!T8)</f>
        <v/>
      </c>
      <c r="H1284" s="887"/>
      <c r="I1284" s="888">
        <f>CHSHTAData!AM8</f>
        <v>0</v>
      </c>
      <c r="J1284" s="889"/>
      <c r="K1284" s="874">
        <f>CHSHTAData!AN8</f>
        <v>0</v>
      </c>
      <c r="L1284" s="875"/>
      <c r="M1284" s="875"/>
      <c r="N1284" s="876"/>
      <c r="O1284" s="874">
        <f>CHSHTAData!AO8</f>
        <v>0</v>
      </c>
      <c r="P1284" s="875"/>
      <c r="Q1284" s="875"/>
      <c r="R1284" s="876"/>
      <c r="S1284" s="874">
        <f t="shared" si="30"/>
        <v>0</v>
      </c>
      <c r="T1284" s="875"/>
      <c r="U1284" s="875"/>
      <c r="V1284" s="876"/>
      <c r="W1284" s="859">
        <f>CHSHTAData!AQ8</f>
        <v>0</v>
      </c>
      <c r="X1284" s="861"/>
      <c r="Y1284" s="619"/>
      <c r="Z1284" s="610"/>
      <c r="AA1284" s="518"/>
      <c r="AB1284" s="518"/>
      <c r="AC1284" s="518"/>
      <c r="AD1284" s="518"/>
      <c r="AE1284" s="518"/>
      <c r="AF1284" s="529"/>
      <c r="AG1284" s="529"/>
      <c r="AH1284" s="529"/>
      <c r="AJ1284" s="595" t="b">
        <f t="shared" si="29"/>
        <v>0</v>
      </c>
    </row>
    <row r="1285" spans="1:36" hidden="1" x14ac:dyDescent="0.45">
      <c r="A1285" s="518"/>
      <c r="B1285" s="514" t="s">
        <v>1411</v>
      </c>
      <c r="C1285" s="535"/>
      <c r="D1285" s="535"/>
      <c r="E1285" s="535"/>
      <c r="F1285" s="535"/>
      <c r="G1285" s="886" t="str">
        <f>IF(CHSHTAData!T9=0,"",CHSHTAData!T9)</f>
        <v/>
      </c>
      <c r="H1285" s="887"/>
      <c r="I1285" s="888">
        <f>CHSHTAData!AM9</f>
        <v>0</v>
      </c>
      <c r="J1285" s="889"/>
      <c r="K1285" s="874">
        <f>CHSHTAData!AN9</f>
        <v>0</v>
      </c>
      <c r="L1285" s="875"/>
      <c r="M1285" s="875"/>
      <c r="N1285" s="876"/>
      <c r="O1285" s="874">
        <f>CHSHTAData!AO9</f>
        <v>0</v>
      </c>
      <c r="P1285" s="875"/>
      <c r="Q1285" s="875"/>
      <c r="R1285" s="876"/>
      <c r="S1285" s="874">
        <f t="shared" si="30"/>
        <v>0</v>
      </c>
      <c r="T1285" s="875"/>
      <c r="U1285" s="875"/>
      <c r="V1285" s="876"/>
      <c r="W1285" s="859">
        <f>CHSHTAData!AQ9</f>
        <v>0</v>
      </c>
      <c r="X1285" s="861"/>
      <c r="Y1285" s="619"/>
      <c r="Z1285" s="610"/>
      <c r="AA1285" s="518"/>
      <c r="AB1285" s="518"/>
      <c r="AC1285" s="518"/>
      <c r="AD1285" s="518"/>
      <c r="AE1285" s="518"/>
      <c r="AF1285" s="529"/>
      <c r="AG1285" s="529"/>
      <c r="AH1285" s="529"/>
      <c r="AJ1285" s="595" t="b">
        <f t="shared" si="29"/>
        <v>0</v>
      </c>
    </row>
    <row r="1286" spans="1:36" hidden="1" x14ac:dyDescent="0.45">
      <c r="A1286" s="518"/>
      <c r="B1286" s="514" t="s">
        <v>1412</v>
      </c>
      <c r="C1286" s="535"/>
      <c r="D1286" s="535"/>
      <c r="E1286" s="535"/>
      <c r="F1286" s="535"/>
      <c r="G1286" s="886" t="str">
        <f>IF(CHSHTAData!T10=0,"",CHSHTAData!T10)</f>
        <v/>
      </c>
      <c r="H1286" s="887"/>
      <c r="I1286" s="888">
        <f>CHSHTAData!AM10</f>
        <v>0</v>
      </c>
      <c r="J1286" s="889"/>
      <c r="K1286" s="874">
        <f>CHSHTAData!AN10</f>
        <v>0</v>
      </c>
      <c r="L1286" s="875"/>
      <c r="M1286" s="875"/>
      <c r="N1286" s="876"/>
      <c r="O1286" s="874">
        <f>CHSHTAData!AO10</f>
        <v>0</v>
      </c>
      <c r="P1286" s="875"/>
      <c r="Q1286" s="875"/>
      <c r="R1286" s="876"/>
      <c r="S1286" s="874">
        <f t="shared" si="30"/>
        <v>0</v>
      </c>
      <c r="T1286" s="875"/>
      <c r="U1286" s="875"/>
      <c r="V1286" s="876"/>
      <c r="W1286" s="859">
        <f>CHSHTAData!AQ10</f>
        <v>0</v>
      </c>
      <c r="X1286" s="861"/>
      <c r="Y1286" s="619"/>
      <c r="Z1286" s="610"/>
      <c r="AA1286" s="518"/>
      <c r="AB1286" s="518"/>
      <c r="AC1286" s="518"/>
      <c r="AD1286" s="518"/>
      <c r="AE1286" s="518"/>
      <c r="AF1286" s="529"/>
      <c r="AG1286" s="529"/>
      <c r="AH1286" s="529"/>
      <c r="AJ1286" s="595" t="b">
        <f t="shared" si="29"/>
        <v>0</v>
      </c>
    </row>
    <row r="1287" spans="1:36" hidden="1" x14ac:dyDescent="0.45">
      <c r="A1287" s="518"/>
      <c r="B1287" s="514" t="s">
        <v>1413</v>
      </c>
      <c r="C1287" s="535"/>
      <c r="D1287" s="535"/>
      <c r="E1287" s="535"/>
      <c r="F1287" s="535"/>
      <c r="G1287" s="886" t="str">
        <f>IF(CHSHTAData!T11=0,"",CHSHTAData!T11)</f>
        <v/>
      </c>
      <c r="H1287" s="887"/>
      <c r="I1287" s="888">
        <f>CHSHTAData!AM11</f>
        <v>0</v>
      </c>
      <c r="J1287" s="889"/>
      <c r="K1287" s="874">
        <f>CHSHTAData!AN11</f>
        <v>0</v>
      </c>
      <c r="L1287" s="875"/>
      <c r="M1287" s="875"/>
      <c r="N1287" s="876"/>
      <c r="O1287" s="874">
        <f>CHSHTAData!AO11</f>
        <v>0</v>
      </c>
      <c r="P1287" s="875"/>
      <c r="Q1287" s="875"/>
      <c r="R1287" s="876"/>
      <c r="S1287" s="874">
        <f t="shared" si="30"/>
        <v>0</v>
      </c>
      <c r="T1287" s="875"/>
      <c r="U1287" s="875"/>
      <c r="V1287" s="876"/>
      <c r="W1287" s="859">
        <f>CHSHTAData!AQ11</f>
        <v>0</v>
      </c>
      <c r="X1287" s="861"/>
      <c r="Y1287" s="619"/>
      <c r="Z1287" s="610"/>
      <c r="AA1287" s="518"/>
      <c r="AB1287" s="518"/>
      <c r="AC1287" s="518"/>
      <c r="AD1287" s="518"/>
      <c r="AE1287" s="518"/>
      <c r="AF1287" s="529"/>
      <c r="AG1287" s="529"/>
      <c r="AH1287" s="529"/>
      <c r="AJ1287" s="595" t="b">
        <f t="shared" si="29"/>
        <v>0</v>
      </c>
    </row>
    <row r="1288" spans="1:36" hidden="1" x14ac:dyDescent="0.45">
      <c r="A1288" s="518"/>
      <c r="B1288" s="514" t="s">
        <v>1414</v>
      </c>
      <c r="C1288" s="535"/>
      <c r="D1288" s="535"/>
      <c r="E1288" s="535"/>
      <c r="F1288" s="535"/>
      <c r="G1288" s="886" t="str">
        <f>IF(CHSHTAData!T12=0,"",CHSHTAData!T12)</f>
        <v/>
      </c>
      <c r="H1288" s="887"/>
      <c r="I1288" s="888">
        <f>CHSHTAData!AM12</f>
        <v>0</v>
      </c>
      <c r="J1288" s="889"/>
      <c r="K1288" s="874">
        <f>CHSHTAData!AN12</f>
        <v>0</v>
      </c>
      <c r="L1288" s="875"/>
      <c r="M1288" s="875"/>
      <c r="N1288" s="876"/>
      <c r="O1288" s="874">
        <f>CHSHTAData!AO12</f>
        <v>0</v>
      </c>
      <c r="P1288" s="875"/>
      <c r="Q1288" s="875"/>
      <c r="R1288" s="876"/>
      <c r="S1288" s="874">
        <f t="shared" si="30"/>
        <v>0</v>
      </c>
      <c r="T1288" s="875"/>
      <c r="U1288" s="875"/>
      <c r="V1288" s="876"/>
      <c r="W1288" s="859">
        <f>CHSHTAData!AQ12</f>
        <v>0</v>
      </c>
      <c r="X1288" s="861"/>
      <c r="Y1288" s="619"/>
      <c r="Z1288" s="610"/>
      <c r="AA1288" s="518"/>
      <c r="AB1288" s="518"/>
      <c r="AC1288" s="518"/>
      <c r="AD1288" s="518"/>
      <c r="AE1288" s="518"/>
      <c r="AF1288" s="529"/>
      <c r="AG1288" s="529"/>
      <c r="AH1288" s="529"/>
      <c r="AJ1288" s="595" t="b">
        <f t="shared" si="29"/>
        <v>0</v>
      </c>
    </row>
    <row r="1289" spans="1:36" hidden="1" x14ac:dyDescent="0.45">
      <c r="A1289" s="518"/>
      <c r="B1289" s="514" t="s">
        <v>1415</v>
      </c>
      <c r="C1289" s="535"/>
      <c r="D1289" s="535"/>
      <c r="E1289" s="535"/>
      <c r="F1289" s="535"/>
      <c r="G1289" s="886" t="str">
        <f>IF(CHSHTAData!T13=0,"",CHSHTAData!T13)</f>
        <v/>
      </c>
      <c r="H1289" s="887"/>
      <c r="I1289" s="888">
        <f>CHSHTAData!AM13</f>
        <v>0</v>
      </c>
      <c r="J1289" s="889"/>
      <c r="K1289" s="874">
        <f>CHSHTAData!AN13</f>
        <v>0</v>
      </c>
      <c r="L1289" s="875"/>
      <c r="M1289" s="875"/>
      <c r="N1289" s="876"/>
      <c r="O1289" s="874">
        <f>CHSHTAData!AO13</f>
        <v>0</v>
      </c>
      <c r="P1289" s="875"/>
      <c r="Q1289" s="875"/>
      <c r="R1289" s="876"/>
      <c r="S1289" s="874">
        <f t="shared" si="30"/>
        <v>0</v>
      </c>
      <c r="T1289" s="875"/>
      <c r="U1289" s="875"/>
      <c r="V1289" s="876"/>
      <c r="W1289" s="859">
        <f>CHSHTAData!AQ13</f>
        <v>0</v>
      </c>
      <c r="X1289" s="861"/>
      <c r="Y1289" s="619"/>
      <c r="Z1289" s="610"/>
      <c r="AA1289" s="518"/>
      <c r="AB1289" s="518"/>
      <c r="AC1289" s="518"/>
      <c r="AD1289" s="518"/>
      <c r="AE1289" s="518"/>
      <c r="AF1289" s="529"/>
      <c r="AG1289" s="529"/>
      <c r="AH1289" s="529"/>
      <c r="AJ1289" s="595" t="b">
        <f t="shared" si="29"/>
        <v>0</v>
      </c>
    </row>
    <row r="1290" spans="1:36" hidden="1" x14ac:dyDescent="0.45">
      <c r="A1290" s="518"/>
      <c r="B1290" s="514" t="s">
        <v>1416</v>
      </c>
      <c r="C1290" s="535"/>
      <c r="D1290" s="535"/>
      <c r="E1290" s="535"/>
      <c r="F1290" s="535"/>
      <c r="G1290" s="886" t="str">
        <f>IF(CHSHTAData!T14=0,"",CHSHTAData!T14)</f>
        <v/>
      </c>
      <c r="H1290" s="887"/>
      <c r="I1290" s="888">
        <f>CHSHTAData!AM14</f>
        <v>0</v>
      </c>
      <c r="J1290" s="889"/>
      <c r="K1290" s="874">
        <f>CHSHTAData!AN14</f>
        <v>0</v>
      </c>
      <c r="L1290" s="875"/>
      <c r="M1290" s="875"/>
      <c r="N1290" s="876"/>
      <c r="O1290" s="874">
        <f>CHSHTAData!AO14</f>
        <v>0</v>
      </c>
      <c r="P1290" s="875"/>
      <c r="Q1290" s="875"/>
      <c r="R1290" s="876"/>
      <c r="S1290" s="874">
        <f t="shared" si="30"/>
        <v>0</v>
      </c>
      <c r="T1290" s="875"/>
      <c r="U1290" s="875"/>
      <c r="V1290" s="876"/>
      <c r="W1290" s="859">
        <f>CHSHTAData!AQ14</f>
        <v>0</v>
      </c>
      <c r="X1290" s="861"/>
      <c r="Y1290" s="619"/>
      <c r="Z1290" s="610"/>
      <c r="AA1290" s="518"/>
      <c r="AB1290" s="518"/>
      <c r="AC1290" s="518"/>
      <c r="AD1290" s="518"/>
      <c r="AE1290" s="518"/>
      <c r="AF1290" s="529"/>
      <c r="AG1290" s="529"/>
      <c r="AH1290" s="529"/>
      <c r="AJ1290" s="595" t="b">
        <f t="shared" si="29"/>
        <v>0</v>
      </c>
    </row>
    <row r="1291" spans="1:36" hidden="1" x14ac:dyDescent="0.45">
      <c r="A1291" s="518"/>
      <c r="B1291" s="514" t="s">
        <v>1417</v>
      </c>
      <c r="C1291" s="535"/>
      <c r="D1291" s="535"/>
      <c r="E1291" s="535"/>
      <c r="F1291" s="535"/>
      <c r="G1291" s="886" t="str">
        <f>IF(CHSHTAData!T15=0,"",CHSHTAData!T15)</f>
        <v/>
      </c>
      <c r="H1291" s="887"/>
      <c r="I1291" s="888">
        <f>CHSHTAData!AM15</f>
        <v>0</v>
      </c>
      <c r="J1291" s="889"/>
      <c r="K1291" s="874">
        <f>CHSHTAData!AN15</f>
        <v>0</v>
      </c>
      <c r="L1291" s="875"/>
      <c r="M1291" s="875"/>
      <c r="N1291" s="876"/>
      <c r="O1291" s="874">
        <f>CHSHTAData!AO15</f>
        <v>0</v>
      </c>
      <c r="P1291" s="875"/>
      <c r="Q1291" s="875"/>
      <c r="R1291" s="876"/>
      <c r="S1291" s="874">
        <f t="shared" si="30"/>
        <v>0</v>
      </c>
      <c r="T1291" s="875"/>
      <c r="U1291" s="875"/>
      <c r="V1291" s="876"/>
      <c r="W1291" s="859">
        <f>CHSHTAData!AQ15</f>
        <v>0</v>
      </c>
      <c r="X1291" s="861"/>
      <c r="Y1291" s="619"/>
      <c r="Z1291" s="610"/>
      <c r="AA1291" s="518"/>
      <c r="AB1291" s="518"/>
      <c r="AC1291" s="518"/>
      <c r="AD1291" s="518"/>
      <c r="AE1291" s="518"/>
      <c r="AF1291" s="529"/>
      <c r="AG1291" s="529"/>
      <c r="AH1291" s="529"/>
      <c r="AJ1291" s="595" t="b">
        <f t="shared" si="29"/>
        <v>0</v>
      </c>
    </row>
    <row r="1292" spans="1:36" hidden="1" x14ac:dyDescent="0.45">
      <c r="A1292" s="518"/>
      <c r="B1292" s="514" t="s">
        <v>1418</v>
      </c>
      <c r="C1292" s="535"/>
      <c r="D1292" s="535"/>
      <c r="E1292" s="535"/>
      <c r="F1292" s="535"/>
      <c r="G1292" s="886" t="str">
        <f>IF(CHSHTAData!T16=0,"",CHSHTAData!T16)</f>
        <v/>
      </c>
      <c r="H1292" s="887"/>
      <c r="I1292" s="888">
        <f>CHSHTAData!AM16</f>
        <v>0</v>
      </c>
      <c r="J1292" s="889"/>
      <c r="K1292" s="874">
        <f>CHSHTAData!AN16</f>
        <v>0</v>
      </c>
      <c r="L1292" s="875"/>
      <c r="M1292" s="875"/>
      <c r="N1292" s="876"/>
      <c r="O1292" s="874">
        <f>CHSHTAData!AO16</f>
        <v>0</v>
      </c>
      <c r="P1292" s="875"/>
      <c r="Q1292" s="875"/>
      <c r="R1292" s="876"/>
      <c r="S1292" s="874">
        <f t="shared" si="30"/>
        <v>0</v>
      </c>
      <c r="T1292" s="875"/>
      <c r="U1292" s="875"/>
      <c r="V1292" s="876"/>
      <c r="W1292" s="859">
        <f>CHSHTAData!AQ16</f>
        <v>0</v>
      </c>
      <c r="X1292" s="861"/>
      <c r="Y1292" s="619"/>
      <c r="Z1292" s="610"/>
      <c r="AA1292" s="518"/>
      <c r="AB1292" s="518"/>
      <c r="AC1292" s="518"/>
      <c r="AD1292" s="518"/>
      <c r="AE1292" s="518"/>
      <c r="AF1292" s="529"/>
      <c r="AG1292" s="529"/>
      <c r="AH1292" s="529"/>
      <c r="AJ1292" s="595" t="b">
        <f t="shared" si="29"/>
        <v>0</v>
      </c>
    </row>
    <row r="1293" spans="1:36" hidden="1" x14ac:dyDescent="0.45">
      <c r="A1293" s="518"/>
      <c r="B1293" s="514" t="s">
        <v>1419</v>
      </c>
      <c r="C1293" s="535"/>
      <c r="D1293" s="535"/>
      <c r="E1293" s="535"/>
      <c r="F1293" s="535"/>
      <c r="G1293" s="886" t="str">
        <f>IF(CHSHTAData!T17=0,"",CHSHTAData!T17)</f>
        <v/>
      </c>
      <c r="H1293" s="887"/>
      <c r="I1293" s="888">
        <f>CHSHTAData!AM17</f>
        <v>0</v>
      </c>
      <c r="J1293" s="889"/>
      <c r="K1293" s="874">
        <f>CHSHTAData!AN17</f>
        <v>0</v>
      </c>
      <c r="L1293" s="875"/>
      <c r="M1293" s="875"/>
      <c r="N1293" s="876"/>
      <c r="O1293" s="874">
        <f>CHSHTAData!AO17</f>
        <v>0</v>
      </c>
      <c r="P1293" s="875"/>
      <c r="Q1293" s="875"/>
      <c r="R1293" s="876"/>
      <c r="S1293" s="874">
        <f t="shared" si="30"/>
        <v>0</v>
      </c>
      <c r="T1293" s="875"/>
      <c r="U1293" s="875"/>
      <c r="V1293" s="876"/>
      <c r="W1293" s="859">
        <f>CHSHTAData!AQ17</f>
        <v>0</v>
      </c>
      <c r="X1293" s="861"/>
      <c r="Y1293" s="619"/>
      <c r="Z1293" s="610"/>
      <c r="AA1293" s="518"/>
      <c r="AB1293" s="518"/>
      <c r="AC1293" s="518"/>
      <c r="AD1293" s="518"/>
      <c r="AE1293" s="518"/>
      <c r="AF1293" s="529"/>
      <c r="AG1293" s="529"/>
      <c r="AH1293" s="529"/>
      <c r="AJ1293" s="595" t="b">
        <f t="shared" si="29"/>
        <v>0</v>
      </c>
    </row>
    <row r="1294" spans="1:36" hidden="1" x14ac:dyDescent="0.45">
      <c r="A1294" s="518"/>
      <c r="B1294" s="514" t="s">
        <v>1420</v>
      </c>
      <c r="C1294" s="535"/>
      <c r="D1294" s="535"/>
      <c r="E1294" s="535"/>
      <c r="F1294" s="535"/>
      <c r="G1294" s="886" t="str">
        <f>IF(CHSHTAData!T18=0,"",CHSHTAData!T18)</f>
        <v/>
      </c>
      <c r="H1294" s="887"/>
      <c r="I1294" s="888">
        <f>CHSHTAData!AM18</f>
        <v>0</v>
      </c>
      <c r="J1294" s="889"/>
      <c r="K1294" s="874">
        <f>CHSHTAData!AN18</f>
        <v>0</v>
      </c>
      <c r="L1294" s="875"/>
      <c r="M1294" s="875"/>
      <c r="N1294" s="876"/>
      <c r="O1294" s="874">
        <f>CHSHTAData!AO18</f>
        <v>0</v>
      </c>
      <c r="P1294" s="875"/>
      <c r="Q1294" s="875"/>
      <c r="R1294" s="876"/>
      <c r="S1294" s="874">
        <f t="shared" si="30"/>
        <v>0</v>
      </c>
      <c r="T1294" s="875"/>
      <c r="U1294" s="875"/>
      <c r="V1294" s="876"/>
      <c r="W1294" s="859">
        <f>CHSHTAData!AQ18</f>
        <v>0</v>
      </c>
      <c r="X1294" s="861"/>
      <c r="Y1294" s="619"/>
      <c r="Z1294" s="610"/>
      <c r="AA1294" s="518"/>
      <c r="AB1294" s="518"/>
      <c r="AC1294" s="518"/>
      <c r="AD1294" s="518"/>
      <c r="AE1294" s="518"/>
      <c r="AF1294" s="529"/>
      <c r="AG1294" s="529"/>
      <c r="AH1294" s="529"/>
      <c r="AJ1294" s="595" t="b">
        <f t="shared" si="29"/>
        <v>0</v>
      </c>
    </row>
    <row r="1295" spans="1:36" hidden="1" x14ac:dyDescent="0.45">
      <c r="A1295" s="518"/>
      <c r="B1295" s="514" t="s">
        <v>1421</v>
      </c>
      <c r="C1295" s="535"/>
      <c r="D1295" s="535"/>
      <c r="E1295" s="535"/>
      <c r="F1295" s="535"/>
      <c r="G1295" s="886" t="str">
        <f>IF(CHSHTAData!T19=0,"",CHSHTAData!T19)</f>
        <v/>
      </c>
      <c r="H1295" s="887"/>
      <c r="I1295" s="888">
        <f>CHSHTAData!AM19</f>
        <v>0</v>
      </c>
      <c r="J1295" s="889"/>
      <c r="K1295" s="874">
        <f>CHSHTAData!AN19</f>
        <v>0</v>
      </c>
      <c r="L1295" s="875"/>
      <c r="M1295" s="875"/>
      <c r="N1295" s="876"/>
      <c r="O1295" s="874">
        <f>CHSHTAData!AO19</f>
        <v>0</v>
      </c>
      <c r="P1295" s="875"/>
      <c r="Q1295" s="875"/>
      <c r="R1295" s="876"/>
      <c r="S1295" s="874">
        <f t="shared" si="30"/>
        <v>0</v>
      </c>
      <c r="T1295" s="875"/>
      <c r="U1295" s="875"/>
      <c r="V1295" s="876"/>
      <c r="W1295" s="859">
        <f>CHSHTAData!AQ19</f>
        <v>0</v>
      </c>
      <c r="X1295" s="861"/>
      <c r="Y1295" s="619"/>
      <c r="Z1295" s="610"/>
      <c r="AA1295" s="518"/>
      <c r="AB1295" s="518"/>
      <c r="AC1295" s="518"/>
      <c r="AD1295" s="518"/>
      <c r="AE1295" s="518"/>
      <c r="AF1295" s="529"/>
      <c r="AG1295" s="529"/>
      <c r="AH1295" s="529"/>
      <c r="AJ1295" s="595" t="b">
        <f t="shared" si="29"/>
        <v>0</v>
      </c>
    </row>
    <row r="1296" spans="1:36" hidden="1" x14ac:dyDescent="0.45">
      <c r="A1296" s="518"/>
      <c r="B1296" s="514" t="s">
        <v>1422</v>
      </c>
      <c r="C1296" s="535"/>
      <c r="D1296" s="535"/>
      <c r="E1296" s="535"/>
      <c r="F1296" s="535"/>
      <c r="G1296" s="886" t="str">
        <f>IF(CHSHTAData!T20=0,"",CHSHTAData!T20)</f>
        <v/>
      </c>
      <c r="H1296" s="887"/>
      <c r="I1296" s="888">
        <f>CHSHTAData!AM20</f>
        <v>0</v>
      </c>
      <c r="J1296" s="889"/>
      <c r="K1296" s="874">
        <f>CHSHTAData!AN20</f>
        <v>0</v>
      </c>
      <c r="L1296" s="875"/>
      <c r="M1296" s="875"/>
      <c r="N1296" s="876"/>
      <c r="O1296" s="874">
        <f>CHSHTAData!AO20</f>
        <v>0</v>
      </c>
      <c r="P1296" s="875"/>
      <c r="Q1296" s="875"/>
      <c r="R1296" s="876"/>
      <c r="S1296" s="874">
        <f t="shared" si="30"/>
        <v>0</v>
      </c>
      <c r="T1296" s="875"/>
      <c r="U1296" s="875"/>
      <c r="V1296" s="876"/>
      <c r="W1296" s="859">
        <f>CHSHTAData!AQ20</f>
        <v>0</v>
      </c>
      <c r="X1296" s="861"/>
      <c r="Y1296" s="619"/>
      <c r="Z1296" s="610"/>
      <c r="AA1296" s="518"/>
      <c r="AB1296" s="518"/>
      <c r="AC1296" s="518"/>
      <c r="AD1296" s="518"/>
      <c r="AE1296" s="518"/>
      <c r="AF1296" s="529"/>
      <c r="AG1296" s="529"/>
      <c r="AH1296" s="529"/>
      <c r="AJ1296" s="595" t="b">
        <f t="shared" si="29"/>
        <v>0</v>
      </c>
    </row>
    <row r="1297" spans="1:36" hidden="1" x14ac:dyDescent="0.45">
      <c r="A1297" s="518"/>
      <c r="B1297" s="514" t="s">
        <v>1423</v>
      </c>
      <c r="C1297" s="535"/>
      <c r="D1297" s="535"/>
      <c r="E1297" s="535"/>
      <c r="F1297" s="535"/>
      <c r="G1297" s="886" t="str">
        <f>IF(CHSHTAData!T21=0,"",CHSHTAData!T21)</f>
        <v/>
      </c>
      <c r="H1297" s="887"/>
      <c r="I1297" s="888">
        <f>CHSHTAData!AM21</f>
        <v>0</v>
      </c>
      <c r="J1297" s="889"/>
      <c r="K1297" s="874">
        <f>CHSHTAData!AN21</f>
        <v>0</v>
      </c>
      <c r="L1297" s="875"/>
      <c r="M1297" s="875"/>
      <c r="N1297" s="876"/>
      <c r="O1297" s="874">
        <f>CHSHTAData!AO21</f>
        <v>0</v>
      </c>
      <c r="P1297" s="875"/>
      <c r="Q1297" s="875"/>
      <c r="R1297" s="876"/>
      <c r="S1297" s="874">
        <f t="shared" si="30"/>
        <v>0</v>
      </c>
      <c r="T1297" s="875"/>
      <c r="U1297" s="875"/>
      <c r="V1297" s="876"/>
      <c r="W1297" s="859">
        <f>CHSHTAData!AQ21</f>
        <v>0</v>
      </c>
      <c r="X1297" s="861"/>
      <c r="Y1297" s="619"/>
      <c r="Z1297" s="610"/>
      <c r="AA1297" s="518"/>
      <c r="AB1297" s="518"/>
      <c r="AC1297" s="518"/>
      <c r="AD1297" s="518"/>
      <c r="AE1297" s="518"/>
      <c r="AF1297" s="529"/>
      <c r="AG1297" s="529"/>
      <c r="AH1297" s="529"/>
      <c r="AJ1297" s="595" t="b">
        <f t="shared" si="29"/>
        <v>0</v>
      </c>
    </row>
    <row r="1298" spans="1:36" hidden="1" x14ac:dyDescent="0.45">
      <c r="A1298" s="518"/>
      <c r="B1298" s="514" t="s">
        <v>1424</v>
      </c>
      <c r="C1298" s="535"/>
      <c r="D1298" s="535"/>
      <c r="E1298" s="535"/>
      <c r="F1298" s="535"/>
      <c r="G1298" s="886" t="str">
        <f>IF(CHSHTAData!T22=0,"",CHSHTAData!T22)</f>
        <v/>
      </c>
      <c r="H1298" s="887"/>
      <c r="I1298" s="888">
        <f>CHSHTAData!AM22</f>
        <v>0</v>
      </c>
      <c r="J1298" s="889"/>
      <c r="K1298" s="874">
        <f>CHSHTAData!AN22</f>
        <v>0</v>
      </c>
      <c r="L1298" s="875"/>
      <c r="M1298" s="875"/>
      <c r="N1298" s="876"/>
      <c r="O1298" s="874">
        <f>CHSHTAData!AO22</f>
        <v>0</v>
      </c>
      <c r="P1298" s="875"/>
      <c r="Q1298" s="875"/>
      <c r="R1298" s="876"/>
      <c r="S1298" s="874">
        <f t="shared" si="30"/>
        <v>0</v>
      </c>
      <c r="T1298" s="875"/>
      <c r="U1298" s="875"/>
      <c r="V1298" s="876"/>
      <c r="W1298" s="859">
        <f>CHSHTAData!AQ22</f>
        <v>0</v>
      </c>
      <c r="X1298" s="861"/>
      <c r="Y1298" s="619"/>
      <c r="Z1298" s="610"/>
      <c r="AA1298" s="518"/>
      <c r="AB1298" s="518"/>
      <c r="AC1298" s="518"/>
      <c r="AD1298" s="518"/>
      <c r="AE1298" s="518"/>
      <c r="AF1298" s="529"/>
      <c r="AG1298" s="529"/>
      <c r="AH1298" s="529"/>
      <c r="AJ1298" s="595" t="b">
        <f t="shared" si="29"/>
        <v>0</v>
      </c>
    </row>
    <row r="1299" spans="1:36" hidden="1" x14ac:dyDescent="0.45">
      <c r="A1299" s="518"/>
      <c r="B1299" s="514" t="s">
        <v>1425</v>
      </c>
      <c r="C1299" s="535"/>
      <c r="D1299" s="535"/>
      <c r="E1299" s="535"/>
      <c r="F1299" s="535"/>
      <c r="G1299" s="886" t="str">
        <f>IF(CHSHTAData!T23=0,"",CHSHTAData!T23)</f>
        <v/>
      </c>
      <c r="H1299" s="887"/>
      <c r="I1299" s="888">
        <f>CHSHTAData!AM23</f>
        <v>0</v>
      </c>
      <c r="J1299" s="889"/>
      <c r="K1299" s="874">
        <f>CHSHTAData!AN23</f>
        <v>0</v>
      </c>
      <c r="L1299" s="875"/>
      <c r="M1299" s="875"/>
      <c r="N1299" s="876"/>
      <c r="O1299" s="874">
        <f>CHSHTAData!AO23</f>
        <v>0</v>
      </c>
      <c r="P1299" s="875"/>
      <c r="Q1299" s="875"/>
      <c r="R1299" s="876"/>
      <c r="S1299" s="874">
        <f t="shared" si="30"/>
        <v>0</v>
      </c>
      <c r="T1299" s="875"/>
      <c r="U1299" s="875"/>
      <c r="V1299" s="876"/>
      <c r="W1299" s="859">
        <f>CHSHTAData!AQ23</f>
        <v>0</v>
      </c>
      <c r="X1299" s="861"/>
      <c r="Y1299" s="619"/>
      <c r="Z1299" s="610"/>
      <c r="AA1299" s="518"/>
      <c r="AB1299" s="518"/>
      <c r="AC1299" s="518"/>
      <c r="AD1299" s="518"/>
      <c r="AE1299" s="518"/>
      <c r="AF1299" s="529"/>
      <c r="AG1299" s="529"/>
      <c r="AH1299" s="529"/>
      <c r="AJ1299" s="595" t="b">
        <f t="shared" si="29"/>
        <v>0</v>
      </c>
    </row>
    <row r="1300" spans="1:36" hidden="1" x14ac:dyDescent="0.45">
      <c r="A1300" s="518"/>
      <c r="B1300" s="514" t="s">
        <v>1426</v>
      </c>
      <c r="C1300" s="535"/>
      <c r="D1300" s="535"/>
      <c r="E1300" s="535"/>
      <c r="F1300" s="535"/>
      <c r="G1300" s="886" t="str">
        <f>IF(CHSHTAData!T24=0,"",CHSHTAData!T24)</f>
        <v/>
      </c>
      <c r="H1300" s="887"/>
      <c r="I1300" s="888">
        <f>CHSHTAData!AM24</f>
        <v>0</v>
      </c>
      <c r="J1300" s="889"/>
      <c r="K1300" s="874">
        <f>CHSHTAData!AN24</f>
        <v>0</v>
      </c>
      <c r="L1300" s="875"/>
      <c r="M1300" s="875"/>
      <c r="N1300" s="876"/>
      <c r="O1300" s="874">
        <f>CHSHTAData!AO24</f>
        <v>0</v>
      </c>
      <c r="P1300" s="875"/>
      <c r="Q1300" s="875"/>
      <c r="R1300" s="876"/>
      <c r="S1300" s="874">
        <f t="shared" si="30"/>
        <v>0</v>
      </c>
      <c r="T1300" s="875"/>
      <c r="U1300" s="875"/>
      <c r="V1300" s="876"/>
      <c r="W1300" s="859">
        <f>CHSHTAData!AQ24</f>
        <v>0</v>
      </c>
      <c r="X1300" s="861"/>
      <c r="Y1300" s="619"/>
      <c r="Z1300" s="610"/>
      <c r="AA1300" s="518"/>
      <c r="AB1300" s="518"/>
      <c r="AC1300" s="518"/>
      <c r="AD1300" s="518"/>
      <c r="AE1300" s="518"/>
      <c r="AF1300" s="529"/>
      <c r="AG1300" s="529"/>
      <c r="AH1300" s="529"/>
      <c r="AJ1300" s="595" t="b">
        <f t="shared" si="29"/>
        <v>0</v>
      </c>
    </row>
    <row r="1301" spans="1:36" hidden="1" x14ac:dyDescent="0.45">
      <c r="A1301" s="518"/>
      <c r="B1301" s="514" t="s">
        <v>1427</v>
      </c>
      <c r="C1301" s="535"/>
      <c r="D1301" s="535"/>
      <c r="E1301" s="535"/>
      <c r="F1301" s="535"/>
      <c r="G1301" s="886" t="str">
        <f>IF(CHSHTAData!T25=0,"",CHSHTAData!T25)</f>
        <v/>
      </c>
      <c r="H1301" s="887"/>
      <c r="I1301" s="888">
        <f>CHSHTAData!AM25</f>
        <v>0</v>
      </c>
      <c r="J1301" s="889"/>
      <c r="K1301" s="874">
        <f>CHSHTAData!AN25</f>
        <v>0</v>
      </c>
      <c r="L1301" s="875"/>
      <c r="M1301" s="875"/>
      <c r="N1301" s="876"/>
      <c r="O1301" s="874">
        <f>CHSHTAData!AO25</f>
        <v>0</v>
      </c>
      <c r="P1301" s="875"/>
      <c r="Q1301" s="875"/>
      <c r="R1301" s="876"/>
      <c r="S1301" s="874">
        <f t="shared" si="30"/>
        <v>0</v>
      </c>
      <c r="T1301" s="875"/>
      <c r="U1301" s="875"/>
      <c r="V1301" s="876"/>
      <c r="W1301" s="859">
        <f>CHSHTAData!AQ25</f>
        <v>0</v>
      </c>
      <c r="X1301" s="861"/>
      <c r="Y1301" s="619"/>
      <c r="Z1301" s="610"/>
      <c r="AA1301" s="518"/>
      <c r="AB1301" s="518"/>
      <c r="AC1301" s="518"/>
      <c r="AD1301" s="518"/>
      <c r="AE1301" s="518"/>
      <c r="AF1301" s="529"/>
      <c r="AG1301" s="529"/>
      <c r="AH1301" s="529"/>
      <c r="AJ1301" s="595" t="b">
        <f t="shared" si="29"/>
        <v>0</v>
      </c>
    </row>
    <row r="1302" spans="1:36" hidden="1" x14ac:dyDescent="0.45">
      <c r="A1302" s="518"/>
      <c r="B1302" s="514" t="s">
        <v>1428</v>
      </c>
      <c r="C1302" s="535"/>
      <c r="D1302" s="535"/>
      <c r="E1302" s="535"/>
      <c r="F1302" s="535"/>
      <c r="G1302" s="886" t="str">
        <f>IF(CHSHTAData!T26=0,"",CHSHTAData!T26)</f>
        <v/>
      </c>
      <c r="H1302" s="887"/>
      <c r="I1302" s="888">
        <f>CHSHTAData!AM26</f>
        <v>0</v>
      </c>
      <c r="J1302" s="889"/>
      <c r="K1302" s="874">
        <f>CHSHTAData!AN26</f>
        <v>0</v>
      </c>
      <c r="L1302" s="875"/>
      <c r="M1302" s="875"/>
      <c r="N1302" s="876"/>
      <c r="O1302" s="874">
        <f>CHSHTAData!AO26</f>
        <v>0</v>
      </c>
      <c r="P1302" s="875"/>
      <c r="Q1302" s="875"/>
      <c r="R1302" s="876"/>
      <c r="S1302" s="874">
        <f t="shared" si="30"/>
        <v>0</v>
      </c>
      <c r="T1302" s="875"/>
      <c r="U1302" s="875"/>
      <c r="V1302" s="876"/>
      <c r="W1302" s="859">
        <f>CHSHTAData!AQ26</f>
        <v>0</v>
      </c>
      <c r="X1302" s="861"/>
      <c r="Y1302" s="619"/>
      <c r="Z1302" s="610"/>
      <c r="AA1302" s="518"/>
      <c r="AB1302" s="518"/>
      <c r="AC1302" s="518"/>
      <c r="AD1302" s="518"/>
      <c r="AE1302" s="518"/>
      <c r="AF1302" s="529"/>
      <c r="AG1302" s="529"/>
      <c r="AH1302" s="529"/>
      <c r="AJ1302" s="595" t="b">
        <f t="shared" si="29"/>
        <v>0</v>
      </c>
    </row>
    <row r="1303" spans="1:36" hidden="1" x14ac:dyDescent="0.45">
      <c r="A1303" s="518"/>
      <c r="B1303" s="514" t="s">
        <v>1429</v>
      </c>
      <c r="C1303" s="535"/>
      <c r="D1303" s="535"/>
      <c r="E1303" s="535"/>
      <c r="F1303" s="535"/>
      <c r="G1303" s="886" t="str">
        <f>IF(CHSHTAData!T27=0,"",CHSHTAData!T27)</f>
        <v/>
      </c>
      <c r="H1303" s="887"/>
      <c r="I1303" s="888">
        <f>CHSHTAData!AM27</f>
        <v>0</v>
      </c>
      <c r="J1303" s="889"/>
      <c r="K1303" s="874">
        <f>CHSHTAData!AN27</f>
        <v>0</v>
      </c>
      <c r="L1303" s="875"/>
      <c r="M1303" s="875"/>
      <c r="N1303" s="876"/>
      <c r="O1303" s="874">
        <f>CHSHTAData!AO27</f>
        <v>0</v>
      </c>
      <c r="P1303" s="875"/>
      <c r="Q1303" s="875"/>
      <c r="R1303" s="876"/>
      <c r="S1303" s="874">
        <f t="shared" si="30"/>
        <v>0</v>
      </c>
      <c r="T1303" s="875"/>
      <c r="U1303" s="875"/>
      <c r="V1303" s="876"/>
      <c r="W1303" s="859">
        <f>CHSHTAData!AQ27</f>
        <v>0</v>
      </c>
      <c r="X1303" s="861"/>
      <c r="Y1303" s="619"/>
      <c r="Z1303" s="610"/>
      <c r="AA1303" s="518"/>
      <c r="AB1303" s="518"/>
      <c r="AC1303" s="518"/>
      <c r="AD1303" s="518"/>
      <c r="AE1303" s="518"/>
      <c r="AF1303" s="529"/>
      <c r="AG1303" s="529"/>
      <c r="AH1303" s="529"/>
      <c r="AJ1303" s="595" t="b">
        <f t="shared" si="29"/>
        <v>0</v>
      </c>
    </row>
    <row r="1304" spans="1:36" hidden="1" x14ac:dyDescent="0.45">
      <c r="A1304" s="518"/>
      <c r="B1304" s="514" t="s">
        <v>1430</v>
      </c>
      <c r="C1304" s="535"/>
      <c r="D1304" s="535"/>
      <c r="E1304" s="535"/>
      <c r="F1304" s="535"/>
      <c r="G1304" s="886" t="str">
        <f>IF(CHSHTAData!T28=0,"",CHSHTAData!T28)</f>
        <v/>
      </c>
      <c r="H1304" s="887"/>
      <c r="I1304" s="888">
        <f>CHSHTAData!AM28</f>
        <v>0</v>
      </c>
      <c r="J1304" s="889"/>
      <c r="K1304" s="874">
        <f>CHSHTAData!AN28</f>
        <v>0</v>
      </c>
      <c r="L1304" s="875"/>
      <c r="M1304" s="875"/>
      <c r="N1304" s="876"/>
      <c r="O1304" s="874">
        <f>CHSHTAData!AO28</f>
        <v>0</v>
      </c>
      <c r="P1304" s="875"/>
      <c r="Q1304" s="875"/>
      <c r="R1304" s="876"/>
      <c r="S1304" s="874">
        <f t="shared" si="30"/>
        <v>0</v>
      </c>
      <c r="T1304" s="875"/>
      <c r="U1304" s="875"/>
      <c r="V1304" s="876"/>
      <c r="W1304" s="859">
        <f>CHSHTAData!AQ28</f>
        <v>0</v>
      </c>
      <c r="X1304" s="861"/>
      <c r="Y1304" s="619"/>
      <c r="Z1304" s="610"/>
      <c r="AA1304" s="518"/>
      <c r="AB1304" s="518"/>
      <c r="AC1304" s="518"/>
      <c r="AD1304" s="518"/>
      <c r="AE1304" s="518"/>
      <c r="AF1304" s="529"/>
      <c r="AG1304" s="529"/>
      <c r="AH1304" s="529"/>
      <c r="AJ1304" s="595" t="b">
        <f t="shared" si="29"/>
        <v>0</v>
      </c>
    </row>
    <row r="1305" spans="1:36" hidden="1" x14ac:dyDescent="0.45">
      <c r="A1305" s="518"/>
      <c r="B1305" s="514" t="s">
        <v>1431</v>
      </c>
      <c r="C1305" s="535"/>
      <c r="D1305" s="535"/>
      <c r="E1305" s="535"/>
      <c r="F1305" s="535"/>
      <c r="G1305" s="886" t="str">
        <f>IF(CHSHTAData!T29=0,"",CHSHTAData!T29)</f>
        <v/>
      </c>
      <c r="H1305" s="887"/>
      <c r="I1305" s="888">
        <f>CHSHTAData!AM29</f>
        <v>0</v>
      </c>
      <c r="J1305" s="889"/>
      <c r="K1305" s="874">
        <f>CHSHTAData!AN29</f>
        <v>0</v>
      </c>
      <c r="L1305" s="875"/>
      <c r="M1305" s="875"/>
      <c r="N1305" s="876"/>
      <c r="O1305" s="874">
        <f>CHSHTAData!AO29</f>
        <v>0</v>
      </c>
      <c r="P1305" s="875"/>
      <c r="Q1305" s="875"/>
      <c r="R1305" s="876"/>
      <c r="S1305" s="874">
        <f t="shared" si="30"/>
        <v>0</v>
      </c>
      <c r="T1305" s="875"/>
      <c r="U1305" s="875"/>
      <c r="V1305" s="876"/>
      <c r="W1305" s="859">
        <f>CHSHTAData!AQ29</f>
        <v>0</v>
      </c>
      <c r="X1305" s="861"/>
      <c r="Y1305" s="619"/>
      <c r="Z1305" s="610"/>
      <c r="AA1305" s="518"/>
      <c r="AB1305" s="518"/>
      <c r="AC1305" s="518"/>
      <c r="AD1305" s="518"/>
      <c r="AE1305" s="518"/>
      <c r="AF1305" s="529"/>
      <c r="AG1305" s="529"/>
      <c r="AH1305" s="529"/>
      <c r="AJ1305" s="595" t="b">
        <f t="shared" si="29"/>
        <v>0</v>
      </c>
    </row>
    <row r="1306" spans="1:36" hidden="1" x14ac:dyDescent="0.45">
      <c r="A1306" s="518"/>
      <c r="B1306" s="514" t="s">
        <v>1432</v>
      </c>
      <c r="C1306" s="535"/>
      <c r="D1306" s="535"/>
      <c r="E1306" s="535"/>
      <c r="F1306" s="535"/>
      <c r="G1306" s="886" t="str">
        <f>IF(CHSHTAData!T30=0,"",CHSHTAData!T30)</f>
        <v/>
      </c>
      <c r="H1306" s="887"/>
      <c r="I1306" s="888">
        <f>CHSHTAData!AM30</f>
        <v>0</v>
      </c>
      <c r="J1306" s="889"/>
      <c r="K1306" s="874">
        <f>CHSHTAData!AN30</f>
        <v>0</v>
      </c>
      <c r="L1306" s="875"/>
      <c r="M1306" s="875"/>
      <c r="N1306" s="876"/>
      <c r="O1306" s="874">
        <f>CHSHTAData!AO30</f>
        <v>0</v>
      </c>
      <c r="P1306" s="875"/>
      <c r="Q1306" s="875"/>
      <c r="R1306" s="876"/>
      <c r="S1306" s="874">
        <f t="shared" si="30"/>
        <v>0</v>
      </c>
      <c r="T1306" s="875"/>
      <c r="U1306" s="875"/>
      <c r="V1306" s="876"/>
      <c r="W1306" s="859">
        <f>CHSHTAData!AQ30</f>
        <v>0</v>
      </c>
      <c r="X1306" s="861"/>
      <c r="Y1306" s="619"/>
      <c r="Z1306" s="610"/>
      <c r="AA1306" s="518"/>
      <c r="AB1306" s="518"/>
      <c r="AC1306" s="518"/>
      <c r="AD1306" s="518"/>
      <c r="AE1306" s="518"/>
      <c r="AF1306" s="529"/>
      <c r="AG1306" s="529"/>
      <c r="AH1306" s="529"/>
      <c r="AJ1306" s="595" t="b">
        <f t="shared" si="29"/>
        <v>0</v>
      </c>
    </row>
    <row r="1307" spans="1:36" hidden="1" x14ac:dyDescent="0.45">
      <c r="A1307" s="518"/>
      <c r="B1307" s="514" t="s">
        <v>1433</v>
      </c>
      <c r="C1307" s="535"/>
      <c r="D1307" s="535"/>
      <c r="E1307" s="535"/>
      <c r="F1307" s="535"/>
      <c r="G1307" s="886" t="str">
        <f>IF(CHSHTAData!T31=0,"",CHSHTAData!T31)</f>
        <v/>
      </c>
      <c r="H1307" s="887"/>
      <c r="I1307" s="888">
        <f>CHSHTAData!AM31</f>
        <v>0</v>
      </c>
      <c r="J1307" s="889"/>
      <c r="K1307" s="874">
        <f>CHSHTAData!AN31</f>
        <v>0</v>
      </c>
      <c r="L1307" s="875"/>
      <c r="M1307" s="875"/>
      <c r="N1307" s="876"/>
      <c r="O1307" s="874">
        <f>CHSHTAData!AO31</f>
        <v>0</v>
      </c>
      <c r="P1307" s="875"/>
      <c r="Q1307" s="875"/>
      <c r="R1307" s="876"/>
      <c r="S1307" s="874">
        <f t="shared" si="30"/>
        <v>0</v>
      </c>
      <c r="T1307" s="875"/>
      <c r="U1307" s="875"/>
      <c r="V1307" s="876"/>
      <c r="W1307" s="859">
        <f>CHSHTAData!AQ31</f>
        <v>0</v>
      </c>
      <c r="X1307" s="861"/>
      <c r="Y1307" s="619"/>
      <c r="Z1307" s="610"/>
      <c r="AA1307" s="518"/>
      <c r="AB1307" s="518"/>
      <c r="AC1307" s="518"/>
      <c r="AD1307" s="518"/>
      <c r="AE1307" s="518"/>
      <c r="AF1307" s="529"/>
      <c r="AG1307" s="529"/>
      <c r="AH1307" s="529"/>
      <c r="AJ1307" s="595" t="b">
        <f t="shared" si="29"/>
        <v>0</v>
      </c>
    </row>
    <row r="1308" spans="1:36" hidden="1" x14ac:dyDescent="0.45">
      <c r="A1308" s="518"/>
      <c r="B1308" s="514" t="s">
        <v>1434</v>
      </c>
      <c r="C1308" s="535"/>
      <c r="D1308" s="535"/>
      <c r="E1308" s="535"/>
      <c r="F1308" s="535"/>
      <c r="G1308" s="886" t="str">
        <f>IF(CHSHTAData!T32=0,"",CHSHTAData!T32)</f>
        <v/>
      </c>
      <c r="H1308" s="887"/>
      <c r="I1308" s="888">
        <f>CHSHTAData!AM32</f>
        <v>0</v>
      </c>
      <c r="J1308" s="889"/>
      <c r="K1308" s="874">
        <f>CHSHTAData!AN32</f>
        <v>0</v>
      </c>
      <c r="L1308" s="875"/>
      <c r="M1308" s="875"/>
      <c r="N1308" s="876"/>
      <c r="O1308" s="874">
        <f>CHSHTAData!AO32</f>
        <v>0</v>
      </c>
      <c r="P1308" s="875"/>
      <c r="Q1308" s="875"/>
      <c r="R1308" s="876"/>
      <c r="S1308" s="874">
        <f t="shared" si="30"/>
        <v>0</v>
      </c>
      <c r="T1308" s="875"/>
      <c r="U1308" s="875"/>
      <c r="V1308" s="876"/>
      <c r="W1308" s="859">
        <f>CHSHTAData!AQ32</f>
        <v>0</v>
      </c>
      <c r="X1308" s="861"/>
      <c r="Y1308" s="619"/>
      <c r="Z1308" s="610"/>
      <c r="AA1308" s="518"/>
      <c r="AB1308" s="518"/>
      <c r="AC1308" s="518"/>
      <c r="AD1308" s="518"/>
      <c r="AE1308" s="518"/>
      <c r="AF1308" s="529"/>
      <c r="AG1308" s="529"/>
      <c r="AH1308" s="529"/>
      <c r="AJ1308" s="595" t="b">
        <f t="shared" si="29"/>
        <v>0</v>
      </c>
    </row>
    <row r="1309" spans="1:36" hidden="1" x14ac:dyDescent="0.45">
      <c r="A1309" s="518"/>
      <c r="B1309" s="514" t="s">
        <v>1435</v>
      </c>
      <c r="C1309" s="535"/>
      <c r="D1309" s="535"/>
      <c r="E1309" s="535"/>
      <c r="F1309" s="535"/>
      <c r="G1309" s="886" t="str">
        <f>IF(CHSHTAData!T33=0,"",CHSHTAData!T33)</f>
        <v/>
      </c>
      <c r="H1309" s="887"/>
      <c r="I1309" s="888">
        <f>CHSHTAData!AM33</f>
        <v>0</v>
      </c>
      <c r="J1309" s="889"/>
      <c r="K1309" s="874">
        <f>CHSHTAData!AN33</f>
        <v>0</v>
      </c>
      <c r="L1309" s="875"/>
      <c r="M1309" s="875"/>
      <c r="N1309" s="876"/>
      <c r="O1309" s="874">
        <f>CHSHTAData!AO33</f>
        <v>0</v>
      </c>
      <c r="P1309" s="875"/>
      <c r="Q1309" s="875"/>
      <c r="R1309" s="876"/>
      <c r="S1309" s="874">
        <f t="shared" si="30"/>
        <v>0</v>
      </c>
      <c r="T1309" s="875"/>
      <c r="U1309" s="875"/>
      <c r="V1309" s="876"/>
      <c r="W1309" s="859">
        <f>CHSHTAData!AQ33</f>
        <v>0</v>
      </c>
      <c r="X1309" s="861"/>
      <c r="Y1309" s="619"/>
      <c r="Z1309" s="610"/>
      <c r="AA1309" s="518"/>
      <c r="AB1309" s="518"/>
      <c r="AC1309" s="518"/>
      <c r="AD1309" s="518"/>
      <c r="AE1309" s="518"/>
      <c r="AF1309" s="529"/>
      <c r="AG1309" s="529"/>
      <c r="AH1309" s="529"/>
      <c r="AJ1309" s="595" t="b">
        <f t="shared" si="29"/>
        <v>0</v>
      </c>
    </row>
    <row r="1310" spans="1:36" hidden="1" x14ac:dyDescent="0.45">
      <c r="A1310" s="518"/>
      <c r="B1310" s="514" t="s">
        <v>1436</v>
      </c>
      <c r="C1310" s="535"/>
      <c r="D1310" s="535"/>
      <c r="E1310" s="535"/>
      <c r="F1310" s="535"/>
      <c r="G1310" s="886" t="str">
        <f>IF(CHSHTAData!T34=0,"",CHSHTAData!T34)</f>
        <v/>
      </c>
      <c r="H1310" s="887"/>
      <c r="I1310" s="888">
        <f>CHSHTAData!AM34</f>
        <v>0</v>
      </c>
      <c r="J1310" s="889"/>
      <c r="K1310" s="874">
        <f>CHSHTAData!AN34</f>
        <v>0</v>
      </c>
      <c r="L1310" s="875"/>
      <c r="M1310" s="875"/>
      <c r="N1310" s="876"/>
      <c r="O1310" s="874">
        <f>CHSHTAData!AO34</f>
        <v>0</v>
      </c>
      <c r="P1310" s="875"/>
      <c r="Q1310" s="875"/>
      <c r="R1310" s="876"/>
      <c r="S1310" s="874">
        <f t="shared" si="30"/>
        <v>0</v>
      </c>
      <c r="T1310" s="875"/>
      <c r="U1310" s="875"/>
      <c r="V1310" s="876"/>
      <c r="W1310" s="859">
        <f>CHSHTAData!AQ34</f>
        <v>0</v>
      </c>
      <c r="X1310" s="861"/>
      <c r="Y1310" s="619"/>
      <c r="Z1310" s="610"/>
      <c r="AA1310" s="518"/>
      <c r="AB1310" s="518"/>
      <c r="AC1310" s="518"/>
      <c r="AD1310" s="518"/>
      <c r="AE1310" s="518"/>
      <c r="AF1310" s="529"/>
      <c r="AG1310" s="529"/>
      <c r="AH1310" s="529"/>
      <c r="AJ1310" s="595" t="b">
        <f t="shared" si="29"/>
        <v>0</v>
      </c>
    </row>
    <row r="1311" spans="1:36" hidden="1" x14ac:dyDescent="0.45">
      <c r="A1311" s="518"/>
      <c r="B1311" s="514" t="s">
        <v>1437</v>
      </c>
      <c r="C1311" s="535"/>
      <c r="D1311" s="535"/>
      <c r="E1311" s="535"/>
      <c r="F1311" s="535"/>
      <c r="G1311" s="886" t="str">
        <f>IF(CHSHTAData!T35=0,"",CHSHTAData!T35)</f>
        <v/>
      </c>
      <c r="H1311" s="887"/>
      <c r="I1311" s="888">
        <f>CHSHTAData!AM35</f>
        <v>0</v>
      </c>
      <c r="J1311" s="889"/>
      <c r="K1311" s="874">
        <f>CHSHTAData!AN35</f>
        <v>0</v>
      </c>
      <c r="L1311" s="875"/>
      <c r="M1311" s="875"/>
      <c r="N1311" s="876"/>
      <c r="O1311" s="874">
        <f>CHSHTAData!AO35</f>
        <v>0</v>
      </c>
      <c r="P1311" s="875"/>
      <c r="Q1311" s="875"/>
      <c r="R1311" s="876"/>
      <c r="S1311" s="874">
        <f t="shared" si="30"/>
        <v>0</v>
      </c>
      <c r="T1311" s="875"/>
      <c r="U1311" s="875"/>
      <c r="V1311" s="876"/>
      <c r="W1311" s="859">
        <f>CHSHTAData!AQ35</f>
        <v>0</v>
      </c>
      <c r="X1311" s="861"/>
      <c r="Y1311" s="619"/>
      <c r="Z1311" s="610"/>
      <c r="AA1311" s="518"/>
      <c r="AB1311" s="518"/>
      <c r="AC1311" s="518"/>
      <c r="AD1311" s="518"/>
      <c r="AE1311" s="518"/>
      <c r="AF1311" s="529"/>
      <c r="AG1311" s="529"/>
      <c r="AH1311" s="529"/>
      <c r="AJ1311" s="595" t="b">
        <f t="shared" ref="AJ1311:AJ1336" si="31">IF(AND(AJ$1272,S1311&gt;0),TRUE,FALSE)</f>
        <v>0</v>
      </c>
    </row>
    <row r="1312" spans="1:36" hidden="1" x14ac:dyDescent="0.45">
      <c r="A1312" s="518"/>
      <c r="B1312" s="514" t="s">
        <v>1438</v>
      </c>
      <c r="C1312" s="535"/>
      <c r="D1312" s="535"/>
      <c r="E1312" s="535"/>
      <c r="F1312" s="535"/>
      <c r="G1312" s="886" t="str">
        <f>IF(CHSHTAData!T36=0,"",CHSHTAData!T36)</f>
        <v/>
      </c>
      <c r="H1312" s="887"/>
      <c r="I1312" s="888">
        <f>CHSHTAData!AM36</f>
        <v>0</v>
      </c>
      <c r="J1312" s="889"/>
      <c r="K1312" s="874">
        <f>CHSHTAData!AN36</f>
        <v>0</v>
      </c>
      <c r="L1312" s="875"/>
      <c r="M1312" s="875"/>
      <c r="N1312" s="876"/>
      <c r="O1312" s="874">
        <f>CHSHTAData!AO36</f>
        <v>0</v>
      </c>
      <c r="P1312" s="875"/>
      <c r="Q1312" s="875"/>
      <c r="R1312" s="876"/>
      <c r="S1312" s="874">
        <f t="shared" si="30"/>
        <v>0</v>
      </c>
      <c r="T1312" s="875"/>
      <c r="U1312" s="875"/>
      <c r="V1312" s="876"/>
      <c r="W1312" s="859">
        <f>CHSHTAData!AQ36</f>
        <v>0</v>
      </c>
      <c r="X1312" s="861"/>
      <c r="Y1312" s="619"/>
      <c r="Z1312" s="610"/>
      <c r="AA1312" s="518"/>
      <c r="AB1312" s="518"/>
      <c r="AC1312" s="518"/>
      <c r="AD1312" s="518"/>
      <c r="AE1312" s="518"/>
      <c r="AF1312" s="529"/>
      <c r="AG1312" s="529"/>
      <c r="AH1312" s="529"/>
      <c r="AJ1312" s="595" t="b">
        <f t="shared" si="31"/>
        <v>0</v>
      </c>
    </row>
    <row r="1313" spans="1:36" hidden="1" x14ac:dyDescent="0.45">
      <c r="A1313" s="518"/>
      <c r="B1313" s="514" t="s">
        <v>1439</v>
      </c>
      <c r="C1313" s="535"/>
      <c r="D1313" s="535"/>
      <c r="E1313" s="535"/>
      <c r="F1313" s="535"/>
      <c r="G1313" s="886" t="str">
        <f>IF(CHSHTAData!T37=0,"",CHSHTAData!T37)</f>
        <v/>
      </c>
      <c r="H1313" s="887"/>
      <c r="I1313" s="888">
        <f>CHSHTAData!AM37</f>
        <v>0</v>
      </c>
      <c r="J1313" s="889"/>
      <c r="K1313" s="874">
        <f>CHSHTAData!AN37</f>
        <v>0</v>
      </c>
      <c r="L1313" s="875"/>
      <c r="M1313" s="875"/>
      <c r="N1313" s="876"/>
      <c r="O1313" s="874">
        <f>CHSHTAData!AO37</f>
        <v>0</v>
      </c>
      <c r="P1313" s="875"/>
      <c r="Q1313" s="875"/>
      <c r="R1313" s="876"/>
      <c r="S1313" s="874">
        <f t="shared" si="30"/>
        <v>0</v>
      </c>
      <c r="T1313" s="875"/>
      <c r="U1313" s="875"/>
      <c r="V1313" s="876"/>
      <c r="W1313" s="859">
        <f>CHSHTAData!AQ37</f>
        <v>0</v>
      </c>
      <c r="X1313" s="861"/>
      <c r="Y1313" s="619"/>
      <c r="Z1313" s="610"/>
      <c r="AA1313" s="518"/>
      <c r="AB1313" s="518"/>
      <c r="AC1313" s="518"/>
      <c r="AD1313" s="518"/>
      <c r="AE1313" s="518"/>
      <c r="AF1313" s="529"/>
      <c r="AG1313" s="529"/>
      <c r="AH1313" s="529"/>
      <c r="AJ1313" s="595" t="b">
        <f t="shared" si="31"/>
        <v>0</v>
      </c>
    </row>
    <row r="1314" spans="1:36" hidden="1" x14ac:dyDescent="0.45">
      <c r="A1314" s="518"/>
      <c r="B1314" s="514" t="s">
        <v>1440</v>
      </c>
      <c r="C1314" s="535"/>
      <c r="D1314" s="535"/>
      <c r="E1314" s="535"/>
      <c r="F1314" s="535"/>
      <c r="G1314" s="886" t="str">
        <f>IF(CHSHTAData!T38=0,"",CHSHTAData!T38)</f>
        <v/>
      </c>
      <c r="H1314" s="887"/>
      <c r="I1314" s="888">
        <f>CHSHTAData!AM38</f>
        <v>0</v>
      </c>
      <c r="J1314" s="889"/>
      <c r="K1314" s="874">
        <f>CHSHTAData!AN38</f>
        <v>0</v>
      </c>
      <c r="L1314" s="875"/>
      <c r="M1314" s="875"/>
      <c r="N1314" s="876"/>
      <c r="O1314" s="874">
        <f>CHSHTAData!AO38</f>
        <v>0</v>
      </c>
      <c r="P1314" s="875"/>
      <c r="Q1314" s="875"/>
      <c r="R1314" s="876"/>
      <c r="S1314" s="874">
        <f t="shared" si="30"/>
        <v>0</v>
      </c>
      <c r="T1314" s="875"/>
      <c r="U1314" s="875"/>
      <c r="V1314" s="876"/>
      <c r="W1314" s="859">
        <f>CHSHTAData!AQ38</f>
        <v>0</v>
      </c>
      <c r="X1314" s="861"/>
      <c r="Y1314" s="619"/>
      <c r="Z1314" s="610"/>
      <c r="AA1314" s="518"/>
      <c r="AB1314" s="518"/>
      <c r="AC1314" s="518"/>
      <c r="AD1314" s="518"/>
      <c r="AE1314" s="518"/>
      <c r="AF1314" s="529"/>
      <c r="AG1314" s="529"/>
      <c r="AH1314" s="529"/>
      <c r="AJ1314" s="595" t="b">
        <f t="shared" si="31"/>
        <v>0</v>
      </c>
    </row>
    <row r="1315" spans="1:36" hidden="1" x14ac:dyDescent="0.45">
      <c r="A1315" s="518"/>
      <c r="B1315" s="514" t="s">
        <v>1441</v>
      </c>
      <c r="C1315" s="535"/>
      <c r="D1315" s="535"/>
      <c r="E1315" s="535"/>
      <c r="F1315" s="535"/>
      <c r="G1315" s="886" t="str">
        <f>IF(CHSHTAData!T39=0,"",CHSHTAData!T39)</f>
        <v/>
      </c>
      <c r="H1315" s="887"/>
      <c r="I1315" s="888">
        <f>CHSHTAData!AM39</f>
        <v>0</v>
      </c>
      <c r="J1315" s="889"/>
      <c r="K1315" s="874">
        <f>CHSHTAData!AN39</f>
        <v>0</v>
      </c>
      <c r="L1315" s="875"/>
      <c r="M1315" s="875"/>
      <c r="N1315" s="876"/>
      <c r="O1315" s="874">
        <f>CHSHTAData!AO39</f>
        <v>0</v>
      </c>
      <c r="P1315" s="875"/>
      <c r="Q1315" s="875"/>
      <c r="R1315" s="876"/>
      <c r="S1315" s="874">
        <f t="shared" si="30"/>
        <v>0</v>
      </c>
      <c r="T1315" s="875"/>
      <c r="U1315" s="875"/>
      <c r="V1315" s="876"/>
      <c r="W1315" s="859">
        <f>CHSHTAData!AQ39</f>
        <v>0</v>
      </c>
      <c r="X1315" s="861"/>
      <c r="Y1315" s="619"/>
      <c r="Z1315" s="610"/>
      <c r="AA1315" s="518"/>
      <c r="AB1315" s="518"/>
      <c r="AC1315" s="518"/>
      <c r="AD1315" s="518"/>
      <c r="AE1315" s="518"/>
      <c r="AF1315" s="529"/>
      <c r="AG1315" s="529"/>
      <c r="AH1315" s="529"/>
      <c r="AJ1315" s="595" t="b">
        <f t="shared" si="31"/>
        <v>0</v>
      </c>
    </row>
    <row r="1316" spans="1:36" hidden="1" x14ac:dyDescent="0.45">
      <c r="A1316" s="518"/>
      <c r="B1316" s="514" t="s">
        <v>152</v>
      </c>
      <c r="C1316" s="535"/>
      <c r="D1316" s="535"/>
      <c r="E1316" s="535"/>
      <c r="F1316" s="535"/>
      <c r="G1316" s="886" t="str">
        <f>IF(CHSHTAData!T40=0,"",CHSHTAData!T40)</f>
        <v/>
      </c>
      <c r="H1316" s="887"/>
      <c r="I1316" s="888">
        <f>CHSHTAData!AM40</f>
        <v>0</v>
      </c>
      <c r="J1316" s="889"/>
      <c r="K1316" s="874">
        <f>CHSHTAData!AN40</f>
        <v>0</v>
      </c>
      <c r="L1316" s="875"/>
      <c r="M1316" s="875"/>
      <c r="N1316" s="876"/>
      <c r="O1316" s="874">
        <f>CHSHTAData!AO40</f>
        <v>0</v>
      </c>
      <c r="P1316" s="875"/>
      <c r="Q1316" s="875"/>
      <c r="R1316" s="876"/>
      <c r="S1316" s="874">
        <f t="shared" si="30"/>
        <v>0</v>
      </c>
      <c r="T1316" s="875"/>
      <c r="U1316" s="875"/>
      <c r="V1316" s="876"/>
      <c r="W1316" s="859">
        <f>CHSHTAData!AQ40</f>
        <v>0</v>
      </c>
      <c r="X1316" s="861"/>
      <c r="Y1316" s="619"/>
      <c r="Z1316" s="610"/>
      <c r="AA1316" s="518"/>
      <c r="AB1316" s="518"/>
      <c r="AC1316" s="518"/>
      <c r="AD1316" s="518"/>
      <c r="AE1316" s="518"/>
      <c r="AF1316" s="529"/>
      <c r="AG1316" s="529"/>
      <c r="AH1316" s="529"/>
      <c r="AJ1316" s="595" t="b">
        <f t="shared" si="31"/>
        <v>0</v>
      </c>
    </row>
    <row r="1317" spans="1:36" hidden="1" x14ac:dyDescent="0.45">
      <c r="A1317" s="518"/>
      <c r="B1317" s="514" t="s">
        <v>1442</v>
      </c>
      <c r="C1317" s="535"/>
      <c r="D1317" s="535"/>
      <c r="E1317" s="535"/>
      <c r="F1317" s="535"/>
      <c r="G1317" s="886" t="str">
        <f>IF(CHSHTAData!T41=0,"",CHSHTAData!T41)</f>
        <v/>
      </c>
      <c r="H1317" s="887"/>
      <c r="I1317" s="888">
        <f>CHSHTAData!AM41</f>
        <v>0</v>
      </c>
      <c r="J1317" s="889"/>
      <c r="K1317" s="874">
        <f>CHSHTAData!AN41</f>
        <v>0</v>
      </c>
      <c r="L1317" s="875"/>
      <c r="M1317" s="875"/>
      <c r="N1317" s="876"/>
      <c r="O1317" s="874">
        <f>CHSHTAData!AO41</f>
        <v>0</v>
      </c>
      <c r="P1317" s="875"/>
      <c r="Q1317" s="875"/>
      <c r="R1317" s="876"/>
      <c r="S1317" s="874">
        <f t="shared" si="30"/>
        <v>0</v>
      </c>
      <c r="T1317" s="875"/>
      <c r="U1317" s="875"/>
      <c r="V1317" s="876"/>
      <c r="W1317" s="859">
        <f>CHSHTAData!AQ41</f>
        <v>0</v>
      </c>
      <c r="X1317" s="861"/>
      <c r="Y1317" s="619"/>
      <c r="Z1317" s="610"/>
      <c r="AA1317" s="518"/>
      <c r="AB1317" s="518"/>
      <c r="AC1317" s="518"/>
      <c r="AD1317" s="518"/>
      <c r="AE1317" s="518"/>
      <c r="AF1317" s="529"/>
      <c r="AG1317" s="529"/>
      <c r="AH1317" s="529"/>
      <c r="AJ1317" s="595" t="b">
        <f t="shared" si="31"/>
        <v>0</v>
      </c>
    </row>
    <row r="1318" spans="1:36" hidden="1" x14ac:dyDescent="0.45">
      <c r="A1318" s="518"/>
      <c r="B1318" s="514" t="s">
        <v>1443</v>
      </c>
      <c r="C1318" s="535"/>
      <c r="D1318" s="535"/>
      <c r="E1318" s="535"/>
      <c r="F1318" s="535"/>
      <c r="G1318" s="886" t="str">
        <f>IF(CHSHTAData!T42=0,"",CHSHTAData!T42)</f>
        <v/>
      </c>
      <c r="H1318" s="887"/>
      <c r="I1318" s="888">
        <f>CHSHTAData!AM42</f>
        <v>0</v>
      </c>
      <c r="J1318" s="889"/>
      <c r="K1318" s="874">
        <f>CHSHTAData!AN42</f>
        <v>0</v>
      </c>
      <c r="L1318" s="875"/>
      <c r="M1318" s="875"/>
      <c r="N1318" s="876"/>
      <c r="O1318" s="874">
        <f>CHSHTAData!AO42</f>
        <v>0</v>
      </c>
      <c r="P1318" s="875"/>
      <c r="Q1318" s="875"/>
      <c r="R1318" s="876"/>
      <c r="S1318" s="874">
        <f t="shared" si="30"/>
        <v>0</v>
      </c>
      <c r="T1318" s="875"/>
      <c r="U1318" s="875"/>
      <c r="V1318" s="876"/>
      <c r="W1318" s="859">
        <f>CHSHTAData!AQ42</f>
        <v>0</v>
      </c>
      <c r="X1318" s="861"/>
      <c r="Y1318" s="619"/>
      <c r="Z1318" s="610"/>
      <c r="AA1318" s="518"/>
      <c r="AB1318" s="518"/>
      <c r="AC1318" s="518"/>
      <c r="AD1318" s="518"/>
      <c r="AE1318" s="518"/>
      <c r="AF1318" s="529"/>
      <c r="AG1318" s="529"/>
      <c r="AH1318" s="529"/>
      <c r="AJ1318" s="595" t="b">
        <f t="shared" si="31"/>
        <v>0</v>
      </c>
    </row>
    <row r="1319" spans="1:36" hidden="1" x14ac:dyDescent="0.45">
      <c r="A1319" s="518"/>
      <c r="B1319" s="514" t="s">
        <v>1444</v>
      </c>
      <c r="C1319" s="535"/>
      <c r="D1319" s="535"/>
      <c r="E1319" s="535"/>
      <c r="F1319" s="535"/>
      <c r="G1319" s="886" t="str">
        <f>IF(CHSHTAData!T43=0,"",CHSHTAData!T43)</f>
        <v/>
      </c>
      <c r="H1319" s="887"/>
      <c r="I1319" s="888">
        <f>CHSHTAData!AM43</f>
        <v>0</v>
      </c>
      <c r="J1319" s="889"/>
      <c r="K1319" s="874">
        <f>CHSHTAData!AN43</f>
        <v>0</v>
      </c>
      <c r="L1319" s="875"/>
      <c r="M1319" s="875"/>
      <c r="N1319" s="876"/>
      <c r="O1319" s="874">
        <f>CHSHTAData!AO43</f>
        <v>0</v>
      </c>
      <c r="P1319" s="875"/>
      <c r="Q1319" s="875"/>
      <c r="R1319" s="876"/>
      <c r="S1319" s="874">
        <f t="shared" si="30"/>
        <v>0</v>
      </c>
      <c r="T1319" s="875"/>
      <c r="U1319" s="875"/>
      <c r="V1319" s="876"/>
      <c r="W1319" s="859">
        <f>CHSHTAData!AQ43</f>
        <v>0</v>
      </c>
      <c r="X1319" s="861"/>
      <c r="Y1319" s="619"/>
      <c r="Z1319" s="610"/>
      <c r="AA1319" s="518"/>
      <c r="AB1319" s="518"/>
      <c r="AC1319" s="518"/>
      <c r="AD1319" s="518"/>
      <c r="AE1319" s="518"/>
      <c r="AF1319" s="529"/>
      <c r="AG1319" s="529"/>
      <c r="AH1319" s="529"/>
      <c r="AJ1319" s="595" t="b">
        <f t="shared" si="31"/>
        <v>0</v>
      </c>
    </row>
    <row r="1320" spans="1:36" hidden="1" x14ac:dyDescent="0.45">
      <c r="A1320" s="518"/>
      <c r="B1320" s="514" t="s">
        <v>1445</v>
      </c>
      <c r="C1320" s="535"/>
      <c r="D1320" s="535"/>
      <c r="E1320" s="535"/>
      <c r="F1320" s="535"/>
      <c r="G1320" s="886" t="str">
        <f>IF(CHSHTAData!T44=0,"",CHSHTAData!T44)</f>
        <v/>
      </c>
      <c r="H1320" s="887"/>
      <c r="I1320" s="888">
        <f>CHSHTAData!AM44</f>
        <v>0</v>
      </c>
      <c r="J1320" s="889"/>
      <c r="K1320" s="874">
        <f>CHSHTAData!AN44</f>
        <v>0</v>
      </c>
      <c r="L1320" s="875"/>
      <c r="M1320" s="875"/>
      <c r="N1320" s="876"/>
      <c r="O1320" s="874">
        <f>CHSHTAData!AO44</f>
        <v>0</v>
      </c>
      <c r="P1320" s="875"/>
      <c r="Q1320" s="875"/>
      <c r="R1320" s="876"/>
      <c r="S1320" s="874">
        <f t="shared" si="30"/>
        <v>0</v>
      </c>
      <c r="T1320" s="875"/>
      <c r="U1320" s="875"/>
      <c r="V1320" s="876"/>
      <c r="W1320" s="859">
        <f>CHSHTAData!AQ44</f>
        <v>0</v>
      </c>
      <c r="X1320" s="861"/>
      <c r="Y1320" s="619"/>
      <c r="Z1320" s="610"/>
      <c r="AA1320" s="518"/>
      <c r="AB1320" s="518"/>
      <c r="AC1320" s="518"/>
      <c r="AD1320" s="518"/>
      <c r="AE1320" s="518"/>
      <c r="AF1320" s="529"/>
      <c r="AG1320" s="529"/>
      <c r="AH1320" s="529"/>
      <c r="AJ1320" s="595" t="b">
        <f t="shared" si="31"/>
        <v>0</v>
      </c>
    </row>
    <row r="1321" spans="1:36" hidden="1" x14ac:dyDescent="0.45">
      <c r="A1321" s="518"/>
      <c r="B1321" s="514" t="s">
        <v>1446</v>
      </c>
      <c r="C1321" s="535"/>
      <c r="D1321" s="535"/>
      <c r="E1321" s="535"/>
      <c r="F1321" s="535"/>
      <c r="G1321" s="886" t="str">
        <f>IF(CHSHTAData!T45=0,"",CHSHTAData!T45)</f>
        <v/>
      </c>
      <c r="H1321" s="887"/>
      <c r="I1321" s="888">
        <f>CHSHTAData!AM45</f>
        <v>0</v>
      </c>
      <c r="J1321" s="889"/>
      <c r="K1321" s="874">
        <f>CHSHTAData!AN45</f>
        <v>0</v>
      </c>
      <c r="L1321" s="875"/>
      <c r="M1321" s="875"/>
      <c r="N1321" s="876"/>
      <c r="O1321" s="874">
        <f>CHSHTAData!AO45</f>
        <v>0</v>
      </c>
      <c r="P1321" s="875"/>
      <c r="Q1321" s="875"/>
      <c r="R1321" s="876"/>
      <c r="S1321" s="874">
        <f t="shared" si="30"/>
        <v>0</v>
      </c>
      <c r="T1321" s="875"/>
      <c r="U1321" s="875"/>
      <c r="V1321" s="876"/>
      <c r="W1321" s="859">
        <f>CHSHTAData!AQ45</f>
        <v>0</v>
      </c>
      <c r="X1321" s="861"/>
      <c r="Y1321" s="619"/>
      <c r="Z1321" s="610"/>
      <c r="AA1321" s="518"/>
      <c r="AB1321" s="518"/>
      <c r="AC1321" s="518"/>
      <c r="AD1321" s="518"/>
      <c r="AE1321" s="518"/>
      <c r="AF1321" s="529"/>
      <c r="AG1321" s="529"/>
      <c r="AH1321" s="529"/>
      <c r="AJ1321" s="595" t="b">
        <f t="shared" si="31"/>
        <v>0</v>
      </c>
    </row>
    <row r="1322" spans="1:36" hidden="1" x14ac:dyDescent="0.45">
      <c r="B1322" s="514" t="s">
        <v>1447</v>
      </c>
      <c r="C1322" s="535"/>
      <c r="D1322" s="535"/>
      <c r="E1322" s="535"/>
      <c r="F1322" s="535"/>
      <c r="G1322" s="886" t="str">
        <f>IF(CHSHTAData!T46=0,"",CHSHTAData!T46)</f>
        <v/>
      </c>
      <c r="H1322" s="887"/>
      <c r="I1322" s="888">
        <f>CHSHTAData!AM46</f>
        <v>0</v>
      </c>
      <c r="J1322" s="889"/>
      <c r="K1322" s="874">
        <f>CHSHTAData!AN46</f>
        <v>0</v>
      </c>
      <c r="L1322" s="875"/>
      <c r="M1322" s="875"/>
      <c r="N1322" s="876"/>
      <c r="O1322" s="874">
        <f>CHSHTAData!AO46</f>
        <v>0</v>
      </c>
      <c r="P1322" s="875"/>
      <c r="Q1322" s="875"/>
      <c r="R1322" s="876"/>
      <c r="S1322" s="874">
        <f t="shared" si="30"/>
        <v>0</v>
      </c>
      <c r="T1322" s="875"/>
      <c r="U1322" s="875"/>
      <c r="V1322" s="876"/>
      <c r="W1322" s="859">
        <f>CHSHTAData!AQ46</f>
        <v>0</v>
      </c>
      <c r="X1322" s="861"/>
      <c r="Y1322" s="619"/>
      <c r="Z1322" s="610"/>
      <c r="AA1322" s="518"/>
      <c r="AB1322" s="518"/>
      <c r="AC1322" s="518"/>
      <c r="AD1322" s="518"/>
      <c r="AE1322" s="518"/>
      <c r="AF1322" s="529"/>
      <c r="AG1322" s="529"/>
      <c r="AH1322" s="518"/>
      <c r="AJ1322" s="595" t="b">
        <f t="shared" si="31"/>
        <v>0</v>
      </c>
    </row>
    <row r="1323" spans="1:36" hidden="1" x14ac:dyDescent="0.45">
      <c r="B1323" s="514" t="s">
        <v>1448</v>
      </c>
      <c r="C1323" s="535"/>
      <c r="D1323" s="535"/>
      <c r="E1323" s="535"/>
      <c r="F1323" s="535"/>
      <c r="G1323" s="886" t="str">
        <f>IF(CHSHTAData!T47=0,"",CHSHTAData!T47)</f>
        <v/>
      </c>
      <c r="H1323" s="887"/>
      <c r="I1323" s="888">
        <f>CHSHTAData!AM47</f>
        <v>0</v>
      </c>
      <c r="J1323" s="889"/>
      <c r="K1323" s="874">
        <f>CHSHTAData!AN47</f>
        <v>0</v>
      </c>
      <c r="L1323" s="875"/>
      <c r="M1323" s="875"/>
      <c r="N1323" s="876"/>
      <c r="O1323" s="874">
        <f>CHSHTAData!AO47</f>
        <v>0</v>
      </c>
      <c r="P1323" s="875"/>
      <c r="Q1323" s="875"/>
      <c r="R1323" s="876"/>
      <c r="S1323" s="874">
        <f t="shared" si="30"/>
        <v>0</v>
      </c>
      <c r="T1323" s="875"/>
      <c r="U1323" s="875"/>
      <c r="V1323" s="876"/>
      <c r="W1323" s="859">
        <f>CHSHTAData!AQ47</f>
        <v>0</v>
      </c>
      <c r="X1323" s="861"/>
      <c r="Y1323" s="619"/>
      <c r="Z1323" s="610"/>
      <c r="AA1323" s="518"/>
      <c r="AB1323" s="518"/>
      <c r="AC1323" s="518"/>
      <c r="AD1323" s="518"/>
      <c r="AE1323" s="518"/>
      <c r="AF1323" s="529"/>
      <c r="AG1323" s="529"/>
      <c r="AH1323" s="518"/>
      <c r="AJ1323" s="595" t="b">
        <f t="shared" si="31"/>
        <v>0</v>
      </c>
    </row>
    <row r="1324" spans="1:36" hidden="1" x14ac:dyDescent="0.45">
      <c r="B1324" s="514" t="s">
        <v>1449</v>
      </c>
      <c r="C1324" s="535"/>
      <c r="D1324" s="535"/>
      <c r="E1324" s="535"/>
      <c r="F1324" s="535"/>
      <c r="G1324" s="886" t="str">
        <f>IF(CHSHTAData!T48=0,"",CHSHTAData!T48)</f>
        <v/>
      </c>
      <c r="H1324" s="887"/>
      <c r="I1324" s="888">
        <f>CHSHTAData!AM48</f>
        <v>0</v>
      </c>
      <c r="J1324" s="889"/>
      <c r="K1324" s="874">
        <f>CHSHTAData!AN48</f>
        <v>0</v>
      </c>
      <c r="L1324" s="875"/>
      <c r="M1324" s="875"/>
      <c r="N1324" s="876"/>
      <c r="O1324" s="874">
        <f>CHSHTAData!AO48</f>
        <v>0</v>
      </c>
      <c r="P1324" s="875"/>
      <c r="Q1324" s="875"/>
      <c r="R1324" s="876"/>
      <c r="S1324" s="874">
        <f t="shared" si="30"/>
        <v>0</v>
      </c>
      <c r="T1324" s="875"/>
      <c r="U1324" s="875"/>
      <c r="V1324" s="876"/>
      <c r="W1324" s="859">
        <f>CHSHTAData!AQ48</f>
        <v>0</v>
      </c>
      <c r="X1324" s="861"/>
      <c r="Y1324" s="619"/>
      <c r="Z1324" s="610"/>
      <c r="AA1324" s="518"/>
      <c r="AB1324" s="518"/>
      <c r="AC1324" s="518"/>
      <c r="AD1324" s="518"/>
      <c r="AE1324" s="518"/>
      <c r="AF1324" s="529"/>
      <c r="AG1324" s="529"/>
      <c r="AH1324" s="518"/>
      <c r="AJ1324" s="595" t="b">
        <f t="shared" si="31"/>
        <v>0</v>
      </c>
    </row>
    <row r="1325" spans="1:36" hidden="1" x14ac:dyDescent="0.45">
      <c r="B1325" s="514" t="s">
        <v>1450</v>
      </c>
      <c r="C1325" s="535"/>
      <c r="D1325" s="535"/>
      <c r="E1325" s="535"/>
      <c r="F1325" s="535"/>
      <c r="G1325" s="886" t="str">
        <f>IF(CHSHTAData!T49=0,"",CHSHTAData!T49)</f>
        <v/>
      </c>
      <c r="H1325" s="887"/>
      <c r="I1325" s="888">
        <f>CHSHTAData!AM49</f>
        <v>0</v>
      </c>
      <c r="J1325" s="889"/>
      <c r="K1325" s="874">
        <f>CHSHTAData!AN49</f>
        <v>0</v>
      </c>
      <c r="L1325" s="875"/>
      <c r="M1325" s="875"/>
      <c r="N1325" s="876"/>
      <c r="O1325" s="874">
        <f>CHSHTAData!AO49</f>
        <v>0</v>
      </c>
      <c r="P1325" s="875"/>
      <c r="Q1325" s="875"/>
      <c r="R1325" s="876"/>
      <c r="S1325" s="874">
        <f t="shared" si="30"/>
        <v>0</v>
      </c>
      <c r="T1325" s="875"/>
      <c r="U1325" s="875"/>
      <c r="V1325" s="876"/>
      <c r="W1325" s="859">
        <f>CHSHTAData!AQ49</f>
        <v>0</v>
      </c>
      <c r="X1325" s="861"/>
      <c r="Y1325" s="619"/>
      <c r="Z1325" s="610"/>
      <c r="AA1325" s="518"/>
      <c r="AB1325" s="518"/>
      <c r="AC1325" s="518"/>
      <c r="AD1325" s="518"/>
      <c r="AE1325" s="518"/>
      <c r="AF1325" s="529"/>
      <c r="AG1325" s="529"/>
      <c r="AH1325" s="518"/>
      <c r="AJ1325" s="595" t="b">
        <f t="shared" si="31"/>
        <v>0</v>
      </c>
    </row>
    <row r="1326" spans="1:36" hidden="1" x14ac:dyDescent="0.45">
      <c r="B1326" s="514" t="s">
        <v>1451</v>
      </c>
      <c r="C1326" s="535"/>
      <c r="D1326" s="535"/>
      <c r="E1326" s="535"/>
      <c r="F1326" s="535"/>
      <c r="G1326" s="886" t="str">
        <f>IF(CHSHTAData!T50=0,"",CHSHTAData!T50)</f>
        <v/>
      </c>
      <c r="H1326" s="887"/>
      <c r="I1326" s="888">
        <f>CHSHTAData!AM50</f>
        <v>0</v>
      </c>
      <c r="J1326" s="889"/>
      <c r="K1326" s="874">
        <f>CHSHTAData!AN50</f>
        <v>0</v>
      </c>
      <c r="L1326" s="875"/>
      <c r="M1326" s="875"/>
      <c r="N1326" s="876"/>
      <c r="O1326" s="874">
        <f>CHSHTAData!AO50</f>
        <v>0</v>
      </c>
      <c r="P1326" s="875"/>
      <c r="Q1326" s="875"/>
      <c r="R1326" s="876"/>
      <c r="S1326" s="874">
        <f t="shared" si="30"/>
        <v>0</v>
      </c>
      <c r="T1326" s="875"/>
      <c r="U1326" s="875"/>
      <c r="V1326" s="876"/>
      <c r="W1326" s="859">
        <f>CHSHTAData!AQ50</f>
        <v>0</v>
      </c>
      <c r="X1326" s="861"/>
      <c r="Y1326" s="619"/>
      <c r="Z1326" s="610"/>
      <c r="AA1326" s="518"/>
      <c r="AB1326" s="518"/>
      <c r="AC1326" s="518"/>
      <c r="AD1326" s="518"/>
      <c r="AE1326" s="518"/>
      <c r="AF1326" s="529"/>
      <c r="AG1326" s="529"/>
      <c r="AH1326" s="518"/>
      <c r="AJ1326" s="595" t="b">
        <f t="shared" si="31"/>
        <v>0</v>
      </c>
    </row>
    <row r="1327" spans="1:36" hidden="1" x14ac:dyDescent="0.45">
      <c r="B1327" s="514" t="s">
        <v>1452</v>
      </c>
      <c r="C1327" s="535"/>
      <c r="D1327" s="535"/>
      <c r="E1327" s="535"/>
      <c r="F1327" s="535"/>
      <c r="G1327" s="886" t="str">
        <f>IF(CHSHTAData!T51=0,"",CHSHTAData!T51)</f>
        <v/>
      </c>
      <c r="H1327" s="887"/>
      <c r="I1327" s="888">
        <f>CHSHTAData!AM51</f>
        <v>0</v>
      </c>
      <c r="J1327" s="889"/>
      <c r="K1327" s="874">
        <f>CHSHTAData!AN51</f>
        <v>0</v>
      </c>
      <c r="L1327" s="875"/>
      <c r="M1327" s="875"/>
      <c r="N1327" s="876"/>
      <c r="O1327" s="874">
        <f>CHSHTAData!AO51</f>
        <v>0</v>
      </c>
      <c r="P1327" s="875"/>
      <c r="Q1327" s="875"/>
      <c r="R1327" s="876"/>
      <c r="S1327" s="874">
        <f t="shared" si="30"/>
        <v>0</v>
      </c>
      <c r="T1327" s="875"/>
      <c r="U1327" s="875"/>
      <c r="V1327" s="876"/>
      <c r="W1327" s="859">
        <f>CHSHTAData!AQ51</f>
        <v>0</v>
      </c>
      <c r="X1327" s="861"/>
      <c r="Y1327" s="619"/>
      <c r="Z1327" s="610"/>
      <c r="AA1327" s="518"/>
      <c r="AB1327" s="518"/>
      <c r="AC1327" s="518"/>
      <c r="AD1327" s="518"/>
      <c r="AE1327" s="518"/>
      <c r="AF1327" s="529"/>
      <c r="AG1327" s="529"/>
      <c r="AH1327" s="518"/>
      <c r="AJ1327" s="595" t="b">
        <f t="shared" si="31"/>
        <v>0</v>
      </c>
    </row>
    <row r="1328" spans="1:36" hidden="1" x14ac:dyDescent="0.45">
      <c r="B1328" s="514" t="s">
        <v>1453</v>
      </c>
      <c r="C1328" s="535"/>
      <c r="D1328" s="535"/>
      <c r="E1328" s="535"/>
      <c r="F1328" s="535"/>
      <c r="G1328" s="886" t="str">
        <f>IF(CHSHTAData!T52=0,"",CHSHTAData!T52)</f>
        <v/>
      </c>
      <c r="H1328" s="887"/>
      <c r="I1328" s="888">
        <f>CHSHTAData!AM52</f>
        <v>0</v>
      </c>
      <c r="J1328" s="889"/>
      <c r="K1328" s="874">
        <f>CHSHTAData!AN52</f>
        <v>0</v>
      </c>
      <c r="L1328" s="875"/>
      <c r="M1328" s="875"/>
      <c r="N1328" s="876"/>
      <c r="O1328" s="874">
        <f>CHSHTAData!AO52</f>
        <v>0</v>
      </c>
      <c r="P1328" s="875"/>
      <c r="Q1328" s="875"/>
      <c r="R1328" s="876"/>
      <c r="S1328" s="874">
        <f t="shared" si="30"/>
        <v>0</v>
      </c>
      <c r="T1328" s="875"/>
      <c r="U1328" s="875"/>
      <c r="V1328" s="876"/>
      <c r="W1328" s="859">
        <f>CHSHTAData!AQ52</f>
        <v>0</v>
      </c>
      <c r="X1328" s="861"/>
      <c r="Y1328" s="619"/>
      <c r="Z1328" s="610"/>
      <c r="AA1328" s="518"/>
      <c r="AB1328" s="518"/>
      <c r="AC1328" s="518"/>
      <c r="AD1328" s="518"/>
      <c r="AE1328" s="518"/>
      <c r="AF1328" s="529"/>
      <c r="AG1328" s="529"/>
      <c r="AH1328" s="518"/>
      <c r="AJ1328" s="595" t="b">
        <f t="shared" si="31"/>
        <v>0</v>
      </c>
    </row>
    <row r="1329" spans="1:36" hidden="1" x14ac:dyDescent="0.45">
      <c r="B1329" s="514" t="s">
        <v>1454</v>
      </c>
      <c r="C1329" s="535"/>
      <c r="D1329" s="535"/>
      <c r="E1329" s="535"/>
      <c r="F1329" s="535"/>
      <c r="G1329" s="886" t="str">
        <f>IF(CHSHTAData!T53=0,"",CHSHTAData!T53)</f>
        <v/>
      </c>
      <c r="H1329" s="887"/>
      <c r="I1329" s="888">
        <f>CHSHTAData!AM53</f>
        <v>0</v>
      </c>
      <c r="J1329" s="889"/>
      <c r="K1329" s="874">
        <f>CHSHTAData!AN53</f>
        <v>0</v>
      </c>
      <c r="L1329" s="875"/>
      <c r="M1329" s="875"/>
      <c r="N1329" s="876"/>
      <c r="O1329" s="874">
        <f>CHSHTAData!AO53</f>
        <v>0</v>
      </c>
      <c r="P1329" s="875"/>
      <c r="Q1329" s="875"/>
      <c r="R1329" s="876"/>
      <c r="S1329" s="874">
        <f t="shared" si="30"/>
        <v>0</v>
      </c>
      <c r="T1329" s="875"/>
      <c r="U1329" s="875"/>
      <c r="V1329" s="876"/>
      <c r="W1329" s="859">
        <f>CHSHTAData!AQ53</f>
        <v>0</v>
      </c>
      <c r="X1329" s="861"/>
      <c r="Y1329" s="619"/>
      <c r="Z1329" s="610"/>
      <c r="AA1329" s="518"/>
      <c r="AB1329" s="518"/>
      <c r="AC1329" s="518"/>
      <c r="AD1329" s="518"/>
      <c r="AE1329" s="518"/>
      <c r="AF1329" s="529"/>
      <c r="AG1329" s="529"/>
      <c r="AH1329" s="518"/>
      <c r="AJ1329" s="595" t="b">
        <f t="shared" si="31"/>
        <v>0</v>
      </c>
    </row>
    <row r="1330" spans="1:36" hidden="1" x14ac:dyDescent="0.45">
      <c r="B1330" s="514" t="s">
        <v>1455</v>
      </c>
      <c r="C1330" s="535"/>
      <c r="D1330" s="535"/>
      <c r="E1330" s="535"/>
      <c r="F1330" s="535"/>
      <c r="G1330" s="886" t="str">
        <f>IF(CHSHTAData!T54=0,"",CHSHTAData!T54)</f>
        <v/>
      </c>
      <c r="H1330" s="887"/>
      <c r="I1330" s="888">
        <f>CHSHTAData!AM54</f>
        <v>0</v>
      </c>
      <c r="J1330" s="889"/>
      <c r="K1330" s="874">
        <f>CHSHTAData!AN54</f>
        <v>0</v>
      </c>
      <c r="L1330" s="875"/>
      <c r="M1330" s="875"/>
      <c r="N1330" s="876"/>
      <c r="O1330" s="874">
        <f>CHSHTAData!AO54</f>
        <v>0</v>
      </c>
      <c r="P1330" s="875"/>
      <c r="Q1330" s="875"/>
      <c r="R1330" s="876"/>
      <c r="S1330" s="874">
        <f t="shared" si="30"/>
        <v>0</v>
      </c>
      <c r="T1330" s="875"/>
      <c r="U1330" s="875"/>
      <c r="V1330" s="876"/>
      <c r="W1330" s="859">
        <f>CHSHTAData!AQ54</f>
        <v>0</v>
      </c>
      <c r="X1330" s="861"/>
      <c r="Y1330" s="619"/>
      <c r="Z1330" s="610"/>
      <c r="AA1330" s="518"/>
      <c r="AB1330" s="518"/>
      <c r="AC1330" s="518"/>
      <c r="AD1330" s="518"/>
      <c r="AE1330" s="518"/>
      <c r="AF1330" s="529"/>
      <c r="AG1330" s="529"/>
      <c r="AH1330" s="518"/>
      <c r="AJ1330" s="595" t="b">
        <f t="shared" si="31"/>
        <v>0</v>
      </c>
    </row>
    <row r="1331" spans="1:36" hidden="1" x14ac:dyDescent="0.45">
      <c r="B1331" s="514" t="s">
        <v>1456</v>
      </c>
      <c r="C1331" s="535"/>
      <c r="D1331" s="535"/>
      <c r="E1331" s="535"/>
      <c r="F1331" s="535"/>
      <c r="G1331" s="886" t="str">
        <f>IF(CHSHTAData!T55=0,"",CHSHTAData!T55)</f>
        <v/>
      </c>
      <c r="H1331" s="887"/>
      <c r="I1331" s="888">
        <f>CHSHTAData!AM55</f>
        <v>0</v>
      </c>
      <c r="J1331" s="889"/>
      <c r="K1331" s="874">
        <f>CHSHTAData!AN55</f>
        <v>0</v>
      </c>
      <c r="L1331" s="875"/>
      <c r="M1331" s="875"/>
      <c r="N1331" s="876"/>
      <c r="O1331" s="874">
        <f>CHSHTAData!AO55</f>
        <v>0</v>
      </c>
      <c r="P1331" s="875"/>
      <c r="Q1331" s="875"/>
      <c r="R1331" s="876"/>
      <c r="S1331" s="874">
        <f t="shared" si="30"/>
        <v>0</v>
      </c>
      <c r="T1331" s="875"/>
      <c r="U1331" s="875"/>
      <c r="V1331" s="876"/>
      <c r="W1331" s="859">
        <f>CHSHTAData!AQ55</f>
        <v>0</v>
      </c>
      <c r="X1331" s="861"/>
      <c r="Y1331" s="619"/>
      <c r="Z1331" s="610"/>
      <c r="AA1331" s="518"/>
      <c r="AB1331" s="518"/>
      <c r="AC1331" s="518"/>
      <c r="AD1331" s="518"/>
      <c r="AE1331" s="518"/>
      <c r="AF1331" s="529"/>
      <c r="AG1331" s="529"/>
      <c r="AH1331" s="518"/>
      <c r="AJ1331" s="595" t="b">
        <f t="shared" si="31"/>
        <v>0</v>
      </c>
    </row>
    <row r="1332" spans="1:36" hidden="1" x14ac:dyDescent="0.45">
      <c r="B1332" s="514" t="s">
        <v>1457</v>
      </c>
      <c r="C1332" s="535"/>
      <c r="D1332" s="535"/>
      <c r="E1332" s="535"/>
      <c r="F1332" s="535"/>
      <c r="G1332" s="886" t="str">
        <f>IF(CHSHTAData!T56=0,"",CHSHTAData!T56)</f>
        <v/>
      </c>
      <c r="H1332" s="887"/>
      <c r="I1332" s="888">
        <f>CHSHTAData!AM56</f>
        <v>0</v>
      </c>
      <c r="J1332" s="889"/>
      <c r="K1332" s="874">
        <f>CHSHTAData!AN56</f>
        <v>0</v>
      </c>
      <c r="L1332" s="875"/>
      <c r="M1332" s="875"/>
      <c r="N1332" s="876"/>
      <c r="O1332" s="874">
        <f>CHSHTAData!AO56</f>
        <v>0</v>
      </c>
      <c r="P1332" s="875"/>
      <c r="Q1332" s="875"/>
      <c r="R1332" s="876"/>
      <c r="S1332" s="874">
        <f t="shared" si="30"/>
        <v>0</v>
      </c>
      <c r="T1332" s="875"/>
      <c r="U1332" s="875"/>
      <c r="V1332" s="876"/>
      <c r="W1332" s="859">
        <f>CHSHTAData!AQ56</f>
        <v>0</v>
      </c>
      <c r="X1332" s="861"/>
      <c r="Y1332" s="619"/>
      <c r="Z1332" s="610"/>
      <c r="AA1332" s="518"/>
      <c r="AB1332" s="518"/>
      <c r="AC1332" s="518"/>
      <c r="AD1332" s="518"/>
      <c r="AE1332" s="518"/>
      <c r="AF1332" s="529"/>
      <c r="AG1332" s="529"/>
      <c r="AH1332" s="518"/>
      <c r="AJ1332" s="595" t="b">
        <f t="shared" si="31"/>
        <v>0</v>
      </c>
    </row>
    <row r="1333" spans="1:36" hidden="1" x14ac:dyDescent="0.45">
      <c r="B1333" s="514" t="s">
        <v>1458</v>
      </c>
      <c r="C1333" s="535"/>
      <c r="D1333" s="535"/>
      <c r="E1333" s="535"/>
      <c r="F1333" s="535"/>
      <c r="G1333" s="886" t="str">
        <f>IF(CHSHTAData!T57=0,"",CHSHTAData!T57)</f>
        <v/>
      </c>
      <c r="H1333" s="887"/>
      <c r="I1333" s="888">
        <f>CHSHTAData!AM57</f>
        <v>0</v>
      </c>
      <c r="J1333" s="889"/>
      <c r="K1333" s="874">
        <f>CHSHTAData!AN57</f>
        <v>0</v>
      </c>
      <c r="L1333" s="875"/>
      <c r="M1333" s="875"/>
      <c r="N1333" s="876"/>
      <c r="O1333" s="874">
        <f>CHSHTAData!AO57</f>
        <v>0</v>
      </c>
      <c r="P1333" s="875"/>
      <c r="Q1333" s="875"/>
      <c r="R1333" s="876"/>
      <c r="S1333" s="874">
        <f t="shared" si="30"/>
        <v>0</v>
      </c>
      <c r="T1333" s="875"/>
      <c r="U1333" s="875"/>
      <c r="V1333" s="876"/>
      <c r="W1333" s="859">
        <f>CHSHTAData!AQ57</f>
        <v>0</v>
      </c>
      <c r="X1333" s="861"/>
      <c r="Y1333" s="619"/>
      <c r="Z1333" s="610"/>
      <c r="AA1333" s="518"/>
      <c r="AB1333" s="518"/>
      <c r="AC1333" s="518"/>
      <c r="AD1333" s="518"/>
      <c r="AE1333" s="518"/>
      <c r="AF1333" s="529"/>
      <c r="AG1333" s="529"/>
      <c r="AH1333" s="518"/>
      <c r="AJ1333" s="595" t="b">
        <f t="shared" si="31"/>
        <v>0</v>
      </c>
    </row>
    <row r="1334" spans="1:36" hidden="1" x14ac:dyDescent="0.45">
      <c r="B1334" s="514" t="s">
        <v>1459</v>
      </c>
      <c r="C1334" s="535"/>
      <c r="D1334" s="535"/>
      <c r="E1334" s="535"/>
      <c r="F1334" s="535"/>
      <c r="G1334" s="886" t="str">
        <f>IF(CHSHTAData!T58=0,"",CHSHTAData!T58)</f>
        <v/>
      </c>
      <c r="H1334" s="887"/>
      <c r="I1334" s="888">
        <f>CHSHTAData!AM58</f>
        <v>0</v>
      </c>
      <c r="J1334" s="889"/>
      <c r="K1334" s="874">
        <f>CHSHTAData!AN58</f>
        <v>0</v>
      </c>
      <c r="L1334" s="875"/>
      <c r="M1334" s="875"/>
      <c r="N1334" s="876"/>
      <c r="O1334" s="874">
        <f>CHSHTAData!AO58</f>
        <v>0</v>
      </c>
      <c r="P1334" s="875"/>
      <c r="Q1334" s="875"/>
      <c r="R1334" s="876"/>
      <c r="S1334" s="874">
        <f t="shared" si="30"/>
        <v>0</v>
      </c>
      <c r="T1334" s="875"/>
      <c r="U1334" s="875"/>
      <c r="V1334" s="876"/>
      <c r="W1334" s="859">
        <f>CHSHTAData!AQ58</f>
        <v>0</v>
      </c>
      <c r="X1334" s="861"/>
      <c r="Y1334" s="619"/>
      <c r="Z1334" s="610"/>
      <c r="AA1334" s="518"/>
      <c r="AB1334" s="518"/>
      <c r="AC1334" s="518"/>
      <c r="AD1334" s="518"/>
      <c r="AE1334" s="518"/>
      <c r="AF1334" s="529"/>
      <c r="AG1334" s="529"/>
      <c r="AH1334" s="518"/>
      <c r="AJ1334" s="595" t="b">
        <f t="shared" si="31"/>
        <v>0</v>
      </c>
    </row>
    <row r="1335" spans="1:36" hidden="1" x14ac:dyDescent="0.45">
      <c r="A1335" s="518"/>
      <c r="B1335" s="514" t="s">
        <v>1460</v>
      </c>
      <c r="C1335" s="535"/>
      <c r="D1335" s="535"/>
      <c r="E1335" s="535"/>
      <c r="F1335" s="535"/>
      <c r="G1335" s="886" t="str">
        <f>IF(CHSHTAData!T59=0,"",CHSHTAData!T59)</f>
        <v/>
      </c>
      <c r="H1335" s="887"/>
      <c r="I1335" s="888">
        <f>CHSHTAData!AM59</f>
        <v>0</v>
      </c>
      <c r="J1335" s="889"/>
      <c r="K1335" s="874">
        <f>CHSHTAData!AN59</f>
        <v>0</v>
      </c>
      <c r="L1335" s="875"/>
      <c r="M1335" s="875"/>
      <c r="N1335" s="876"/>
      <c r="O1335" s="874">
        <f>CHSHTAData!AO59</f>
        <v>0</v>
      </c>
      <c r="P1335" s="875"/>
      <c r="Q1335" s="875"/>
      <c r="R1335" s="876"/>
      <c r="S1335" s="874">
        <f t="shared" si="30"/>
        <v>0</v>
      </c>
      <c r="T1335" s="875"/>
      <c r="U1335" s="875"/>
      <c r="V1335" s="876"/>
      <c r="W1335" s="859">
        <f>CHSHTAData!AQ59</f>
        <v>0</v>
      </c>
      <c r="X1335" s="861"/>
      <c r="Y1335" s="619"/>
      <c r="Z1335" s="610"/>
      <c r="AA1335" s="518"/>
      <c r="AB1335" s="518"/>
      <c r="AC1335" s="518"/>
      <c r="AD1335" s="518"/>
      <c r="AE1335" s="518"/>
      <c r="AF1335" s="529"/>
      <c r="AG1335" s="529"/>
      <c r="AH1335" s="518"/>
      <c r="AJ1335" s="595" t="b">
        <f t="shared" si="31"/>
        <v>0</v>
      </c>
    </row>
    <row r="1336" spans="1:36" hidden="1" x14ac:dyDescent="0.45">
      <c r="A1336" s="518"/>
      <c r="B1336" s="514" t="s">
        <v>1461</v>
      </c>
      <c r="C1336" s="535"/>
      <c r="D1336" s="535"/>
      <c r="E1336" s="535"/>
      <c r="F1336" s="535"/>
      <c r="G1336" s="886" t="str">
        <f>IF(CHSHTAData!T60=0,"",CHSHTAData!T60)</f>
        <v/>
      </c>
      <c r="H1336" s="887"/>
      <c r="I1336" s="888">
        <f>CHSHTAData!AM60</f>
        <v>0</v>
      </c>
      <c r="J1336" s="889"/>
      <c r="K1336" s="874">
        <f>CHSHTAData!AN60</f>
        <v>0</v>
      </c>
      <c r="L1336" s="875"/>
      <c r="M1336" s="875"/>
      <c r="N1336" s="876"/>
      <c r="O1336" s="874">
        <f>CHSHTAData!AO60</f>
        <v>0</v>
      </c>
      <c r="P1336" s="875"/>
      <c r="Q1336" s="875"/>
      <c r="R1336" s="876"/>
      <c r="S1336" s="874">
        <f t="shared" si="30"/>
        <v>0</v>
      </c>
      <c r="T1336" s="875"/>
      <c r="U1336" s="875"/>
      <c r="V1336" s="876"/>
      <c r="W1336" s="859">
        <f>CHSHTAData!AQ60</f>
        <v>0</v>
      </c>
      <c r="X1336" s="861"/>
      <c r="Y1336" s="619"/>
      <c r="Z1336" s="610"/>
      <c r="AA1336" s="518"/>
      <c r="AB1336" s="518"/>
      <c r="AC1336" s="518"/>
      <c r="AD1336" s="518"/>
      <c r="AE1336" s="518"/>
      <c r="AF1336" s="529"/>
      <c r="AG1336" s="529"/>
      <c r="AH1336" s="518"/>
      <c r="AJ1336" s="595" t="b">
        <f t="shared" si="31"/>
        <v>0</v>
      </c>
    </row>
    <row r="1337" spans="1:36" hidden="1" x14ac:dyDescent="0.45">
      <c r="A1337" s="518"/>
      <c r="B1337" s="518"/>
      <c r="C1337" s="518"/>
      <c r="D1337" s="518"/>
      <c r="E1337" s="518"/>
      <c r="F1337" s="518"/>
      <c r="G1337" s="518"/>
      <c r="H1337" s="518"/>
      <c r="I1337" s="518"/>
      <c r="J1337" s="518"/>
      <c r="K1337" s="518"/>
      <c r="L1337" s="518"/>
      <c r="M1337" s="518"/>
      <c r="N1337" s="518"/>
      <c r="O1337" s="518"/>
      <c r="P1337" s="518"/>
      <c r="Q1337" s="518"/>
      <c r="R1337" s="518"/>
      <c r="S1337" s="518"/>
      <c r="T1337" s="518"/>
      <c r="U1337" s="518"/>
      <c r="V1337" s="518"/>
      <c r="W1337" s="518"/>
      <c r="X1337" s="518"/>
      <c r="Y1337" s="518"/>
      <c r="Z1337" s="518"/>
      <c r="AA1337" s="518"/>
      <c r="AB1337" s="518"/>
      <c r="AC1337" s="518"/>
      <c r="AD1337" s="518"/>
      <c r="AE1337" s="518"/>
      <c r="AF1337" s="518"/>
      <c r="AG1337" s="518"/>
      <c r="AH1337" s="518"/>
      <c r="AJ1337" s="595" t="b">
        <f>AJ1272</f>
        <v>0</v>
      </c>
    </row>
    <row r="1338" spans="1:36" hidden="1" x14ac:dyDescent="0.45">
      <c r="A1338" s="518"/>
      <c r="B1338" s="917" t="s">
        <v>173</v>
      </c>
      <c r="C1338" s="918"/>
      <c r="D1338" s="918"/>
      <c r="E1338" s="918"/>
      <c r="F1338" s="918"/>
      <c r="G1338" s="918"/>
      <c r="H1338" s="919">
        <f>CH_SHTA_RuralTotalRequested</f>
        <v>0</v>
      </c>
      <c r="I1338" s="920"/>
      <c r="J1338" s="920"/>
      <c r="K1338" s="920"/>
      <c r="L1338" s="920"/>
      <c r="M1338" s="920"/>
      <c r="N1338" s="921"/>
      <c r="O1338" s="518"/>
      <c r="P1338" s="518"/>
      <c r="Q1338" s="518"/>
      <c r="R1338" s="518"/>
      <c r="S1338" s="518"/>
      <c r="T1338" s="518"/>
      <c r="U1338" s="518"/>
      <c r="V1338" s="518"/>
      <c r="W1338" s="518"/>
      <c r="X1338" s="518"/>
      <c r="Y1338" s="518"/>
      <c r="Z1338" s="518"/>
      <c r="AA1338" s="518"/>
      <c r="AB1338" s="518"/>
      <c r="AC1338" s="518"/>
      <c r="AD1338" s="518"/>
      <c r="AE1338" s="518"/>
      <c r="AF1338" s="518"/>
      <c r="AG1338" s="518"/>
      <c r="AH1338" s="518"/>
      <c r="AJ1338" s="595"/>
    </row>
    <row r="1339" spans="1:36" hidden="1" x14ac:dyDescent="0.45">
      <c r="A1339" s="518"/>
      <c r="B1339" s="518"/>
      <c r="C1339" s="518"/>
      <c r="D1339" s="518"/>
      <c r="E1339" s="518"/>
      <c r="F1339" s="518"/>
      <c r="G1339" s="518"/>
      <c r="H1339" s="518"/>
      <c r="I1339" s="518"/>
      <c r="J1339" s="518"/>
      <c r="K1339" s="518"/>
      <c r="L1339" s="518"/>
      <c r="M1339" s="518"/>
      <c r="N1339" s="518"/>
      <c r="O1339" s="518"/>
      <c r="P1339" s="518"/>
      <c r="Q1339" s="518"/>
      <c r="R1339" s="518"/>
      <c r="S1339" s="518"/>
      <c r="T1339" s="518"/>
      <c r="U1339" s="518"/>
      <c r="V1339" s="518"/>
      <c r="W1339" s="518"/>
      <c r="X1339" s="518"/>
      <c r="Y1339" s="518"/>
      <c r="Z1339" s="518"/>
      <c r="AA1339" s="518"/>
      <c r="AB1339" s="518"/>
      <c r="AC1339" s="518"/>
      <c r="AD1339" s="518"/>
      <c r="AE1339" s="518"/>
      <c r="AF1339" s="518"/>
      <c r="AG1339" s="518"/>
      <c r="AH1339" s="518"/>
      <c r="AJ1339" s="595"/>
    </row>
    <row r="1340" spans="1:36" hidden="1" x14ac:dyDescent="0.45">
      <c r="A1340" s="518"/>
      <c r="B1340" s="517" t="s">
        <v>1854</v>
      </c>
      <c r="C1340" s="518"/>
      <c r="D1340" s="518"/>
      <c r="E1340" s="518"/>
      <c r="F1340" s="518"/>
      <c r="G1340" s="518"/>
      <c r="H1340" s="518"/>
      <c r="I1340" s="518"/>
      <c r="J1340" s="518"/>
      <c r="K1340" s="518"/>
      <c r="L1340" s="518"/>
      <c r="M1340" s="518"/>
      <c r="N1340" s="518"/>
      <c r="O1340" s="518"/>
      <c r="P1340" s="518"/>
      <c r="Q1340" s="518"/>
      <c r="R1340" s="518"/>
      <c r="S1340" s="518"/>
      <c r="T1340" s="518"/>
      <c r="U1340" s="518"/>
      <c r="V1340" s="518"/>
      <c r="W1340" s="518"/>
      <c r="X1340" s="518"/>
      <c r="Y1340" s="518"/>
      <c r="Z1340" s="518"/>
      <c r="AA1340" s="518"/>
      <c r="AB1340" s="518"/>
      <c r="AC1340" s="518"/>
      <c r="AD1340" s="518"/>
      <c r="AE1340" s="518"/>
      <c r="AF1340" s="518"/>
      <c r="AG1340" s="518"/>
      <c r="AH1340" s="518"/>
      <c r="AJ1340" s="595"/>
    </row>
    <row r="1341" spans="1:36" hidden="1" x14ac:dyDescent="0.45">
      <c r="A1341" s="518"/>
      <c r="B1341" s="922" t="s">
        <v>174</v>
      </c>
      <c r="C1341" s="922"/>
      <c r="D1341" s="922"/>
      <c r="E1341" s="922"/>
      <c r="F1341" s="922"/>
      <c r="G1341" s="922"/>
      <c r="H1341" s="922"/>
      <c r="I1341" s="922"/>
      <c r="J1341" s="922"/>
      <c r="K1341" s="922"/>
      <c r="L1341" s="922"/>
      <c r="M1341" s="922"/>
      <c r="N1341" s="922"/>
      <c r="O1341" s="878"/>
      <c r="P1341" s="879"/>
      <c r="Q1341" s="880"/>
      <c r="R1341" s="518"/>
      <c r="S1341" s="518"/>
      <c r="T1341" s="518"/>
      <c r="U1341" s="518"/>
      <c r="V1341" s="518"/>
      <c r="W1341" s="518"/>
      <c r="X1341" s="518"/>
      <c r="Y1341" s="518"/>
      <c r="Z1341" s="518"/>
      <c r="AA1341" s="518"/>
      <c r="AB1341" s="518"/>
      <c r="AC1341" s="518"/>
      <c r="AD1341" s="518"/>
      <c r="AE1341" s="518"/>
      <c r="AF1341" s="518"/>
      <c r="AG1341" s="518"/>
      <c r="AH1341" s="518"/>
      <c r="AJ1341" s="595"/>
    </row>
    <row r="1342" spans="1:36" hidden="1" x14ac:dyDescent="0.45">
      <c r="A1342" s="518"/>
      <c r="B1342" s="922" t="s">
        <v>175</v>
      </c>
      <c r="C1342" s="922"/>
      <c r="D1342" s="922"/>
      <c r="E1342" s="922"/>
      <c r="F1342" s="922"/>
      <c r="G1342" s="922"/>
      <c r="H1342" s="922"/>
      <c r="I1342" s="922"/>
      <c r="J1342" s="922"/>
      <c r="K1342" s="922"/>
      <c r="L1342" s="922"/>
      <c r="M1342" s="922"/>
      <c r="N1342" s="922"/>
      <c r="O1342" s="878"/>
      <c r="P1342" s="879"/>
      <c r="Q1342" s="880"/>
      <c r="R1342" s="518"/>
      <c r="S1342" s="518"/>
      <c r="T1342" s="518"/>
      <c r="U1342" s="518"/>
      <c r="V1342" s="518"/>
      <c r="W1342" s="518"/>
      <c r="X1342" s="518"/>
      <c r="Y1342" s="518"/>
      <c r="Z1342" s="518"/>
      <c r="AA1342" s="518"/>
      <c r="AB1342" s="518"/>
      <c r="AC1342" s="518"/>
      <c r="AD1342" s="518"/>
      <c r="AE1342" s="518"/>
      <c r="AF1342" s="518"/>
      <c r="AG1342" s="518"/>
      <c r="AH1342" s="518"/>
      <c r="AJ1342" s="595"/>
    </row>
    <row r="1343" spans="1:36" hidden="1" x14ac:dyDescent="0.45">
      <c r="A1343" s="518"/>
      <c r="B1343" s="922" t="s">
        <v>176</v>
      </c>
      <c r="C1343" s="922"/>
      <c r="D1343" s="922"/>
      <c r="E1343" s="922"/>
      <c r="F1343" s="922"/>
      <c r="G1343" s="922"/>
      <c r="H1343" s="922"/>
      <c r="I1343" s="922"/>
      <c r="J1343" s="922"/>
      <c r="K1343" s="922"/>
      <c r="L1343" s="922"/>
      <c r="M1343" s="922"/>
      <c r="N1343" s="922"/>
      <c r="O1343" s="878"/>
      <c r="P1343" s="879"/>
      <c r="Q1343" s="880"/>
      <c r="R1343" s="518"/>
      <c r="S1343" s="518"/>
      <c r="T1343" s="518"/>
      <c r="U1343" s="518"/>
      <c r="V1343" s="518"/>
      <c r="W1343" s="518"/>
      <c r="X1343" s="518"/>
      <c r="Y1343" s="518"/>
      <c r="Z1343" s="518"/>
      <c r="AA1343" s="518"/>
      <c r="AB1343" s="518"/>
      <c r="AC1343" s="518"/>
      <c r="AD1343" s="518"/>
      <c r="AE1343" s="518"/>
      <c r="AF1343" s="518"/>
      <c r="AG1343" s="518"/>
      <c r="AH1343" s="518"/>
      <c r="AJ1343" s="595"/>
    </row>
    <row r="1344" spans="1:36" hidden="1" x14ac:dyDescent="0.45">
      <c r="A1344" s="518"/>
      <c r="B1344" s="922" t="s">
        <v>177</v>
      </c>
      <c r="C1344" s="922"/>
      <c r="D1344" s="922"/>
      <c r="E1344" s="922"/>
      <c r="F1344" s="922"/>
      <c r="G1344" s="922"/>
      <c r="H1344" s="922"/>
      <c r="I1344" s="922"/>
      <c r="J1344" s="922"/>
      <c r="K1344" s="922"/>
      <c r="L1344" s="922"/>
      <c r="M1344" s="922"/>
      <c r="N1344" s="922"/>
      <c r="O1344" s="878"/>
      <c r="P1344" s="879"/>
      <c r="Q1344" s="880"/>
      <c r="R1344" s="518"/>
      <c r="S1344" s="518"/>
      <c r="T1344" s="518"/>
      <c r="U1344" s="518"/>
      <c r="V1344" s="518"/>
      <c r="W1344" s="518"/>
      <c r="X1344" s="518"/>
      <c r="Y1344" s="518"/>
      <c r="Z1344" s="518"/>
      <c r="AA1344" s="518"/>
      <c r="AB1344" s="518"/>
      <c r="AC1344" s="518"/>
      <c r="AD1344" s="518"/>
      <c r="AE1344" s="518"/>
      <c r="AF1344" s="518"/>
      <c r="AG1344" s="518"/>
      <c r="AH1344" s="518"/>
      <c r="AJ1344" s="595"/>
    </row>
    <row r="1345" spans="1:36" hidden="1" x14ac:dyDescent="0.45">
      <c r="A1345" s="518"/>
      <c r="B1345" s="922" t="s">
        <v>178</v>
      </c>
      <c r="C1345" s="922"/>
      <c r="D1345" s="922"/>
      <c r="E1345" s="922"/>
      <c r="F1345" s="922"/>
      <c r="G1345" s="922"/>
      <c r="H1345" s="922"/>
      <c r="I1345" s="922"/>
      <c r="J1345" s="922"/>
      <c r="K1345" s="922"/>
      <c r="L1345" s="922"/>
      <c r="M1345" s="922"/>
      <c r="N1345" s="922"/>
      <c r="O1345" s="878"/>
      <c r="P1345" s="879"/>
      <c r="Q1345" s="880"/>
      <c r="R1345" s="518"/>
      <c r="S1345" s="518"/>
      <c r="T1345" s="518"/>
      <c r="U1345" s="518"/>
      <c r="V1345" s="518"/>
      <c r="W1345" s="518"/>
      <c r="X1345" s="518"/>
      <c r="Y1345" s="518"/>
      <c r="Z1345" s="518"/>
      <c r="AA1345" s="518"/>
      <c r="AB1345" s="518"/>
      <c r="AC1345" s="518"/>
      <c r="AD1345" s="518"/>
      <c r="AE1345" s="518"/>
      <c r="AF1345" s="518"/>
      <c r="AG1345" s="518"/>
      <c r="AH1345" s="518"/>
      <c r="AJ1345" s="595"/>
    </row>
    <row r="1346" spans="1:36" hidden="1" x14ac:dyDescent="0.45">
      <c r="A1346" s="518"/>
      <c r="B1346" s="922" t="s">
        <v>179</v>
      </c>
      <c r="C1346" s="922"/>
      <c r="D1346" s="922"/>
      <c r="E1346" s="922"/>
      <c r="F1346" s="922"/>
      <c r="G1346" s="922"/>
      <c r="H1346" s="922"/>
      <c r="I1346" s="922"/>
      <c r="J1346" s="922"/>
      <c r="K1346" s="922"/>
      <c r="L1346" s="922"/>
      <c r="M1346" s="922"/>
      <c r="N1346" s="922"/>
      <c r="O1346" s="878"/>
      <c r="P1346" s="879"/>
      <c r="Q1346" s="880"/>
      <c r="R1346" s="518"/>
      <c r="S1346" s="518"/>
      <c r="T1346" s="518"/>
      <c r="U1346" s="518"/>
      <c r="V1346" s="518"/>
      <c r="W1346" s="518"/>
      <c r="X1346" s="518"/>
      <c r="Y1346" s="518"/>
      <c r="Z1346" s="518"/>
      <c r="AA1346" s="518"/>
      <c r="AB1346" s="518"/>
      <c r="AC1346" s="518"/>
      <c r="AD1346" s="518"/>
      <c r="AE1346" s="518"/>
      <c r="AF1346" s="518"/>
      <c r="AG1346" s="518"/>
      <c r="AH1346" s="518"/>
      <c r="AJ1346" s="595"/>
    </row>
    <row r="1347" spans="1:36" hidden="1" x14ac:dyDescent="0.45">
      <c r="A1347" s="518"/>
      <c r="B1347" s="922" t="s">
        <v>180</v>
      </c>
      <c r="C1347" s="922"/>
      <c r="D1347" s="922"/>
      <c r="E1347" s="922"/>
      <c r="F1347" s="922"/>
      <c r="G1347" s="922"/>
      <c r="H1347" s="922"/>
      <c r="I1347" s="922"/>
      <c r="J1347" s="922"/>
      <c r="K1347" s="922"/>
      <c r="L1347" s="922"/>
      <c r="M1347" s="922"/>
      <c r="N1347" s="922"/>
      <c r="O1347" s="878"/>
      <c r="P1347" s="879"/>
      <c r="Q1347" s="880"/>
      <c r="R1347" s="518"/>
      <c r="S1347" s="518"/>
      <c r="T1347" s="518"/>
      <c r="U1347" s="518"/>
      <c r="V1347" s="518"/>
      <c r="W1347" s="518"/>
      <c r="X1347" s="518"/>
      <c r="Y1347" s="518"/>
      <c r="Z1347" s="518"/>
      <c r="AA1347" s="518"/>
      <c r="AB1347" s="518"/>
      <c r="AC1347" s="518"/>
      <c r="AD1347" s="518"/>
      <c r="AE1347" s="518"/>
      <c r="AF1347" s="518"/>
      <c r="AG1347" s="518"/>
      <c r="AH1347" s="518"/>
      <c r="AJ1347" s="595"/>
    </row>
    <row r="1348" spans="1:36" hidden="1" x14ac:dyDescent="0.45">
      <c r="A1348" s="518"/>
      <c r="B1348" s="916" t="s">
        <v>181</v>
      </c>
      <c r="C1348" s="916"/>
      <c r="D1348" s="916"/>
      <c r="E1348" s="916"/>
      <c r="F1348" s="916"/>
      <c r="G1348" s="916"/>
      <c r="H1348" s="916"/>
      <c r="I1348" s="916"/>
      <c r="J1348" s="916"/>
      <c r="K1348" s="916"/>
      <c r="L1348" s="916"/>
      <c r="M1348" s="916"/>
      <c r="N1348" s="916"/>
      <c r="O1348" s="927"/>
      <c r="P1348" s="928"/>
      <c r="Q1348" s="929"/>
      <c r="R1348" s="518"/>
      <c r="S1348" s="518"/>
      <c r="T1348" s="518"/>
      <c r="U1348" s="518"/>
      <c r="V1348" s="518"/>
      <c r="W1348" s="518"/>
      <c r="X1348" s="518"/>
      <c r="Y1348" s="518"/>
      <c r="Z1348" s="518"/>
      <c r="AA1348" s="518"/>
      <c r="AB1348" s="518"/>
      <c r="AC1348" s="518"/>
      <c r="AD1348" s="518"/>
      <c r="AE1348" s="518"/>
      <c r="AF1348" s="518"/>
      <c r="AG1348" s="518"/>
      <c r="AH1348" s="518"/>
      <c r="AJ1348" s="595"/>
    </row>
    <row r="1349" spans="1:36" hidden="1" x14ac:dyDescent="0.45">
      <c r="A1349" s="518"/>
      <c r="B1349" s="930" t="s">
        <v>182</v>
      </c>
      <c r="C1349" s="930"/>
      <c r="D1349" s="930"/>
      <c r="E1349" s="930"/>
      <c r="F1349" s="930"/>
      <c r="G1349" s="930"/>
      <c r="H1349" s="930"/>
      <c r="I1349" s="930"/>
      <c r="J1349" s="930"/>
      <c r="K1349" s="930"/>
      <c r="L1349" s="930"/>
      <c r="M1349" s="930"/>
      <c r="N1349" s="930"/>
      <c r="O1349" s="878">
        <f>SUM(O1341:Q1347)-O1348</f>
        <v>0</v>
      </c>
      <c r="P1349" s="879"/>
      <c r="Q1349" s="880"/>
      <c r="R1349" s="518"/>
      <c r="S1349" s="518"/>
      <c r="T1349" s="518"/>
      <c r="U1349" s="518"/>
      <c r="V1349" s="518"/>
      <c r="W1349" s="518"/>
      <c r="X1349" s="518"/>
      <c r="Y1349" s="518"/>
      <c r="Z1349" s="518"/>
      <c r="AA1349" s="518"/>
      <c r="AB1349" s="518"/>
      <c r="AC1349" s="518"/>
      <c r="AD1349" s="518"/>
      <c r="AE1349" s="518"/>
      <c r="AF1349" s="518"/>
      <c r="AG1349" s="518"/>
      <c r="AH1349" s="518"/>
      <c r="AJ1349" s="595"/>
    </row>
    <row r="1350" spans="1:36" hidden="1" x14ac:dyDescent="0.45">
      <c r="A1350" s="518"/>
      <c r="B1350" s="517"/>
      <c r="C1350" s="517"/>
      <c r="D1350" s="517"/>
      <c r="E1350" s="517"/>
      <c r="F1350" s="517"/>
      <c r="G1350" s="517"/>
      <c r="H1350" s="517"/>
      <c r="I1350" s="517"/>
      <c r="J1350" s="517"/>
      <c r="K1350" s="517"/>
      <c r="L1350" s="517"/>
      <c r="M1350" s="517"/>
      <c r="N1350" s="517"/>
      <c r="O1350" s="532"/>
      <c r="P1350" s="532"/>
      <c r="Q1350" s="532"/>
      <c r="R1350" s="518"/>
      <c r="S1350" s="533"/>
      <c r="T1350" s="533"/>
      <c r="U1350" s="533"/>
      <c r="V1350" s="533"/>
      <c r="W1350" s="533"/>
      <c r="X1350" s="533"/>
      <c r="Y1350" s="533"/>
      <c r="Z1350" s="533"/>
      <c r="AA1350" s="533"/>
      <c r="AB1350" s="533"/>
      <c r="AC1350" s="533"/>
      <c r="AD1350" s="533"/>
      <c r="AE1350" s="533"/>
      <c r="AF1350" s="533"/>
      <c r="AG1350" s="533"/>
      <c r="AH1350" s="518"/>
      <c r="AJ1350" s="595"/>
    </row>
    <row r="1351" spans="1:36" ht="200.15" hidden="1" customHeight="1" x14ac:dyDescent="0.45">
      <c r="A1351" s="518"/>
      <c r="B1351" s="926" t="s">
        <v>183</v>
      </c>
      <c r="C1351" s="926"/>
      <c r="D1351" s="926"/>
      <c r="E1351" s="926"/>
      <c r="F1351" s="926"/>
      <c r="G1351" s="926"/>
      <c r="H1351" s="926"/>
      <c r="I1351" s="926"/>
      <c r="J1351" s="926"/>
      <c r="K1351" s="926"/>
      <c r="L1351" s="926"/>
      <c r="M1351" s="926"/>
      <c r="N1351" s="926"/>
      <c r="O1351" s="926"/>
      <c r="P1351" s="926"/>
      <c r="Q1351" s="926"/>
      <c r="R1351" s="926"/>
      <c r="S1351" s="926"/>
      <c r="T1351" s="926"/>
      <c r="U1351" s="926"/>
      <c r="V1351" s="926"/>
      <c r="W1351" s="926"/>
      <c r="X1351" s="926"/>
      <c r="Y1351" s="926"/>
      <c r="Z1351" s="926"/>
      <c r="AA1351" s="926"/>
      <c r="AB1351" s="926"/>
      <c r="AC1351" s="926"/>
      <c r="AD1351" s="926"/>
      <c r="AE1351" s="926"/>
      <c r="AF1351" s="926"/>
      <c r="AG1351" s="926"/>
      <c r="AH1351" s="518"/>
      <c r="AJ1351" s="595"/>
    </row>
    <row r="1352" spans="1:36" hidden="1" x14ac:dyDescent="0.45">
      <c r="A1352" s="518"/>
      <c r="B1352" s="518"/>
      <c r="C1352" s="518"/>
      <c r="D1352" s="518"/>
      <c r="E1352" s="518"/>
      <c r="F1352" s="518"/>
      <c r="G1352" s="518"/>
      <c r="H1352" s="518"/>
      <c r="I1352" s="518"/>
      <c r="J1352" s="518"/>
      <c r="K1352" s="518"/>
      <c r="L1352" s="518"/>
      <c r="M1352" s="518"/>
      <c r="N1352" s="518"/>
      <c r="O1352" s="518"/>
      <c r="P1352" s="518"/>
      <c r="Q1352" s="518"/>
      <c r="R1352" s="518"/>
      <c r="S1352" s="518"/>
      <c r="T1352" s="518"/>
      <c r="U1352" s="518"/>
      <c r="V1352" s="518"/>
      <c r="W1352" s="518"/>
      <c r="X1352" s="518"/>
      <c r="Y1352" s="518"/>
      <c r="Z1352" s="518"/>
      <c r="AA1352" s="518"/>
      <c r="AB1352" s="518"/>
      <c r="AC1352" s="518"/>
      <c r="AD1352" s="518"/>
      <c r="AE1352" s="518"/>
      <c r="AF1352" s="518"/>
      <c r="AG1352" s="518"/>
      <c r="AH1352" s="518"/>
      <c r="AJ1352" s="595"/>
    </row>
    <row r="1353" spans="1:36" hidden="1" x14ac:dyDescent="0.45">
      <c r="A1353" s="518"/>
      <c r="B1353" s="518"/>
      <c r="C1353" s="518"/>
      <c r="D1353" s="518"/>
      <c r="E1353" s="518"/>
      <c r="F1353" s="518"/>
      <c r="G1353" s="518"/>
      <c r="H1353" s="518"/>
      <c r="I1353" s="518"/>
      <c r="J1353" s="518"/>
      <c r="K1353" s="518"/>
      <c r="L1353" s="518"/>
      <c r="M1353" s="518"/>
      <c r="N1353" s="518"/>
      <c r="O1353" s="518"/>
      <c r="P1353" s="518"/>
      <c r="Q1353" s="518"/>
      <c r="R1353" s="518"/>
      <c r="S1353" s="518"/>
      <c r="T1353" s="518"/>
      <c r="U1353" s="518"/>
      <c r="V1353" s="518"/>
      <c r="W1353" s="518"/>
      <c r="X1353" s="518"/>
      <c r="Y1353" s="518"/>
      <c r="Z1353" s="518"/>
      <c r="AA1353" s="518"/>
      <c r="AB1353" s="518"/>
      <c r="AC1353" s="518"/>
      <c r="AD1353" s="518"/>
      <c r="AE1353" s="518"/>
      <c r="AF1353" s="518"/>
      <c r="AG1353" s="518"/>
      <c r="AH1353" s="518"/>
      <c r="AJ1353" s="595" t="b">
        <f>AND(AJ$1062,CH_SHTA_MFDRuralTotalRequested&gt;0)</f>
        <v>0</v>
      </c>
    </row>
    <row r="1354" spans="1:36" s="608" customFormat="1" hidden="1" x14ac:dyDescent="0.35">
      <c r="A1354" s="532"/>
      <c r="B1354" s="923" t="str">
        <f>B$1063</f>
        <v>CalHome Technical Assistance for Self-Help Housing Application</v>
      </c>
      <c r="C1354" s="923"/>
      <c r="D1354" s="923"/>
      <c r="E1354" s="923"/>
      <c r="F1354" s="923"/>
      <c r="G1354" s="923"/>
      <c r="H1354" s="923"/>
      <c r="I1354" s="923"/>
      <c r="J1354" s="923"/>
      <c r="K1354" s="923"/>
      <c r="L1354" s="923"/>
      <c r="M1354" s="923"/>
      <c r="N1354" s="923"/>
      <c r="O1354" s="923"/>
      <c r="P1354" s="923"/>
      <c r="Q1354" s="923"/>
      <c r="R1354" s="923"/>
      <c r="S1354" s="923"/>
      <c r="T1354" s="923"/>
      <c r="U1354" s="923"/>
      <c r="V1354" s="923"/>
      <c r="W1354" s="923"/>
      <c r="X1354" s="923"/>
      <c r="Y1354" s="923"/>
      <c r="Z1354" s="923"/>
      <c r="AA1354" s="923"/>
      <c r="AB1354" s="923"/>
      <c r="AC1354" s="923"/>
      <c r="AD1354" s="923"/>
      <c r="AE1354" s="923"/>
      <c r="AF1354" s="923"/>
      <c r="AG1354" s="923"/>
      <c r="AH1354" s="532"/>
      <c r="AI1354" s="606"/>
      <c r="AJ1354" s="607"/>
    </row>
    <row r="1355" spans="1:36" s="608" customFormat="1" hidden="1" x14ac:dyDescent="0.35">
      <c r="A1355" s="532"/>
      <c r="B1355" s="924" t="s">
        <v>1488</v>
      </c>
      <c r="C1355" s="925"/>
      <c r="D1355" s="925"/>
      <c r="E1355" s="925"/>
      <c r="F1355" s="925"/>
      <c r="G1355" s="925"/>
      <c r="H1355" s="925"/>
      <c r="I1355" s="925"/>
      <c r="J1355" s="925"/>
      <c r="K1355" s="925"/>
      <c r="L1355" s="925"/>
      <c r="M1355" s="925"/>
      <c r="N1355" s="925"/>
      <c r="O1355" s="925"/>
      <c r="P1355" s="925"/>
      <c r="Q1355" s="925"/>
      <c r="R1355" s="925"/>
      <c r="S1355" s="925"/>
      <c r="T1355" s="925"/>
      <c r="U1355" s="925"/>
      <c r="V1355" s="925"/>
      <c r="W1355" s="925"/>
      <c r="X1355" s="925"/>
      <c r="Y1355" s="925"/>
      <c r="Z1355" s="925"/>
      <c r="AA1355" s="925"/>
      <c r="AB1355" s="925"/>
      <c r="AC1355" s="925"/>
      <c r="AD1355" s="925"/>
      <c r="AE1355" s="925"/>
      <c r="AF1355" s="925"/>
      <c r="AG1355" s="925"/>
      <c r="AH1355" s="532"/>
      <c r="AI1355" s="606"/>
      <c r="AJ1355" s="607"/>
    </row>
    <row r="1356" spans="1:36" hidden="1" x14ac:dyDescent="0.45">
      <c r="A1356" s="518"/>
      <c r="B1356" s="594"/>
      <c r="C1356" s="565"/>
      <c r="D1356" s="565"/>
      <c r="E1356" s="565"/>
      <c r="F1356" s="565"/>
      <c r="G1356" s="565"/>
      <c r="H1356" s="565"/>
      <c r="I1356" s="565"/>
      <c r="J1356" s="565"/>
      <c r="K1356" s="565"/>
      <c r="L1356" s="565"/>
      <c r="M1356" s="565"/>
      <c r="N1356" s="565"/>
      <c r="O1356" s="565"/>
      <c r="P1356" s="565"/>
      <c r="Q1356" s="565"/>
      <c r="R1356" s="565"/>
      <c r="S1356" s="565"/>
      <c r="T1356" s="565"/>
      <c r="U1356" s="565"/>
      <c r="V1356" s="565"/>
      <c r="W1356" s="565"/>
      <c r="X1356" s="565"/>
      <c r="Y1356" s="565"/>
      <c r="Z1356" s="565"/>
      <c r="AA1356" s="565"/>
      <c r="AB1356" s="565"/>
      <c r="AC1356" s="565"/>
      <c r="AD1356" s="565"/>
      <c r="AE1356" s="565"/>
      <c r="AF1356" s="565"/>
      <c r="AG1356" s="565"/>
      <c r="AH1356" s="518"/>
      <c r="AJ1356" s="595"/>
    </row>
    <row r="1357" spans="1:36" hidden="1" x14ac:dyDescent="0.45">
      <c r="A1357" s="518"/>
      <c r="B1357" s="518" t="s">
        <v>1853</v>
      </c>
      <c r="C1357" s="518"/>
      <c r="D1357" s="518"/>
      <c r="E1357" s="518"/>
      <c r="F1357" s="518"/>
      <c r="G1357" s="518"/>
      <c r="H1357" s="518"/>
      <c r="I1357" s="518"/>
      <c r="J1357" s="518"/>
      <c r="K1357" s="518"/>
      <c r="L1357" s="518"/>
      <c r="M1357" s="518"/>
      <c r="N1357" s="518"/>
      <c r="O1357" s="518"/>
      <c r="P1357" s="518"/>
      <c r="Q1357" s="518"/>
      <c r="R1357" s="518"/>
      <c r="S1357" s="518"/>
      <c r="T1357" s="518"/>
      <c r="U1357" s="518"/>
      <c r="V1357" s="518"/>
      <c r="W1357" s="518"/>
      <c r="X1357" s="518"/>
      <c r="Y1357" s="518"/>
      <c r="Z1357" s="518"/>
      <c r="AA1357" s="518"/>
      <c r="AB1357" s="565"/>
      <c r="AC1357" s="565"/>
      <c r="AD1357" s="565"/>
      <c r="AE1357" s="518"/>
      <c r="AF1357" s="518"/>
      <c r="AG1357" s="518"/>
      <c r="AH1357" s="518"/>
      <c r="AJ1357" s="595"/>
    </row>
    <row r="1358" spans="1:36" ht="16" hidden="1" customHeight="1" x14ac:dyDescent="0.45">
      <c r="A1358" s="518"/>
      <c r="B1358" s="862" t="s">
        <v>108</v>
      </c>
      <c r="C1358" s="863"/>
      <c r="D1358" s="863"/>
      <c r="E1358" s="863"/>
      <c r="F1358" s="863"/>
      <c r="G1358" s="862" t="s">
        <v>1487</v>
      </c>
      <c r="H1358" s="892"/>
      <c r="I1358" s="862" t="s">
        <v>91</v>
      </c>
      <c r="J1358" s="863"/>
      <c r="K1358" s="862" t="s">
        <v>110</v>
      </c>
      <c r="L1358" s="863"/>
      <c r="M1358" s="863"/>
      <c r="N1358" s="892"/>
      <c r="O1358" s="862" t="s">
        <v>212</v>
      </c>
      <c r="P1358" s="863"/>
      <c r="Q1358" s="863"/>
      <c r="R1358" s="892"/>
      <c r="S1358" s="862" t="s">
        <v>113</v>
      </c>
      <c r="T1358" s="863"/>
      <c r="U1358" s="863"/>
      <c r="V1358" s="892"/>
      <c r="W1358" s="862" t="s">
        <v>114</v>
      </c>
      <c r="X1358" s="863"/>
      <c r="Y1358" s="603"/>
      <c r="Z1358" s="604"/>
      <c r="AA1358" s="518"/>
      <c r="AB1358" s="565"/>
      <c r="AC1358" s="565"/>
      <c r="AD1358" s="565"/>
      <c r="AE1358" s="518"/>
      <c r="AF1358" s="529"/>
      <c r="AG1358" s="529"/>
      <c r="AH1358" s="529"/>
      <c r="AJ1358" s="595"/>
    </row>
    <row r="1359" spans="1:36" hidden="1" x14ac:dyDescent="0.45">
      <c r="A1359" s="518"/>
      <c r="B1359" s="864"/>
      <c r="C1359" s="865"/>
      <c r="D1359" s="865"/>
      <c r="E1359" s="865"/>
      <c r="F1359" s="865"/>
      <c r="G1359" s="864"/>
      <c r="H1359" s="893"/>
      <c r="I1359" s="864"/>
      <c r="J1359" s="865"/>
      <c r="K1359" s="864"/>
      <c r="L1359" s="865"/>
      <c r="M1359" s="865"/>
      <c r="N1359" s="893"/>
      <c r="O1359" s="864"/>
      <c r="P1359" s="865"/>
      <c r="Q1359" s="865"/>
      <c r="R1359" s="893"/>
      <c r="S1359" s="864"/>
      <c r="T1359" s="865"/>
      <c r="U1359" s="865"/>
      <c r="V1359" s="893"/>
      <c r="W1359" s="864"/>
      <c r="X1359" s="865"/>
      <c r="Y1359" s="603"/>
      <c r="Z1359" s="604"/>
      <c r="AA1359" s="518"/>
      <c r="AB1359" s="565"/>
      <c r="AC1359" s="565"/>
      <c r="AD1359" s="565"/>
      <c r="AE1359" s="518"/>
      <c r="AF1359" s="529"/>
      <c r="AG1359" s="529"/>
      <c r="AH1359" s="529"/>
      <c r="AJ1359" s="595"/>
    </row>
    <row r="1360" spans="1:36" hidden="1" x14ac:dyDescent="0.45">
      <c r="A1360" s="518"/>
      <c r="B1360" s="514" t="s">
        <v>1405</v>
      </c>
      <c r="C1360" s="535"/>
      <c r="D1360" s="535"/>
      <c r="E1360" s="535"/>
      <c r="F1360" s="535"/>
      <c r="G1360" s="890" t="str">
        <f>IF(CHSHTAData!T3=0,"",CHSHTAData!T3)</f>
        <v/>
      </c>
      <c r="H1360" s="910"/>
      <c r="I1360" s="888">
        <f>CHSHTAData!AU3</f>
        <v>0</v>
      </c>
      <c r="J1360" s="909"/>
      <c r="K1360" s="874">
        <f>CHSHTAData!AV3</f>
        <v>0</v>
      </c>
      <c r="L1360" s="875"/>
      <c r="M1360" s="875"/>
      <c r="N1360" s="876"/>
      <c r="O1360" s="874">
        <f>CHSHTAData!AW3</f>
        <v>0</v>
      </c>
      <c r="P1360" s="875"/>
      <c r="Q1360" s="875"/>
      <c r="R1360" s="876"/>
      <c r="S1360" s="874">
        <f>SUM(K1360:R1360)</f>
        <v>0</v>
      </c>
      <c r="T1360" s="875"/>
      <c r="U1360" s="875"/>
      <c r="V1360" s="876"/>
      <c r="W1360" s="859">
        <f>CHSHTAData!AY3</f>
        <v>0</v>
      </c>
      <c r="X1360" s="860"/>
      <c r="Y1360" s="619"/>
      <c r="Z1360" s="610"/>
      <c r="AA1360" s="518"/>
      <c r="AB1360" s="565"/>
      <c r="AC1360" s="565"/>
      <c r="AD1360" s="565"/>
      <c r="AE1360" s="518"/>
      <c r="AF1360" s="529"/>
      <c r="AG1360" s="529"/>
      <c r="AH1360" s="529"/>
      <c r="AJ1360" s="595" t="b">
        <f t="shared" ref="AJ1360:AJ1391" si="32">IF(AND(AJ$1353,S1360&gt;0),TRUE,FALSE)</f>
        <v>0</v>
      </c>
    </row>
    <row r="1361" spans="1:36" hidden="1" x14ac:dyDescent="0.45">
      <c r="A1361" s="518"/>
      <c r="B1361" s="514" t="s">
        <v>1406</v>
      </c>
      <c r="C1361" s="535"/>
      <c r="D1361" s="535"/>
      <c r="E1361" s="535"/>
      <c r="F1361" s="535"/>
      <c r="G1361" s="890" t="str">
        <f>IF(CHSHTAData!T4=0,"",CHSHTAData!T4)</f>
        <v/>
      </c>
      <c r="H1361" s="910"/>
      <c r="I1361" s="888">
        <f>CHSHTAData!AU4</f>
        <v>0</v>
      </c>
      <c r="J1361" s="909"/>
      <c r="K1361" s="874">
        <f>CHSHTAData!AV4</f>
        <v>0</v>
      </c>
      <c r="L1361" s="875"/>
      <c r="M1361" s="875"/>
      <c r="N1361" s="876"/>
      <c r="O1361" s="874">
        <f>CHSHTAData!AW4</f>
        <v>0</v>
      </c>
      <c r="P1361" s="875"/>
      <c r="Q1361" s="875"/>
      <c r="R1361" s="876"/>
      <c r="S1361" s="874">
        <f t="shared" ref="S1361:S1417" si="33">SUM(K1361:R1361)</f>
        <v>0</v>
      </c>
      <c r="T1361" s="875"/>
      <c r="U1361" s="875"/>
      <c r="V1361" s="876"/>
      <c r="W1361" s="859">
        <f>CHSHTAData!AY4</f>
        <v>0</v>
      </c>
      <c r="X1361" s="860"/>
      <c r="Y1361" s="619"/>
      <c r="Z1361" s="610"/>
      <c r="AA1361" s="518"/>
      <c r="AB1361" s="565"/>
      <c r="AC1361" s="565"/>
      <c r="AD1361" s="565"/>
      <c r="AE1361" s="518"/>
      <c r="AF1361" s="529"/>
      <c r="AG1361" s="529"/>
      <c r="AH1361" s="529"/>
      <c r="AJ1361" s="595" t="b">
        <f t="shared" si="32"/>
        <v>0</v>
      </c>
    </row>
    <row r="1362" spans="1:36" hidden="1" x14ac:dyDescent="0.45">
      <c r="A1362" s="518"/>
      <c r="B1362" s="514" t="s">
        <v>1407</v>
      </c>
      <c r="C1362" s="535"/>
      <c r="D1362" s="535"/>
      <c r="E1362" s="535"/>
      <c r="F1362" s="535"/>
      <c r="G1362" s="890" t="str">
        <f>IF(CHSHTAData!T5=0,"",CHSHTAData!T5)</f>
        <v/>
      </c>
      <c r="H1362" s="910"/>
      <c r="I1362" s="888">
        <f>CHSHTAData!AU5</f>
        <v>0</v>
      </c>
      <c r="J1362" s="909"/>
      <c r="K1362" s="874">
        <f>CHSHTAData!AV5</f>
        <v>0</v>
      </c>
      <c r="L1362" s="875"/>
      <c r="M1362" s="875"/>
      <c r="N1362" s="876"/>
      <c r="O1362" s="874">
        <f>CHSHTAData!AW5</f>
        <v>0</v>
      </c>
      <c r="P1362" s="875"/>
      <c r="Q1362" s="875"/>
      <c r="R1362" s="876"/>
      <c r="S1362" s="874">
        <f t="shared" si="33"/>
        <v>0</v>
      </c>
      <c r="T1362" s="875"/>
      <c r="U1362" s="875"/>
      <c r="V1362" s="876"/>
      <c r="W1362" s="859">
        <f>CHSHTAData!AY5</f>
        <v>0</v>
      </c>
      <c r="X1362" s="860"/>
      <c r="Y1362" s="619"/>
      <c r="Z1362" s="610"/>
      <c r="AA1362" s="518"/>
      <c r="AB1362" s="565"/>
      <c r="AC1362" s="565"/>
      <c r="AD1362" s="565"/>
      <c r="AE1362" s="518"/>
      <c r="AF1362" s="529"/>
      <c r="AG1362" s="529"/>
      <c r="AH1362" s="529"/>
      <c r="AJ1362" s="595" t="b">
        <f t="shared" si="32"/>
        <v>0</v>
      </c>
    </row>
    <row r="1363" spans="1:36" hidden="1" x14ac:dyDescent="0.45">
      <c r="A1363" s="518"/>
      <c r="B1363" s="514" t="s">
        <v>1408</v>
      </c>
      <c r="C1363" s="535"/>
      <c r="D1363" s="535"/>
      <c r="E1363" s="535"/>
      <c r="F1363" s="535"/>
      <c r="G1363" s="890" t="str">
        <f>IF(CHSHTAData!T6=0,"",CHSHTAData!T6)</f>
        <v/>
      </c>
      <c r="H1363" s="910"/>
      <c r="I1363" s="888">
        <f>CHSHTAData!AU6</f>
        <v>0</v>
      </c>
      <c r="J1363" s="909"/>
      <c r="K1363" s="874">
        <f>CHSHTAData!AV6</f>
        <v>0</v>
      </c>
      <c r="L1363" s="875"/>
      <c r="M1363" s="875"/>
      <c r="N1363" s="876"/>
      <c r="O1363" s="874">
        <f>CHSHTAData!AW6</f>
        <v>0</v>
      </c>
      <c r="P1363" s="875"/>
      <c r="Q1363" s="875"/>
      <c r="R1363" s="876"/>
      <c r="S1363" s="874">
        <f t="shared" si="33"/>
        <v>0</v>
      </c>
      <c r="T1363" s="875"/>
      <c r="U1363" s="875"/>
      <c r="V1363" s="876"/>
      <c r="W1363" s="859">
        <f>CHSHTAData!AY6</f>
        <v>0</v>
      </c>
      <c r="X1363" s="860"/>
      <c r="Y1363" s="619"/>
      <c r="Z1363" s="610"/>
      <c r="AA1363" s="518"/>
      <c r="AB1363" s="565"/>
      <c r="AC1363" s="565"/>
      <c r="AD1363" s="565"/>
      <c r="AE1363" s="518"/>
      <c r="AF1363" s="529"/>
      <c r="AG1363" s="529"/>
      <c r="AH1363" s="529"/>
      <c r="AJ1363" s="595" t="b">
        <f t="shared" si="32"/>
        <v>0</v>
      </c>
    </row>
    <row r="1364" spans="1:36" hidden="1" x14ac:dyDescent="0.45">
      <c r="A1364" s="518"/>
      <c r="B1364" s="514" t="s">
        <v>1409</v>
      </c>
      <c r="C1364" s="535"/>
      <c r="D1364" s="535"/>
      <c r="E1364" s="535"/>
      <c r="F1364" s="535"/>
      <c r="G1364" s="890" t="str">
        <f>IF(CHSHTAData!T7=0,"",CHSHTAData!T7)</f>
        <v/>
      </c>
      <c r="H1364" s="910"/>
      <c r="I1364" s="888">
        <f>CHSHTAData!AU7</f>
        <v>0</v>
      </c>
      <c r="J1364" s="909"/>
      <c r="K1364" s="874">
        <f>CHSHTAData!AV7</f>
        <v>0</v>
      </c>
      <c r="L1364" s="875"/>
      <c r="M1364" s="875"/>
      <c r="N1364" s="876"/>
      <c r="O1364" s="874">
        <f>CHSHTAData!AW7</f>
        <v>0</v>
      </c>
      <c r="P1364" s="875"/>
      <c r="Q1364" s="875"/>
      <c r="R1364" s="876"/>
      <c r="S1364" s="874">
        <f t="shared" si="33"/>
        <v>0</v>
      </c>
      <c r="T1364" s="875"/>
      <c r="U1364" s="875"/>
      <c r="V1364" s="876"/>
      <c r="W1364" s="859">
        <f>CHSHTAData!AY7</f>
        <v>0</v>
      </c>
      <c r="X1364" s="860"/>
      <c r="Y1364" s="619"/>
      <c r="Z1364" s="610"/>
      <c r="AA1364" s="518"/>
      <c r="AB1364" s="565"/>
      <c r="AC1364" s="565"/>
      <c r="AD1364" s="565"/>
      <c r="AE1364" s="518"/>
      <c r="AF1364" s="529"/>
      <c r="AG1364" s="529"/>
      <c r="AH1364" s="529"/>
      <c r="AJ1364" s="595" t="b">
        <f t="shared" si="32"/>
        <v>0</v>
      </c>
    </row>
    <row r="1365" spans="1:36" hidden="1" x14ac:dyDescent="0.45">
      <c r="A1365" s="518"/>
      <c r="B1365" s="514" t="s">
        <v>1410</v>
      </c>
      <c r="C1365" s="535"/>
      <c r="D1365" s="535"/>
      <c r="E1365" s="535"/>
      <c r="F1365" s="535"/>
      <c r="G1365" s="890" t="str">
        <f>IF(CHSHTAData!T8=0,"",CHSHTAData!T8)</f>
        <v/>
      </c>
      <c r="H1365" s="910"/>
      <c r="I1365" s="888">
        <f>CHSHTAData!AU8</f>
        <v>0</v>
      </c>
      <c r="J1365" s="909"/>
      <c r="K1365" s="874">
        <f>CHSHTAData!AV8</f>
        <v>0</v>
      </c>
      <c r="L1365" s="875"/>
      <c r="M1365" s="875"/>
      <c r="N1365" s="876"/>
      <c r="O1365" s="874">
        <f>CHSHTAData!AW8</f>
        <v>0</v>
      </c>
      <c r="P1365" s="875"/>
      <c r="Q1365" s="875"/>
      <c r="R1365" s="876"/>
      <c r="S1365" s="874">
        <f t="shared" si="33"/>
        <v>0</v>
      </c>
      <c r="T1365" s="875"/>
      <c r="U1365" s="875"/>
      <c r="V1365" s="876"/>
      <c r="W1365" s="859">
        <f>CHSHTAData!AY8</f>
        <v>0</v>
      </c>
      <c r="X1365" s="860"/>
      <c r="Y1365" s="619"/>
      <c r="Z1365" s="610"/>
      <c r="AA1365" s="518"/>
      <c r="AB1365" s="565"/>
      <c r="AC1365" s="565"/>
      <c r="AD1365" s="565"/>
      <c r="AE1365" s="518"/>
      <c r="AF1365" s="529"/>
      <c r="AG1365" s="529"/>
      <c r="AH1365" s="529"/>
      <c r="AJ1365" s="595" t="b">
        <f t="shared" si="32"/>
        <v>0</v>
      </c>
    </row>
    <row r="1366" spans="1:36" hidden="1" x14ac:dyDescent="0.45">
      <c r="A1366" s="518"/>
      <c r="B1366" s="514" t="s">
        <v>1411</v>
      </c>
      <c r="C1366" s="535"/>
      <c r="D1366" s="535"/>
      <c r="E1366" s="535"/>
      <c r="F1366" s="535"/>
      <c r="G1366" s="890" t="str">
        <f>IF(CHSHTAData!T9=0,"",CHSHTAData!T9)</f>
        <v/>
      </c>
      <c r="H1366" s="910"/>
      <c r="I1366" s="888">
        <f>CHSHTAData!AU9</f>
        <v>0</v>
      </c>
      <c r="J1366" s="909"/>
      <c r="K1366" s="874">
        <f>CHSHTAData!AV9</f>
        <v>0</v>
      </c>
      <c r="L1366" s="875"/>
      <c r="M1366" s="875"/>
      <c r="N1366" s="876"/>
      <c r="O1366" s="874">
        <f>CHSHTAData!AW9</f>
        <v>0</v>
      </c>
      <c r="P1366" s="875"/>
      <c r="Q1366" s="875"/>
      <c r="R1366" s="876"/>
      <c r="S1366" s="874">
        <f t="shared" si="33"/>
        <v>0</v>
      </c>
      <c r="T1366" s="875"/>
      <c r="U1366" s="875"/>
      <c r="V1366" s="876"/>
      <c r="W1366" s="859">
        <f>CHSHTAData!AY9</f>
        <v>0</v>
      </c>
      <c r="X1366" s="860"/>
      <c r="Y1366" s="619"/>
      <c r="Z1366" s="610"/>
      <c r="AA1366" s="518"/>
      <c r="AB1366" s="565"/>
      <c r="AC1366" s="565"/>
      <c r="AD1366" s="565"/>
      <c r="AE1366" s="518"/>
      <c r="AF1366" s="529"/>
      <c r="AG1366" s="529"/>
      <c r="AH1366" s="529"/>
      <c r="AJ1366" s="595" t="b">
        <f t="shared" si="32"/>
        <v>0</v>
      </c>
    </row>
    <row r="1367" spans="1:36" hidden="1" x14ac:dyDescent="0.45">
      <c r="A1367" s="518"/>
      <c r="B1367" s="514" t="s">
        <v>1412</v>
      </c>
      <c r="C1367" s="535"/>
      <c r="D1367" s="535"/>
      <c r="E1367" s="535"/>
      <c r="F1367" s="535"/>
      <c r="G1367" s="890" t="str">
        <f>IF(CHSHTAData!T10=0,"",CHSHTAData!T10)</f>
        <v/>
      </c>
      <c r="H1367" s="910"/>
      <c r="I1367" s="888">
        <f>CHSHTAData!AU10</f>
        <v>0</v>
      </c>
      <c r="J1367" s="909"/>
      <c r="K1367" s="874">
        <f>CHSHTAData!AV10</f>
        <v>0</v>
      </c>
      <c r="L1367" s="875"/>
      <c r="M1367" s="875"/>
      <c r="N1367" s="876"/>
      <c r="O1367" s="874">
        <f>CHSHTAData!AW10</f>
        <v>0</v>
      </c>
      <c r="P1367" s="875"/>
      <c r="Q1367" s="875"/>
      <c r="R1367" s="876"/>
      <c r="S1367" s="874">
        <f t="shared" si="33"/>
        <v>0</v>
      </c>
      <c r="T1367" s="875"/>
      <c r="U1367" s="875"/>
      <c r="V1367" s="876"/>
      <c r="W1367" s="859">
        <f>CHSHTAData!AY10</f>
        <v>0</v>
      </c>
      <c r="X1367" s="860"/>
      <c r="Y1367" s="619"/>
      <c r="Z1367" s="610"/>
      <c r="AA1367" s="518"/>
      <c r="AB1367" s="565"/>
      <c r="AC1367" s="565"/>
      <c r="AD1367" s="565"/>
      <c r="AE1367" s="518"/>
      <c r="AF1367" s="529"/>
      <c r="AG1367" s="529"/>
      <c r="AH1367" s="529"/>
      <c r="AJ1367" s="595" t="b">
        <f t="shared" si="32"/>
        <v>0</v>
      </c>
    </row>
    <row r="1368" spans="1:36" hidden="1" x14ac:dyDescent="0.45">
      <c r="A1368" s="518"/>
      <c r="B1368" s="514" t="s">
        <v>1413</v>
      </c>
      <c r="C1368" s="535"/>
      <c r="D1368" s="535"/>
      <c r="E1368" s="535"/>
      <c r="F1368" s="535"/>
      <c r="G1368" s="890" t="str">
        <f>IF(CHSHTAData!T11=0,"",CHSHTAData!T11)</f>
        <v/>
      </c>
      <c r="H1368" s="910"/>
      <c r="I1368" s="888">
        <f>CHSHTAData!AU11</f>
        <v>0</v>
      </c>
      <c r="J1368" s="909"/>
      <c r="K1368" s="874">
        <f>CHSHTAData!AV11</f>
        <v>0</v>
      </c>
      <c r="L1368" s="875"/>
      <c r="M1368" s="875"/>
      <c r="N1368" s="876"/>
      <c r="O1368" s="874">
        <f>CHSHTAData!AW11</f>
        <v>0</v>
      </c>
      <c r="P1368" s="875"/>
      <c r="Q1368" s="875"/>
      <c r="R1368" s="876"/>
      <c r="S1368" s="874">
        <f t="shared" si="33"/>
        <v>0</v>
      </c>
      <c r="T1368" s="875"/>
      <c r="U1368" s="875"/>
      <c r="V1368" s="876"/>
      <c r="W1368" s="859">
        <f>CHSHTAData!AY11</f>
        <v>0</v>
      </c>
      <c r="X1368" s="860"/>
      <c r="Y1368" s="619"/>
      <c r="Z1368" s="610"/>
      <c r="AA1368" s="518"/>
      <c r="AB1368" s="565"/>
      <c r="AC1368" s="565"/>
      <c r="AD1368" s="565"/>
      <c r="AE1368" s="518"/>
      <c r="AF1368" s="529"/>
      <c r="AG1368" s="529"/>
      <c r="AH1368" s="529"/>
      <c r="AJ1368" s="595" t="b">
        <f t="shared" si="32"/>
        <v>0</v>
      </c>
    </row>
    <row r="1369" spans="1:36" hidden="1" x14ac:dyDescent="0.45">
      <c r="A1369" s="518"/>
      <c r="B1369" s="514" t="s">
        <v>1414</v>
      </c>
      <c r="C1369" s="535"/>
      <c r="D1369" s="535"/>
      <c r="E1369" s="535"/>
      <c r="F1369" s="535"/>
      <c r="G1369" s="890" t="str">
        <f>IF(CHSHTAData!T12=0,"",CHSHTAData!T12)</f>
        <v/>
      </c>
      <c r="H1369" s="910"/>
      <c r="I1369" s="888">
        <f>CHSHTAData!AU12</f>
        <v>0</v>
      </c>
      <c r="J1369" s="909"/>
      <c r="K1369" s="874">
        <f>CHSHTAData!AV12</f>
        <v>0</v>
      </c>
      <c r="L1369" s="875"/>
      <c r="M1369" s="875"/>
      <c r="N1369" s="876"/>
      <c r="O1369" s="874">
        <f>CHSHTAData!AW12</f>
        <v>0</v>
      </c>
      <c r="P1369" s="875"/>
      <c r="Q1369" s="875"/>
      <c r="R1369" s="876"/>
      <c r="S1369" s="874">
        <f t="shared" si="33"/>
        <v>0</v>
      </c>
      <c r="T1369" s="875"/>
      <c r="U1369" s="875"/>
      <c r="V1369" s="876"/>
      <c r="W1369" s="859">
        <f>CHSHTAData!AY12</f>
        <v>0</v>
      </c>
      <c r="X1369" s="860"/>
      <c r="Y1369" s="619"/>
      <c r="Z1369" s="610"/>
      <c r="AA1369" s="518"/>
      <c r="AB1369" s="565"/>
      <c r="AC1369" s="565"/>
      <c r="AD1369" s="565"/>
      <c r="AE1369" s="518"/>
      <c r="AF1369" s="529"/>
      <c r="AG1369" s="529"/>
      <c r="AH1369" s="529"/>
      <c r="AJ1369" s="595" t="b">
        <f t="shared" si="32"/>
        <v>0</v>
      </c>
    </row>
    <row r="1370" spans="1:36" hidden="1" x14ac:dyDescent="0.45">
      <c r="A1370" s="518"/>
      <c r="B1370" s="514" t="s">
        <v>1415</v>
      </c>
      <c r="C1370" s="535"/>
      <c r="D1370" s="535"/>
      <c r="E1370" s="535"/>
      <c r="F1370" s="535"/>
      <c r="G1370" s="890" t="str">
        <f>IF(CHSHTAData!T13=0,"",CHSHTAData!T13)</f>
        <v/>
      </c>
      <c r="H1370" s="910"/>
      <c r="I1370" s="888">
        <f>CHSHTAData!AU13</f>
        <v>0</v>
      </c>
      <c r="J1370" s="909"/>
      <c r="K1370" s="874">
        <f>CHSHTAData!AV13</f>
        <v>0</v>
      </c>
      <c r="L1370" s="875"/>
      <c r="M1370" s="875"/>
      <c r="N1370" s="876"/>
      <c r="O1370" s="874">
        <f>CHSHTAData!AW13</f>
        <v>0</v>
      </c>
      <c r="P1370" s="875"/>
      <c r="Q1370" s="875"/>
      <c r="R1370" s="876"/>
      <c r="S1370" s="874">
        <f t="shared" si="33"/>
        <v>0</v>
      </c>
      <c r="T1370" s="875"/>
      <c r="U1370" s="875"/>
      <c r="V1370" s="876"/>
      <c r="W1370" s="859">
        <f>CHSHTAData!AY13</f>
        <v>0</v>
      </c>
      <c r="X1370" s="860"/>
      <c r="Y1370" s="619"/>
      <c r="Z1370" s="610"/>
      <c r="AA1370" s="518"/>
      <c r="AB1370" s="565"/>
      <c r="AC1370" s="565"/>
      <c r="AD1370" s="565"/>
      <c r="AE1370" s="518"/>
      <c r="AF1370" s="529"/>
      <c r="AG1370" s="529"/>
      <c r="AH1370" s="529"/>
      <c r="AJ1370" s="595" t="b">
        <f t="shared" si="32"/>
        <v>0</v>
      </c>
    </row>
    <row r="1371" spans="1:36" hidden="1" x14ac:dyDescent="0.45">
      <c r="A1371" s="518"/>
      <c r="B1371" s="514" t="s">
        <v>1416</v>
      </c>
      <c r="C1371" s="535"/>
      <c r="D1371" s="535"/>
      <c r="E1371" s="535"/>
      <c r="F1371" s="535"/>
      <c r="G1371" s="890" t="str">
        <f>IF(CHSHTAData!T14=0,"",CHSHTAData!T14)</f>
        <v/>
      </c>
      <c r="H1371" s="910"/>
      <c r="I1371" s="888">
        <f>CHSHTAData!AU14</f>
        <v>0</v>
      </c>
      <c r="J1371" s="909"/>
      <c r="K1371" s="874">
        <f>CHSHTAData!AV14</f>
        <v>0</v>
      </c>
      <c r="L1371" s="875"/>
      <c r="M1371" s="875"/>
      <c r="N1371" s="876"/>
      <c r="O1371" s="874">
        <f>CHSHTAData!AW14</f>
        <v>0</v>
      </c>
      <c r="P1371" s="875"/>
      <c r="Q1371" s="875"/>
      <c r="R1371" s="876"/>
      <c r="S1371" s="874">
        <f t="shared" si="33"/>
        <v>0</v>
      </c>
      <c r="T1371" s="875"/>
      <c r="U1371" s="875"/>
      <c r="V1371" s="876"/>
      <c r="W1371" s="859">
        <f>CHSHTAData!AY14</f>
        <v>0</v>
      </c>
      <c r="X1371" s="860"/>
      <c r="Y1371" s="619"/>
      <c r="Z1371" s="610"/>
      <c r="AA1371" s="518"/>
      <c r="AB1371" s="565"/>
      <c r="AC1371" s="565"/>
      <c r="AD1371" s="565"/>
      <c r="AE1371" s="518"/>
      <c r="AF1371" s="529"/>
      <c r="AG1371" s="529"/>
      <c r="AH1371" s="529"/>
      <c r="AJ1371" s="595" t="b">
        <f t="shared" si="32"/>
        <v>0</v>
      </c>
    </row>
    <row r="1372" spans="1:36" hidden="1" x14ac:dyDescent="0.45">
      <c r="A1372" s="518"/>
      <c r="B1372" s="514" t="s">
        <v>1417</v>
      </c>
      <c r="C1372" s="535"/>
      <c r="D1372" s="535"/>
      <c r="E1372" s="535"/>
      <c r="F1372" s="535"/>
      <c r="G1372" s="890" t="str">
        <f>IF(CHSHTAData!T15=0,"",CHSHTAData!T15)</f>
        <v/>
      </c>
      <c r="H1372" s="910"/>
      <c r="I1372" s="888">
        <f>CHSHTAData!AU15</f>
        <v>0</v>
      </c>
      <c r="J1372" s="909"/>
      <c r="K1372" s="874">
        <f>CHSHTAData!AV15</f>
        <v>0</v>
      </c>
      <c r="L1372" s="875"/>
      <c r="M1372" s="875"/>
      <c r="N1372" s="876"/>
      <c r="O1372" s="874">
        <f>CHSHTAData!AW15</f>
        <v>0</v>
      </c>
      <c r="P1372" s="875"/>
      <c r="Q1372" s="875"/>
      <c r="R1372" s="876"/>
      <c r="S1372" s="874">
        <f t="shared" si="33"/>
        <v>0</v>
      </c>
      <c r="T1372" s="875"/>
      <c r="U1372" s="875"/>
      <c r="V1372" s="876"/>
      <c r="W1372" s="859">
        <f>CHSHTAData!AY15</f>
        <v>0</v>
      </c>
      <c r="X1372" s="860"/>
      <c r="Y1372" s="619"/>
      <c r="Z1372" s="610"/>
      <c r="AA1372" s="518"/>
      <c r="AB1372" s="565"/>
      <c r="AC1372" s="565"/>
      <c r="AD1372" s="565"/>
      <c r="AE1372" s="518"/>
      <c r="AF1372" s="529"/>
      <c r="AG1372" s="529"/>
      <c r="AH1372" s="529"/>
      <c r="AJ1372" s="595" t="b">
        <f t="shared" si="32"/>
        <v>0</v>
      </c>
    </row>
    <row r="1373" spans="1:36" hidden="1" x14ac:dyDescent="0.45">
      <c r="A1373" s="518"/>
      <c r="B1373" s="514" t="s">
        <v>1418</v>
      </c>
      <c r="C1373" s="535"/>
      <c r="D1373" s="535"/>
      <c r="E1373" s="535"/>
      <c r="F1373" s="535"/>
      <c r="G1373" s="890" t="str">
        <f>IF(CHSHTAData!T16=0,"",CHSHTAData!T16)</f>
        <v/>
      </c>
      <c r="H1373" s="910"/>
      <c r="I1373" s="888">
        <f>CHSHTAData!AU16</f>
        <v>0</v>
      </c>
      <c r="J1373" s="909"/>
      <c r="K1373" s="874">
        <f>CHSHTAData!AV16</f>
        <v>0</v>
      </c>
      <c r="L1373" s="875"/>
      <c r="M1373" s="875"/>
      <c r="N1373" s="876"/>
      <c r="O1373" s="874">
        <f>CHSHTAData!AW16</f>
        <v>0</v>
      </c>
      <c r="P1373" s="875"/>
      <c r="Q1373" s="875"/>
      <c r="R1373" s="876"/>
      <c r="S1373" s="874">
        <f t="shared" si="33"/>
        <v>0</v>
      </c>
      <c r="T1373" s="875"/>
      <c r="U1373" s="875"/>
      <c r="V1373" s="876"/>
      <c r="W1373" s="859">
        <f>CHSHTAData!AY16</f>
        <v>0</v>
      </c>
      <c r="X1373" s="860"/>
      <c r="Y1373" s="619"/>
      <c r="Z1373" s="610"/>
      <c r="AA1373" s="518"/>
      <c r="AB1373" s="565"/>
      <c r="AC1373" s="565"/>
      <c r="AD1373" s="565"/>
      <c r="AE1373" s="518"/>
      <c r="AF1373" s="529"/>
      <c r="AG1373" s="529"/>
      <c r="AH1373" s="529"/>
      <c r="AJ1373" s="595" t="b">
        <f t="shared" si="32"/>
        <v>0</v>
      </c>
    </row>
    <row r="1374" spans="1:36" hidden="1" x14ac:dyDescent="0.45">
      <c r="A1374" s="518"/>
      <c r="B1374" s="514" t="s">
        <v>1419</v>
      </c>
      <c r="C1374" s="535"/>
      <c r="D1374" s="535"/>
      <c r="E1374" s="535"/>
      <c r="F1374" s="535"/>
      <c r="G1374" s="890" t="str">
        <f>IF(CHSHTAData!T17=0,"",CHSHTAData!T17)</f>
        <v/>
      </c>
      <c r="H1374" s="910"/>
      <c r="I1374" s="888">
        <f>CHSHTAData!AU17</f>
        <v>0</v>
      </c>
      <c r="J1374" s="909"/>
      <c r="K1374" s="874">
        <f>CHSHTAData!AV17</f>
        <v>0</v>
      </c>
      <c r="L1374" s="875"/>
      <c r="M1374" s="875"/>
      <c r="N1374" s="876"/>
      <c r="O1374" s="874">
        <f>CHSHTAData!AW17</f>
        <v>0</v>
      </c>
      <c r="P1374" s="875"/>
      <c r="Q1374" s="875"/>
      <c r="R1374" s="876"/>
      <c r="S1374" s="874">
        <f t="shared" si="33"/>
        <v>0</v>
      </c>
      <c r="T1374" s="875"/>
      <c r="U1374" s="875"/>
      <c r="V1374" s="876"/>
      <c r="W1374" s="859">
        <f>CHSHTAData!AY17</f>
        <v>0</v>
      </c>
      <c r="X1374" s="860"/>
      <c r="Y1374" s="619"/>
      <c r="Z1374" s="610"/>
      <c r="AA1374" s="518"/>
      <c r="AB1374" s="565"/>
      <c r="AC1374" s="565"/>
      <c r="AD1374" s="565"/>
      <c r="AE1374" s="518"/>
      <c r="AF1374" s="529"/>
      <c r="AG1374" s="529"/>
      <c r="AH1374" s="529"/>
      <c r="AJ1374" s="595" t="b">
        <f t="shared" si="32"/>
        <v>0</v>
      </c>
    </row>
    <row r="1375" spans="1:36" hidden="1" x14ac:dyDescent="0.45">
      <c r="A1375" s="518"/>
      <c r="B1375" s="514" t="s">
        <v>1420</v>
      </c>
      <c r="C1375" s="535"/>
      <c r="D1375" s="535"/>
      <c r="E1375" s="535"/>
      <c r="F1375" s="535"/>
      <c r="G1375" s="890" t="str">
        <f>IF(CHSHTAData!T18=0,"",CHSHTAData!T18)</f>
        <v/>
      </c>
      <c r="H1375" s="910"/>
      <c r="I1375" s="888">
        <f>CHSHTAData!AU18</f>
        <v>0</v>
      </c>
      <c r="J1375" s="909"/>
      <c r="K1375" s="874">
        <f>CHSHTAData!AV18</f>
        <v>0</v>
      </c>
      <c r="L1375" s="875"/>
      <c r="M1375" s="875"/>
      <c r="N1375" s="876"/>
      <c r="O1375" s="874">
        <f>CHSHTAData!AW18</f>
        <v>0</v>
      </c>
      <c r="P1375" s="875"/>
      <c r="Q1375" s="875"/>
      <c r="R1375" s="876"/>
      <c r="S1375" s="874">
        <f t="shared" si="33"/>
        <v>0</v>
      </c>
      <c r="T1375" s="875"/>
      <c r="U1375" s="875"/>
      <c r="V1375" s="876"/>
      <c r="W1375" s="859">
        <f>CHSHTAData!AY18</f>
        <v>0</v>
      </c>
      <c r="X1375" s="860"/>
      <c r="Y1375" s="619"/>
      <c r="Z1375" s="610"/>
      <c r="AA1375" s="518"/>
      <c r="AB1375" s="565"/>
      <c r="AC1375" s="565"/>
      <c r="AD1375" s="565"/>
      <c r="AE1375" s="518"/>
      <c r="AF1375" s="529"/>
      <c r="AG1375" s="529"/>
      <c r="AH1375" s="529"/>
      <c r="AJ1375" s="595" t="b">
        <f t="shared" si="32"/>
        <v>0</v>
      </c>
    </row>
    <row r="1376" spans="1:36" hidden="1" x14ac:dyDescent="0.45">
      <c r="A1376" s="518"/>
      <c r="B1376" s="514" t="s">
        <v>1421</v>
      </c>
      <c r="C1376" s="535"/>
      <c r="D1376" s="535"/>
      <c r="E1376" s="535"/>
      <c r="F1376" s="535"/>
      <c r="G1376" s="890" t="str">
        <f>IF(CHSHTAData!T19=0,"",CHSHTAData!T19)</f>
        <v/>
      </c>
      <c r="H1376" s="910"/>
      <c r="I1376" s="888">
        <f>CHSHTAData!AU19</f>
        <v>0</v>
      </c>
      <c r="J1376" s="909"/>
      <c r="K1376" s="874">
        <f>CHSHTAData!AV19</f>
        <v>0</v>
      </c>
      <c r="L1376" s="875"/>
      <c r="M1376" s="875"/>
      <c r="N1376" s="876"/>
      <c r="O1376" s="874">
        <f>CHSHTAData!AW19</f>
        <v>0</v>
      </c>
      <c r="P1376" s="875"/>
      <c r="Q1376" s="875"/>
      <c r="R1376" s="876"/>
      <c r="S1376" s="874">
        <f t="shared" si="33"/>
        <v>0</v>
      </c>
      <c r="T1376" s="875"/>
      <c r="U1376" s="875"/>
      <c r="V1376" s="876"/>
      <c r="W1376" s="859">
        <f>CHSHTAData!AY19</f>
        <v>0</v>
      </c>
      <c r="X1376" s="860"/>
      <c r="Y1376" s="619"/>
      <c r="Z1376" s="610"/>
      <c r="AA1376" s="518"/>
      <c r="AB1376" s="565"/>
      <c r="AC1376" s="565"/>
      <c r="AD1376" s="565"/>
      <c r="AE1376" s="518"/>
      <c r="AF1376" s="529"/>
      <c r="AG1376" s="529"/>
      <c r="AH1376" s="529"/>
      <c r="AJ1376" s="595" t="b">
        <f t="shared" si="32"/>
        <v>0</v>
      </c>
    </row>
    <row r="1377" spans="1:36" hidden="1" x14ac:dyDescent="0.45">
      <c r="A1377" s="518"/>
      <c r="B1377" s="514" t="s">
        <v>1422</v>
      </c>
      <c r="C1377" s="535"/>
      <c r="D1377" s="535"/>
      <c r="E1377" s="535"/>
      <c r="F1377" s="535"/>
      <c r="G1377" s="890" t="str">
        <f>IF(CHSHTAData!T20=0,"",CHSHTAData!T20)</f>
        <v/>
      </c>
      <c r="H1377" s="910"/>
      <c r="I1377" s="888">
        <f>CHSHTAData!AU20</f>
        <v>0</v>
      </c>
      <c r="J1377" s="909"/>
      <c r="K1377" s="874">
        <f>CHSHTAData!AV20</f>
        <v>0</v>
      </c>
      <c r="L1377" s="875"/>
      <c r="M1377" s="875"/>
      <c r="N1377" s="876"/>
      <c r="O1377" s="874">
        <f>CHSHTAData!AW20</f>
        <v>0</v>
      </c>
      <c r="P1377" s="875"/>
      <c r="Q1377" s="875"/>
      <c r="R1377" s="876"/>
      <c r="S1377" s="874">
        <f t="shared" si="33"/>
        <v>0</v>
      </c>
      <c r="T1377" s="875"/>
      <c r="U1377" s="875"/>
      <c r="V1377" s="876"/>
      <c r="W1377" s="859">
        <f>CHSHTAData!AY20</f>
        <v>0</v>
      </c>
      <c r="X1377" s="860"/>
      <c r="Y1377" s="619"/>
      <c r="Z1377" s="610"/>
      <c r="AA1377" s="518"/>
      <c r="AB1377" s="565"/>
      <c r="AC1377" s="565"/>
      <c r="AD1377" s="565"/>
      <c r="AE1377" s="518"/>
      <c r="AF1377" s="529"/>
      <c r="AG1377" s="529"/>
      <c r="AH1377" s="529"/>
      <c r="AJ1377" s="595" t="b">
        <f t="shared" si="32"/>
        <v>0</v>
      </c>
    </row>
    <row r="1378" spans="1:36" hidden="1" x14ac:dyDescent="0.45">
      <c r="A1378" s="518"/>
      <c r="B1378" s="514" t="s">
        <v>1423</v>
      </c>
      <c r="C1378" s="535"/>
      <c r="D1378" s="535"/>
      <c r="E1378" s="535"/>
      <c r="F1378" s="535"/>
      <c r="G1378" s="890" t="str">
        <f>IF(CHSHTAData!T21=0,"",CHSHTAData!T21)</f>
        <v/>
      </c>
      <c r="H1378" s="910"/>
      <c r="I1378" s="888">
        <f>CHSHTAData!AU21</f>
        <v>0</v>
      </c>
      <c r="J1378" s="909"/>
      <c r="K1378" s="874">
        <f>CHSHTAData!AV21</f>
        <v>0</v>
      </c>
      <c r="L1378" s="875"/>
      <c r="M1378" s="875"/>
      <c r="N1378" s="876"/>
      <c r="O1378" s="874">
        <f>CHSHTAData!AW21</f>
        <v>0</v>
      </c>
      <c r="P1378" s="875"/>
      <c r="Q1378" s="875"/>
      <c r="R1378" s="876"/>
      <c r="S1378" s="874">
        <f t="shared" si="33"/>
        <v>0</v>
      </c>
      <c r="T1378" s="875"/>
      <c r="U1378" s="875"/>
      <c r="V1378" s="876"/>
      <c r="W1378" s="859">
        <f>CHSHTAData!AY21</f>
        <v>0</v>
      </c>
      <c r="X1378" s="860"/>
      <c r="Y1378" s="619"/>
      <c r="Z1378" s="610"/>
      <c r="AA1378" s="518"/>
      <c r="AB1378" s="565"/>
      <c r="AC1378" s="565"/>
      <c r="AD1378" s="565"/>
      <c r="AE1378" s="518"/>
      <c r="AF1378" s="529"/>
      <c r="AG1378" s="529"/>
      <c r="AH1378" s="529"/>
      <c r="AJ1378" s="595" t="b">
        <f t="shared" si="32"/>
        <v>0</v>
      </c>
    </row>
    <row r="1379" spans="1:36" hidden="1" x14ac:dyDescent="0.45">
      <c r="A1379" s="518"/>
      <c r="B1379" s="514" t="s">
        <v>1424</v>
      </c>
      <c r="C1379" s="535"/>
      <c r="D1379" s="535"/>
      <c r="E1379" s="535"/>
      <c r="F1379" s="535"/>
      <c r="G1379" s="890" t="str">
        <f>IF(CHSHTAData!T22=0,"",CHSHTAData!T22)</f>
        <v/>
      </c>
      <c r="H1379" s="910"/>
      <c r="I1379" s="888">
        <f>CHSHTAData!AU22</f>
        <v>0</v>
      </c>
      <c r="J1379" s="909"/>
      <c r="K1379" s="874">
        <f>CHSHTAData!AV22</f>
        <v>0</v>
      </c>
      <c r="L1379" s="875"/>
      <c r="M1379" s="875"/>
      <c r="N1379" s="876"/>
      <c r="O1379" s="874">
        <f>CHSHTAData!AW22</f>
        <v>0</v>
      </c>
      <c r="P1379" s="875"/>
      <c r="Q1379" s="875"/>
      <c r="R1379" s="876"/>
      <c r="S1379" s="874">
        <f t="shared" si="33"/>
        <v>0</v>
      </c>
      <c r="T1379" s="875"/>
      <c r="U1379" s="875"/>
      <c r="V1379" s="876"/>
      <c r="W1379" s="859">
        <f>CHSHTAData!AY22</f>
        <v>0</v>
      </c>
      <c r="X1379" s="860"/>
      <c r="Y1379" s="619"/>
      <c r="Z1379" s="610"/>
      <c r="AA1379" s="518"/>
      <c r="AB1379" s="565"/>
      <c r="AC1379" s="565"/>
      <c r="AD1379" s="565"/>
      <c r="AE1379" s="518"/>
      <c r="AF1379" s="529"/>
      <c r="AG1379" s="529"/>
      <c r="AH1379" s="529"/>
      <c r="AJ1379" s="595" t="b">
        <f t="shared" si="32"/>
        <v>0</v>
      </c>
    </row>
    <row r="1380" spans="1:36" hidden="1" x14ac:dyDescent="0.45">
      <c r="A1380" s="518"/>
      <c r="B1380" s="514" t="s">
        <v>1425</v>
      </c>
      <c r="C1380" s="535"/>
      <c r="D1380" s="535"/>
      <c r="E1380" s="535"/>
      <c r="F1380" s="535"/>
      <c r="G1380" s="890" t="str">
        <f>IF(CHSHTAData!T23=0,"",CHSHTAData!T23)</f>
        <v/>
      </c>
      <c r="H1380" s="910"/>
      <c r="I1380" s="888">
        <f>CHSHTAData!AU23</f>
        <v>0</v>
      </c>
      <c r="J1380" s="909"/>
      <c r="K1380" s="874">
        <f>CHSHTAData!AV23</f>
        <v>0</v>
      </c>
      <c r="L1380" s="875"/>
      <c r="M1380" s="875"/>
      <c r="N1380" s="876"/>
      <c r="O1380" s="874">
        <f>CHSHTAData!AW23</f>
        <v>0</v>
      </c>
      <c r="P1380" s="875"/>
      <c r="Q1380" s="875"/>
      <c r="R1380" s="876"/>
      <c r="S1380" s="874">
        <f t="shared" si="33"/>
        <v>0</v>
      </c>
      <c r="T1380" s="875"/>
      <c r="U1380" s="875"/>
      <c r="V1380" s="876"/>
      <c r="W1380" s="859">
        <f>CHSHTAData!AY23</f>
        <v>0</v>
      </c>
      <c r="X1380" s="860"/>
      <c r="Y1380" s="619"/>
      <c r="Z1380" s="610"/>
      <c r="AA1380" s="518"/>
      <c r="AB1380" s="565"/>
      <c r="AC1380" s="565"/>
      <c r="AD1380" s="565"/>
      <c r="AE1380" s="518"/>
      <c r="AF1380" s="529"/>
      <c r="AG1380" s="529"/>
      <c r="AH1380" s="529"/>
      <c r="AJ1380" s="595" t="b">
        <f t="shared" si="32"/>
        <v>0</v>
      </c>
    </row>
    <row r="1381" spans="1:36" hidden="1" x14ac:dyDescent="0.45">
      <c r="A1381" s="518"/>
      <c r="B1381" s="514" t="s">
        <v>1426</v>
      </c>
      <c r="C1381" s="535"/>
      <c r="D1381" s="535"/>
      <c r="E1381" s="535"/>
      <c r="F1381" s="535"/>
      <c r="G1381" s="890" t="str">
        <f>IF(CHSHTAData!T24=0,"",CHSHTAData!T24)</f>
        <v/>
      </c>
      <c r="H1381" s="910"/>
      <c r="I1381" s="888">
        <f>CHSHTAData!AU24</f>
        <v>0</v>
      </c>
      <c r="J1381" s="909"/>
      <c r="K1381" s="874">
        <f>CHSHTAData!AV24</f>
        <v>0</v>
      </c>
      <c r="L1381" s="875"/>
      <c r="M1381" s="875"/>
      <c r="N1381" s="876"/>
      <c r="O1381" s="874">
        <f>CHSHTAData!AW24</f>
        <v>0</v>
      </c>
      <c r="P1381" s="875"/>
      <c r="Q1381" s="875"/>
      <c r="R1381" s="876"/>
      <c r="S1381" s="874">
        <f t="shared" si="33"/>
        <v>0</v>
      </c>
      <c r="T1381" s="875"/>
      <c r="U1381" s="875"/>
      <c r="V1381" s="876"/>
      <c r="W1381" s="859">
        <f>CHSHTAData!AY24</f>
        <v>0</v>
      </c>
      <c r="X1381" s="860"/>
      <c r="Y1381" s="619"/>
      <c r="Z1381" s="610"/>
      <c r="AA1381" s="518"/>
      <c r="AB1381" s="565"/>
      <c r="AC1381" s="565"/>
      <c r="AD1381" s="565"/>
      <c r="AE1381" s="518"/>
      <c r="AF1381" s="529"/>
      <c r="AG1381" s="529"/>
      <c r="AH1381" s="529"/>
      <c r="AJ1381" s="595" t="b">
        <f t="shared" si="32"/>
        <v>0</v>
      </c>
    </row>
    <row r="1382" spans="1:36" hidden="1" x14ac:dyDescent="0.45">
      <c r="A1382" s="518"/>
      <c r="B1382" s="514" t="s">
        <v>1427</v>
      </c>
      <c r="C1382" s="535"/>
      <c r="D1382" s="535"/>
      <c r="E1382" s="535"/>
      <c r="F1382" s="535"/>
      <c r="G1382" s="890" t="str">
        <f>IF(CHSHTAData!T25=0,"",CHSHTAData!T25)</f>
        <v/>
      </c>
      <c r="H1382" s="910"/>
      <c r="I1382" s="888">
        <f>CHSHTAData!AU25</f>
        <v>0</v>
      </c>
      <c r="J1382" s="909"/>
      <c r="K1382" s="874">
        <f>CHSHTAData!AV25</f>
        <v>0</v>
      </c>
      <c r="L1382" s="875"/>
      <c r="M1382" s="875"/>
      <c r="N1382" s="876"/>
      <c r="O1382" s="874">
        <f>CHSHTAData!AW25</f>
        <v>0</v>
      </c>
      <c r="P1382" s="875"/>
      <c r="Q1382" s="875"/>
      <c r="R1382" s="876"/>
      <c r="S1382" s="874">
        <f t="shared" si="33"/>
        <v>0</v>
      </c>
      <c r="T1382" s="875"/>
      <c r="U1382" s="875"/>
      <c r="V1382" s="876"/>
      <c r="W1382" s="859">
        <f>CHSHTAData!AY25</f>
        <v>0</v>
      </c>
      <c r="X1382" s="860"/>
      <c r="Y1382" s="619"/>
      <c r="Z1382" s="610"/>
      <c r="AA1382" s="518"/>
      <c r="AB1382" s="565"/>
      <c r="AC1382" s="565"/>
      <c r="AD1382" s="565"/>
      <c r="AE1382" s="518"/>
      <c r="AF1382" s="529"/>
      <c r="AG1382" s="529"/>
      <c r="AH1382" s="529"/>
      <c r="AJ1382" s="595" t="b">
        <f t="shared" si="32"/>
        <v>0</v>
      </c>
    </row>
    <row r="1383" spans="1:36" hidden="1" x14ac:dyDescent="0.45">
      <c r="A1383" s="518"/>
      <c r="B1383" s="514" t="s">
        <v>1428</v>
      </c>
      <c r="C1383" s="535"/>
      <c r="D1383" s="535"/>
      <c r="E1383" s="535"/>
      <c r="F1383" s="535"/>
      <c r="G1383" s="890" t="str">
        <f>IF(CHSHTAData!T26=0,"",CHSHTAData!T26)</f>
        <v/>
      </c>
      <c r="H1383" s="910"/>
      <c r="I1383" s="888">
        <f>CHSHTAData!AU26</f>
        <v>0</v>
      </c>
      <c r="J1383" s="909"/>
      <c r="K1383" s="874">
        <f>CHSHTAData!AV26</f>
        <v>0</v>
      </c>
      <c r="L1383" s="875"/>
      <c r="M1383" s="875"/>
      <c r="N1383" s="876"/>
      <c r="O1383" s="874">
        <f>CHSHTAData!AW26</f>
        <v>0</v>
      </c>
      <c r="P1383" s="875"/>
      <c r="Q1383" s="875"/>
      <c r="R1383" s="876"/>
      <c r="S1383" s="874">
        <f t="shared" si="33"/>
        <v>0</v>
      </c>
      <c r="T1383" s="875"/>
      <c r="U1383" s="875"/>
      <c r="V1383" s="876"/>
      <c r="W1383" s="859">
        <f>CHSHTAData!AY26</f>
        <v>0</v>
      </c>
      <c r="X1383" s="860"/>
      <c r="Y1383" s="619"/>
      <c r="Z1383" s="610"/>
      <c r="AA1383" s="518"/>
      <c r="AB1383" s="565"/>
      <c r="AC1383" s="565"/>
      <c r="AD1383" s="565"/>
      <c r="AE1383" s="518"/>
      <c r="AF1383" s="529"/>
      <c r="AG1383" s="529"/>
      <c r="AH1383" s="529"/>
      <c r="AJ1383" s="595" t="b">
        <f t="shared" si="32"/>
        <v>0</v>
      </c>
    </row>
    <row r="1384" spans="1:36" hidden="1" x14ac:dyDescent="0.45">
      <c r="A1384" s="518"/>
      <c r="B1384" s="514" t="s">
        <v>1429</v>
      </c>
      <c r="C1384" s="535"/>
      <c r="D1384" s="535"/>
      <c r="E1384" s="535"/>
      <c r="F1384" s="535"/>
      <c r="G1384" s="890" t="str">
        <f>IF(CHSHTAData!T27=0,"",CHSHTAData!T27)</f>
        <v/>
      </c>
      <c r="H1384" s="910"/>
      <c r="I1384" s="888">
        <f>CHSHTAData!AU27</f>
        <v>0</v>
      </c>
      <c r="J1384" s="909"/>
      <c r="K1384" s="874">
        <f>CHSHTAData!AV27</f>
        <v>0</v>
      </c>
      <c r="L1384" s="875"/>
      <c r="M1384" s="875"/>
      <c r="N1384" s="876"/>
      <c r="O1384" s="874">
        <f>CHSHTAData!AW27</f>
        <v>0</v>
      </c>
      <c r="P1384" s="875"/>
      <c r="Q1384" s="875"/>
      <c r="R1384" s="876"/>
      <c r="S1384" s="874">
        <f t="shared" si="33"/>
        <v>0</v>
      </c>
      <c r="T1384" s="875"/>
      <c r="U1384" s="875"/>
      <c r="V1384" s="876"/>
      <c r="W1384" s="859">
        <f>CHSHTAData!AY27</f>
        <v>0</v>
      </c>
      <c r="X1384" s="860"/>
      <c r="Y1384" s="619"/>
      <c r="Z1384" s="610"/>
      <c r="AA1384" s="518"/>
      <c r="AB1384" s="565"/>
      <c r="AC1384" s="565"/>
      <c r="AD1384" s="565"/>
      <c r="AE1384" s="518"/>
      <c r="AF1384" s="529"/>
      <c r="AG1384" s="529"/>
      <c r="AH1384" s="529"/>
      <c r="AJ1384" s="595" t="b">
        <f t="shared" si="32"/>
        <v>0</v>
      </c>
    </row>
    <row r="1385" spans="1:36" hidden="1" x14ac:dyDescent="0.45">
      <c r="A1385" s="518"/>
      <c r="B1385" s="514" t="s">
        <v>1430</v>
      </c>
      <c r="C1385" s="535"/>
      <c r="D1385" s="535"/>
      <c r="E1385" s="535"/>
      <c r="F1385" s="535"/>
      <c r="G1385" s="890" t="str">
        <f>IF(CHSHTAData!T28=0,"",CHSHTAData!T28)</f>
        <v/>
      </c>
      <c r="H1385" s="910"/>
      <c r="I1385" s="888">
        <f>CHSHTAData!AU28</f>
        <v>0</v>
      </c>
      <c r="J1385" s="909"/>
      <c r="K1385" s="874">
        <f>CHSHTAData!AV28</f>
        <v>0</v>
      </c>
      <c r="L1385" s="875"/>
      <c r="M1385" s="875"/>
      <c r="N1385" s="876"/>
      <c r="O1385" s="874">
        <f>CHSHTAData!AW28</f>
        <v>0</v>
      </c>
      <c r="P1385" s="875"/>
      <c r="Q1385" s="875"/>
      <c r="R1385" s="876"/>
      <c r="S1385" s="874">
        <f t="shared" si="33"/>
        <v>0</v>
      </c>
      <c r="T1385" s="875"/>
      <c r="U1385" s="875"/>
      <c r="V1385" s="876"/>
      <c r="W1385" s="859">
        <f>CHSHTAData!AY28</f>
        <v>0</v>
      </c>
      <c r="X1385" s="860"/>
      <c r="Y1385" s="619"/>
      <c r="Z1385" s="610"/>
      <c r="AA1385" s="518"/>
      <c r="AB1385" s="565"/>
      <c r="AC1385" s="565"/>
      <c r="AD1385" s="565"/>
      <c r="AE1385" s="518"/>
      <c r="AF1385" s="529"/>
      <c r="AG1385" s="529"/>
      <c r="AH1385" s="529"/>
      <c r="AJ1385" s="595" t="b">
        <f t="shared" si="32"/>
        <v>0</v>
      </c>
    </row>
    <row r="1386" spans="1:36" hidden="1" x14ac:dyDescent="0.45">
      <c r="A1386" s="518"/>
      <c r="B1386" s="514" t="s">
        <v>1431</v>
      </c>
      <c r="C1386" s="535"/>
      <c r="D1386" s="535"/>
      <c r="E1386" s="535"/>
      <c r="F1386" s="535"/>
      <c r="G1386" s="890" t="str">
        <f>IF(CHSHTAData!T29=0,"",CHSHTAData!T29)</f>
        <v/>
      </c>
      <c r="H1386" s="910"/>
      <c r="I1386" s="888">
        <f>CHSHTAData!AU29</f>
        <v>0</v>
      </c>
      <c r="J1386" s="909"/>
      <c r="K1386" s="874">
        <f>CHSHTAData!AV29</f>
        <v>0</v>
      </c>
      <c r="L1386" s="875"/>
      <c r="M1386" s="875"/>
      <c r="N1386" s="876"/>
      <c r="O1386" s="874">
        <f>CHSHTAData!AW29</f>
        <v>0</v>
      </c>
      <c r="P1386" s="875"/>
      <c r="Q1386" s="875"/>
      <c r="R1386" s="876"/>
      <c r="S1386" s="874">
        <f t="shared" si="33"/>
        <v>0</v>
      </c>
      <c r="T1386" s="875"/>
      <c r="U1386" s="875"/>
      <c r="V1386" s="876"/>
      <c r="W1386" s="859">
        <f>CHSHTAData!AY29</f>
        <v>0</v>
      </c>
      <c r="X1386" s="860"/>
      <c r="Y1386" s="619"/>
      <c r="Z1386" s="610"/>
      <c r="AA1386" s="518"/>
      <c r="AB1386" s="565"/>
      <c r="AC1386" s="565"/>
      <c r="AD1386" s="565"/>
      <c r="AE1386" s="518"/>
      <c r="AF1386" s="529"/>
      <c r="AG1386" s="529"/>
      <c r="AH1386" s="529"/>
      <c r="AJ1386" s="595" t="b">
        <f t="shared" si="32"/>
        <v>0</v>
      </c>
    </row>
    <row r="1387" spans="1:36" hidden="1" x14ac:dyDescent="0.45">
      <c r="A1387" s="518"/>
      <c r="B1387" s="514" t="s">
        <v>1432</v>
      </c>
      <c r="C1387" s="535"/>
      <c r="D1387" s="535"/>
      <c r="E1387" s="535"/>
      <c r="F1387" s="535"/>
      <c r="G1387" s="890" t="str">
        <f>IF(CHSHTAData!T30=0,"",CHSHTAData!T30)</f>
        <v/>
      </c>
      <c r="H1387" s="910"/>
      <c r="I1387" s="888">
        <f>CHSHTAData!AU30</f>
        <v>0</v>
      </c>
      <c r="J1387" s="909"/>
      <c r="K1387" s="874">
        <f>CHSHTAData!AV30</f>
        <v>0</v>
      </c>
      <c r="L1387" s="875"/>
      <c r="M1387" s="875"/>
      <c r="N1387" s="876"/>
      <c r="O1387" s="874">
        <f>CHSHTAData!AW30</f>
        <v>0</v>
      </c>
      <c r="P1387" s="875"/>
      <c r="Q1387" s="875"/>
      <c r="R1387" s="876"/>
      <c r="S1387" s="874">
        <f t="shared" si="33"/>
        <v>0</v>
      </c>
      <c r="T1387" s="875"/>
      <c r="U1387" s="875"/>
      <c r="V1387" s="876"/>
      <c r="W1387" s="859">
        <f>CHSHTAData!AY30</f>
        <v>0</v>
      </c>
      <c r="X1387" s="860"/>
      <c r="Y1387" s="619"/>
      <c r="Z1387" s="610"/>
      <c r="AA1387" s="518"/>
      <c r="AB1387" s="565"/>
      <c r="AC1387" s="565"/>
      <c r="AD1387" s="565"/>
      <c r="AE1387" s="518"/>
      <c r="AF1387" s="529"/>
      <c r="AG1387" s="529"/>
      <c r="AH1387" s="529"/>
      <c r="AJ1387" s="595" t="b">
        <f t="shared" si="32"/>
        <v>0</v>
      </c>
    </row>
    <row r="1388" spans="1:36" hidden="1" x14ac:dyDescent="0.45">
      <c r="A1388" s="518"/>
      <c r="B1388" s="514" t="s">
        <v>1433</v>
      </c>
      <c r="C1388" s="535"/>
      <c r="D1388" s="535"/>
      <c r="E1388" s="535"/>
      <c r="F1388" s="535"/>
      <c r="G1388" s="890" t="str">
        <f>IF(CHSHTAData!T31=0,"",CHSHTAData!T31)</f>
        <v/>
      </c>
      <c r="H1388" s="910"/>
      <c r="I1388" s="888">
        <f>CHSHTAData!AU31</f>
        <v>0</v>
      </c>
      <c r="J1388" s="909"/>
      <c r="K1388" s="874">
        <f>CHSHTAData!AV31</f>
        <v>0</v>
      </c>
      <c r="L1388" s="875"/>
      <c r="M1388" s="875"/>
      <c r="N1388" s="876"/>
      <c r="O1388" s="874">
        <f>CHSHTAData!AW31</f>
        <v>0</v>
      </c>
      <c r="P1388" s="875"/>
      <c r="Q1388" s="875"/>
      <c r="R1388" s="876"/>
      <c r="S1388" s="874">
        <f t="shared" si="33"/>
        <v>0</v>
      </c>
      <c r="T1388" s="875"/>
      <c r="U1388" s="875"/>
      <c r="V1388" s="876"/>
      <c r="W1388" s="859">
        <f>CHSHTAData!AY31</f>
        <v>0</v>
      </c>
      <c r="X1388" s="860"/>
      <c r="Y1388" s="619"/>
      <c r="Z1388" s="610"/>
      <c r="AA1388" s="518"/>
      <c r="AB1388" s="565"/>
      <c r="AC1388" s="565"/>
      <c r="AD1388" s="565"/>
      <c r="AE1388" s="518"/>
      <c r="AF1388" s="529"/>
      <c r="AG1388" s="529"/>
      <c r="AH1388" s="529"/>
      <c r="AJ1388" s="595" t="b">
        <f t="shared" si="32"/>
        <v>0</v>
      </c>
    </row>
    <row r="1389" spans="1:36" hidden="1" x14ac:dyDescent="0.45">
      <c r="A1389" s="518"/>
      <c r="B1389" s="514" t="s">
        <v>1434</v>
      </c>
      <c r="C1389" s="535"/>
      <c r="D1389" s="535"/>
      <c r="E1389" s="535"/>
      <c r="F1389" s="535"/>
      <c r="G1389" s="890" t="str">
        <f>IF(CHSHTAData!T32=0,"",CHSHTAData!T32)</f>
        <v/>
      </c>
      <c r="H1389" s="910"/>
      <c r="I1389" s="888">
        <f>CHSHTAData!AU32</f>
        <v>0</v>
      </c>
      <c r="J1389" s="909"/>
      <c r="K1389" s="874">
        <f>CHSHTAData!AV32</f>
        <v>0</v>
      </c>
      <c r="L1389" s="875"/>
      <c r="M1389" s="875"/>
      <c r="N1389" s="876"/>
      <c r="O1389" s="874">
        <f>CHSHTAData!AW32</f>
        <v>0</v>
      </c>
      <c r="P1389" s="875"/>
      <c r="Q1389" s="875"/>
      <c r="R1389" s="876"/>
      <c r="S1389" s="874">
        <f t="shared" si="33"/>
        <v>0</v>
      </c>
      <c r="T1389" s="875"/>
      <c r="U1389" s="875"/>
      <c r="V1389" s="876"/>
      <c r="W1389" s="859">
        <f>CHSHTAData!AY32</f>
        <v>0</v>
      </c>
      <c r="X1389" s="860"/>
      <c r="Y1389" s="619"/>
      <c r="Z1389" s="610"/>
      <c r="AA1389" s="518"/>
      <c r="AB1389" s="565"/>
      <c r="AC1389" s="565"/>
      <c r="AD1389" s="565"/>
      <c r="AE1389" s="518"/>
      <c r="AF1389" s="529"/>
      <c r="AG1389" s="529"/>
      <c r="AH1389" s="529"/>
      <c r="AJ1389" s="595" t="b">
        <f t="shared" si="32"/>
        <v>0</v>
      </c>
    </row>
    <row r="1390" spans="1:36" hidden="1" x14ac:dyDescent="0.45">
      <c r="A1390" s="518"/>
      <c r="B1390" s="514" t="s">
        <v>1435</v>
      </c>
      <c r="C1390" s="535"/>
      <c r="D1390" s="535"/>
      <c r="E1390" s="535"/>
      <c r="F1390" s="535"/>
      <c r="G1390" s="890" t="str">
        <f>IF(CHSHTAData!T33=0,"",CHSHTAData!T33)</f>
        <v/>
      </c>
      <c r="H1390" s="910"/>
      <c r="I1390" s="888">
        <f>CHSHTAData!AU33</f>
        <v>0</v>
      </c>
      <c r="J1390" s="909"/>
      <c r="K1390" s="874">
        <f>CHSHTAData!AV33</f>
        <v>0</v>
      </c>
      <c r="L1390" s="875"/>
      <c r="M1390" s="875"/>
      <c r="N1390" s="876"/>
      <c r="O1390" s="874">
        <f>CHSHTAData!AW33</f>
        <v>0</v>
      </c>
      <c r="P1390" s="875"/>
      <c r="Q1390" s="875"/>
      <c r="R1390" s="876"/>
      <c r="S1390" s="874">
        <f t="shared" si="33"/>
        <v>0</v>
      </c>
      <c r="T1390" s="875"/>
      <c r="U1390" s="875"/>
      <c r="V1390" s="876"/>
      <c r="W1390" s="859">
        <f>CHSHTAData!AY33</f>
        <v>0</v>
      </c>
      <c r="X1390" s="860"/>
      <c r="Y1390" s="619"/>
      <c r="Z1390" s="610"/>
      <c r="AA1390" s="518"/>
      <c r="AB1390" s="565"/>
      <c r="AC1390" s="565"/>
      <c r="AD1390" s="565"/>
      <c r="AE1390" s="518"/>
      <c r="AF1390" s="529"/>
      <c r="AG1390" s="529"/>
      <c r="AH1390" s="529"/>
      <c r="AJ1390" s="595" t="b">
        <f t="shared" si="32"/>
        <v>0</v>
      </c>
    </row>
    <row r="1391" spans="1:36" hidden="1" x14ac:dyDescent="0.45">
      <c r="A1391" s="518"/>
      <c r="B1391" s="514" t="s">
        <v>1436</v>
      </c>
      <c r="C1391" s="535"/>
      <c r="D1391" s="535"/>
      <c r="E1391" s="535"/>
      <c r="F1391" s="535"/>
      <c r="G1391" s="890" t="str">
        <f>IF(CHSHTAData!T34=0,"",CHSHTAData!T34)</f>
        <v/>
      </c>
      <c r="H1391" s="910"/>
      <c r="I1391" s="888">
        <f>CHSHTAData!AU34</f>
        <v>0</v>
      </c>
      <c r="J1391" s="909"/>
      <c r="K1391" s="874">
        <f>CHSHTAData!AV34</f>
        <v>0</v>
      </c>
      <c r="L1391" s="875"/>
      <c r="M1391" s="875"/>
      <c r="N1391" s="876"/>
      <c r="O1391" s="874">
        <f>CHSHTAData!AW34</f>
        <v>0</v>
      </c>
      <c r="P1391" s="875"/>
      <c r="Q1391" s="875"/>
      <c r="R1391" s="876"/>
      <c r="S1391" s="874">
        <f t="shared" si="33"/>
        <v>0</v>
      </c>
      <c r="T1391" s="875"/>
      <c r="U1391" s="875"/>
      <c r="V1391" s="876"/>
      <c r="W1391" s="859">
        <f>CHSHTAData!AY34</f>
        <v>0</v>
      </c>
      <c r="X1391" s="860"/>
      <c r="Y1391" s="619"/>
      <c r="Z1391" s="610"/>
      <c r="AA1391" s="518"/>
      <c r="AB1391" s="565"/>
      <c r="AC1391" s="565"/>
      <c r="AD1391" s="565"/>
      <c r="AE1391" s="518"/>
      <c r="AF1391" s="529"/>
      <c r="AG1391" s="529"/>
      <c r="AH1391" s="529"/>
      <c r="AJ1391" s="595" t="b">
        <f t="shared" si="32"/>
        <v>0</v>
      </c>
    </row>
    <row r="1392" spans="1:36" hidden="1" x14ac:dyDescent="0.45">
      <c r="A1392" s="518"/>
      <c r="B1392" s="514" t="s">
        <v>1437</v>
      </c>
      <c r="C1392" s="535"/>
      <c r="D1392" s="535"/>
      <c r="E1392" s="535"/>
      <c r="F1392" s="535"/>
      <c r="G1392" s="890" t="str">
        <f>IF(CHSHTAData!T35=0,"",CHSHTAData!T35)</f>
        <v/>
      </c>
      <c r="H1392" s="910"/>
      <c r="I1392" s="888">
        <f>CHSHTAData!AU35</f>
        <v>0</v>
      </c>
      <c r="J1392" s="909"/>
      <c r="K1392" s="874">
        <f>CHSHTAData!AV35</f>
        <v>0</v>
      </c>
      <c r="L1392" s="875"/>
      <c r="M1392" s="875"/>
      <c r="N1392" s="876"/>
      <c r="O1392" s="874">
        <f>CHSHTAData!AW35</f>
        <v>0</v>
      </c>
      <c r="P1392" s="875"/>
      <c r="Q1392" s="875"/>
      <c r="R1392" s="876"/>
      <c r="S1392" s="874">
        <f t="shared" si="33"/>
        <v>0</v>
      </c>
      <c r="T1392" s="875"/>
      <c r="U1392" s="875"/>
      <c r="V1392" s="876"/>
      <c r="W1392" s="859">
        <f>CHSHTAData!AY35</f>
        <v>0</v>
      </c>
      <c r="X1392" s="860"/>
      <c r="Y1392" s="619"/>
      <c r="Z1392" s="610"/>
      <c r="AA1392" s="518"/>
      <c r="AB1392" s="565"/>
      <c r="AC1392" s="565"/>
      <c r="AD1392" s="565"/>
      <c r="AE1392" s="518"/>
      <c r="AF1392" s="529"/>
      <c r="AG1392" s="529"/>
      <c r="AH1392" s="529"/>
      <c r="AJ1392" s="595" t="b">
        <f t="shared" ref="AJ1392:AJ1417" si="34">IF(AND(AJ$1353,S1392&gt;0),TRUE,FALSE)</f>
        <v>0</v>
      </c>
    </row>
    <row r="1393" spans="1:36" hidden="1" x14ac:dyDescent="0.45">
      <c r="A1393" s="518"/>
      <c r="B1393" s="514" t="s">
        <v>1438</v>
      </c>
      <c r="C1393" s="535"/>
      <c r="D1393" s="535"/>
      <c r="E1393" s="535"/>
      <c r="F1393" s="535"/>
      <c r="G1393" s="890" t="str">
        <f>IF(CHSHTAData!T36=0,"",CHSHTAData!T36)</f>
        <v/>
      </c>
      <c r="H1393" s="910"/>
      <c r="I1393" s="888">
        <f>CHSHTAData!AU36</f>
        <v>0</v>
      </c>
      <c r="J1393" s="909"/>
      <c r="K1393" s="874">
        <f>CHSHTAData!AV36</f>
        <v>0</v>
      </c>
      <c r="L1393" s="875"/>
      <c r="M1393" s="875"/>
      <c r="N1393" s="876"/>
      <c r="O1393" s="874">
        <f>CHSHTAData!AW36</f>
        <v>0</v>
      </c>
      <c r="P1393" s="875"/>
      <c r="Q1393" s="875"/>
      <c r="R1393" s="876"/>
      <c r="S1393" s="874">
        <f t="shared" si="33"/>
        <v>0</v>
      </c>
      <c r="T1393" s="875"/>
      <c r="U1393" s="875"/>
      <c r="V1393" s="876"/>
      <c r="W1393" s="859">
        <f>CHSHTAData!AY36</f>
        <v>0</v>
      </c>
      <c r="X1393" s="860"/>
      <c r="Y1393" s="619"/>
      <c r="Z1393" s="610"/>
      <c r="AA1393" s="518"/>
      <c r="AB1393" s="565"/>
      <c r="AC1393" s="565"/>
      <c r="AD1393" s="565"/>
      <c r="AE1393" s="518"/>
      <c r="AF1393" s="529"/>
      <c r="AG1393" s="529"/>
      <c r="AH1393" s="529"/>
      <c r="AJ1393" s="595" t="b">
        <f t="shared" si="34"/>
        <v>0</v>
      </c>
    </row>
    <row r="1394" spans="1:36" hidden="1" x14ac:dyDescent="0.45">
      <c r="A1394" s="518"/>
      <c r="B1394" s="514" t="s">
        <v>1439</v>
      </c>
      <c r="C1394" s="535"/>
      <c r="D1394" s="535"/>
      <c r="E1394" s="535"/>
      <c r="F1394" s="535"/>
      <c r="G1394" s="890" t="str">
        <f>IF(CHSHTAData!T37=0,"",CHSHTAData!T37)</f>
        <v/>
      </c>
      <c r="H1394" s="910"/>
      <c r="I1394" s="888">
        <f>CHSHTAData!AU37</f>
        <v>0</v>
      </c>
      <c r="J1394" s="909"/>
      <c r="K1394" s="874">
        <f>CHSHTAData!AV37</f>
        <v>0</v>
      </c>
      <c r="L1394" s="875"/>
      <c r="M1394" s="875"/>
      <c r="N1394" s="876"/>
      <c r="O1394" s="874">
        <f>CHSHTAData!AW37</f>
        <v>0</v>
      </c>
      <c r="P1394" s="875"/>
      <c r="Q1394" s="875"/>
      <c r="R1394" s="876"/>
      <c r="S1394" s="874">
        <f t="shared" si="33"/>
        <v>0</v>
      </c>
      <c r="T1394" s="875"/>
      <c r="U1394" s="875"/>
      <c r="V1394" s="876"/>
      <c r="W1394" s="859">
        <f>CHSHTAData!AY37</f>
        <v>0</v>
      </c>
      <c r="X1394" s="860"/>
      <c r="Y1394" s="619"/>
      <c r="Z1394" s="610"/>
      <c r="AA1394" s="518"/>
      <c r="AB1394" s="565"/>
      <c r="AC1394" s="565"/>
      <c r="AD1394" s="565"/>
      <c r="AE1394" s="518"/>
      <c r="AF1394" s="529"/>
      <c r="AG1394" s="529"/>
      <c r="AH1394" s="529"/>
      <c r="AJ1394" s="595" t="b">
        <f t="shared" si="34"/>
        <v>0</v>
      </c>
    </row>
    <row r="1395" spans="1:36" hidden="1" x14ac:dyDescent="0.45">
      <c r="A1395" s="518"/>
      <c r="B1395" s="514" t="s">
        <v>1440</v>
      </c>
      <c r="C1395" s="535"/>
      <c r="D1395" s="535"/>
      <c r="E1395" s="535"/>
      <c r="F1395" s="535"/>
      <c r="G1395" s="890" t="str">
        <f>IF(CHSHTAData!T38=0,"",CHSHTAData!T38)</f>
        <v/>
      </c>
      <c r="H1395" s="910"/>
      <c r="I1395" s="888">
        <f>CHSHTAData!AU38</f>
        <v>0</v>
      </c>
      <c r="J1395" s="909"/>
      <c r="K1395" s="874">
        <f>CHSHTAData!AV38</f>
        <v>0</v>
      </c>
      <c r="L1395" s="875"/>
      <c r="M1395" s="875"/>
      <c r="N1395" s="876"/>
      <c r="O1395" s="874">
        <f>CHSHTAData!AW38</f>
        <v>0</v>
      </c>
      <c r="P1395" s="875"/>
      <c r="Q1395" s="875"/>
      <c r="R1395" s="876"/>
      <c r="S1395" s="874">
        <f t="shared" si="33"/>
        <v>0</v>
      </c>
      <c r="T1395" s="875"/>
      <c r="U1395" s="875"/>
      <c r="V1395" s="876"/>
      <c r="W1395" s="859">
        <f>CHSHTAData!AY38</f>
        <v>0</v>
      </c>
      <c r="X1395" s="860"/>
      <c r="Y1395" s="619"/>
      <c r="Z1395" s="610"/>
      <c r="AA1395" s="518"/>
      <c r="AB1395" s="565"/>
      <c r="AC1395" s="565"/>
      <c r="AD1395" s="565"/>
      <c r="AE1395" s="518"/>
      <c r="AF1395" s="529"/>
      <c r="AG1395" s="529"/>
      <c r="AH1395" s="529"/>
      <c r="AJ1395" s="595" t="b">
        <f t="shared" si="34"/>
        <v>0</v>
      </c>
    </row>
    <row r="1396" spans="1:36" hidden="1" x14ac:dyDescent="0.45">
      <c r="A1396" s="518"/>
      <c r="B1396" s="514" t="s">
        <v>1441</v>
      </c>
      <c r="C1396" s="535"/>
      <c r="D1396" s="535"/>
      <c r="E1396" s="535"/>
      <c r="F1396" s="535"/>
      <c r="G1396" s="890" t="str">
        <f>IF(CHSHTAData!T39=0,"",CHSHTAData!T39)</f>
        <v/>
      </c>
      <c r="H1396" s="910"/>
      <c r="I1396" s="888">
        <f>CHSHTAData!AU39</f>
        <v>0</v>
      </c>
      <c r="J1396" s="909"/>
      <c r="K1396" s="874">
        <f>CHSHTAData!AV39</f>
        <v>0</v>
      </c>
      <c r="L1396" s="875"/>
      <c r="M1396" s="875"/>
      <c r="N1396" s="876"/>
      <c r="O1396" s="874">
        <f>CHSHTAData!AW39</f>
        <v>0</v>
      </c>
      <c r="P1396" s="875"/>
      <c r="Q1396" s="875"/>
      <c r="R1396" s="876"/>
      <c r="S1396" s="874">
        <f t="shared" si="33"/>
        <v>0</v>
      </c>
      <c r="T1396" s="875"/>
      <c r="U1396" s="875"/>
      <c r="V1396" s="876"/>
      <c r="W1396" s="859">
        <f>CHSHTAData!AY39</f>
        <v>0</v>
      </c>
      <c r="X1396" s="860"/>
      <c r="Y1396" s="619"/>
      <c r="Z1396" s="610"/>
      <c r="AA1396" s="518"/>
      <c r="AB1396" s="565"/>
      <c r="AC1396" s="565"/>
      <c r="AD1396" s="565"/>
      <c r="AE1396" s="518"/>
      <c r="AF1396" s="529"/>
      <c r="AG1396" s="529"/>
      <c r="AH1396" s="529"/>
      <c r="AJ1396" s="595" t="b">
        <f t="shared" si="34"/>
        <v>0</v>
      </c>
    </row>
    <row r="1397" spans="1:36" hidden="1" x14ac:dyDescent="0.45">
      <c r="A1397" s="518"/>
      <c r="B1397" s="514" t="s">
        <v>152</v>
      </c>
      <c r="C1397" s="535"/>
      <c r="D1397" s="535"/>
      <c r="E1397" s="535"/>
      <c r="F1397" s="535"/>
      <c r="G1397" s="890" t="str">
        <f>IF(CHSHTAData!T40=0,"",CHSHTAData!T40)</f>
        <v/>
      </c>
      <c r="H1397" s="910"/>
      <c r="I1397" s="888">
        <f>CHSHTAData!AU40</f>
        <v>0</v>
      </c>
      <c r="J1397" s="909"/>
      <c r="K1397" s="874">
        <f>CHSHTAData!AV40</f>
        <v>0</v>
      </c>
      <c r="L1397" s="875"/>
      <c r="M1397" s="875"/>
      <c r="N1397" s="876"/>
      <c r="O1397" s="874">
        <f>CHSHTAData!AW40</f>
        <v>0</v>
      </c>
      <c r="P1397" s="875"/>
      <c r="Q1397" s="875"/>
      <c r="R1397" s="876"/>
      <c r="S1397" s="874">
        <f t="shared" si="33"/>
        <v>0</v>
      </c>
      <c r="T1397" s="875"/>
      <c r="U1397" s="875"/>
      <c r="V1397" s="876"/>
      <c r="W1397" s="859">
        <f>CHSHTAData!AY40</f>
        <v>0</v>
      </c>
      <c r="X1397" s="860"/>
      <c r="Y1397" s="619"/>
      <c r="Z1397" s="610"/>
      <c r="AA1397" s="518"/>
      <c r="AB1397" s="565"/>
      <c r="AC1397" s="565"/>
      <c r="AD1397" s="565"/>
      <c r="AE1397" s="518"/>
      <c r="AF1397" s="529"/>
      <c r="AG1397" s="529"/>
      <c r="AH1397" s="529"/>
      <c r="AJ1397" s="595" t="b">
        <f t="shared" si="34"/>
        <v>0</v>
      </c>
    </row>
    <row r="1398" spans="1:36" hidden="1" x14ac:dyDescent="0.45">
      <c r="A1398" s="518"/>
      <c r="B1398" s="514" t="s">
        <v>1442</v>
      </c>
      <c r="C1398" s="535"/>
      <c r="D1398" s="535"/>
      <c r="E1398" s="535"/>
      <c r="F1398" s="535"/>
      <c r="G1398" s="890" t="str">
        <f>IF(CHSHTAData!T41=0,"",CHSHTAData!T41)</f>
        <v/>
      </c>
      <c r="H1398" s="910"/>
      <c r="I1398" s="888">
        <f>CHSHTAData!AU41</f>
        <v>0</v>
      </c>
      <c r="J1398" s="909"/>
      <c r="K1398" s="874">
        <f>CHSHTAData!AV41</f>
        <v>0</v>
      </c>
      <c r="L1398" s="875"/>
      <c r="M1398" s="875"/>
      <c r="N1398" s="876"/>
      <c r="O1398" s="874">
        <f>CHSHTAData!AW41</f>
        <v>0</v>
      </c>
      <c r="P1398" s="875"/>
      <c r="Q1398" s="875"/>
      <c r="R1398" s="876"/>
      <c r="S1398" s="874">
        <f t="shared" si="33"/>
        <v>0</v>
      </c>
      <c r="T1398" s="875"/>
      <c r="U1398" s="875"/>
      <c r="V1398" s="876"/>
      <c r="W1398" s="859">
        <f>CHSHTAData!AY41</f>
        <v>0</v>
      </c>
      <c r="X1398" s="860"/>
      <c r="Y1398" s="619"/>
      <c r="Z1398" s="610"/>
      <c r="AA1398" s="518"/>
      <c r="AB1398" s="565"/>
      <c r="AC1398" s="565"/>
      <c r="AD1398" s="565"/>
      <c r="AE1398" s="518"/>
      <c r="AF1398" s="529"/>
      <c r="AG1398" s="529"/>
      <c r="AH1398" s="529"/>
      <c r="AJ1398" s="595" t="b">
        <f t="shared" si="34"/>
        <v>0</v>
      </c>
    </row>
    <row r="1399" spans="1:36" hidden="1" x14ac:dyDescent="0.45">
      <c r="A1399" s="518"/>
      <c r="B1399" s="514" t="s">
        <v>1443</v>
      </c>
      <c r="C1399" s="535"/>
      <c r="D1399" s="535"/>
      <c r="E1399" s="535"/>
      <c r="F1399" s="535"/>
      <c r="G1399" s="890" t="str">
        <f>IF(CHSHTAData!T42=0,"",CHSHTAData!T42)</f>
        <v/>
      </c>
      <c r="H1399" s="910"/>
      <c r="I1399" s="888">
        <f>CHSHTAData!AU42</f>
        <v>0</v>
      </c>
      <c r="J1399" s="909"/>
      <c r="K1399" s="874">
        <f>CHSHTAData!AV42</f>
        <v>0</v>
      </c>
      <c r="L1399" s="875"/>
      <c r="M1399" s="875"/>
      <c r="N1399" s="876"/>
      <c r="O1399" s="874">
        <f>CHSHTAData!AW42</f>
        <v>0</v>
      </c>
      <c r="P1399" s="875"/>
      <c r="Q1399" s="875"/>
      <c r="R1399" s="876"/>
      <c r="S1399" s="874">
        <f t="shared" si="33"/>
        <v>0</v>
      </c>
      <c r="T1399" s="875"/>
      <c r="U1399" s="875"/>
      <c r="V1399" s="876"/>
      <c r="W1399" s="859">
        <f>CHSHTAData!AY42</f>
        <v>0</v>
      </c>
      <c r="X1399" s="860"/>
      <c r="Y1399" s="619"/>
      <c r="Z1399" s="610"/>
      <c r="AA1399" s="518"/>
      <c r="AB1399" s="565"/>
      <c r="AC1399" s="565"/>
      <c r="AD1399" s="565"/>
      <c r="AE1399" s="518"/>
      <c r="AF1399" s="529"/>
      <c r="AG1399" s="529"/>
      <c r="AH1399" s="529"/>
      <c r="AJ1399" s="595" t="b">
        <f t="shared" si="34"/>
        <v>0</v>
      </c>
    </row>
    <row r="1400" spans="1:36" hidden="1" x14ac:dyDescent="0.45">
      <c r="A1400" s="518"/>
      <c r="B1400" s="514" t="s">
        <v>1444</v>
      </c>
      <c r="C1400" s="535"/>
      <c r="D1400" s="535"/>
      <c r="E1400" s="535"/>
      <c r="F1400" s="535"/>
      <c r="G1400" s="890" t="str">
        <f>IF(CHSHTAData!T43=0,"",CHSHTAData!T43)</f>
        <v/>
      </c>
      <c r="H1400" s="910"/>
      <c r="I1400" s="888">
        <f>CHSHTAData!AU43</f>
        <v>0</v>
      </c>
      <c r="J1400" s="909"/>
      <c r="K1400" s="874">
        <f>CHSHTAData!AV43</f>
        <v>0</v>
      </c>
      <c r="L1400" s="875"/>
      <c r="M1400" s="875"/>
      <c r="N1400" s="876"/>
      <c r="O1400" s="874">
        <f>CHSHTAData!AW43</f>
        <v>0</v>
      </c>
      <c r="P1400" s="875"/>
      <c r="Q1400" s="875"/>
      <c r="R1400" s="876"/>
      <c r="S1400" s="874">
        <f t="shared" si="33"/>
        <v>0</v>
      </c>
      <c r="T1400" s="875"/>
      <c r="U1400" s="875"/>
      <c r="V1400" s="876"/>
      <c r="W1400" s="859">
        <f>CHSHTAData!AY43</f>
        <v>0</v>
      </c>
      <c r="X1400" s="860"/>
      <c r="Y1400" s="619"/>
      <c r="Z1400" s="610"/>
      <c r="AA1400" s="518"/>
      <c r="AB1400" s="565"/>
      <c r="AC1400" s="565"/>
      <c r="AD1400" s="565"/>
      <c r="AE1400" s="518"/>
      <c r="AF1400" s="529"/>
      <c r="AG1400" s="529"/>
      <c r="AH1400" s="529"/>
      <c r="AJ1400" s="595" t="b">
        <f t="shared" si="34"/>
        <v>0</v>
      </c>
    </row>
    <row r="1401" spans="1:36" hidden="1" x14ac:dyDescent="0.45">
      <c r="A1401" s="518"/>
      <c r="B1401" s="514" t="s">
        <v>1445</v>
      </c>
      <c r="C1401" s="535"/>
      <c r="D1401" s="535"/>
      <c r="E1401" s="535"/>
      <c r="F1401" s="535"/>
      <c r="G1401" s="890" t="str">
        <f>IF(CHSHTAData!T44=0,"",CHSHTAData!T44)</f>
        <v/>
      </c>
      <c r="H1401" s="910"/>
      <c r="I1401" s="888">
        <f>CHSHTAData!AU44</f>
        <v>0</v>
      </c>
      <c r="J1401" s="909"/>
      <c r="K1401" s="874">
        <f>CHSHTAData!AV44</f>
        <v>0</v>
      </c>
      <c r="L1401" s="875"/>
      <c r="M1401" s="875"/>
      <c r="N1401" s="876"/>
      <c r="O1401" s="874">
        <f>CHSHTAData!AW44</f>
        <v>0</v>
      </c>
      <c r="P1401" s="875"/>
      <c r="Q1401" s="875"/>
      <c r="R1401" s="876"/>
      <c r="S1401" s="874">
        <f t="shared" si="33"/>
        <v>0</v>
      </c>
      <c r="T1401" s="875"/>
      <c r="U1401" s="875"/>
      <c r="V1401" s="876"/>
      <c r="W1401" s="859">
        <f>CHSHTAData!AY44</f>
        <v>0</v>
      </c>
      <c r="X1401" s="860"/>
      <c r="Y1401" s="619"/>
      <c r="Z1401" s="610"/>
      <c r="AA1401" s="518"/>
      <c r="AB1401" s="565"/>
      <c r="AC1401" s="565"/>
      <c r="AD1401" s="565"/>
      <c r="AE1401" s="518"/>
      <c r="AF1401" s="529"/>
      <c r="AG1401" s="529"/>
      <c r="AH1401" s="529"/>
      <c r="AJ1401" s="595" t="b">
        <f t="shared" si="34"/>
        <v>0</v>
      </c>
    </row>
    <row r="1402" spans="1:36" hidden="1" x14ac:dyDescent="0.45">
      <c r="A1402" s="518"/>
      <c r="B1402" s="514" t="s">
        <v>1446</v>
      </c>
      <c r="C1402" s="535"/>
      <c r="D1402" s="535"/>
      <c r="E1402" s="535"/>
      <c r="F1402" s="535"/>
      <c r="G1402" s="890" t="str">
        <f>IF(CHSHTAData!T45=0,"",CHSHTAData!T45)</f>
        <v/>
      </c>
      <c r="H1402" s="910"/>
      <c r="I1402" s="888">
        <f>CHSHTAData!AU45</f>
        <v>0</v>
      </c>
      <c r="J1402" s="909"/>
      <c r="K1402" s="874">
        <f>CHSHTAData!AV45</f>
        <v>0</v>
      </c>
      <c r="L1402" s="875"/>
      <c r="M1402" s="875"/>
      <c r="N1402" s="876"/>
      <c r="O1402" s="874">
        <f>CHSHTAData!AW45</f>
        <v>0</v>
      </c>
      <c r="P1402" s="875"/>
      <c r="Q1402" s="875"/>
      <c r="R1402" s="876"/>
      <c r="S1402" s="874">
        <f t="shared" si="33"/>
        <v>0</v>
      </c>
      <c r="T1402" s="875"/>
      <c r="U1402" s="875"/>
      <c r="V1402" s="876"/>
      <c r="W1402" s="859">
        <f>CHSHTAData!AY45</f>
        <v>0</v>
      </c>
      <c r="X1402" s="860"/>
      <c r="Y1402" s="619"/>
      <c r="Z1402" s="610"/>
      <c r="AA1402" s="518"/>
      <c r="AB1402" s="565"/>
      <c r="AC1402" s="565"/>
      <c r="AD1402" s="565"/>
      <c r="AE1402" s="518"/>
      <c r="AF1402" s="529"/>
      <c r="AG1402" s="529"/>
      <c r="AH1402" s="529"/>
      <c r="AJ1402" s="595" t="b">
        <f t="shared" si="34"/>
        <v>0</v>
      </c>
    </row>
    <row r="1403" spans="1:36" hidden="1" x14ac:dyDescent="0.45">
      <c r="B1403" s="514" t="s">
        <v>1447</v>
      </c>
      <c r="C1403" s="535"/>
      <c r="D1403" s="535"/>
      <c r="E1403" s="535"/>
      <c r="F1403" s="535"/>
      <c r="G1403" s="890" t="str">
        <f>IF(CHSHTAData!T46=0,"",CHSHTAData!T46)</f>
        <v/>
      </c>
      <c r="H1403" s="910"/>
      <c r="I1403" s="888">
        <f>CHSHTAData!AU46</f>
        <v>0</v>
      </c>
      <c r="J1403" s="909"/>
      <c r="K1403" s="874">
        <f>CHSHTAData!AV46</f>
        <v>0</v>
      </c>
      <c r="L1403" s="875"/>
      <c r="M1403" s="875"/>
      <c r="N1403" s="876"/>
      <c r="O1403" s="874">
        <f>CHSHTAData!AW46</f>
        <v>0</v>
      </c>
      <c r="P1403" s="875"/>
      <c r="Q1403" s="875"/>
      <c r="R1403" s="876"/>
      <c r="S1403" s="874">
        <f t="shared" si="33"/>
        <v>0</v>
      </c>
      <c r="T1403" s="875"/>
      <c r="U1403" s="875"/>
      <c r="V1403" s="876"/>
      <c r="W1403" s="859">
        <f>CHSHTAData!AY46</f>
        <v>0</v>
      </c>
      <c r="X1403" s="860"/>
      <c r="Y1403" s="619"/>
      <c r="Z1403" s="610"/>
      <c r="AA1403" s="518"/>
      <c r="AB1403" s="565"/>
      <c r="AC1403" s="565"/>
      <c r="AD1403" s="565"/>
      <c r="AE1403" s="518"/>
      <c r="AF1403" s="529"/>
      <c r="AG1403" s="529"/>
      <c r="AH1403" s="518"/>
      <c r="AJ1403" s="595" t="b">
        <f t="shared" si="34"/>
        <v>0</v>
      </c>
    </row>
    <row r="1404" spans="1:36" hidden="1" x14ac:dyDescent="0.45">
      <c r="B1404" s="514" t="s">
        <v>1448</v>
      </c>
      <c r="C1404" s="535"/>
      <c r="D1404" s="535"/>
      <c r="E1404" s="535"/>
      <c r="F1404" s="535"/>
      <c r="G1404" s="890" t="str">
        <f>IF(CHSHTAData!T47=0,"",CHSHTAData!T47)</f>
        <v/>
      </c>
      <c r="H1404" s="910"/>
      <c r="I1404" s="888">
        <f>CHSHTAData!AU47</f>
        <v>0</v>
      </c>
      <c r="J1404" s="909"/>
      <c r="K1404" s="874">
        <f>CHSHTAData!AV47</f>
        <v>0</v>
      </c>
      <c r="L1404" s="875"/>
      <c r="M1404" s="875"/>
      <c r="N1404" s="876"/>
      <c r="O1404" s="874">
        <f>CHSHTAData!AW47</f>
        <v>0</v>
      </c>
      <c r="P1404" s="875"/>
      <c r="Q1404" s="875"/>
      <c r="R1404" s="876"/>
      <c r="S1404" s="874">
        <f t="shared" si="33"/>
        <v>0</v>
      </c>
      <c r="T1404" s="875"/>
      <c r="U1404" s="875"/>
      <c r="V1404" s="876"/>
      <c r="W1404" s="859">
        <f>CHSHTAData!AY47</f>
        <v>0</v>
      </c>
      <c r="X1404" s="860"/>
      <c r="Y1404" s="619"/>
      <c r="Z1404" s="610"/>
      <c r="AA1404" s="518"/>
      <c r="AB1404" s="565"/>
      <c r="AC1404" s="565"/>
      <c r="AD1404" s="565"/>
      <c r="AE1404" s="518"/>
      <c r="AF1404" s="529"/>
      <c r="AG1404" s="529"/>
      <c r="AH1404" s="518"/>
      <c r="AJ1404" s="595" t="b">
        <f t="shared" si="34"/>
        <v>0</v>
      </c>
    </row>
    <row r="1405" spans="1:36" hidden="1" x14ac:dyDescent="0.45">
      <c r="B1405" s="514" t="s">
        <v>1449</v>
      </c>
      <c r="C1405" s="535"/>
      <c r="D1405" s="535"/>
      <c r="E1405" s="535"/>
      <c r="F1405" s="535"/>
      <c r="G1405" s="890" t="str">
        <f>IF(CHSHTAData!T48=0,"",CHSHTAData!T48)</f>
        <v/>
      </c>
      <c r="H1405" s="910"/>
      <c r="I1405" s="888">
        <f>CHSHTAData!AU48</f>
        <v>0</v>
      </c>
      <c r="J1405" s="909"/>
      <c r="K1405" s="874">
        <f>CHSHTAData!AV48</f>
        <v>0</v>
      </c>
      <c r="L1405" s="875"/>
      <c r="M1405" s="875"/>
      <c r="N1405" s="876"/>
      <c r="O1405" s="874">
        <f>CHSHTAData!AW48</f>
        <v>0</v>
      </c>
      <c r="P1405" s="875"/>
      <c r="Q1405" s="875"/>
      <c r="R1405" s="876"/>
      <c r="S1405" s="874">
        <f t="shared" si="33"/>
        <v>0</v>
      </c>
      <c r="T1405" s="875"/>
      <c r="U1405" s="875"/>
      <c r="V1405" s="876"/>
      <c r="W1405" s="859">
        <f>CHSHTAData!AY48</f>
        <v>0</v>
      </c>
      <c r="X1405" s="860"/>
      <c r="Y1405" s="619"/>
      <c r="Z1405" s="610"/>
      <c r="AA1405" s="518"/>
      <c r="AB1405" s="565"/>
      <c r="AC1405" s="565"/>
      <c r="AD1405" s="565"/>
      <c r="AE1405" s="518"/>
      <c r="AF1405" s="529"/>
      <c r="AG1405" s="529"/>
      <c r="AH1405" s="518"/>
      <c r="AJ1405" s="595" t="b">
        <f t="shared" si="34"/>
        <v>0</v>
      </c>
    </row>
    <row r="1406" spans="1:36" hidden="1" x14ac:dyDescent="0.45">
      <c r="B1406" s="514" t="s">
        <v>1450</v>
      </c>
      <c r="C1406" s="535"/>
      <c r="D1406" s="535"/>
      <c r="E1406" s="535"/>
      <c r="F1406" s="535"/>
      <c r="G1406" s="890" t="str">
        <f>IF(CHSHTAData!T49=0,"",CHSHTAData!T49)</f>
        <v/>
      </c>
      <c r="H1406" s="910"/>
      <c r="I1406" s="888">
        <f>CHSHTAData!AU49</f>
        <v>0</v>
      </c>
      <c r="J1406" s="909"/>
      <c r="K1406" s="874">
        <f>CHSHTAData!AV49</f>
        <v>0</v>
      </c>
      <c r="L1406" s="875"/>
      <c r="M1406" s="875"/>
      <c r="N1406" s="876"/>
      <c r="O1406" s="874">
        <f>CHSHTAData!AW49</f>
        <v>0</v>
      </c>
      <c r="P1406" s="875"/>
      <c r="Q1406" s="875"/>
      <c r="R1406" s="876"/>
      <c r="S1406" s="874">
        <f t="shared" si="33"/>
        <v>0</v>
      </c>
      <c r="T1406" s="875"/>
      <c r="U1406" s="875"/>
      <c r="V1406" s="876"/>
      <c r="W1406" s="859">
        <f>CHSHTAData!AY49</f>
        <v>0</v>
      </c>
      <c r="X1406" s="860"/>
      <c r="Y1406" s="619"/>
      <c r="Z1406" s="610"/>
      <c r="AA1406" s="518"/>
      <c r="AB1406" s="565"/>
      <c r="AC1406" s="565"/>
      <c r="AD1406" s="565"/>
      <c r="AE1406" s="518"/>
      <c r="AF1406" s="529"/>
      <c r="AG1406" s="529"/>
      <c r="AH1406" s="518"/>
      <c r="AJ1406" s="595" t="b">
        <f t="shared" si="34"/>
        <v>0</v>
      </c>
    </row>
    <row r="1407" spans="1:36" hidden="1" x14ac:dyDescent="0.45">
      <c r="B1407" s="514" t="s">
        <v>1451</v>
      </c>
      <c r="C1407" s="535"/>
      <c r="D1407" s="535"/>
      <c r="E1407" s="535"/>
      <c r="F1407" s="535"/>
      <c r="G1407" s="890" t="str">
        <f>IF(CHSHTAData!T50=0,"",CHSHTAData!T50)</f>
        <v/>
      </c>
      <c r="H1407" s="910"/>
      <c r="I1407" s="888">
        <f>CHSHTAData!AU50</f>
        <v>0</v>
      </c>
      <c r="J1407" s="909"/>
      <c r="K1407" s="874">
        <f>CHSHTAData!AV50</f>
        <v>0</v>
      </c>
      <c r="L1407" s="875"/>
      <c r="M1407" s="875"/>
      <c r="N1407" s="876"/>
      <c r="O1407" s="874">
        <f>CHSHTAData!AW50</f>
        <v>0</v>
      </c>
      <c r="P1407" s="875"/>
      <c r="Q1407" s="875"/>
      <c r="R1407" s="876"/>
      <c r="S1407" s="874">
        <f t="shared" si="33"/>
        <v>0</v>
      </c>
      <c r="T1407" s="875"/>
      <c r="U1407" s="875"/>
      <c r="V1407" s="876"/>
      <c r="W1407" s="859">
        <f>CHSHTAData!AY50</f>
        <v>0</v>
      </c>
      <c r="X1407" s="860"/>
      <c r="Y1407" s="619"/>
      <c r="Z1407" s="610"/>
      <c r="AA1407" s="518"/>
      <c r="AB1407" s="565"/>
      <c r="AC1407" s="565"/>
      <c r="AD1407" s="565"/>
      <c r="AE1407" s="518"/>
      <c r="AF1407" s="529"/>
      <c r="AG1407" s="529"/>
      <c r="AH1407" s="518"/>
      <c r="AJ1407" s="595" t="b">
        <f t="shared" si="34"/>
        <v>0</v>
      </c>
    </row>
    <row r="1408" spans="1:36" hidden="1" x14ac:dyDescent="0.45">
      <c r="B1408" s="514" t="s">
        <v>1452</v>
      </c>
      <c r="C1408" s="535"/>
      <c r="D1408" s="535"/>
      <c r="E1408" s="535"/>
      <c r="F1408" s="535"/>
      <c r="G1408" s="890" t="str">
        <f>IF(CHSHTAData!T51=0,"",CHSHTAData!T51)</f>
        <v/>
      </c>
      <c r="H1408" s="910"/>
      <c r="I1408" s="888">
        <f>CHSHTAData!AU51</f>
        <v>0</v>
      </c>
      <c r="J1408" s="909"/>
      <c r="K1408" s="874">
        <f>CHSHTAData!AV51</f>
        <v>0</v>
      </c>
      <c r="L1408" s="875"/>
      <c r="M1408" s="875"/>
      <c r="N1408" s="876"/>
      <c r="O1408" s="874">
        <f>CHSHTAData!AW51</f>
        <v>0</v>
      </c>
      <c r="P1408" s="875"/>
      <c r="Q1408" s="875"/>
      <c r="R1408" s="876"/>
      <c r="S1408" s="874">
        <f t="shared" si="33"/>
        <v>0</v>
      </c>
      <c r="T1408" s="875"/>
      <c r="U1408" s="875"/>
      <c r="V1408" s="876"/>
      <c r="W1408" s="859">
        <f>CHSHTAData!AY51</f>
        <v>0</v>
      </c>
      <c r="X1408" s="860"/>
      <c r="Y1408" s="619"/>
      <c r="Z1408" s="610"/>
      <c r="AA1408" s="518"/>
      <c r="AB1408" s="565"/>
      <c r="AC1408" s="565"/>
      <c r="AD1408" s="565"/>
      <c r="AE1408" s="518"/>
      <c r="AF1408" s="529"/>
      <c r="AG1408" s="529"/>
      <c r="AH1408" s="518"/>
      <c r="AJ1408" s="595" t="b">
        <f t="shared" si="34"/>
        <v>0</v>
      </c>
    </row>
    <row r="1409" spans="1:36" hidden="1" x14ac:dyDescent="0.45">
      <c r="B1409" s="514" t="s">
        <v>1453</v>
      </c>
      <c r="C1409" s="535"/>
      <c r="D1409" s="535"/>
      <c r="E1409" s="535"/>
      <c r="F1409" s="535"/>
      <c r="G1409" s="890" t="str">
        <f>IF(CHSHTAData!T52=0,"",CHSHTAData!T52)</f>
        <v/>
      </c>
      <c r="H1409" s="910"/>
      <c r="I1409" s="888">
        <f>CHSHTAData!AU52</f>
        <v>0</v>
      </c>
      <c r="J1409" s="909"/>
      <c r="K1409" s="874">
        <f>CHSHTAData!AV52</f>
        <v>0</v>
      </c>
      <c r="L1409" s="875"/>
      <c r="M1409" s="875"/>
      <c r="N1409" s="876"/>
      <c r="O1409" s="874">
        <f>CHSHTAData!AW52</f>
        <v>0</v>
      </c>
      <c r="P1409" s="875"/>
      <c r="Q1409" s="875"/>
      <c r="R1409" s="876"/>
      <c r="S1409" s="874">
        <f t="shared" si="33"/>
        <v>0</v>
      </c>
      <c r="T1409" s="875"/>
      <c r="U1409" s="875"/>
      <c r="V1409" s="876"/>
      <c r="W1409" s="859">
        <f>CHSHTAData!AY52</f>
        <v>0</v>
      </c>
      <c r="X1409" s="860"/>
      <c r="Y1409" s="619"/>
      <c r="Z1409" s="610"/>
      <c r="AA1409" s="518"/>
      <c r="AB1409" s="565"/>
      <c r="AC1409" s="565"/>
      <c r="AD1409" s="565"/>
      <c r="AE1409" s="518"/>
      <c r="AF1409" s="529"/>
      <c r="AG1409" s="529"/>
      <c r="AH1409" s="518"/>
      <c r="AJ1409" s="595" t="b">
        <f t="shared" si="34"/>
        <v>0</v>
      </c>
    </row>
    <row r="1410" spans="1:36" hidden="1" x14ac:dyDescent="0.45">
      <c r="B1410" s="514" t="s">
        <v>1454</v>
      </c>
      <c r="C1410" s="535"/>
      <c r="D1410" s="535"/>
      <c r="E1410" s="535"/>
      <c r="F1410" s="535"/>
      <c r="G1410" s="890" t="str">
        <f>IF(CHSHTAData!T53=0,"",CHSHTAData!T53)</f>
        <v/>
      </c>
      <c r="H1410" s="910"/>
      <c r="I1410" s="888">
        <f>CHSHTAData!AU53</f>
        <v>0</v>
      </c>
      <c r="J1410" s="909"/>
      <c r="K1410" s="874">
        <f>CHSHTAData!AV53</f>
        <v>0</v>
      </c>
      <c r="L1410" s="875"/>
      <c r="M1410" s="875"/>
      <c r="N1410" s="876"/>
      <c r="O1410" s="874">
        <f>CHSHTAData!AW53</f>
        <v>0</v>
      </c>
      <c r="P1410" s="875"/>
      <c r="Q1410" s="875"/>
      <c r="R1410" s="876"/>
      <c r="S1410" s="874">
        <f t="shared" si="33"/>
        <v>0</v>
      </c>
      <c r="T1410" s="875"/>
      <c r="U1410" s="875"/>
      <c r="V1410" s="876"/>
      <c r="W1410" s="859">
        <f>CHSHTAData!AY53</f>
        <v>0</v>
      </c>
      <c r="X1410" s="860"/>
      <c r="Y1410" s="619"/>
      <c r="Z1410" s="610"/>
      <c r="AA1410" s="518"/>
      <c r="AB1410" s="565"/>
      <c r="AC1410" s="565"/>
      <c r="AD1410" s="565"/>
      <c r="AE1410" s="518"/>
      <c r="AF1410" s="529"/>
      <c r="AG1410" s="529"/>
      <c r="AH1410" s="518"/>
      <c r="AJ1410" s="595" t="b">
        <f t="shared" si="34"/>
        <v>0</v>
      </c>
    </row>
    <row r="1411" spans="1:36" hidden="1" x14ac:dyDescent="0.45">
      <c r="B1411" s="514" t="s">
        <v>1455</v>
      </c>
      <c r="C1411" s="535"/>
      <c r="D1411" s="535"/>
      <c r="E1411" s="535"/>
      <c r="F1411" s="535"/>
      <c r="G1411" s="890" t="str">
        <f>IF(CHSHTAData!T54=0,"",CHSHTAData!T54)</f>
        <v/>
      </c>
      <c r="H1411" s="910"/>
      <c r="I1411" s="888">
        <f>CHSHTAData!AU54</f>
        <v>0</v>
      </c>
      <c r="J1411" s="909"/>
      <c r="K1411" s="874">
        <f>CHSHTAData!AV54</f>
        <v>0</v>
      </c>
      <c r="L1411" s="875"/>
      <c r="M1411" s="875"/>
      <c r="N1411" s="876"/>
      <c r="O1411" s="874">
        <f>CHSHTAData!AW54</f>
        <v>0</v>
      </c>
      <c r="P1411" s="875"/>
      <c r="Q1411" s="875"/>
      <c r="R1411" s="876"/>
      <c r="S1411" s="874">
        <f t="shared" si="33"/>
        <v>0</v>
      </c>
      <c r="T1411" s="875"/>
      <c r="U1411" s="875"/>
      <c r="V1411" s="876"/>
      <c r="W1411" s="859">
        <f>CHSHTAData!AY54</f>
        <v>0</v>
      </c>
      <c r="X1411" s="860"/>
      <c r="Y1411" s="619"/>
      <c r="Z1411" s="610"/>
      <c r="AA1411" s="518"/>
      <c r="AB1411" s="565"/>
      <c r="AC1411" s="565"/>
      <c r="AD1411" s="565"/>
      <c r="AE1411" s="518"/>
      <c r="AF1411" s="529"/>
      <c r="AG1411" s="529"/>
      <c r="AH1411" s="518"/>
      <c r="AJ1411" s="595" t="b">
        <f t="shared" si="34"/>
        <v>0</v>
      </c>
    </row>
    <row r="1412" spans="1:36" hidden="1" x14ac:dyDescent="0.45">
      <c r="B1412" s="514" t="s">
        <v>1456</v>
      </c>
      <c r="C1412" s="535"/>
      <c r="D1412" s="535"/>
      <c r="E1412" s="535"/>
      <c r="F1412" s="535"/>
      <c r="G1412" s="890" t="str">
        <f>IF(CHSHTAData!T55=0,"",CHSHTAData!T55)</f>
        <v/>
      </c>
      <c r="H1412" s="910"/>
      <c r="I1412" s="888">
        <f>CHSHTAData!AU55</f>
        <v>0</v>
      </c>
      <c r="J1412" s="909"/>
      <c r="K1412" s="874">
        <f>CHSHTAData!AV55</f>
        <v>0</v>
      </c>
      <c r="L1412" s="875"/>
      <c r="M1412" s="875"/>
      <c r="N1412" s="876"/>
      <c r="O1412" s="874">
        <f>CHSHTAData!AW55</f>
        <v>0</v>
      </c>
      <c r="P1412" s="875"/>
      <c r="Q1412" s="875"/>
      <c r="R1412" s="876"/>
      <c r="S1412" s="874">
        <f t="shared" si="33"/>
        <v>0</v>
      </c>
      <c r="T1412" s="875"/>
      <c r="U1412" s="875"/>
      <c r="V1412" s="876"/>
      <c r="W1412" s="859">
        <f>CHSHTAData!AY55</f>
        <v>0</v>
      </c>
      <c r="X1412" s="860"/>
      <c r="Y1412" s="619"/>
      <c r="Z1412" s="610"/>
      <c r="AA1412" s="518"/>
      <c r="AB1412" s="565"/>
      <c r="AC1412" s="565"/>
      <c r="AD1412" s="565"/>
      <c r="AE1412" s="518"/>
      <c r="AF1412" s="529"/>
      <c r="AG1412" s="529"/>
      <c r="AH1412" s="518"/>
      <c r="AJ1412" s="595" t="b">
        <f t="shared" si="34"/>
        <v>0</v>
      </c>
    </row>
    <row r="1413" spans="1:36" hidden="1" x14ac:dyDescent="0.45">
      <c r="B1413" s="514" t="s">
        <v>1457</v>
      </c>
      <c r="C1413" s="535"/>
      <c r="D1413" s="535"/>
      <c r="E1413" s="535"/>
      <c r="F1413" s="535"/>
      <c r="G1413" s="890" t="str">
        <f>IF(CHSHTAData!T56=0,"",CHSHTAData!T56)</f>
        <v/>
      </c>
      <c r="H1413" s="910"/>
      <c r="I1413" s="888">
        <f>CHSHTAData!AU56</f>
        <v>0</v>
      </c>
      <c r="J1413" s="909"/>
      <c r="K1413" s="874">
        <f>CHSHTAData!AV56</f>
        <v>0</v>
      </c>
      <c r="L1413" s="875"/>
      <c r="M1413" s="875"/>
      <c r="N1413" s="876"/>
      <c r="O1413" s="874">
        <f>CHSHTAData!AW56</f>
        <v>0</v>
      </c>
      <c r="P1413" s="875"/>
      <c r="Q1413" s="875"/>
      <c r="R1413" s="876"/>
      <c r="S1413" s="874">
        <f t="shared" si="33"/>
        <v>0</v>
      </c>
      <c r="T1413" s="875"/>
      <c r="U1413" s="875"/>
      <c r="V1413" s="876"/>
      <c r="W1413" s="859">
        <f>CHSHTAData!AY56</f>
        <v>0</v>
      </c>
      <c r="X1413" s="860"/>
      <c r="Y1413" s="619"/>
      <c r="Z1413" s="610"/>
      <c r="AA1413" s="518"/>
      <c r="AB1413" s="565"/>
      <c r="AC1413" s="565"/>
      <c r="AD1413" s="565"/>
      <c r="AE1413" s="518"/>
      <c r="AF1413" s="529"/>
      <c r="AG1413" s="529"/>
      <c r="AH1413" s="518"/>
      <c r="AJ1413" s="595" t="b">
        <f t="shared" si="34"/>
        <v>0</v>
      </c>
    </row>
    <row r="1414" spans="1:36" hidden="1" x14ac:dyDescent="0.45">
      <c r="B1414" s="514" t="s">
        <v>1458</v>
      </c>
      <c r="C1414" s="535"/>
      <c r="D1414" s="535"/>
      <c r="E1414" s="535"/>
      <c r="F1414" s="535"/>
      <c r="G1414" s="890" t="str">
        <f>IF(CHSHTAData!T57=0,"",CHSHTAData!T57)</f>
        <v/>
      </c>
      <c r="H1414" s="910"/>
      <c r="I1414" s="888">
        <f>CHSHTAData!AU57</f>
        <v>0</v>
      </c>
      <c r="J1414" s="909"/>
      <c r="K1414" s="874">
        <f>CHSHTAData!AV57</f>
        <v>0</v>
      </c>
      <c r="L1414" s="875"/>
      <c r="M1414" s="875"/>
      <c r="N1414" s="876"/>
      <c r="O1414" s="874">
        <f>CHSHTAData!AW57</f>
        <v>0</v>
      </c>
      <c r="P1414" s="875"/>
      <c r="Q1414" s="875"/>
      <c r="R1414" s="876"/>
      <c r="S1414" s="874">
        <f t="shared" si="33"/>
        <v>0</v>
      </c>
      <c r="T1414" s="875"/>
      <c r="U1414" s="875"/>
      <c r="V1414" s="876"/>
      <c r="W1414" s="859">
        <f>CHSHTAData!AY57</f>
        <v>0</v>
      </c>
      <c r="X1414" s="860"/>
      <c r="Y1414" s="619"/>
      <c r="Z1414" s="610"/>
      <c r="AA1414" s="518"/>
      <c r="AB1414" s="565"/>
      <c r="AC1414" s="565"/>
      <c r="AD1414" s="565"/>
      <c r="AE1414" s="518"/>
      <c r="AF1414" s="529"/>
      <c r="AG1414" s="529"/>
      <c r="AH1414" s="518"/>
      <c r="AJ1414" s="595" t="b">
        <f t="shared" si="34"/>
        <v>0</v>
      </c>
    </row>
    <row r="1415" spans="1:36" hidden="1" x14ac:dyDescent="0.45">
      <c r="B1415" s="514" t="s">
        <v>1459</v>
      </c>
      <c r="C1415" s="535"/>
      <c r="D1415" s="535"/>
      <c r="E1415" s="535"/>
      <c r="F1415" s="535"/>
      <c r="G1415" s="890" t="str">
        <f>IF(CHSHTAData!T58=0,"",CHSHTAData!T58)</f>
        <v/>
      </c>
      <c r="H1415" s="910"/>
      <c r="I1415" s="888">
        <f>CHSHTAData!AU58</f>
        <v>0</v>
      </c>
      <c r="J1415" s="909"/>
      <c r="K1415" s="874">
        <f>CHSHTAData!AV58</f>
        <v>0</v>
      </c>
      <c r="L1415" s="875"/>
      <c r="M1415" s="875"/>
      <c r="N1415" s="876"/>
      <c r="O1415" s="874">
        <f>CHSHTAData!AW58</f>
        <v>0</v>
      </c>
      <c r="P1415" s="875"/>
      <c r="Q1415" s="875"/>
      <c r="R1415" s="876"/>
      <c r="S1415" s="874">
        <f t="shared" si="33"/>
        <v>0</v>
      </c>
      <c r="T1415" s="875"/>
      <c r="U1415" s="875"/>
      <c r="V1415" s="876"/>
      <c r="W1415" s="859">
        <f>CHSHTAData!AY58</f>
        <v>0</v>
      </c>
      <c r="X1415" s="860"/>
      <c r="Y1415" s="619"/>
      <c r="Z1415" s="610"/>
      <c r="AA1415" s="518"/>
      <c r="AB1415" s="565"/>
      <c r="AC1415" s="565"/>
      <c r="AD1415" s="565"/>
      <c r="AE1415" s="518"/>
      <c r="AF1415" s="529"/>
      <c r="AG1415" s="529"/>
      <c r="AH1415" s="518"/>
      <c r="AJ1415" s="595" t="b">
        <f t="shared" si="34"/>
        <v>0</v>
      </c>
    </row>
    <row r="1416" spans="1:36" hidden="1" x14ac:dyDescent="0.45">
      <c r="A1416" s="518"/>
      <c r="B1416" s="514" t="s">
        <v>1460</v>
      </c>
      <c r="C1416" s="535"/>
      <c r="D1416" s="535"/>
      <c r="E1416" s="535"/>
      <c r="F1416" s="535"/>
      <c r="G1416" s="890" t="str">
        <f>IF(CHSHTAData!T59=0,"",CHSHTAData!T59)</f>
        <v/>
      </c>
      <c r="H1416" s="910"/>
      <c r="I1416" s="888">
        <f>CHSHTAData!AU59</f>
        <v>0</v>
      </c>
      <c r="J1416" s="909"/>
      <c r="K1416" s="874">
        <f>CHSHTAData!AV59</f>
        <v>0</v>
      </c>
      <c r="L1416" s="875"/>
      <c r="M1416" s="875"/>
      <c r="N1416" s="876"/>
      <c r="O1416" s="874">
        <f>CHSHTAData!AW59</f>
        <v>0</v>
      </c>
      <c r="P1416" s="875"/>
      <c r="Q1416" s="875"/>
      <c r="R1416" s="876"/>
      <c r="S1416" s="874">
        <f t="shared" si="33"/>
        <v>0</v>
      </c>
      <c r="T1416" s="875"/>
      <c r="U1416" s="875"/>
      <c r="V1416" s="876"/>
      <c r="W1416" s="859">
        <f>CHSHTAData!AY59</f>
        <v>0</v>
      </c>
      <c r="X1416" s="860"/>
      <c r="Y1416" s="619"/>
      <c r="Z1416" s="610"/>
      <c r="AA1416" s="518"/>
      <c r="AB1416" s="565"/>
      <c r="AC1416" s="565"/>
      <c r="AD1416" s="565"/>
      <c r="AE1416" s="518"/>
      <c r="AF1416" s="529"/>
      <c r="AG1416" s="529"/>
      <c r="AH1416" s="518"/>
      <c r="AJ1416" s="595" t="b">
        <f t="shared" si="34"/>
        <v>0</v>
      </c>
    </row>
    <row r="1417" spans="1:36" hidden="1" x14ac:dyDescent="0.45">
      <c r="A1417" s="518"/>
      <c r="B1417" s="514" t="s">
        <v>1461</v>
      </c>
      <c r="C1417" s="535"/>
      <c r="D1417" s="535"/>
      <c r="E1417" s="535"/>
      <c r="F1417" s="535"/>
      <c r="G1417" s="890" t="str">
        <f>IF(CHSHTAData!T60=0,"",CHSHTAData!T60)</f>
        <v/>
      </c>
      <c r="H1417" s="910"/>
      <c r="I1417" s="888">
        <f>CHSHTAData!AU60</f>
        <v>0</v>
      </c>
      <c r="J1417" s="909"/>
      <c r="K1417" s="874">
        <f>CHSHTAData!AV60</f>
        <v>0</v>
      </c>
      <c r="L1417" s="875"/>
      <c r="M1417" s="875"/>
      <c r="N1417" s="876"/>
      <c r="O1417" s="874">
        <f>CHSHTAData!AW60</f>
        <v>0</v>
      </c>
      <c r="P1417" s="875"/>
      <c r="Q1417" s="875"/>
      <c r="R1417" s="876"/>
      <c r="S1417" s="874">
        <f t="shared" si="33"/>
        <v>0</v>
      </c>
      <c r="T1417" s="875"/>
      <c r="U1417" s="875"/>
      <c r="V1417" s="876"/>
      <c r="W1417" s="859">
        <f>CHSHTAData!AY60</f>
        <v>0</v>
      </c>
      <c r="X1417" s="860"/>
      <c r="Y1417" s="619"/>
      <c r="Z1417" s="610"/>
      <c r="AA1417" s="518"/>
      <c r="AB1417" s="565"/>
      <c r="AC1417" s="565"/>
      <c r="AD1417" s="565"/>
      <c r="AE1417" s="518"/>
      <c r="AF1417" s="529"/>
      <c r="AG1417" s="529"/>
      <c r="AH1417" s="518"/>
      <c r="AJ1417" s="595" t="b">
        <f t="shared" si="34"/>
        <v>0</v>
      </c>
    </row>
    <row r="1418" spans="1:36" hidden="1" x14ac:dyDescent="0.45">
      <c r="A1418" s="518"/>
      <c r="B1418" s="518"/>
      <c r="C1418" s="518"/>
      <c r="D1418" s="518"/>
      <c r="E1418" s="518"/>
      <c r="F1418" s="518"/>
      <c r="G1418" s="518"/>
      <c r="H1418" s="518"/>
      <c r="I1418" s="518"/>
      <c r="J1418" s="518"/>
      <c r="K1418" s="518"/>
      <c r="L1418" s="518"/>
      <c r="M1418" s="518"/>
      <c r="N1418" s="518"/>
      <c r="O1418" s="518"/>
      <c r="P1418" s="518"/>
      <c r="Q1418" s="518"/>
      <c r="R1418" s="518"/>
      <c r="S1418" s="518"/>
      <c r="T1418" s="518"/>
      <c r="U1418" s="518"/>
      <c r="V1418" s="518"/>
      <c r="W1418" s="518"/>
      <c r="X1418" s="518"/>
      <c r="Y1418" s="518"/>
      <c r="Z1418" s="518"/>
      <c r="AA1418" s="518"/>
      <c r="AB1418" s="565"/>
      <c r="AC1418" s="565"/>
      <c r="AD1418" s="565"/>
      <c r="AE1418" s="518"/>
      <c r="AF1418" s="518"/>
      <c r="AG1418" s="518"/>
      <c r="AH1418" s="518"/>
      <c r="AJ1418" s="595" t="b">
        <f>AJ1353</f>
        <v>0</v>
      </c>
    </row>
    <row r="1419" spans="1:36" hidden="1" x14ac:dyDescent="0.45">
      <c r="A1419" s="518"/>
      <c r="B1419" s="911" t="s">
        <v>173</v>
      </c>
      <c r="C1419" s="912"/>
      <c r="D1419" s="912"/>
      <c r="E1419" s="912"/>
      <c r="F1419" s="912"/>
      <c r="G1419" s="912"/>
      <c r="H1419" s="913">
        <f>CH_SHTA_MFDRuralTotalRequested</f>
        <v>0</v>
      </c>
      <c r="I1419" s="914"/>
      <c r="J1419" s="914"/>
      <c r="K1419" s="914"/>
      <c r="L1419" s="914"/>
      <c r="M1419" s="914"/>
      <c r="N1419" s="915"/>
      <c r="O1419" s="518"/>
      <c r="P1419" s="518"/>
      <c r="Q1419" s="518"/>
      <c r="R1419" s="518"/>
      <c r="S1419" s="518"/>
      <c r="T1419" s="518"/>
      <c r="U1419" s="518"/>
      <c r="V1419" s="518"/>
      <c r="W1419" s="518"/>
      <c r="X1419" s="518"/>
      <c r="Y1419" s="518"/>
      <c r="Z1419" s="518"/>
      <c r="AA1419" s="518"/>
      <c r="AB1419" s="518"/>
      <c r="AC1419" s="518"/>
      <c r="AD1419" s="518"/>
      <c r="AE1419" s="518"/>
      <c r="AF1419" s="518"/>
      <c r="AG1419" s="518"/>
      <c r="AH1419" s="518"/>
      <c r="AJ1419" s="595"/>
    </row>
    <row r="1420" spans="1:36" hidden="1" x14ac:dyDescent="0.45">
      <c r="A1420" s="518"/>
      <c r="B1420" s="518"/>
      <c r="C1420" s="518"/>
      <c r="D1420" s="518"/>
      <c r="E1420" s="518"/>
      <c r="F1420" s="518"/>
      <c r="G1420" s="518"/>
      <c r="H1420" s="518"/>
      <c r="I1420" s="518"/>
      <c r="J1420" s="518"/>
      <c r="K1420" s="518"/>
      <c r="L1420" s="518"/>
      <c r="M1420" s="518"/>
      <c r="N1420" s="518"/>
      <c r="O1420" s="518"/>
      <c r="P1420" s="518"/>
      <c r="Q1420" s="518"/>
      <c r="R1420" s="518"/>
      <c r="S1420" s="518"/>
      <c r="T1420" s="518"/>
      <c r="U1420" s="518"/>
      <c r="V1420" s="518"/>
      <c r="W1420" s="518"/>
      <c r="X1420" s="518"/>
      <c r="Y1420" s="518"/>
      <c r="Z1420" s="518"/>
      <c r="AA1420" s="518"/>
      <c r="AB1420" s="518"/>
      <c r="AC1420" s="518"/>
      <c r="AD1420" s="518"/>
      <c r="AE1420" s="518"/>
      <c r="AF1420" s="518"/>
      <c r="AG1420" s="518"/>
      <c r="AH1420" s="518"/>
      <c r="AJ1420" s="595"/>
    </row>
    <row r="1421" spans="1:36" hidden="1" x14ac:dyDescent="0.45">
      <c r="A1421" s="518"/>
      <c r="B1421" s="517" t="s">
        <v>1854</v>
      </c>
      <c r="C1421" s="518"/>
      <c r="D1421" s="518"/>
      <c r="E1421" s="518"/>
      <c r="F1421" s="518"/>
      <c r="G1421" s="518"/>
      <c r="H1421" s="518"/>
      <c r="I1421" s="518"/>
      <c r="J1421" s="518"/>
      <c r="K1421" s="518"/>
      <c r="L1421" s="518"/>
      <c r="M1421" s="518"/>
      <c r="N1421" s="518"/>
      <c r="O1421" s="518"/>
      <c r="P1421" s="518"/>
      <c r="Q1421" s="518"/>
      <c r="R1421" s="518"/>
      <c r="S1421" s="518"/>
      <c r="T1421" s="518"/>
      <c r="U1421" s="518"/>
      <c r="V1421" s="518"/>
      <c r="W1421" s="518"/>
      <c r="X1421" s="518"/>
      <c r="Y1421" s="518"/>
      <c r="Z1421" s="518"/>
      <c r="AA1421" s="518"/>
      <c r="AB1421" s="518"/>
      <c r="AC1421" s="518"/>
      <c r="AD1421" s="518"/>
      <c r="AE1421" s="518"/>
      <c r="AF1421" s="518"/>
      <c r="AG1421" s="518"/>
      <c r="AH1421" s="518"/>
      <c r="AJ1421" s="595"/>
    </row>
    <row r="1422" spans="1:36" hidden="1" x14ac:dyDescent="0.45">
      <c r="A1422" s="518"/>
      <c r="B1422" s="877" t="s">
        <v>174</v>
      </c>
      <c r="C1422" s="877"/>
      <c r="D1422" s="877"/>
      <c r="E1422" s="877"/>
      <c r="F1422" s="877"/>
      <c r="G1422" s="877"/>
      <c r="H1422" s="877"/>
      <c r="I1422" s="877"/>
      <c r="J1422" s="877"/>
      <c r="K1422" s="877"/>
      <c r="L1422" s="877"/>
      <c r="M1422" s="877"/>
      <c r="N1422" s="877"/>
      <c r="O1422" s="878"/>
      <c r="P1422" s="879"/>
      <c r="Q1422" s="880"/>
      <c r="R1422" s="518"/>
      <c r="S1422" s="518"/>
      <c r="T1422" s="518"/>
      <c r="U1422" s="518"/>
      <c r="V1422" s="518"/>
      <c r="W1422" s="518"/>
      <c r="X1422" s="518"/>
      <c r="Y1422" s="518"/>
      <c r="Z1422" s="518"/>
      <c r="AA1422" s="518"/>
      <c r="AB1422" s="518"/>
      <c r="AC1422" s="518"/>
      <c r="AD1422" s="518"/>
      <c r="AE1422" s="518"/>
      <c r="AF1422" s="518"/>
      <c r="AG1422" s="518"/>
      <c r="AH1422" s="518"/>
      <c r="AJ1422" s="595"/>
    </row>
    <row r="1423" spans="1:36" hidden="1" x14ac:dyDescent="0.45">
      <c r="A1423" s="518"/>
      <c r="B1423" s="877" t="s">
        <v>175</v>
      </c>
      <c r="C1423" s="877"/>
      <c r="D1423" s="877"/>
      <c r="E1423" s="877"/>
      <c r="F1423" s="877"/>
      <c r="G1423" s="877"/>
      <c r="H1423" s="877"/>
      <c r="I1423" s="877"/>
      <c r="J1423" s="877"/>
      <c r="K1423" s="877"/>
      <c r="L1423" s="877"/>
      <c r="M1423" s="877"/>
      <c r="N1423" s="877"/>
      <c r="O1423" s="878"/>
      <c r="P1423" s="879"/>
      <c r="Q1423" s="880"/>
      <c r="R1423" s="518"/>
      <c r="S1423" s="518"/>
      <c r="T1423" s="518"/>
      <c r="U1423" s="518"/>
      <c r="V1423" s="518"/>
      <c r="W1423" s="518"/>
      <c r="X1423" s="518"/>
      <c r="Y1423" s="518"/>
      <c r="Z1423" s="518"/>
      <c r="AA1423" s="518"/>
      <c r="AB1423" s="518"/>
      <c r="AC1423" s="518"/>
      <c r="AD1423" s="518"/>
      <c r="AE1423" s="518"/>
      <c r="AF1423" s="518"/>
      <c r="AG1423" s="518"/>
      <c r="AH1423" s="518"/>
      <c r="AJ1423" s="595"/>
    </row>
    <row r="1424" spans="1:36" hidden="1" x14ac:dyDescent="0.45">
      <c r="A1424" s="518"/>
      <c r="B1424" s="877" t="s">
        <v>176</v>
      </c>
      <c r="C1424" s="877"/>
      <c r="D1424" s="877"/>
      <c r="E1424" s="877"/>
      <c r="F1424" s="877"/>
      <c r="G1424" s="877"/>
      <c r="H1424" s="877"/>
      <c r="I1424" s="877"/>
      <c r="J1424" s="877"/>
      <c r="K1424" s="877"/>
      <c r="L1424" s="877"/>
      <c r="M1424" s="877"/>
      <c r="N1424" s="877"/>
      <c r="O1424" s="878"/>
      <c r="P1424" s="879"/>
      <c r="Q1424" s="880"/>
      <c r="R1424" s="518"/>
      <c r="S1424" s="518"/>
      <c r="T1424" s="518"/>
      <c r="U1424" s="518"/>
      <c r="V1424" s="518"/>
      <c r="W1424" s="518"/>
      <c r="X1424" s="518"/>
      <c r="Y1424" s="518"/>
      <c r="Z1424" s="518"/>
      <c r="AA1424" s="518"/>
      <c r="AB1424" s="518"/>
      <c r="AC1424" s="518"/>
      <c r="AD1424" s="518"/>
      <c r="AE1424" s="518"/>
      <c r="AF1424" s="518"/>
      <c r="AG1424" s="518"/>
      <c r="AH1424" s="518"/>
      <c r="AJ1424" s="595"/>
    </row>
    <row r="1425" spans="1:37" hidden="1" x14ac:dyDescent="0.45">
      <c r="A1425" s="518"/>
      <c r="B1425" s="877" t="s">
        <v>177</v>
      </c>
      <c r="C1425" s="877"/>
      <c r="D1425" s="877"/>
      <c r="E1425" s="877"/>
      <c r="F1425" s="877"/>
      <c r="G1425" s="877"/>
      <c r="H1425" s="877"/>
      <c r="I1425" s="877"/>
      <c r="J1425" s="877"/>
      <c r="K1425" s="877"/>
      <c r="L1425" s="877"/>
      <c r="M1425" s="877"/>
      <c r="N1425" s="877"/>
      <c r="O1425" s="878"/>
      <c r="P1425" s="879"/>
      <c r="Q1425" s="880"/>
      <c r="R1425" s="518"/>
      <c r="S1425" s="518"/>
      <c r="T1425" s="518"/>
      <c r="U1425" s="518"/>
      <c r="V1425" s="518"/>
      <c r="W1425" s="518"/>
      <c r="X1425" s="518"/>
      <c r="Y1425" s="518"/>
      <c r="Z1425" s="518"/>
      <c r="AA1425" s="518"/>
      <c r="AB1425" s="518"/>
      <c r="AC1425" s="518"/>
      <c r="AD1425" s="518"/>
      <c r="AE1425" s="518"/>
      <c r="AF1425" s="518"/>
      <c r="AG1425" s="518"/>
      <c r="AH1425" s="518"/>
      <c r="AJ1425" s="595"/>
    </row>
    <row r="1426" spans="1:37" hidden="1" x14ac:dyDescent="0.45">
      <c r="A1426" s="518"/>
      <c r="B1426" s="877" t="s">
        <v>178</v>
      </c>
      <c r="C1426" s="877"/>
      <c r="D1426" s="877"/>
      <c r="E1426" s="877"/>
      <c r="F1426" s="877"/>
      <c r="G1426" s="877"/>
      <c r="H1426" s="877"/>
      <c r="I1426" s="877"/>
      <c r="J1426" s="877"/>
      <c r="K1426" s="877"/>
      <c r="L1426" s="877"/>
      <c r="M1426" s="877"/>
      <c r="N1426" s="877"/>
      <c r="O1426" s="878"/>
      <c r="P1426" s="879"/>
      <c r="Q1426" s="880"/>
      <c r="R1426" s="518"/>
      <c r="S1426" s="518"/>
      <c r="T1426" s="518"/>
      <c r="U1426" s="518"/>
      <c r="V1426" s="518"/>
      <c r="W1426" s="518"/>
      <c r="X1426" s="518"/>
      <c r="Y1426" s="518"/>
      <c r="Z1426" s="518"/>
      <c r="AA1426" s="518"/>
      <c r="AB1426" s="518"/>
      <c r="AC1426" s="518"/>
      <c r="AD1426" s="518"/>
      <c r="AE1426" s="518"/>
      <c r="AF1426" s="518"/>
      <c r="AG1426" s="518"/>
      <c r="AH1426" s="518"/>
      <c r="AJ1426" s="595"/>
    </row>
    <row r="1427" spans="1:37" hidden="1" x14ac:dyDescent="0.45">
      <c r="A1427" s="518"/>
      <c r="B1427" s="877" t="s">
        <v>179</v>
      </c>
      <c r="C1427" s="877"/>
      <c r="D1427" s="877"/>
      <c r="E1427" s="877"/>
      <c r="F1427" s="877"/>
      <c r="G1427" s="877"/>
      <c r="H1427" s="877"/>
      <c r="I1427" s="877"/>
      <c r="J1427" s="877"/>
      <c r="K1427" s="877"/>
      <c r="L1427" s="877"/>
      <c r="M1427" s="877"/>
      <c r="N1427" s="877"/>
      <c r="O1427" s="878"/>
      <c r="P1427" s="879"/>
      <c r="Q1427" s="880"/>
      <c r="R1427" s="518"/>
      <c r="S1427" s="518"/>
      <c r="T1427" s="518"/>
      <c r="U1427" s="518"/>
      <c r="V1427" s="518"/>
      <c r="W1427" s="518"/>
      <c r="X1427" s="518"/>
      <c r="Y1427" s="518"/>
      <c r="Z1427" s="518"/>
      <c r="AA1427" s="518"/>
      <c r="AB1427" s="518"/>
      <c r="AC1427" s="518"/>
      <c r="AD1427" s="518"/>
      <c r="AE1427" s="518"/>
      <c r="AF1427" s="518"/>
      <c r="AG1427" s="518"/>
      <c r="AH1427" s="518"/>
      <c r="AJ1427" s="595"/>
    </row>
    <row r="1428" spans="1:37" hidden="1" x14ac:dyDescent="0.45">
      <c r="A1428" s="518"/>
      <c r="B1428" s="877" t="s">
        <v>180</v>
      </c>
      <c r="C1428" s="877"/>
      <c r="D1428" s="877"/>
      <c r="E1428" s="877"/>
      <c r="F1428" s="877"/>
      <c r="G1428" s="877"/>
      <c r="H1428" s="877"/>
      <c r="I1428" s="877"/>
      <c r="J1428" s="877"/>
      <c r="K1428" s="877"/>
      <c r="L1428" s="877"/>
      <c r="M1428" s="877"/>
      <c r="N1428" s="877"/>
      <c r="O1428" s="878"/>
      <c r="P1428" s="879"/>
      <c r="Q1428" s="880"/>
      <c r="R1428" s="518"/>
      <c r="S1428" s="518"/>
      <c r="T1428" s="518"/>
      <c r="U1428" s="518"/>
      <c r="V1428" s="518"/>
      <c r="W1428" s="518"/>
      <c r="X1428" s="518"/>
      <c r="Y1428" s="518"/>
      <c r="Z1428" s="518"/>
      <c r="AA1428" s="518"/>
      <c r="AB1428" s="518"/>
      <c r="AC1428" s="518"/>
      <c r="AD1428" s="518"/>
      <c r="AE1428" s="518"/>
      <c r="AF1428" s="518"/>
      <c r="AG1428" s="518"/>
      <c r="AH1428" s="518"/>
      <c r="AJ1428" s="595"/>
    </row>
    <row r="1429" spans="1:37" hidden="1" x14ac:dyDescent="0.45">
      <c r="A1429" s="518"/>
      <c r="B1429" s="1225" t="s">
        <v>181</v>
      </c>
      <c r="C1429" s="1225"/>
      <c r="D1429" s="1225"/>
      <c r="E1429" s="1225"/>
      <c r="F1429" s="1225"/>
      <c r="G1429" s="1225"/>
      <c r="H1429" s="1225"/>
      <c r="I1429" s="1225"/>
      <c r="J1429" s="1225"/>
      <c r="K1429" s="1225"/>
      <c r="L1429" s="1225"/>
      <c r="M1429" s="1225"/>
      <c r="N1429" s="1225"/>
      <c r="O1429" s="927"/>
      <c r="P1429" s="928"/>
      <c r="Q1429" s="929"/>
      <c r="R1429" s="518"/>
      <c r="S1429" s="518"/>
      <c r="T1429" s="518"/>
      <c r="U1429" s="518"/>
      <c r="V1429" s="518"/>
      <c r="W1429" s="518"/>
      <c r="X1429" s="518"/>
      <c r="Y1429" s="518"/>
      <c r="Z1429" s="518"/>
      <c r="AA1429" s="518"/>
      <c r="AB1429" s="518"/>
      <c r="AC1429" s="518"/>
      <c r="AD1429" s="518"/>
      <c r="AE1429" s="518"/>
      <c r="AF1429" s="518"/>
      <c r="AG1429" s="518"/>
      <c r="AH1429" s="518"/>
      <c r="AJ1429" s="595"/>
    </row>
    <row r="1430" spans="1:37" hidden="1" x14ac:dyDescent="0.45">
      <c r="A1430" s="518"/>
      <c r="B1430" s="1226" t="s">
        <v>182</v>
      </c>
      <c r="C1430" s="1226"/>
      <c r="D1430" s="1226"/>
      <c r="E1430" s="1226"/>
      <c r="F1430" s="1226"/>
      <c r="G1430" s="1226"/>
      <c r="H1430" s="1226"/>
      <c r="I1430" s="1226"/>
      <c r="J1430" s="1226"/>
      <c r="K1430" s="1226"/>
      <c r="L1430" s="1226"/>
      <c r="M1430" s="1226"/>
      <c r="N1430" s="1226"/>
      <c r="O1430" s="878">
        <f>SUM(O1422:Q1428)-O1429</f>
        <v>0</v>
      </c>
      <c r="P1430" s="879"/>
      <c r="Q1430" s="880"/>
      <c r="R1430" s="518"/>
      <c r="S1430" s="518"/>
      <c r="T1430" s="518"/>
      <c r="U1430" s="518"/>
      <c r="V1430" s="518"/>
      <c r="W1430" s="518"/>
      <c r="X1430" s="518"/>
      <c r="Y1430" s="518"/>
      <c r="Z1430" s="518"/>
      <c r="AA1430" s="518"/>
      <c r="AB1430" s="518"/>
      <c r="AC1430" s="518"/>
      <c r="AD1430" s="518"/>
      <c r="AE1430" s="518"/>
      <c r="AF1430" s="518"/>
      <c r="AG1430" s="518"/>
      <c r="AH1430" s="518"/>
      <c r="AJ1430" s="595"/>
    </row>
    <row r="1431" spans="1:37" hidden="1" x14ac:dyDescent="0.45">
      <c r="A1431" s="518"/>
      <c r="B1431" s="517"/>
      <c r="C1431" s="517"/>
      <c r="D1431" s="517"/>
      <c r="E1431" s="517"/>
      <c r="F1431" s="517"/>
      <c r="G1431" s="517"/>
      <c r="H1431" s="517"/>
      <c r="I1431" s="517"/>
      <c r="J1431" s="517"/>
      <c r="K1431" s="517"/>
      <c r="L1431" s="517"/>
      <c r="M1431" s="517"/>
      <c r="N1431" s="517"/>
      <c r="O1431" s="532"/>
      <c r="P1431" s="532"/>
      <c r="Q1431" s="532"/>
      <c r="R1431" s="518"/>
      <c r="S1431" s="533"/>
      <c r="T1431" s="533"/>
      <c r="U1431" s="533"/>
      <c r="V1431" s="533"/>
      <c r="W1431" s="533"/>
      <c r="X1431" s="533"/>
      <c r="Y1431" s="533"/>
      <c r="Z1431" s="533"/>
      <c r="AA1431" s="533"/>
      <c r="AB1431" s="533"/>
      <c r="AC1431" s="533"/>
      <c r="AD1431" s="533"/>
      <c r="AE1431" s="533"/>
      <c r="AF1431" s="533"/>
      <c r="AG1431" s="533"/>
      <c r="AH1431" s="518"/>
      <c r="AJ1431" s="595"/>
    </row>
    <row r="1432" spans="1:37" ht="200.15" hidden="1" customHeight="1" x14ac:dyDescent="0.45">
      <c r="A1432" s="518"/>
      <c r="B1432" s="1329" t="s">
        <v>183</v>
      </c>
      <c r="C1432" s="1329"/>
      <c r="D1432" s="1329"/>
      <c r="E1432" s="1329"/>
      <c r="F1432" s="1329"/>
      <c r="G1432" s="1329"/>
      <c r="H1432" s="1329"/>
      <c r="I1432" s="1329"/>
      <c r="J1432" s="1329"/>
      <c r="K1432" s="1329"/>
      <c r="L1432" s="1329"/>
      <c r="M1432" s="1329"/>
      <c r="N1432" s="1329"/>
      <c r="O1432" s="1329"/>
      <c r="P1432" s="1329"/>
      <c r="Q1432" s="1329"/>
      <c r="R1432" s="1329"/>
      <c r="S1432" s="1329"/>
      <c r="T1432" s="1329"/>
      <c r="U1432" s="1329"/>
      <c r="V1432" s="1329"/>
      <c r="W1432" s="1329"/>
      <c r="X1432" s="1329"/>
      <c r="Y1432" s="1329"/>
      <c r="Z1432" s="1329"/>
      <c r="AA1432" s="1329"/>
      <c r="AB1432" s="1329"/>
      <c r="AC1432" s="1329"/>
      <c r="AD1432" s="1329"/>
      <c r="AE1432" s="1329"/>
      <c r="AF1432" s="1329"/>
      <c r="AG1432" s="1329"/>
      <c r="AH1432" s="518"/>
      <c r="AJ1432" s="595"/>
    </row>
    <row r="1433" spans="1:37" hidden="1" x14ac:dyDescent="0.45">
      <c r="A1433" s="518"/>
      <c r="B1433" s="518"/>
      <c r="C1433" s="518"/>
      <c r="D1433" s="518"/>
      <c r="E1433" s="518"/>
      <c r="F1433" s="518"/>
      <c r="G1433" s="518"/>
      <c r="H1433" s="518"/>
      <c r="I1433" s="518"/>
      <c r="J1433" s="518"/>
      <c r="K1433" s="518"/>
      <c r="L1433" s="518"/>
      <c r="M1433" s="518"/>
      <c r="N1433" s="518"/>
      <c r="O1433" s="518"/>
      <c r="P1433" s="518"/>
      <c r="Q1433" s="518"/>
      <c r="R1433" s="518"/>
      <c r="S1433" s="518"/>
      <c r="T1433" s="518"/>
      <c r="U1433" s="518"/>
      <c r="V1433" s="518"/>
      <c r="W1433" s="518"/>
      <c r="X1433" s="518"/>
      <c r="Y1433" s="518"/>
      <c r="Z1433" s="518"/>
      <c r="AA1433" s="518"/>
      <c r="AB1433" s="518"/>
      <c r="AC1433" s="518"/>
      <c r="AD1433" s="518"/>
      <c r="AE1433" s="518"/>
      <c r="AF1433" s="518"/>
      <c r="AG1433" s="518"/>
      <c r="AH1433" s="518"/>
      <c r="AJ1433" s="595"/>
    </row>
    <row r="1434" spans="1:37" hidden="1" x14ac:dyDescent="0.45">
      <c r="A1434" s="518"/>
      <c r="B1434" s="518"/>
      <c r="C1434" s="518"/>
      <c r="D1434" s="518"/>
      <c r="E1434" s="518"/>
      <c r="F1434" s="518"/>
      <c r="G1434" s="518"/>
      <c r="H1434" s="518"/>
      <c r="I1434" s="518"/>
      <c r="J1434" s="518"/>
      <c r="K1434" s="518"/>
      <c r="L1434" s="518"/>
      <c r="M1434" s="518"/>
      <c r="N1434" s="518"/>
      <c r="O1434" s="518"/>
      <c r="P1434" s="518"/>
      <c r="Q1434" s="518"/>
      <c r="R1434" s="518"/>
      <c r="S1434" s="518"/>
      <c r="T1434" s="518"/>
      <c r="U1434" s="518"/>
      <c r="V1434" s="518"/>
      <c r="W1434" s="518"/>
      <c r="X1434" s="518"/>
      <c r="Y1434" s="518"/>
      <c r="Z1434" s="518"/>
      <c r="AA1434" s="518"/>
      <c r="AB1434" s="518"/>
      <c r="AC1434" s="518"/>
      <c r="AD1434" s="518"/>
      <c r="AE1434" s="518"/>
      <c r="AF1434" s="518"/>
      <c r="AG1434" s="518"/>
      <c r="AH1434" s="518"/>
      <c r="AJ1434" s="595" t="b">
        <f>AND(
APP_ApplyingForCalHome="Yes",
CH_ER_EligibleApplicant,
CH_SH_CompletionStatus="Final/Complete")</f>
        <v>0</v>
      </c>
      <c r="AK1434" s="462" t="s">
        <v>1479</v>
      </c>
    </row>
    <row r="1435" spans="1:37" hidden="1" x14ac:dyDescent="0.45">
      <c r="A1435" s="518"/>
      <c r="B1435" s="923" t="s">
        <v>1480</v>
      </c>
      <c r="C1435" s="923"/>
      <c r="D1435" s="923"/>
      <c r="E1435" s="923"/>
      <c r="F1435" s="923"/>
      <c r="G1435" s="923"/>
      <c r="H1435" s="923"/>
      <c r="I1435" s="923"/>
      <c r="J1435" s="923"/>
      <c r="K1435" s="923"/>
      <c r="L1435" s="923"/>
      <c r="M1435" s="923"/>
      <c r="N1435" s="923"/>
      <c r="O1435" s="923"/>
      <c r="P1435" s="923"/>
      <c r="Q1435" s="923"/>
      <c r="R1435" s="923"/>
      <c r="S1435" s="923"/>
      <c r="T1435" s="923"/>
      <c r="U1435" s="923"/>
      <c r="V1435" s="923"/>
      <c r="W1435" s="923"/>
      <c r="X1435" s="923"/>
      <c r="Y1435" s="923"/>
      <c r="Z1435" s="923"/>
      <c r="AA1435" s="923"/>
      <c r="AB1435" s="923"/>
      <c r="AC1435" s="923"/>
      <c r="AD1435" s="923"/>
      <c r="AE1435" s="923"/>
      <c r="AF1435" s="923"/>
      <c r="AG1435" s="923"/>
      <c r="AH1435" s="518"/>
      <c r="AJ1435" s="595"/>
    </row>
    <row r="1436" spans="1:37" hidden="1" x14ac:dyDescent="0.45">
      <c r="A1436" s="518"/>
      <c r="B1436" s="517"/>
      <c r="C1436" s="517"/>
      <c r="D1436" s="517"/>
      <c r="E1436" s="517"/>
      <c r="F1436" s="517"/>
      <c r="G1436" s="517"/>
      <c r="H1436" s="517"/>
      <c r="I1436" s="517"/>
      <c r="J1436" s="517"/>
      <c r="K1436" s="517"/>
      <c r="L1436" s="517"/>
      <c r="M1436" s="517"/>
      <c r="N1436" s="517"/>
      <c r="O1436" s="517"/>
      <c r="P1436" s="517"/>
      <c r="Q1436" s="517"/>
      <c r="R1436" s="517"/>
      <c r="S1436" s="517"/>
      <c r="T1436" s="517"/>
      <c r="U1436" s="517"/>
      <c r="V1436" s="517"/>
      <c r="W1436" s="517"/>
      <c r="X1436" s="517"/>
      <c r="Y1436" s="517"/>
      <c r="Z1436" s="517"/>
      <c r="AA1436" s="517"/>
      <c r="AB1436" s="517"/>
      <c r="AC1436" s="517"/>
      <c r="AD1436" s="517"/>
      <c r="AE1436" s="517"/>
      <c r="AF1436" s="517"/>
      <c r="AG1436" s="517"/>
      <c r="AH1436" s="518"/>
      <c r="AJ1436" s="595"/>
    </row>
    <row r="1437" spans="1:37" hidden="1" x14ac:dyDescent="0.45">
      <c r="A1437" s="518"/>
      <c r="B1437" s="907" t="s">
        <v>88</v>
      </c>
      <c r="C1437" s="907"/>
      <c r="D1437" s="907"/>
      <c r="E1437" s="907"/>
      <c r="F1437" s="907"/>
      <c r="G1437" s="907"/>
      <c r="H1437" s="907"/>
      <c r="I1437" s="1214"/>
      <c r="J1437" s="1215"/>
      <c r="K1437" s="1215"/>
      <c r="L1437" s="1215"/>
      <c r="M1437" s="1215"/>
      <c r="N1437" s="1215"/>
      <c r="O1437" s="1216"/>
      <c r="P1437" s="517"/>
      <c r="Q1437" s="517"/>
      <c r="R1437" s="517"/>
      <c r="S1437" s="517"/>
      <c r="T1437" s="517"/>
      <c r="U1437" s="517"/>
      <c r="V1437" s="517"/>
      <c r="W1437" s="517"/>
      <c r="X1437" s="517"/>
      <c r="Y1437" s="517"/>
      <c r="Z1437" s="517"/>
      <c r="AA1437" s="517"/>
      <c r="AB1437" s="517"/>
      <c r="AC1437" s="517"/>
      <c r="AD1437" s="517"/>
      <c r="AE1437" s="517"/>
      <c r="AF1437" s="1180"/>
      <c r="AG1437" s="1180"/>
      <c r="AH1437" s="518"/>
      <c r="AJ1437" s="595"/>
    </row>
    <row r="1438" spans="1:37" hidden="1" x14ac:dyDescent="0.45">
      <c r="A1438" s="518"/>
      <c r="B1438" s="518"/>
      <c r="C1438" s="518"/>
      <c r="D1438" s="518"/>
      <c r="E1438" s="518"/>
      <c r="F1438" s="518"/>
      <c r="G1438" s="518"/>
      <c r="H1438" s="518"/>
      <c r="I1438" s="518"/>
      <c r="J1438" s="518"/>
      <c r="K1438" s="518"/>
      <c r="L1438" s="518"/>
      <c r="M1438" s="518"/>
      <c r="N1438" s="518"/>
      <c r="O1438" s="518"/>
      <c r="P1438" s="518"/>
      <c r="Q1438" s="518"/>
      <c r="R1438" s="518"/>
      <c r="S1438" s="518"/>
      <c r="T1438" s="518"/>
      <c r="U1438" s="518"/>
      <c r="V1438" s="518"/>
      <c r="W1438" s="518"/>
      <c r="X1438" s="518"/>
      <c r="Y1438" s="518"/>
      <c r="Z1438" s="518"/>
      <c r="AA1438" s="518"/>
      <c r="AB1438" s="518"/>
      <c r="AC1438" s="518"/>
      <c r="AD1438" s="518"/>
      <c r="AE1438" s="518"/>
      <c r="AF1438" s="518"/>
      <c r="AG1438" s="518"/>
      <c r="AH1438" s="518"/>
      <c r="AJ1438" s="595"/>
    </row>
    <row r="1439" spans="1:37" ht="41.5" hidden="1" customHeight="1" x14ac:dyDescent="0.45">
      <c r="A1439" s="518"/>
      <c r="B1439" s="1124" t="s">
        <v>1481</v>
      </c>
      <c r="C1439" s="1125"/>
      <c r="D1439" s="1125"/>
      <c r="E1439" s="1125"/>
      <c r="F1439" s="1125"/>
      <c r="G1439" s="1125"/>
      <c r="H1439" s="1125"/>
      <c r="I1439" s="1125"/>
      <c r="J1439" s="1125"/>
      <c r="K1439" s="1125"/>
      <c r="L1439" s="1125"/>
      <c r="M1439" s="1125"/>
      <c r="N1439" s="1125"/>
      <c r="O1439" s="1125"/>
      <c r="P1439" s="1125"/>
      <c r="Q1439" s="1125"/>
      <c r="R1439" s="1125"/>
      <c r="S1439" s="1125"/>
      <c r="T1439" s="1125"/>
      <c r="U1439" s="1125"/>
      <c r="V1439" s="1125"/>
      <c r="W1439" s="1125"/>
      <c r="X1439" s="1125"/>
      <c r="Y1439" s="1125"/>
      <c r="Z1439" s="1125"/>
      <c r="AA1439" s="1125"/>
      <c r="AB1439" s="1125"/>
      <c r="AC1439" s="1125"/>
      <c r="AD1439" s="1125"/>
      <c r="AE1439" s="573"/>
      <c r="AF1439" s="1123"/>
      <c r="AG1439" s="1123"/>
      <c r="AH1439" s="518"/>
      <c r="AJ1439" s="595"/>
    </row>
    <row r="1440" spans="1:37" hidden="1" x14ac:dyDescent="0.45">
      <c r="A1440" s="518"/>
      <c r="B1440" s="518"/>
      <c r="C1440" s="518"/>
      <c r="D1440" s="518"/>
      <c r="E1440" s="518"/>
      <c r="F1440" s="518"/>
      <c r="G1440" s="518"/>
      <c r="H1440" s="518"/>
      <c r="I1440" s="518"/>
      <c r="J1440" s="518"/>
      <c r="K1440" s="518"/>
      <c r="L1440" s="518"/>
      <c r="M1440" s="518"/>
      <c r="N1440" s="518"/>
      <c r="O1440" s="518"/>
      <c r="P1440" s="518"/>
      <c r="Q1440" s="518"/>
      <c r="R1440" s="518"/>
      <c r="S1440" s="518"/>
      <c r="T1440" s="518"/>
      <c r="U1440" s="518"/>
      <c r="V1440" s="518"/>
      <c r="W1440" s="518"/>
      <c r="X1440" s="518"/>
      <c r="Y1440" s="518"/>
      <c r="Z1440" s="518"/>
      <c r="AA1440" s="518"/>
      <c r="AB1440" s="518"/>
      <c r="AC1440" s="518"/>
      <c r="AD1440" s="518"/>
      <c r="AE1440" s="518"/>
      <c r="AF1440" s="518"/>
      <c r="AG1440" s="518"/>
      <c r="AH1440" s="518"/>
      <c r="AJ1440" s="595"/>
    </row>
    <row r="1441" spans="1:36" hidden="1" x14ac:dyDescent="0.45">
      <c r="A1441" s="518"/>
      <c r="B1441" s="1137" t="s">
        <v>90</v>
      </c>
      <c r="C1441" s="1138"/>
      <c r="D1441" s="1138"/>
      <c r="E1441" s="1138"/>
      <c r="F1441" s="1138"/>
      <c r="G1441" s="1138"/>
      <c r="H1441" s="1138"/>
      <c r="I1441" s="1138"/>
      <c r="J1441" s="1138"/>
      <c r="K1441" s="1138"/>
      <c r="L1441" s="1138"/>
      <c r="M1441" s="1138"/>
      <c r="N1441" s="1138"/>
      <c r="O1441" s="1138"/>
      <c r="P1441" s="1138"/>
      <c r="Q1441" s="1138"/>
      <c r="R1441" s="1138"/>
      <c r="S1441" s="1138"/>
      <c r="T1441" s="1138"/>
      <c r="U1441" s="1139"/>
      <c r="V1441" s="1143" t="s">
        <v>91</v>
      </c>
      <c r="W1441" s="1143"/>
      <c r="X1441" s="1143"/>
      <c r="Y1441" s="1143" t="s">
        <v>92</v>
      </c>
      <c r="Z1441" s="1143"/>
      <c r="AA1441" s="1143"/>
      <c r="AB1441" s="1143" t="s">
        <v>93</v>
      </c>
      <c r="AC1441" s="1143"/>
      <c r="AD1441" s="1143"/>
      <c r="AE1441" s="1143" t="s">
        <v>94</v>
      </c>
      <c r="AF1441" s="1143"/>
      <c r="AG1441" s="1143"/>
      <c r="AH1441" s="518"/>
      <c r="AJ1441" s="595"/>
    </row>
    <row r="1442" spans="1:36" hidden="1" x14ac:dyDescent="0.45">
      <c r="A1442" s="518"/>
      <c r="B1442" s="1140"/>
      <c r="C1442" s="1141"/>
      <c r="D1442" s="1141"/>
      <c r="E1442" s="1141"/>
      <c r="F1442" s="1141"/>
      <c r="G1442" s="1141"/>
      <c r="H1442" s="1141"/>
      <c r="I1442" s="1141"/>
      <c r="J1442" s="1141"/>
      <c r="K1442" s="1141"/>
      <c r="L1442" s="1141"/>
      <c r="M1442" s="1141"/>
      <c r="N1442" s="1141"/>
      <c r="O1442" s="1141"/>
      <c r="P1442" s="1141"/>
      <c r="Q1442" s="1141"/>
      <c r="R1442" s="1141"/>
      <c r="S1442" s="1141"/>
      <c r="T1442" s="1141"/>
      <c r="U1442" s="1142"/>
      <c r="V1442" s="1143"/>
      <c r="W1442" s="1143"/>
      <c r="X1442" s="1143"/>
      <c r="Y1442" s="1143"/>
      <c r="Z1442" s="1143"/>
      <c r="AA1442" s="1143"/>
      <c r="AB1442" s="1143"/>
      <c r="AC1442" s="1143"/>
      <c r="AD1442" s="1143"/>
      <c r="AE1442" s="1143"/>
      <c r="AF1442" s="1143"/>
      <c r="AG1442" s="1143"/>
      <c r="AH1442" s="518"/>
      <c r="AJ1442" s="595"/>
    </row>
    <row r="1443" spans="1:36" hidden="1" x14ac:dyDescent="0.45">
      <c r="A1443" s="518"/>
      <c r="B1443" s="1150"/>
      <c r="C1443" s="1151"/>
      <c r="D1443" s="1151"/>
      <c r="E1443" s="1151"/>
      <c r="F1443" s="1151"/>
      <c r="G1443" s="1151"/>
      <c r="H1443" s="1151"/>
      <c r="I1443" s="1151"/>
      <c r="J1443" s="1151"/>
      <c r="K1443" s="1151"/>
      <c r="L1443" s="1151"/>
      <c r="M1443" s="1151"/>
      <c r="N1443" s="1151"/>
      <c r="O1443" s="1151"/>
      <c r="P1443" s="1151"/>
      <c r="Q1443" s="1151"/>
      <c r="R1443" s="1151"/>
      <c r="S1443" s="1151"/>
      <c r="T1443" s="1151"/>
      <c r="U1443" s="1152"/>
      <c r="V1443" s="894"/>
      <c r="W1443" s="895"/>
      <c r="X1443" s="896"/>
      <c r="Y1443" s="1201"/>
      <c r="Z1443" s="1202"/>
      <c r="AA1443" s="1203"/>
      <c r="AB1443" s="1201"/>
      <c r="AC1443" s="1202"/>
      <c r="AD1443" s="1203"/>
      <c r="AE1443" s="1207" cm="1">
        <f t="array" ref="AE1443">wwDateDiff(CH_SH_PreviousProgramStart1,CH_SH_PreviousProgramEnd1)</f>
        <v>0</v>
      </c>
      <c r="AF1443" s="1208"/>
      <c r="AG1443" s="1209"/>
      <c r="AH1443" s="518"/>
      <c r="AJ1443" s="595"/>
    </row>
    <row r="1444" spans="1:36" hidden="1" x14ac:dyDescent="0.45">
      <c r="A1444" s="518"/>
      <c r="B1444" s="1153"/>
      <c r="C1444" s="1154"/>
      <c r="D1444" s="1154"/>
      <c r="E1444" s="1154"/>
      <c r="F1444" s="1154"/>
      <c r="G1444" s="1154"/>
      <c r="H1444" s="1154"/>
      <c r="I1444" s="1154"/>
      <c r="J1444" s="1154"/>
      <c r="K1444" s="1154"/>
      <c r="L1444" s="1154"/>
      <c r="M1444" s="1154"/>
      <c r="N1444" s="1154"/>
      <c r="O1444" s="1154"/>
      <c r="P1444" s="1154"/>
      <c r="Q1444" s="1154"/>
      <c r="R1444" s="1154"/>
      <c r="S1444" s="1154"/>
      <c r="T1444" s="1154"/>
      <c r="U1444" s="1155"/>
      <c r="V1444" s="897"/>
      <c r="W1444" s="898"/>
      <c r="X1444" s="899"/>
      <c r="Y1444" s="1204"/>
      <c r="Z1444" s="1205"/>
      <c r="AA1444" s="1206"/>
      <c r="AB1444" s="1204"/>
      <c r="AC1444" s="1205"/>
      <c r="AD1444" s="1206"/>
      <c r="AE1444" s="1210"/>
      <c r="AF1444" s="1211"/>
      <c r="AG1444" s="1212"/>
      <c r="AH1444" s="518"/>
      <c r="AJ1444" s="595"/>
    </row>
    <row r="1445" spans="1:36" hidden="1" x14ac:dyDescent="0.45">
      <c r="A1445" s="518"/>
      <c r="B1445" s="1150"/>
      <c r="C1445" s="1151"/>
      <c r="D1445" s="1151"/>
      <c r="E1445" s="1151"/>
      <c r="F1445" s="1151"/>
      <c r="G1445" s="1151"/>
      <c r="H1445" s="1151"/>
      <c r="I1445" s="1151"/>
      <c r="J1445" s="1151"/>
      <c r="K1445" s="1151"/>
      <c r="L1445" s="1151"/>
      <c r="M1445" s="1151"/>
      <c r="N1445" s="1151"/>
      <c r="O1445" s="1151"/>
      <c r="P1445" s="1151"/>
      <c r="Q1445" s="1151"/>
      <c r="R1445" s="1151"/>
      <c r="S1445" s="1151"/>
      <c r="T1445" s="1151"/>
      <c r="U1445" s="1152"/>
      <c r="V1445" s="894"/>
      <c r="W1445" s="895"/>
      <c r="X1445" s="896"/>
      <c r="Y1445" s="1201"/>
      <c r="Z1445" s="1202"/>
      <c r="AA1445" s="1203"/>
      <c r="AB1445" s="1201"/>
      <c r="AC1445" s="1202"/>
      <c r="AD1445" s="1203"/>
      <c r="AE1445" s="1207" cm="1">
        <f t="array" ref="AE1445">wwDateDiff(CH_SH_PreviousProgramStart2,CH_SH_PreviousProgramEnd2)</f>
        <v>0</v>
      </c>
      <c r="AF1445" s="1208"/>
      <c r="AG1445" s="1209"/>
      <c r="AH1445" s="518"/>
      <c r="AJ1445" s="595"/>
    </row>
    <row r="1446" spans="1:36" hidden="1" x14ac:dyDescent="0.45">
      <c r="A1446" s="518"/>
      <c r="B1446" s="1153"/>
      <c r="C1446" s="1154"/>
      <c r="D1446" s="1154"/>
      <c r="E1446" s="1154"/>
      <c r="F1446" s="1154"/>
      <c r="G1446" s="1154"/>
      <c r="H1446" s="1154"/>
      <c r="I1446" s="1154"/>
      <c r="J1446" s="1154"/>
      <c r="K1446" s="1154"/>
      <c r="L1446" s="1154"/>
      <c r="M1446" s="1154"/>
      <c r="N1446" s="1154"/>
      <c r="O1446" s="1154"/>
      <c r="P1446" s="1154"/>
      <c r="Q1446" s="1154"/>
      <c r="R1446" s="1154"/>
      <c r="S1446" s="1154"/>
      <c r="T1446" s="1154"/>
      <c r="U1446" s="1155"/>
      <c r="V1446" s="897"/>
      <c r="W1446" s="898"/>
      <c r="X1446" s="899"/>
      <c r="Y1446" s="1204"/>
      <c r="Z1446" s="1205"/>
      <c r="AA1446" s="1206"/>
      <c r="AB1446" s="1204"/>
      <c r="AC1446" s="1205"/>
      <c r="AD1446" s="1206"/>
      <c r="AE1446" s="1210"/>
      <c r="AF1446" s="1211"/>
      <c r="AG1446" s="1212"/>
      <c r="AH1446" s="518"/>
      <c r="AJ1446" s="595"/>
    </row>
    <row r="1447" spans="1:36" hidden="1" x14ac:dyDescent="0.45">
      <c r="A1447" s="518"/>
      <c r="B1447" s="1150"/>
      <c r="C1447" s="1151"/>
      <c r="D1447" s="1151"/>
      <c r="E1447" s="1151"/>
      <c r="F1447" s="1151"/>
      <c r="G1447" s="1151"/>
      <c r="H1447" s="1151"/>
      <c r="I1447" s="1151"/>
      <c r="J1447" s="1151"/>
      <c r="K1447" s="1151"/>
      <c r="L1447" s="1151"/>
      <c r="M1447" s="1151"/>
      <c r="N1447" s="1151"/>
      <c r="O1447" s="1151"/>
      <c r="P1447" s="1151"/>
      <c r="Q1447" s="1151"/>
      <c r="R1447" s="1151"/>
      <c r="S1447" s="1151"/>
      <c r="T1447" s="1151"/>
      <c r="U1447" s="1152"/>
      <c r="V1447" s="894"/>
      <c r="W1447" s="895"/>
      <c r="X1447" s="896"/>
      <c r="Y1447" s="1201"/>
      <c r="Z1447" s="1202"/>
      <c r="AA1447" s="1203"/>
      <c r="AB1447" s="1201"/>
      <c r="AC1447" s="1202"/>
      <c r="AD1447" s="1203"/>
      <c r="AE1447" s="1207" cm="1">
        <f t="array" ref="AE1447">wwDateDiff(CH_SH_PreviousProgramStart3,CH_SH_PreviousProgramEnd3)</f>
        <v>0</v>
      </c>
      <c r="AF1447" s="1208"/>
      <c r="AG1447" s="1209"/>
      <c r="AH1447" s="518"/>
      <c r="AJ1447" s="595"/>
    </row>
    <row r="1448" spans="1:36" hidden="1" x14ac:dyDescent="0.45">
      <c r="A1448" s="518"/>
      <c r="B1448" s="1153"/>
      <c r="C1448" s="1154"/>
      <c r="D1448" s="1154"/>
      <c r="E1448" s="1154"/>
      <c r="F1448" s="1154"/>
      <c r="G1448" s="1154"/>
      <c r="H1448" s="1154"/>
      <c r="I1448" s="1154"/>
      <c r="J1448" s="1154"/>
      <c r="K1448" s="1154"/>
      <c r="L1448" s="1154"/>
      <c r="M1448" s="1154"/>
      <c r="N1448" s="1154"/>
      <c r="O1448" s="1154"/>
      <c r="P1448" s="1154"/>
      <c r="Q1448" s="1154"/>
      <c r="R1448" s="1154"/>
      <c r="S1448" s="1154"/>
      <c r="T1448" s="1154"/>
      <c r="U1448" s="1155"/>
      <c r="V1448" s="897"/>
      <c r="W1448" s="898"/>
      <c r="X1448" s="899"/>
      <c r="Y1448" s="1204"/>
      <c r="Z1448" s="1205"/>
      <c r="AA1448" s="1206"/>
      <c r="AB1448" s="1204"/>
      <c r="AC1448" s="1205"/>
      <c r="AD1448" s="1206"/>
      <c r="AE1448" s="1210"/>
      <c r="AF1448" s="1211"/>
      <c r="AG1448" s="1212"/>
      <c r="AH1448" s="518"/>
      <c r="AJ1448" s="595"/>
    </row>
    <row r="1449" spans="1:36" hidden="1" x14ac:dyDescent="0.45">
      <c r="A1449" s="518"/>
      <c r="B1449" s="1150"/>
      <c r="C1449" s="1151"/>
      <c r="D1449" s="1151"/>
      <c r="E1449" s="1151"/>
      <c r="F1449" s="1151"/>
      <c r="G1449" s="1151"/>
      <c r="H1449" s="1151"/>
      <c r="I1449" s="1151"/>
      <c r="J1449" s="1151"/>
      <c r="K1449" s="1151"/>
      <c r="L1449" s="1151"/>
      <c r="M1449" s="1151"/>
      <c r="N1449" s="1151"/>
      <c r="O1449" s="1151"/>
      <c r="P1449" s="1151"/>
      <c r="Q1449" s="1151"/>
      <c r="R1449" s="1151"/>
      <c r="S1449" s="1151"/>
      <c r="T1449" s="1151"/>
      <c r="U1449" s="1152"/>
      <c r="V1449" s="894"/>
      <c r="W1449" s="895"/>
      <c r="X1449" s="896"/>
      <c r="Y1449" s="1201"/>
      <c r="Z1449" s="1202"/>
      <c r="AA1449" s="1203"/>
      <c r="AB1449" s="1201"/>
      <c r="AC1449" s="1202"/>
      <c r="AD1449" s="1203"/>
      <c r="AE1449" s="1207" cm="1">
        <f t="array" ref="AE1449">wwDateDiff(CH_SH_PreviousProgramStart4,CH_SH_PreviousProgramEnd4)</f>
        <v>0</v>
      </c>
      <c r="AF1449" s="1208"/>
      <c r="AG1449" s="1209"/>
      <c r="AH1449" s="518"/>
      <c r="AJ1449" s="595"/>
    </row>
    <row r="1450" spans="1:36" hidden="1" x14ac:dyDescent="0.45">
      <c r="A1450" s="518"/>
      <c r="B1450" s="1153"/>
      <c r="C1450" s="1154"/>
      <c r="D1450" s="1154"/>
      <c r="E1450" s="1154"/>
      <c r="F1450" s="1154"/>
      <c r="G1450" s="1154"/>
      <c r="H1450" s="1154"/>
      <c r="I1450" s="1154"/>
      <c r="J1450" s="1154"/>
      <c r="K1450" s="1154"/>
      <c r="L1450" s="1154"/>
      <c r="M1450" s="1154"/>
      <c r="N1450" s="1154"/>
      <c r="O1450" s="1154"/>
      <c r="P1450" s="1154"/>
      <c r="Q1450" s="1154"/>
      <c r="R1450" s="1154"/>
      <c r="S1450" s="1154"/>
      <c r="T1450" s="1154"/>
      <c r="U1450" s="1155"/>
      <c r="V1450" s="897"/>
      <c r="W1450" s="898"/>
      <c r="X1450" s="899"/>
      <c r="Y1450" s="1204"/>
      <c r="Z1450" s="1205"/>
      <c r="AA1450" s="1206"/>
      <c r="AB1450" s="1204"/>
      <c r="AC1450" s="1205"/>
      <c r="AD1450" s="1206"/>
      <c r="AE1450" s="1210"/>
      <c r="AF1450" s="1211"/>
      <c r="AG1450" s="1212"/>
      <c r="AH1450" s="518"/>
      <c r="AJ1450" s="595"/>
    </row>
    <row r="1451" spans="1:36" hidden="1" x14ac:dyDescent="0.45">
      <c r="A1451" s="518"/>
      <c r="B1451" s="1150"/>
      <c r="C1451" s="1151"/>
      <c r="D1451" s="1151"/>
      <c r="E1451" s="1151"/>
      <c r="F1451" s="1151"/>
      <c r="G1451" s="1151"/>
      <c r="H1451" s="1151"/>
      <c r="I1451" s="1151"/>
      <c r="J1451" s="1151"/>
      <c r="K1451" s="1151"/>
      <c r="L1451" s="1151"/>
      <c r="M1451" s="1151"/>
      <c r="N1451" s="1151"/>
      <c r="O1451" s="1151"/>
      <c r="P1451" s="1151"/>
      <c r="Q1451" s="1151"/>
      <c r="R1451" s="1151"/>
      <c r="S1451" s="1151"/>
      <c r="T1451" s="1151"/>
      <c r="U1451" s="1152"/>
      <c r="V1451" s="894"/>
      <c r="W1451" s="895"/>
      <c r="X1451" s="896"/>
      <c r="Y1451" s="1201"/>
      <c r="Z1451" s="1202"/>
      <c r="AA1451" s="1203"/>
      <c r="AB1451" s="1201"/>
      <c r="AC1451" s="1202"/>
      <c r="AD1451" s="1203"/>
      <c r="AE1451" s="1207" cm="1">
        <f t="array" ref="AE1451">wwDateDiff(CH_SH_PreviousProgramStart5,CH_SH_PreviousProgramEnd5)</f>
        <v>0</v>
      </c>
      <c r="AF1451" s="1208"/>
      <c r="AG1451" s="1209"/>
      <c r="AH1451" s="518"/>
      <c r="AJ1451" s="595"/>
    </row>
    <row r="1452" spans="1:36" hidden="1" x14ac:dyDescent="0.45">
      <c r="A1452" s="518"/>
      <c r="B1452" s="1153"/>
      <c r="C1452" s="1154"/>
      <c r="D1452" s="1154"/>
      <c r="E1452" s="1154"/>
      <c r="F1452" s="1154"/>
      <c r="G1452" s="1154"/>
      <c r="H1452" s="1154"/>
      <c r="I1452" s="1154"/>
      <c r="J1452" s="1154"/>
      <c r="K1452" s="1154"/>
      <c r="L1452" s="1154"/>
      <c r="M1452" s="1154"/>
      <c r="N1452" s="1154"/>
      <c r="O1452" s="1154"/>
      <c r="P1452" s="1154"/>
      <c r="Q1452" s="1154"/>
      <c r="R1452" s="1154"/>
      <c r="S1452" s="1154"/>
      <c r="T1452" s="1154"/>
      <c r="U1452" s="1155"/>
      <c r="V1452" s="897"/>
      <c r="W1452" s="898"/>
      <c r="X1452" s="899"/>
      <c r="Y1452" s="1204"/>
      <c r="Z1452" s="1205"/>
      <c r="AA1452" s="1206"/>
      <c r="AB1452" s="1204"/>
      <c r="AC1452" s="1205"/>
      <c r="AD1452" s="1206"/>
      <c r="AE1452" s="1210"/>
      <c r="AF1452" s="1211"/>
      <c r="AG1452" s="1212"/>
      <c r="AH1452" s="518"/>
      <c r="AJ1452" s="595"/>
    </row>
    <row r="1453" spans="1:36" hidden="1" x14ac:dyDescent="0.45">
      <c r="A1453" s="518"/>
      <c r="B1453" s="518"/>
      <c r="C1453" s="518"/>
      <c r="D1453" s="518"/>
      <c r="E1453" s="518"/>
      <c r="F1453" s="518"/>
      <c r="G1453" s="518"/>
      <c r="H1453" s="518"/>
      <c r="I1453" s="518"/>
      <c r="J1453" s="518"/>
      <c r="K1453" s="518"/>
      <c r="L1453" s="518"/>
      <c r="M1453" s="518"/>
      <c r="N1453" s="518"/>
      <c r="O1453" s="518"/>
      <c r="P1453" s="518"/>
      <c r="Q1453" s="518"/>
      <c r="R1453" s="518"/>
      <c r="S1453" s="518"/>
      <c r="T1453" s="518"/>
      <c r="U1453" s="518"/>
      <c r="V1453" s="518"/>
      <c r="W1453" s="518"/>
      <c r="X1453" s="518"/>
      <c r="Y1453" s="518"/>
      <c r="Z1453" s="518"/>
      <c r="AA1453" s="518"/>
      <c r="AB1453" s="518"/>
      <c r="AC1453" s="518"/>
      <c r="AD1453" s="518"/>
      <c r="AE1453" s="518"/>
      <c r="AF1453" s="518"/>
      <c r="AG1453" s="518"/>
      <c r="AH1453" s="518"/>
      <c r="AJ1453" s="595"/>
    </row>
    <row r="1454" spans="1:36" ht="29.15" hidden="1" customHeight="1" x14ac:dyDescent="0.45">
      <c r="A1454" s="518"/>
      <c r="B1454" s="1121" t="s">
        <v>1482</v>
      </c>
      <c r="C1454" s="1122"/>
      <c r="D1454" s="1122"/>
      <c r="E1454" s="1122"/>
      <c r="F1454" s="1122"/>
      <c r="G1454" s="1122"/>
      <c r="H1454" s="1122"/>
      <c r="I1454" s="1122"/>
      <c r="J1454" s="1122"/>
      <c r="K1454" s="1122"/>
      <c r="L1454" s="1122"/>
      <c r="M1454" s="1122"/>
      <c r="N1454" s="1122"/>
      <c r="O1454" s="1122"/>
      <c r="P1454" s="1122"/>
      <c r="Q1454" s="1122"/>
      <c r="R1454" s="1122"/>
      <c r="S1454" s="1122"/>
      <c r="T1454" s="1122"/>
      <c r="U1454" s="1122"/>
      <c r="V1454" s="1122"/>
      <c r="W1454" s="1122"/>
      <c r="X1454" s="1122"/>
      <c r="Y1454" s="1122"/>
      <c r="Z1454" s="1122"/>
      <c r="AA1454" s="1122"/>
      <c r="AB1454" s="1122"/>
      <c r="AC1454" s="1122"/>
      <c r="AD1454" s="1122"/>
      <c r="AE1454" s="528"/>
      <c r="AF1454" s="1123"/>
      <c r="AG1454" s="1123"/>
      <c r="AH1454" s="518"/>
      <c r="AJ1454" s="595"/>
    </row>
    <row r="1455" spans="1:36" ht="29.15" hidden="1" customHeight="1" x14ac:dyDescent="0.45">
      <c r="A1455" s="518"/>
      <c r="B1455" s="1121" t="s">
        <v>1483</v>
      </c>
      <c r="C1455" s="1122"/>
      <c r="D1455" s="1122"/>
      <c r="E1455" s="1122"/>
      <c r="F1455" s="1122"/>
      <c r="G1455" s="1122"/>
      <c r="H1455" s="1122"/>
      <c r="I1455" s="1122"/>
      <c r="J1455" s="1122"/>
      <c r="K1455" s="1122"/>
      <c r="L1455" s="1122"/>
      <c r="M1455" s="1122"/>
      <c r="N1455" s="1122"/>
      <c r="O1455" s="1122"/>
      <c r="P1455" s="1122"/>
      <c r="Q1455" s="1122"/>
      <c r="R1455" s="1122"/>
      <c r="S1455" s="1122"/>
      <c r="T1455" s="1122"/>
      <c r="U1455" s="1122"/>
      <c r="V1455" s="1122"/>
      <c r="W1455" s="1122"/>
      <c r="X1455" s="1122"/>
      <c r="Y1455" s="1122"/>
      <c r="Z1455" s="1122"/>
      <c r="AA1455" s="1122"/>
      <c r="AB1455" s="1122"/>
      <c r="AC1455" s="1122"/>
      <c r="AD1455" s="1122"/>
      <c r="AE1455" s="528"/>
      <c r="AF1455" s="1123"/>
      <c r="AG1455" s="1123"/>
      <c r="AH1455" s="518"/>
      <c r="AJ1455" s="595"/>
    </row>
    <row r="1456" spans="1:36" ht="42" hidden="1" customHeight="1" x14ac:dyDescent="0.45">
      <c r="A1456" s="518"/>
      <c r="B1456" s="1124" t="s">
        <v>1484</v>
      </c>
      <c r="C1456" s="1125"/>
      <c r="D1456" s="1125"/>
      <c r="E1456" s="1125"/>
      <c r="F1456" s="1125"/>
      <c r="G1456" s="1125"/>
      <c r="H1456" s="1125"/>
      <c r="I1456" s="1125"/>
      <c r="J1456" s="1125"/>
      <c r="K1456" s="1125"/>
      <c r="L1456" s="1125"/>
      <c r="M1456" s="1125"/>
      <c r="N1456" s="1125"/>
      <c r="O1456" s="1125"/>
      <c r="P1456" s="1125"/>
      <c r="Q1456" s="1125"/>
      <c r="R1456" s="1125"/>
      <c r="S1456" s="1125"/>
      <c r="T1456" s="1125"/>
      <c r="U1456" s="1125"/>
      <c r="V1456" s="1125"/>
      <c r="W1456" s="1125"/>
      <c r="X1456" s="1125"/>
      <c r="Y1456" s="1125"/>
      <c r="Z1456" s="1125"/>
      <c r="AA1456" s="1125"/>
      <c r="AB1456" s="1125"/>
      <c r="AC1456" s="1125"/>
      <c r="AD1456" s="1125"/>
      <c r="AE1456" s="573"/>
      <c r="AF1456" s="1123"/>
      <c r="AG1456" s="1123"/>
      <c r="AH1456" s="518"/>
      <c r="AJ1456" s="595"/>
    </row>
    <row r="1457" spans="1:36" hidden="1" x14ac:dyDescent="0.45">
      <c r="A1457" s="518"/>
      <c r="B1457" s="518"/>
      <c r="C1457" s="518"/>
      <c r="D1457" s="518"/>
      <c r="E1457" s="518"/>
      <c r="F1457" s="518"/>
      <c r="G1457" s="518"/>
      <c r="H1457" s="518"/>
      <c r="I1457" s="518"/>
      <c r="J1457" s="518"/>
      <c r="K1457" s="518"/>
      <c r="L1457" s="518"/>
      <c r="M1457" s="518"/>
      <c r="N1457" s="518"/>
      <c r="O1457" s="518"/>
      <c r="P1457" s="518"/>
      <c r="Q1457" s="518"/>
      <c r="R1457" s="518"/>
      <c r="S1457" s="518"/>
      <c r="T1457" s="518"/>
      <c r="U1457" s="518"/>
      <c r="V1457" s="518"/>
      <c r="W1457" s="518"/>
      <c r="X1457" s="518"/>
      <c r="Y1457" s="518"/>
      <c r="Z1457" s="518"/>
      <c r="AA1457" s="518"/>
      <c r="AB1457" s="518"/>
      <c r="AC1457" s="518"/>
      <c r="AD1457" s="518"/>
      <c r="AE1457" s="518"/>
      <c r="AF1457" s="518"/>
      <c r="AG1457" s="518"/>
      <c r="AH1457" s="518"/>
      <c r="AJ1457" s="595"/>
    </row>
    <row r="1458" spans="1:36" hidden="1" x14ac:dyDescent="0.45">
      <c r="A1458" s="518"/>
      <c r="B1458" s="518"/>
      <c r="C1458" s="518"/>
      <c r="D1458" s="518"/>
      <c r="E1458" s="518"/>
      <c r="F1458" s="518"/>
      <c r="G1458" s="518"/>
      <c r="H1458" s="518"/>
      <c r="I1458" s="518"/>
      <c r="J1458" s="518"/>
      <c r="K1458" s="518"/>
      <c r="L1458" s="518"/>
      <c r="M1458" s="518"/>
      <c r="N1458" s="518"/>
      <c r="O1458" s="518"/>
      <c r="P1458" s="518"/>
      <c r="Q1458" s="518"/>
      <c r="R1458" s="518"/>
      <c r="S1458" s="518"/>
      <c r="T1458" s="518"/>
      <c r="U1458" s="518"/>
      <c r="V1458" s="518"/>
      <c r="W1458" s="518"/>
      <c r="X1458" s="518"/>
      <c r="Y1458" s="518"/>
      <c r="Z1458" s="518"/>
      <c r="AA1458" s="518"/>
      <c r="AB1458" s="518"/>
      <c r="AC1458" s="518"/>
      <c r="AD1458" s="518"/>
      <c r="AE1458" s="518"/>
      <c r="AF1458" s="518"/>
      <c r="AG1458" s="518"/>
      <c r="AH1458" s="518"/>
      <c r="AJ1458" s="595"/>
    </row>
    <row r="1459" spans="1:36" hidden="1" x14ac:dyDescent="0.45">
      <c r="A1459" s="518"/>
      <c r="B1459" s="923" t="str">
        <f>B$1435</f>
        <v>CalHome Technical Assistance for Shared-Housing Application</v>
      </c>
      <c r="C1459" s="923"/>
      <c r="D1459" s="923"/>
      <c r="E1459" s="923"/>
      <c r="F1459" s="923"/>
      <c r="G1459" s="923"/>
      <c r="H1459" s="923"/>
      <c r="I1459" s="923"/>
      <c r="J1459" s="923"/>
      <c r="K1459" s="923"/>
      <c r="L1459" s="923"/>
      <c r="M1459" s="923"/>
      <c r="N1459" s="923"/>
      <c r="O1459" s="923"/>
      <c r="P1459" s="923"/>
      <c r="Q1459" s="923"/>
      <c r="R1459" s="923"/>
      <c r="S1459" s="923"/>
      <c r="T1459" s="923"/>
      <c r="U1459" s="923"/>
      <c r="V1459" s="923"/>
      <c r="W1459" s="923"/>
      <c r="X1459" s="923"/>
      <c r="Y1459" s="923"/>
      <c r="Z1459" s="923"/>
      <c r="AA1459" s="923"/>
      <c r="AB1459" s="923"/>
      <c r="AC1459" s="923"/>
      <c r="AD1459" s="923"/>
      <c r="AE1459" s="923"/>
      <c r="AF1459" s="923"/>
      <c r="AG1459" s="923"/>
      <c r="AH1459" s="518"/>
      <c r="AJ1459" s="595"/>
    </row>
    <row r="1460" spans="1:36" hidden="1" x14ac:dyDescent="0.45">
      <c r="A1460" s="518"/>
      <c r="B1460" s="532"/>
      <c r="C1460" s="532"/>
      <c r="D1460" s="532"/>
      <c r="E1460" s="532"/>
      <c r="F1460" s="532"/>
      <c r="G1460" s="532"/>
      <c r="H1460" s="532"/>
      <c r="I1460" s="532"/>
      <c r="J1460" s="532"/>
      <c r="K1460" s="532"/>
      <c r="L1460" s="532"/>
      <c r="M1460" s="532"/>
      <c r="N1460" s="532"/>
      <c r="O1460" s="532"/>
      <c r="P1460" s="532"/>
      <c r="Q1460" s="532"/>
      <c r="R1460" s="532"/>
      <c r="S1460" s="532"/>
      <c r="T1460" s="532"/>
      <c r="U1460" s="532"/>
      <c r="V1460" s="532"/>
      <c r="W1460" s="532"/>
      <c r="X1460" s="532"/>
      <c r="Y1460" s="532"/>
      <c r="Z1460" s="532"/>
      <c r="AA1460" s="532"/>
      <c r="AB1460" s="532"/>
      <c r="AC1460" s="532"/>
      <c r="AD1460" s="532"/>
      <c r="AE1460" s="532"/>
      <c r="AF1460" s="532"/>
      <c r="AG1460" s="532"/>
      <c r="AH1460" s="518"/>
      <c r="AJ1460" s="595"/>
    </row>
    <row r="1461" spans="1:36" hidden="1" x14ac:dyDescent="0.45">
      <c r="A1461" s="518"/>
      <c r="B1461" s="923" t="s">
        <v>100</v>
      </c>
      <c r="C1461" s="923"/>
      <c r="D1461" s="923"/>
      <c r="E1461" s="923"/>
      <c r="F1461" s="923"/>
      <c r="G1461" s="923"/>
      <c r="H1461" s="923"/>
      <c r="I1461" s="923"/>
      <c r="J1461" s="923"/>
      <c r="K1461" s="923"/>
      <c r="L1461" s="923"/>
      <c r="M1461" s="923"/>
      <c r="N1461" s="923"/>
      <c r="O1461" s="923"/>
      <c r="P1461" s="923"/>
      <c r="Q1461" s="923"/>
      <c r="R1461" s="923"/>
      <c r="S1461" s="923"/>
      <c r="T1461" s="923"/>
      <c r="U1461" s="923"/>
      <c r="V1461" s="923"/>
      <c r="W1461" s="923"/>
      <c r="X1461" s="923"/>
      <c r="Y1461" s="923"/>
      <c r="Z1461" s="923"/>
      <c r="AA1461" s="923"/>
      <c r="AB1461" s="923"/>
      <c r="AC1461" s="923"/>
      <c r="AD1461" s="923"/>
      <c r="AE1461" s="923"/>
      <c r="AF1461" s="923"/>
      <c r="AG1461" s="923"/>
      <c r="AH1461" s="518"/>
      <c r="AJ1461" s="595"/>
    </row>
    <row r="1462" spans="1:36" ht="304" hidden="1" customHeight="1" x14ac:dyDescent="0.45">
      <c r="A1462" s="518"/>
      <c r="B1462" s="1239"/>
      <c r="C1462" s="1239"/>
      <c r="D1462" s="1239"/>
      <c r="E1462" s="1239"/>
      <c r="F1462" s="1239"/>
      <c r="G1462" s="1239"/>
      <c r="H1462" s="1239"/>
      <c r="I1462" s="1239"/>
      <c r="J1462" s="1239"/>
      <c r="K1462" s="1239"/>
      <c r="L1462" s="1239"/>
      <c r="M1462" s="1239"/>
      <c r="N1462" s="1239"/>
      <c r="O1462" s="1239"/>
      <c r="P1462" s="1239"/>
      <c r="Q1462" s="1239"/>
      <c r="R1462" s="1239"/>
      <c r="S1462" s="1239"/>
      <c r="T1462" s="1239"/>
      <c r="U1462" s="1239"/>
      <c r="V1462" s="1239"/>
      <c r="W1462" s="1239"/>
      <c r="X1462" s="1239"/>
      <c r="Y1462" s="1239"/>
      <c r="Z1462" s="1239"/>
      <c r="AA1462" s="1239"/>
      <c r="AB1462" s="1239"/>
      <c r="AC1462" s="1239"/>
      <c r="AD1462" s="1239"/>
      <c r="AE1462" s="1239"/>
      <c r="AF1462" s="1239"/>
      <c r="AG1462" s="1239"/>
      <c r="AH1462" s="518"/>
      <c r="AJ1462" s="595"/>
    </row>
    <row r="1463" spans="1:36" ht="304" hidden="1" customHeight="1" x14ac:dyDescent="0.45">
      <c r="A1463" s="518"/>
      <c r="B1463" s="1239"/>
      <c r="C1463" s="1239"/>
      <c r="D1463" s="1239"/>
      <c r="E1463" s="1239"/>
      <c r="F1463" s="1239"/>
      <c r="G1463" s="1239"/>
      <c r="H1463" s="1239"/>
      <c r="I1463" s="1239"/>
      <c r="J1463" s="1239"/>
      <c r="K1463" s="1239"/>
      <c r="L1463" s="1239"/>
      <c r="M1463" s="1239"/>
      <c r="N1463" s="1239"/>
      <c r="O1463" s="1239"/>
      <c r="P1463" s="1239"/>
      <c r="Q1463" s="1239"/>
      <c r="R1463" s="1239"/>
      <c r="S1463" s="1239"/>
      <c r="T1463" s="1239"/>
      <c r="U1463" s="1239"/>
      <c r="V1463" s="1239"/>
      <c r="W1463" s="1239"/>
      <c r="X1463" s="1239"/>
      <c r="Y1463" s="1239"/>
      <c r="Z1463" s="1239"/>
      <c r="AA1463" s="1239"/>
      <c r="AB1463" s="1239"/>
      <c r="AC1463" s="1239"/>
      <c r="AD1463" s="1239"/>
      <c r="AE1463" s="1239"/>
      <c r="AF1463" s="1239"/>
      <c r="AG1463" s="1239"/>
      <c r="AH1463" s="518"/>
      <c r="AJ1463" s="595"/>
    </row>
    <row r="1464" spans="1:36" hidden="1" x14ac:dyDescent="0.45">
      <c r="A1464" s="518"/>
      <c r="B1464" s="518"/>
      <c r="C1464" s="518"/>
      <c r="D1464" s="518"/>
      <c r="E1464" s="518"/>
      <c r="F1464" s="518"/>
      <c r="G1464" s="518"/>
      <c r="H1464" s="518"/>
      <c r="I1464" s="518"/>
      <c r="J1464" s="518"/>
      <c r="K1464" s="518"/>
      <c r="L1464" s="518"/>
      <c r="M1464" s="518"/>
      <c r="N1464" s="518"/>
      <c r="O1464" s="518"/>
      <c r="P1464" s="518"/>
      <c r="Q1464" s="518"/>
      <c r="R1464" s="518"/>
      <c r="S1464" s="518"/>
      <c r="T1464" s="518"/>
      <c r="U1464" s="518"/>
      <c r="V1464" s="518"/>
      <c r="W1464" s="518"/>
      <c r="X1464" s="518"/>
      <c r="Y1464" s="518"/>
      <c r="Z1464" s="518"/>
      <c r="AA1464" s="518"/>
      <c r="AB1464" s="518"/>
      <c r="AC1464" s="518"/>
      <c r="AD1464" s="518"/>
      <c r="AE1464" s="518"/>
      <c r="AF1464" s="518"/>
      <c r="AG1464" s="518"/>
      <c r="AH1464" s="518"/>
      <c r="AJ1464" s="595"/>
    </row>
    <row r="1465" spans="1:36" hidden="1" x14ac:dyDescent="0.45">
      <c r="A1465" s="518"/>
      <c r="B1465" s="518"/>
      <c r="C1465" s="518"/>
      <c r="D1465" s="518"/>
      <c r="E1465" s="518"/>
      <c r="F1465" s="518"/>
      <c r="G1465" s="518"/>
      <c r="H1465" s="518"/>
      <c r="I1465" s="518"/>
      <c r="J1465" s="518"/>
      <c r="K1465" s="518"/>
      <c r="L1465" s="518"/>
      <c r="M1465" s="518"/>
      <c r="N1465" s="518"/>
      <c r="O1465" s="518"/>
      <c r="P1465" s="518"/>
      <c r="Q1465" s="518"/>
      <c r="R1465" s="518"/>
      <c r="S1465" s="518"/>
      <c r="T1465" s="518"/>
      <c r="U1465" s="518"/>
      <c r="V1465" s="518"/>
      <c r="W1465" s="518"/>
      <c r="X1465" s="518"/>
      <c r="Y1465" s="518"/>
      <c r="Z1465" s="518"/>
      <c r="AA1465" s="518"/>
      <c r="AB1465" s="518"/>
      <c r="AC1465" s="518"/>
      <c r="AD1465" s="518"/>
      <c r="AE1465" s="518"/>
      <c r="AF1465" s="518"/>
      <c r="AG1465" s="518"/>
      <c r="AH1465" s="518"/>
      <c r="AJ1465" s="595"/>
    </row>
    <row r="1466" spans="1:36" hidden="1" x14ac:dyDescent="0.45">
      <c r="A1466" s="518"/>
      <c r="B1466" s="923" t="str">
        <f>B$1435</f>
        <v>CalHome Technical Assistance for Shared-Housing Application</v>
      </c>
      <c r="C1466" s="923"/>
      <c r="D1466" s="923"/>
      <c r="E1466" s="923"/>
      <c r="F1466" s="923"/>
      <c r="G1466" s="923"/>
      <c r="H1466" s="923"/>
      <c r="I1466" s="923"/>
      <c r="J1466" s="923"/>
      <c r="K1466" s="923"/>
      <c r="L1466" s="923"/>
      <c r="M1466" s="923"/>
      <c r="N1466" s="923"/>
      <c r="O1466" s="923"/>
      <c r="P1466" s="923"/>
      <c r="Q1466" s="923"/>
      <c r="R1466" s="923"/>
      <c r="S1466" s="923"/>
      <c r="T1466" s="923"/>
      <c r="U1466" s="923"/>
      <c r="V1466" s="923"/>
      <c r="W1466" s="923"/>
      <c r="X1466" s="923"/>
      <c r="Y1466" s="923"/>
      <c r="Z1466" s="923"/>
      <c r="AA1466" s="923"/>
      <c r="AB1466" s="923"/>
      <c r="AC1466" s="923"/>
      <c r="AD1466" s="923"/>
      <c r="AE1466" s="923"/>
      <c r="AF1466" s="923"/>
      <c r="AG1466" s="923"/>
      <c r="AH1466" s="518"/>
      <c r="AJ1466" s="595"/>
    </row>
    <row r="1467" spans="1:36" hidden="1" x14ac:dyDescent="0.45">
      <c r="A1467" s="518"/>
      <c r="B1467" s="518"/>
      <c r="C1467" s="518"/>
      <c r="D1467" s="518"/>
      <c r="E1467" s="518"/>
      <c r="F1467" s="518"/>
      <c r="G1467" s="518"/>
      <c r="H1467" s="518"/>
      <c r="I1467" s="518"/>
      <c r="J1467" s="518"/>
      <c r="K1467" s="518"/>
      <c r="L1467" s="518"/>
      <c r="M1467" s="518"/>
      <c r="N1467" s="518"/>
      <c r="O1467" s="518"/>
      <c r="P1467" s="518"/>
      <c r="Q1467" s="518"/>
      <c r="R1467" s="518"/>
      <c r="S1467" s="518"/>
      <c r="T1467" s="518"/>
      <c r="U1467" s="518"/>
      <c r="V1467" s="518"/>
      <c r="W1467" s="518"/>
      <c r="X1467" s="518"/>
      <c r="Y1467" s="518"/>
      <c r="Z1467" s="518"/>
      <c r="AA1467" s="518"/>
      <c r="AB1467" s="518"/>
      <c r="AC1467" s="518"/>
      <c r="AD1467" s="518"/>
      <c r="AE1467" s="518"/>
      <c r="AF1467" s="518"/>
      <c r="AG1467" s="518"/>
      <c r="AH1467" s="518"/>
      <c r="AJ1467" s="595"/>
    </row>
    <row r="1468" spans="1:36" hidden="1" x14ac:dyDescent="0.45">
      <c r="A1468" s="518"/>
      <c r="B1468" s="923" t="s">
        <v>101</v>
      </c>
      <c r="C1468" s="923"/>
      <c r="D1468" s="923"/>
      <c r="E1468" s="923"/>
      <c r="F1468" s="923"/>
      <c r="G1468" s="923"/>
      <c r="H1468" s="923"/>
      <c r="I1468" s="923"/>
      <c r="J1468" s="923"/>
      <c r="K1468" s="923"/>
      <c r="L1468" s="923"/>
      <c r="M1468" s="923"/>
      <c r="N1468" s="923"/>
      <c r="O1468" s="923"/>
      <c r="P1468" s="923"/>
      <c r="Q1468" s="923"/>
      <c r="R1468" s="923"/>
      <c r="S1468" s="923"/>
      <c r="T1468" s="923"/>
      <c r="U1468" s="923"/>
      <c r="V1468" s="923"/>
      <c r="W1468" s="923"/>
      <c r="X1468" s="923"/>
      <c r="Y1468" s="923"/>
      <c r="Z1468" s="923"/>
      <c r="AA1468" s="923"/>
      <c r="AB1468" s="923"/>
      <c r="AC1468" s="923"/>
      <c r="AD1468" s="923"/>
      <c r="AE1468" s="923"/>
      <c r="AF1468" s="923"/>
      <c r="AG1468" s="923"/>
      <c r="AH1468" s="518"/>
      <c r="AJ1468" s="595"/>
    </row>
    <row r="1469" spans="1:36" ht="304" hidden="1" customHeight="1" x14ac:dyDescent="0.45">
      <c r="A1469" s="518"/>
      <c r="B1469" s="1239"/>
      <c r="C1469" s="1239"/>
      <c r="D1469" s="1239"/>
      <c r="E1469" s="1239"/>
      <c r="F1469" s="1239"/>
      <c r="G1469" s="1239"/>
      <c r="H1469" s="1239"/>
      <c r="I1469" s="1239"/>
      <c r="J1469" s="1239"/>
      <c r="K1469" s="1239"/>
      <c r="L1469" s="1239"/>
      <c r="M1469" s="1239"/>
      <c r="N1469" s="1239"/>
      <c r="O1469" s="1239"/>
      <c r="P1469" s="1239"/>
      <c r="Q1469" s="1239"/>
      <c r="R1469" s="1239"/>
      <c r="S1469" s="1239"/>
      <c r="T1469" s="1239"/>
      <c r="U1469" s="1239"/>
      <c r="V1469" s="1239"/>
      <c r="W1469" s="1239"/>
      <c r="X1469" s="1239"/>
      <c r="Y1469" s="1239"/>
      <c r="Z1469" s="1239"/>
      <c r="AA1469" s="1239"/>
      <c r="AB1469" s="1239"/>
      <c r="AC1469" s="1239"/>
      <c r="AD1469" s="1239"/>
      <c r="AE1469" s="1239"/>
      <c r="AF1469" s="1239"/>
      <c r="AG1469" s="1239"/>
      <c r="AH1469" s="518"/>
      <c r="AJ1469" s="595"/>
    </row>
    <row r="1470" spans="1:36" ht="304" hidden="1" customHeight="1" x14ac:dyDescent="0.45">
      <c r="A1470" s="518"/>
      <c r="B1470" s="1239"/>
      <c r="C1470" s="1239"/>
      <c r="D1470" s="1239"/>
      <c r="E1470" s="1239"/>
      <c r="F1470" s="1239"/>
      <c r="G1470" s="1239"/>
      <c r="H1470" s="1239"/>
      <c r="I1470" s="1239"/>
      <c r="J1470" s="1239"/>
      <c r="K1470" s="1239"/>
      <c r="L1470" s="1239"/>
      <c r="M1470" s="1239"/>
      <c r="N1470" s="1239"/>
      <c r="O1470" s="1239"/>
      <c r="P1470" s="1239"/>
      <c r="Q1470" s="1239"/>
      <c r="R1470" s="1239"/>
      <c r="S1470" s="1239"/>
      <c r="T1470" s="1239"/>
      <c r="U1470" s="1239"/>
      <c r="V1470" s="1239"/>
      <c r="W1470" s="1239"/>
      <c r="X1470" s="1239"/>
      <c r="Y1470" s="1239"/>
      <c r="Z1470" s="1239"/>
      <c r="AA1470" s="1239"/>
      <c r="AB1470" s="1239"/>
      <c r="AC1470" s="1239"/>
      <c r="AD1470" s="1239"/>
      <c r="AE1470" s="1239"/>
      <c r="AF1470" s="1239"/>
      <c r="AG1470" s="1239"/>
      <c r="AH1470" s="518"/>
      <c r="AJ1470" s="595"/>
    </row>
    <row r="1471" spans="1:36" hidden="1" x14ac:dyDescent="0.45">
      <c r="A1471" s="518"/>
      <c r="B1471" s="517"/>
      <c r="C1471" s="517"/>
      <c r="D1471" s="517"/>
      <c r="E1471" s="517"/>
      <c r="F1471" s="517"/>
      <c r="G1471" s="517"/>
      <c r="H1471" s="517"/>
      <c r="I1471" s="517"/>
      <c r="J1471" s="517"/>
      <c r="K1471" s="517"/>
      <c r="L1471" s="517"/>
      <c r="M1471" s="517"/>
      <c r="N1471" s="517"/>
      <c r="O1471" s="517"/>
      <c r="P1471" s="517"/>
      <c r="Q1471" s="517"/>
      <c r="R1471" s="517"/>
      <c r="S1471" s="517"/>
      <c r="T1471" s="517"/>
      <c r="U1471" s="517"/>
      <c r="V1471" s="517"/>
      <c r="W1471" s="517"/>
      <c r="X1471" s="517"/>
      <c r="Y1471" s="517"/>
      <c r="Z1471" s="517"/>
      <c r="AA1471" s="517"/>
      <c r="AB1471" s="517"/>
      <c r="AC1471" s="517"/>
      <c r="AD1471" s="517"/>
      <c r="AE1471" s="517"/>
      <c r="AF1471" s="517"/>
      <c r="AG1471" s="517"/>
      <c r="AH1471" s="518"/>
      <c r="AJ1471" s="595"/>
    </row>
    <row r="1472" spans="1:36" hidden="1" x14ac:dyDescent="0.45">
      <c r="A1472" s="518"/>
      <c r="B1472" s="518"/>
      <c r="C1472" s="518"/>
      <c r="D1472" s="518"/>
      <c r="E1472" s="518"/>
      <c r="F1472" s="518"/>
      <c r="G1472" s="518"/>
      <c r="H1472" s="518"/>
      <c r="I1472" s="518"/>
      <c r="J1472" s="518"/>
      <c r="K1472" s="518"/>
      <c r="L1472" s="518"/>
      <c r="M1472" s="518"/>
      <c r="N1472" s="518"/>
      <c r="O1472" s="518"/>
      <c r="P1472" s="518"/>
      <c r="Q1472" s="518"/>
      <c r="R1472" s="518"/>
      <c r="S1472" s="518"/>
      <c r="T1472" s="518"/>
      <c r="U1472" s="518"/>
      <c r="V1472" s="518"/>
      <c r="W1472" s="518"/>
      <c r="X1472" s="518"/>
      <c r="Y1472" s="518"/>
      <c r="Z1472" s="518"/>
      <c r="AA1472" s="518"/>
      <c r="AB1472" s="518"/>
      <c r="AC1472" s="518"/>
      <c r="AD1472" s="518"/>
      <c r="AE1472" s="518"/>
      <c r="AF1472" s="518"/>
      <c r="AG1472" s="518"/>
      <c r="AH1472" s="518"/>
      <c r="AJ1472" s="595" t="b">
        <f>AND(AJ$1434,CH_SH_UnrestrictedTotalRequested&gt;0)</f>
        <v>0</v>
      </c>
    </row>
    <row r="1473" spans="1:36" hidden="1" x14ac:dyDescent="0.45">
      <c r="A1473" s="518"/>
      <c r="B1473" s="923" t="str">
        <f>B$1435</f>
        <v>CalHome Technical Assistance for Shared-Housing Application</v>
      </c>
      <c r="C1473" s="923"/>
      <c r="D1473" s="923"/>
      <c r="E1473" s="923"/>
      <c r="F1473" s="923"/>
      <c r="G1473" s="923"/>
      <c r="H1473" s="923"/>
      <c r="I1473" s="923"/>
      <c r="J1473" s="923"/>
      <c r="K1473" s="923"/>
      <c r="L1473" s="923"/>
      <c r="M1473" s="923"/>
      <c r="N1473" s="923"/>
      <c r="O1473" s="923"/>
      <c r="P1473" s="923"/>
      <c r="Q1473" s="923"/>
      <c r="R1473" s="923"/>
      <c r="S1473" s="923"/>
      <c r="T1473" s="923"/>
      <c r="U1473" s="923"/>
      <c r="V1473" s="923"/>
      <c r="W1473" s="923"/>
      <c r="X1473" s="923"/>
      <c r="Y1473" s="923"/>
      <c r="Z1473" s="923"/>
      <c r="AA1473" s="923"/>
      <c r="AB1473" s="923"/>
      <c r="AC1473" s="923"/>
      <c r="AD1473" s="923"/>
      <c r="AE1473" s="923"/>
      <c r="AF1473" s="923"/>
      <c r="AG1473" s="923"/>
      <c r="AH1473" s="518"/>
      <c r="AJ1473" s="595"/>
    </row>
    <row r="1474" spans="1:36" hidden="1" x14ac:dyDescent="0.45">
      <c r="A1474" s="518"/>
      <c r="B1474" s="924" t="s">
        <v>1489</v>
      </c>
      <c r="C1474" s="925"/>
      <c r="D1474" s="925"/>
      <c r="E1474" s="925"/>
      <c r="F1474" s="925"/>
      <c r="G1474" s="925"/>
      <c r="H1474" s="925"/>
      <c r="I1474" s="925"/>
      <c r="J1474" s="925"/>
      <c r="K1474" s="925"/>
      <c r="L1474" s="925"/>
      <c r="M1474" s="925"/>
      <c r="N1474" s="925"/>
      <c r="O1474" s="925"/>
      <c r="P1474" s="925"/>
      <c r="Q1474" s="925"/>
      <c r="R1474" s="925"/>
      <c r="S1474" s="925"/>
      <c r="T1474" s="925"/>
      <c r="U1474" s="925"/>
      <c r="V1474" s="925"/>
      <c r="W1474" s="925"/>
      <c r="X1474" s="925"/>
      <c r="Y1474" s="925"/>
      <c r="Z1474" s="925"/>
      <c r="AA1474" s="925"/>
      <c r="AB1474" s="925"/>
      <c r="AC1474" s="925"/>
      <c r="AD1474" s="925"/>
      <c r="AE1474" s="925"/>
      <c r="AF1474" s="925"/>
      <c r="AG1474" s="925"/>
      <c r="AH1474" s="518"/>
      <c r="AJ1474" s="595"/>
    </row>
    <row r="1475" spans="1:36" hidden="1" x14ac:dyDescent="0.45">
      <c r="A1475" s="518"/>
      <c r="B1475" s="594"/>
      <c r="C1475" s="565"/>
      <c r="D1475" s="565"/>
      <c r="E1475" s="565"/>
      <c r="F1475" s="565"/>
      <c r="G1475" s="565"/>
      <c r="H1475" s="565"/>
      <c r="I1475" s="565"/>
      <c r="J1475" s="565"/>
      <c r="K1475" s="565"/>
      <c r="L1475" s="565"/>
      <c r="M1475" s="565"/>
      <c r="N1475" s="565"/>
      <c r="O1475" s="565"/>
      <c r="P1475" s="565"/>
      <c r="Q1475" s="565"/>
      <c r="R1475" s="565"/>
      <c r="S1475" s="565"/>
      <c r="T1475" s="565"/>
      <c r="U1475" s="565"/>
      <c r="V1475" s="565"/>
      <c r="W1475" s="565"/>
      <c r="X1475" s="565"/>
      <c r="Y1475" s="565"/>
      <c r="Z1475" s="565"/>
      <c r="AA1475" s="565"/>
      <c r="AB1475" s="565"/>
      <c r="AC1475" s="565"/>
      <c r="AD1475" s="565"/>
      <c r="AE1475" s="565"/>
      <c r="AF1475" s="565"/>
      <c r="AG1475" s="565"/>
      <c r="AH1475" s="518"/>
      <c r="AJ1475" s="595"/>
    </row>
    <row r="1476" spans="1:36" hidden="1" x14ac:dyDescent="0.45">
      <c r="A1476" s="518"/>
      <c r="B1476" s="518" t="s">
        <v>1853</v>
      </c>
      <c r="C1476" s="518"/>
      <c r="D1476" s="518"/>
      <c r="E1476" s="518"/>
      <c r="F1476" s="518"/>
      <c r="G1476" s="518"/>
      <c r="H1476" s="518"/>
      <c r="I1476" s="518"/>
      <c r="J1476" s="518"/>
      <c r="K1476" s="518"/>
      <c r="L1476" s="518"/>
      <c r="M1476" s="518"/>
      <c r="N1476" s="518"/>
      <c r="O1476" s="518"/>
      <c r="P1476" s="565"/>
      <c r="Q1476" s="518"/>
      <c r="R1476" s="518"/>
      <c r="S1476" s="518"/>
      <c r="T1476" s="518"/>
      <c r="U1476" s="518"/>
      <c r="V1476" s="518"/>
      <c r="W1476" s="518"/>
      <c r="X1476" s="518"/>
      <c r="Y1476" s="518"/>
      <c r="Z1476" s="518"/>
      <c r="AA1476" s="518"/>
      <c r="AB1476" s="518"/>
      <c r="AC1476" s="518"/>
      <c r="AD1476" s="518"/>
      <c r="AE1476" s="518"/>
      <c r="AF1476" s="518"/>
      <c r="AG1476" s="518"/>
      <c r="AH1476" s="518"/>
      <c r="AJ1476" s="595"/>
    </row>
    <row r="1477" spans="1:36" ht="16" hidden="1" customHeight="1" x14ac:dyDescent="0.45">
      <c r="A1477" s="518"/>
      <c r="B1477" s="862" t="s">
        <v>108</v>
      </c>
      <c r="C1477" s="863"/>
      <c r="D1477" s="863"/>
      <c r="E1477" s="863"/>
      <c r="F1477" s="863"/>
      <c r="G1477" s="872" t="s">
        <v>1487</v>
      </c>
      <c r="H1477" s="872"/>
      <c r="I1477" s="862" t="s">
        <v>1859</v>
      </c>
      <c r="J1477" s="863"/>
      <c r="K1477" s="863"/>
      <c r="L1477" s="892"/>
      <c r="M1477" s="862" t="s">
        <v>114</v>
      </c>
      <c r="N1477" s="892"/>
      <c r="O1477" s="518"/>
      <c r="P1477" s="565"/>
      <c r="Q1477" s="518"/>
      <c r="R1477" s="536"/>
      <c r="S1477" s="569"/>
      <c r="T1477" s="569"/>
      <c r="U1477" s="536"/>
      <c r="V1477" s="536"/>
      <c r="W1477" s="536"/>
      <c r="X1477" s="536"/>
      <c r="Y1477" s="536"/>
      <c r="Z1477" s="536"/>
      <c r="AA1477" s="536"/>
      <c r="AB1477" s="536"/>
      <c r="AC1477" s="536"/>
      <c r="AD1477" s="536"/>
      <c r="AE1477" s="518"/>
      <c r="AF1477" s="529"/>
      <c r="AG1477" s="529"/>
      <c r="AH1477" s="529"/>
      <c r="AJ1477" s="595"/>
    </row>
    <row r="1478" spans="1:36" hidden="1" x14ac:dyDescent="0.45">
      <c r="A1478" s="518"/>
      <c r="B1478" s="864"/>
      <c r="C1478" s="865"/>
      <c r="D1478" s="865"/>
      <c r="E1478" s="865"/>
      <c r="F1478" s="865"/>
      <c r="G1478" s="872"/>
      <c r="H1478" s="872"/>
      <c r="I1478" s="864"/>
      <c r="J1478" s="865"/>
      <c r="K1478" s="865"/>
      <c r="L1478" s="893"/>
      <c r="M1478" s="864"/>
      <c r="N1478" s="893"/>
      <c r="O1478" s="518"/>
      <c r="P1478" s="565"/>
      <c r="Q1478" s="518"/>
      <c r="R1478" s="536"/>
      <c r="S1478" s="569"/>
      <c r="T1478" s="569"/>
      <c r="U1478" s="536"/>
      <c r="V1478" s="536"/>
      <c r="W1478" s="536"/>
      <c r="X1478" s="536"/>
      <c r="Y1478" s="536"/>
      <c r="Z1478" s="536"/>
      <c r="AA1478" s="536"/>
      <c r="AB1478" s="536"/>
      <c r="AC1478" s="536"/>
      <c r="AD1478" s="536"/>
      <c r="AE1478" s="518"/>
      <c r="AF1478" s="529"/>
      <c r="AG1478" s="529"/>
      <c r="AH1478" s="529"/>
      <c r="AJ1478" s="595"/>
    </row>
    <row r="1479" spans="1:36" ht="16" hidden="1" customHeight="1" x14ac:dyDescent="0.45">
      <c r="A1479" s="518"/>
      <c r="B1479" s="514" t="s">
        <v>1405</v>
      </c>
      <c r="C1479" s="535"/>
      <c r="D1479" s="535"/>
      <c r="E1479" s="535"/>
      <c r="F1479" s="535"/>
      <c r="G1479" s="890" t="str">
        <f>IF(CHSHData!J3=0,"",CHSHData!J3)</f>
        <v/>
      </c>
      <c r="H1479" s="891"/>
      <c r="I1479" s="874" t="str">
        <f>CHSHData!D3</f>
        <v/>
      </c>
      <c r="J1479" s="875"/>
      <c r="K1479" s="875"/>
      <c r="L1479" s="876"/>
      <c r="M1479" s="859">
        <f>CHSHData!M3</f>
        <v>0</v>
      </c>
      <c r="N1479" s="860"/>
      <c r="O1479" s="518"/>
      <c r="P1479" s="565"/>
      <c r="Q1479" s="518"/>
      <c r="R1479" s="536"/>
      <c r="S1479" s="588"/>
      <c r="T1479" s="588"/>
      <c r="U1479" s="536"/>
      <c r="V1479" s="536"/>
      <c r="W1479" s="536"/>
      <c r="X1479" s="536"/>
      <c r="Y1479" s="536"/>
      <c r="Z1479" s="536"/>
      <c r="AA1479" s="536"/>
      <c r="AB1479" s="536"/>
      <c r="AC1479" s="536"/>
      <c r="AD1479" s="536"/>
      <c r="AE1479" s="518"/>
      <c r="AF1479" s="529"/>
      <c r="AG1479" s="529"/>
      <c r="AH1479" s="529"/>
      <c r="AJ1479" s="595" t="b">
        <f t="shared" ref="AJ1479:AJ1510" si="35">AND(AJ$1472,M1479&gt;0)</f>
        <v>0</v>
      </c>
    </row>
    <row r="1480" spans="1:36" ht="16" hidden="1" customHeight="1" x14ac:dyDescent="0.45">
      <c r="A1480" s="518"/>
      <c r="B1480" s="514" t="s">
        <v>1406</v>
      </c>
      <c r="C1480" s="535"/>
      <c r="D1480" s="535"/>
      <c r="E1480" s="535"/>
      <c r="F1480" s="535"/>
      <c r="G1480" s="890" t="str">
        <f>IF(CHSHData!J4=0,"",CHSHData!J4)</f>
        <v/>
      </c>
      <c r="H1480" s="891"/>
      <c r="I1480" s="874" t="str">
        <f>CHSHData!D4</f>
        <v/>
      </c>
      <c r="J1480" s="875"/>
      <c r="K1480" s="875"/>
      <c r="L1480" s="876"/>
      <c r="M1480" s="859">
        <f>CHSHData!M4</f>
        <v>0</v>
      </c>
      <c r="N1480" s="860"/>
      <c r="O1480" s="518"/>
      <c r="P1480" s="565"/>
      <c r="Q1480" s="518"/>
      <c r="R1480" s="536"/>
      <c r="S1480" s="588"/>
      <c r="T1480" s="588"/>
      <c r="U1480" s="536"/>
      <c r="V1480" s="536"/>
      <c r="W1480" s="536"/>
      <c r="X1480" s="536"/>
      <c r="Y1480" s="536"/>
      <c r="Z1480" s="536"/>
      <c r="AA1480" s="536"/>
      <c r="AB1480" s="536"/>
      <c r="AC1480" s="536"/>
      <c r="AD1480" s="536"/>
      <c r="AE1480" s="518"/>
      <c r="AF1480" s="529"/>
      <c r="AG1480" s="529"/>
      <c r="AH1480" s="529"/>
      <c r="AJ1480" s="595" t="b">
        <f t="shared" si="35"/>
        <v>0</v>
      </c>
    </row>
    <row r="1481" spans="1:36" ht="16" hidden="1" customHeight="1" x14ac:dyDescent="0.45">
      <c r="A1481" s="518"/>
      <c r="B1481" s="514" t="s">
        <v>1407</v>
      </c>
      <c r="C1481" s="535"/>
      <c r="D1481" s="535"/>
      <c r="E1481" s="535"/>
      <c r="F1481" s="535"/>
      <c r="G1481" s="890" t="str">
        <f>IF(CHSHData!J5=0,"",CHSHData!J5)</f>
        <v/>
      </c>
      <c r="H1481" s="891"/>
      <c r="I1481" s="874" t="str">
        <f>CHSHData!D5</f>
        <v/>
      </c>
      <c r="J1481" s="875"/>
      <c r="K1481" s="875"/>
      <c r="L1481" s="876"/>
      <c r="M1481" s="859">
        <f>CHSHData!M5</f>
        <v>0</v>
      </c>
      <c r="N1481" s="860"/>
      <c r="O1481" s="518"/>
      <c r="P1481" s="565"/>
      <c r="Q1481" s="518"/>
      <c r="R1481" s="536"/>
      <c r="S1481" s="588"/>
      <c r="T1481" s="588"/>
      <c r="U1481" s="536"/>
      <c r="V1481" s="536"/>
      <c r="W1481" s="536"/>
      <c r="X1481" s="536"/>
      <c r="Y1481" s="536"/>
      <c r="Z1481" s="536"/>
      <c r="AA1481" s="536"/>
      <c r="AB1481" s="536"/>
      <c r="AC1481" s="536"/>
      <c r="AD1481" s="536"/>
      <c r="AE1481" s="518"/>
      <c r="AF1481" s="529"/>
      <c r="AG1481" s="529"/>
      <c r="AH1481" s="529"/>
      <c r="AJ1481" s="595" t="b">
        <f t="shared" si="35"/>
        <v>0</v>
      </c>
    </row>
    <row r="1482" spans="1:36" ht="16" hidden="1" customHeight="1" x14ac:dyDescent="0.45">
      <c r="A1482" s="518"/>
      <c r="B1482" s="514" t="s">
        <v>1408</v>
      </c>
      <c r="C1482" s="535"/>
      <c r="D1482" s="535"/>
      <c r="E1482" s="535"/>
      <c r="F1482" s="535"/>
      <c r="G1482" s="890" t="str">
        <f>IF(CHSHData!J6=0,"",CHSHData!J6)</f>
        <v/>
      </c>
      <c r="H1482" s="891"/>
      <c r="I1482" s="874" t="str">
        <f>CHSHData!D6</f>
        <v/>
      </c>
      <c r="J1482" s="875"/>
      <c r="K1482" s="875"/>
      <c r="L1482" s="876"/>
      <c r="M1482" s="859">
        <f>CHSHData!M6</f>
        <v>0</v>
      </c>
      <c r="N1482" s="860"/>
      <c r="O1482" s="518"/>
      <c r="P1482" s="565"/>
      <c r="Q1482" s="518"/>
      <c r="R1482" s="536"/>
      <c r="S1482" s="588"/>
      <c r="T1482" s="588"/>
      <c r="U1482" s="536"/>
      <c r="V1482" s="536"/>
      <c r="W1482" s="536"/>
      <c r="X1482" s="536"/>
      <c r="Y1482" s="536"/>
      <c r="Z1482" s="536"/>
      <c r="AA1482" s="536"/>
      <c r="AB1482" s="536"/>
      <c r="AC1482" s="536"/>
      <c r="AD1482" s="536"/>
      <c r="AE1482" s="518"/>
      <c r="AF1482" s="529"/>
      <c r="AG1482" s="529"/>
      <c r="AH1482" s="529"/>
      <c r="AJ1482" s="595" t="b">
        <f t="shared" si="35"/>
        <v>0</v>
      </c>
    </row>
    <row r="1483" spans="1:36" ht="16" hidden="1" customHeight="1" x14ac:dyDescent="0.45">
      <c r="A1483" s="518"/>
      <c r="B1483" s="514" t="s">
        <v>1409</v>
      </c>
      <c r="C1483" s="535"/>
      <c r="D1483" s="535"/>
      <c r="E1483" s="535"/>
      <c r="F1483" s="535"/>
      <c r="G1483" s="890" t="str">
        <f>IF(CHSHData!J7=0,"",CHSHData!J7)</f>
        <v/>
      </c>
      <c r="H1483" s="891"/>
      <c r="I1483" s="874" t="str">
        <f>CHSHData!D7</f>
        <v/>
      </c>
      <c r="J1483" s="875"/>
      <c r="K1483" s="875"/>
      <c r="L1483" s="876"/>
      <c r="M1483" s="859">
        <f>CHSHData!M7</f>
        <v>0</v>
      </c>
      <c r="N1483" s="860"/>
      <c r="O1483" s="518"/>
      <c r="P1483" s="565"/>
      <c r="Q1483" s="518"/>
      <c r="R1483" s="536"/>
      <c r="S1483" s="588"/>
      <c r="T1483" s="588"/>
      <c r="U1483" s="536"/>
      <c r="V1483" s="536"/>
      <c r="W1483" s="536"/>
      <c r="X1483" s="536"/>
      <c r="Y1483" s="536"/>
      <c r="Z1483" s="536"/>
      <c r="AA1483" s="536"/>
      <c r="AB1483" s="536"/>
      <c r="AC1483" s="536"/>
      <c r="AD1483" s="536"/>
      <c r="AE1483" s="518"/>
      <c r="AF1483" s="529"/>
      <c r="AG1483" s="529"/>
      <c r="AH1483" s="529"/>
      <c r="AJ1483" s="595" t="b">
        <f t="shared" si="35"/>
        <v>0</v>
      </c>
    </row>
    <row r="1484" spans="1:36" ht="16" hidden="1" customHeight="1" x14ac:dyDescent="0.45">
      <c r="A1484" s="518"/>
      <c r="B1484" s="514" t="s">
        <v>1410</v>
      </c>
      <c r="C1484" s="535"/>
      <c r="D1484" s="535"/>
      <c r="E1484" s="535"/>
      <c r="F1484" s="535"/>
      <c r="G1484" s="890" t="str">
        <f>IF(CHSHData!J8=0,"",CHSHData!J8)</f>
        <v/>
      </c>
      <c r="H1484" s="891"/>
      <c r="I1484" s="874" t="str">
        <f>CHSHData!D8</f>
        <v/>
      </c>
      <c r="J1484" s="875"/>
      <c r="K1484" s="875"/>
      <c r="L1484" s="876"/>
      <c r="M1484" s="859">
        <f>CHSHData!M8</f>
        <v>0</v>
      </c>
      <c r="N1484" s="860"/>
      <c r="O1484" s="518"/>
      <c r="P1484" s="565"/>
      <c r="Q1484" s="518"/>
      <c r="R1484" s="536"/>
      <c r="S1484" s="588"/>
      <c r="T1484" s="588"/>
      <c r="U1484" s="536"/>
      <c r="V1484" s="536"/>
      <c r="W1484" s="536"/>
      <c r="X1484" s="536"/>
      <c r="Y1484" s="536"/>
      <c r="Z1484" s="536"/>
      <c r="AA1484" s="536"/>
      <c r="AB1484" s="536"/>
      <c r="AC1484" s="536"/>
      <c r="AD1484" s="536"/>
      <c r="AE1484" s="518"/>
      <c r="AF1484" s="529"/>
      <c r="AG1484" s="529"/>
      <c r="AH1484" s="529"/>
      <c r="AJ1484" s="595" t="b">
        <f t="shared" si="35"/>
        <v>0</v>
      </c>
    </row>
    <row r="1485" spans="1:36" ht="16" hidden="1" customHeight="1" x14ac:dyDescent="0.45">
      <c r="A1485" s="518"/>
      <c r="B1485" s="514" t="s">
        <v>1411</v>
      </c>
      <c r="C1485" s="535"/>
      <c r="D1485" s="535"/>
      <c r="E1485" s="535"/>
      <c r="F1485" s="535"/>
      <c r="G1485" s="890" t="str">
        <f>IF(CHSHData!J9=0,"",CHSHData!J9)</f>
        <v/>
      </c>
      <c r="H1485" s="891"/>
      <c r="I1485" s="874" t="str">
        <f>CHSHData!D9</f>
        <v/>
      </c>
      <c r="J1485" s="875"/>
      <c r="K1485" s="875"/>
      <c r="L1485" s="876"/>
      <c r="M1485" s="859">
        <f>CHSHData!M9</f>
        <v>0</v>
      </c>
      <c r="N1485" s="860"/>
      <c r="O1485" s="518"/>
      <c r="P1485" s="565"/>
      <c r="Q1485" s="518"/>
      <c r="R1485" s="536"/>
      <c r="S1485" s="588"/>
      <c r="T1485" s="588"/>
      <c r="U1485" s="536"/>
      <c r="V1485" s="536"/>
      <c r="W1485" s="536"/>
      <c r="X1485" s="536"/>
      <c r="Y1485" s="536"/>
      <c r="Z1485" s="536"/>
      <c r="AA1485" s="536"/>
      <c r="AB1485" s="536"/>
      <c r="AC1485" s="536"/>
      <c r="AD1485" s="536"/>
      <c r="AE1485" s="518"/>
      <c r="AF1485" s="529"/>
      <c r="AG1485" s="529"/>
      <c r="AH1485" s="529"/>
      <c r="AJ1485" s="595" t="b">
        <f t="shared" si="35"/>
        <v>0</v>
      </c>
    </row>
    <row r="1486" spans="1:36" ht="16" hidden="1" customHeight="1" x14ac:dyDescent="0.45">
      <c r="A1486" s="518"/>
      <c r="B1486" s="514" t="s">
        <v>1412</v>
      </c>
      <c r="C1486" s="535"/>
      <c r="D1486" s="535"/>
      <c r="E1486" s="535"/>
      <c r="F1486" s="535"/>
      <c r="G1486" s="890" t="str">
        <f>IF(CHSHData!J10=0,"",CHSHData!J10)</f>
        <v/>
      </c>
      <c r="H1486" s="891"/>
      <c r="I1486" s="874" t="str">
        <f>CHSHData!D10</f>
        <v/>
      </c>
      <c r="J1486" s="875"/>
      <c r="K1486" s="875"/>
      <c r="L1486" s="876"/>
      <c r="M1486" s="859">
        <f>CHSHData!M10</f>
        <v>0</v>
      </c>
      <c r="N1486" s="860"/>
      <c r="O1486" s="518"/>
      <c r="P1486" s="565"/>
      <c r="Q1486" s="518"/>
      <c r="R1486" s="536"/>
      <c r="S1486" s="588"/>
      <c r="T1486" s="588"/>
      <c r="U1486" s="536"/>
      <c r="V1486" s="536"/>
      <c r="W1486" s="536"/>
      <c r="X1486" s="536"/>
      <c r="Y1486" s="536"/>
      <c r="Z1486" s="536"/>
      <c r="AA1486" s="536"/>
      <c r="AB1486" s="536"/>
      <c r="AC1486" s="536"/>
      <c r="AD1486" s="536"/>
      <c r="AE1486" s="518"/>
      <c r="AF1486" s="529"/>
      <c r="AG1486" s="529"/>
      <c r="AH1486" s="529"/>
      <c r="AJ1486" s="595" t="b">
        <f t="shared" si="35"/>
        <v>0</v>
      </c>
    </row>
    <row r="1487" spans="1:36" ht="16" hidden="1" customHeight="1" x14ac:dyDescent="0.45">
      <c r="A1487" s="518"/>
      <c r="B1487" s="514" t="s">
        <v>1413</v>
      </c>
      <c r="C1487" s="535"/>
      <c r="D1487" s="535"/>
      <c r="E1487" s="535"/>
      <c r="F1487" s="535"/>
      <c r="G1487" s="890" t="str">
        <f>IF(CHSHData!J11=0,"",CHSHData!J11)</f>
        <v/>
      </c>
      <c r="H1487" s="891"/>
      <c r="I1487" s="874" t="str">
        <f>CHSHData!D11</f>
        <v/>
      </c>
      <c r="J1487" s="875"/>
      <c r="K1487" s="875"/>
      <c r="L1487" s="876"/>
      <c r="M1487" s="859">
        <f>CHSHData!M11</f>
        <v>0</v>
      </c>
      <c r="N1487" s="860"/>
      <c r="O1487" s="518"/>
      <c r="P1487" s="565"/>
      <c r="Q1487" s="518"/>
      <c r="R1487" s="536"/>
      <c r="S1487" s="588"/>
      <c r="T1487" s="588"/>
      <c r="U1487" s="536"/>
      <c r="V1487" s="536"/>
      <c r="W1487" s="536"/>
      <c r="X1487" s="536"/>
      <c r="Y1487" s="536"/>
      <c r="Z1487" s="536"/>
      <c r="AA1487" s="536"/>
      <c r="AB1487" s="536"/>
      <c r="AC1487" s="536"/>
      <c r="AD1487" s="536"/>
      <c r="AE1487" s="518"/>
      <c r="AF1487" s="529"/>
      <c r="AG1487" s="529"/>
      <c r="AH1487" s="529"/>
      <c r="AJ1487" s="595" t="b">
        <f t="shared" si="35"/>
        <v>0</v>
      </c>
    </row>
    <row r="1488" spans="1:36" ht="16" hidden="1" customHeight="1" x14ac:dyDescent="0.45">
      <c r="A1488" s="518"/>
      <c r="B1488" s="514" t="s">
        <v>1414</v>
      </c>
      <c r="C1488" s="535"/>
      <c r="D1488" s="535"/>
      <c r="E1488" s="535"/>
      <c r="F1488" s="535"/>
      <c r="G1488" s="890" t="str">
        <f>IF(CHSHData!J12=0,"",CHSHData!J12)</f>
        <v/>
      </c>
      <c r="H1488" s="891"/>
      <c r="I1488" s="874" t="str">
        <f>CHSHData!D12</f>
        <v/>
      </c>
      <c r="J1488" s="875"/>
      <c r="K1488" s="875"/>
      <c r="L1488" s="876"/>
      <c r="M1488" s="859">
        <f>CHSHData!M12</f>
        <v>0</v>
      </c>
      <c r="N1488" s="860"/>
      <c r="O1488" s="518"/>
      <c r="P1488" s="565"/>
      <c r="Q1488" s="518"/>
      <c r="R1488" s="536"/>
      <c r="S1488" s="588"/>
      <c r="T1488" s="588"/>
      <c r="U1488" s="536"/>
      <c r="V1488" s="536"/>
      <c r="W1488" s="536"/>
      <c r="X1488" s="536"/>
      <c r="Y1488" s="536"/>
      <c r="Z1488" s="536"/>
      <c r="AA1488" s="536"/>
      <c r="AB1488" s="536"/>
      <c r="AC1488" s="536"/>
      <c r="AD1488" s="536"/>
      <c r="AE1488" s="518"/>
      <c r="AF1488" s="529"/>
      <c r="AG1488" s="529"/>
      <c r="AH1488" s="529"/>
      <c r="AJ1488" s="595" t="b">
        <f t="shared" si="35"/>
        <v>0</v>
      </c>
    </row>
    <row r="1489" spans="1:36" ht="16" hidden="1" customHeight="1" x14ac:dyDescent="0.45">
      <c r="A1489" s="518"/>
      <c r="B1489" s="514" t="s">
        <v>1415</v>
      </c>
      <c r="C1489" s="535"/>
      <c r="D1489" s="535"/>
      <c r="E1489" s="535"/>
      <c r="F1489" s="535"/>
      <c r="G1489" s="890" t="str">
        <f>IF(CHSHData!J13=0,"",CHSHData!J13)</f>
        <v/>
      </c>
      <c r="H1489" s="891"/>
      <c r="I1489" s="874" t="str">
        <f>CHSHData!D13</f>
        <v/>
      </c>
      <c r="J1489" s="875"/>
      <c r="K1489" s="875"/>
      <c r="L1489" s="876"/>
      <c r="M1489" s="859">
        <f>CHSHData!M13</f>
        <v>0</v>
      </c>
      <c r="N1489" s="860"/>
      <c r="O1489" s="518"/>
      <c r="P1489" s="565"/>
      <c r="Q1489" s="518"/>
      <c r="R1489" s="536"/>
      <c r="S1489" s="588"/>
      <c r="T1489" s="588"/>
      <c r="U1489" s="536"/>
      <c r="V1489" s="536"/>
      <c r="W1489" s="536"/>
      <c r="X1489" s="536"/>
      <c r="Y1489" s="536"/>
      <c r="Z1489" s="536"/>
      <c r="AA1489" s="536"/>
      <c r="AB1489" s="536"/>
      <c r="AC1489" s="536"/>
      <c r="AD1489" s="536"/>
      <c r="AE1489" s="518"/>
      <c r="AF1489" s="529"/>
      <c r="AG1489" s="529"/>
      <c r="AH1489" s="529"/>
      <c r="AJ1489" s="595" t="b">
        <f t="shared" si="35"/>
        <v>0</v>
      </c>
    </row>
    <row r="1490" spans="1:36" ht="16" hidden="1" customHeight="1" x14ac:dyDescent="0.45">
      <c r="A1490" s="518"/>
      <c r="B1490" s="514" t="s">
        <v>1416</v>
      </c>
      <c r="C1490" s="535"/>
      <c r="D1490" s="535"/>
      <c r="E1490" s="535"/>
      <c r="F1490" s="535"/>
      <c r="G1490" s="890" t="str">
        <f>IF(CHSHData!J14=0,"",CHSHData!J14)</f>
        <v/>
      </c>
      <c r="H1490" s="891"/>
      <c r="I1490" s="874" t="str">
        <f>CHSHData!D14</f>
        <v/>
      </c>
      <c r="J1490" s="875"/>
      <c r="K1490" s="875"/>
      <c r="L1490" s="876"/>
      <c r="M1490" s="859">
        <f>CHSHData!M14</f>
        <v>0</v>
      </c>
      <c r="N1490" s="860"/>
      <c r="O1490" s="518"/>
      <c r="P1490" s="565"/>
      <c r="Q1490" s="518"/>
      <c r="R1490" s="536"/>
      <c r="S1490" s="588"/>
      <c r="T1490" s="588"/>
      <c r="U1490" s="536"/>
      <c r="V1490" s="536"/>
      <c r="W1490" s="536"/>
      <c r="X1490" s="536"/>
      <c r="Y1490" s="536"/>
      <c r="Z1490" s="536"/>
      <c r="AA1490" s="536"/>
      <c r="AB1490" s="536"/>
      <c r="AC1490" s="536"/>
      <c r="AD1490" s="536"/>
      <c r="AE1490" s="518"/>
      <c r="AF1490" s="529"/>
      <c r="AG1490" s="529"/>
      <c r="AH1490" s="529"/>
      <c r="AJ1490" s="595" t="b">
        <f t="shared" si="35"/>
        <v>0</v>
      </c>
    </row>
    <row r="1491" spans="1:36" ht="16" hidden="1" customHeight="1" x14ac:dyDescent="0.45">
      <c r="A1491" s="518"/>
      <c r="B1491" s="514" t="s">
        <v>1417</v>
      </c>
      <c r="C1491" s="535"/>
      <c r="D1491" s="535"/>
      <c r="E1491" s="535"/>
      <c r="F1491" s="535"/>
      <c r="G1491" s="890" t="str">
        <f>IF(CHSHData!J15=0,"",CHSHData!J15)</f>
        <v/>
      </c>
      <c r="H1491" s="891"/>
      <c r="I1491" s="874" t="str">
        <f>CHSHData!D15</f>
        <v/>
      </c>
      <c r="J1491" s="875"/>
      <c r="K1491" s="875"/>
      <c r="L1491" s="876"/>
      <c r="M1491" s="859">
        <f>CHSHData!M15</f>
        <v>0</v>
      </c>
      <c r="N1491" s="860"/>
      <c r="O1491" s="518"/>
      <c r="P1491" s="565"/>
      <c r="Q1491" s="518"/>
      <c r="R1491" s="536"/>
      <c r="S1491" s="588"/>
      <c r="T1491" s="588"/>
      <c r="U1491" s="536"/>
      <c r="V1491" s="536"/>
      <c r="W1491" s="536"/>
      <c r="X1491" s="536"/>
      <c r="Y1491" s="536"/>
      <c r="Z1491" s="536"/>
      <c r="AA1491" s="536"/>
      <c r="AB1491" s="536"/>
      <c r="AC1491" s="536"/>
      <c r="AD1491" s="536"/>
      <c r="AE1491" s="518"/>
      <c r="AF1491" s="529"/>
      <c r="AG1491" s="529"/>
      <c r="AH1491" s="529"/>
      <c r="AJ1491" s="595" t="b">
        <f t="shared" si="35"/>
        <v>0</v>
      </c>
    </row>
    <row r="1492" spans="1:36" ht="16" hidden="1" customHeight="1" x14ac:dyDescent="0.45">
      <c r="A1492" s="518"/>
      <c r="B1492" s="514" t="s">
        <v>1418</v>
      </c>
      <c r="C1492" s="535"/>
      <c r="D1492" s="535"/>
      <c r="E1492" s="535"/>
      <c r="F1492" s="535"/>
      <c r="G1492" s="890" t="str">
        <f>IF(CHSHData!J16=0,"",CHSHData!J16)</f>
        <v/>
      </c>
      <c r="H1492" s="891"/>
      <c r="I1492" s="874" t="str">
        <f>CHSHData!D16</f>
        <v/>
      </c>
      <c r="J1492" s="875"/>
      <c r="K1492" s="875"/>
      <c r="L1492" s="876"/>
      <c r="M1492" s="859">
        <f>CHSHData!M16</f>
        <v>0</v>
      </c>
      <c r="N1492" s="860"/>
      <c r="O1492" s="518"/>
      <c r="P1492" s="565"/>
      <c r="Q1492" s="518"/>
      <c r="R1492" s="536"/>
      <c r="S1492" s="588"/>
      <c r="T1492" s="588"/>
      <c r="U1492" s="536"/>
      <c r="V1492" s="536"/>
      <c r="W1492" s="536"/>
      <c r="X1492" s="536"/>
      <c r="Y1492" s="536"/>
      <c r="Z1492" s="536"/>
      <c r="AA1492" s="536"/>
      <c r="AB1492" s="536"/>
      <c r="AC1492" s="536"/>
      <c r="AD1492" s="536"/>
      <c r="AE1492" s="518"/>
      <c r="AF1492" s="529"/>
      <c r="AG1492" s="529"/>
      <c r="AH1492" s="529"/>
      <c r="AJ1492" s="595" t="b">
        <f t="shared" si="35"/>
        <v>0</v>
      </c>
    </row>
    <row r="1493" spans="1:36" ht="16" hidden="1" customHeight="1" x14ac:dyDescent="0.45">
      <c r="A1493" s="518"/>
      <c r="B1493" s="514" t="s">
        <v>1419</v>
      </c>
      <c r="C1493" s="535"/>
      <c r="D1493" s="535"/>
      <c r="E1493" s="535"/>
      <c r="F1493" s="535"/>
      <c r="G1493" s="890" t="str">
        <f>IF(CHSHData!J17=0,"",CHSHData!J17)</f>
        <v/>
      </c>
      <c r="H1493" s="891"/>
      <c r="I1493" s="874" t="str">
        <f>CHSHData!D17</f>
        <v/>
      </c>
      <c r="J1493" s="875"/>
      <c r="K1493" s="875"/>
      <c r="L1493" s="876"/>
      <c r="M1493" s="859">
        <f>CHSHData!M17</f>
        <v>0</v>
      </c>
      <c r="N1493" s="860"/>
      <c r="O1493" s="518"/>
      <c r="P1493" s="565"/>
      <c r="Q1493" s="518"/>
      <c r="R1493" s="536"/>
      <c r="S1493" s="588"/>
      <c r="T1493" s="588"/>
      <c r="U1493" s="536"/>
      <c r="V1493" s="536"/>
      <c r="W1493" s="536"/>
      <c r="X1493" s="536"/>
      <c r="Y1493" s="536"/>
      <c r="Z1493" s="536"/>
      <c r="AA1493" s="536"/>
      <c r="AB1493" s="536"/>
      <c r="AC1493" s="536"/>
      <c r="AD1493" s="536"/>
      <c r="AE1493" s="518"/>
      <c r="AF1493" s="529"/>
      <c r="AG1493" s="529"/>
      <c r="AH1493" s="529"/>
      <c r="AJ1493" s="595" t="b">
        <f t="shared" si="35"/>
        <v>0</v>
      </c>
    </row>
    <row r="1494" spans="1:36" ht="16" hidden="1" customHeight="1" x14ac:dyDescent="0.45">
      <c r="A1494" s="518"/>
      <c r="B1494" s="514" t="s">
        <v>1420</v>
      </c>
      <c r="C1494" s="535"/>
      <c r="D1494" s="535"/>
      <c r="E1494" s="535"/>
      <c r="F1494" s="535"/>
      <c r="G1494" s="890" t="str">
        <f>IF(CHSHData!J18=0,"",CHSHData!J18)</f>
        <v/>
      </c>
      <c r="H1494" s="891"/>
      <c r="I1494" s="874" t="str">
        <f>CHSHData!D18</f>
        <v/>
      </c>
      <c r="J1494" s="875"/>
      <c r="K1494" s="875"/>
      <c r="L1494" s="876"/>
      <c r="M1494" s="859">
        <f>CHSHData!M18</f>
        <v>0</v>
      </c>
      <c r="N1494" s="860"/>
      <c r="O1494" s="518"/>
      <c r="P1494" s="565"/>
      <c r="Q1494" s="518"/>
      <c r="R1494" s="536"/>
      <c r="S1494" s="588"/>
      <c r="T1494" s="588"/>
      <c r="U1494" s="536"/>
      <c r="V1494" s="536"/>
      <c r="W1494" s="536"/>
      <c r="X1494" s="536"/>
      <c r="Y1494" s="536"/>
      <c r="Z1494" s="536"/>
      <c r="AA1494" s="536"/>
      <c r="AB1494" s="536"/>
      <c r="AC1494" s="536"/>
      <c r="AD1494" s="536"/>
      <c r="AE1494" s="518"/>
      <c r="AF1494" s="529"/>
      <c r="AG1494" s="529"/>
      <c r="AH1494" s="529"/>
      <c r="AJ1494" s="595" t="b">
        <f t="shared" si="35"/>
        <v>0</v>
      </c>
    </row>
    <row r="1495" spans="1:36" ht="16" hidden="1" customHeight="1" x14ac:dyDescent="0.45">
      <c r="A1495" s="518"/>
      <c r="B1495" s="514" t="s">
        <v>1421</v>
      </c>
      <c r="C1495" s="535"/>
      <c r="D1495" s="535"/>
      <c r="E1495" s="535"/>
      <c r="F1495" s="535"/>
      <c r="G1495" s="890" t="str">
        <f>IF(CHSHData!J19=0,"",CHSHData!J19)</f>
        <v/>
      </c>
      <c r="H1495" s="891"/>
      <c r="I1495" s="874" t="str">
        <f>CHSHData!D19</f>
        <v/>
      </c>
      <c r="J1495" s="875"/>
      <c r="K1495" s="875"/>
      <c r="L1495" s="876"/>
      <c r="M1495" s="859">
        <f>CHSHData!M19</f>
        <v>0</v>
      </c>
      <c r="N1495" s="860"/>
      <c r="O1495" s="518"/>
      <c r="P1495" s="565"/>
      <c r="Q1495" s="518"/>
      <c r="R1495" s="536"/>
      <c r="S1495" s="588"/>
      <c r="T1495" s="588"/>
      <c r="U1495" s="536"/>
      <c r="V1495" s="536"/>
      <c r="W1495" s="536"/>
      <c r="X1495" s="536"/>
      <c r="Y1495" s="536"/>
      <c r="Z1495" s="536"/>
      <c r="AA1495" s="536"/>
      <c r="AB1495" s="536"/>
      <c r="AC1495" s="536"/>
      <c r="AD1495" s="536"/>
      <c r="AE1495" s="518"/>
      <c r="AF1495" s="529"/>
      <c r="AG1495" s="529"/>
      <c r="AH1495" s="529"/>
      <c r="AJ1495" s="595" t="b">
        <f t="shared" si="35"/>
        <v>0</v>
      </c>
    </row>
    <row r="1496" spans="1:36" hidden="1" x14ac:dyDescent="0.45">
      <c r="A1496" s="518"/>
      <c r="B1496" s="514" t="s">
        <v>1422</v>
      </c>
      <c r="C1496" s="535"/>
      <c r="D1496" s="535"/>
      <c r="E1496" s="535"/>
      <c r="F1496" s="535"/>
      <c r="G1496" s="890" t="str">
        <f>IF(CHSHData!J20=0,"",CHSHData!J20)</f>
        <v/>
      </c>
      <c r="H1496" s="891"/>
      <c r="I1496" s="874" t="str">
        <f>CHSHData!D20</f>
        <v/>
      </c>
      <c r="J1496" s="875"/>
      <c r="K1496" s="875"/>
      <c r="L1496" s="876"/>
      <c r="M1496" s="859">
        <f>CHSHData!M20</f>
        <v>0</v>
      </c>
      <c r="N1496" s="860"/>
      <c r="O1496" s="518"/>
      <c r="P1496" s="565"/>
      <c r="Q1496" s="518"/>
      <c r="R1496" s="536"/>
      <c r="S1496" s="588"/>
      <c r="T1496" s="588"/>
      <c r="U1496" s="536"/>
      <c r="V1496" s="536"/>
      <c r="W1496" s="536"/>
      <c r="X1496" s="536"/>
      <c r="Y1496" s="536"/>
      <c r="Z1496" s="536"/>
      <c r="AA1496" s="536"/>
      <c r="AB1496" s="536"/>
      <c r="AC1496" s="536"/>
      <c r="AD1496" s="536"/>
      <c r="AE1496" s="518"/>
      <c r="AF1496" s="529"/>
      <c r="AG1496" s="529"/>
      <c r="AH1496" s="529"/>
      <c r="AJ1496" s="595" t="b">
        <f t="shared" si="35"/>
        <v>0</v>
      </c>
    </row>
    <row r="1497" spans="1:36" ht="16" hidden="1" customHeight="1" x14ac:dyDescent="0.45">
      <c r="A1497" s="518"/>
      <c r="B1497" s="514" t="s">
        <v>1423</v>
      </c>
      <c r="C1497" s="535"/>
      <c r="D1497" s="535"/>
      <c r="E1497" s="535"/>
      <c r="F1497" s="535"/>
      <c r="G1497" s="890" t="str">
        <f>IF(CHSHData!J21=0,"",CHSHData!J21)</f>
        <v/>
      </c>
      <c r="H1497" s="891"/>
      <c r="I1497" s="874" t="str">
        <f>CHSHData!D21</f>
        <v/>
      </c>
      <c r="J1497" s="875"/>
      <c r="K1497" s="875"/>
      <c r="L1497" s="876"/>
      <c r="M1497" s="859">
        <f>CHSHData!M21</f>
        <v>0</v>
      </c>
      <c r="N1497" s="860"/>
      <c r="O1497" s="518"/>
      <c r="P1497" s="565"/>
      <c r="Q1497" s="518"/>
      <c r="R1497" s="536"/>
      <c r="S1497" s="588"/>
      <c r="T1497" s="588"/>
      <c r="U1497" s="536"/>
      <c r="V1497" s="536"/>
      <c r="W1497" s="536"/>
      <c r="X1497" s="536"/>
      <c r="Y1497" s="536"/>
      <c r="Z1497" s="536"/>
      <c r="AA1497" s="536"/>
      <c r="AB1497" s="536"/>
      <c r="AC1497" s="536"/>
      <c r="AD1497" s="536"/>
      <c r="AE1497" s="518"/>
      <c r="AF1497" s="529"/>
      <c r="AG1497" s="529"/>
      <c r="AH1497" s="529"/>
      <c r="AJ1497" s="595" t="b">
        <f t="shared" si="35"/>
        <v>0</v>
      </c>
    </row>
    <row r="1498" spans="1:36" hidden="1" x14ac:dyDescent="0.45">
      <c r="A1498" s="518"/>
      <c r="B1498" s="514" t="s">
        <v>1424</v>
      </c>
      <c r="C1498" s="535"/>
      <c r="D1498" s="535"/>
      <c r="E1498" s="535"/>
      <c r="F1498" s="535"/>
      <c r="G1498" s="890" t="str">
        <f>IF(CHSHData!J22=0,"",CHSHData!J22)</f>
        <v/>
      </c>
      <c r="H1498" s="891"/>
      <c r="I1498" s="874" t="str">
        <f>CHSHData!D22</f>
        <v/>
      </c>
      <c r="J1498" s="875"/>
      <c r="K1498" s="875"/>
      <c r="L1498" s="876"/>
      <c r="M1498" s="859">
        <f>CHSHData!M22</f>
        <v>0</v>
      </c>
      <c r="N1498" s="860"/>
      <c r="O1498" s="518"/>
      <c r="P1498" s="565"/>
      <c r="Q1498" s="518"/>
      <c r="R1498" s="536"/>
      <c r="S1498" s="588"/>
      <c r="T1498" s="588"/>
      <c r="U1498" s="536"/>
      <c r="V1498" s="536"/>
      <c r="W1498" s="536"/>
      <c r="X1498" s="536"/>
      <c r="Y1498" s="536"/>
      <c r="Z1498" s="536"/>
      <c r="AA1498" s="536"/>
      <c r="AB1498" s="536"/>
      <c r="AC1498" s="536"/>
      <c r="AD1498" s="536"/>
      <c r="AE1498" s="518"/>
      <c r="AF1498" s="529"/>
      <c r="AG1498" s="529"/>
      <c r="AH1498" s="529"/>
      <c r="AJ1498" s="595" t="b">
        <f t="shared" si="35"/>
        <v>0</v>
      </c>
    </row>
    <row r="1499" spans="1:36" hidden="1" x14ac:dyDescent="0.45">
      <c r="A1499" s="518"/>
      <c r="B1499" s="514" t="s">
        <v>1425</v>
      </c>
      <c r="C1499" s="535"/>
      <c r="D1499" s="535"/>
      <c r="E1499" s="535"/>
      <c r="F1499" s="535"/>
      <c r="G1499" s="890" t="str">
        <f>IF(CHSHData!J23=0,"",CHSHData!J23)</f>
        <v/>
      </c>
      <c r="H1499" s="891"/>
      <c r="I1499" s="874" t="str">
        <f>CHSHData!D23</f>
        <v/>
      </c>
      <c r="J1499" s="875"/>
      <c r="K1499" s="875"/>
      <c r="L1499" s="876"/>
      <c r="M1499" s="859">
        <f>CHSHData!M23</f>
        <v>0</v>
      </c>
      <c r="N1499" s="860"/>
      <c r="O1499" s="518"/>
      <c r="P1499" s="565"/>
      <c r="Q1499" s="518"/>
      <c r="R1499" s="536"/>
      <c r="S1499" s="588"/>
      <c r="T1499" s="588"/>
      <c r="U1499" s="536"/>
      <c r="V1499" s="536"/>
      <c r="W1499" s="536"/>
      <c r="X1499" s="536"/>
      <c r="Y1499" s="536"/>
      <c r="Z1499" s="536"/>
      <c r="AA1499" s="536"/>
      <c r="AB1499" s="536"/>
      <c r="AC1499" s="536"/>
      <c r="AD1499" s="536"/>
      <c r="AE1499" s="518"/>
      <c r="AF1499" s="529"/>
      <c r="AG1499" s="529"/>
      <c r="AH1499" s="529"/>
      <c r="AJ1499" s="595" t="b">
        <f t="shared" si="35"/>
        <v>0</v>
      </c>
    </row>
    <row r="1500" spans="1:36" hidden="1" x14ac:dyDescent="0.45">
      <c r="A1500" s="518"/>
      <c r="B1500" s="514" t="s">
        <v>1426</v>
      </c>
      <c r="C1500" s="535"/>
      <c r="D1500" s="535"/>
      <c r="E1500" s="535"/>
      <c r="F1500" s="535"/>
      <c r="G1500" s="890" t="str">
        <f>IF(CHSHData!J24=0,"",CHSHData!J24)</f>
        <v/>
      </c>
      <c r="H1500" s="891"/>
      <c r="I1500" s="874" t="str">
        <f>CHSHData!D24</f>
        <v/>
      </c>
      <c r="J1500" s="875"/>
      <c r="K1500" s="875"/>
      <c r="L1500" s="876"/>
      <c r="M1500" s="859">
        <f>CHSHData!M24</f>
        <v>0</v>
      </c>
      <c r="N1500" s="860"/>
      <c r="O1500" s="518"/>
      <c r="P1500" s="565"/>
      <c r="Q1500" s="518"/>
      <c r="R1500" s="536"/>
      <c r="S1500" s="588"/>
      <c r="T1500" s="588"/>
      <c r="U1500" s="536"/>
      <c r="V1500" s="536"/>
      <c r="W1500" s="536"/>
      <c r="X1500" s="536"/>
      <c r="Y1500" s="536"/>
      <c r="Z1500" s="536"/>
      <c r="AA1500" s="536"/>
      <c r="AB1500" s="536"/>
      <c r="AC1500" s="536"/>
      <c r="AD1500" s="536"/>
      <c r="AE1500" s="518"/>
      <c r="AF1500" s="529"/>
      <c r="AG1500" s="529"/>
      <c r="AH1500" s="529"/>
      <c r="AJ1500" s="595" t="b">
        <f t="shared" si="35"/>
        <v>0</v>
      </c>
    </row>
    <row r="1501" spans="1:36" hidden="1" x14ac:dyDescent="0.45">
      <c r="A1501" s="518"/>
      <c r="B1501" s="514" t="s">
        <v>1427</v>
      </c>
      <c r="C1501" s="535"/>
      <c r="D1501" s="535"/>
      <c r="E1501" s="535"/>
      <c r="F1501" s="535"/>
      <c r="G1501" s="890" t="str">
        <f>IF(CHSHData!J25=0,"",CHSHData!J25)</f>
        <v/>
      </c>
      <c r="H1501" s="891"/>
      <c r="I1501" s="874" t="str">
        <f>CHSHData!D25</f>
        <v/>
      </c>
      <c r="J1501" s="875"/>
      <c r="K1501" s="875"/>
      <c r="L1501" s="876"/>
      <c r="M1501" s="859">
        <f>CHSHData!M25</f>
        <v>0</v>
      </c>
      <c r="N1501" s="860"/>
      <c r="O1501" s="518"/>
      <c r="P1501" s="565"/>
      <c r="Q1501" s="518"/>
      <c r="R1501" s="536"/>
      <c r="S1501" s="588"/>
      <c r="T1501" s="588"/>
      <c r="U1501" s="536"/>
      <c r="V1501" s="536"/>
      <c r="W1501" s="536"/>
      <c r="X1501" s="536"/>
      <c r="Y1501" s="536"/>
      <c r="Z1501" s="536"/>
      <c r="AA1501" s="536"/>
      <c r="AB1501" s="536"/>
      <c r="AC1501" s="536"/>
      <c r="AD1501" s="536"/>
      <c r="AE1501" s="518"/>
      <c r="AF1501" s="529"/>
      <c r="AG1501" s="529"/>
      <c r="AH1501" s="529"/>
      <c r="AJ1501" s="595" t="b">
        <f t="shared" si="35"/>
        <v>0</v>
      </c>
    </row>
    <row r="1502" spans="1:36" hidden="1" x14ac:dyDescent="0.45">
      <c r="A1502" s="518"/>
      <c r="B1502" s="514" t="s">
        <v>1428</v>
      </c>
      <c r="C1502" s="535"/>
      <c r="D1502" s="535"/>
      <c r="E1502" s="535"/>
      <c r="F1502" s="535"/>
      <c r="G1502" s="890" t="str">
        <f>IF(CHSHData!J26=0,"",CHSHData!J26)</f>
        <v/>
      </c>
      <c r="H1502" s="891"/>
      <c r="I1502" s="874" t="str">
        <f>CHSHData!D26</f>
        <v/>
      </c>
      <c r="J1502" s="875"/>
      <c r="K1502" s="875"/>
      <c r="L1502" s="876"/>
      <c r="M1502" s="859">
        <f>CHSHData!M26</f>
        <v>0</v>
      </c>
      <c r="N1502" s="860"/>
      <c r="O1502" s="518"/>
      <c r="P1502" s="565"/>
      <c r="Q1502" s="518"/>
      <c r="R1502" s="536"/>
      <c r="S1502" s="588"/>
      <c r="T1502" s="588"/>
      <c r="U1502" s="536"/>
      <c r="V1502" s="536"/>
      <c r="W1502" s="536"/>
      <c r="X1502" s="536"/>
      <c r="Y1502" s="536"/>
      <c r="Z1502" s="536"/>
      <c r="AA1502" s="536"/>
      <c r="AB1502" s="536"/>
      <c r="AC1502" s="536"/>
      <c r="AD1502" s="536"/>
      <c r="AE1502" s="518"/>
      <c r="AF1502" s="529"/>
      <c r="AG1502" s="529"/>
      <c r="AH1502" s="529"/>
      <c r="AJ1502" s="595" t="b">
        <f t="shared" si="35"/>
        <v>0</v>
      </c>
    </row>
    <row r="1503" spans="1:36" hidden="1" x14ac:dyDescent="0.45">
      <c r="A1503" s="518"/>
      <c r="B1503" s="514" t="s">
        <v>1429</v>
      </c>
      <c r="C1503" s="535"/>
      <c r="D1503" s="535"/>
      <c r="E1503" s="535"/>
      <c r="F1503" s="535"/>
      <c r="G1503" s="890" t="str">
        <f>IF(CHSHData!J27=0,"",CHSHData!J27)</f>
        <v/>
      </c>
      <c r="H1503" s="891"/>
      <c r="I1503" s="874" t="str">
        <f>CHSHData!D27</f>
        <v/>
      </c>
      <c r="J1503" s="875"/>
      <c r="K1503" s="875"/>
      <c r="L1503" s="876"/>
      <c r="M1503" s="859">
        <f>CHSHData!M27</f>
        <v>0</v>
      </c>
      <c r="N1503" s="860"/>
      <c r="O1503" s="518"/>
      <c r="P1503" s="565"/>
      <c r="Q1503" s="518"/>
      <c r="R1503" s="536"/>
      <c r="S1503" s="588"/>
      <c r="T1503" s="588"/>
      <c r="U1503" s="536"/>
      <c r="V1503" s="536"/>
      <c r="W1503" s="536"/>
      <c r="X1503" s="536"/>
      <c r="Y1503" s="536"/>
      <c r="Z1503" s="536"/>
      <c r="AA1503" s="536"/>
      <c r="AB1503" s="536"/>
      <c r="AC1503" s="536"/>
      <c r="AD1503" s="536"/>
      <c r="AE1503" s="518"/>
      <c r="AF1503" s="529"/>
      <c r="AG1503" s="529"/>
      <c r="AH1503" s="529"/>
      <c r="AJ1503" s="595" t="b">
        <f t="shared" si="35"/>
        <v>0</v>
      </c>
    </row>
    <row r="1504" spans="1:36" hidden="1" x14ac:dyDescent="0.45">
      <c r="A1504" s="518"/>
      <c r="B1504" s="514" t="s">
        <v>1430</v>
      </c>
      <c r="C1504" s="535"/>
      <c r="D1504" s="535"/>
      <c r="E1504" s="535"/>
      <c r="F1504" s="535"/>
      <c r="G1504" s="890" t="str">
        <f>IF(CHSHData!J28=0,"",CHSHData!J28)</f>
        <v/>
      </c>
      <c r="H1504" s="891"/>
      <c r="I1504" s="874" t="str">
        <f>CHSHData!D28</f>
        <v/>
      </c>
      <c r="J1504" s="875"/>
      <c r="K1504" s="875"/>
      <c r="L1504" s="876"/>
      <c r="M1504" s="859">
        <f>CHSHData!M28</f>
        <v>0</v>
      </c>
      <c r="N1504" s="860"/>
      <c r="O1504" s="518"/>
      <c r="P1504" s="565"/>
      <c r="Q1504" s="518"/>
      <c r="R1504" s="536"/>
      <c r="S1504" s="588"/>
      <c r="T1504" s="588"/>
      <c r="U1504" s="536"/>
      <c r="V1504" s="536"/>
      <c r="W1504" s="536"/>
      <c r="X1504" s="536"/>
      <c r="Y1504" s="536"/>
      <c r="Z1504" s="536"/>
      <c r="AA1504" s="536"/>
      <c r="AB1504" s="536"/>
      <c r="AC1504" s="536"/>
      <c r="AD1504" s="536"/>
      <c r="AE1504" s="518"/>
      <c r="AF1504" s="529"/>
      <c r="AG1504" s="529"/>
      <c r="AH1504" s="529"/>
      <c r="AJ1504" s="595" t="b">
        <f t="shared" si="35"/>
        <v>0</v>
      </c>
    </row>
    <row r="1505" spans="1:36" hidden="1" x14ac:dyDescent="0.45">
      <c r="A1505" s="518"/>
      <c r="B1505" s="514" t="s">
        <v>1431</v>
      </c>
      <c r="C1505" s="535"/>
      <c r="D1505" s="535"/>
      <c r="E1505" s="535"/>
      <c r="F1505" s="535"/>
      <c r="G1505" s="890" t="str">
        <f>IF(CHSHData!J29=0,"",CHSHData!J29)</f>
        <v/>
      </c>
      <c r="H1505" s="891"/>
      <c r="I1505" s="874" t="str">
        <f>CHSHData!D29</f>
        <v/>
      </c>
      <c r="J1505" s="875"/>
      <c r="K1505" s="875"/>
      <c r="L1505" s="876"/>
      <c r="M1505" s="859">
        <f>CHSHData!M29</f>
        <v>0</v>
      </c>
      <c r="N1505" s="860"/>
      <c r="O1505" s="518"/>
      <c r="P1505" s="565"/>
      <c r="Q1505" s="518"/>
      <c r="R1505" s="536"/>
      <c r="S1505" s="588"/>
      <c r="T1505" s="588"/>
      <c r="U1505" s="536"/>
      <c r="V1505" s="536"/>
      <c r="W1505" s="536"/>
      <c r="X1505" s="536"/>
      <c r="Y1505" s="536"/>
      <c r="Z1505" s="536"/>
      <c r="AA1505" s="536"/>
      <c r="AB1505" s="536"/>
      <c r="AC1505" s="536"/>
      <c r="AD1505" s="536"/>
      <c r="AE1505" s="518"/>
      <c r="AF1505" s="529"/>
      <c r="AG1505" s="529"/>
      <c r="AH1505" s="529"/>
      <c r="AJ1505" s="595" t="b">
        <f t="shared" si="35"/>
        <v>0</v>
      </c>
    </row>
    <row r="1506" spans="1:36" hidden="1" x14ac:dyDescent="0.45">
      <c r="A1506" s="518"/>
      <c r="B1506" s="514" t="s">
        <v>1432</v>
      </c>
      <c r="C1506" s="535"/>
      <c r="D1506" s="535"/>
      <c r="E1506" s="535"/>
      <c r="F1506" s="535"/>
      <c r="G1506" s="890" t="str">
        <f>IF(CHSHData!J30=0,"",CHSHData!J30)</f>
        <v/>
      </c>
      <c r="H1506" s="891"/>
      <c r="I1506" s="874" t="str">
        <f>CHSHData!D30</f>
        <v/>
      </c>
      <c r="J1506" s="875"/>
      <c r="K1506" s="875"/>
      <c r="L1506" s="876"/>
      <c r="M1506" s="859">
        <f>CHSHData!M30</f>
        <v>0</v>
      </c>
      <c r="N1506" s="860"/>
      <c r="O1506" s="518"/>
      <c r="P1506" s="565"/>
      <c r="Q1506" s="518"/>
      <c r="R1506" s="536"/>
      <c r="S1506" s="588"/>
      <c r="T1506" s="588"/>
      <c r="U1506" s="536"/>
      <c r="V1506" s="536"/>
      <c r="W1506" s="536"/>
      <c r="X1506" s="536"/>
      <c r="Y1506" s="536"/>
      <c r="Z1506" s="536"/>
      <c r="AA1506" s="536"/>
      <c r="AB1506" s="536"/>
      <c r="AC1506" s="536"/>
      <c r="AD1506" s="536"/>
      <c r="AE1506" s="518"/>
      <c r="AF1506" s="529"/>
      <c r="AG1506" s="529"/>
      <c r="AH1506" s="529"/>
      <c r="AJ1506" s="595" t="b">
        <f t="shared" si="35"/>
        <v>0</v>
      </c>
    </row>
    <row r="1507" spans="1:36" hidden="1" x14ac:dyDescent="0.45">
      <c r="A1507" s="518"/>
      <c r="B1507" s="514" t="s">
        <v>1433</v>
      </c>
      <c r="C1507" s="535"/>
      <c r="D1507" s="535"/>
      <c r="E1507" s="535"/>
      <c r="F1507" s="535"/>
      <c r="G1507" s="890" t="str">
        <f>IF(CHSHData!J31=0,"",CHSHData!J31)</f>
        <v/>
      </c>
      <c r="H1507" s="891"/>
      <c r="I1507" s="874" t="str">
        <f>CHSHData!D31</f>
        <v/>
      </c>
      <c r="J1507" s="875"/>
      <c r="K1507" s="875"/>
      <c r="L1507" s="876"/>
      <c r="M1507" s="859">
        <f>CHSHData!M31</f>
        <v>0</v>
      </c>
      <c r="N1507" s="860"/>
      <c r="O1507" s="518"/>
      <c r="P1507" s="565"/>
      <c r="Q1507" s="518"/>
      <c r="R1507" s="536"/>
      <c r="S1507" s="588"/>
      <c r="T1507" s="588"/>
      <c r="U1507" s="536"/>
      <c r="V1507" s="536"/>
      <c r="W1507" s="536"/>
      <c r="X1507" s="536"/>
      <c r="Y1507" s="536"/>
      <c r="Z1507" s="536"/>
      <c r="AA1507" s="536"/>
      <c r="AB1507" s="536"/>
      <c r="AC1507" s="536"/>
      <c r="AD1507" s="536"/>
      <c r="AE1507" s="518"/>
      <c r="AF1507" s="529"/>
      <c r="AG1507" s="529"/>
      <c r="AH1507" s="529"/>
      <c r="AJ1507" s="595" t="b">
        <f t="shared" si="35"/>
        <v>0</v>
      </c>
    </row>
    <row r="1508" spans="1:36" hidden="1" x14ac:dyDescent="0.45">
      <c r="A1508" s="518"/>
      <c r="B1508" s="514" t="s">
        <v>1434</v>
      </c>
      <c r="C1508" s="535"/>
      <c r="D1508" s="535"/>
      <c r="E1508" s="535"/>
      <c r="F1508" s="535"/>
      <c r="G1508" s="890" t="str">
        <f>IF(CHSHData!J32=0,"",CHSHData!J32)</f>
        <v/>
      </c>
      <c r="H1508" s="891"/>
      <c r="I1508" s="874" t="str">
        <f>CHSHData!D32</f>
        <v/>
      </c>
      <c r="J1508" s="875"/>
      <c r="K1508" s="875"/>
      <c r="L1508" s="876"/>
      <c r="M1508" s="859">
        <f>CHSHData!M32</f>
        <v>0</v>
      </c>
      <c r="N1508" s="860"/>
      <c r="O1508" s="518"/>
      <c r="P1508" s="565"/>
      <c r="Q1508" s="518"/>
      <c r="R1508" s="536"/>
      <c r="S1508" s="588"/>
      <c r="T1508" s="588"/>
      <c r="U1508" s="536"/>
      <c r="V1508" s="536"/>
      <c r="W1508" s="536"/>
      <c r="X1508" s="536"/>
      <c r="Y1508" s="536"/>
      <c r="Z1508" s="536"/>
      <c r="AA1508" s="536"/>
      <c r="AB1508" s="536"/>
      <c r="AC1508" s="536"/>
      <c r="AD1508" s="536"/>
      <c r="AE1508" s="518"/>
      <c r="AF1508" s="529"/>
      <c r="AG1508" s="529"/>
      <c r="AH1508" s="529"/>
      <c r="AJ1508" s="595" t="b">
        <f t="shared" si="35"/>
        <v>0</v>
      </c>
    </row>
    <row r="1509" spans="1:36" hidden="1" x14ac:dyDescent="0.45">
      <c r="A1509" s="518"/>
      <c r="B1509" s="514" t="s">
        <v>1435</v>
      </c>
      <c r="C1509" s="535"/>
      <c r="D1509" s="535"/>
      <c r="E1509" s="535"/>
      <c r="F1509" s="535"/>
      <c r="G1509" s="890" t="str">
        <f>IF(CHSHData!J33=0,"",CHSHData!J33)</f>
        <v/>
      </c>
      <c r="H1509" s="891"/>
      <c r="I1509" s="874" t="str">
        <f>CHSHData!D33</f>
        <v/>
      </c>
      <c r="J1509" s="875"/>
      <c r="K1509" s="875"/>
      <c r="L1509" s="876"/>
      <c r="M1509" s="859">
        <f>CHSHData!M33</f>
        <v>0</v>
      </c>
      <c r="N1509" s="860"/>
      <c r="O1509" s="518"/>
      <c r="P1509" s="565"/>
      <c r="Q1509" s="518"/>
      <c r="R1509" s="536"/>
      <c r="S1509" s="588"/>
      <c r="T1509" s="588"/>
      <c r="U1509" s="536"/>
      <c r="V1509" s="536"/>
      <c r="W1509" s="536"/>
      <c r="X1509" s="536"/>
      <c r="Y1509" s="536"/>
      <c r="Z1509" s="536"/>
      <c r="AA1509" s="536"/>
      <c r="AB1509" s="536"/>
      <c r="AC1509" s="536"/>
      <c r="AD1509" s="536"/>
      <c r="AE1509" s="518"/>
      <c r="AF1509" s="529"/>
      <c r="AG1509" s="529"/>
      <c r="AH1509" s="529"/>
      <c r="AJ1509" s="595" t="b">
        <f t="shared" si="35"/>
        <v>0</v>
      </c>
    </row>
    <row r="1510" spans="1:36" hidden="1" x14ac:dyDescent="0.45">
      <c r="A1510" s="518"/>
      <c r="B1510" s="514" t="s">
        <v>1436</v>
      </c>
      <c r="C1510" s="535"/>
      <c r="D1510" s="535"/>
      <c r="E1510" s="535"/>
      <c r="F1510" s="535"/>
      <c r="G1510" s="890" t="str">
        <f>IF(CHSHData!J34=0,"",CHSHData!J34)</f>
        <v/>
      </c>
      <c r="H1510" s="891"/>
      <c r="I1510" s="874" t="str">
        <f>CHSHData!D34</f>
        <v/>
      </c>
      <c r="J1510" s="875"/>
      <c r="K1510" s="875"/>
      <c r="L1510" s="876"/>
      <c r="M1510" s="859">
        <f>CHSHData!M34</f>
        <v>0</v>
      </c>
      <c r="N1510" s="860"/>
      <c r="O1510" s="518"/>
      <c r="P1510" s="565"/>
      <c r="Q1510" s="518"/>
      <c r="R1510" s="536"/>
      <c r="S1510" s="588"/>
      <c r="T1510" s="588"/>
      <c r="U1510" s="536"/>
      <c r="V1510" s="536"/>
      <c r="W1510" s="536"/>
      <c r="X1510" s="536"/>
      <c r="Y1510" s="536"/>
      <c r="Z1510" s="536"/>
      <c r="AA1510" s="536"/>
      <c r="AB1510" s="536"/>
      <c r="AC1510" s="536"/>
      <c r="AD1510" s="536"/>
      <c r="AE1510" s="518"/>
      <c r="AF1510" s="529"/>
      <c r="AG1510" s="529"/>
      <c r="AH1510" s="529"/>
      <c r="AJ1510" s="595" t="b">
        <f t="shared" si="35"/>
        <v>0</v>
      </c>
    </row>
    <row r="1511" spans="1:36" hidden="1" x14ac:dyDescent="0.45">
      <c r="A1511" s="518"/>
      <c r="B1511" s="514" t="s">
        <v>1437</v>
      </c>
      <c r="C1511" s="535"/>
      <c r="D1511" s="535"/>
      <c r="E1511" s="535"/>
      <c r="F1511" s="535"/>
      <c r="G1511" s="890" t="str">
        <f>IF(CHSHData!J35=0,"",CHSHData!J35)</f>
        <v/>
      </c>
      <c r="H1511" s="891"/>
      <c r="I1511" s="874" t="str">
        <f>CHSHData!D35</f>
        <v/>
      </c>
      <c r="J1511" s="875"/>
      <c r="K1511" s="875"/>
      <c r="L1511" s="876"/>
      <c r="M1511" s="859">
        <f>CHSHData!M35</f>
        <v>0</v>
      </c>
      <c r="N1511" s="860"/>
      <c r="O1511" s="518"/>
      <c r="P1511" s="565"/>
      <c r="Q1511" s="518"/>
      <c r="R1511" s="536"/>
      <c r="S1511" s="588"/>
      <c r="T1511" s="588"/>
      <c r="U1511" s="536"/>
      <c r="V1511" s="536"/>
      <c r="W1511" s="536"/>
      <c r="X1511" s="536"/>
      <c r="Y1511" s="536"/>
      <c r="Z1511" s="536"/>
      <c r="AA1511" s="536"/>
      <c r="AB1511" s="536"/>
      <c r="AC1511" s="536"/>
      <c r="AD1511" s="536"/>
      <c r="AE1511" s="518"/>
      <c r="AF1511" s="529"/>
      <c r="AG1511" s="529"/>
      <c r="AH1511" s="529"/>
      <c r="AJ1511" s="595" t="b">
        <f t="shared" ref="AJ1511:AJ1536" si="36">AND(AJ$1472,M1511&gt;0)</f>
        <v>0</v>
      </c>
    </row>
    <row r="1512" spans="1:36" hidden="1" x14ac:dyDescent="0.45">
      <c r="A1512" s="518"/>
      <c r="B1512" s="514" t="s">
        <v>1438</v>
      </c>
      <c r="C1512" s="535"/>
      <c r="D1512" s="535"/>
      <c r="E1512" s="535"/>
      <c r="F1512" s="535"/>
      <c r="G1512" s="890" t="str">
        <f>IF(CHSHData!J36=0,"",CHSHData!J36)</f>
        <v/>
      </c>
      <c r="H1512" s="891"/>
      <c r="I1512" s="874" t="str">
        <f>CHSHData!D36</f>
        <v/>
      </c>
      <c r="J1512" s="875"/>
      <c r="K1512" s="875"/>
      <c r="L1512" s="876"/>
      <c r="M1512" s="859">
        <f>CHSHData!M36</f>
        <v>0</v>
      </c>
      <c r="N1512" s="860"/>
      <c r="O1512" s="518"/>
      <c r="P1512" s="565"/>
      <c r="Q1512" s="518"/>
      <c r="R1512" s="536"/>
      <c r="S1512" s="588"/>
      <c r="T1512" s="588"/>
      <c r="U1512" s="536"/>
      <c r="V1512" s="536"/>
      <c r="W1512" s="536"/>
      <c r="X1512" s="536"/>
      <c r="Y1512" s="536"/>
      <c r="Z1512" s="536"/>
      <c r="AA1512" s="536"/>
      <c r="AB1512" s="536"/>
      <c r="AC1512" s="536"/>
      <c r="AD1512" s="536"/>
      <c r="AE1512" s="518"/>
      <c r="AF1512" s="529"/>
      <c r="AG1512" s="529"/>
      <c r="AH1512" s="529"/>
      <c r="AJ1512" s="595" t="b">
        <f t="shared" si="36"/>
        <v>0</v>
      </c>
    </row>
    <row r="1513" spans="1:36" hidden="1" x14ac:dyDescent="0.45">
      <c r="A1513" s="518"/>
      <c r="B1513" s="514" t="s">
        <v>1439</v>
      </c>
      <c r="C1513" s="535"/>
      <c r="D1513" s="535"/>
      <c r="E1513" s="535"/>
      <c r="F1513" s="535"/>
      <c r="G1513" s="890" t="str">
        <f>IF(CHSHData!J37=0,"",CHSHData!J37)</f>
        <v/>
      </c>
      <c r="H1513" s="891"/>
      <c r="I1513" s="874" t="str">
        <f>CHSHData!D37</f>
        <v/>
      </c>
      <c r="J1513" s="875"/>
      <c r="K1513" s="875"/>
      <c r="L1513" s="876"/>
      <c r="M1513" s="859">
        <f>CHSHData!M37</f>
        <v>0</v>
      </c>
      <c r="N1513" s="860"/>
      <c r="O1513" s="518"/>
      <c r="P1513" s="565"/>
      <c r="Q1513" s="518"/>
      <c r="R1513" s="536"/>
      <c r="S1513" s="588"/>
      <c r="T1513" s="588"/>
      <c r="U1513" s="536"/>
      <c r="V1513" s="536"/>
      <c r="W1513" s="536"/>
      <c r="X1513" s="536"/>
      <c r="Y1513" s="536"/>
      <c r="Z1513" s="536"/>
      <c r="AA1513" s="536"/>
      <c r="AB1513" s="536"/>
      <c r="AC1513" s="536"/>
      <c r="AD1513" s="536"/>
      <c r="AE1513" s="518"/>
      <c r="AF1513" s="529"/>
      <c r="AG1513" s="529"/>
      <c r="AH1513" s="529"/>
      <c r="AJ1513" s="595" t="b">
        <f t="shared" si="36"/>
        <v>0</v>
      </c>
    </row>
    <row r="1514" spans="1:36" hidden="1" x14ac:dyDescent="0.45">
      <c r="A1514" s="518"/>
      <c r="B1514" s="514" t="s">
        <v>1440</v>
      </c>
      <c r="C1514" s="535"/>
      <c r="D1514" s="535"/>
      <c r="E1514" s="535"/>
      <c r="F1514" s="535"/>
      <c r="G1514" s="890" t="str">
        <f>IF(CHSHData!J38=0,"",CHSHData!J38)</f>
        <v/>
      </c>
      <c r="H1514" s="891"/>
      <c r="I1514" s="874" t="str">
        <f>CHSHData!D38</f>
        <v/>
      </c>
      <c r="J1514" s="875"/>
      <c r="K1514" s="875"/>
      <c r="L1514" s="876"/>
      <c r="M1514" s="859">
        <f>CHSHData!M38</f>
        <v>0</v>
      </c>
      <c r="N1514" s="860"/>
      <c r="O1514" s="518"/>
      <c r="P1514" s="565"/>
      <c r="Q1514" s="518"/>
      <c r="R1514" s="536"/>
      <c r="S1514" s="588"/>
      <c r="T1514" s="588"/>
      <c r="U1514" s="536"/>
      <c r="V1514" s="536"/>
      <c r="W1514" s="536"/>
      <c r="X1514" s="536"/>
      <c r="Y1514" s="536"/>
      <c r="Z1514" s="536"/>
      <c r="AA1514" s="536"/>
      <c r="AB1514" s="536"/>
      <c r="AC1514" s="536"/>
      <c r="AD1514" s="536"/>
      <c r="AE1514" s="518"/>
      <c r="AF1514" s="529"/>
      <c r="AG1514" s="529"/>
      <c r="AH1514" s="529"/>
      <c r="AJ1514" s="595" t="b">
        <f t="shared" si="36"/>
        <v>0</v>
      </c>
    </row>
    <row r="1515" spans="1:36" hidden="1" x14ac:dyDescent="0.45">
      <c r="A1515" s="518"/>
      <c r="B1515" s="514" t="s">
        <v>1441</v>
      </c>
      <c r="C1515" s="535"/>
      <c r="D1515" s="535"/>
      <c r="E1515" s="535"/>
      <c r="F1515" s="535"/>
      <c r="G1515" s="890" t="str">
        <f>IF(CHSHData!J39=0,"",CHSHData!J39)</f>
        <v/>
      </c>
      <c r="H1515" s="891"/>
      <c r="I1515" s="874" t="str">
        <f>CHSHData!D39</f>
        <v/>
      </c>
      <c r="J1515" s="875"/>
      <c r="K1515" s="875"/>
      <c r="L1515" s="876"/>
      <c r="M1515" s="859">
        <f>CHSHData!M39</f>
        <v>0</v>
      </c>
      <c r="N1515" s="860"/>
      <c r="O1515" s="518"/>
      <c r="P1515" s="565"/>
      <c r="Q1515" s="518"/>
      <c r="R1515" s="536"/>
      <c r="S1515" s="588"/>
      <c r="T1515" s="588"/>
      <c r="U1515" s="536"/>
      <c r="V1515" s="536"/>
      <c r="W1515" s="536"/>
      <c r="X1515" s="536"/>
      <c r="Y1515" s="536"/>
      <c r="Z1515" s="536"/>
      <c r="AA1515" s="536"/>
      <c r="AB1515" s="536"/>
      <c r="AC1515" s="536"/>
      <c r="AD1515" s="536"/>
      <c r="AE1515" s="518"/>
      <c r="AF1515" s="529"/>
      <c r="AG1515" s="529"/>
      <c r="AH1515" s="529"/>
      <c r="AJ1515" s="595" t="b">
        <f t="shared" si="36"/>
        <v>0</v>
      </c>
    </row>
    <row r="1516" spans="1:36" hidden="1" x14ac:dyDescent="0.45">
      <c r="A1516" s="518"/>
      <c r="B1516" s="514" t="s">
        <v>152</v>
      </c>
      <c r="C1516" s="535"/>
      <c r="D1516" s="535"/>
      <c r="E1516" s="535"/>
      <c r="F1516" s="535"/>
      <c r="G1516" s="890" t="str">
        <f>IF(CHSHData!J40=0,"",CHSHData!J40)</f>
        <v/>
      </c>
      <c r="H1516" s="891"/>
      <c r="I1516" s="874" t="str">
        <f>CHSHData!D40</f>
        <v/>
      </c>
      <c r="J1516" s="875"/>
      <c r="K1516" s="875"/>
      <c r="L1516" s="876"/>
      <c r="M1516" s="859">
        <f>CHSHData!M40</f>
        <v>0</v>
      </c>
      <c r="N1516" s="860"/>
      <c r="O1516" s="518"/>
      <c r="P1516" s="565"/>
      <c r="Q1516" s="518"/>
      <c r="R1516" s="536"/>
      <c r="S1516" s="588"/>
      <c r="T1516" s="588"/>
      <c r="U1516" s="536"/>
      <c r="V1516" s="536"/>
      <c r="W1516" s="536"/>
      <c r="X1516" s="536"/>
      <c r="Y1516" s="536"/>
      <c r="Z1516" s="536"/>
      <c r="AA1516" s="536"/>
      <c r="AB1516" s="536"/>
      <c r="AC1516" s="536"/>
      <c r="AD1516" s="536"/>
      <c r="AE1516" s="518"/>
      <c r="AF1516" s="529"/>
      <c r="AG1516" s="529"/>
      <c r="AH1516" s="529"/>
      <c r="AJ1516" s="595" t="b">
        <f t="shared" si="36"/>
        <v>0</v>
      </c>
    </row>
    <row r="1517" spans="1:36" hidden="1" x14ac:dyDescent="0.45">
      <c r="A1517" s="518"/>
      <c r="B1517" s="514" t="s">
        <v>1442</v>
      </c>
      <c r="C1517" s="535"/>
      <c r="D1517" s="535"/>
      <c r="E1517" s="535"/>
      <c r="F1517" s="535"/>
      <c r="G1517" s="890" t="str">
        <f>IF(CHSHData!J41=0,"",CHSHData!J41)</f>
        <v/>
      </c>
      <c r="H1517" s="891"/>
      <c r="I1517" s="874" t="str">
        <f>CHSHData!D41</f>
        <v/>
      </c>
      <c r="J1517" s="875"/>
      <c r="K1517" s="875"/>
      <c r="L1517" s="876"/>
      <c r="M1517" s="859">
        <f>CHSHData!M41</f>
        <v>0</v>
      </c>
      <c r="N1517" s="860"/>
      <c r="O1517" s="518"/>
      <c r="P1517" s="565"/>
      <c r="Q1517" s="518"/>
      <c r="R1517" s="536"/>
      <c r="S1517" s="588"/>
      <c r="T1517" s="588"/>
      <c r="U1517" s="536"/>
      <c r="V1517" s="536"/>
      <c r="W1517" s="536"/>
      <c r="X1517" s="536"/>
      <c r="Y1517" s="536"/>
      <c r="Z1517" s="536"/>
      <c r="AA1517" s="536"/>
      <c r="AB1517" s="536"/>
      <c r="AC1517" s="536"/>
      <c r="AD1517" s="536"/>
      <c r="AE1517" s="518"/>
      <c r="AF1517" s="529"/>
      <c r="AG1517" s="529"/>
      <c r="AH1517" s="529"/>
      <c r="AJ1517" s="595" t="b">
        <f t="shared" si="36"/>
        <v>0</v>
      </c>
    </row>
    <row r="1518" spans="1:36" hidden="1" x14ac:dyDescent="0.45">
      <c r="A1518" s="518"/>
      <c r="B1518" s="514" t="s">
        <v>1443</v>
      </c>
      <c r="C1518" s="535"/>
      <c r="D1518" s="535"/>
      <c r="E1518" s="535"/>
      <c r="F1518" s="535"/>
      <c r="G1518" s="890" t="str">
        <f>IF(CHSHData!J42=0,"",CHSHData!J42)</f>
        <v/>
      </c>
      <c r="H1518" s="891"/>
      <c r="I1518" s="874" t="str">
        <f>CHSHData!D42</f>
        <v/>
      </c>
      <c r="J1518" s="875"/>
      <c r="K1518" s="875"/>
      <c r="L1518" s="876"/>
      <c r="M1518" s="859">
        <f>CHSHData!M42</f>
        <v>0</v>
      </c>
      <c r="N1518" s="860"/>
      <c r="O1518" s="518"/>
      <c r="P1518" s="565"/>
      <c r="Q1518" s="518"/>
      <c r="R1518" s="536"/>
      <c r="S1518" s="588"/>
      <c r="T1518" s="588"/>
      <c r="U1518" s="536"/>
      <c r="V1518" s="536"/>
      <c r="W1518" s="536"/>
      <c r="X1518" s="536"/>
      <c r="Y1518" s="536"/>
      <c r="Z1518" s="536"/>
      <c r="AA1518" s="536"/>
      <c r="AB1518" s="536"/>
      <c r="AC1518" s="536"/>
      <c r="AD1518" s="536"/>
      <c r="AE1518" s="518"/>
      <c r="AF1518" s="529"/>
      <c r="AG1518" s="529"/>
      <c r="AH1518" s="529"/>
      <c r="AJ1518" s="595" t="b">
        <f t="shared" si="36"/>
        <v>0</v>
      </c>
    </row>
    <row r="1519" spans="1:36" hidden="1" x14ac:dyDescent="0.45">
      <c r="A1519" s="518"/>
      <c r="B1519" s="514" t="s">
        <v>1444</v>
      </c>
      <c r="C1519" s="535"/>
      <c r="D1519" s="535"/>
      <c r="E1519" s="535"/>
      <c r="F1519" s="535"/>
      <c r="G1519" s="890" t="str">
        <f>IF(CHSHData!J43=0,"",CHSHData!J43)</f>
        <v/>
      </c>
      <c r="H1519" s="891"/>
      <c r="I1519" s="874" t="str">
        <f>CHSHData!D43</f>
        <v/>
      </c>
      <c r="J1519" s="875"/>
      <c r="K1519" s="875"/>
      <c r="L1519" s="876"/>
      <c r="M1519" s="859">
        <f>CHSHData!M43</f>
        <v>0</v>
      </c>
      <c r="N1519" s="860"/>
      <c r="O1519" s="518"/>
      <c r="P1519" s="565"/>
      <c r="Q1519" s="518"/>
      <c r="R1519" s="536"/>
      <c r="S1519" s="588"/>
      <c r="T1519" s="588"/>
      <c r="U1519" s="536"/>
      <c r="V1519" s="536"/>
      <c r="W1519" s="536"/>
      <c r="X1519" s="536"/>
      <c r="Y1519" s="536"/>
      <c r="Z1519" s="536"/>
      <c r="AA1519" s="536"/>
      <c r="AB1519" s="536"/>
      <c r="AC1519" s="536"/>
      <c r="AD1519" s="536"/>
      <c r="AE1519" s="518"/>
      <c r="AF1519" s="529"/>
      <c r="AG1519" s="529"/>
      <c r="AH1519" s="529"/>
      <c r="AJ1519" s="595" t="b">
        <f t="shared" si="36"/>
        <v>0</v>
      </c>
    </row>
    <row r="1520" spans="1:36" hidden="1" x14ac:dyDescent="0.45">
      <c r="A1520" s="518"/>
      <c r="B1520" s="514" t="s">
        <v>1445</v>
      </c>
      <c r="C1520" s="535"/>
      <c r="D1520" s="535"/>
      <c r="E1520" s="535"/>
      <c r="F1520" s="535"/>
      <c r="G1520" s="890" t="str">
        <f>IF(CHSHData!J44=0,"",CHSHData!J44)</f>
        <v/>
      </c>
      <c r="H1520" s="891"/>
      <c r="I1520" s="874" t="str">
        <f>CHSHData!D44</f>
        <v/>
      </c>
      <c r="J1520" s="875"/>
      <c r="K1520" s="875"/>
      <c r="L1520" s="876"/>
      <c r="M1520" s="859">
        <f>CHSHData!M44</f>
        <v>0</v>
      </c>
      <c r="N1520" s="860"/>
      <c r="O1520" s="518"/>
      <c r="P1520" s="565"/>
      <c r="Q1520" s="518"/>
      <c r="R1520" s="536"/>
      <c r="S1520" s="588"/>
      <c r="T1520" s="588"/>
      <c r="U1520" s="536"/>
      <c r="V1520" s="536"/>
      <c r="W1520" s="536"/>
      <c r="X1520" s="536"/>
      <c r="Y1520" s="536"/>
      <c r="Z1520" s="536"/>
      <c r="AA1520" s="536"/>
      <c r="AB1520" s="536"/>
      <c r="AC1520" s="536"/>
      <c r="AD1520" s="536"/>
      <c r="AE1520" s="518"/>
      <c r="AF1520" s="529"/>
      <c r="AG1520" s="529"/>
      <c r="AH1520" s="529"/>
      <c r="AJ1520" s="595" t="b">
        <f t="shared" si="36"/>
        <v>0</v>
      </c>
    </row>
    <row r="1521" spans="1:36" hidden="1" x14ac:dyDescent="0.45">
      <c r="A1521" s="518"/>
      <c r="B1521" s="514" t="s">
        <v>1446</v>
      </c>
      <c r="C1521" s="535"/>
      <c r="D1521" s="535"/>
      <c r="E1521" s="535"/>
      <c r="F1521" s="535"/>
      <c r="G1521" s="890" t="str">
        <f>IF(CHSHData!J45=0,"",CHSHData!J45)</f>
        <v/>
      </c>
      <c r="H1521" s="891"/>
      <c r="I1521" s="874" t="str">
        <f>CHSHData!D45</f>
        <v/>
      </c>
      <c r="J1521" s="875"/>
      <c r="K1521" s="875"/>
      <c r="L1521" s="876"/>
      <c r="M1521" s="859">
        <f>CHSHData!M45</f>
        <v>0</v>
      </c>
      <c r="N1521" s="860"/>
      <c r="O1521" s="518"/>
      <c r="P1521" s="565"/>
      <c r="Q1521" s="518"/>
      <c r="R1521" s="536"/>
      <c r="S1521" s="588"/>
      <c r="T1521" s="588"/>
      <c r="U1521" s="536"/>
      <c r="V1521" s="536"/>
      <c r="W1521" s="536"/>
      <c r="X1521" s="536"/>
      <c r="Y1521" s="536"/>
      <c r="Z1521" s="536"/>
      <c r="AA1521" s="536"/>
      <c r="AB1521" s="536"/>
      <c r="AC1521" s="536"/>
      <c r="AD1521" s="536"/>
      <c r="AE1521" s="518"/>
      <c r="AF1521" s="529"/>
      <c r="AG1521" s="529"/>
      <c r="AH1521" s="529"/>
      <c r="AJ1521" s="595" t="b">
        <f t="shared" si="36"/>
        <v>0</v>
      </c>
    </row>
    <row r="1522" spans="1:36" hidden="1" x14ac:dyDescent="0.45">
      <c r="B1522" s="514" t="s">
        <v>1447</v>
      </c>
      <c r="C1522" s="535"/>
      <c r="D1522" s="535"/>
      <c r="E1522" s="535"/>
      <c r="F1522" s="535"/>
      <c r="G1522" s="890" t="str">
        <f>IF(CHSHData!J46=0,"",CHSHData!J46)</f>
        <v/>
      </c>
      <c r="H1522" s="891"/>
      <c r="I1522" s="874" t="str">
        <f>CHSHData!D46</f>
        <v/>
      </c>
      <c r="J1522" s="875"/>
      <c r="K1522" s="875"/>
      <c r="L1522" s="876"/>
      <c r="M1522" s="859">
        <f>CHSHData!M46</f>
        <v>0</v>
      </c>
      <c r="N1522" s="860"/>
      <c r="O1522" s="518"/>
      <c r="P1522" s="565"/>
      <c r="Q1522" s="518"/>
      <c r="R1522" s="536"/>
      <c r="S1522" s="588"/>
      <c r="T1522" s="588"/>
      <c r="U1522" s="536"/>
      <c r="V1522" s="536"/>
      <c r="W1522" s="536"/>
      <c r="X1522" s="536"/>
      <c r="Y1522" s="536"/>
      <c r="Z1522" s="536"/>
      <c r="AA1522" s="536"/>
      <c r="AB1522" s="536"/>
      <c r="AC1522" s="536"/>
      <c r="AD1522" s="536"/>
      <c r="AE1522" s="518"/>
      <c r="AF1522" s="529"/>
      <c r="AG1522" s="529"/>
      <c r="AH1522" s="518"/>
      <c r="AJ1522" s="595" t="b">
        <f t="shared" si="36"/>
        <v>0</v>
      </c>
    </row>
    <row r="1523" spans="1:36" hidden="1" x14ac:dyDescent="0.45">
      <c r="B1523" s="514" t="s">
        <v>1448</v>
      </c>
      <c r="C1523" s="535"/>
      <c r="D1523" s="535"/>
      <c r="E1523" s="535"/>
      <c r="F1523" s="535"/>
      <c r="G1523" s="890" t="str">
        <f>IF(CHSHData!J47=0,"",CHSHData!J47)</f>
        <v/>
      </c>
      <c r="H1523" s="891"/>
      <c r="I1523" s="874" t="str">
        <f>CHSHData!D47</f>
        <v/>
      </c>
      <c r="J1523" s="875"/>
      <c r="K1523" s="875"/>
      <c r="L1523" s="876"/>
      <c r="M1523" s="859">
        <f>CHSHData!M47</f>
        <v>0</v>
      </c>
      <c r="N1523" s="860"/>
      <c r="O1523" s="518"/>
      <c r="P1523" s="565"/>
      <c r="Q1523" s="518"/>
      <c r="R1523" s="536"/>
      <c r="S1523" s="588"/>
      <c r="T1523" s="588"/>
      <c r="U1523" s="536"/>
      <c r="V1523" s="536"/>
      <c r="W1523" s="536"/>
      <c r="X1523" s="536"/>
      <c r="Y1523" s="536"/>
      <c r="Z1523" s="536"/>
      <c r="AA1523" s="536"/>
      <c r="AB1523" s="536"/>
      <c r="AC1523" s="536"/>
      <c r="AD1523" s="536"/>
      <c r="AE1523" s="518"/>
      <c r="AF1523" s="529"/>
      <c r="AG1523" s="529"/>
      <c r="AH1523" s="518"/>
      <c r="AJ1523" s="595" t="b">
        <f t="shared" si="36"/>
        <v>0</v>
      </c>
    </row>
    <row r="1524" spans="1:36" hidden="1" x14ac:dyDescent="0.45">
      <c r="B1524" s="514" t="s">
        <v>1449</v>
      </c>
      <c r="C1524" s="535"/>
      <c r="D1524" s="535"/>
      <c r="E1524" s="535"/>
      <c r="F1524" s="535"/>
      <c r="G1524" s="890" t="str">
        <f>IF(CHSHData!J48=0,"",CHSHData!J48)</f>
        <v/>
      </c>
      <c r="H1524" s="891"/>
      <c r="I1524" s="874" t="str">
        <f>CHSHData!D48</f>
        <v/>
      </c>
      <c r="J1524" s="875"/>
      <c r="K1524" s="875"/>
      <c r="L1524" s="876"/>
      <c r="M1524" s="859">
        <f>CHSHData!M48</f>
        <v>0</v>
      </c>
      <c r="N1524" s="860"/>
      <c r="O1524" s="518"/>
      <c r="P1524" s="565"/>
      <c r="Q1524" s="518"/>
      <c r="R1524" s="536"/>
      <c r="S1524" s="588"/>
      <c r="T1524" s="588"/>
      <c r="U1524" s="536"/>
      <c r="V1524" s="536"/>
      <c r="W1524" s="536"/>
      <c r="X1524" s="536"/>
      <c r="Y1524" s="536"/>
      <c r="Z1524" s="536"/>
      <c r="AA1524" s="536"/>
      <c r="AB1524" s="536"/>
      <c r="AC1524" s="536"/>
      <c r="AD1524" s="536"/>
      <c r="AE1524" s="518"/>
      <c r="AF1524" s="529"/>
      <c r="AG1524" s="529"/>
      <c r="AH1524" s="518"/>
      <c r="AJ1524" s="595" t="b">
        <f t="shared" si="36"/>
        <v>0</v>
      </c>
    </row>
    <row r="1525" spans="1:36" hidden="1" x14ac:dyDescent="0.45">
      <c r="B1525" s="514" t="s">
        <v>1450</v>
      </c>
      <c r="C1525" s="535"/>
      <c r="D1525" s="535"/>
      <c r="E1525" s="535"/>
      <c r="F1525" s="535"/>
      <c r="G1525" s="890" t="str">
        <f>IF(CHSHData!J49=0,"",CHSHData!J49)</f>
        <v/>
      </c>
      <c r="H1525" s="891"/>
      <c r="I1525" s="874" t="str">
        <f>CHSHData!D49</f>
        <v/>
      </c>
      <c r="J1525" s="875"/>
      <c r="K1525" s="875"/>
      <c r="L1525" s="876"/>
      <c r="M1525" s="859">
        <f>CHSHData!M49</f>
        <v>0</v>
      </c>
      <c r="N1525" s="860"/>
      <c r="O1525" s="518"/>
      <c r="P1525" s="565"/>
      <c r="Q1525" s="518"/>
      <c r="R1525" s="536"/>
      <c r="S1525" s="588"/>
      <c r="T1525" s="588"/>
      <c r="U1525" s="536"/>
      <c r="V1525" s="536"/>
      <c r="W1525" s="536"/>
      <c r="X1525" s="536"/>
      <c r="Y1525" s="536"/>
      <c r="Z1525" s="536"/>
      <c r="AA1525" s="536"/>
      <c r="AB1525" s="536"/>
      <c r="AC1525" s="536"/>
      <c r="AD1525" s="536"/>
      <c r="AE1525" s="518"/>
      <c r="AF1525" s="529"/>
      <c r="AG1525" s="529"/>
      <c r="AH1525" s="518"/>
      <c r="AJ1525" s="595" t="b">
        <f t="shared" si="36"/>
        <v>0</v>
      </c>
    </row>
    <row r="1526" spans="1:36" hidden="1" x14ac:dyDescent="0.45">
      <c r="B1526" s="514" t="s">
        <v>1451</v>
      </c>
      <c r="C1526" s="535"/>
      <c r="D1526" s="535"/>
      <c r="E1526" s="535"/>
      <c r="F1526" s="535"/>
      <c r="G1526" s="890" t="str">
        <f>IF(CHSHData!J50=0,"",CHSHData!J50)</f>
        <v/>
      </c>
      <c r="H1526" s="891"/>
      <c r="I1526" s="874" t="str">
        <f>CHSHData!D50</f>
        <v/>
      </c>
      <c r="J1526" s="875"/>
      <c r="K1526" s="875"/>
      <c r="L1526" s="876"/>
      <c r="M1526" s="859">
        <f>CHSHData!M50</f>
        <v>0</v>
      </c>
      <c r="N1526" s="860"/>
      <c r="O1526" s="518"/>
      <c r="P1526" s="565"/>
      <c r="Q1526" s="518"/>
      <c r="R1526" s="536"/>
      <c r="S1526" s="588"/>
      <c r="T1526" s="588"/>
      <c r="U1526" s="536"/>
      <c r="V1526" s="536"/>
      <c r="W1526" s="536"/>
      <c r="X1526" s="536"/>
      <c r="Y1526" s="536"/>
      <c r="Z1526" s="536"/>
      <c r="AA1526" s="536"/>
      <c r="AB1526" s="536"/>
      <c r="AC1526" s="536"/>
      <c r="AD1526" s="536"/>
      <c r="AE1526" s="518"/>
      <c r="AF1526" s="529"/>
      <c r="AG1526" s="529"/>
      <c r="AH1526" s="518"/>
      <c r="AJ1526" s="595" t="b">
        <f t="shared" si="36"/>
        <v>0</v>
      </c>
    </row>
    <row r="1527" spans="1:36" hidden="1" x14ac:dyDescent="0.45">
      <c r="B1527" s="514" t="s">
        <v>1452</v>
      </c>
      <c r="C1527" s="535"/>
      <c r="D1527" s="535"/>
      <c r="E1527" s="535"/>
      <c r="F1527" s="535"/>
      <c r="G1527" s="890" t="str">
        <f>IF(CHSHData!J51=0,"",CHSHData!J51)</f>
        <v/>
      </c>
      <c r="H1527" s="891"/>
      <c r="I1527" s="874" t="str">
        <f>CHSHData!D51</f>
        <v/>
      </c>
      <c r="J1527" s="875"/>
      <c r="K1527" s="875"/>
      <c r="L1527" s="876"/>
      <c r="M1527" s="859">
        <f>CHSHData!M51</f>
        <v>0</v>
      </c>
      <c r="N1527" s="860"/>
      <c r="O1527" s="518"/>
      <c r="P1527" s="565"/>
      <c r="Q1527" s="518"/>
      <c r="R1527" s="536"/>
      <c r="S1527" s="588"/>
      <c r="T1527" s="588"/>
      <c r="U1527" s="536"/>
      <c r="V1527" s="536"/>
      <c r="W1527" s="536"/>
      <c r="X1527" s="536"/>
      <c r="Y1527" s="536"/>
      <c r="Z1527" s="536"/>
      <c r="AA1527" s="536"/>
      <c r="AB1527" s="536"/>
      <c r="AC1527" s="536"/>
      <c r="AD1527" s="536"/>
      <c r="AE1527" s="518"/>
      <c r="AF1527" s="529"/>
      <c r="AG1527" s="529"/>
      <c r="AH1527" s="518"/>
      <c r="AJ1527" s="595" t="b">
        <f t="shared" si="36"/>
        <v>0</v>
      </c>
    </row>
    <row r="1528" spans="1:36" hidden="1" x14ac:dyDescent="0.45">
      <c r="B1528" s="514" t="s">
        <v>1453</v>
      </c>
      <c r="C1528" s="535"/>
      <c r="D1528" s="535"/>
      <c r="E1528" s="535"/>
      <c r="F1528" s="535"/>
      <c r="G1528" s="890" t="str">
        <f>IF(CHSHData!J52=0,"",CHSHData!J52)</f>
        <v/>
      </c>
      <c r="H1528" s="891"/>
      <c r="I1528" s="874" t="str">
        <f>CHSHData!D52</f>
        <v/>
      </c>
      <c r="J1528" s="875"/>
      <c r="K1528" s="875"/>
      <c r="L1528" s="876"/>
      <c r="M1528" s="859">
        <f>CHSHData!M52</f>
        <v>0</v>
      </c>
      <c r="N1528" s="860"/>
      <c r="O1528" s="518"/>
      <c r="P1528" s="565"/>
      <c r="Q1528" s="518"/>
      <c r="R1528" s="536"/>
      <c r="S1528" s="588"/>
      <c r="T1528" s="588"/>
      <c r="U1528" s="536"/>
      <c r="V1528" s="536"/>
      <c r="W1528" s="536"/>
      <c r="X1528" s="536"/>
      <c r="Y1528" s="536"/>
      <c r="Z1528" s="536"/>
      <c r="AA1528" s="536"/>
      <c r="AB1528" s="536"/>
      <c r="AC1528" s="536"/>
      <c r="AD1528" s="536"/>
      <c r="AE1528" s="518"/>
      <c r="AF1528" s="529"/>
      <c r="AG1528" s="529"/>
      <c r="AH1528" s="518"/>
      <c r="AJ1528" s="595" t="b">
        <f t="shared" si="36"/>
        <v>0</v>
      </c>
    </row>
    <row r="1529" spans="1:36" hidden="1" x14ac:dyDescent="0.45">
      <c r="B1529" s="514" t="s">
        <v>1454</v>
      </c>
      <c r="C1529" s="535"/>
      <c r="D1529" s="535"/>
      <c r="E1529" s="535"/>
      <c r="F1529" s="535"/>
      <c r="G1529" s="890" t="str">
        <f>IF(CHSHData!J53=0,"",CHSHData!J53)</f>
        <v/>
      </c>
      <c r="H1529" s="891"/>
      <c r="I1529" s="874" t="str">
        <f>CHSHData!D53</f>
        <v/>
      </c>
      <c r="J1529" s="875"/>
      <c r="K1529" s="875"/>
      <c r="L1529" s="876"/>
      <c r="M1529" s="859">
        <f>CHSHData!M53</f>
        <v>0</v>
      </c>
      <c r="N1529" s="860"/>
      <c r="O1529" s="518"/>
      <c r="P1529" s="565"/>
      <c r="Q1529" s="518"/>
      <c r="R1529" s="536"/>
      <c r="S1529" s="588"/>
      <c r="T1529" s="588"/>
      <c r="U1529" s="536"/>
      <c r="V1529" s="536"/>
      <c r="W1529" s="536"/>
      <c r="X1529" s="536"/>
      <c r="Y1529" s="536"/>
      <c r="Z1529" s="536"/>
      <c r="AA1529" s="536"/>
      <c r="AB1529" s="536"/>
      <c r="AC1529" s="536"/>
      <c r="AD1529" s="536"/>
      <c r="AE1529" s="518"/>
      <c r="AF1529" s="529"/>
      <c r="AG1529" s="529"/>
      <c r="AH1529" s="518"/>
      <c r="AJ1529" s="595" t="b">
        <f t="shared" si="36"/>
        <v>0</v>
      </c>
    </row>
    <row r="1530" spans="1:36" hidden="1" x14ac:dyDescent="0.45">
      <c r="B1530" s="514" t="s">
        <v>1455</v>
      </c>
      <c r="C1530" s="535"/>
      <c r="D1530" s="535"/>
      <c r="E1530" s="535"/>
      <c r="F1530" s="535"/>
      <c r="G1530" s="890" t="str">
        <f>IF(CHSHData!J54=0,"",CHSHData!J54)</f>
        <v/>
      </c>
      <c r="H1530" s="891"/>
      <c r="I1530" s="874" t="str">
        <f>CHSHData!D54</f>
        <v/>
      </c>
      <c r="J1530" s="875"/>
      <c r="K1530" s="875"/>
      <c r="L1530" s="876"/>
      <c r="M1530" s="859">
        <f>CHSHData!M54</f>
        <v>0</v>
      </c>
      <c r="N1530" s="860"/>
      <c r="O1530" s="518"/>
      <c r="P1530" s="565"/>
      <c r="Q1530" s="518"/>
      <c r="R1530" s="536"/>
      <c r="S1530" s="588"/>
      <c r="T1530" s="588"/>
      <c r="U1530" s="536"/>
      <c r="V1530" s="536"/>
      <c r="W1530" s="536"/>
      <c r="X1530" s="536"/>
      <c r="Y1530" s="536"/>
      <c r="Z1530" s="536"/>
      <c r="AA1530" s="536"/>
      <c r="AB1530" s="536"/>
      <c r="AC1530" s="536"/>
      <c r="AD1530" s="536"/>
      <c r="AE1530" s="518"/>
      <c r="AF1530" s="529"/>
      <c r="AG1530" s="529"/>
      <c r="AH1530" s="518"/>
      <c r="AJ1530" s="595" t="b">
        <f t="shared" si="36"/>
        <v>0</v>
      </c>
    </row>
    <row r="1531" spans="1:36" hidden="1" x14ac:dyDescent="0.45">
      <c r="B1531" s="514" t="s">
        <v>1456</v>
      </c>
      <c r="C1531" s="535"/>
      <c r="D1531" s="535"/>
      <c r="E1531" s="535"/>
      <c r="F1531" s="535"/>
      <c r="G1531" s="890" t="str">
        <f>IF(CHSHData!J55=0,"",CHSHData!J55)</f>
        <v/>
      </c>
      <c r="H1531" s="891"/>
      <c r="I1531" s="874" t="str">
        <f>CHSHData!D55</f>
        <v/>
      </c>
      <c r="J1531" s="875"/>
      <c r="K1531" s="875"/>
      <c r="L1531" s="876"/>
      <c r="M1531" s="859">
        <f>CHSHData!M55</f>
        <v>0</v>
      </c>
      <c r="N1531" s="860"/>
      <c r="O1531" s="518"/>
      <c r="P1531" s="565"/>
      <c r="Q1531" s="518"/>
      <c r="R1531" s="536"/>
      <c r="S1531" s="588"/>
      <c r="T1531" s="588"/>
      <c r="U1531" s="536"/>
      <c r="V1531" s="536"/>
      <c r="W1531" s="536"/>
      <c r="X1531" s="536"/>
      <c r="Y1531" s="536"/>
      <c r="Z1531" s="536"/>
      <c r="AA1531" s="536"/>
      <c r="AB1531" s="536"/>
      <c r="AC1531" s="536"/>
      <c r="AD1531" s="536"/>
      <c r="AE1531" s="518"/>
      <c r="AF1531" s="529"/>
      <c r="AG1531" s="529"/>
      <c r="AH1531" s="518"/>
      <c r="AJ1531" s="595" t="b">
        <f t="shared" si="36"/>
        <v>0</v>
      </c>
    </row>
    <row r="1532" spans="1:36" hidden="1" x14ac:dyDescent="0.45">
      <c r="B1532" s="514" t="s">
        <v>1457</v>
      </c>
      <c r="C1532" s="535"/>
      <c r="D1532" s="535"/>
      <c r="E1532" s="535"/>
      <c r="F1532" s="535"/>
      <c r="G1532" s="890" t="str">
        <f>IF(CHSHData!J56=0,"",CHSHData!J56)</f>
        <v/>
      </c>
      <c r="H1532" s="891"/>
      <c r="I1532" s="874" t="str">
        <f>CHSHData!D56</f>
        <v/>
      </c>
      <c r="J1532" s="875"/>
      <c r="K1532" s="875"/>
      <c r="L1532" s="876"/>
      <c r="M1532" s="859">
        <f>CHSHData!M56</f>
        <v>0</v>
      </c>
      <c r="N1532" s="860"/>
      <c r="O1532" s="518"/>
      <c r="P1532" s="565"/>
      <c r="Q1532" s="518"/>
      <c r="R1532" s="536"/>
      <c r="S1532" s="588"/>
      <c r="T1532" s="588"/>
      <c r="U1532" s="536"/>
      <c r="V1532" s="536"/>
      <c r="W1532" s="536"/>
      <c r="X1532" s="536"/>
      <c r="Y1532" s="536"/>
      <c r="Z1532" s="536"/>
      <c r="AA1532" s="536"/>
      <c r="AB1532" s="536"/>
      <c r="AC1532" s="536"/>
      <c r="AD1532" s="536"/>
      <c r="AE1532" s="518"/>
      <c r="AF1532" s="529"/>
      <c r="AG1532" s="529"/>
      <c r="AH1532" s="518"/>
      <c r="AJ1532" s="595" t="b">
        <f t="shared" si="36"/>
        <v>0</v>
      </c>
    </row>
    <row r="1533" spans="1:36" hidden="1" x14ac:dyDescent="0.45">
      <c r="B1533" s="514" t="s">
        <v>1458</v>
      </c>
      <c r="C1533" s="535"/>
      <c r="D1533" s="535"/>
      <c r="E1533" s="535"/>
      <c r="F1533" s="535"/>
      <c r="G1533" s="890" t="str">
        <f>IF(CHSHData!J57=0,"",CHSHData!J57)</f>
        <v/>
      </c>
      <c r="H1533" s="891"/>
      <c r="I1533" s="874" t="str">
        <f>CHSHData!D57</f>
        <v/>
      </c>
      <c r="J1533" s="875"/>
      <c r="K1533" s="875"/>
      <c r="L1533" s="876"/>
      <c r="M1533" s="859">
        <f>CHSHData!M57</f>
        <v>0</v>
      </c>
      <c r="N1533" s="860"/>
      <c r="O1533" s="518"/>
      <c r="P1533" s="565"/>
      <c r="Q1533" s="518"/>
      <c r="R1533" s="536"/>
      <c r="S1533" s="588"/>
      <c r="T1533" s="588"/>
      <c r="U1533" s="536"/>
      <c r="V1533" s="536"/>
      <c r="W1533" s="536"/>
      <c r="X1533" s="536"/>
      <c r="Y1533" s="536"/>
      <c r="Z1533" s="536"/>
      <c r="AA1533" s="536"/>
      <c r="AB1533" s="536"/>
      <c r="AC1533" s="536"/>
      <c r="AD1533" s="536"/>
      <c r="AE1533" s="518"/>
      <c r="AF1533" s="529"/>
      <c r="AG1533" s="529"/>
      <c r="AH1533" s="518"/>
      <c r="AJ1533" s="595" t="b">
        <f t="shared" si="36"/>
        <v>0</v>
      </c>
    </row>
    <row r="1534" spans="1:36" hidden="1" x14ac:dyDescent="0.45">
      <c r="B1534" s="514" t="s">
        <v>1459</v>
      </c>
      <c r="C1534" s="535"/>
      <c r="D1534" s="535"/>
      <c r="E1534" s="535"/>
      <c r="F1534" s="535"/>
      <c r="G1534" s="890" t="str">
        <f>IF(CHSHData!J58=0,"",CHSHData!J58)</f>
        <v/>
      </c>
      <c r="H1534" s="891"/>
      <c r="I1534" s="874" t="str">
        <f>CHSHData!D58</f>
        <v/>
      </c>
      <c r="J1534" s="875"/>
      <c r="K1534" s="875"/>
      <c r="L1534" s="876"/>
      <c r="M1534" s="859">
        <f>CHSHData!M58</f>
        <v>0</v>
      </c>
      <c r="N1534" s="860"/>
      <c r="O1534" s="518"/>
      <c r="P1534" s="565"/>
      <c r="Q1534" s="518"/>
      <c r="R1534" s="536"/>
      <c r="S1534" s="588"/>
      <c r="T1534" s="588"/>
      <c r="U1534" s="536"/>
      <c r="V1534" s="536"/>
      <c r="W1534" s="536"/>
      <c r="X1534" s="536"/>
      <c r="Y1534" s="536"/>
      <c r="Z1534" s="536"/>
      <c r="AA1534" s="536"/>
      <c r="AB1534" s="536"/>
      <c r="AC1534" s="536"/>
      <c r="AD1534" s="536"/>
      <c r="AE1534" s="518"/>
      <c r="AF1534" s="529"/>
      <c r="AG1534" s="529"/>
      <c r="AH1534" s="518"/>
      <c r="AJ1534" s="595" t="b">
        <f t="shared" si="36"/>
        <v>0</v>
      </c>
    </row>
    <row r="1535" spans="1:36" hidden="1" x14ac:dyDescent="0.45">
      <c r="A1535" s="518"/>
      <c r="B1535" s="514" t="s">
        <v>1460</v>
      </c>
      <c r="C1535" s="535"/>
      <c r="D1535" s="535"/>
      <c r="E1535" s="535"/>
      <c r="F1535" s="535"/>
      <c r="G1535" s="890" t="str">
        <f>IF(CHSHData!J59=0,"",CHSHData!J59)</f>
        <v/>
      </c>
      <c r="H1535" s="891"/>
      <c r="I1535" s="874" t="str">
        <f>CHSHData!D59</f>
        <v/>
      </c>
      <c r="J1535" s="875"/>
      <c r="K1535" s="875"/>
      <c r="L1535" s="876"/>
      <c r="M1535" s="859">
        <f>CHSHData!M59</f>
        <v>0</v>
      </c>
      <c r="N1535" s="860"/>
      <c r="O1535" s="518"/>
      <c r="P1535" s="565"/>
      <c r="Q1535" s="518"/>
      <c r="R1535" s="536"/>
      <c r="S1535" s="588"/>
      <c r="T1535" s="588"/>
      <c r="U1535" s="536"/>
      <c r="V1535" s="536"/>
      <c r="W1535" s="536"/>
      <c r="X1535" s="536"/>
      <c r="Y1535" s="536"/>
      <c r="Z1535" s="536"/>
      <c r="AA1535" s="536"/>
      <c r="AB1535" s="536"/>
      <c r="AC1535" s="536"/>
      <c r="AD1535" s="536"/>
      <c r="AE1535" s="518"/>
      <c r="AF1535" s="529"/>
      <c r="AG1535" s="529"/>
      <c r="AH1535" s="518"/>
      <c r="AJ1535" s="595" t="b">
        <f t="shared" si="36"/>
        <v>0</v>
      </c>
    </row>
    <row r="1536" spans="1:36" hidden="1" x14ac:dyDescent="0.45">
      <c r="A1536" s="518"/>
      <c r="B1536" s="514" t="s">
        <v>1461</v>
      </c>
      <c r="C1536" s="535"/>
      <c r="D1536" s="535"/>
      <c r="E1536" s="535"/>
      <c r="F1536" s="535"/>
      <c r="G1536" s="890" t="str">
        <f>IF(CHSHData!J60=0,"",CHSHData!J60)</f>
        <v/>
      </c>
      <c r="H1536" s="891"/>
      <c r="I1536" s="874" t="str">
        <f>CHSHData!D60</f>
        <v/>
      </c>
      <c r="J1536" s="875"/>
      <c r="K1536" s="875"/>
      <c r="L1536" s="876"/>
      <c r="M1536" s="859">
        <f>CHSHData!M60</f>
        <v>0</v>
      </c>
      <c r="N1536" s="860"/>
      <c r="O1536" s="518"/>
      <c r="P1536" s="565"/>
      <c r="Q1536" s="518"/>
      <c r="R1536" s="536"/>
      <c r="S1536" s="588"/>
      <c r="T1536" s="588"/>
      <c r="U1536" s="536"/>
      <c r="V1536" s="536"/>
      <c r="W1536" s="536"/>
      <c r="X1536" s="536"/>
      <c r="Y1536" s="536"/>
      <c r="Z1536" s="536"/>
      <c r="AA1536" s="536"/>
      <c r="AB1536" s="536"/>
      <c r="AC1536" s="536"/>
      <c r="AD1536" s="536"/>
      <c r="AE1536" s="518"/>
      <c r="AF1536" s="529"/>
      <c r="AG1536" s="529"/>
      <c r="AH1536" s="518"/>
      <c r="AJ1536" s="595" t="b">
        <f t="shared" si="36"/>
        <v>0</v>
      </c>
    </row>
    <row r="1537" spans="1:36" hidden="1" x14ac:dyDescent="0.45">
      <c r="A1537" s="518"/>
      <c r="B1537" s="518"/>
      <c r="C1537" s="518"/>
      <c r="D1537" s="518"/>
      <c r="E1537" s="518"/>
      <c r="F1537" s="518"/>
      <c r="G1537" s="518"/>
      <c r="H1537" s="518"/>
      <c r="I1537" s="518"/>
      <c r="J1537" s="518"/>
      <c r="K1537" s="518"/>
      <c r="L1537" s="518"/>
      <c r="M1537" s="518"/>
      <c r="N1537" s="518"/>
      <c r="O1537" s="518"/>
      <c r="P1537" s="518"/>
      <c r="Q1537" s="518"/>
      <c r="R1537" s="518"/>
      <c r="S1537" s="518"/>
      <c r="T1537" s="518"/>
      <c r="U1537" s="518"/>
      <c r="V1537" s="518"/>
      <c r="W1537" s="518"/>
      <c r="X1537" s="518"/>
      <c r="Y1537" s="518"/>
      <c r="Z1537" s="518"/>
      <c r="AA1537" s="518"/>
      <c r="AB1537" s="518"/>
      <c r="AC1537" s="518"/>
      <c r="AD1537" s="518"/>
      <c r="AE1537" s="518"/>
      <c r="AF1537" s="518"/>
      <c r="AG1537" s="518"/>
      <c r="AH1537" s="518"/>
      <c r="AJ1537" s="595" t="b">
        <f>AJ1472</f>
        <v>0</v>
      </c>
    </row>
    <row r="1538" spans="1:36" hidden="1" x14ac:dyDescent="0.45">
      <c r="A1538" s="518"/>
      <c r="B1538" s="911" t="s">
        <v>173</v>
      </c>
      <c r="C1538" s="912"/>
      <c r="D1538" s="912"/>
      <c r="E1538" s="912"/>
      <c r="F1538" s="912"/>
      <c r="G1538" s="912"/>
      <c r="H1538" s="913">
        <f>CHSHData!D61</f>
        <v>0</v>
      </c>
      <c r="I1538" s="914"/>
      <c r="J1538" s="914"/>
      <c r="K1538" s="914"/>
      <c r="L1538" s="914"/>
      <c r="M1538" s="914"/>
      <c r="N1538" s="915"/>
      <c r="O1538" s="518"/>
      <c r="P1538" s="518"/>
      <c r="Q1538" s="518"/>
      <c r="R1538" s="518"/>
      <c r="S1538" s="518"/>
      <c r="T1538" s="518"/>
      <c r="U1538" s="518"/>
      <c r="V1538" s="518"/>
      <c r="W1538" s="518"/>
      <c r="X1538" s="518"/>
      <c r="Y1538" s="518"/>
      <c r="Z1538" s="518"/>
      <c r="AA1538" s="518"/>
      <c r="AB1538" s="518"/>
      <c r="AC1538" s="518"/>
      <c r="AD1538" s="518"/>
      <c r="AE1538" s="518"/>
      <c r="AF1538" s="518"/>
      <c r="AG1538" s="518"/>
      <c r="AH1538" s="518"/>
      <c r="AJ1538" s="595"/>
    </row>
    <row r="1539" spans="1:36" hidden="1" x14ac:dyDescent="0.45">
      <c r="A1539" s="518"/>
      <c r="B1539" s="518"/>
      <c r="C1539" s="518"/>
      <c r="D1539" s="518"/>
      <c r="E1539" s="518"/>
      <c r="F1539" s="518"/>
      <c r="G1539" s="518"/>
      <c r="H1539" s="518"/>
      <c r="I1539" s="518"/>
      <c r="J1539" s="518"/>
      <c r="K1539" s="518"/>
      <c r="L1539" s="518"/>
      <c r="M1539" s="518"/>
      <c r="N1539" s="518"/>
      <c r="O1539" s="518"/>
      <c r="P1539" s="518"/>
      <c r="Q1539" s="518"/>
      <c r="R1539" s="518"/>
      <c r="S1539" s="518"/>
      <c r="T1539" s="518"/>
      <c r="U1539" s="518"/>
      <c r="V1539" s="518"/>
      <c r="W1539" s="518"/>
      <c r="X1539" s="518"/>
      <c r="Y1539" s="518"/>
      <c r="Z1539" s="518"/>
      <c r="AA1539" s="518"/>
      <c r="AB1539" s="518"/>
      <c r="AC1539" s="518"/>
      <c r="AD1539" s="518"/>
      <c r="AE1539" s="518"/>
      <c r="AF1539" s="518"/>
      <c r="AG1539" s="518"/>
      <c r="AH1539" s="518"/>
      <c r="AJ1539" s="595"/>
    </row>
    <row r="1540" spans="1:36" hidden="1" x14ac:dyDescent="0.45">
      <c r="A1540" s="518"/>
      <c r="B1540" s="532" t="s">
        <v>1854</v>
      </c>
      <c r="C1540" s="532"/>
      <c r="D1540" s="532"/>
      <c r="E1540" s="532"/>
      <c r="F1540" s="532"/>
      <c r="G1540" s="532"/>
      <c r="H1540" s="532"/>
      <c r="I1540" s="532"/>
      <c r="J1540" s="532"/>
      <c r="K1540" s="532"/>
      <c r="L1540" s="532"/>
      <c r="M1540" s="532"/>
      <c r="N1540" s="532"/>
      <c r="O1540" s="532"/>
      <c r="P1540" s="532"/>
      <c r="Q1540" s="532"/>
      <c r="R1540" s="518"/>
      <c r="S1540" s="518"/>
      <c r="T1540" s="518"/>
      <c r="U1540" s="518"/>
      <c r="V1540" s="518"/>
      <c r="W1540" s="518"/>
      <c r="X1540" s="518"/>
      <c r="Y1540" s="518"/>
      <c r="Z1540" s="518"/>
      <c r="AA1540" s="518"/>
      <c r="AB1540" s="518"/>
      <c r="AC1540" s="518"/>
      <c r="AD1540" s="518"/>
      <c r="AE1540" s="518"/>
      <c r="AF1540" s="518"/>
      <c r="AG1540" s="518"/>
      <c r="AH1540" s="518"/>
      <c r="AJ1540" s="595"/>
    </row>
    <row r="1541" spans="1:36" hidden="1" x14ac:dyDescent="0.45">
      <c r="A1541" s="518"/>
      <c r="B1541" s="877" t="s">
        <v>174</v>
      </c>
      <c r="C1541" s="877"/>
      <c r="D1541" s="877"/>
      <c r="E1541" s="877"/>
      <c r="F1541" s="877"/>
      <c r="G1541" s="877"/>
      <c r="H1541" s="877"/>
      <c r="I1541" s="877"/>
      <c r="J1541" s="877"/>
      <c r="K1541" s="877"/>
      <c r="L1541" s="877"/>
      <c r="M1541" s="877"/>
      <c r="N1541" s="877"/>
      <c r="O1541" s="878"/>
      <c r="P1541" s="879"/>
      <c r="Q1541" s="880"/>
      <c r="R1541" s="518"/>
      <c r="S1541" s="518"/>
      <c r="T1541" s="518"/>
      <c r="U1541" s="518"/>
      <c r="V1541" s="518"/>
      <c r="W1541" s="518"/>
      <c r="X1541" s="518"/>
      <c r="Y1541" s="518"/>
      <c r="Z1541" s="518"/>
      <c r="AA1541" s="518"/>
      <c r="AB1541" s="518"/>
      <c r="AC1541" s="518"/>
      <c r="AD1541" s="518"/>
      <c r="AE1541" s="518"/>
      <c r="AF1541" s="518"/>
      <c r="AG1541" s="518"/>
      <c r="AH1541" s="518"/>
      <c r="AJ1541" s="595"/>
    </row>
    <row r="1542" spans="1:36" hidden="1" x14ac:dyDescent="0.45">
      <c r="A1542" s="518"/>
      <c r="B1542" s="877" t="s">
        <v>175</v>
      </c>
      <c r="C1542" s="877"/>
      <c r="D1542" s="877"/>
      <c r="E1542" s="877"/>
      <c r="F1542" s="877"/>
      <c r="G1542" s="877"/>
      <c r="H1542" s="877"/>
      <c r="I1542" s="877"/>
      <c r="J1542" s="877"/>
      <c r="K1542" s="877"/>
      <c r="L1542" s="877"/>
      <c r="M1542" s="877"/>
      <c r="N1542" s="877"/>
      <c r="O1542" s="878"/>
      <c r="P1542" s="879"/>
      <c r="Q1542" s="880"/>
      <c r="R1542" s="518"/>
      <c r="S1542" s="518"/>
      <c r="T1542" s="518"/>
      <c r="U1542" s="518"/>
      <c r="V1542" s="518"/>
      <c r="W1542" s="518"/>
      <c r="X1542" s="518"/>
      <c r="Y1542" s="518"/>
      <c r="Z1542" s="518"/>
      <c r="AA1542" s="518"/>
      <c r="AB1542" s="518"/>
      <c r="AC1542" s="518"/>
      <c r="AD1542" s="518"/>
      <c r="AE1542" s="518"/>
      <c r="AF1542" s="518"/>
      <c r="AG1542" s="518"/>
      <c r="AH1542" s="518"/>
      <c r="AJ1542" s="595"/>
    </row>
    <row r="1543" spans="1:36" hidden="1" x14ac:dyDescent="0.45">
      <c r="A1543" s="518"/>
      <c r="B1543" s="877" t="s">
        <v>176</v>
      </c>
      <c r="C1543" s="877"/>
      <c r="D1543" s="877"/>
      <c r="E1543" s="877"/>
      <c r="F1543" s="877"/>
      <c r="G1543" s="877"/>
      <c r="H1543" s="877"/>
      <c r="I1543" s="877"/>
      <c r="J1543" s="877"/>
      <c r="K1543" s="877"/>
      <c r="L1543" s="877"/>
      <c r="M1543" s="877"/>
      <c r="N1543" s="877"/>
      <c r="O1543" s="878"/>
      <c r="P1543" s="879"/>
      <c r="Q1543" s="880"/>
      <c r="R1543" s="518"/>
      <c r="S1543" s="518"/>
      <c r="T1543" s="518"/>
      <c r="U1543" s="518"/>
      <c r="V1543" s="518"/>
      <c r="W1543" s="518"/>
      <c r="X1543" s="518"/>
      <c r="Y1543" s="518"/>
      <c r="Z1543" s="518"/>
      <c r="AA1543" s="518"/>
      <c r="AB1543" s="518"/>
      <c r="AC1543" s="518"/>
      <c r="AD1543" s="518"/>
      <c r="AE1543" s="518"/>
      <c r="AF1543" s="518"/>
      <c r="AG1543" s="518"/>
      <c r="AH1543" s="518"/>
      <c r="AJ1543" s="595"/>
    </row>
    <row r="1544" spans="1:36" hidden="1" x14ac:dyDescent="0.45">
      <c r="A1544" s="518"/>
      <c r="B1544" s="877" t="s">
        <v>177</v>
      </c>
      <c r="C1544" s="877"/>
      <c r="D1544" s="877"/>
      <c r="E1544" s="877"/>
      <c r="F1544" s="877"/>
      <c r="G1544" s="877"/>
      <c r="H1544" s="877"/>
      <c r="I1544" s="877"/>
      <c r="J1544" s="877"/>
      <c r="K1544" s="877"/>
      <c r="L1544" s="877"/>
      <c r="M1544" s="877"/>
      <c r="N1544" s="877"/>
      <c r="O1544" s="878"/>
      <c r="P1544" s="879"/>
      <c r="Q1544" s="880"/>
      <c r="R1544" s="518"/>
      <c r="S1544" s="518"/>
      <c r="T1544" s="518"/>
      <c r="U1544" s="518"/>
      <c r="V1544" s="518"/>
      <c r="W1544" s="518"/>
      <c r="X1544" s="518"/>
      <c r="Y1544" s="518"/>
      <c r="Z1544" s="518"/>
      <c r="AA1544" s="518"/>
      <c r="AB1544" s="518"/>
      <c r="AC1544" s="518"/>
      <c r="AD1544" s="518"/>
      <c r="AE1544" s="518"/>
      <c r="AF1544" s="518"/>
      <c r="AG1544" s="518"/>
      <c r="AH1544" s="518"/>
      <c r="AJ1544" s="595"/>
    </row>
    <row r="1545" spans="1:36" hidden="1" x14ac:dyDescent="0.45">
      <c r="A1545" s="518"/>
      <c r="B1545" s="881" t="s">
        <v>178</v>
      </c>
      <c r="C1545" s="881"/>
      <c r="D1545" s="881"/>
      <c r="E1545" s="881"/>
      <c r="F1545" s="881"/>
      <c r="G1545" s="881"/>
      <c r="H1545" s="881"/>
      <c r="I1545" s="881"/>
      <c r="J1545" s="881"/>
      <c r="K1545" s="881"/>
      <c r="L1545" s="881"/>
      <c r="M1545" s="881"/>
      <c r="N1545" s="881"/>
      <c r="O1545" s="882" t="s">
        <v>195</v>
      </c>
      <c r="P1545" s="883"/>
      <c r="Q1545" s="884"/>
      <c r="R1545" s="518"/>
      <c r="S1545" s="518"/>
      <c r="T1545" s="518"/>
      <c r="U1545" s="518"/>
      <c r="V1545" s="518"/>
      <c r="W1545" s="518"/>
      <c r="X1545" s="518"/>
      <c r="Y1545" s="518"/>
      <c r="Z1545" s="518"/>
      <c r="AA1545" s="518"/>
      <c r="AB1545" s="518"/>
      <c r="AC1545" s="518"/>
      <c r="AD1545" s="518"/>
      <c r="AE1545" s="518"/>
      <c r="AF1545" s="518"/>
      <c r="AG1545" s="518"/>
      <c r="AH1545" s="518"/>
      <c r="AJ1545" s="595"/>
    </row>
    <row r="1546" spans="1:36" hidden="1" x14ac:dyDescent="0.45">
      <c r="A1546" s="518"/>
      <c r="B1546" s="877" t="s">
        <v>179</v>
      </c>
      <c r="C1546" s="877"/>
      <c r="D1546" s="877"/>
      <c r="E1546" s="877"/>
      <c r="F1546" s="877"/>
      <c r="G1546" s="877"/>
      <c r="H1546" s="877"/>
      <c r="I1546" s="877"/>
      <c r="J1546" s="877"/>
      <c r="K1546" s="877"/>
      <c r="L1546" s="877"/>
      <c r="M1546" s="877"/>
      <c r="N1546" s="877"/>
      <c r="O1546" s="878"/>
      <c r="P1546" s="879"/>
      <c r="Q1546" s="880"/>
      <c r="R1546" s="518"/>
      <c r="S1546" s="518"/>
      <c r="T1546" s="518"/>
      <c r="U1546" s="518"/>
      <c r="V1546" s="518"/>
      <c r="W1546" s="518"/>
      <c r="X1546" s="518"/>
      <c r="Y1546" s="518"/>
      <c r="Z1546" s="518"/>
      <c r="AA1546" s="518"/>
      <c r="AB1546" s="518"/>
      <c r="AC1546" s="518"/>
      <c r="AD1546" s="518"/>
      <c r="AE1546" s="518"/>
      <c r="AF1546" s="518"/>
      <c r="AG1546" s="518"/>
      <c r="AH1546" s="518"/>
      <c r="AJ1546" s="595"/>
    </row>
    <row r="1547" spans="1:36" hidden="1" x14ac:dyDescent="0.45">
      <c r="A1547" s="518"/>
      <c r="B1547" s="877" t="s">
        <v>180</v>
      </c>
      <c r="C1547" s="877"/>
      <c r="D1547" s="877"/>
      <c r="E1547" s="877"/>
      <c r="F1547" s="877"/>
      <c r="G1547" s="877"/>
      <c r="H1547" s="877"/>
      <c r="I1547" s="877"/>
      <c r="J1547" s="877"/>
      <c r="K1547" s="877"/>
      <c r="L1547" s="877"/>
      <c r="M1547" s="877"/>
      <c r="N1547" s="877"/>
      <c r="O1547" s="878"/>
      <c r="P1547" s="879"/>
      <c r="Q1547" s="880"/>
      <c r="R1547" s="518"/>
      <c r="S1547" s="518"/>
      <c r="T1547" s="518"/>
      <c r="U1547" s="518"/>
      <c r="V1547" s="518"/>
      <c r="W1547" s="518"/>
      <c r="X1547" s="518"/>
      <c r="Y1547" s="518"/>
      <c r="Z1547" s="518"/>
      <c r="AA1547" s="518"/>
      <c r="AB1547" s="518"/>
      <c r="AC1547" s="518"/>
      <c r="AD1547" s="518"/>
      <c r="AE1547" s="518"/>
      <c r="AF1547" s="518"/>
      <c r="AG1547" s="518"/>
      <c r="AH1547" s="518"/>
      <c r="AJ1547" s="595"/>
    </row>
    <row r="1548" spans="1:36" hidden="1" x14ac:dyDescent="0.45">
      <c r="A1548" s="518"/>
      <c r="B1548" s="1225" t="s">
        <v>181</v>
      </c>
      <c r="C1548" s="1225"/>
      <c r="D1548" s="1225"/>
      <c r="E1548" s="1225"/>
      <c r="F1548" s="1225"/>
      <c r="G1548" s="1225"/>
      <c r="H1548" s="1225"/>
      <c r="I1548" s="1225"/>
      <c r="J1548" s="1225"/>
      <c r="K1548" s="1225"/>
      <c r="L1548" s="1225"/>
      <c r="M1548" s="1225"/>
      <c r="N1548" s="1225"/>
      <c r="O1548" s="927"/>
      <c r="P1548" s="928"/>
      <c r="Q1548" s="929"/>
      <c r="R1548" s="518"/>
      <c r="S1548" s="518"/>
      <c r="T1548" s="518"/>
      <c r="U1548" s="518"/>
      <c r="V1548" s="518"/>
      <c r="W1548" s="518"/>
      <c r="X1548" s="518"/>
      <c r="Y1548" s="518"/>
      <c r="Z1548" s="518"/>
      <c r="AA1548" s="518"/>
      <c r="AB1548" s="518"/>
      <c r="AC1548" s="518"/>
      <c r="AD1548" s="518"/>
      <c r="AE1548" s="518"/>
      <c r="AF1548" s="518"/>
      <c r="AG1548" s="518"/>
      <c r="AH1548" s="518"/>
      <c r="AJ1548" s="595"/>
    </row>
    <row r="1549" spans="1:36" hidden="1" x14ac:dyDescent="0.45">
      <c r="A1549" s="518"/>
      <c r="B1549" s="1226" t="s">
        <v>182</v>
      </c>
      <c r="C1549" s="1226"/>
      <c r="D1549" s="1226"/>
      <c r="E1549" s="1226"/>
      <c r="F1549" s="1226"/>
      <c r="G1549" s="1226"/>
      <c r="H1549" s="1226"/>
      <c r="I1549" s="1226"/>
      <c r="J1549" s="1226"/>
      <c r="K1549" s="1226"/>
      <c r="L1549" s="1226"/>
      <c r="M1549" s="1226"/>
      <c r="N1549" s="1226"/>
      <c r="O1549" s="878">
        <f>SUM(O1541:Q1547)-O1548</f>
        <v>0</v>
      </c>
      <c r="P1549" s="879"/>
      <c r="Q1549" s="880"/>
      <c r="R1549" s="518"/>
      <c r="S1549" s="518"/>
      <c r="T1549" s="518"/>
      <c r="U1549" s="518"/>
      <c r="V1549" s="518"/>
      <c r="W1549" s="518"/>
      <c r="X1549" s="518"/>
      <c r="Y1549" s="518"/>
      <c r="Z1549" s="518"/>
      <c r="AA1549" s="518"/>
      <c r="AB1549" s="518"/>
      <c r="AC1549" s="518"/>
      <c r="AD1549" s="518"/>
      <c r="AE1549" s="518"/>
      <c r="AF1549" s="518"/>
      <c r="AG1549" s="518"/>
      <c r="AH1549" s="518"/>
      <c r="AJ1549" s="595"/>
    </row>
    <row r="1550" spans="1:36" hidden="1" x14ac:dyDescent="0.45">
      <c r="A1550" s="518"/>
      <c r="B1550" s="517"/>
      <c r="C1550" s="517"/>
      <c r="D1550" s="517"/>
      <c r="E1550" s="517"/>
      <c r="F1550" s="517"/>
      <c r="G1550" s="517"/>
      <c r="H1550" s="517"/>
      <c r="I1550" s="517"/>
      <c r="J1550" s="517"/>
      <c r="K1550" s="517"/>
      <c r="L1550" s="517"/>
      <c r="M1550" s="517"/>
      <c r="N1550" s="517"/>
      <c r="O1550" s="532"/>
      <c r="P1550" s="532"/>
      <c r="Q1550" s="532"/>
      <c r="R1550" s="518"/>
      <c r="S1550" s="533"/>
      <c r="T1550" s="533"/>
      <c r="U1550" s="533"/>
      <c r="V1550" s="533"/>
      <c r="W1550" s="533"/>
      <c r="X1550" s="533"/>
      <c r="Y1550" s="533"/>
      <c r="Z1550" s="533"/>
      <c r="AA1550" s="533"/>
      <c r="AB1550" s="533"/>
      <c r="AC1550" s="533"/>
      <c r="AD1550" s="533"/>
      <c r="AE1550" s="533"/>
      <c r="AF1550" s="533"/>
      <c r="AG1550" s="533"/>
      <c r="AH1550" s="518"/>
      <c r="AJ1550" s="595"/>
    </row>
    <row r="1551" spans="1:36" ht="200.15" hidden="1" customHeight="1" x14ac:dyDescent="0.45">
      <c r="A1551" s="518"/>
      <c r="B1551" s="1174" t="s">
        <v>183</v>
      </c>
      <c r="C1551" s="1175"/>
      <c r="D1551" s="1175"/>
      <c r="E1551" s="1175"/>
      <c r="F1551" s="1175"/>
      <c r="G1551" s="1175"/>
      <c r="H1551" s="1175"/>
      <c r="I1551" s="1175"/>
      <c r="J1551" s="1175"/>
      <c r="K1551" s="1175"/>
      <c r="L1551" s="1175"/>
      <c r="M1551" s="1175"/>
      <c r="N1551" s="1175"/>
      <c r="O1551" s="1175"/>
      <c r="P1551" s="1175"/>
      <c r="Q1551" s="1175"/>
      <c r="R1551" s="1175"/>
      <c r="S1551" s="1175"/>
      <c r="T1551" s="1175"/>
      <c r="U1551" s="1175"/>
      <c r="V1551" s="1175"/>
      <c r="W1551" s="1175"/>
      <c r="X1551" s="1175"/>
      <c r="Y1551" s="1175"/>
      <c r="Z1551" s="1175"/>
      <c r="AA1551" s="1175"/>
      <c r="AB1551" s="1175"/>
      <c r="AC1551" s="1175"/>
      <c r="AD1551" s="1175"/>
      <c r="AE1551" s="1175"/>
      <c r="AF1551" s="1175"/>
      <c r="AG1551" s="1176"/>
      <c r="AH1551" s="518"/>
      <c r="AJ1551" s="595"/>
    </row>
    <row r="1552" spans="1:36" hidden="1" x14ac:dyDescent="0.45">
      <c r="A1552" s="518"/>
      <c r="B1552" s="518"/>
      <c r="C1552" s="518"/>
      <c r="D1552" s="518"/>
      <c r="E1552" s="518"/>
      <c r="F1552" s="518"/>
      <c r="G1552" s="518"/>
      <c r="H1552" s="518"/>
      <c r="I1552" s="518"/>
      <c r="J1552" s="518"/>
      <c r="K1552" s="518"/>
      <c r="L1552" s="518"/>
      <c r="M1552" s="518"/>
      <c r="N1552" s="518"/>
      <c r="O1552" s="518"/>
      <c r="P1552" s="518"/>
      <c r="Q1552" s="518"/>
      <c r="R1552" s="518"/>
      <c r="S1552" s="518"/>
      <c r="T1552" s="518"/>
      <c r="U1552" s="518"/>
      <c r="V1552" s="518"/>
      <c r="W1552" s="518"/>
      <c r="X1552" s="518"/>
      <c r="Y1552" s="518"/>
      <c r="Z1552" s="518"/>
      <c r="AA1552" s="518"/>
      <c r="AB1552" s="518"/>
      <c r="AC1552" s="518"/>
      <c r="AD1552" s="518"/>
      <c r="AE1552" s="518"/>
      <c r="AF1552" s="518"/>
      <c r="AG1552" s="518"/>
      <c r="AH1552" s="518"/>
      <c r="AJ1552" s="595"/>
    </row>
    <row r="1553" spans="1:36" hidden="1" x14ac:dyDescent="0.45">
      <c r="A1553" s="518"/>
      <c r="B1553" s="518"/>
      <c r="C1553" s="518"/>
      <c r="D1553" s="518"/>
      <c r="E1553" s="518"/>
      <c r="F1553" s="518"/>
      <c r="G1553" s="518"/>
      <c r="H1553" s="518"/>
      <c r="I1553" s="518"/>
      <c r="J1553" s="518"/>
      <c r="K1553" s="518"/>
      <c r="L1553" s="518"/>
      <c r="M1553" s="518"/>
      <c r="N1553" s="518"/>
      <c r="O1553" s="518"/>
      <c r="P1553" s="518"/>
      <c r="Q1553" s="518"/>
      <c r="R1553" s="518"/>
      <c r="S1553" s="518"/>
      <c r="T1553" s="518"/>
      <c r="U1553" s="518"/>
      <c r="V1553" s="518"/>
      <c r="W1553" s="518"/>
      <c r="X1553" s="518"/>
      <c r="Y1553" s="518"/>
      <c r="Z1553" s="518"/>
      <c r="AA1553" s="518"/>
      <c r="AB1553" s="518"/>
      <c r="AC1553" s="518"/>
      <c r="AD1553" s="518"/>
      <c r="AE1553" s="518"/>
      <c r="AF1553" s="518"/>
      <c r="AG1553" s="518"/>
      <c r="AH1553" s="518"/>
      <c r="AJ1553" s="595" t="b">
        <f>AND(AJ$1434,CH_SH_RuralTotalRequested&gt;0)</f>
        <v>0</v>
      </c>
    </row>
    <row r="1554" spans="1:36" hidden="1" x14ac:dyDescent="0.45">
      <c r="A1554" s="518"/>
      <c r="B1554" s="923" t="str">
        <f>B$1435</f>
        <v>CalHome Technical Assistance for Shared-Housing Application</v>
      </c>
      <c r="C1554" s="923"/>
      <c r="D1554" s="923"/>
      <c r="E1554" s="923"/>
      <c r="F1554" s="923"/>
      <c r="G1554" s="923"/>
      <c r="H1554" s="923"/>
      <c r="I1554" s="923"/>
      <c r="J1554" s="923"/>
      <c r="K1554" s="923"/>
      <c r="L1554" s="923"/>
      <c r="M1554" s="923"/>
      <c r="N1554" s="923"/>
      <c r="O1554" s="923"/>
      <c r="P1554" s="923"/>
      <c r="Q1554" s="923"/>
      <c r="R1554" s="923"/>
      <c r="S1554" s="923"/>
      <c r="T1554" s="923"/>
      <c r="U1554" s="923"/>
      <c r="V1554" s="923"/>
      <c r="W1554" s="923"/>
      <c r="X1554" s="923"/>
      <c r="Y1554" s="923"/>
      <c r="Z1554" s="923"/>
      <c r="AA1554" s="923"/>
      <c r="AB1554" s="923"/>
      <c r="AC1554" s="923"/>
      <c r="AD1554" s="923"/>
      <c r="AE1554" s="923"/>
      <c r="AF1554" s="923"/>
      <c r="AG1554" s="923"/>
      <c r="AH1554" s="518"/>
      <c r="AJ1554" s="595"/>
    </row>
    <row r="1555" spans="1:36" hidden="1" x14ac:dyDescent="0.45">
      <c r="A1555" s="518"/>
      <c r="B1555" s="924" t="s">
        <v>1832</v>
      </c>
      <c r="C1555" s="925"/>
      <c r="D1555" s="925"/>
      <c r="E1555" s="925"/>
      <c r="F1555" s="925"/>
      <c r="G1555" s="925"/>
      <c r="H1555" s="925"/>
      <c r="I1555" s="925"/>
      <c r="J1555" s="925"/>
      <c r="K1555" s="925"/>
      <c r="L1555" s="925"/>
      <c r="M1555" s="925"/>
      <c r="N1555" s="925"/>
      <c r="O1555" s="925"/>
      <c r="P1555" s="925"/>
      <c r="Q1555" s="925"/>
      <c r="R1555" s="925"/>
      <c r="S1555" s="925"/>
      <c r="T1555" s="925"/>
      <c r="U1555" s="925"/>
      <c r="V1555" s="925"/>
      <c r="W1555" s="925"/>
      <c r="X1555" s="925"/>
      <c r="Y1555" s="925"/>
      <c r="Z1555" s="925"/>
      <c r="AA1555" s="925"/>
      <c r="AB1555" s="925"/>
      <c r="AC1555" s="925"/>
      <c r="AD1555" s="925"/>
      <c r="AE1555" s="925"/>
      <c r="AF1555" s="925"/>
      <c r="AG1555" s="925"/>
      <c r="AH1555" s="518"/>
      <c r="AJ1555" s="595"/>
    </row>
    <row r="1556" spans="1:36" hidden="1" x14ac:dyDescent="0.45">
      <c r="A1556" s="518"/>
      <c r="B1556" s="518"/>
      <c r="C1556" s="518"/>
      <c r="D1556" s="518"/>
      <c r="E1556" s="518"/>
      <c r="F1556" s="518"/>
      <c r="G1556" s="518"/>
      <c r="H1556" s="518"/>
      <c r="I1556" s="518"/>
      <c r="J1556" s="518"/>
      <c r="K1556" s="518"/>
      <c r="L1556" s="518"/>
      <c r="M1556" s="518"/>
      <c r="N1556" s="518"/>
      <c r="O1556" s="518"/>
      <c r="P1556" s="518"/>
      <c r="Q1556" s="518"/>
      <c r="R1556" s="518"/>
      <c r="S1556" s="518"/>
      <c r="T1556" s="518"/>
      <c r="U1556" s="518"/>
      <c r="V1556" s="518"/>
      <c r="W1556" s="518"/>
      <c r="X1556" s="518"/>
      <c r="Y1556" s="518"/>
      <c r="Z1556" s="518"/>
      <c r="AA1556" s="518"/>
      <c r="AB1556" s="518"/>
      <c r="AC1556" s="518"/>
      <c r="AD1556" s="518"/>
      <c r="AE1556" s="518"/>
      <c r="AF1556" s="518"/>
      <c r="AG1556" s="518"/>
      <c r="AH1556" s="518"/>
      <c r="AJ1556" s="595"/>
    </row>
    <row r="1557" spans="1:36" hidden="1" x14ac:dyDescent="0.45">
      <c r="A1557" s="518"/>
      <c r="B1557" s="518" t="s">
        <v>1860</v>
      </c>
      <c r="C1557" s="518"/>
      <c r="D1557" s="518"/>
      <c r="E1557" s="518"/>
      <c r="F1557" s="518"/>
      <c r="G1557" s="518"/>
      <c r="H1557" s="518"/>
      <c r="I1557" s="518"/>
      <c r="J1557" s="518"/>
      <c r="K1557" s="518"/>
      <c r="L1557" s="518"/>
      <c r="M1557" s="518"/>
      <c r="N1557" s="518"/>
      <c r="O1557" s="518"/>
      <c r="P1557" s="518"/>
      <c r="Q1557" s="518"/>
      <c r="R1557" s="518"/>
      <c r="S1557" s="518"/>
      <c r="T1557" s="518"/>
      <c r="U1557" s="518"/>
      <c r="V1557" s="518"/>
      <c r="W1557" s="518"/>
      <c r="X1557" s="518"/>
      <c r="Y1557" s="518"/>
      <c r="Z1557" s="518"/>
      <c r="AA1557" s="518"/>
      <c r="AB1557" s="518"/>
      <c r="AC1557" s="518"/>
      <c r="AD1557" s="518"/>
      <c r="AE1557" s="518"/>
      <c r="AF1557" s="518"/>
      <c r="AG1557" s="518"/>
      <c r="AH1557" s="518"/>
      <c r="AJ1557" s="595"/>
    </row>
    <row r="1558" spans="1:36" ht="16" hidden="1" customHeight="1" x14ac:dyDescent="0.45">
      <c r="A1558" s="518"/>
      <c r="B1558" s="862" t="s">
        <v>108</v>
      </c>
      <c r="C1558" s="863"/>
      <c r="D1558" s="863"/>
      <c r="E1558" s="863"/>
      <c r="F1558" s="863"/>
      <c r="G1558" s="872" t="s">
        <v>1487</v>
      </c>
      <c r="H1558" s="872"/>
      <c r="I1558" s="872" t="s">
        <v>1859</v>
      </c>
      <c r="J1558" s="872"/>
      <c r="K1558" s="872"/>
      <c r="L1558" s="872"/>
      <c r="M1558" s="872" t="s">
        <v>114</v>
      </c>
      <c r="N1558" s="872"/>
      <c r="O1558" s="518"/>
      <c r="P1558" s="536"/>
      <c r="Q1558" s="569"/>
      <c r="R1558" s="536"/>
      <c r="S1558" s="536"/>
      <c r="T1558" s="569"/>
      <c r="U1558" s="569"/>
      <c r="V1558" s="569"/>
      <c r="W1558" s="569"/>
      <c r="X1558" s="569"/>
      <c r="Y1558" s="536"/>
      <c r="Z1558" s="604"/>
      <c r="AA1558" s="536"/>
      <c r="AB1558" s="536"/>
      <c r="AC1558" s="536"/>
      <c r="AD1558" s="536"/>
      <c r="AE1558" s="518"/>
      <c r="AF1558" s="529"/>
      <c r="AG1558" s="529"/>
      <c r="AH1558" s="529"/>
      <c r="AJ1558" s="595"/>
    </row>
    <row r="1559" spans="1:36" hidden="1" x14ac:dyDescent="0.45">
      <c r="A1559" s="518"/>
      <c r="B1559" s="864"/>
      <c r="C1559" s="865"/>
      <c r="D1559" s="865"/>
      <c r="E1559" s="865"/>
      <c r="F1559" s="865"/>
      <c r="G1559" s="872"/>
      <c r="H1559" s="872"/>
      <c r="I1559" s="872"/>
      <c r="J1559" s="872"/>
      <c r="K1559" s="872"/>
      <c r="L1559" s="872"/>
      <c r="M1559" s="872"/>
      <c r="N1559" s="872"/>
      <c r="O1559" s="518"/>
      <c r="P1559" s="536"/>
      <c r="Q1559" s="569"/>
      <c r="R1559" s="536"/>
      <c r="S1559" s="536"/>
      <c r="T1559" s="569"/>
      <c r="U1559" s="569"/>
      <c r="V1559" s="569"/>
      <c r="W1559" s="569"/>
      <c r="X1559" s="569"/>
      <c r="Y1559" s="536"/>
      <c r="Z1559" s="604"/>
      <c r="AA1559" s="536"/>
      <c r="AB1559" s="536"/>
      <c r="AC1559" s="536"/>
      <c r="AD1559" s="536"/>
      <c r="AE1559" s="518"/>
      <c r="AF1559" s="529"/>
      <c r="AG1559" s="529"/>
      <c r="AH1559" s="529"/>
      <c r="AJ1559" s="595"/>
    </row>
    <row r="1560" spans="1:36" hidden="1" x14ac:dyDescent="0.45">
      <c r="A1560" s="518"/>
      <c r="B1560" s="514" t="s">
        <v>1405</v>
      </c>
      <c r="C1560" s="535"/>
      <c r="D1560" s="535"/>
      <c r="E1560" s="535"/>
      <c r="F1560" s="535"/>
      <c r="G1560" s="885" t="str">
        <f>IF(CHSHData!J3=0,"",CHSHData!J3)</f>
        <v/>
      </c>
      <c r="H1560" s="885"/>
      <c r="I1560" s="943" t="str">
        <f>CHSHData!G3</f>
        <v/>
      </c>
      <c r="J1560" s="943"/>
      <c r="K1560" s="943"/>
      <c r="L1560" s="943"/>
      <c r="M1560" s="873">
        <f>CHSHData!R3</f>
        <v>0</v>
      </c>
      <c r="N1560" s="873"/>
      <c r="O1560" s="518"/>
      <c r="P1560" s="536"/>
      <c r="Q1560" s="615"/>
      <c r="R1560" s="536"/>
      <c r="S1560" s="536"/>
      <c r="T1560" s="609"/>
      <c r="U1560" s="609"/>
      <c r="V1560" s="609"/>
      <c r="W1560" s="609"/>
      <c r="X1560" s="588"/>
      <c r="Y1560" s="536"/>
      <c r="Z1560" s="610"/>
      <c r="AA1560" s="536"/>
      <c r="AB1560" s="536"/>
      <c r="AC1560" s="536"/>
      <c r="AD1560" s="536"/>
      <c r="AE1560" s="518"/>
      <c r="AF1560" s="529"/>
      <c r="AG1560" s="529"/>
      <c r="AH1560" s="529"/>
      <c r="AJ1560" s="595" t="b">
        <f t="shared" ref="AJ1560:AJ1591" si="37">AND(AJ$1553,I1560&gt;0)</f>
        <v>0</v>
      </c>
    </row>
    <row r="1561" spans="1:36" hidden="1" x14ac:dyDescent="0.45">
      <c r="A1561" s="518"/>
      <c r="B1561" s="514" t="s">
        <v>1406</v>
      </c>
      <c r="C1561" s="535"/>
      <c r="D1561" s="535"/>
      <c r="E1561" s="535"/>
      <c r="F1561" s="535"/>
      <c r="G1561" s="885" t="str">
        <f>IF(CHSHData!J4=0,"",CHSHData!J4)</f>
        <v/>
      </c>
      <c r="H1561" s="885"/>
      <c r="I1561" s="943" t="str">
        <f>CHSHData!G4</f>
        <v/>
      </c>
      <c r="J1561" s="943"/>
      <c r="K1561" s="943"/>
      <c r="L1561" s="943"/>
      <c r="M1561" s="873">
        <f>CHSHData!R4</f>
        <v>0</v>
      </c>
      <c r="N1561" s="873"/>
      <c r="O1561" s="518"/>
      <c r="P1561" s="536"/>
      <c r="Q1561" s="615"/>
      <c r="R1561" s="536"/>
      <c r="S1561" s="536"/>
      <c r="T1561" s="609"/>
      <c r="U1561" s="609"/>
      <c r="V1561" s="609"/>
      <c r="W1561" s="609"/>
      <c r="X1561" s="588"/>
      <c r="Y1561" s="536"/>
      <c r="Z1561" s="610"/>
      <c r="AA1561" s="536"/>
      <c r="AB1561" s="536"/>
      <c r="AC1561" s="536"/>
      <c r="AD1561" s="536"/>
      <c r="AE1561" s="518"/>
      <c r="AF1561" s="529"/>
      <c r="AG1561" s="529"/>
      <c r="AH1561" s="529"/>
      <c r="AJ1561" s="595" t="b">
        <f t="shared" si="37"/>
        <v>0</v>
      </c>
    </row>
    <row r="1562" spans="1:36" hidden="1" x14ac:dyDescent="0.45">
      <c r="A1562" s="518"/>
      <c r="B1562" s="514" t="s">
        <v>1407</v>
      </c>
      <c r="C1562" s="535"/>
      <c r="D1562" s="535"/>
      <c r="E1562" s="535"/>
      <c r="F1562" s="535"/>
      <c r="G1562" s="885" t="str">
        <f>IF(CHSHData!J5=0,"",CHSHData!J5)</f>
        <v/>
      </c>
      <c r="H1562" s="885"/>
      <c r="I1562" s="943" t="str">
        <f>CHSHData!G5</f>
        <v/>
      </c>
      <c r="J1562" s="943"/>
      <c r="K1562" s="943"/>
      <c r="L1562" s="943"/>
      <c r="M1562" s="873">
        <f>CHSHData!R5</f>
        <v>0</v>
      </c>
      <c r="N1562" s="873"/>
      <c r="O1562" s="518"/>
      <c r="P1562" s="536"/>
      <c r="Q1562" s="615"/>
      <c r="R1562" s="536"/>
      <c r="S1562" s="536"/>
      <c r="T1562" s="609"/>
      <c r="U1562" s="609"/>
      <c r="V1562" s="609"/>
      <c r="W1562" s="609"/>
      <c r="X1562" s="588"/>
      <c r="Y1562" s="536"/>
      <c r="Z1562" s="610"/>
      <c r="AA1562" s="536"/>
      <c r="AB1562" s="536"/>
      <c r="AC1562" s="536"/>
      <c r="AD1562" s="536"/>
      <c r="AE1562" s="518"/>
      <c r="AF1562" s="529"/>
      <c r="AG1562" s="529"/>
      <c r="AH1562" s="529"/>
      <c r="AJ1562" s="595" t="b">
        <f t="shared" si="37"/>
        <v>0</v>
      </c>
    </row>
    <row r="1563" spans="1:36" hidden="1" x14ac:dyDescent="0.45">
      <c r="A1563" s="518"/>
      <c r="B1563" s="514" t="s">
        <v>1408</v>
      </c>
      <c r="C1563" s="535"/>
      <c r="D1563" s="535"/>
      <c r="E1563" s="535"/>
      <c r="F1563" s="535"/>
      <c r="G1563" s="885" t="str">
        <f>IF(CHSHData!J6=0,"",CHSHData!J6)</f>
        <v/>
      </c>
      <c r="H1563" s="885"/>
      <c r="I1563" s="943" t="str">
        <f>CHSHData!G6</f>
        <v/>
      </c>
      <c r="J1563" s="943"/>
      <c r="K1563" s="943"/>
      <c r="L1563" s="943"/>
      <c r="M1563" s="873">
        <f>CHSHData!R6</f>
        <v>0</v>
      </c>
      <c r="N1563" s="873"/>
      <c r="O1563" s="518"/>
      <c r="P1563" s="536"/>
      <c r="Q1563" s="615"/>
      <c r="R1563" s="536"/>
      <c r="S1563" s="536"/>
      <c r="T1563" s="609"/>
      <c r="U1563" s="609"/>
      <c r="V1563" s="609"/>
      <c r="W1563" s="609"/>
      <c r="X1563" s="588"/>
      <c r="Y1563" s="536"/>
      <c r="Z1563" s="610"/>
      <c r="AA1563" s="536"/>
      <c r="AB1563" s="536"/>
      <c r="AC1563" s="536"/>
      <c r="AD1563" s="536"/>
      <c r="AE1563" s="518"/>
      <c r="AF1563" s="529"/>
      <c r="AG1563" s="529"/>
      <c r="AH1563" s="529"/>
      <c r="AJ1563" s="595" t="b">
        <f t="shared" si="37"/>
        <v>0</v>
      </c>
    </row>
    <row r="1564" spans="1:36" hidden="1" x14ac:dyDescent="0.45">
      <c r="A1564" s="518"/>
      <c r="B1564" s="514" t="s">
        <v>1409</v>
      </c>
      <c r="C1564" s="535"/>
      <c r="D1564" s="535"/>
      <c r="E1564" s="535"/>
      <c r="F1564" s="535"/>
      <c r="G1564" s="885" t="str">
        <f>IF(CHSHData!J7=0,"",CHSHData!J7)</f>
        <v/>
      </c>
      <c r="H1564" s="885"/>
      <c r="I1564" s="943" t="str">
        <f>CHSHData!G7</f>
        <v/>
      </c>
      <c r="J1564" s="943"/>
      <c r="K1564" s="943"/>
      <c r="L1564" s="943"/>
      <c r="M1564" s="873">
        <f>CHSHData!R7</f>
        <v>0</v>
      </c>
      <c r="N1564" s="873"/>
      <c r="O1564" s="518"/>
      <c r="P1564" s="536"/>
      <c r="Q1564" s="615"/>
      <c r="R1564" s="536"/>
      <c r="S1564" s="536"/>
      <c r="T1564" s="609"/>
      <c r="U1564" s="609"/>
      <c r="V1564" s="609"/>
      <c r="W1564" s="609"/>
      <c r="X1564" s="588"/>
      <c r="Y1564" s="536"/>
      <c r="Z1564" s="610"/>
      <c r="AA1564" s="536"/>
      <c r="AB1564" s="536"/>
      <c r="AC1564" s="536"/>
      <c r="AD1564" s="536"/>
      <c r="AE1564" s="518"/>
      <c r="AF1564" s="529"/>
      <c r="AG1564" s="529"/>
      <c r="AH1564" s="529"/>
      <c r="AJ1564" s="595" t="b">
        <f t="shared" si="37"/>
        <v>0</v>
      </c>
    </row>
    <row r="1565" spans="1:36" hidden="1" x14ac:dyDescent="0.45">
      <c r="A1565" s="518"/>
      <c r="B1565" s="514" t="s">
        <v>1410</v>
      </c>
      <c r="C1565" s="535"/>
      <c r="D1565" s="535"/>
      <c r="E1565" s="535"/>
      <c r="F1565" s="535"/>
      <c r="G1565" s="885" t="str">
        <f>IF(CHSHData!J8=0,"",CHSHData!J8)</f>
        <v/>
      </c>
      <c r="H1565" s="885"/>
      <c r="I1565" s="943" t="str">
        <f>CHSHData!G8</f>
        <v/>
      </c>
      <c r="J1565" s="943"/>
      <c r="K1565" s="943"/>
      <c r="L1565" s="943"/>
      <c r="M1565" s="873">
        <f>CHSHData!R8</f>
        <v>0</v>
      </c>
      <c r="N1565" s="873"/>
      <c r="O1565" s="518"/>
      <c r="P1565" s="536"/>
      <c r="Q1565" s="615"/>
      <c r="R1565" s="536"/>
      <c r="S1565" s="536"/>
      <c r="T1565" s="609"/>
      <c r="U1565" s="609"/>
      <c r="V1565" s="609"/>
      <c r="W1565" s="609"/>
      <c r="X1565" s="588"/>
      <c r="Y1565" s="536"/>
      <c r="Z1565" s="610"/>
      <c r="AA1565" s="536"/>
      <c r="AB1565" s="536"/>
      <c r="AC1565" s="536"/>
      <c r="AD1565" s="536"/>
      <c r="AE1565" s="518"/>
      <c r="AF1565" s="529"/>
      <c r="AG1565" s="529"/>
      <c r="AH1565" s="529"/>
      <c r="AJ1565" s="595" t="b">
        <f t="shared" si="37"/>
        <v>0</v>
      </c>
    </row>
    <row r="1566" spans="1:36" hidden="1" x14ac:dyDescent="0.45">
      <c r="A1566" s="518"/>
      <c r="B1566" s="514" t="s">
        <v>1411</v>
      </c>
      <c r="C1566" s="535"/>
      <c r="D1566" s="535"/>
      <c r="E1566" s="535"/>
      <c r="F1566" s="535"/>
      <c r="G1566" s="885" t="str">
        <f>IF(CHSHData!J9=0,"",CHSHData!J9)</f>
        <v/>
      </c>
      <c r="H1566" s="885"/>
      <c r="I1566" s="943" t="str">
        <f>CHSHData!G9</f>
        <v/>
      </c>
      <c r="J1566" s="943"/>
      <c r="K1566" s="943"/>
      <c r="L1566" s="943"/>
      <c r="M1566" s="873">
        <f>CHSHData!R9</f>
        <v>0</v>
      </c>
      <c r="N1566" s="873"/>
      <c r="O1566" s="518"/>
      <c r="P1566" s="536"/>
      <c r="Q1566" s="615"/>
      <c r="R1566" s="536"/>
      <c r="S1566" s="536"/>
      <c r="T1566" s="609"/>
      <c r="U1566" s="609"/>
      <c r="V1566" s="609"/>
      <c r="W1566" s="609"/>
      <c r="X1566" s="588"/>
      <c r="Y1566" s="536"/>
      <c r="Z1566" s="610"/>
      <c r="AA1566" s="536"/>
      <c r="AB1566" s="536"/>
      <c r="AC1566" s="536"/>
      <c r="AD1566" s="536"/>
      <c r="AE1566" s="518"/>
      <c r="AF1566" s="529"/>
      <c r="AG1566" s="529"/>
      <c r="AH1566" s="529"/>
      <c r="AJ1566" s="595" t="b">
        <f t="shared" si="37"/>
        <v>0</v>
      </c>
    </row>
    <row r="1567" spans="1:36" hidden="1" x14ac:dyDescent="0.45">
      <c r="A1567" s="518"/>
      <c r="B1567" s="514" t="s">
        <v>1412</v>
      </c>
      <c r="C1567" s="535"/>
      <c r="D1567" s="535"/>
      <c r="E1567" s="535"/>
      <c r="F1567" s="535"/>
      <c r="G1567" s="885" t="str">
        <f>IF(CHSHData!J10=0,"",CHSHData!J10)</f>
        <v/>
      </c>
      <c r="H1567" s="885"/>
      <c r="I1567" s="943" t="str">
        <f>CHSHData!G10</f>
        <v/>
      </c>
      <c r="J1567" s="943"/>
      <c r="K1567" s="943"/>
      <c r="L1567" s="943"/>
      <c r="M1567" s="873">
        <f>CHSHData!R10</f>
        <v>0</v>
      </c>
      <c r="N1567" s="873"/>
      <c r="O1567" s="518"/>
      <c r="P1567" s="536"/>
      <c r="Q1567" s="615"/>
      <c r="R1567" s="536"/>
      <c r="S1567" s="536"/>
      <c r="T1567" s="609"/>
      <c r="U1567" s="609"/>
      <c r="V1567" s="609"/>
      <c r="W1567" s="609"/>
      <c r="X1567" s="588"/>
      <c r="Y1567" s="536"/>
      <c r="Z1567" s="610"/>
      <c r="AA1567" s="536"/>
      <c r="AB1567" s="536"/>
      <c r="AC1567" s="536"/>
      <c r="AD1567" s="536"/>
      <c r="AE1567" s="518"/>
      <c r="AF1567" s="529"/>
      <c r="AG1567" s="529"/>
      <c r="AH1567" s="529"/>
      <c r="AJ1567" s="595" t="b">
        <f t="shared" si="37"/>
        <v>0</v>
      </c>
    </row>
    <row r="1568" spans="1:36" hidden="1" x14ac:dyDescent="0.45">
      <c r="A1568" s="518"/>
      <c r="B1568" s="514" t="s">
        <v>1413</v>
      </c>
      <c r="C1568" s="535"/>
      <c r="D1568" s="535"/>
      <c r="E1568" s="535"/>
      <c r="F1568" s="535"/>
      <c r="G1568" s="885" t="str">
        <f>IF(CHSHData!J11=0,"",CHSHData!J11)</f>
        <v/>
      </c>
      <c r="H1568" s="885"/>
      <c r="I1568" s="943" t="str">
        <f>CHSHData!G11</f>
        <v/>
      </c>
      <c r="J1568" s="943"/>
      <c r="K1568" s="943"/>
      <c r="L1568" s="943"/>
      <c r="M1568" s="873">
        <f>CHSHData!R11</f>
        <v>0</v>
      </c>
      <c r="N1568" s="873"/>
      <c r="O1568" s="518"/>
      <c r="P1568" s="536"/>
      <c r="Q1568" s="615"/>
      <c r="R1568" s="536"/>
      <c r="S1568" s="536"/>
      <c r="T1568" s="609"/>
      <c r="U1568" s="609"/>
      <c r="V1568" s="609"/>
      <c r="W1568" s="609"/>
      <c r="X1568" s="588"/>
      <c r="Y1568" s="536"/>
      <c r="Z1568" s="610"/>
      <c r="AA1568" s="536"/>
      <c r="AB1568" s="536"/>
      <c r="AC1568" s="536"/>
      <c r="AD1568" s="536"/>
      <c r="AE1568" s="518"/>
      <c r="AF1568" s="529"/>
      <c r="AG1568" s="529"/>
      <c r="AH1568" s="529"/>
      <c r="AJ1568" s="595" t="b">
        <f t="shared" si="37"/>
        <v>0</v>
      </c>
    </row>
    <row r="1569" spans="1:36" hidden="1" x14ac:dyDescent="0.45">
      <c r="A1569" s="518"/>
      <c r="B1569" s="514" t="s">
        <v>1414</v>
      </c>
      <c r="C1569" s="535"/>
      <c r="D1569" s="535"/>
      <c r="E1569" s="535"/>
      <c r="F1569" s="535"/>
      <c r="G1569" s="885" t="str">
        <f>IF(CHSHData!J12=0,"",CHSHData!J12)</f>
        <v/>
      </c>
      <c r="H1569" s="885"/>
      <c r="I1569" s="943" t="str">
        <f>CHSHData!G12</f>
        <v/>
      </c>
      <c r="J1569" s="943"/>
      <c r="K1569" s="943"/>
      <c r="L1569" s="943"/>
      <c r="M1569" s="873">
        <f>CHSHData!R12</f>
        <v>0</v>
      </c>
      <c r="N1569" s="873"/>
      <c r="O1569" s="518"/>
      <c r="P1569" s="536"/>
      <c r="Q1569" s="615"/>
      <c r="R1569" s="536"/>
      <c r="S1569" s="536"/>
      <c r="T1569" s="609"/>
      <c r="U1569" s="609"/>
      <c r="V1569" s="609"/>
      <c r="W1569" s="609"/>
      <c r="X1569" s="588"/>
      <c r="Y1569" s="536"/>
      <c r="Z1569" s="610"/>
      <c r="AA1569" s="536"/>
      <c r="AB1569" s="536"/>
      <c r="AC1569" s="536"/>
      <c r="AD1569" s="536"/>
      <c r="AE1569" s="518"/>
      <c r="AF1569" s="529"/>
      <c r="AG1569" s="529"/>
      <c r="AH1569" s="529"/>
      <c r="AJ1569" s="595" t="b">
        <f t="shared" si="37"/>
        <v>0</v>
      </c>
    </row>
    <row r="1570" spans="1:36" hidden="1" x14ac:dyDescent="0.45">
      <c r="A1570" s="518"/>
      <c r="B1570" s="514" t="s">
        <v>1415</v>
      </c>
      <c r="C1570" s="535"/>
      <c r="D1570" s="535"/>
      <c r="E1570" s="535"/>
      <c r="F1570" s="535"/>
      <c r="G1570" s="885" t="str">
        <f>IF(CHSHData!J13=0,"",CHSHData!J13)</f>
        <v/>
      </c>
      <c r="H1570" s="885"/>
      <c r="I1570" s="943" t="str">
        <f>CHSHData!G13</f>
        <v/>
      </c>
      <c r="J1570" s="943"/>
      <c r="K1570" s="943"/>
      <c r="L1570" s="943"/>
      <c r="M1570" s="873">
        <f>CHSHData!R13</f>
        <v>0</v>
      </c>
      <c r="N1570" s="873"/>
      <c r="O1570" s="518"/>
      <c r="P1570" s="536"/>
      <c r="Q1570" s="615"/>
      <c r="R1570" s="536"/>
      <c r="S1570" s="536"/>
      <c r="T1570" s="609"/>
      <c r="U1570" s="609"/>
      <c r="V1570" s="609"/>
      <c r="W1570" s="609"/>
      <c r="X1570" s="588"/>
      <c r="Y1570" s="536"/>
      <c r="Z1570" s="610"/>
      <c r="AA1570" s="536"/>
      <c r="AB1570" s="536"/>
      <c r="AC1570" s="536"/>
      <c r="AD1570" s="536"/>
      <c r="AE1570" s="518"/>
      <c r="AF1570" s="529"/>
      <c r="AG1570" s="529"/>
      <c r="AH1570" s="529"/>
      <c r="AJ1570" s="595" t="b">
        <f t="shared" si="37"/>
        <v>0</v>
      </c>
    </row>
    <row r="1571" spans="1:36" hidden="1" x14ac:dyDescent="0.45">
      <c r="A1571" s="518"/>
      <c r="B1571" s="514" t="s">
        <v>1416</v>
      </c>
      <c r="C1571" s="535"/>
      <c r="D1571" s="535"/>
      <c r="E1571" s="535"/>
      <c r="F1571" s="535"/>
      <c r="G1571" s="885" t="str">
        <f>IF(CHSHData!J14=0,"",CHSHData!J14)</f>
        <v/>
      </c>
      <c r="H1571" s="885"/>
      <c r="I1571" s="943" t="str">
        <f>CHSHData!G14</f>
        <v/>
      </c>
      <c r="J1571" s="943"/>
      <c r="K1571" s="943"/>
      <c r="L1571" s="943"/>
      <c r="M1571" s="873">
        <f>CHSHData!R14</f>
        <v>0</v>
      </c>
      <c r="N1571" s="873"/>
      <c r="O1571" s="518"/>
      <c r="P1571" s="536"/>
      <c r="Q1571" s="615"/>
      <c r="R1571" s="536"/>
      <c r="S1571" s="536"/>
      <c r="T1571" s="609"/>
      <c r="U1571" s="609"/>
      <c r="V1571" s="609"/>
      <c r="W1571" s="609"/>
      <c r="X1571" s="588"/>
      <c r="Y1571" s="536"/>
      <c r="Z1571" s="610"/>
      <c r="AA1571" s="536"/>
      <c r="AB1571" s="536"/>
      <c r="AC1571" s="536"/>
      <c r="AD1571" s="536"/>
      <c r="AE1571" s="518"/>
      <c r="AF1571" s="529"/>
      <c r="AG1571" s="529"/>
      <c r="AH1571" s="529"/>
      <c r="AJ1571" s="595" t="b">
        <f t="shared" si="37"/>
        <v>0</v>
      </c>
    </row>
    <row r="1572" spans="1:36" hidden="1" x14ac:dyDescent="0.45">
      <c r="A1572" s="518"/>
      <c r="B1572" s="514" t="s">
        <v>1417</v>
      </c>
      <c r="C1572" s="535"/>
      <c r="D1572" s="535"/>
      <c r="E1572" s="535"/>
      <c r="F1572" s="535"/>
      <c r="G1572" s="885" t="str">
        <f>IF(CHSHData!J15=0,"",CHSHData!J15)</f>
        <v/>
      </c>
      <c r="H1572" s="885"/>
      <c r="I1572" s="943" t="str">
        <f>CHSHData!G15</f>
        <v/>
      </c>
      <c r="J1572" s="943"/>
      <c r="K1572" s="943"/>
      <c r="L1572" s="943"/>
      <c r="M1572" s="873">
        <f>CHSHData!R15</f>
        <v>0</v>
      </c>
      <c r="N1572" s="873"/>
      <c r="O1572" s="518"/>
      <c r="P1572" s="536"/>
      <c r="Q1572" s="615"/>
      <c r="R1572" s="536"/>
      <c r="S1572" s="536"/>
      <c r="T1572" s="609"/>
      <c r="U1572" s="609"/>
      <c r="V1572" s="609"/>
      <c r="W1572" s="609"/>
      <c r="X1572" s="588"/>
      <c r="Y1572" s="536"/>
      <c r="Z1572" s="610"/>
      <c r="AA1572" s="536"/>
      <c r="AB1572" s="536"/>
      <c r="AC1572" s="536"/>
      <c r="AD1572" s="536"/>
      <c r="AE1572" s="518"/>
      <c r="AF1572" s="529"/>
      <c r="AG1572" s="529"/>
      <c r="AH1572" s="529"/>
      <c r="AJ1572" s="595" t="b">
        <f t="shared" si="37"/>
        <v>0</v>
      </c>
    </row>
    <row r="1573" spans="1:36" hidden="1" x14ac:dyDescent="0.45">
      <c r="A1573" s="518"/>
      <c r="B1573" s="514" t="s">
        <v>1418</v>
      </c>
      <c r="C1573" s="535"/>
      <c r="D1573" s="535"/>
      <c r="E1573" s="535"/>
      <c r="F1573" s="535"/>
      <c r="G1573" s="885" t="str">
        <f>IF(CHSHData!J16=0,"",CHSHData!J16)</f>
        <v/>
      </c>
      <c r="H1573" s="885"/>
      <c r="I1573" s="943" t="str">
        <f>CHSHData!G16</f>
        <v/>
      </c>
      <c r="J1573" s="943"/>
      <c r="K1573" s="943"/>
      <c r="L1573" s="943"/>
      <c r="M1573" s="873">
        <f>CHSHData!R16</f>
        <v>0</v>
      </c>
      <c r="N1573" s="873"/>
      <c r="O1573" s="518"/>
      <c r="P1573" s="536"/>
      <c r="Q1573" s="615"/>
      <c r="R1573" s="536"/>
      <c r="S1573" s="536"/>
      <c r="T1573" s="609"/>
      <c r="U1573" s="609"/>
      <c r="V1573" s="609"/>
      <c r="W1573" s="609"/>
      <c r="X1573" s="588"/>
      <c r="Y1573" s="536"/>
      <c r="Z1573" s="610"/>
      <c r="AA1573" s="536"/>
      <c r="AB1573" s="536"/>
      <c r="AC1573" s="536"/>
      <c r="AD1573" s="536"/>
      <c r="AE1573" s="518"/>
      <c r="AF1573" s="529"/>
      <c r="AG1573" s="529"/>
      <c r="AH1573" s="529"/>
      <c r="AJ1573" s="595" t="b">
        <f t="shared" si="37"/>
        <v>0</v>
      </c>
    </row>
    <row r="1574" spans="1:36" hidden="1" x14ac:dyDescent="0.45">
      <c r="A1574" s="518"/>
      <c r="B1574" s="514" t="s">
        <v>1419</v>
      </c>
      <c r="C1574" s="535"/>
      <c r="D1574" s="535"/>
      <c r="E1574" s="535"/>
      <c r="F1574" s="535"/>
      <c r="G1574" s="885" t="str">
        <f>IF(CHSHData!J17=0,"",CHSHData!J17)</f>
        <v/>
      </c>
      <c r="H1574" s="885"/>
      <c r="I1574" s="943" t="str">
        <f>CHSHData!G17</f>
        <v/>
      </c>
      <c r="J1574" s="943"/>
      <c r="K1574" s="943"/>
      <c r="L1574" s="943"/>
      <c r="M1574" s="873">
        <f>CHSHData!R17</f>
        <v>0</v>
      </c>
      <c r="N1574" s="873"/>
      <c r="O1574" s="518"/>
      <c r="P1574" s="536"/>
      <c r="Q1574" s="615"/>
      <c r="R1574" s="536"/>
      <c r="S1574" s="536"/>
      <c r="T1574" s="609"/>
      <c r="U1574" s="609"/>
      <c r="V1574" s="609"/>
      <c r="W1574" s="609"/>
      <c r="X1574" s="588"/>
      <c r="Y1574" s="536"/>
      <c r="Z1574" s="610"/>
      <c r="AA1574" s="536"/>
      <c r="AB1574" s="536"/>
      <c r="AC1574" s="536"/>
      <c r="AD1574" s="536"/>
      <c r="AE1574" s="518"/>
      <c r="AF1574" s="529"/>
      <c r="AG1574" s="529"/>
      <c r="AH1574" s="529"/>
      <c r="AJ1574" s="595" t="b">
        <f t="shared" si="37"/>
        <v>0</v>
      </c>
    </row>
    <row r="1575" spans="1:36" hidden="1" x14ac:dyDescent="0.45">
      <c r="A1575" s="518"/>
      <c r="B1575" s="514" t="s">
        <v>1420</v>
      </c>
      <c r="C1575" s="535"/>
      <c r="D1575" s="535"/>
      <c r="E1575" s="535"/>
      <c r="F1575" s="535"/>
      <c r="G1575" s="885" t="str">
        <f>IF(CHSHData!J18=0,"",CHSHData!J18)</f>
        <v/>
      </c>
      <c r="H1575" s="885"/>
      <c r="I1575" s="943" t="str">
        <f>CHSHData!G18</f>
        <v/>
      </c>
      <c r="J1575" s="943"/>
      <c r="K1575" s="943"/>
      <c r="L1575" s="943"/>
      <c r="M1575" s="873">
        <f>CHSHData!R18</f>
        <v>0</v>
      </c>
      <c r="N1575" s="873"/>
      <c r="O1575" s="518"/>
      <c r="P1575" s="536"/>
      <c r="Q1575" s="615"/>
      <c r="R1575" s="536"/>
      <c r="S1575" s="536"/>
      <c r="T1575" s="609"/>
      <c r="U1575" s="609"/>
      <c r="V1575" s="609"/>
      <c r="W1575" s="609"/>
      <c r="X1575" s="588"/>
      <c r="Y1575" s="536"/>
      <c r="Z1575" s="610"/>
      <c r="AA1575" s="536"/>
      <c r="AB1575" s="536"/>
      <c r="AC1575" s="536"/>
      <c r="AD1575" s="536"/>
      <c r="AE1575" s="518"/>
      <c r="AF1575" s="529"/>
      <c r="AG1575" s="529"/>
      <c r="AH1575" s="529"/>
      <c r="AJ1575" s="595" t="b">
        <f t="shared" si="37"/>
        <v>0</v>
      </c>
    </row>
    <row r="1576" spans="1:36" hidden="1" x14ac:dyDescent="0.45">
      <c r="A1576" s="518"/>
      <c r="B1576" s="514" t="s">
        <v>1421</v>
      </c>
      <c r="C1576" s="535"/>
      <c r="D1576" s="535"/>
      <c r="E1576" s="535"/>
      <c r="F1576" s="535"/>
      <c r="G1576" s="885" t="str">
        <f>IF(CHSHData!J19=0,"",CHSHData!J19)</f>
        <v/>
      </c>
      <c r="H1576" s="885"/>
      <c r="I1576" s="943" t="str">
        <f>CHSHData!G19</f>
        <v/>
      </c>
      <c r="J1576" s="943"/>
      <c r="K1576" s="943"/>
      <c r="L1576" s="943"/>
      <c r="M1576" s="873">
        <f>CHSHData!R19</f>
        <v>0</v>
      </c>
      <c r="N1576" s="873"/>
      <c r="O1576" s="518"/>
      <c r="P1576" s="536"/>
      <c r="Q1576" s="615"/>
      <c r="R1576" s="536"/>
      <c r="S1576" s="536"/>
      <c r="T1576" s="609"/>
      <c r="U1576" s="609"/>
      <c r="V1576" s="609"/>
      <c r="W1576" s="609"/>
      <c r="X1576" s="588"/>
      <c r="Y1576" s="536"/>
      <c r="Z1576" s="610"/>
      <c r="AA1576" s="536"/>
      <c r="AB1576" s="536"/>
      <c r="AC1576" s="536"/>
      <c r="AD1576" s="536"/>
      <c r="AE1576" s="518"/>
      <c r="AF1576" s="529"/>
      <c r="AG1576" s="529"/>
      <c r="AH1576" s="529"/>
      <c r="AJ1576" s="595" t="b">
        <f t="shared" si="37"/>
        <v>0</v>
      </c>
    </row>
    <row r="1577" spans="1:36" hidden="1" x14ac:dyDescent="0.45">
      <c r="A1577" s="518"/>
      <c r="B1577" s="514" t="s">
        <v>1422</v>
      </c>
      <c r="C1577" s="535"/>
      <c r="D1577" s="535"/>
      <c r="E1577" s="535"/>
      <c r="F1577" s="535"/>
      <c r="G1577" s="885" t="str">
        <f>IF(CHSHData!J20=0,"",CHSHData!J20)</f>
        <v/>
      </c>
      <c r="H1577" s="885"/>
      <c r="I1577" s="943" t="str">
        <f>CHSHData!G20</f>
        <v/>
      </c>
      <c r="J1577" s="943"/>
      <c r="K1577" s="943"/>
      <c r="L1577" s="943"/>
      <c r="M1577" s="873">
        <f>CHSHData!R20</f>
        <v>0</v>
      </c>
      <c r="N1577" s="873"/>
      <c r="O1577" s="518"/>
      <c r="P1577" s="536"/>
      <c r="Q1577" s="615"/>
      <c r="R1577" s="536"/>
      <c r="S1577" s="536"/>
      <c r="T1577" s="609"/>
      <c r="U1577" s="609"/>
      <c r="V1577" s="609"/>
      <c r="W1577" s="609"/>
      <c r="X1577" s="588"/>
      <c r="Y1577" s="536"/>
      <c r="Z1577" s="610"/>
      <c r="AA1577" s="536"/>
      <c r="AB1577" s="536"/>
      <c r="AC1577" s="536"/>
      <c r="AD1577" s="536"/>
      <c r="AE1577" s="518"/>
      <c r="AF1577" s="529"/>
      <c r="AG1577" s="529"/>
      <c r="AH1577" s="529"/>
      <c r="AJ1577" s="595" t="b">
        <f t="shared" si="37"/>
        <v>0</v>
      </c>
    </row>
    <row r="1578" spans="1:36" hidden="1" x14ac:dyDescent="0.45">
      <c r="A1578" s="518"/>
      <c r="B1578" s="514" t="s">
        <v>1423</v>
      </c>
      <c r="C1578" s="535"/>
      <c r="D1578" s="535"/>
      <c r="E1578" s="535"/>
      <c r="F1578" s="535"/>
      <c r="G1578" s="885" t="str">
        <f>IF(CHSHData!J21=0,"",CHSHData!J21)</f>
        <v/>
      </c>
      <c r="H1578" s="885"/>
      <c r="I1578" s="943" t="str">
        <f>CHSHData!G21</f>
        <v/>
      </c>
      <c r="J1578" s="943"/>
      <c r="K1578" s="943"/>
      <c r="L1578" s="943"/>
      <c r="M1578" s="873">
        <f>CHSHData!R21</f>
        <v>0</v>
      </c>
      <c r="N1578" s="873"/>
      <c r="O1578" s="518"/>
      <c r="P1578" s="536"/>
      <c r="Q1578" s="615"/>
      <c r="R1578" s="536"/>
      <c r="S1578" s="536"/>
      <c r="T1578" s="609"/>
      <c r="U1578" s="609"/>
      <c r="V1578" s="609"/>
      <c r="W1578" s="609"/>
      <c r="X1578" s="588"/>
      <c r="Y1578" s="536"/>
      <c r="Z1578" s="610"/>
      <c r="AA1578" s="536"/>
      <c r="AB1578" s="536"/>
      <c r="AC1578" s="536"/>
      <c r="AD1578" s="536"/>
      <c r="AE1578" s="518"/>
      <c r="AF1578" s="529"/>
      <c r="AG1578" s="529"/>
      <c r="AH1578" s="529"/>
      <c r="AJ1578" s="595" t="b">
        <f t="shared" si="37"/>
        <v>0</v>
      </c>
    </row>
    <row r="1579" spans="1:36" hidden="1" x14ac:dyDescent="0.45">
      <c r="A1579" s="518"/>
      <c r="B1579" s="514" t="s">
        <v>1424</v>
      </c>
      <c r="C1579" s="535"/>
      <c r="D1579" s="535"/>
      <c r="E1579" s="535"/>
      <c r="F1579" s="535"/>
      <c r="G1579" s="885" t="str">
        <f>IF(CHSHData!J22=0,"",CHSHData!J22)</f>
        <v/>
      </c>
      <c r="H1579" s="885"/>
      <c r="I1579" s="943" t="str">
        <f>CHSHData!G22</f>
        <v/>
      </c>
      <c r="J1579" s="943"/>
      <c r="K1579" s="943"/>
      <c r="L1579" s="943"/>
      <c r="M1579" s="873">
        <f>CHSHData!R22</f>
        <v>0</v>
      </c>
      <c r="N1579" s="873"/>
      <c r="O1579" s="518"/>
      <c r="P1579" s="536"/>
      <c r="Q1579" s="615"/>
      <c r="R1579" s="536"/>
      <c r="S1579" s="536"/>
      <c r="T1579" s="609"/>
      <c r="U1579" s="609"/>
      <c r="V1579" s="609"/>
      <c r="W1579" s="609"/>
      <c r="X1579" s="588"/>
      <c r="Y1579" s="536"/>
      <c r="Z1579" s="610"/>
      <c r="AA1579" s="536"/>
      <c r="AB1579" s="536"/>
      <c r="AC1579" s="536"/>
      <c r="AD1579" s="536"/>
      <c r="AE1579" s="518"/>
      <c r="AF1579" s="529"/>
      <c r="AG1579" s="529"/>
      <c r="AH1579" s="529"/>
      <c r="AJ1579" s="595" t="b">
        <f t="shared" si="37"/>
        <v>0</v>
      </c>
    </row>
    <row r="1580" spans="1:36" hidden="1" x14ac:dyDescent="0.45">
      <c r="A1580" s="518"/>
      <c r="B1580" s="514" t="s">
        <v>1425</v>
      </c>
      <c r="C1580" s="535"/>
      <c r="D1580" s="535"/>
      <c r="E1580" s="535"/>
      <c r="F1580" s="535"/>
      <c r="G1580" s="885" t="str">
        <f>IF(CHSHData!J23=0,"",CHSHData!J23)</f>
        <v/>
      </c>
      <c r="H1580" s="885"/>
      <c r="I1580" s="943" t="str">
        <f>CHSHData!G23</f>
        <v/>
      </c>
      <c r="J1580" s="943"/>
      <c r="K1580" s="943"/>
      <c r="L1580" s="943"/>
      <c r="M1580" s="873">
        <f>CHSHData!R23</f>
        <v>0</v>
      </c>
      <c r="N1580" s="873"/>
      <c r="O1580" s="518"/>
      <c r="P1580" s="536"/>
      <c r="Q1580" s="615"/>
      <c r="R1580" s="536"/>
      <c r="S1580" s="536"/>
      <c r="T1580" s="609"/>
      <c r="U1580" s="609"/>
      <c r="V1580" s="609"/>
      <c r="W1580" s="609"/>
      <c r="X1580" s="588"/>
      <c r="Y1580" s="536"/>
      <c r="Z1580" s="610"/>
      <c r="AA1580" s="536"/>
      <c r="AB1580" s="536"/>
      <c r="AC1580" s="536"/>
      <c r="AD1580" s="536"/>
      <c r="AE1580" s="518"/>
      <c r="AF1580" s="529"/>
      <c r="AG1580" s="529"/>
      <c r="AH1580" s="529"/>
      <c r="AJ1580" s="595" t="b">
        <f t="shared" si="37"/>
        <v>0</v>
      </c>
    </row>
    <row r="1581" spans="1:36" hidden="1" x14ac:dyDescent="0.45">
      <c r="A1581" s="518"/>
      <c r="B1581" s="514" t="s">
        <v>1426</v>
      </c>
      <c r="C1581" s="535"/>
      <c r="D1581" s="535"/>
      <c r="E1581" s="535"/>
      <c r="F1581" s="535"/>
      <c r="G1581" s="885" t="str">
        <f>IF(CHSHData!J24=0,"",CHSHData!J24)</f>
        <v/>
      </c>
      <c r="H1581" s="885"/>
      <c r="I1581" s="943" t="str">
        <f>CHSHData!G24</f>
        <v/>
      </c>
      <c r="J1581" s="943"/>
      <c r="K1581" s="943"/>
      <c r="L1581" s="943"/>
      <c r="M1581" s="873">
        <f>CHSHData!R24</f>
        <v>0</v>
      </c>
      <c r="N1581" s="873"/>
      <c r="O1581" s="518"/>
      <c r="P1581" s="536"/>
      <c r="Q1581" s="615"/>
      <c r="R1581" s="536"/>
      <c r="S1581" s="536"/>
      <c r="T1581" s="609"/>
      <c r="U1581" s="609"/>
      <c r="V1581" s="609"/>
      <c r="W1581" s="609"/>
      <c r="X1581" s="588"/>
      <c r="Y1581" s="536"/>
      <c r="Z1581" s="610"/>
      <c r="AA1581" s="536"/>
      <c r="AB1581" s="536"/>
      <c r="AC1581" s="536"/>
      <c r="AD1581" s="536"/>
      <c r="AE1581" s="518"/>
      <c r="AF1581" s="529"/>
      <c r="AG1581" s="529"/>
      <c r="AH1581" s="529"/>
      <c r="AJ1581" s="595" t="b">
        <f t="shared" si="37"/>
        <v>0</v>
      </c>
    </row>
    <row r="1582" spans="1:36" hidden="1" x14ac:dyDescent="0.45">
      <c r="A1582" s="518"/>
      <c r="B1582" s="514" t="s">
        <v>1427</v>
      </c>
      <c r="C1582" s="535"/>
      <c r="D1582" s="535"/>
      <c r="E1582" s="535"/>
      <c r="F1582" s="535"/>
      <c r="G1582" s="885" t="str">
        <f>IF(CHSHData!J25=0,"",CHSHData!J25)</f>
        <v/>
      </c>
      <c r="H1582" s="885"/>
      <c r="I1582" s="943" t="str">
        <f>CHSHData!G25</f>
        <v/>
      </c>
      <c r="J1582" s="943"/>
      <c r="K1582" s="943"/>
      <c r="L1582" s="943"/>
      <c r="M1582" s="873">
        <f>CHSHData!R25</f>
        <v>0</v>
      </c>
      <c r="N1582" s="873"/>
      <c r="O1582" s="518"/>
      <c r="P1582" s="536"/>
      <c r="Q1582" s="615"/>
      <c r="R1582" s="536"/>
      <c r="S1582" s="536"/>
      <c r="T1582" s="609"/>
      <c r="U1582" s="609"/>
      <c r="V1582" s="609"/>
      <c r="W1582" s="609"/>
      <c r="X1582" s="588"/>
      <c r="Y1582" s="536"/>
      <c r="Z1582" s="610"/>
      <c r="AA1582" s="536"/>
      <c r="AB1582" s="536"/>
      <c r="AC1582" s="536"/>
      <c r="AD1582" s="536"/>
      <c r="AE1582" s="518"/>
      <c r="AF1582" s="529"/>
      <c r="AG1582" s="529"/>
      <c r="AH1582" s="529"/>
      <c r="AJ1582" s="595" t="b">
        <f t="shared" si="37"/>
        <v>0</v>
      </c>
    </row>
    <row r="1583" spans="1:36" hidden="1" x14ac:dyDescent="0.45">
      <c r="A1583" s="518"/>
      <c r="B1583" s="514" t="s">
        <v>1428</v>
      </c>
      <c r="C1583" s="535"/>
      <c r="D1583" s="535"/>
      <c r="E1583" s="535"/>
      <c r="F1583" s="535"/>
      <c r="G1583" s="885" t="str">
        <f>IF(CHSHData!J26=0,"",CHSHData!J26)</f>
        <v/>
      </c>
      <c r="H1583" s="885"/>
      <c r="I1583" s="943" t="str">
        <f>CHSHData!G26</f>
        <v/>
      </c>
      <c r="J1583" s="943"/>
      <c r="K1583" s="943"/>
      <c r="L1583" s="943"/>
      <c r="M1583" s="873">
        <f>CHSHData!R26</f>
        <v>0</v>
      </c>
      <c r="N1583" s="873"/>
      <c r="O1583" s="518"/>
      <c r="P1583" s="536"/>
      <c r="Q1583" s="615"/>
      <c r="R1583" s="536"/>
      <c r="S1583" s="536"/>
      <c r="T1583" s="609"/>
      <c r="U1583" s="609"/>
      <c r="V1583" s="609"/>
      <c r="W1583" s="609"/>
      <c r="X1583" s="588"/>
      <c r="Y1583" s="536"/>
      <c r="Z1583" s="610"/>
      <c r="AA1583" s="536"/>
      <c r="AB1583" s="536"/>
      <c r="AC1583" s="536"/>
      <c r="AD1583" s="536"/>
      <c r="AE1583" s="518"/>
      <c r="AF1583" s="529"/>
      <c r="AG1583" s="529"/>
      <c r="AH1583" s="529"/>
      <c r="AJ1583" s="595" t="b">
        <f t="shared" si="37"/>
        <v>0</v>
      </c>
    </row>
    <row r="1584" spans="1:36" hidden="1" x14ac:dyDescent="0.45">
      <c r="A1584" s="518"/>
      <c r="B1584" s="514" t="s">
        <v>1429</v>
      </c>
      <c r="C1584" s="535"/>
      <c r="D1584" s="535"/>
      <c r="E1584" s="535"/>
      <c r="F1584" s="535"/>
      <c r="G1584" s="885" t="str">
        <f>IF(CHSHData!J27=0,"",CHSHData!J27)</f>
        <v/>
      </c>
      <c r="H1584" s="885"/>
      <c r="I1584" s="943" t="str">
        <f>CHSHData!G27</f>
        <v/>
      </c>
      <c r="J1584" s="943"/>
      <c r="K1584" s="943"/>
      <c r="L1584" s="943"/>
      <c r="M1584" s="873">
        <f>CHSHData!R27</f>
        <v>0</v>
      </c>
      <c r="N1584" s="873"/>
      <c r="O1584" s="518"/>
      <c r="P1584" s="536"/>
      <c r="Q1584" s="615"/>
      <c r="R1584" s="536"/>
      <c r="S1584" s="536"/>
      <c r="T1584" s="609"/>
      <c r="U1584" s="609"/>
      <c r="V1584" s="609"/>
      <c r="W1584" s="609"/>
      <c r="X1584" s="588"/>
      <c r="Y1584" s="536"/>
      <c r="Z1584" s="610"/>
      <c r="AA1584" s="536"/>
      <c r="AB1584" s="536"/>
      <c r="AC1584" s="536"/>
      <c r="AD1584" s="536"/>
      <c r="AE1584" s="518"/>
      <c r="AF1584" s="529"/>
      <c r="AG1584" s="529"/>
      <c r="AH1584" s="529"/>
      <c r="AJ1584" s="595" t="b">
        <f t="shared" si="37"/>
        <v>0</v>
      </c>
    </row>
    <row r="1585" spans="1:36" hidden="1" x14ac:dyDescent="0.45">
      <c r="A1585" s="518"/>
      <c r="B1585" s="514" t="s">
        <v>1430</v>
      </c>
      <c r="C1585" s="535"/>
      <c r="D1585" s="535"/>
      <c r="E1585" s="535"/>
      <c r="F1585" s="535"/>
      <c r="G1585" s="885" t="str">
        <f>IF(CHSHData!J28=0,"",CHSHData!J28)</f>
        <v/>
      </c>
      <c r="H1585" s="885"/>
      <c r="I1585" s="943" t="str">
        <f>CHSHData!G28</f>
        <v/>
      </c>
      <c r="J1585" s="943"/>
      <c r="K1585" s="943"/>
      <c r="L1585" s="943"/>
      <c r="M1585" s="873">
        <f>CHSHData!R28</f>
        <v>0</v>
      </c>
      <c r="N1585" s="873"/>
      <c r="O1585" s="518"/>
      <c r="P1585" s="536"/>
      <c r="Q1585" s="615"/>
      <c r="R1585" s="536"/>
      <c r="S1585" s="536"/>
      <c r="T1585" s="609"/>
      <c r="U1585" s="609"/>
      <c r="V1585" s="609"/>
      <c r="W1585" s="609"/>
      <c r="X1585" s="588"/>
      <c r="Y1585" s="536"/>
      <c r="Z1585" s="610"/>
      <c r="AA1585" s="536"/>
      <c r="AB1585" s="536"/>
      <c r="AC1585" s="536"/>
      <c r="AD1585" s="536"/>
      <c r="AE1585" s="518"/>
      <c r="AF1585" s="529"/>
      <c r="AG1585" s="529"/>
      <c r="AH1585" s="529"/>
      <c r="AJ1585" s="595" t="b">
        <f t="shared" si="37"/>
        <v>0</v>
      </c>
    </row>
    <row r="1586" spans="1:36" hidden="1" x14ac:dyDescent="0.45">
      <c r="A1586" s="518"/>
      <c r="B1586" s="514" t="s">
        <v>1431</v>
      </c>
      <c r="C1586" s="535"/>
      <c r="D1586" s="535"/>
      <c r="E1586" s="535"/>
      <c r="F1586" s="535"/>
      <c r="G1586" s="885" t="str">
        <f>IF(CHSHData!J29=0,"",CHSHData!J29)</f>
        <v/>
      </c>
      <c r="H1586" s="885"/>
      <c r="I1586" s="943" t="str">
        <f>CHSHData!G29</f>
        <v/>
      </c>
      <c r="J1586" s="943"/>
      <c r="K1586" s="943"/>
      <c r="L1586" s="943"/>
      <c r="M1586" s="873">
        <f>CHSHData!R29</f>
        <v>0</v>
      </c>
      <c r="N1586" s="873"/>
      <c r="O1586" s="518"/>
      <c r="P1586" s="536"/>
      <c r="Q1586" s="615"/>
      <c r="R1586" s="536"/>
      <c r="S1586" s="536"/>
      <c r="T1586" s="609"/>
      <c r="U1586" s="609"/>
      <c r="V1586" s="609"/>
      <c r="W1586" s="609"/>
      <c r="X1586" s="588"/>
      <c r="Y1586" s="536"/>
      <c r="Z1586" s="610"/>
      <c r="AA1586" s="536"/>
      <c r="AB1586" s="536"/>
      <c r="AC1586" s="536"/>
      <c r="AD1586" s="536"/>
      <c r="AE1586" s="518"/>
      <c r="AF1586" s="529"/>
      <c r="AG1586" s="529"/>
      <c r="AH1586" s="529"/>
      <c r="AJ1586" s="595" t="b">
        <f t="shared" si="37"/>
        <v>0</v>
      </c>
    </row>
    <row r="1587" spans="1:36" hidden="1" x14ac:dyDescent="0.45">
      <c r="A1587" s="518"/>
      <c r="B1587" s="514" t="s">
        <v>1432</v>
      </c>
      <c r="C1587" s="535"/>
      <c r="D1587" s="535"/>
      <c r="E1587" s="535"/>
      <c r="F1587" s="535"/>
      <c r="G1587" s="885" t="str">
        <f>IF(CHSHData!J30=0,"",CHSHData!J30)</f>
        <v/>
      </c>
      <c r="H1587" s="885"/>
      <c r="I1587" s="943" t="str">
        <f>CHSHData!G30</f>
        <v/>
      </c>
      <c r="J1587" s="943"/>
      <c r="K1587" s="943"/>
      <c r="L1587" s="943"/>
      <c r="M1587" s="873">
        <f>CHSHData!R30</f>
        <v>0</v>
      </c>
      <c r="N1587" s="873"/>
      <c r="O1587" s="518"/>
      <c r="P1587" s="536"/>
      <c r="Q1587" s="615"/>
      <c r="R1587" s="536"/>
      <c r="S1587" s="536"/>
      <c r="T1587" s="609"/>
      <c r="U1587" s="609"/>
      <c r="V1587" s="609"/>
      <c r="W1587" s="609"/>
      <c r="X1587" s="588"/>
      <c r="Y1587" s="536"/>
      <c r="Z1587" s="610"/>
      <c r="AA1587" s="536"/>
      <c r="AB1587" s="536"/>
      <c r="AC1587" s="536"/>
      <c r="AD1587" s="536"/>
      <c r="AE1587" s="518"/>
      <c r="AF1587" s="529"/>
      <c r="AG1587" s="529"/>
      <c r="AH1587" s="529"/>
      <c r="AJ1587" s="595" t="b">
        <f t="shared" si="37"/>
        <v>0</v>
      </c>
    </row>
    <row r="1588" spans="1:36" hidden="1" x14ac:dyDescent="0.45">
      <c r="A1588" s="518"/>
      <c r="B1588" s="514" t="s">
        <v>1433</v>
      </c>
      <c r="C1588" s="535"/>
      <c r="D1588" s="535"/>
      <c r="E1588" s="535"/>
      <c r="F1588" s="535"/>
      <c r="G1588" s="885" t="str">
        <f>IF(CHSHData!J31=0,"",CHSHData!J31)</f>
        <v/>
      </c>
      <c r="H1588" s="885"/>
      <c r="I1588" s="943" t="str">
        <f>CHSHData!G31</f>
        <v/>
      </c>
      <c r="J1588" s="943"/>
      <c r="K1588" s="943"/>
      <c r="L1588" s="943"/>
      <c r="M1588" s="873">
        <f>CHSHData!R31</f>
        <v>0</v>
      </c>
      <c r="N1588" s="873"/>
      <c r="O1588" s="518"/>
      <c r="P1588" s="536"/>
      <c r="Q1588" s="615"/>
      <c r="R1588" s="536"/>
      <c r="S1588" s="536"/>
      <c r="T1588" s="609"/>
      <c r="U1588" s="609"/>
      <c r="V1588" s="609"/>
      <c r="W1588" s="609"/>
      <c r="X1588" s="588"/>
      <c r="Y1588" s="536"/>
      <c r="Z1588" s="610"/>
      <c r="AA1588" s="536"/>
      <c r="AB1588" s="536"/>
      <c r="AC1588" s="536"/>
      <c r="AD1588" s="536"/>
      <c r="AE1588" s="518"/>
      <c r="AF1588" s="529"/>
      <c r="AG1588" s="529"/>
      <c r="AH1588" s="529"/>
      <c r="AJ1588" s="595" t="b">
        <f t="shared" si="37"/>
        <v>0</v>
      </c>
    </row>
    <row r="1589" spans="1:36" hidden="1" x14ac:dyDescent="0.45">
      <c r="A1589" s="518"/>
      <c r="B1589" s="514" t="s">
        <v>1434</v>
      </c>
      <c r="C1589" s="535"/>
      <c r="D1589" s="535"/>
      <c r="E1589" s="535"/>
      <c r="F1589" s="535"/>
      <c r="G1589" s="885" t="str">
        <f>IF(CHSHData!J32=0,"",CHSHData!J32)</f>
        <v/>
      </c>
      <c r="H1589" s="885"/>
      <c r="I1589" s="943" t="str">
        <f>CHSHData!G32</f>
        <v/>
      </c>
      <c r="J1589" s="943"/>
      <c r="K1589" s="943"/>
      <c r="L1589" s="943"/>
      <c r="M1589" s="873">
        <f>CHSHData!R32</f>
        <v>0</v>
      </c>
      <c r="N1589" s="873"/>
      <c r="O1589" s="518"/>
      <c r="P1589" s="536"/>
      <c r="Q1589" s="615"/>
      <c r="R1589" s="536"/>
      <c r="S1589" s="536"/>
      <c r="T1589" s="609"/>
      <c r="U1589" s="609"/>
      <c r="V1589" s="609"/>
      <c r="W1589" s="609"/>
      <c r="X1589" s="588"/>
      <c r="Y1589" s="536"/>
      <c r="Z1589" s="610"/>
      <c r="AA1589" s="536"/>
      <c r="AB1589" s="536"/>
      <c r="AC1589" s="536"/>
      <c r="AD1589" s="536"/>
      <c r="AE1589" s="518"/>
      <c r="AF1589" s="529"/>
      <c r="AG1589" s="529"/>
      <c r="AH1589" s="529"/>
      <c r="AJ1589" s="595" t="b">
        <f t="shared" si="37"/>
        <v>0</v>
      </c>
    </row>
    <row r="1590" spans="1:36" hidden="1" x14ac:dyDescent="0.45">
      <c r="A1590" s="518"/>
      <c r="B1590" s="514" t="s">
        <v>1435</v>
      </c>
      <c r="C1590" s="535"/>
      <c r="D1590" s="535"/>
      <c r="E1590" s="535"/>
      <c r="F1590" s="535"/>
      <c r="G1590" s="885" t="str">
        <f>IF(CHSHData!J33=0,"",CHSHData!J33)</f>
        <v/>
      </c>
      <c r="H1590" s="885"/>
      <c r="I1590" s="943" t="str">
        <f>CHSHData!G33</f>
        <v/>
      </c>
      <c r="J1590" s="943"/>
      <c r="K1590" s="943"/>
      <c r="L1590" s="943"/>
      <c r="M1590" s="873">
        <f>CHSHData!R33</f>
        <v>0</v>
      </c>
      <c r="N1590" s="873"/>
      <c r="O1590" s="518"/>
      <c r="P1590" s="536"/>
      <c r="Q1590" s="615"/>
      <c r="R1590" s="536"/>
      <c r="S1590" s="536"/>
      <c r="T1590" s="609"/>
      <c r="U1590" s="609"/>
      <c r="V1590" s="609"/>
      <c r="W1590" s="609"/>
      <c r="X1590" s="588"/>
      <c r="Y1590" s="536"/>
      <c r="Z1590" s="610"/>
      <c r="AA1590" s="536"/>
      <c r="AB1590" s="536"/>
      <c r="AC1590" s="536"/>
      <c r="AD1590" s="536"/>
      <c r="AE1590" s="518"/>
      <c r="AF1590" s="529"/>
      <c r="AG1590" s="529"/>
      <c r="AH1590" s="529"/>
      <c r="AJ1590" s="595" t="b">
        <f t="shared" si="37"/>
        <v>0</v>
      </c>
    </row>
    <row r="1591" spans="1:36" hidden="1" x14ac:dyDescent="0.45">
      <c r="A1591" s="518"/>
      <c r="B1591" s="514" t="s">
        <v>1436</v>
      </c>
      <c r="C1591" s="535"/>
      <c r="D1591" s="535"/>
      <c r="E1591" s="535"/>
      <c r="F1591" s="535"/>
      <c r="G1591" s="885" t="str">
        <f>IF(CHSHData!J34=0,"",CHSHData!J34)</f>
        <v/>
      </c>
      <c r="H1591" s="885"/>
      <c r="I1591" s="943" t="str">
        <f>CHSHData!G34</f>
        <v/>
      </c>
      <c r="J1591" s="943"/>
      <c r="K1591" s="943"/>
      <c r="L1591" s="943"/>
      <c r="M1591" s="873">
        <f>CHSHData!R34</f>
        <v>0</v>
      </c>
      <c r="N1591" s="873"/>
      <c r="O1591" s="518"/>
      <c r="P1591" s="536"/>
      <c r="Q1591" s="615"/>
      <c r="R1591" s="536"/>
      <c r="S1591" s="536"/>
      <c r="T1591" s="609"/>
      <c r="U1591" s="609"/>
      <c r="V1591" s="609"/>
      <c r="W1591" s="609"/>
      <c r="X1591" s="588"/>
      <c r="Y1591" s="536"/>
      <c r="Z1591" s="610"/>
      <c r="AA1591" s="536"/>
      <c r="AB1591" s="536"/>
      <c r="AC1591" s="536"/>
      <c r="AD1591" s="536"/>
      <c r="AE1591" s="518"/>
      <c r="AF1591" s="529"/>
      <c r="AG1591" s="529"/>
      <c r="AH1591" s="529"/>
      <c r="AJ1591" s="595" t="b">
        <f t="shared" si="37"/>
        <v>0</v>
      </c>
    </row>
    <row r="1592" spans="1:36" hidden="1" x14ac:dyDescent="0.45">
      <c r="A1592" s="518"/>
      <c r="B1592" s="514" t="s">
        <v>1437</v>
      </c>
      <c r="C1592" s="535"/>
      <c r="D1592" s="535"/>
      <c r="E1592" s="535"/>
      <c r="F1592" s="535"/>
      <c r="G1592" s="885" t="str">
        <f>IF(CHSHData!J35=0,"",CHSHData!J35)</f>
        <v/>
      </c>
      <c r="H1592" s="885"/>
      <c r="I1592" s="943" t="str">
        <f>CHSHData!G35</f>
        <v/>
      </c>
      <c r="J1592" s="943"/>
      <c r="K1592" s="943"/>
      <c r="L1592" s="943"/>
      <c r="M1592" s="873">
        <f>CHSHData!R35</f>
        <v>0</v>
      </c>
      <c r="N1592" s="873"/>
      <c r="O1592" s="518"/>
      <c r="P1592" s="536"/>
      <c r="Q1592" s="615"/>
      <c r="R1592" s="536"/>
      <c r="S1592" s="536"/>
      <c r="T1592" s="609"/>
      <c r="U1592" s="609"/>
      <c r="V1592" s="609"/>
      <c r="W1592" s="609"/>
      <c r="X1592" s="588"/>
      <c r="Y1592" s="536"/>
      <c r="Z1592" s="610"/>
      <c r="AA1592" s="536"/>
      <c r="AB1592" s="536"/>
      <c r="AC1592" s="536"/>
      <c r="AD1592" s="536"/>
      <c r="AE1592" s="518"/>
      <c r="AF1592" s="529"/>
      <c r="AG1592" s="529"/>
      <c r="AH1592" s="529"/>
      <c r="AJ1592" s="595" t="b">
        <f t="shared" ref="AJ1592:AJ1617" si="38">AND(AJ$1553,I1592&gt;0)</f>
        <v>0</v>
      </c>
    </row>
    <row r="1593" spans="1:36" hidden="1" x14ac:dyDescent="0.45">
      <c r="A1593" s="518"/>
      <c r="B1593" s="514" t="s">
        <v>1438</v>
      </c>
      <c r="C1593" s="535"/>
      <c r="D1593" s="535"/>
      <c r="E1593" s="535"/>
      <c r="F1593" s="535"/>
      <c r="G1593" s="885" t="str">
        <f>IF(CHSHData!J36=0,"",CHSHData!J36)</f>
        <v/>
      </c>
      <c r="H1593" s="885"/>
      <c r="I1593" s="943" t="str">
        <f>CHSHData!G36</f>
        <v/>
      </c>
      <c r="J1593" s="943"/>
      <c r="K1593" s="943"/>
      <c r="L1593" s="943"/>
      <c r="M1593" s="873">
        <f>CHSHData!R36</f>
        <v>0</v>
      </c>
      <c r="N1593" s="873"/>
      <c r="O1593" s="518"/>
      <c r="P1593" s="536"/>
      <c r="Q1593" s="615"/>
      <c r="R1593" s="536"/>
      <c r="S1593" s="536"/>
      <c r="T1593" s="609"/>
      <c r="U1593" s="609"/>
      <c r="V1593" s="609"/>
      <c r="W1593" s="609"/>
      <c r="X1593" s="588"/>
      <c r="Y1593" s="536"/>
      <c r="Z1593" s="610"/>
      <c r="AA1593" s="536"/>
      <c r="AB1593" s="536"/>
      <c r="AC1593" s="536"/>
      <c r="AD1593" s="536"/>
      <c r="AE1593" s="518"/>
      <c r="AF1593" s="529"/>
      <c r="AG1593" s="529"/>
      <c r="AH1593" s="529"/>
      <c r="AJ1593" s="595" t="b">
        <f t="shared" si="38"/>
        <v>0</v>
      </c>
    </row>
    <row r="1594" spans="1:36" hidden="1" x14ac:dyDescent="0.45">
      <c r="A1594" s="518"/>
      <c r="B1594" s="514" t="s">
        <v>1439</v>
      </c>
      <c r="C1594" s="535"/>
      <c r="D1594" s="535"/>
      <c r="E1594" s="535"/>
      <c r="F1594" s="535"/>
      <c r="G1594" s="885" t="str">
        <f>IF(CHSHData!J37=0,"",CHSHData!J37)</f>
        <v/>
      </c>
      <c r="H1594" s="885"/>
      <c r="I1594" s="943" t="str">
        <f>CHSHData!G37</f>
        <v/>
      </c>
      <c r="J1594" s="943"/>
      <c r="K1594" s="943"/>
      <c r="L1594" s="943"/>
      <c r="M1594" s="873">
        <f>CHSHData!R37</f>
        <v>0</v>
      </c>
      <c r="N1594" s="873"/>
      <c r="O1594" s="518"/>
      <c r="P1594" s="536"/>
      <c r="Q1594" s="615"/>
      <c r="R1594" s="536"/>
      <c r="S1594" s="536"/>
      <c r="T1594" s="609"/>
      <c r="U1594" s="609"/>
      <c r="V1594" s="609"/>
      <c r="W1594" s="609"/>
      <c r="X1594" s="588"/>
      <c r="Y1594" s="536"/>
      <c r="Z1594" s="610"/>
      <c r="AA1594" s="536"/>
      <c r="AB1594" s="536"/>
      <c r="AC1594" s="536"/>
      <c r="AD1594" s="536"/>
      <c r="AE1594" s="518"/>
      <c r="AF1594" s="529"/>
      <c r="AG1594" s="529"/>
      <c r="AH1594" s="529"/>
      <c r="AJ1594" s="595" t="b">
        <f t="shared" si="38"/>
        <v>0</v>
      </c>
    </row>
    <row r="1595" spans="1:36" hidden="1" x14ac:dyDescent="0.45">
      <c r="A1595" s="518"/>
      <c r="B1595" s="514" t="s">
        <v>1440</v>
      </c>
      <c r="C1595" s="535"/>
      <c r="D1595" s="535"/>
      <c r="E1595" s="535"/>
      <c r="F1595" s="535"/>
      <c r="G1595" s="885" t="str">
        <f>IF(CHSHData!J38=0,"",CHSHData!J38)</f>
        <v/>
      </c>
      <c r="H1595" s="885"/>
      <c r="I1595" s="943" t="str">
        <f>CHSHData!G38</f>
        <v/>
      </c>
      <c r="J1595" s="943"/>
      <c r="K1595" s="943"/>
      <c r="L1595" s="943"/>
      <c r="M1595" s="873">
        <f>CHSHData!R38</f>
        <v>0</v>
      </c>
      <c r="N1595" s="873"/>
      <c r="O1595" s="518"/>
      <c r="P1595" s="536"/>
      <c r="Q1595" s="615"/>
      <c r="R1595" s="536"/>
      <c r="S1595" s="536"/>
      <c r="T1595" s="609"/>
      <c r="U1595" s="609"/>
      <c r="V1595" s="609"/>
      <c r="W1595" s="609"/>
      <c r="X1595" s="588"/>
      <c r="Y1595" s="536"/>
      <c r="Z1595" s="610"/>
      <c r="AA1595" s="536"/>
      <c r="AB1595" s="536"/>
      <c r="AC1595" s="536"/>
      <c r="AD1595" s="536"/>
      <c r="AE1595" s="518"/>
      <c r="AF1595" s="529"/>
      <c r="AG1595" s="529"/>
      <c r="AH1595" s="529"/>
      <c r="AJ1595" s="595" t="b">
        <f t="shared" si="38"/>
        <v>0</v>
      </c>
    </row>
    <row r="1596" spans="1:36" hidden="1" x14ac:dyDescent="0.45">
      <c r="A1596" s="518"/>
      <c r="B1596" s="514" t="s">
        <v>1441</v>
      </c>
      <c r="C1596" s="535"/>
      <c r="D1596" s="535"/>
      <c r="E1596" s="535"/>
      <c r="F1596" s="535"/>
      <c r="G1596" s="885" t="str">
        <f>IF(CHSHData!J39=0,"",CHSHData!J39)</f>
        <v/>
      </c>
      <c r="H1596" s="885"/>
      <c r="I1596" s="943" t="str">
        <f>CHSHData!G39</f>
        <v/>
      </c>
      <c r="J1596" s="943"/>
      <c r="K1596" s="943"/>
      <c r="L1596" s="943"/>
      <c r="M1596" s="873">
        <f>CHSHData!R39</f>
        <v>0</v>
      </c>
      <c r="N1596" s="873"/>
      <c r="O1596" s="518"/>
      <c r="P1596" s="536"/>
      <c r="Q1596" s="615"/>
      <c r="R1596" s="536"/>
      <c r="S1596" s="536"/>
      <c r="T1596" s="609"/>
      <c r="U1596" s="609"/>
      <c r="V1596" s="609"/>
      <c r="W1596" s="609"/>
      <c r="X1596" s="588"/>
      <c r="Y1596" s="536"/>
      <c r="Z1596" s="610"/>
      <c r="AA1596" s="536"/>
      <c r="AB1596" s="536"/>
      <c r="AC1596" s="536"/>
      <c r="AD1596" s="536"/>
      <c r="AE1596" s="518"/>
      <c r="AF1596" s="529"/>
      <c r="AG1596" s="529"/>
      <c r="AH1596" s="529"/>
      <c r="AJ1596" s="595" t="b">
        <f t="shared" si="38"/>
        <v>0</v>
      </c>
    </row>
    <row r="1597" spans="1:36" hidden="1" x14ac:dyDescent="0.45">
      <c r="A1597" s="518"/>
      <c r="B1597" s="514" t="s">
        <v>152</v>
      </c>
      <c r="C1597" s="535"/>
      <c r="D1597" s="535"/>
      <c r="E1597" s="535"/>
      <c r="F1597" s="535"/>
      <c r="G1597" s="885" t="str">
        <f>IF(CHSHData!J40=0,"",CHSHData!J40)</f>
        <v/>
      </c>
      <c r="H1597" s="885"/>
      <c r="I1597" s="943" t="str">
        <f>CHSHData!G40</f>
        <v/>
      </c>
      <c r="J1597" s="943"/>
      <c r="K1597" s="943"/>
      <c r="L1597" s="943"/>
      <c r="M1597" s="873">
        <f>CHSHData!R40</f>
        <v>0</v>
      </c>
      <c r="N1597" s="873"/>
      <c r="O1597" s="518"/>
      <c r="P1597" s="536"/>
      <c r="Q1597" s="615"/>
      <c r="R1597" s="536"/>
      <c r="S1597" s="536"/>
      <c r="T1597" s="609"/>
      <c r="U1597" s="609"/>
      <c r="V1597" s="609"/>
      <c r="W1597" s="609"/>
      <c r="X1597" s="588"/>
      <c r="Y1597" s="536"/>
      <c r="Z1597" s="610"/>
      <c r="AA1597" s="536"/>
      <c r="AB1597" s="536"/>
      <c r="AC1597" s="536"/>
      <c r="AD1597" s="536"/>
      <c r="AE1597" s="518"/>
      <c r="AF1597" s="529"/>
      <c r="AG1597" s="529"/>
      <c r="AH1597" s="529"/>
      <c r="AJ1597" s="595" t="b">
        <f t="shared" si="38"/>
        <v>0</v>
      </c>
    </row>
    <row r="1598" spans="1:36" hidden="1" x14ac:dyDescent="0.45">
      <c r="A1598" s="518"/>
      <c r="B1598" s="514" t="s">
        <v>1442</v>
      </c>
      <c r="C1598" s="535"/>
      <c r="D1598" s="535"/>
      <c r="E1598" s="535"/>
      <c r="F1598" s="535"/>
      <c r="G1598" s="885" t="str">
        <f>IF(CHSHData!J41=0,"",CHSHData!J41)</f>
        <v/>
      </c>
      <c r="H1598" s="885"/>
      <c r="I1598" s="943" t="str">
        <f>CHSHData!G41</f>
        <v/>
      </c>
      <c r="J1598" s="943"/>
      <c r="K1598" s="943"/>
      <c r="L1598" s="943"/>
      <c r="M1598" s="873">
        <f>CHSHData!R41</f>
        <v>0</v>
      </c>
      <c r="N1598" s="873"/>
      <c r="O1598" s="518"/>
      <c r="P1598" s="536"/>
      <c r="Q1598" s="615"/>
      <c r="R1598" s="536"/>
      <c r="S1598" s="536"/>
      <c r="T1598" s="609"/>
      <c r="U1598" s="609"/>
      <c r="V1598" s="609"/>
      <c r="W1598" s="609"/>
      <c r="X1598" s="588"/>
      <c r="Y1598" s="536"/>
      <c r="Z1598" s="610"/>
      <c r="AA1598" s="536"/>
      <c r="AB1598" s="536"/>
      <c r="AC1598" s="536"/>
      <c r="AD1598" s="536"/>
      <c r="AE1598" s="518"/>
      <c r="AF1598" s="529"/>
      <c r="AG1598" s="529"/>
      <c r="AH1598" s="529"/>
      <c r="AJ1598" s="595" t="b">
        <f t="shared" si="38"/>
        <v>0</v>
      </c>
    </row>
    <row r="1599" spans="1:36" hidden="1" x14ac:dyDescent="0.45">
      <c r="A1599" s="518"/>
      <c r="B1599" s="514" t="s">
        <v>1443</v>
      </c>
      <c r="C1599" s="535"/>
      <c r="D1599" s="535"/>
      <c r="E1599" s="535"/>
      <c r="F1599" s="535"/>
      <c r="G1599" s="885" t="str">
        <f>IF(CHSHData!J42=0,"",CHSHData!J42)</f>
        <v/>
      </c>
      <c r="H1599" s="885"/>
      <c r="I1599" s="943" t="str">
        <f>CHSHData!G42</f>
        <v/>
      </c>
      <c r="J1599" s="943"/>
      <c r="K1599" s="943"/>
      <c r="L1599" s="943"/>
      <c r="M1599" s="873">
        <f>CHSHData!R42</f>
        <v>0</v>
      </c>
      <c r="N1599" s="873"/>
      <c r="O1599" s="518"/>
      <c r="P1599" s="536"/>
      <c r="Q1599" s="615"/>
      <c r="R1599" s="536"/>
      <c r="S1599" s="536"/>
      <c r="T1599" s="609"/>
      <c r="U1599" s="609"/>
      <c r="V1599" s="609"/>
      <c r="W1599" s="609"/>
      <c r="X1599" s="588"/>
      <c r="Y1599" s="536"/>
      <c r="Z1599" s="610"/>
      <c r="AA1599" s="536"/>
      <c r="AB1599" s="536"/>
      <c r="AC1599" s="536"/>
      <c r="AD1599" s="536"/>
      <c r="AE1599" s="518"/>
      <c r="AF1599" s="529"/>
      <c r="AG1599" s="529"/>
      <c r="AH1599" s="529"/>
      <c r="AJ1599" s="595" t="b">
        <f t="shared" si="38"/>
        <v>0</v>
      </c>
    </row>
    <row r="1600" spans="1:36" hidden="1" x14ac:dyDescent="0.45">
      <c r="A1600" s="518"/>
      <c r="B1600" s="514" t="s">
        <v>1444</v>
      </c>
      <c r="C1600" s="535"/>
      <c r="D1600" s="535"/>
      <c r="E1600" s="535"/>
      <c r="F1600" s="535"/>
      <c r="G1600" s="885" t="str">
        <f>IF(CHSHData!J43=0,"",CHSHData!J43)</f>
        <v/>
      </c>
      <c r="H1600" s="885"/>
      <c r="I1600" s="943" t="str">
        <f>CHSHData!G43</f>
        <v/>
      </c>
      <c r="J1600" s="943"/>
      <c r="K1600" s="943"/>
      <c r="L1600" s="943"/>
      <c r="M1600" s="873">
        <f>CHSHData!R43</f>
        <v>0</v>
      </c>
      <c r="N1600" s="873"/>
      <c r="O1600" s="518"/>
      <c r="P1600" s="536"/>
      <c r="Q1600" s="615"/>
      <c r="R1600" s="536"/>
      <c r="S1600" s="536"/>
      <c r="T1600" s="609"/>
      <c r="U1600" s="609"/>
      <c r="V1600" s="609"/>
      <c r="W1600" s="609"/>
      <c r="X1600" s="588"/>
      <c r="Y1600" s="536"/>
      <c r="Z1600" s="610"/>
      <c r="AA1600" s="536"/>
      <c r="AB1600" s="536"/>
      <c r="AC1600" s="536"/>
      <c r="AD1600" s="536"/>
      <c r="AE1600" s="518"/>
      <c r="AF1600" s="529"/>
      <c r="AG1600" s="529"/>
      <c r="AH1600" s="529"/>
      <c r="AJ1600" s="595" t="b">
        <f t="shared" si="38"/>
        <v>0</v>
      </c>
    </row>
    <row r="1601" spans="1:36" hidden="1" x14ac:dyDescent="0.45">
      <c r="A1601" s="518"/>
      <c r="B1601" s="514" t="s">
        <v>1445</v>
      </c>
      <c r="C1601" s="535"/>
      <c r="D1601" s="535"/>
      <c r="E1601" s="535"/>
      <c r="F1601" s="535"/>
      <c r="G1601" s="885" t="str">
        <f>IF(CHSHData!J44=0,"",CHSHData!J44)</f>
        <v/>
      </c>
      <c r="H1601" s="885"/>
      <c r="I1601" s="943" t="str">
        <f>CHSHData!G44</f>
        <v/>
      </c>
      <c r="J1601" s="943"/>
      <c r="K1601" s="943"/>
      <c r="L1601" s="943"/>
      <c r="M1601" s="873">
        <f>CHSHData!R44</f>
        <v>0</v>
      </c>
      <c r="N1601" s="873"/>
      <c r="O1601" s="518"/>
      <c r="P1601" s="536"/>
      <c r="Q1601" s="615"/>
      <c r="R1601" s="536"/>
      <c r="S1601" s="536"/>
      <c r="T1601" s="609"/>
      <c r="U1601" s="609"/>
      <c r="V1601" s="609"/>
      <c r="W1601" s="609"/>
      <c r="X1601" s="588"/>
      <c r="Y1601" s="536"/>
      <c r="Z1601" s="610"/>
      <c r="AA1601" s="536"/>
      <c r="AB1601" s="536"/>
      <c r="AC1601" s="536"/>
      <c r="AD1601" s="536"/>
      <c r="AE1601" s="518"/>
      <c r="AF1601" s="529"/>
      <c r="AG1601" s="529"/>
      <c r="AH1601" s="529"/>
      <c r="AJ1601" s="595" t="b">
        <f t="shared" si="38"/>
        <v>0</v>
      </c>
    </row>
    <row r="1602" spans="1:36" hidden="1" x14ac:dyDescent="0.45">
      <c r="A1602" s="518"/>
      <c r="B1602" s="514" t="s">
        <v>1446</v>
      </c>
      <c r="C1602" s="535"/>
      <c r="D1602" s="535"/>
      <c r="E1602" s="535"/>
      <c r="F1602" s="535"/>
      <c r="G1602" s="885" t="str">
        <f>IF(CHSHData!J45=0,"",CHSHData!J45)</f>
        <v/>
      </c>
      <c r="H1602" s="885"/>
      <c r="I1602" s="943" t="str">
        <f>CHSHData!G45</f>
        <v/>
      </c>
      <c r="J1602" s="943"/>
      <c r="K1602" s="943"/>
      <c r="L1602" s="943"/>
      <c r="M1602" s="873">
        <f>CHSHData!R45</f>
        <v>0</v>
      </c>
      <c r="N1602" s="873"/>
      <c r="O1602" s="518"/>
      <c r="P1602" s="536"/>
      <c r="Q1602" s="615"/>
      <c r="R1602" s="536"/>
      <c r="S1602" s="536"/>
      <c r="T1602" s="609"/>
      <c r="U1602" s="609"/>
      <c r="V1602" s="609"/>
      <c r="W1602" s="609"/>
      <c r="X1602" s="588"/>
      <c r="Y1602" s="536"/>
      <c r="Z1602" s="610"/>
      <c r="AA1602" s="536"/>
      <c r="AB1602" s="536"/>
      <c r="AC1602" s="536"/>
      <c r="AD1602" s="536"/>
      <c r="AE1602" s="518"/>
      <c r="AF1602" s="529"/>
      <c r="AG1602" s="529"/>
      <c r="AH1602" s="529"/>
      <c r="AJ1602" s="595" t="b">
        <f t="shared" si="38"/>
        <v>0</v>
      </c>
    </row>
    <row r="1603" spans="1:36" hidden="1" x14ac:dyDescent="0.45">
      <c r="B1603" s="514" t="s">
        <v>1447</v>
      </c>
      <c r="C1603" s="535"/>
      <c r="D1603" s="535"/>
      <c r="E1603" s="535"/>
      <c r="F1603" s="535"/>
      <c r="G1603" s="885" t="str">
        <f>IF(CHSHData!J46=0,"",CHSHData!J46)</f>
        <v/>
      </c>
      <c r="H1603" s="885"/>
      <c r="I1603" s="943" t="str">
        <f>CHSHData!G46</f>
        <v/>
      </c>
      <c r="J1603" s="943"/>
      <c r="K1603" s="943"/>
      <c r="L1603" s="943"/>
      <c r="M1603" s="873">
        <f>CHSHData!R46</f>
        <v>0</v>
      </c>
      <c r="N1603" s="873"/>
      <c r="O1603" s="518"/>
      <c r="P1603" s="536"/>
      <c r="Q1603" s="615"/>
      <c r="R1603" s="536"/>
      <c r="S1603" s="536"/>
      <c r="T1603" s="609"/>
      <c r="U1603" s="609"/>
      <c r="V1603" s="609"/>
      <c r="W1603" s="609"/>
      <c r="X1603" s="588"/>
      <c r="Y1603" s="536"/>
      <c r="Z1603" s="610"/>
      <c r="AA1603" s="536"/>
      <c r="AB1603" s="536"/>
      <c r="AC1603" s="536"/>
      <c r="AD1603" s="536"/>
      <c r="AE1603" s="518"/>
      <c r="AF1603" s="529"/>
      <c r="AG1603" s="529"/>
      <c r="AH1603" s="518"/>
      <c r="AJ1603" s="595" t="b">
        <f t="shared" si="38"/>
        <v>0</v>
      </c>
    </row>
    <row r="1604" spans="1:36" hidden="1" x14ac:dyDescent="0.45">
      <c r="B1604" s="514" t="s">
        <v>1448</v>
      </c>
      <c r="C1604" s="535"/>
      <c r="D1604" s="535"/>
      <c r="E1604" s="535"/>
      <c r="F1604" s="535"/>
      <c r="G1604" s="885" t="str">
        <f>IF(CHSHData!J47=0,"",CHSHData!J47)</f>
        <v/>
      </c>
      <c r="H1604" s="885"/>
      <c r="I1604" s="943" t="str">
        <f>CHSHData!G47</f>
        <v/>
      </c>
      <c r="J1604" s="943"/>
      <c r="K1604" s="943"/>
      <c r="L1604" s="943"/>
      <c r="M1604" s="873">
        <f>CHSHData!R47</f>
        <v>0</v>
      </c>
      <c r="N1604" s="873"/>
      <c r="O1604" s="518"/>
      <c r="P1604" s="536"/>
      <c r="Q1604" s="615"/>
      <c r="R1604" s="536"/>
      <c r="S1604" s="536"/>
      <c r="T1604" s="609"/>
      <c r="U1604" s="609"/>
      <c r="V1604" s="609"/>
      <c r="W1604" s="609"/>
      <c r="X1604" s="588"/>
      <c r="Y1604" s="536"/>
      <c r="Z1604" s="610"/>
      <c r="AA1604" s="536"/>
      <c r="AB1604" s="536"/>
      <c r="AC1604" s="536"/>
      <c r="AD1604" s="536"/>
      <c r="AE1604" s="518"/>
      <c r="AF1604" s="529"/>
      <c r="AG1604" s="529"/>
      <c r="AH1604" s="518"/>
      <c r="AJ1604" s="595" t="b">
        <f t="shared" si="38"/>
        <v>0</v>
      </c>
    </row>
    <row r="1605" spans="1:36" hidden="1" x14ac:dyDescent="0.45">
      <c r="B1605" s="514" t="s">
        <v>1449</v>
      </c>
      <c r="C1605" s="535"/>
      <c r="D1605" s="535"/>
      <c r="E1605" s="535"/>
      <c r="F1605" s="535"/>
      <c r="G1605" s="885" t="str">
        <f>IF(CHSHData!J48=0,"",CHSHData!J48)</f>
        <v/>
      </c>
      <c r="H1605" s="885"/>
      <c r="I1605" s="943" t="str">
        <f>CHSHData!G48</f>
        <v/>
      </c>
      <c r="J1605" s="943"/>
      <c r="K1605" s="943"/>
      <c r="L1605" s="943"/>
      <c r="M1605" s="873">
        <f>CHSHData!R48</f>
        <v>0</v>
      </c>
      <c r="N1605" s="873"/>
      <c r="O1605" s="518"/>
      <c r="P1605" s="536"/>
      <c r="Q1605" s="615"/>
      <c r="R1605" s="536"/>
      <c r="S1605" s="536"/>
      <c r="T1605" s="609"/>
      <c r="U1605" s="609"/>
      <c r="V1605" s="609"/>
      <c r="W1605" s="609"/>
      <c r="X1605" s="588"/>
      <c r="Y1605" s="536"/>
      <c r="Z1605" s="610"/>
      <c r="AA1605" s="536"/>
      <c r="AB1605" s="536"/>
      <c r="AC1605" s="536"/>
      <c r="AD1605" s="536"/>
      <c r="AE1605" s="518"/>
      <c r="AF1605" s="529"/>
      <c r="AG1605" s="529"/>
      <c r="AH1605" s="518"/>
      <c r="AJ1605" s="595" t="b">
        <f t="shared" si="38"/>
        <v>0</v>
      </c>
    </row>
    <row r="1606" spans="1:36" hidden="1" x14ac:dyDescent="0.45">
      <c r="B1606" s="514" t="s">
        <v>1450</v>
      </c>
      <c r="C1606" s="535"/>
      <c r="D1606" s="535"/>
      <c r="E1606" s="535"/>
      <c r="F1606" s="535"/>
      <c r="G1606" s="885" t="str">
        <f>IF(CHSHData!J49=0,"",CHSHData!J49)</f>
        <v/>
      </c>
      <c r="H1606" s="885"/>
      <c r="I1606" s="943" t="str">
        <f>CHSHData!G49</f>
        <v/>
      </c>
      <c r="J1606" s="943"/>
      <c r="K1606" s="943"/>
      <c r="L1606" s="943"/>
      <c r="M1606" s="873">
        <f>CHSHData!R49</f>
        <v>0</v>
      </c>
      <c r="N1606" s="873"/>
      <c r="O1606" s="518"/>
      <c r="P1606" s="536"/>
      <c r="Q1606" s="615"/>
      <c r="R1606" s="536"/>
      <c r="S1606" s="536"/>
      <c r="T1606" s="609"/>
      <c r="U1606" s="609"/>
      <c r="V1606" s="609"/>
      <c r="W1606" s="609"/>
      <c r="X1606" s="588"/>
      <c r="Y1606" s="536"/>
      <c r="Z1606" s="610"/>
      <c r="AA1606" s="536"/>
      <c r="AB1606" s="536"/>
      <c r="AC1606" s="536"/>
      <c r="AD1606" s="536"/>
      <c r="AE1606" s="518"/>
      <c r="AF1606" s="529"/>
      <c r="AG1606" s="529"/>
      <c r="AH1606" s="518"/>
      <c r="AJ1606" s="595" t="b">
        <f t="shared" si="38"/>
        <v>0</v>
      </c>
    </row>
    <row r="1607" spans="1:36" hidden="1" x14ac:dyDescent="0.45">
      <c r="B1607" s="514" t="s">
        <v>1451</v>
      </c>
      <c r="C1607" s="535"/>
      <c r="D1607" s="535"/>
      <c r="E1607" s="535"/>
      <c r="F1607" s="535"/>
      <c r="G1607" s="885" t="str">
        <f>IF(CHSHData!J50=0,"",CHSHData!J50)</f>
        <v/>
      </c>
      <c r="H1607" s="885"/>
      <c r="I1607" s="943" t="str">
        <f>CHSHData!G50</f>
        <v/>
      </c>
      <c r="J1607" s="943"/>
      <c r="K1607" s="943"/>
      <c r="L1607" s="943"/>
      <c r="M1607" s="873">
        <f>CHSHData!R50</f>
        <v>0</v>
      </c>
      <c r="N1607" s="873"/>
      <c r="O1607" s="518"/>
      <c r="P1607" s="536"/>
      <c r="Q1607" s="615"/>
      <c r="R1607" s="536"/>
      <c r="S1607" s="536"/>
      <c r="T1607" s="609"/>
      <c r="U1607" s="609"/>
      <c r="V1607" s="609"/>
      <c r="W1607" s="609"/>
      <c r="X1607" s="588"/>
      <c r="Y1607" s="536"/>
      <c r="Z1607" s="610"/>
      <c r="AA1607" s="536"/>
      <c r="AB1607" s="536"/>
      <c r="AC1607" s="536"/>
      <c r="AD1607" s="536"/>
      <c r="AE1607" s="518"/>
      <c r="AF1607" s="529"/>
      <c r="AG1607" s="529"/>
      <c r="AH1607" s="518"/>
      <c r="AJ1607" s="595" t="b">
        <f t="shared" si="38"/>
        <v>0</v>
      </c>
    </row>
    <row r="1608" spans="1:36" hidden="1" x14ac:dyDescent="0.45">
      <c r="B1608" s="514" t="s">
        <v>1452</v>
      </c>
      <c r="C1608" s="535"/>
      <c r="D1608" s="535"/>
      <c r="E1608" s="535"/>
      <c r="F1608" s="535"/>
      <c r="G1608" s="885" t="str">
        <f>IF(CHSHData!J51=0,"",CHSHData!J51)</f>
        <v/>
      </c>
      <c r="H1608" s="885"/>
      <c r="I1608" s="943" t="str">
        <f>CHSHData!G51</f>
        <v/>
      </c>
      <c r="J1608" s="943"/>
      <c r="K1608" s="943"/>
      <c r="L1608" s="943"/>
      <c r="M1608" s="873">
        <f>CHSHData!R51</f>
        <v>0</v>
      </c>
      <c r="N1608" s="873"/>
      <c r="O1608" s="518"/>
      <c r="P1608" s="536"/>
      <c r="Q1608" s="615"/>
      <c r="R1608" s="536"/>
      <c r="S1608" s="536"/>
      <c r="T1608" s="609"/>
      <c r="U1608" s="609"/>
      <c r="V1608" s="609"/>
      <c r="W1608" s="609"/>
      <c r="X1608" s="588"/>
      <c r="Y1608" s="536"/>
      <c r="Z1608" s="610"/>
      <c r="AA1608" s="536"/>
      <c r="AB1608" s="536"/>
      <c r="AC1608" s="536"/>
      <c r="AD1608" s="536"/>
      <c r="AE1608" s="518"/>
      <c r="AF1608" s="529"/>
      <c r="AG1608" s="529"/>
      <c r="AH1608" s="518"/>
      <c r="AJ1608" s="595" t="b">
        <f t="shared" si="38"/>
        <v>0</v>
      </c>
    </row>
    <row r="1609" spans="1:36" hidden="1" x14ac:dyDescent="0.45">
      <c r="B1609" s="514" t="s">
        <v>1453</v>
      </c>
      <c r="C1609" s="535"/>
      <c r="D1609" s="535"/>
      <c r="E1609" s="535"/>
      <c r="F1609" s="535"/>
      <c r="G1609" s="885" t="str">
        <f>IF(CHSHData!J52=0,"",CHSHData!J52)</f>
        <v/>
      </c>
      <c r="H1609" s="885"/>
      <c r="I1609" s="943" t="str">
        <f>CHSHData!G52</f>
        <v/>
      </c>
      <c r="J1609" s="943"/>
      <c r="K1609" s="943"/>
      <c r="L1609" s="943"/>
      <c r="M1609" s="873">
        <f>CHSHData!R52</f>
        <v>0</v>
      </c>
      <c r="N1609" s="873"/>
      <c r="O1609" s="518"/>
      <c r="P1609" s="536"/>
      <c r="Q1609" s="615"/>
      <c r="R1609" s="536"/>
      <c r="S1609" s="536"/>
      <c r="T1609" s="609"/>
      <c r="U1609" s="609"/>
      <c r="V1609" s="609"/>
      <c r="W1609" s="609"/>
      <c r="X1609" s="588"/>
      <c r="Y1609" s="536"/>
      <c r="Z1609" s="610"/>
      <c r="AA1609" s="536"/>
      <c r="AB1609" s="536"/>
      <c r="AC1609" s="536"/>
      <c r="AD1609" s="536"/>
      <c r="AE1609" s="518"/>
      <c r="AF1609" s="529"/>
      <c r="AG1609" s="529"/>
      <c r="AH1609" s="518"/>
      <c r="AJ1609" s="595" t="b">
        <f t="shared" si="38"/>
        <v>0</v>
      </c>
    </row>
    <row r="1610" spans="1:36" hidden="1" x14ac:dyDescent="0.45">
      <c r="B1610" s="514" t="s">
        <v>1454</v>
      </c>
      <c r="C1610" s="535"/>
      <c r="D1610" s="535"/>
      <c r="E1610" s="535"/>
      <c r="F1610" s="535"/>
      <c r="G1610" s="885" t="str">
        <f>IF(CHSHData!J53=0,"",CHSHData!J53)</f>
        <v/>
      </c>
      <c r="H1610" s="885"/>
      <c r="I1610" s="943" t="str">
        <f>CHSHData!G53</f>
        <v/>
      </c>
      <c r="J1610" s="943"/>
      <c r="K1610" s="943"/>
      <c r="L1610" s="943"/>
      <c r="M1610" s="873">
        <f>CHSHData!R53</f>
        <v>0</v>
      </c>
      <c r="N1610" s="873"/>
      <c r="O1610" s="518"/>
      <c r="P1610" s="536"/>
      <c r="Q1610" s="615"/>
      <c r="R1610" s="536"/>
      <c r="S1610" s="536"/>
      <c r="T1610" s="609"/>
      <c r="U1610" s="609"/>
      <c r="V1610" s="609"/>
      <c r="W1610" s="609"/>
      <c r="X1610" s="588"/>
      <c r="Y1610" s="536"/>
      <c r="Z1610" s="610"/>
      <c r="AA1610" s="536"/>
      <c r="AB1610" s="536"/>
      <c r="AC1610" s="536"/>
      <c r="AD1610" s="536"/>
      <c r="AE1610" s="518"/>
      <c r="AF1610" s="529"/>
      <c r="AG1610" s="529"/>
      <c r="AH1610" s="518"/>
      <c r="AJ1610" s="595" t="b">
        <f t="shared" si="38"/>
        <v>0</v>
      </c>
    </row>
    <row r="1611" spans="1:36" hidden="1" x14ac:dyDescent="0.45">
      <c r="B1611" s="514" t="s">
        <v>1455</v>
      </c>
      <c r="C1611" s="535"/>
      <c r="D1611" s="535"/>
      <c r="E1611" s="535"/>
      <c r="F1611" s="535"/>
      <c r="G1611" s="885" t="str">
        <f>IF(CHSHData!J54=0,"",CHSHData!J54)</f>
        <v/>
      </c>
      <c r="H1611" s="885"/>
      <c r="I1611" s="943" t="str">
        <f>CHSHData!G54</f>
        <v/>
      </c>
      <c r="J1611" s="943"/>
      <c r="K1611" s="943"/>
      <c r="L1611" s="943"/>
      <c r="M1611" s="873">
        <f>CHSHData!R54</f>
        <v>0</v>
      </c>
      <c r="N1611" s="873"/>
      <c r="O1611" s="518"/>
      <c r="P1611" s="536"/>
      <c r="Q1611" s="615"/>
      <c r="R1611" s="536"/>
      <c r="S1611" s="536"/>
      <c r="T1611" s="609"/>
      <c r="U1611" s="609"/>
      <c r="V1611" s="609"/>
      <c r="W1611" s="609"/>
      <c r="X1611" s="588"/>
      <c r="Y1611" s="536"/>
      <c r="Z1611" s="610"/>
      <c r="AA1611" s="536"/>
      <c r="AB1611" s="536"/>
      <c r="AC1611" s="536"/>
      <c r="AD1611" s="536"/>
      <c r="AE1611" s="518"/>
      <c r="AF1611" s="529"/>
      <c r="AG1611" s="529"/>
      <c r="AH1611" s="518"/>
      <c r="AJ1611" s="595" t="b">
        <f t="shared" si="38"/>
        <v>0</v>
      </c>
    </row>
    <row r="1612" spans="1:36" hidden="1" x14ac:dyDescent="0.45">
      <c r="B1612" s="514" t="s">
        <v>1456</v>
      </c>
      <c r="C1612" s="535"/>
      <c r="D1612" s="535"/>
      <c r="E1612" s="535"/>
      <c r="F1612" s="535"/>
      <c r="G1612" s="885" t="str">
        <f>IF(CHSHData!J55=0,"",CHSHData!J55)</f>
        <v/>
      </c>
      <c r="H1612" s="885"/>
      <c r="I1612" s="943" t="str">
        <f>CHSHData!G55</f>
        <v/>
      </c>
      <c r="J1612" s="943"/>
      <c r="K1612" s="943"/>
      <c r="L1612" s="943"/>
      <c r="M1612" s="873">
        <f>CHSHData!R55</f>
        <v>0</v>
      </c>
      <c r="N1612" s="873"/>
      <c r="O1612" s="518"/>
      <c r="P1612" s="536"/>
      <c r="Q1612" s="615"/>
      <c r="R1612" s="536"/>
      <c r="S1612" s="536"/>
      <c r="T1612" s="609"/>
      <c r="U1612" s="609"/>
      <c r="V1612" s="609"/>
      <c r="W1612" s="609"/>
      <c r="X1612" s="588"/>
      <c r="Y1612" s="536"/>
      <c r="Z1612" s="610"/>
      <c r="AA1612" s="536"/>
      <c r="AB1612" s="536"/>
      <c r="AC1612" s="536"/>
      <c r="AD1612" s="536"/>
      <c r="AE1612" s="518"/>
      <c r="AF1612" s="529"/>
      <c r="AG1612" s="529"/>
      <c r="AH1612" s="518"/>
      <c r="AJ1612" s="595" t="b">
        <f t="shared" si="38"/>
        <v>0</v>
      </c>
    </row>
    <row r="1613" spans="1:36" hidden="1" x14ac:dyDescent="0.45">
      <c r="B1613" s="514" t="s">
        <v>1457</v>
      </c>
      <c r="C1613" s="535"/>
      <c r="D1613" s="535"/>
      <c r="E1613" s="535"/>
      <c r="F1613" s="535"/>
      <c r="G1613" s="885" t="str">
        <f>IF(CHSHData!J56=0,"",CHSHData!J56)</f>
        <v/>
      </c>
      <c r="H1613" s="885"/>
      <c r="I1613" s="943" t="str">
        <f>CHSHData!G56</f>
        <v/>
      </c>
      <c r="J1613" s="943"/>
      <c r="K1613" s="943"/>
      <c r="L1613" s="943"/>
      <c r="M1613" s="873">
        <f>CHSHData!R56</f>
        <v>0</v>
      </c>
      <c r="N1613" s="873"/>
      <c r="O1613" s="518"/>
      <c r="P1613" s="536"/>
      <c r="Q1613" s="615"/>
      <c r="R1613" s="536"/>
      <c r="S1613" s="536"/>
      <c r="T1613" s="609"/>
      <c r="U1613" s="609"/>
      <c r="V1613" s="609"/>
      <c r="W1613" s="609"/>
      <c r="X1613" s="588"/>
      <c r="Y1613" s="536"/>
      <c r="Z1613" s="610"/>
      <c r="AA1613" s="536"/>
      <c r="AB1613" s="536"/>
      <c r="AC1613" s="536"/>
      <c r="AD1613" s="536"/>
      <c r="AE1613" s="518"/>
      <c r="AF1613" s="529"/>
      <c r="AG1613" s="529"/>
      <c r="AH1613" s="518"/>
      <c r="AJ1613" s="595" t="b">
        <f t="shared" si="38"/>
        <v>0</v>
      </c>
    </row>
    <row r="1614" spans="1:36" hidden="1" x14ac:dyDescent="0.45">
      <c r="B1614" s="514" t="s">
        <v>1458</v>
      </c>
      <c r="C1614" s="535"/>
      <c r="D1614" s="535"/>
      <c r="E1614" s="535"/>
      <c r="F1614" s="535"/>
      <c r="G1614" s="885" t="str">
        <f>IF(CHSHData!J57=0,"",CHSHData!J57)</f>
        <v/>
      </c>
      <c r="H1614" s="885"/>
      <c r="I1614" s="943" t="str">
        <f>CHSHData!G57</f>
        <v/>
      </c>
      <c r="J1614" s="943"/>
      <c r="K1614" s="943"/>
      <c r="L1614" s="943"/>
      <c r="M1614" s="873">
        <f>CHSHData!R57</f>
        <v>0</v>
      </c>
      <c r="N1614" s="873"/>
      <c r="O1614" s="518"/>
      <c r="P1614" s="536"/>
      <c r="Q1614" s="615"/>
      <c r="R1614" s="536"/>
      <c r="S1614" s="536"/>
      <c r="T1614" s="609"/>
      <c r="U1614" s="609"/>
      <c r="V1614" s="609"/>
      <c r="W1614" s="609"/>
      <c r="X1614" s="588"/>
      <c r="Y1614" s="536"/>
      <c r="Z1614" s="610"/>
      <c r="AA1614" s="536"/>
      <c r="AB1614" s="536"/>
      <c r="AC1614" s="536"/>
      <c r="AD1614" s="536"/>
      <c r="AE1614" s="518"/>
      <c r="AF1614" s="529"/>
      <c r="AG1614" s="529"/>
      <c r="AH1614" s="518"/>
      <c r="AJ1614" s="595" t="b">
        <f t="shared" si="38"/>
        <v>0</v>
      </c>
    </row>
    <row r="1615" spans="1:36" hidden="1" x14ac:dyDescent="0.45">
      <c r="B1615" s="514" t="s">
        <v>1459</v>
      </c>
      <c r="C1615" s="535"/>
      <c r="D1615" s="535"/>
      <c r="E1615" s="535"/>
      <c r="F1615" s="535"/>
      <c r="G1615" s="885" t="str">
        <f>IF(CHSHData!J58=0,"",CHSHData!J58)</f>
        <v/>
      </c>
      <c r="H1615" s="885"/>
      <c r="I1615" s="943" t="str">
        <f>CHSHData!G58</f>
        <v/>
      </c>
      <c r="J1615" s="943"/>
      <c r="K1615" s="943"/>
      <c r="L1615" s="943"/>
      <c r="M1615" s="873">
        <f>CHSHData!R58</f>
        <v>0</v>
      </c>
      <c r="N1615" s="873"/>
      <c r="O1615" s="518"/>
      <c r="P1615" s="536"/>
      <c r="Q1615" s="615"/>
      <c r="R1615" s="536"/>
      <c r="S1615" s="536"/>
      <c r="T1615" s="609"/>
      <c r="U1615" s="609"/>
      <c r="V1615" s="609"/>
      <c r="W1615" s="609"/>
      <c r="X1615" s="588"/>
      <c r="Y1615" s="536"/>
      <c r="Z1615" s="610"/>
      <c r="AA1615" s="536"/>
      <c r="AB1615" s="536"/>
      <c r="AC1615" s="536"/>
      <c r="AD1615" s="536"/>
      <c r="AE1615" s="518"/>
      <c r="AF1615" s="529"/>
      <c r="AG1615" s="529"/>
      <c r="AH1615" s="518"/>
      <c r="AJ1615" s="595" t="b">
        <f t="shared" si="38"/>
        <v>0</v>
      </c>
    </row>
    <row r="1616" spans="1:36" hidden="1" x14ac:dyDescent="0.45">
      <c r="A1616" s="518"/>
      <c r="B1616" s="514" t="s">
        <v>1460</v>
      </c>
      <c r="C1616" s="535"/>
      <c r="D1616" s="535"/>
      <c r="E1616" s="535"/>
      <c r="F1616" s="535"/>
      <c r="G1616" s="885" t="str">
        <f>IF(CHSHData!J59=0,"",CHSHData!J59)</f>
        <v/>
      </c>
      <c r="H1616" s="885"/>
      <c r="I1616" s="943" t="str">
        <f>CHSHData!G59</f>
        <v/>
      </c>
      <c r="J1616" s="943"/>
      <c r="K1616" s="943"/>
      <c r="L1616" s="943"/>
      <c r="M1616" s="873">
        <f>CHSHData!R59</f>
        <v>0</v>
      </c>
      <c r="N1616" s="873"/>
      <c r="O1616" s="518"/>
      <c r="P1616" s="536"/>
      <c r="Q1616" s="615"/>
      <c r="R1616" s="536"/>
      <c r="S1616" s="536"/>
      <c r="T1616" s="609"/>
      <c r="U1616" s="609"/>
      <c r="V1616" s="609"/>
      <c r="W1616" s="609"/>
      <c r="X1616" s="588"/>
      <c r="Y1616" s="536"/>
      <c r="Z1616" s="610"/>
      <c r="AA1616" s="536"/>
      <c r="AB1616" s="536"/>
      <c r="AC1616" s="536"/>
      <c r="AD1616" s="536"/>
      <c r="AE1616" s="518"/>
      <c r="AF1616" s="529"/>
      <c r="AG1616" s="529"/>
      <c r="AH1616" s="518"/>
      <c r="AJ1616" s="595" t="b">
        <f t="shared" si="38"/>
        <v>0</v>
      </c>
    </row>
    <row r="1617" spans="1:36" hidden="1" x14ac:dyDescent="0.45">
      <c r="A1617" s="518"/>
      <c r="B1617" s="514" t="s">
        <v>1461</v>
      </c>
      <c r="C1617" s="535"/>
      <c r="D1617" s="535"/>
      <c r="E1617" s="535"/>
      <c r="F1617" s="535"/>
      <c r="G1617" s="885" t="str">
        <f>IF(CHSHData!J60=0,"",CHSHData!J60)</f>
        <v/>
      </c>
      <c r="H1617" s="885"/>
      <c r="I1617" s="943" t="str">
        <f>CHSHData!G60</f>
        <v/>
      </c>
      <c r="J1617" s="943"/>
      <c r="K1617" s="943"/>
      <c r="L1617" s="943"/>
      <c r="M1617" s="873">
        <f>CHSHData!R60</f>
        <v>0</v>
      </c>
      <c r="N1617" s="873"/>
      <c r="O1617" s="518"/>
      <c r="P1617" s="536"/>
      <c r="Q1617" s="615"/>
      <c r="R1617" s="536"/>
      <c r="S1617" s="536"/>
      <c r="T1617" s="609"/>
      <c r="U1617" s="609"/>
      <c r="V1617" s="609"/>
      <c r="W1617" s="609"/>
      <c r="X1617" s="588"/>
      <c r="Y1617" s="536"/>
      <c r="Z1617" s="610"/>
      <c r="AA1617" s="536"/>
      <c r="AB1617" s="536"/>
      <c r="AC1617" s="536"/>
      <c r="AD1617" s="536"/>
      <c r="AE1617" s="518"/>
      <c r="AF1617" s="529"/>
      <c r="AG1617" s="529"/>
      <c r="AH1617" s="518"/>
      <c r="AJ1617" s="595" t="b">
        <f t="shared" si="38"/>
        <v>0</v>
      </c>
    </row>
    <row r="1618" spans="1:36" hidden="1" x14ac:dyDescent="0.45">
      <c r="A1618" s="518"/>
      <c r="B1618" s="518"/>
      <c r="C1618" s="518"/>
      <c r="D1618" s="518"/>
      <c r="E1618" s="518"/>
      <c r="F1618" s="518"/>
      <c r="G1618" s="518"/>
      <c r="H1618" s="518"/>
      <c r="I1618" s="518"/>
      <c r="J1618" s="518"/>
      <c r="K1618" s="518"/>
      <c r="L1618" s="518"/>
      <c r="M1618" s="518"/>
      <c r="N1618" s="518"/>
      <c r="O1618" s="518"/>
      <c r="P1618" s="518"/>
      <c r="Q1618" s="518"/>
      <c r="R1618" s="518"/>
      <c r="S1618" s="518"/>
      <c r="T1618" s="518"/>
      <c r="U1618" s="518"/>
      <c r="V1618" s="518"/>
      <c r="W1618" s="518"/>
      <c r="X1618" s="518"/>
      <c r="Y1618" s="518"/>
      <c r="Z1618" s="518"/>
      <c r="AA1618" s="518"/>
      <c r="AB1618" s="518"/>
      <c r="AC1618" s="518"/>
      <c r="AD1618" s="518"/>
      <c r="AE1618" s="518"/>
      <c r="AF1618" s="518"/>
      <c r="AG1618" s="518"/>
      <c r="AH1618" s="518"/>
      <c r="AJ1618" s="595" t="b">
        <f>AJ1553</f>
        <v>0</v>
      </c>
    </row>
    <row r="1619" spans="1:36" hidden="1" x14ac:dyDescent="0.45">
      <c r="A1619" s="518"/>
      <c r="B1619" s="917" t="s">
        <v>173</v>
      </c>
      <c r="C1619" s="918"/>
      <c r="D1619" s="918"/>
      <c r="E1619" s="918"/>
      <c r="F1619" s="918"/>
      <c r="G1619" s="918"/>
      <c r="H1619" s="919">
        <f>CHSHData!G61</f>
        <v>0</v>
      </c>
      <c r="I1619" s="920"/>
      <c r="J1619" s="920"/>
      <c r="K1619" s="920"/>
      <c r="L1619" s="920"/>
      <c r="M1619" s="920"/>
      <c r="N1619" s="921"/>
      <c r="O1619" s="518"/>
      <c r="P1619" s="518"/>
      <c r="Q1619" s="518"/>
      <c r="R1619" s="518"/>
      <c r="S1619" s="518"/>
      <c r="T1619" s="518"/>
      <c r="U1619" s="518"/>
      <c r="V1619" s="518"/>
      <c r="W1619" s="518"/>
      <c r="X1619" s="518"/>
      <c r="Y1619" s="518"/>
      <c r="Z1619" s="518"/>
      <c r="AA1619" s="518"/>
      <c r="AB1619" s="518"/>
      <c r="AC1619" s="518"/>
      <c r="AD1619" s="518"/>
      <c r="AE1619" s="518"/>
      <c r="AF1619" s="518"/>
      <c r="AG1619" s="518"/>
      <c r="AH1619" s="518"/>
      <c r="AJ1619" s="595"/>
    </row>
    <row r="1620" spans="1:36" hidden="1" x14ac:dyDescent="0.45">
      <c r="A1620" s="518"/>
      <c r="B1620" s="518"/>
      <c r="C1620" s="518"/>
      <c r="D1620" s="518"/>
      <c r="E1620" s="518"/>
      <c r="F1620" s="518"/>
      <c r="G1620" s="518"/>
      <c r="H1620" s="518"/>
      <c r="I1620" s="518"/>
      <c r="J1620" s="518"/>
      <c r="K1620" s="518"/>
      <c r="L1620" s="518"/>
      <c r="M1620" s="518"/>
      <c r="N1620" s="518"/>
      <c r="O1620" s="518"/>
      <c r="P1620" s="518"/>
      <c r="Q1620" s="518"/>
      <c r="R1620" s="518"/>
      <c r="S1620" s="518"/>
      <c r="T1620" s="518"/>
      <c r="U1620" s="518"/>
      <c r="V1620" s="518"/>
      <c r="W1620" s="518"/>
      <c r="X1620" s="518"/>
      <c r="Y1620" s="518"/>
      <c r="Z1620" s="518"/>
      <c r="AA1620" s="518"/>
      <c r="AB1620" s="518"/>
      <c r="AC1620" s="518"/>
      <c r="AD1620" s="518"/>
      <c r="AE1620" s="518"/>
      <c r="AF1620" s="518"/>
      <c r="AG1620" s="518"/>
      <c r="AH1620" s="518"/>
      <c r="AJ1620" s="595"/>
    </row>
    <row r="1621" spans="1:36" hidden="1" x14ac:dyDescent="0.45">
      <c r="A1621" s="518"/>
      <c r="B1621" s="518" t="s">
        <v>1854</v>
      </c>
      <c r="C1621" s="518"/>
      <c r="D1621" s="518"/>
      <c r="E1621" s="518"/>
      <c r="F1621" s="518"/>
      <c r="G1621" s="518"/>
      <c r="H1621" s="518"/>
      <c r="I1621" s="518"/>
      <c r="J1621" s="518"/>
      <c r="K1621" s="518"/>
      <c r="L1621" s="518"/>
      <c r="M1621" s="518"/>
      <c r="N1621" s="518"/>
      <c r="O1621" s="518"/>
      <c r="P1621" s="518"/>
      <c r="Q1621" s="518"/>
      <c r="R1621" s="518"/>
      <c r="S1621" s="518"/>
      <c r="T1621" s="518"/>
      <c r="U1621" s="518"/>
      <c r="V1621" s="518"/>
      <c r="W1621" s="518"/>
      <c r="X1621" s="518"/>
      <c r="Y1621" s="518"/>
      <c r="Z1621" s="518"/>
      <c r="AA1621" s="518"/>
      <c r="AB1621" s="518"/>
      <c r="AC1621" s="518"/>
      <c r="AD1621" s="518"/>
      <c r="AE1621" s="518"/>
      <c r="AF1621" s="518"/>
      <c r="AG1621" s="518"/>
      <c r="AH1621" s="518"/>
      <c r="AJ1621" s="595"/>
    </row>
    <row r="1622" spans="1:36" hidden="1" x14ac:dyDescent="0.45">
      <c r="A1622" s="518"/>
      <c r="B1622" s="922" t="s">
        <v>174</v>
      </c>
      <c r="C1622" s="922"/>
      <c r="D1622" s="922"/>
      <c r="E1622" s="922"/>
      <c r="F1622" s="922"/>
      <c r="G1622" s="922"/>
      <c r="H1622" s="922"/>
      <c r="I1622" s="922"/>
      <c r="J1622" s="922"/>
      <c r="K1622" s="922"/>
      <c r="L1622" s="922"/>
      <c r="M1622" s="922"/>
      <c r="N1622" s="922"/>
      <c r="O1622" s="878"/>
      <c r="P1622" s="879"/>
      <c r="Q1622" s="880"/>
      <c r="R1622" s="518"/>
      <c r="S1622" s="518"/>
      <c r="T1622" s="518"/>
      <c r="U1622" s="518"/>
      <c r="V1622" s="518"/>
      <c r="W1622" s="518"/>
      <c r="X1622" s="518"/>
      <c r="Y1622" s="518"/>
      <c r="Z1622" s="518"/>
      <c r="AA1622" s="518"/>
      <c r="AB1622" s="518"/>
      <c r="AC1622" s="518"/>
      <c r="AD1622" s="518"/>
      <c r="AE1622" s="518"/>
      <c r="AF1622" s="518"/>
      <c r="AG1622" s="518"/>
      <c r="AH1622" s="518"/>
      <c r="AJ1622" s="595"/>
    </row>
    <row r="1623" spans="1:36" hidden="1" x14ac:dyDescent="0.45">
      <c r="A1623" s="518"/>
      <c r="B1623" s="922" t="s">
        <v>175</v>
      </c>
      <c r="C1623" s="922"/>
      <c r="D1623" s="922"/>
      <c r="E1623" s="922"/>
      <c r="F1623" s="922"/>
      <c r="G1623" s="922"/>
      <c r="H1623" s="922"/>
      <c r="I1623" s="922"/>
      <c r="J1623" s="922"/>
      <c r="K1623" s="922"/>
      <c r="L1623" s="922"/>
      <c r="M1623" s="922"/>
      <c r="N1623" s="922"/>
      <c r="O1623" s="878"/>
      <c r="P1623" s="879"/>
      <c r="Q1623" s="880"/>
      <c r="R1623" s="518"/>
      <c r="S1623" s="518"/>
      <c r="T1623" s="518"/>
      <c r="U1623" s="518"/>
      <c r="V1623" s="518"/>
      <c r="W1623" s="518"/>
      <c r="X1623" s="518"/>
      <c r="Y1623" s="518"/>
      <c r="Z1623" s="518"/>
      <c r="AA1623" s="518"/>
      <c r="AB1623" s="518"/>
      <c r="AC1623" s="518"/>
      <c r="AD1623" s="518"/>
      <c r="AE1623" s="518"/>
      <c r="AF1623" s="518"/>
      <c r="AG1623" s="518"/>
      <c r="AH1623" s="518"/>
      <c r="AJ1623" s="595"/>
    </row>
    <row r="1624" spans="1:36" hidden="1" x14ac:dyDescent="0.45">
      <c r="A1624" s="518"/>
      <c r="B1624" s="922" t="s">
        <v>176</v>
      </c>
      <c r="C1624" s="922"/>
      <c r="D1624" s="922"/>
      <c r="E1624" s="922"/>
      <c r="F1624" s="922"/>
      <c r="G1624" s="922"/>
      <c r="H1624" s="922"/>
      <c r="I1624" s="922"/>
      <c r="J1624" s="922"/>
      <c r="K1624" s="922"/>
      <c r="L1624" s="922"/>
      <c r="M1624" s="922"/>
      <c r="N1624" s="922"/>
      <c r="O1624" s="878"/>
      <c r="P1624" s="879"/>
      <c r="Q1624" s="880"/>
      <c r="R1624" s="518"/>
      <c r="S1624" s="518"/>
      <c r="T1624" s="518"/>
      <c r="U1624" s="518"/>
      <c r="V1624" s="518"/>
      <c r="W1624" s="518"/>
      <c r="X1624" s="518"/>
      <c r="Y1624" s="518"/>
      <c r="Z1624" s="518"/>
      <c r="AA1624" s="518"/>
      <c r="AB1624" s="518"/>
      <c r="AC1624" s="518"/>
      <c r="AD1624" s="518"/>
      <c r="AE1624" s="518"/>
      <c r="AF1624" s="518"/>
      <c r="AG1624" s="518"/>
      <c r="AH1624" s="518"/>
      <c r="AJ1624" s="595"/>
    </row>
    <row r="1625" spans="1:36" hidden="1" x14ac:dyDescent="0.45">
      <c r="A1625" s="518"/>
      <c r="B1625" s="922" t="s">
        <v>177</v>
      </c>
      <c r="C1625" s="922"/>
      <c r="D1625" s="922"/>
      <c r="E1625" s="922"/>
      <c r="F1625" s="922"/>
      <c r="G1625" s="922"/>
      <c r="H1625" s="922"/>
      <c r="I1625" s="922"/>
      <c r="J1625" s="922"/>
      <c r="K1625" s="922"/>
      <c r="L1625" s="922"/>
      <c r="M1625" s="922"/>
      <c r="N1625" s="922"/>
      <c r="O1625" s="878"/>
      <c r="P1625" s="879"/>
      <c r="Q1625" s="880"/>
      <c r="R1625" s="518"/>
      <c r="S1625" s="518"/>
      <c r="T1625" s="518"/>
      <c r="U1625" s="518"/>
      <c r="V1625" s="518"/>
      <c r="W1625" s="518"/>
      <c r="X1625" s="518"/>
      <c r="Y1625" s="518"/>
      <c r="Z1625" s="518"/>
      <c r="AA1625" s="518"/>
      <c r="AB1625" s="518"/>
      <c r="AC1625" s="518"/>
      <c r="AD1625" s="518"/>
      <c r="AE1625" s="518"/>
      <c r="AF1625" s="518"/>
      <c r="AG1625" s="518"/>
      <c r="AH1625" s="518"/>
      <c r="AJ1625" s="595"/>
    </row>
    <row r="1626" spans="1:36" hidden="1" x14ac:dyDescent="0.45">
      <c r="A1626" s="518"/>
      <c r="B1626" s="1223" t="s">
        <v>178</v>
      </c>
      <c r="C1626" s="1223"/>
      <c r="D1626" s="1223"/>
      <c r="E1626" s="1223"/>
      <c r="F1626" s="1223"/>
      <c r="G1626" s="1223"/>
      <c r="H1626" s="1223"/>
      <c r="I1626" s="1223"/>
      <c r="J1626" s="1223"/>
      <c r="K1626" s="1223"/>
      <c r="L1626" s="1223"/>
      <c r="M1626" s="1223"/>
      <c r="N1626" s="1223"/>
      <c r="O1626" s="882" t="s">
        <v>195</v>
      </c>
      <c r="P1626" s="883"/>
      <c r="Q1626" s="884"/>
      <c r="R1626" s="518"/>
      <c r="S1626" s="518"/>
      <c r="T1626" s="518"/>
      <c r="U1626" s="518"/>
      <c r="V1626" s="518"/>
      <c r="W1626" s="518"/>
      <c r="X1626" s="518"/>
      <c r="Y1626" s="518"/>
      <c r="Z1626" s="518"/>
      <c r="AA1626" s="518"/>
      <c r="AB1626" s="518"/>
      <c r="AC1626" s="518"/>
      <c r="AD1626" s="518"/>
      <c r="AE1626" s="518"/>
      <c r="AF1626" s="518"/>
      <c r="AG1626" s="518"/>
      <c r="AH1626" s="518"/>
      <c r="AJ1626" s="595"/>
    </row>
    <row r="1627" spans="1:36" hidden="1" x14ac:dyDescent="0.45">
      <c r="A1627" s="518"/>
      <c r="B1627" s="922" t="s">
        <v>179</v>
      </c>
      <c r="C1627" s="922"/>
      <c r="D1627" s="922"/>
      <c r="E1627" s="922"/>
      <c r="F1627" s="922"/>
      <c r="G1627" s="922"/>
      <c r="H1627" s="922"/>
      <c r="I1627" s="922"/>
      <c r="J1627" s="922"/>
      <c r="K1627" s="922"/>
      <c r="L1627" s="922"/>
      <c r="M1627" s="922"/>
      <c r="N1627" s="922"/>
      <c r="O1627" s="878"/>
      <c r="P1627" s="879"/>
      <c r="Q1627" s="880"/>
      <c r="R1627" s="518"/>
      <c r="S1627" s="518"/>
      <c r="T1627" s="518"/>
      <c r="U1627" s="518"/>
      <c r="V1627" s="518"/>
      <c r="W1627" s="518"/>
      <c r="X1627" s="518"/>
      <c r="Y1627" s="518"/>
      <c r="Z1627" s="518"/>
      <c r="AA1627" s="518"/>
      <c r="AB1627" s="518"/>
      <c r="AC1627" s="518"/>
      <c r="AD1627" s="518"/>
      <c r="AE1627" s="518"/>
      <c r="AF1627" s="518"/>
      <c r="AG1627" s="518"/>
      <c r="AH1627" s="518"/>
      <c r="AJ1627" s="595"/>
    </row>
    <row r="1628" spans="1:36" hidden="1" x14ac:dyDescent="0.45">
      <c r="A1628" s="518"/>
      <c r="B1628" s="922" t="s">
        <v>180</v>
      </c>
      <c r="C1628" s="922"/>
      <c r="D1628" s="922"/>
      <c r="E1628" s="922"/>
      <c r="F1628" s="922"/>
      <c r="G1628" s="922"/>
      <c r="H1628" s="922"/>
      <c r="I1628" s="922"/>
      <c r="J1628" s="922"/>
      <c r="K1628" s="922"/>
      <c r="L1628" s="922"/>
      <c r="M1628" s="922"/>
      <c r="N1628" s="922"/>
      <c r="O1628" s="878"/>
      <c r="P1628" s="879"/>
      <c r="Q1628" s="880"/>
      <c r="R1628" s="518"/>
      <c r="S1628" s="518"/>
      <c r="T1628" s="518"/>
      <c r="U1628" s="518"/>
      <c r="V1628" s="518"/>
      <c r="W1628" s="518"/>
      <c r="X1628" s="518"/>
      <c r="Y1628" s="518"/>
      <c r="Z1628" s="518"/>
      <c r="AA1628" s="518"/>
      <c r="AB1628" s="518"/>
      <c r="AC1628" s="518"/>
      <c r="AD1628" s="518"/>
      <c r="AE1628" s="518"/>
      <c r="AF1628" s="518"/>
      <c r="AG1628" s="518"/>
      <c r="AH1628" s="518"/>
      <c r="AJ1628" s="595"/>
    </row>
    <row r="1629" spans="1:36" hidden="1" x14ac:dyDescent="0.45">
      <c r="A1629" s="518"/>
      <c r="B1629" s="916" t="s">
        <v>181</v>
      </c>
      <c r="C1629" s="916"/>
      <c r="D1629" s="916"/>
      <c r="E1629" s="916"/>
      <c r="F1629" s="916"/>
      <c r="G1629" s="916"/>
      <c r="H1629" s="916"/>
      <c r="I1629" s="916"/>
      <c r="J1629" s="916"/>
      <c r="K1629" s="916"/>
      <c r="L1629" s="916"/>
      <c r="M1629" s="916"/>
      <c r="N1629" s="916"/>
      <c r="O1629" s="927"/>
      <c r="P1629" s="928"/>
      <c r="Q1629" s="929"/>
      <c r="R1629" s="518"/>
      <c r="S1629" s="518"/>
      <c r="T1629" s="518"/>
      <c r="U1629" s="518"/>
      <c r="V1629" s="518"/>
      <c r="W1629" s="518"/>
      <c r="X1629" s="518"/>
      <c r="Y1629" s="518"/>
      <c r="Z1629" s="518"/>
      <c r="AA1629" s="518"/>
      <c r="AB1629" s="518"/>
      <c r="AC1629" s="518"/>
      <c r="AD1629" s="518"/>
      <c r="AE1629" s="518"/>
      <c r="AF1629" s="518"/>
      <c r="AG1629" s="518"/>
      <c r="AH1629" s="518"/>
      <c r="AJ1629" s="595"/>
    </row>
    <row r="1630" spans="1:36" hidden="1" x14ac:dyDescent="0.45">
      <c r="A1630" s="518"/>
      <c r="B1630" s="930" t="s">
        <v>182</v>
      </c>
      <c r="C1630" s="930"/>
      <c r="D1630" s="930"/>
      <c r="E1630" s="930"/>
      <c r="F1630" s="930"/>
      <c r="G1630" s="930"/>
      <c r="H1630" s="930"/>
      <c r="I1630" s="930"/>
      <c r="J1630" s="930"/>
      <c r="K1630" s="930"/>
      <c r="L1630" s="930"/>
      <c r="M1630" s="930"/>
      <c r="N1630" s="930"/>
      <c r="O1630" s="878">
        <f>SUM(O1622:Q1628)-O1629</f>
        <v>0</v>
      </c>
      <c r="P1630" s="879"/>
      <c r="Q1630" s="880"/>
      <c r="R1630" s="518"/>
      <c r="S1630" s="518"/>
      <c r="T1630" s="518"/>
      <c r="U1630" s="518"/>
      <c r="V1630" s="518"/>
      <c r="W1630" s="518"/>
      <c r="X1630" s="518"/>
      <c r="Y1630" s="518"/>
      <c r="Z1630" s="518"/>
      <c r="AA1630" s="518"/>
      <c r="AB1630" s="518"/>
      <c r="AC1630" s="518"/>
      <c r="AD1630" s="518"/>
      <c r="AE1630" s="518"/>
      <c r="AF1630" s="518"/>
      <c r="AG1630" s="518"/>
      <c r="AH1630" s="518"/>
      <c r="AJ1630" s="595"/>
    </row>
    <row r="1631" spans="1:36" hidden="1" x14ac:dyDescent="0.45">
      <c r="A1631" s="518"/>
      <c r="B1631" s="517"/>
      <c r="C1631" s="517"/>
      <c r="D1631" s="517"/>
      <c r="E1631" s="517"/>
      <c r="F1631" s="517"/>
      <c r="G1631" s="517"/>
      <c r="H1631" s="517"/>
      <c r="I1631" s="517"/>
      <c r="J1631" s="517"/>
      <c r="K1631" s="517"/>
      <c r="L1631" s="517"/>
      <c r="M1631" s="517"/>
      <c r="N1631" s="517"/>
      <c r="O1631" s="532"/>
      <c r="P1631" s="532"/>
      <c r="Q1631" s="532"/>
      <c r="R1631" s="518"/>
      <c r="S1631" s="533"/>
      <c r="T1631" s="533"/>
      <c r="U1631" s="533"/>
      <c r="V1631" s="533"/>
      <c r="W1631" s="533"/>
      <c r="X1631" s="533"/>
      <c r="Y1631" s="533"/>
      <c r="Z1631" s="533"/>
      <c r="AA1631" s="533"/>
      <c r="AB1631" s="533"/>
      <c r="AC1631" s="533"/>
      <c r="AD1631" s="533"/>
      <c r="AE1631" s="533"/>
      <c r="AF1631" s="533"/>
      <c r="AG1631" s="533"/>
      <c r="AH1631" s="518"/>
      <c r="AJ1631" s="595"/>
    </row>
    <row r="1632" spans="1:36" ht="200.15" hidden="1" customHeight="1" x14ac:dyDescent="0.45">
      <c r="A1632" s="518"/>
      <c r="B1632" s="926" t="s">
        <v>183</v>
      </c>
      <c r="C1632" s="926"/>
      <c r="D1632" s="926"/>
      <c r="E1632" s="926"/>
      <c r="F1632" s="926"/>
      <c r="G1632" s="926"/>
      <c r="H1632" s="926"/>
      <c r="I1632" s="926"/>
      <c r="J1632" s="926"/>
      <c r="K1632" s="926"/>
      <c r="L1632" s="926"/>
      <c r="M1632" s="926"/>
      <c r="N1632" s="926"/>
      <c r="O1632" s="926"/>
      <c r="P1632" s="926"/>
      <c r="Q1632" s="926"/>
      <c r="R1632" s="926"/>
      <c r="S1632" s="926"/>
      <c r="T1632" s="926"/>
      <c r="U1632" s="926"/>
      <c r="V1632" s="926"/>
      <c r="W1632" s="926"/>
      <c r="X1632" s="926"/>
      <c r="Y1632" s="926"/>
      <c r="Z1632" s="926"/>
      <c r="AA1632" s="926"/>
      <c r="AB1632" s="926"/>
      <c r="AC1632" s="926"/>
      <c r="AD1632" s="926"/>
      <c r="AE1632" s="926"/>
      <c r="AF1632" s="926"/>
      <c r="AG1632" s="926"/>
      <c r="AH1632" s="518"/>
      <c r="AJ1632" s="595"/>
    </row>
    <row r="1633" spans="1:37" hidden="1" x14ac:dyDescent="0.45">
      <c r="A1633" s="518"/>
      <c r="B1633" s="518"/>
      <c r="C1633" s="518"/>
      <c r="D1633" s="518"/>
      <c r="E1633" s="518"/>
      <c r="F1633" s="518"/>
      <c r="G1633" s="518"/>
      <c r="H1633" s="518"/>
      <c r="I1633" s="518"/>
      <c r="J1633" s="518"/>
      <c r="K1633" s="518"/>
      <c r="L1633" s="518"/>
      <c r="M1633" s="518"/>
      <c r="N1633" s="518"/>
      <c r="O1633" s="518"/>
      <c r="P1633" s="518"/>
      <c r="Q1633" s="518"/>
      <c r="R1633" s="518"/>
      <c r="S1633" s="518"/>
      <c r="T1633" s="518"/>
      <c r="U1633" s="518"/>
      <c r="V1633" s="518"/>
      <c r="W1633" s="518"/>
      <c r="X1633" s="518"/>
      <c r="Y1633" s="518"/>
      <c r="Z1633" s="518"/>
      <c r="AA1633" s="518"/>
      <c r="AB1633" s="518"/>
      <c r="AC1633" s="518"/>
      <c r="AD1633" s="518"/>
      <c r="AE1633" s="518"/>
      <c r="AF1633" s="518"/>
      <c r="AG1633" s="518"/>
      <c r="AH1633" s="518"/>
      <c r="AJ1633" s="595"/>
    </row>
    <row r="1634" spans="1:37" hidden="1" x14ac:dyDescent="0.45">
      <c r="A1634" s="518"/>
      <c r="B1634" s="518"/>
      <c r="C1634" s="518"/>
      <c r="D1634" s="518"/>
      <c r="E1634" s="518"/>
      <c r="F1634" s="518"/>
      <c r="G1634" s="518"/>
      <c r="H1634" s="518"/>
      <c r="I1634" s="518"/>
      <c r="J1634" s="518"/>
      <c r="K1634" s="518"/>
      <c r="L1634" s="518"/>
      <c r="M1634" s="518"/>
      <c r="N1634" s="518"/>
      <c r="O1634" s="518"/>
      <c r="P1634" s="518"/>
      <c r="Q1634" s="518"/>
      <c r="R1634" s="518"/>
      <c r="S1634" s="518"/>
      <c r="T1634" s="518"/>
      <c r="U1634" s="518"/>
      <c r="V1634" s="518"/>
      <c r="W1634" s="518"/>
      <c r="X1634" s="518"/>
      <c r="Y1634" s="518"/>
      <c r="Z1634" s="518"/>
      <c r="AA1634" s="518"/>
      <c r="AB1634" s="518"/>
      <c r="AC1634" s="518"/>
      <c r="AD1634" s="518"/>
      <c r="AE1634" s="518"/>
      <c r="AF1634" s="518"/>
      <c r="AG1634" s="518"/>
      <c r="AH1634" s="518"/>
      <c r="AJ1634" s="595" t="b">
        <f>AND(
APP_ApplyingForCalHome="Yes",
CH_ER_EligibleApplicant,
CH_PDL_CompletionStatus="Final/Complete",
CH_PDL_TotalRequested&gt;0)</f>
        <v>0</v>
      </c>
      <c r="AK1634" s="462" t="s">
        <v>1490</v>
      </c>
    </row>
    <row r="1635" spans="1:37" hidden="1" x14ac:dyDescent="0.45">
      <c r="A1635" s="518"/>
      <c r="B1635" s="907" t="s">
        <v>1490</v>
      </c>
      <c r="C1635" s="907"/>
      <c r="D1635" s="907"/>
      <c r="E1635" s="907"/>
      <c r="F1635" s="907"/>
      <c r="G1635" s="907"/>
      <c r="H1635" s="907"/>
      <c r="I1635" s="907"/>
      <c r="J1635" s="907"/>
      <c r="K1635" s="907"/>
      <c r="L1635" s="907"/>
      <c r="M1635" s="907"/>
      <c r="N1635" s="907"/>
      <c r="O1635" s="907"/>
      <c r="P1635" s="907"/>
      <c r="Q1635" s="907"/>
      <c r="R1635" s="907"/>
      <c r="S1635" s="907"/>
      <c r="T1635" s="907"/>
      <c r="U1635" s="907"/>
      <c r="V1635" s="907"/>
      <c r="W1635" s="907"/>
      <c r="X1635" s="907"/>
      <c r="Y1635" s="907"/>
      <c r="Z1635" s="907"/>
      <c r="AA1635" s="907"/>
      <c r="AB1635" s="907"/>
      <c r="AC1635" s="907"/>
      <c r="AD1635" s="907"/>
      <c r="AE1635" s="907"/>
      <c r="AF1635" s="907"/>
      <c r="AG1635" s="907"/>
      <c r="AH1635" s="518"/>
      <c r="AJ1635" s="595"/>
    </row>
    <row r="1636" spans="1:37" hidden="1" x14ac:dyDescent="0.45">
      <c r="A1636" s="518"/>
      <c r="B1636" s="517"/>
      <c r="C1636" s="517"/>
      <c r="D1636" s="517"/>
      <c r="E1636" s="517"/>
      <c r="F1636" s="517"/>
      <c r="G1636" s="517"/>
      <c r="H1636" s="517"/>
      <c r="I1636" s="517"/>
      <c r="J1636" s="517"/>
      <c r="K1636" s="517"/>
      <c r="L1636" s="517"/>
      <c r="M1636" s="517"/>
      <c r="N1636" s="517"/>
      <c r="O1636" s="517"/>
      <c r="P1636" s="517"/>
      <c r="Q1636" s="517"/>
      <c r="R1636" s="517"/>
      <c r="S1636" s="517"/>
      <c r="T1636" s="517"/>
      <c r="U1636" s="517"/>
      <c r="V1636" s="517"/>
      <c r="W1636" s="517"/>
      <c r="X1636" s="517"/>
      <c r="Y1636" s="517"/>
      <c r="Z1636" s="517"/>
      <c r="AA1636" s="517"/>
      <c r="AB1636" s="517"/>
      <c r="AC1636" s="517"/>
      <c r="AD1636" s="517"/>
      <c r="AE1636" s="517"/>
      <c r="AF1636" s="517"/>
      <c r="AG1636" s="517"/>
      <c r="AH1636" s="518"/>
      <c r="AJ1636" s="595"/>
    </row>
    <row r="1637" spans="1:37" hidden="1" x14ac:dyDescent="0.45">
      <c r="A1637" s="518"/>
      <c r="B1637" s="923" t="s">
        <v>88</v>
      </c>
      <c r="C1637" s="923"/>
      <c r="D1637" s="923"/>
      <c r="E1637" s="923"/>
      <c r="F1637" s="923"/>
      <c r="G1637" s="923"/>
      <c r="H1637" s="923"/>
      <c r="I1637" s="1177"/>
      <c r="J1637" s="1178"/>
      <c r="K1637" s="1178"/>
      <c r="L1637" s="1178"/>
      <c r="M1637" s="1178"/>
      <c r="N1637" s="1178"/>
      <c r="O1637" s="1179"/>
      <c r="P1637" s="517"/>
      <c r="Q1637" s="517"/>
      <c r="R1637" s="517"/>
      <c r="S1637" s="517"/>
      <c r="T1637" s="517"/>
      <c r="U1637" s="517"/>
      <c r="V1637" s="517"/>
      <c r="W1637" s="517"/>
      <c r="X1637" s="517"/>
      <c r="Y1637" s="517"/>
      <c r="Z1637" s="517"/>
      <c r="AA1637" s="517"/>
      <c r="AB1637" s="517"/>
      <c r="AC1637" s="517"/>
      <c r="AD1637" s="517"/>
      <c r="AE1637" s="517"/>
      <c r="AF1637" s="1180"/>
      <c r="AG1637" s="1180"/>
      <c r="AH1637" s="518"/>
      <c r="AJ1637" s="595"/>
    </row>
    <row r="1638" spans="1:37" hidden="1" x14ac:dyDescent="0.45">
      <c r="A1638" s="518"/>
      <c r="B1638" s="518"/>
      <c r="C1638" s="518"/>
      <c r="D1638" s="518"/>
      <c r="E1638" s="518"/>
      <c r="F1638" s="518"/>
      <c r="G1638" s="518"/>
      <c r="H1638" s="518"/>
      <c r="I1638" s="518"/>
      <c r="J1638" s="518"/>
      <c r="K1638" s="518"/>
      <c r="L1638" s="518"/>
      <c r="M1638" s="518"/>
      <c r="N1638" s="518"/>
      <c r="O1638" s="518"/>
      <c r="P1638" s="518"/>
      <c r="Q1638" s="518"/>
      <c r="R1638" s="518"/>
      <c r="S1638" s="518"/>
      <c r="T1638" s="518"/>
      <c r="U1638" s="518"/>
      <c r="V1638" s="518"/>
      <c r="W1638" s="518"/>
      <c r="X1638" s="518"/>
      <c r="Y1638" s="518"/>
      <c r="Z1638" s="518"/>
      <c r="AA1638" s="518"/>
      <c r="AB1638" s="518"/>
      <c r="AC1638" s="518"/>
      <c r="AD1638" s="518"/>
      <c r="AE1638" s="518"/>
      <c r="AF1638" s="518"/>
      <c r="AG1638" s="518"/>
      <c r="AH1638" s="518"/>
      <c r="AJ1638" s="595"/>
    </row>
    <row r="1639" spans="1:37" ht="41.15" hidden="1" customHeight="1" x14ac:dyDescent="0.45">
      <c r="A1639" s="518"/>
      <c r="B1639" s="1124" t="s">
        <v>1491</v>
      </c>
      <c r="C1639" s="1125"/>
      <c r="D1639" s="1125"/>
      <c r="E1639" s="1125"/>
      <c r="F1639" s="1125"/>
      <c r="G1639" s="1125"/>
      <c r="H1639" s="1125"/>
      <c r="I1639" s="1125"/>
      <c r="J1639" s="1125"/>
      <c r="K1639" s="1125"/>
      <c r="L1639" s="1125"/>
      <c r="M1639" s="1125"/>
      <c r="N1639" s="1125"/>
      <c r="O1639" s="1125"/>
      <c r="P1639" s="1125"/>
      <c r="Q1639" s="1125"/>
      <c r="R1639" s="1125"/>
      <c r="S1639" s="1125"/>
      <c r="T1639" s="1125"/>
      <c r="U1639" s="1125"/>
      <c r="V1639" s="1125"/>
      <c r="W1639" s="1125"/>
      <c r="X1639" s="1125"/>
      <c r="Y1639" s="1125"/>
      <c r="Z1639" s="1125"/>
      <c r="AA1639" s="1125"/>
      <c r="AB1639" s="1125"/>
      <c r="AC1639" s="1125"/>
      <c r="AD1639" s="1125"/>
      <c r="AE1639" s="573"/>
      <c r="AF1639" s="1123"/>
      <c r="AG1639" s="1123"/>
      <c r="AH1639" s="518"/>
      <c r="AJ1639" s="595"/>
    </row>
    <row r="1640" spans="1:37" hidden="1" x14ac:dyDescent="0.45">
      <c r="A1640" s="518"/>
      <c r="B1640" s="518"/>
      <c r="C1640" s="518"/>
      <c r="D1640" s="518"/>
      <c r="E1640" s="518"/>
      <c r="F1640" s="518"/>
      <c r="G1640" s="518"/>
      <c r="H1640" s="518"/>
      <c r="I1640" s="518"/>
      <c r="J1640" s="518"/>
      <c r="K1640" s="518"/>
      <c r="L1640" s="518"/>
      <c r="M1640" s="518"/>
      <c r="N1640" s="518"/>
      <c r="O1640" s="518"/>
      <c r="P1640" s="518"/>
      <c r="Q1640" s="518"/>
      <c r="R1640" s="518"/>
      <c r="S1640" s="518"/>
      <c r="T1640" s="518"/>
      <c r="U1640" s="518"/>
      <c r="V1640" s="518"/>
      <c r="W1640" s="518"/>
      <c r="X1640" s="518"/>
      <c r="Y1640" s="518"/>
      <c r="Z1640" s="518"/>
      <c r="AA1640" s="518"/>
      <c r="AB1640" s="518"/>
      <c r="AC1640" s="518"/>
      <c r="AD1640" s="518"/>
      <c r="AE1640" s="518"/>
      <c r="AF1640" s="518"/>
      <c r="AG1640" s="518"/>
      <c r="AH1640" s="518"/>
      <c r="AJ1640" s="595"/>
    </row>
    <row r="1641" spans="1:37" hidden="1" x14ac:dyDescent="0.45">
      <c r="A1641" s="518"/>
      <c r="B1641" s="1137" t="s">
        <v>90</v>
      </c>
      <c r="C1641" s="1138"/>
      <c r="D1641" s="1138"/>
      <c r="E1641" s="1138"/>
      <c r="F1641" s="1138"/>
      <c r="G1641" s="1138"/>
      <c r="H1641" s="1138"/>
      <c r="I1641" s="1138"/>
      <c r="J1641" s="1138"/>
      <c r="K1641" s="1138"/>
      <c r="L1641" s="1138"/>
      <c r="M1641" s="1138"/>
      <c r="N1641" s="1138"/>
      <c r="O1641" s="1138"/>
      <c r="P1641" s="1138"/>
      <c r="Q1641" s="1138"/>
      <c r="R1641" s="1138"/>
      <c r="S1641" s="1138"/>
      <c r="T1641" s="1138"/>
      <c r="U1641" s="1138"/>
      <c r="V1641" s="1138"/>
      <c r="W1641" s="1138"/>
      <c r="X1641" s="1138"/>
      <c r="Y1641" s="1138"/>
      <c r="Z1641" s="1139"/>
      <c r="AA1641" s="1143" t="s">
        <v>91</v>
      </c>
      <c r="AB1641" s="1143"/>
      <c r="AC1641" s="1143"/>
      <c r="AD1641" s="1144" t="s">
        <v>1492</v>
      </c>
      <c r="AE1641" s="1145"/>
      <c r="AF1641" s="1145"/>
      <c r="AG1641" s="1146"/>
      <c r="AH1641" s="518"/>
      <c r="AJ1641" s="595"/>
    </row>
    <row r="1642" spans="1:37" hidden="1" x14ac:dyDescent="0.45">
      <c r="A1642" s="518"/>
      <c r="B1642" s="1140"/>
      <c r="C1642" s="1141"/>
      <c r="D1642" s="1141"/>
      <c r="E1642" s="1141"/>
      <c r="F1642" s="1141"/>
      <c r="G1642" s="1141"/>
      <c r="H1642" s="1141"/>
      <c r="I1642" s="1141"/>
      <c r="J1642" s="1141"/>
      <c r="K1642" s="1141"/>
      <c r="L1642" s="1141"/>
      <c r="M1642" s="1141"/>
      <c r="N1642" s="1141"/>
      <c r="O1642" s="1141"/>
      <c r="P1642" s="1141"/>
      <c r="Q1642" s="1141"/>
      <c r="R1642" s="1141"/>
      <c r="S1642" s="1141"/>
      <c r="T1642" s="1141"/>
      <c r="U1642" s="1141"/>
      <c r="V1642" s="1141"/>
      <c r="W1642" s="1141"/>
      <c r="X1642" s="1141"/>
      <c r="Y1642" s="1141"/>
      <c r="Z1642" s="1142"/>
      <c r="AA1642" s="1143"/>
      <c r="AB1642" s="1143"/>
      <c r="AC1642" s="1143"/>
      <c r="AD1642" s="1147"/>
      <c r="AE1642" s="1148"/>
      <c r="AF1642" s="1148"/>
      <c r="AG1642" s="1149"/>
      <c r="AH1642" s="518"/>
      <c r="AJ1642" s="595"/>
    </row>
    <row r="1643" spans="1:37" hidden="1" x14ac:dyDescent="0.45">
      <c r="A1643" s="518"/>
      <c r="B1643" s="1150"/>
      <c r="C1643" s="1151"/>
      <c r="D1643" s="1151"/>
      <c r="E1643" s="1151"/>
      <c r="F1643" s="1151"/>
      <c r="G1643" s="1151"/>
      <c r="H1643" s="1151"/>
      <c r="I1643" s="1151"/>
      <c r="J1643" s="1151"/>
      <c r="K1643" s="1151"/>
      <c r="L1643" s="1151"/>
      <c r="M1643" s="1151"/>
      <c r="N1643" s="1151"/>
      <c r="O1643" s="1151"/>
      <c r="P1643" s="1151"/>
      <c r="Q1643" s="1151"/>
      <c r="R1643" s="1151"/>
      <c r="S1643" s="1151"/>
      <c r="T1643" s="1151"/>
      <c r="U1643" s="1151"/>
      <c r="V1643" s="1151"/>
      <c r="W1643" s="1151"/>
      <c r="X1643" s="1151"/>
      <c r="Y1643" s="1151"/>
      <c r="Z1643" s="1152"/>
      <c r="AA1643" s="894"/>
      <c r="AB1643" s="895"/>
      <c r="AC1643" s="896"/>
      <c r="AD1643" s="1156"/>
      <c r="AE1643" s="1157"/>
      <c r="AF1643" s="1157"/>
      <c r="AG1643" s="1158"/>
      <c r="AH1643" s="518"/>
      <c r="AJ1643" s="595"/>
    </row>
    <row r="1644" spans="1:37" hidden="1" x14ac:dyDescent="0.45">
      <c r="A1644" s="518"/>
      <c r="B1644" s="1153"/>
      <c r="C1644" s="1154"/>
      <c r="D1644" s="1154"/>
      <c r="E1644" s="1154"/>
      <c r="F1644" s="1154"/>
      <c r="G1644" s="1154"/>
      <c r="H1644" s="1154"/>
      <c r="I1644" s="1154"/>
      <c r="J1644" s="1154"/>
      <c r="K1644" s="1154"/>
      <c r="L1644" s="1154"/>
      <c r="M1644" s="1154"/>
      <c r="N1644" s="1154"/>
      <c r="O1644" s="1154"/>
      <c r="P1644" s="1154"/>
      <c r="Q1644" s="1154"/>
      <c r="R1644" s="1154"/>
      <c r="S1644" s="1154"/>
      <c r="T1644" s="1154"/>
      <c r="U1644" s="1154"/>
      <c r="V1644" s="1154"/>
      <c r="W1644" s="1154"/>
      <c r="X1644" s="1154"/>
      <c r="Y1644" s="1154"/>
      <c r="Z1644" s="1155"/>
      <c r="AA1644" s="897"/>
      <c r="AB1644" s="898"/>
      <c r="AC1644" s="899"/>
      <c r="AD1644" s="1159"/>
      <c r="AE1644" s="1160"/>
      <c r="AF1644" s="1160"/>
      <c r="AG1644" s="1161"/>
      <c r="AH1644" s="518"/>
      <c r="AJ1644" s="595"/>
    </row>
    <row r="1645" spans="1:37" hidden="1" x14ac:dyDescent="0.45">
      <c r="A1645" s="518"/>
      <c r="B1645" s="1162"/>
      <c r="C1645" s="1163"/>
      <c r="D1645" s="1163"/>
      <c r="E1645" s="1163"/>
      <c r="F1645" s="1163"/>
      <c r="G1645" s="1163"/>
      <c r="H1645" s="1163"/>
      <c r="I1645" s="1163"/>
      <c r="J1645" s="1163"/>
      <c r="K1645" s="1163"/>
      <c r="L1645" s="1163"/>
      <c r="M1645" s="1163"/>
      <c r="N1645" s="1163"/>
      <c r="O1645" s="1163"/>
      <c r="P1645" s="1163"/>
      <c r="Q1645" s="1163"/>
      <c r="R1645" s="1163"/>
      <c r="S1645" s="1163"/>
      <c r="T1645" s="1163"/>
      <c r="U1645" s="1163"/>
      <c r="V1645" s="1163"/>
      <c r="W1645" s="1163"/>
      <c r="X1645" s="1163"/>
      <c r="Y1645" s="1163"/>
      <c r="Z1645" s="1164"/>
      <c r="AA1645" s="894"/>
      <c r="AB1645" s="895"/>
      <c r="AC1645" s="896"/>
      <c r="AD1645" s="1156"/>
      <c r="AE1645" s="1157"/>
      <c r="AF1645" s="1157"/>
      <c r="AG1645" s="1158"/>
      <c r="AH1645" s="518"/>
      <c r="AJ1645" s="595"/>
    </row>
    <row r="1646" spans="1:37" hidden="1" x14ac:dyDescent="0.45">
      <c r="A1646" s="518"/>
      <c r="B1646" s="1165"/>
      <c r="C1646" s="1166"/>
      <c r="D1646" s="1166"/>
      <c r="E1646" s="1166"/>
      <c r="F1646" s="1166"/>
      <c r="G1646" s="1166"/>
      <c r="H1646" s="1166"/>
      <c r="I1646" s="1166"/>
      <c r="J1646" s="1166"/>
      <c r="K1646" s="1166"/>
      <c r="L1646" s="1166"/>
      <c r="M1646" s="1166"/>
      <c r="N1646" s="1166"/>
      <c r="O1646" s="1166"/>
      <c r="P1646" s="1166"/>
      <c r="Q1646" s="1166"/>
      <c r="R1646" s="1166"/>
      <c r="S1646" s="1166"/>
      <c r="T1646" s="1166"/>
      <c r="U1646" s="1166"/>
      <c r="V1646" s="1166"/>
      <c r="W1646" s="1166"/>
      <c r="X1646" s="1166"/>
      <c r="Y1646" s="1166"/>
      <c r="Z1646" s="1167"/>
      <c r="AA1646" s="897"/>
      <c r="AB1646" s="898"/>
      <c r="AC1646" s="899"/>
      <c r="AD1646" s="1159"/>
      <c r="AE1646" s="1160"/>
      <c r="AF1646" s="1160"/>
      <c r="AG1646" s="1161"/>
      <c r="AH1646" s="518"/>
      <c r="AJ1646" s="595"/>
    </row>
    <row r="1647" spans="1:37" hidden="1" x14ac:dyDescent="0.45">
      <c r="A1647" s="518"/>
      <c r="B1647" s="1162"/>
      <c r="C1647" s="1163"/>
      <c r="D1647" s="1163"/>
      <c r="E1647" s="1163"/>
      <c r="F1647" s="1163"/>
      <c r="G1647" s="1163"/>
      <c r="H1647" s="1163"/>
      <c r="I1647" s="1163"/>
      <c r="J1647" s="1163"/>
      <c r="K1647" s="1163"/>
      <c r="L1647" s="1163"/>
      <c r="M1647" s="1163"/>
      <c r="N1647" s="1163"/>
      <c r="O1647" s="1163"/>
      <c r="P1647" s="1163"/>
      <c r="Q1647" s="1163"/>
      <c r="R1647" s="1163"/>
      <c r="S1647" s="1163"/>
      <c r="T1647" s="1163"/>
      <c r="U1647" s="1163"/>
      <c r="V1647" s="1163"/>
      <c r="W1647" s="1163"/>
      <c r="X1647" s="1163"/>
      <c r="Y1647" s="1163"/>
      <c r="Z1647" s="1164"/>
      <c r="AA1647" s="894"/>
      <c r="AB1647" s="895"/>
      <c r="AC1647" s="896"/>
      <c r="AD1647" s="1156"/>
      <c r="AE1647" s="1157"/>
      <c r="AF1647" s="1157"/>
      <c r="AG1647" s="1158"/>
      <c r="AH1647" s="518"/>
      <c r="AJ1647" s="595"/>
    </row>
    <row r="1648" spans="1:37" hidden="1" x14ac:dyDescent="0.45">
      <c r="A1648" s="518"/>
      <c r="B1648" s="1165"/>
      <c r="C1648" s="1166"/>
      <c r="D1648" s="1166"/>
      <c r="E1648" s="1166"/>
      <c r="F1648" s="1166"/>
      <c r="G1648" s="1166"/>
      <c r="H1648" s="1166"/>
      <c r="I1648" s="1166"/>
      <c r="J1648" s="1166"/>
      <c r="K1648" s="1166"/>
      <c r="L1648" s="1166"/>
      <c r="M1648" s="1166"/>
      <c r="N1648" s="1166"/>
      <c r="O1648" s="1166"/>
      <c r="P1648" s="1166"/>
      <c r="Q1648" s="1166"/>
      <c r="R1648" s="1166"/>
      <c r="S1648" s="1166"/>
      <c r="T1648" s="1166"/>
      <c r="U1648" s="1166"/>
      <c r="V1648" s="1166"/>
      <c r="W1648" s="1166"/>
      <c r="X1648" s="1166"/>
      <c r="Y1648" s="1166"/>
      <c r="Z1648" s="1167"/>
      <c r="AA1648" s="897"/>
      <c r="AB1648" s="898"/>
      <c r="AC1648" s="899"/>
      <c r="AD1648" s="1159"/>
      <c r="AE1648" s="1160"/>
      <c r="AF1648" s="1160"/>
      <c r="AG1648" s="1161"/>
      <c r="AH1648" s="518"/>
      <c r="AJ1648" s="595"/>
    </row>
    <row r="1649" spans="1:36" hidden="1" x14ac:dyDescent="0.45">
      <c r="A1649" s="518"/>
      <c r="B1649" s="1162"/>
      <c r="C1649" s="1163"/>
      <c r="D1649" s="1163"/>
      <c r="E1649" s="1163"/>
      <c r="F1649" s="1163"/>
      <c r="G1649" s="1163"/>
      <c r="H1649" s="1163"/>
      <c r="I1649" s="1163"/>
      <c r="J1649" s="1163"/>
      <c r="K1649" s="1163"/>
      <c r="L1649" s="1163"/>
      <c r="M1649" s="1163"/>
      <c r="N1649" s="1163"/>
      <c r="O1649" s="1163"/>
      <c r="P1649" s="1163"/>
      <c r="Q1649" s="1163"/>
      <c r="R1649" s="1163"/>
      <c r="S1649" s="1163"/>
      <c r="T1649" s="1163"/>
      <c r="U1649" s="1163"/>
      <c r="V1649" s="1163"/>
      <c r="W1649" s="1163"/>
      <c r="X1649" s="1163"/>
      <c r="Y1649" s="1163"/>
      <c r="Z1649" s="1164"/>
      <c r="AA1649" s="894"/>
      <c r="AB1649" s="895"/>
      <c r="AC1649" s="896"/>
      <c r="AD1649" s="1156"/>
      <c r="AE1649" s="1157"/>
      <c r="AF1649" s="1157"/>
      <c r="AG1649" s="1158"/>
      <c r="AH1649" s="518"/>
      <c r="AJ1649" s="595"/>
    </row>
    <row r="1650" spans="1:36" hidden="1" x14ac:dyDescent="0.45">
      <c r="A1650" s="518"/>
      <c r="B1650" s="1165"/>
      <c r="C1650" s="1166"/>
      <c r="D1650" s="1166"/>
      <c r="E1650" s="1166"/>
      <c r="F1650" s="1166"/>
      <c r="G1650" s="1166"/>
      <c r="H1650" s="1166"/>
      <c r="I1650" s="1166"/>
      <c r="J1650" s="1166"/>
      <c r="K1650" s="1166"/>
      <c r="L1650" s="1166"/>
      <c r="M1650" s="1166"/>
      <c r="N1650" s="1166"/>
      <c r="O1650" s="1166"/>
      <c r="P1650" s="1166"/>
      <c r="Q1650" s="1166"/>
      <c r="R1650" s="1166"/>
      <c r="S1650" s="1166"/>
      <c r="T1650" s="1166"/>
      <c r="U1650" s="1166"/>
      <c r="V1650" s="1166"/>
      <c r="W1650" s="1166"/>
      <c r="X1650" s="1166"/>
      <c r="Y1650" s="1166"/>
      <c r="Z1650" s="1167"/>
      <c r="AA1650" s="897"/>
      <c r="AB1650" s="898"/>
      <c r="AC1650" s="899"/>
      <c r="AD1650" s="1159"/>
      <c r="AE1650" s="1160"/>
      <c r="AF1650" s="1160"/>
      <c r="AG1650" s="1161"/>
      <c r="AH1650" s="518"/>
      <c r="AJ1650" s="595"/>
    </row>
    <row r="1651" spans="1:36" hidden="1" x14ac:dyDescent="0.45">
      <c r="A1651" s="518"/>
      <c r="B1651" s="1162"/>
      <c r="C1651" s="1163"/>
      <c r="D1651" s="1163"/>
      <c r="E1651" s="1163"/>
      <c r="F1651" s="1163"/>
      <c r="G1651" s="1163"/>
      <c r="H1651" s="1163"/>
      <c r="I1651" s="1163"/>
      <c r="J1651" s="1163"/>
      <c r="K1651" s="1163"/>
      <c r="L1651" s="1163"/>
      <c r="M1651" s="1163"/>
      <c r="N1651" s="1163"/>
      <c r="O1651" s="1163"/>
      <c r="P1651" s="1163"/>
      <c r="Q1651" s="1163"/>
      <c r="R1651" s="1163"/>
      <c r="S1651" s="1163"/>
      <c r="T1651" s="1163"/>
      <c r="U1651" s="1163"/>
      <c r="V1651" s="1163"/>
      <c r="W1651" s="1163"/>
      <c r="X1651" s="1163"/>
      <c r="Y1651" s="1163"/>
      <c r="Z1651" s="1164"/>
      <c r="AA1651" s="894"/>
      <c r="AB1651" s="895"/>
      <c r="AC1651" s="896"/>
      <c r="AD1651" s="1156"/>
      <c r="AE1651" s="1157"/>
      <c r="AF1651" s="1157"/>
      <c r="AG1651" s="1158"/>
      <c r="AH1651" s="518"/>
      <c r="AJ1651" s="595"/>
    </row>
    <row r="1652" spans="1:36" hidden="1" x14ac:dyDescent="0.45">
      <c r="A1652" s="518"/>
      <c r="B1652" s="1165"/>
      <c r="C1652" s="1166"/>
      <c r="D1652" s="1166"/>
      <c r="E1652" s="1166"/>
      <c r="F1652" s="1166"/>
      <c r="G1652" s="1166"/>
      <c r="H1652" s="1166"/>
      <c r="I1652" s="1166"/>
      <c r="J1652" s="1166"/>
      <c r="K1652" s="1166"/>
      <c r="L1652" s="1166"/>
      <c r="M1652" s="1166"/>
      <c r="N1652" s="1166"/>
      <c r="O1652" s="1166"/>
      <c r="P1652" s="1166"/>
      <c r="Q1652" s="1166"/>
      <c r="R1652" s="1166"/>
      <c r="S1652" s="1166"/>
      <c r="T1652" s="1166"/>
      <c r="U1652" s="1166"/>
      <c r="V1652" s="1166"/>
      <c r="W1652" s="1166"/>
      <c r="X1652" s="1166"/>
      <c r="Y1652" s="1166"/>
      <c r="Z1652" s="1167"/>
      <c r="AA1652" s="897"/>
      <c r="AB1652" s="898"/>
      <c r="AC1652" s="899"/>
      <c r="AD1652" s="1159"/>
      <c r="AE1652" s="1160"/>
      <c r="AF1652" s="1160"/>
      <c r="AG1652" s="1161"/>
      <c r="AH1652" s="518"/>
      <c r="AJ1652" s="595"/>
    </row>
    <row r="1653" spans="1:36" hidden="1" x14ac:dyDescent="0.45">
      <c r="A1653" s="518"/>
      <c r="B1653" s="518"/>
      <c r="C1653" s="518"/>
      <c r="D1653" s="518"/>
      <c r="E1653" s="518"/>
      <c r="F1653" s="518"/>
      <c r="G1653" s="518"/>
      <c r="H1653" s="518"/>
      <c r="I1653" s="518"/>
      <c r="J1653" s="518"/>
      <c r="K1653" s="518"/>
      <c r="L1653" s="518"/>
      <c r="M1653" s="518"/>
      <c r="N1653" s="518"/>
      <c r="O1653" s="518"/>
      <c r="P1653" s="518"/>
      <c r="Q1653" s="518"/>
      <c r="R1653" s="518"/>
      <c r="S1653" s="518"/>
      <c r="T1653" s="518"/>
      <c r="U1653" s="518"/>
      <c r="V1653" s="518"/>
      <c r="W1653" s="518"/>
      <c r="X1653" s="518"/>
      <c r="Y1653" s="518"/>
      <c r="Z1653" s="518"/>
      <c r="AA1653" s="518"/>
      <c r="AB1653" s="518"/>
      <c r="AC1653" s="518"/>
      <c r="AD1653" s="518"/>
      <c r="AE1653" s="518"/>
      <c r="AF1653" s="518"/>
      <c r="AG1653" s="518"/>
      <c r="AH1653" s="518"/>
      <c r="AJ1653" s="595"/>
    </row>
    <row r="1654" spans="1:36" ht="40.5" hidden="1" customHeight="1" x14ac:dyDescent="0.45">
      <c r="A1654" s="518"/>
      <c r="B1654" s="1121" t="s">
        <v>1493</v>
      </c>
      <c r="C1654" s="1122"/>
      <c r="D1654" s="1122"/>
      <c r="E1654" s="1122"/>
      <c r="F1654" s="1122"/>
      <c r="G1654" s="1122"/>
      <c r="H1654" s="1122"/>
      <c r="I1654" s="1122"/>
      <c r="J1654" s="1122"/>
      <c r="K1654" s="1122"/>
      <c r="L1654" s="1122"/>
      <c r="M1654" s="1122"/>
      <c r="N1654" s="1122"/>
      <c r="O1654" s="1122"/>
      <c r="P1654" s="1122"/>
      <c r="Q1654" s="1122"/>
      <c r="R1654" s="1122"/>
      <c r="S1654" s="1122"/>
      <c r="T1654" s="1122"/>
      <c r="U1654" s="1122"/>
      <c r="V1654" s="1122"/>
      <c r="W1654" s="1122"/>
      <c r="X1654" s="1122"/>
      <c r="Y1654" s="1122"/>
      <c r="Z1654" s="1122"/>
      <c r="AA1654" s="1122"/>
      <c r="AB1654" s="1122"/>
      <c r="AC1654" s="1122"/>
      <c r="AD1654" s="1122"/>
      <c r="AE1654" s="528"/>
      <c r="AF1654" s="1123"/>
      <c r="AG1654" s="1123"/>
      <c r="AH1654" s="518"/>
      <c r="AJ1654" s="595"/>
    </row>
    <row r="1655" spans="1:36" hidden="1" x14ac:dyDescent="0.45">
      <c r="A1655" s="518"/>
      <c r="B1655" s="1121" t="s">
        <v>1494</v>
      </c>
      <c r="C1655" s="1122"/>
      <c r="D1655" s="1122"/>
      <c r="E1655" s="1122"/>
      <c r="F1655" s="1122"/>
      <c r="G1655" s="1122"/>
      <c r="H1655" s="1122"/>
      <c r="I1655" s="1122"/>
      <c r="J1655" s="1122"/>
      <c r="K1655" s="1122"/>
      <c r="L1655" s="1122"/>
      <c r="M1655" s="1122"/>
      <c r="N1655" s="1122"/>
      <c r="O1655" s="1122"/>
      <c r="P1655" s="1122"/>
      <c r="Q1655" s="1122"/>
      <c r="R1655" s="1122"/>
      <c r="S1655" s="1122"/>
      <c r="T1655" s="1122"/>
      <c r="U1655" s="1122"/>
      <c r="V1655" s="1122"/>
      <c r="W1655" s="1122"/>
      <c r="X1655" s="1122"/>
      <c r="Y1655" s="1122"/>
      <c r="Z1655" s="1122"/>
      <c r="AA1655" s="1122"/>
      <c r="AB1655" s="1122"/>
      <c r="AC1655" s="1122"/>
      <c r="AD1655" s="1122"/>
      <c r="AE1655" s="528"/>
      <c r="AF1655" s="1123"/>
      <c r="AG1655" s="1123"/>
      <c r="AH1655" s="518"/>
      <c r="AJ1655" s="595"/>
    </row>
    <row r="1656" spans="1:36" ht="27.65" hidden="1" customHeight="1" x14ac:dyDescent="0.45">
      <c r="A1656" s="518"/>
      <c r="B1656" s="1121" t="s">
        <v>1495</v>
      </c>
      <c r="C1656" s="1122"/>
      <c r="D1656" s="1122"/>
      <c r="E1656" s="1122"/>
      <c r="F1656" s="1122"/>
      <c r="G1656" s="1122"/>
      <c r="H1656" s="1122"/>
      <c r="I1656" s="1122"/>
      <c r="J1656" s="1122"/>
      <c r="K1656" s="1122"/>
      <c r="L1656" s="1122"/>
      <c r="M1656" s="1122"/>
      <c r="N1656" s="1122"/>
      <c r="O1656" s="1122"/>
      <c r="P1656" s="1122"/>
      <c r="Q1656" s="1122"/>
      <c r="R1656" s="1122"/>
      <c r="S1656" s="1122"/>
      <c r="T1656" s="1122"/>
      <c r="U1656" s="1122"/>
      <c r="V1656" s="1122"/>
      <c r="W1656" s="1122"/>
      <c r="X1656" s="1122"/>
      <c r="Y1656" s="1122"/>
      <c r="Z1656" s="1122"/>
      <c r="AA1656" s="1122"/>
      <c r="AB1656" s="1122"/>
      <c r="AC1656" s="1122"/>
      <c r="AD1656" s="1122"/>
      <c r="AE1656" s="528"/>
      <c r="AF1656" s="1123"/>
      <c r="AG1656" s="1123"/>
      <c r="AH1656" s="518"/>
      <c r="AJ1656" s="595"/>
    </row>
    <row r="1657" spans="1:36" ht="27.65" hidden="1" customHeight="1" x14ac:dyDescent="0.45">
      <c r="A1657" s="518"/>
      <c r="B1657" s="1121" t="s">
        <v>1496</v>
      </c>
      <c r="C1657" s="1122"/>
      <c r="D1657" s="1122"/>
      <c r="E1657" s="1122"/>
      <c r="F1657" s="1122"/>
      <c r="G1657" s="1122"/>
      <c r="H1657" s="1122"/>
      <c r="I1657" s="1122"/>
      <c r="J1657" s="1122"/>
      <c r="K1657" s="1122"/>
      <c r="L1657" s="1122"/>
      <c r="M1657" s="1122"/>
      <c r="N1657" s="1122"/>
      <c r="O1657" s="1122"/>
      <c r="P1657" s="1122"/>
      <c r="Q1657" s="1122"/>
      <c r="R1657" s="1122"/>
      <c r="S1657" s="1122"/>
      <c r="T1657" s="1122"/>
      <c r="U1657" s="1122"/>
      <c r="V1657" s="1122"/>
      <c r="W1657" s="1122"/>
      <c r="X1657" s="1122"/>
      <c r="Y1657" s="1122"/>
      <c r="Z1657" s="1122"/>
      <c r="AA1657" s="1122"/>
      <c r="AB1657" s="1122"/>
      <c r="AC1657" s="1122"/>
      <c r="AD1657" s="1122"/>
      <c r="AE1657" s="528"/>
      <c r="AF1657" s="1123"/>
      <c r="AG1657" s="1123"/>
      <c r="AH1657" s="518"/>
      <c r="AJ1657" s="595"/>
    </row>
    <row r="1658" spans="1:36" ht="27.65" hidden="1" customHeight="1" x14ac:dyDescent="0.45">
      <c r="A1658" s="518"/>
      <c r="B1658" s="1124" t="s">
        <v>1497</v>
      </c>
      <c r="C1658" s="1125"/>
      <c r="D1658" s="1125"/>
      <c r="E1658" s="1125"/>
      <c r="F1658" s="1125"/>
      <c r="G1658" s="1125"/>
      <c r="H1658" s="1125"/>
      <c r="I1658" s="1125"/>
      <c r="J1658" s="1125"/>
      <c r="K1658" s="1125"/>
      <c r="L1658" s="1125"/>
      <c r="M1658" s="1125"/>
      <c r="N1658" s="1125"/>
      <c r="O1658" s="1125"/>
      <c r="P1658" s="1125"/>
      <c r="Q1658" s="1125"/>
      <c r="R1658" s="1125"/>
      <c r="S1658" s="1125"/>
      <c r="T1658" s="1125"/>
      <c r="U1658" s="1125"/>
      <c r="V1658" s="1125"/>
      <c r="W1658" s="1125"/>
      <c r="X1658" s="1125"/>
      <c r="Y1658" s="1125"/>
      <c r="Z1658" s="1125"/>
      <c r="AA1658" s="1125"/>
      <c r="AB1658" s="1125"/>
      <c r="AC1658" s="1125"/>
      <c r="AD1658" s="1125"/>
      <c r="AE1658" s="573"/>
      <c r="AF1658" s="1123"/>
      <c r="AG1658" s="1123"/>
      <c r="AH1658" s="518"/>
      <c r="AJ1658" s="595"/>
    </row>
    <row r="1659" spans="1:36" hidden="1" x14ac:dyDescent="0.45">
      <c r="A1659" s="518"/>
      <c r="B1659" s="522"/>
      <c r="C1659" s="522"/>
      <c r="D1659" s="522"/>
      <c r="E1659" s="522"/>
      <c r="F1659" s="522"/>
      <c r="G1659" s="522"/>
      <c r="H1659" s="522"/>
      <c r="I1659" s="522"/>
      <c r="J1659" s="522"/>
      <c r="K1659" s="522"/>
      <c r="L1659" s="522"/>
      <c r="M1659" s="522"/>
      <c r="N1659" s="522"/>
      <c r="O1659" s="522"/>
      <c r="P1659" s="522"/>
      <c r="Q1659" s="522"/>
      <c r="R1659" s="522"/>
      <c r="S1659" s="522"/>
      <c r="T1659" s="522"/>
      <c r="U1659" s="522"/>
      <c r="V1659" s="522"/>
      <c r="W1659" s="522"/>
      <c r="X1659" s="522"/>
      <c r="Y1659" s="522"/>
      <c r="Z1659" s="522"/>
      <c r="AA1659" s="522"/>
      <c r="AB1659" s="522"/>
      <c r="AC1659" s="522"/>
      <c r="AD1659" s="522"/>
      <c r="AE1659" s="518"/>
      <c r="AF1659" s="524"/>
      <c r="AG1659" s="524"/>
      <c r="AH1659" s="518"/>
      <c r="AJ1659" s="595"/>
    </row>
    <row r="1660" spans="1:36" hidden="1" x14ac:dyDescent="0.45">
      <c r="A1660" s="518"/>
      <c r="B1660" s="518"/>
      <c r="C1660" s="518"/>
      <c r="D1660" s="518"/>
      <c r="E1660" s="518"/>
      <c r="F1660" s="518"/>
      <c r="G1660" s="518"/>
      <c r="H1660" s="518"/>
      <c r="I1660" s="518"/>
      <c r="J1660" s="518"/>
      <c r="K1660" s="518"/>
      <c r="L1660" s="518"/>
      <c r="M1660" s="518"/>
      <c r="N1660" s="518"/>
      <c r="O1660" s="518"/>
      <c r="P1660" s="518"/>
      <c r="Q1660" s="518"/>
      <c r="R1660" s="518"/>
      <c r="S1660" s="518"/>
      <c r="T1660" s="518"/>
      <c r="U1660" s="518"/>
      <c r="V1660" s="518"/>
      <c r="W1660" s="518"/>
      <c r="X1660" s="518"/>
      <c r="Y1660" s="518"/>
      <c r="Z1660" s="518"/>
      <c r="AA1660" s="518"/>
      <c r="AB1660" s="518"/>
      <c r="AC1660" s="518"/>
      <c r="AD1660" s="518"/>
      <c r="AE1660" s="518"/>
      <c r="AF1660" s="518"/>
      <c r="AG1660" s="518"/>
      <c r="AH1660" s="518"/>
      <c r="AJ1660" s="595"/>
    </row>
    <row r="1661" spans="1:36" hidden="1" x14ac:dyDescent="0.45">
      <c r="A1661" s="518"/>
      <c r="B1661" s="907" t="str">
        <f>B$1635</f>
        <v>CalHome Homeownership Project Development Loan</v>
      </c>
      <c r="C1661" s="907"/>
      <c r="D1661" s="907"/>
      <c r="E1661" s="907"/>
      <c r="F1661" s="907"/>
      <c r="G1661" s="907"/>
      <c r="H1661" s="907"/>
      <c r="I1661" s="907"/>
      <c r="J1661" s="907"/>
      <c r="K1661" s="907"/>
      <c r="L1661" s="907"/>
      <c r="M1661" s="907"/>
      <c r="N1661" s="907"/>
      <c r="O1661" s="907"/>
      <c r="P1661" s="907"/>
      <c r="Q1661" s="907"/>
      <c r="R1661" s="907"/>
      <c r="S1661" s="907"/>
      <c r="T1661" s="907"/>
      <c r="U1661" s="907"/>
      <c r="V1661" s="907"/>
      <c r="W1661" s="907"/>
      <c r="X1661" s="907"/>
      <c r="Y1661" s="907"/>
      <c r="Z1661" s="907"/>
      <c r="AA1661" s="907"/>
      <c r="AB1661" s="907"/>
      <c r="AC1661" s="907"/>
      <c r="AD1661" s="907"/>
      <c r="AE1661" s="907"/>
      <c r="AF1661" s="907"/>
      <c r="AG1661" s="907"/>
      <c r="AH1661" s="518"/>
      <c r="AJ1661" s="595"/>
    </row>
    <row r="1662" spans="1:36" hidden="1" x14ac:dyDescent="0.45">
      <c r="A1662" s="518"/>
      <c r="B1662" s="518"/>
      <c r="C1662" s="518"/>
      <c r="D1662" s="518"/>
      <c r="E1662" s="518"/>
      <c r="F1662" s="518"/>
      <c r="G1662" s="518"/>
      <c r="H1662" s="518"/>
      <c r="I1662" s="518"/>
      <c r="J1662" s="518"/>
      <c r="K1662" s="518"/>
      <c r="L1662" s="518"/>
      <c r="M1662" s="518"/>
      <c r="N1662" s="518"/>
      <c r="O1662" s="518"/>
      <c r="P1662" s="518"/>
      <c r="Q1662" s="518"/>
      <c r="R1662" s="518"/>
      <c r="S1662" s="518"/>
      <c r="T1662" s="518"/>
      <c r="U1662" s="518"/>
      <c r="V1662" s="518"/>
      <c r="W1662" s="518"/>
      <c r="X1662" s="518"/>
      <c r="Y1662" s="518"/>
      <c r="Z1662" s="518"/>
      <c r="AA1662" s="518"/>
      <c r="AB1662" s="518"/>
      <c r="AC1662" s="518"/>
      <c r="AD1662" s="518"/>
      <c r="AE1662" s="518"/>
      <c r="AF1662" s="518"/>
      <c r="AG1662" s="518"/>
      <c r="AH1662" s="518"/>
      <c r="AJ1662" s="595"/>
    </row>
    <row r="1663" spans="1:36" hidden="1" x14ac:dyDescent="0.45">
      <c r="A1663" s="518"/>
      <c r="B1663" s="517" t="s">
        <v>1513</v>
      </c>
      <c r="C1663" s="517"/>
      <c r="D1663" s="517"/>
      <c r="E1663" s="517"/>
      <c r="F1663" s="1126"/>
      <c r="G1663" s="1127"/>
      <c r="H1663" s="1127"/>
      <c r="I1663" s="1127"/>
      <c r="J1663" s="1127"/>
      <c r="K1663" s="1127"/>
      <c r="L1663" s="1127"/>
      <c r="M1663" s="1127"/>
      <c r="N1663" s="1127"/>
      <c r="O1663" s="1127"/>
      <c r="P1663" s="1127"/>
      <c r="Q1663" s="1128"/>
      <c r="R1663" s="591" t="s">
        <v>1500</v>
      </c>
      <c r="S1663" s="547"/>
      <c r="T1663" s="547"/>
      <c r="U1663" s="579"/>
      <c r="V1663" s="1135"/>
      <c r="W1663" s="1135"/>
      <c r="X1663" s="1135"/>
      <c r="Y1663" s="1135"/>
      <c r="Z1663" s="1135"/>
      <c r="AA1663" s="1135"/>
      <c r="AB1663" s="1135"/>
      <c r="AC1663" s="1135"/>
      <c r="AD1663" s="1135"/>
      <c r="AE1663" s="1135"/>
      <c r="AF1663" s="1135"/>
      <c r="AG1663" s="1135"/>
      <c r="AH1663" s="518"/>
      <c r="AJ1663" s="595"/>
    </row>
    <row r="1664" spans="1:36" hidden="1" x14ac:dyDescent="0.45">
      <c r="A1664" s="518"/>
      <c r="B1664" s="517"/>
      <c r="C1664" s="517"/>
      <c r="D1664" s="517"/>
      <c r="E1664" s="517"/>
      <c r="F1664" s="1129"/>
      <c r="G1664" s="1130"/>
      <c r="H1664" s="1130"/>
      <c r="I1664" s="1130"/>
      <c r="J1664" s="1130"/>
      <c r="K1664" s="1130"/>
      <c r="L1664" s="1130"/>
      <c r="M1664" s="1130"/>
      <c r="N1664" s="1130"/>
      <c r="O1664" s="1130"/>
      <c r="P1664" s="1130"/>
      <c r="Q1664" s="1131"/>
      <c r="R1664" s="591" t="s">
        <v>1498</v>
      </c>
      <c r="S1664" s="547"/>
      <c r="T1664" s="547"/>
      <c r="U1664" s="579"/>
      <c r="V1664" s="1136"/>
      <c r="W1664" s="1136"/>
      <c r="X1664" s="1136"/>
      <c r="Y1664" s="1136"/>
      <c r="Z1664" s="1136"/>
      <c r="AA1664" s="1136"/>
      <c r="AB1664" s="1136"/>
      <c r="AC1664" s="1136"/>
      <c r="AD1664" s="1136"/>
      <c r="AE1664" s="1136"/>
      <c r="AF1664" s="1136"/>
      <c r="AG1664" s="1136"/>
      <c r="AH1664" s="518"/>
      <c r="AJ1664" s="595"/>
    </row>
    <row r="1665" spans="1:36" hidden="1" x14ac:dyDescent="0.45">
      <c r="A1665" s="518"/>
      <c r="B1665" s="462"/>
      <c r="C1665" s="517"/>
      <c r="D1665" s="517"/>
      <c r="E1665" s="517"/>
      <c r="F1665" s="1132"/>
      <c r="G1665" s="1133"/>
      <c r="H1665" s="1133"/>
      <c r="I1665" s="1133"/>
      <c r="J1665" s="1133"/>
      <c r="K1665" s="1133"/>
      <c r="L1665" s="1133"/>
      <c r="M1665" s="1133"/>
      <c r="N1665" s="1133"/>
      <c r="O1665" s="1133"/>
      <c r="P1665" s="1133"/>
      <c r="Q1665" s="1134"/>
      <c r="R1665" s="591" t="s">
        <v>1499</v>
      </c>
      <c r="S1665" s="547"/>
      <c r="T1665" s="547"/>
      <c r="U1665" s="579"/>
      <c r="V1665" s="1136"/>
      <c r="W1665" s="1136"/>
      <c r="X1665" s="1136"/>
      <c r="Y1665" s="1136"/>
      <c r="Z1665" s="1136"/>
      <c r="AA1665" s="1136"/>
      <c r="AB1665" s="1136"/>
      <c r="AC1665" s="1136"/>
      <c r="AD1665" s="1136"/>
      <c r="AE1665" s="1136"/>
      <c r="AF1665" s="1136"/>
      <c r="AG1665" s="1136"/>
      <c r="AH1665" s="518"/>
      <c r="AJ1665" s="595"/>
    </row>
    <row r="1666" spans="1:36" hidden="1" x14ac:dyDescent="0.45">
      <c r="A1666" s="518"/>
      <c r="B1666" s="518"/>
      <c r="C1666" s="518"/>
      <c r="D1666" s="518"/>
      <c r="E1666" s="518"/>
      <c r="F1666" s="518"/>
      <c r="G1666" s="518"/>
      <c r="H1666" s="518"/>
      <c r="I1666" s="518"/>
      <c r="J1666" s="518"/>
      <c r="K1666" s="518"/>
      <c r="L1666" s="518"/>
      <c r="M1666" s="518"/>
      <c r="N1666" s="518"/>
      <c r="O1666" s="518"/>
      <c r="P1666" s="518"/>
      <c r="Q1666" s="518"/>
      <c r="R1666" s="522"/>
      <c r="S1666" s="522"/>
      <c r="T1666" s="522"/>
      <c r="U1666" s="522"/>
      <c r="V1666" s="522"/>
      <c r="W1666" s="522"/>
      <c r="X1666" s="522"/>
      <c r="Y1666" s="522"/>
      <c r="Z1666" s="522"/>
      <c r="AA1666" s="522"/>
      <c r="AB1666" s="522"/>
      <c r="AC1666" s="522"/>
      <c r="AD1666" s="518"/>
      <c r="AE1666" s="518"/>
      <c r="AF1666" s="518"/>
      <c r="AG1666" s="518"/>
      <c r="AH1666" s="518"/>
      <c r="AJ1666" s="595"/>
    </row>
    <row r="1667" spans="1:36" hidden="1" x14ac:dyDescent="0.45">
      <c r="A1667" s="518"/>
      <c r="B1667" s="907" t="s">
        <v>1501</v>
      </c>
      <c r="C1667" s="907"/>
      <c r="D1667" s="907"/>
      <c r="E1667" s="907"/>
      <c r="F1667" s="907"/>
      <c r="G1667" s="907"/>
      <c r="H1667" s="907"/>
      <c r="I1667" s="522"/>
      <c r="J1667" s="537"/>
      <c r="K1667" s="537"/>
      <c r="L1667" s="537"/>
      <c r="M1667" s="522"/>
      <c r="N1667" s="522"/>
      <c r="O1667" s="522"/>
      <c r="P1667" s="522"/>
      <c r="Q1667" s="522"/>
      <c r="R1667" s="522"/>
      <c r="S1667" s="522"/>
      <c r="T1667" s="522"/>
      <c r="U1667" s="522"/>
      <c r="V1667" s="522"/>
      <c r="W1667" s="522"/>
      <c r="X1667" s="522"/>
      <c r="Y1667" s="522"/>
      <c r="Z1667" s="522"/>
      <c r="AA1667" s="522"/>
      <c r="AB1667" s="522"/>
      <c r="AC1667" s="522"/>
      <c r="AD1667" s="522"/>
      <c r="AE1667" s="522"/>
      <c r="AF1667" s="522"/>
      <c r="AG1667" s="522"/>
      <c r="AH1667" s="518"/>
      <c r="AJ1667" s="595"/>
    </row>
    <row r="1668" spans="1:36" hidden="1" x14ac:dyDescent="0.45">
      <c r="A1668" s="518"/>
      <c r="B1668" s="1085" t="s">
        <v>28</v>
      </c>
      <c r="C1668" s="1086"/>
      <c r="D1668" s="1086"/>
      <c r="E1668" s="1086"/>
      <c r="F1668" s="1086"/>
      <c r="G1668" s="1086"/>
      <c r="H1668" s="1086"/>
      <c r="I1668" s="1086"/>
      <c r="J1668" s="1086"/>
      <c r="K1668" s="1086"/>
      <c r="L1668" s="1086"/>
      <c r="M1668" s="1086"/>
      <c r="N1668" s="1086"/>
      <c r="O1668" s="1087"/>
      <c r="P1668" s="1085" t="s">
        <v>29</v>
      </c>
      <c r="Q1668" s="1086"/>
      <c r="R1668" s="1086"/>
      <c r="S1668" s="1086"/>
      <c r="T1668" s="1086"/>
      <c r="U1668" s="1087"/>
      <c r="V1668" s="1117" t="s">
        <v>1505</v>
      </c>
      <c r="W1668" s="1117"/>
      <c r="X1668" s="1117"/>
      <c r="Y1668" s="1085" t="s">
        <v>1504</v>
      </c>
      <c r="Z1668" s="1086"/>
      <c r="AA1668" s="1087"/>
      <c r="AB1668" s="1085" t="s">
        <v>1503</v>
      </c>
      <c r="AC1668" s="1086"/>
      <c r="AD1668" s="1087"/>
      <c r="AE1668" s="1085" t="s">
        <v>1502</v>
      </c>
      <c r="AF1668" s="1086"/>
      <c r="AG1668" s="1087"/>
      <c r="AH1668" s="518"/>
      <c r="AJ1668" s="595"/>
    </row>
    <row r="1669" spans="1:36" hidden="1" x14ac:dyDescent="0.45">
      <c r="A1669" s="518"/>
      <c r="B1669" s="1114"/>
      <c r="C1669" s="1115"/>
      <c r="D1669" s="1115"/>
      <c r="E1669" s="1115"/>
      <c r="F1669" s="1115"/>
      <c r="G1669" s="1115"/>
      <c r="H1669" s="1115"/>
      <c r="I1669" s="1115"/>
      <c r="J1669" s="1115"/>
      <c r="K1669" s="1115"/>
      <c r="L1669" s="1115"/>
      <c r="M1669" s="1115"/>
      <c r="N1669" s="1115"/>
      <c r="O1669" s="1116"/>
      <c r="P1669" s="1104"/>
      <c r="Q1669" s="1105"/>
      <c r="R1669" s="1105"/>
      <c r="S1669" s="1105"/>
      <c r="T1669" s="1105"/>
      <c r="U1669" s="1106"/>
      <c r="V1669" s="901"/>
      <c r="W1669" s="901"/>
      <c r="X1669" s="901"/>
      <c r="Y1669" s="1104"/>
      <c r="Z1669" s="1105"/>
      <c r="AA1669" s="1106"/>
      <c r="AB1669" s="1104"/>
      <c r="AC1669" s="1105"/>
      <c r="AD1669" s="1106"/>
      <c r="AE1669" s="1104"/>
      <c r="AF1669" s="1105"/>
      <c r="AG1669" s="1106"/>
      <c r="AH1669" s="518"/>
      <c r="AJ1669" s="595"/>
    </row>
    <row r="1670" spans="1:36" hidden="1" x14ac:dyDescent="0.45">
      <c r="A1670" s="518"/>
      <c r="B1670" s="1114"/>
      <c r="C1670" s="1115"/>
      <c r="D1670" s="1115"/>
      <c r="E1670" s="1115"/>
      <c r="F1670" s="1115"/>
      <c r="G1670" s="1115"/>
      <c r="H1670" s="1115"/>
      <c r="I1670" s="1115"/>
      <c r="J1670" s="1115"/>
      <c r="K1670" s="1115"/>
      <c r="L1670" s="1115"/>
      <c r="M1670" s="1115"/>
      <c r="N1670" s="1115"/>
      <c r="O1670" s="1116"/>
      <c r="P1670" s="1104"/>
      <c r="Q1670" s="1105"/>
      <c r="R1670" s="1105"/>
      <c r="S1670" s="1105"/>
      <c r="T1670" s="1105"/>
      <c r="U1670" s="1106"/>
      <c r="V1670" s="901"/>
      <c r="W1670" s="901"/>
      <c r="X1670" s="901"/>
      <c r="Y1670" s="1104"/>
      <c r="Z1670" s="1105"/>
      <c r="AA1670" s="1106"/>
      <c r="AB1670" s="1104"/>
      <c r="AC1670" s="1105"/>
      <c r="AD1670" s="1106"/>
      <c r="AE1670" s="1104"/>
      <c r="AF1670" s="1105"/>
      <c r="AG1670" s="1106"/>
      <c r="AH1670" s="518"/>
      <c r="AJ1670" s="595"/>
    </row>
    <row r="1671" spans="1:36" hidden="1" x14ac:dyDescent="0.45">
      <c r="A1671" s="518"/>
      <c r="B1671" s="1114"/>
      <c r="C1671" s="1115"/>
      <c r="D1671" s="1115"/>
      <c r="E1671" s="1115"/>
      <c r="F1671" s="1115"/>
      <c r="G1671" s="1115"/>
      <c r="H1671" s="1115"/>
      <c r="I1671" s="1115"/>
      <c r="J1671" s="1115"/>
      <c r="K1671" s="1115"/>
      <c r="L1671" s="1115"/>
      <c r="M1671" s="1115"/>
      <c r="N1671" s="1115"/>
      <c r="O1671" s="1116"/>
      <c r="P1671" s="1104"/>
      <c r="Q1671" s="1105"/>
      <c r="R1671" s="1105"/>
      <c r="S1671" s="1105"/>
      <c r="T1671" s="1105"/>
      <c r="U1671" s="1106"/>
      <c r="V1671" s="901"/>
      <c r="W1671" s="901"/>
      <c r="X1671" s="901"/>
      <c r="Y1671" s="1104"/>
      <c r="Z1671" s="1105"/>
      <c r="AA1671" s="1106"/>
      <c r="AB1671" s="1104"/>
      <c r="AC1671" s="1105"/>
      <c r="AD1671" s="1106"/>
      <c r="AE1671" s="1104"/>
      <c r="AF1671" s="1105"/>
      <c r="AG1671" s="1106"/>
      <c r="AH1671" s="518"/>
      <c r="AJ1671" s="595"/>
    </row>
    <row r="1672" spans="1:36" hidden="1" x14ac:dyDescent="0.45">
      <c r="A1672" s="518"/>
      <c r="B1672" s="1114"/>
      <c r="C1672" s="1115"/>
      <c r="D1672" s="1115"/>
      <c r="E1672" s="1115"/>
      <c r="F1672" s="1115"/>
      <c r="G1672" s="1115"/>
      <c r="H1672" s="1115"/>
      <c r="I1672" s="1115"/>
      <c r="J1672" s="1115"/>
      <c r="K1672" s="1115"/>
      <c r="L1672" s="1115"/>
      <c r="M1672" s="1115"/>
      <c r="N1672" s="1115"/>
      <c r="O1672" s="1116"/>
      <c r="P1672" s="1104"/>
      <c r="Q1672" s="1105"/>
      <c r="R1672" s="1105"/>
      <c r="S1672" s="1105"/>
      <c r="T1672" s="1105"/>
      <c r="U1672" s="1106"/>
      <c r="V1672" s="901"/>
      <c r="W1672" s="901"/>
      <c r="X1672" s="901"/>
      <c r="Y1672" s="1104"/>
      <c r="Z1672" s="1105"/>
      <c r="AA1672" s="1106"/>
      <c r="AB1672" s="1104"/>
      <c r="AC1672" s="1105"/>
      <c r="AD1672" s="1106"/>
      <c r="AE1672" s="1104"/>
      <c r="AF1672" s="1105"/>
      <c r="AG1672" s="1106"/>
      <c r="AH1672" s="518"/>
      <c r="AJ1672" s="595"/>
    </row>
    <row r="1673" spans="1:36" hidden="1" x14ac:dyDescent="0.45">
      <c r="A1673" s="518"/>
      <c r="B1673" s="1104"/>
      <c r="C1673" s="1105"/>
      <c r="D1673" s="1105"/>
      <c r="E1673" s="1105"/>
      <c r="F1673" s="1105"/>
      <c r="G1673" s="1105"/>
      <c r="H1673" s="1105"/>
      <c r="I1673" s="1105"/>
      <c r="J1673" s="1105"/>
      <c r="K1673" s="1105"/>
      <c r="L1673" s="1105"/>
      <c r="M1673" s="1105"/>
      <c r="N1673" s="1105"/>
      <c r="O1673" s="1106"/>
      <c r="P1673" s="1104"/>
      <c r="Q1673" s="1105"/>
      <c r="R1673" s="1105"/>
      <c r="S1673" s="1105"/>
      <c r="T1673" s="1105"/>
      <c r="U1673" s="1106"/>
      <c r="V1673" s="901"/>
      <c r="W1673" s="901"/>
      <c r="X1673" s="901"/>
      <c r="Y1673" s="1104"/>
      <c r="Z1673" s="1105"/>
      <c r="AA1673" s="1106"/>
      <c r="AB1673" s="1104"/>
      <c r="AC1673" s="1105"/>
      <c r="AD1673" s="1106"/>
      <c r="AE1673" s="1104"/>
      <c r="AF1673" s="1105"/>
      <c r="AG1673" s="1106"/>
      <c r="AH1673" s="518"/>
      <c r="AJ1673" s="595"/>
    </row>
    <row r="1674" spans="1:36" hidden="1" x14ac:dyDescent="0.45">
      <c r="A1674" s="518"/>
      <c r="B1674" s="1104"/>
      <c r="C1674" s="1105"/>
      <c r="D1674" s="1105"/>
      <c r="E1674" s="1105"/>
      <c r="F1674" s="1105"/>
      <c r="G1674" s="1105"/>
      <c r="H1674" s="1105"/>
      <c r="I1674" s="1105"/>
      <c r="J1674" s="1105"/>
      <c r="K1674" s="1105"/>
      <c r="L1674" s="1105"/>
      <c r="M1674" s="1105"/>
      <c r="N1674" s="1105"/>
      <c r="O1674" s="1106"/>
      <c r="P1674" s="1104"/>
      <c r="Q1674" s="1105"/>
      <c r="R1674" s="1105"/>
      <c r="S1674" s="1105"/>
      <c r="T1674" s="1105"/>
      <c r="U1674" s="1106"/>
      <c r="V1674" s="901"/>
      <c r="W1674" s="901"/>
      <c r="X1674" s="901"/>
      <c r="Y1674" s="1104"/>
      <c r="Z1674" s="1105"/>
      <c r="AA1674" s="1106"/>
      <c r="AB1674" s="1104"/>
      <c r="AC1674" s="1105"/>
      <c r="AD1674" s="1106"/>
      <c r="AE1674" s="1104"/>
      <c r="AF1674" s="1105"/>
      <c r="AG1674" s="1106"/>
      <c r="AH1674" s="518"/>
      <c r="AJ1674" s="595"/>
    </row>
    <row r="1675" spans="1:36" hidden="1" x14ac:dyDescent="0.45">
      <c r="A1675" s="518"/>
      <c r="B1675" s="1104"/>
      <c r="C1675" s="1105"/>
      <c r="D1675" s="1105"/>
      <c r="E1675" s="1105"/>
      <c r="F1675" s="1105"/>
      <c r="G1675" s="1105"/>
      <c r="H1675" s="1105"/>
      <c r="I1675" s="1105"/>
      <c r="J1675" s="1105"/>
      <c r="K1675" s="1105"/>
      <c r="L1675" s="1105"/>
      <c r="M1675" s="1105"/>
      <c r="N1675" s="1105"/>
      <c r="O1675" s="1106"/>
      <c r="P1675" s="1104"/>
      <c r="Q1675" s="1105"/>
      <c r="R1675" s="1105"/>
      <c r="S1675" s="1105"/>
      <c r="T1675" s="1105"/>
      <c r="U1675" s="1106"/>
      <c r="V1675" s="901"/>
      <c r="W1675" s="901"/>
      <c r="X1675" s="901"/>
      <c r="Y1675" s="1104"/>
      <c r="Z1675" s="1105"/>
      <c r="AA1675" s="1106"/>
      <c r="AB1675" s="1104"/>
      <c r="AC1675" s="1105"/>
      <c r="AD1675" s="1106"/>
      <c r="AE1675" s="1104"/>
      <c r="AF1675" s="1105"/>
      <c r="AG1675" s="1106"/>
      <c r="AH1675" s="518"/>
      <c r="AJ1675" s="595"/>
    </row>
    <row r="1676" spans="1:36" hidden="1" x14ac:dyDescent="0.45">
      <c r="A1676" s="518"/>
      <c r="B1676" s="1104"/>
      <c r="C1676" s="1105"/>
      <c r="D1676" s="1105"/>
      <c r="E1676" s="1105"/>
      <c r="F1676" s="1105"/>
      <c r="G1676" s="1105"/>
      <c r="H1676" s="1105"/>
      <c r="I1676" s="1105"/>
      <c r="J1676" s="1105"/>
      <c r="K1676" s="1105"/>
      <c r="L1676" s="1105"/>
      <c r="M1676" s="1105"/>
      <c r="N1676" s="1105"/>
      <c r="O1676" s="1106"/>
      <c r="P1676" s="1104"/>
      <c r="Q1676" s="1105"/>
      <c r="R1676" s="1105"/>
      <c r="S1676" s="1105"/>
      <c r="T1676" s="1105"/>
      <c r="U1676" s="1106"/>
      <c r="V1676" s="901"/>
      <c r="W1676" s="901"/>
      <c r="X1676" s="901"/>
      <c r="Y1676" s="1104"/>
      <c r="Z1676" s="1105"/>
      <c r="AA1676" s="1106"/>
      <c r="AB1676" s="1104"/>
      <c r="AC1676" s="1105"/>
      <c r="AD1676" s="1106"/>
      <c r="AE1676" s="1104"/>
      <c r="AF1676" s="1105"/>
      <c r="AG1676" s="1106"/>
      <c r="AH1676" s="518"/>
      <c r="AJ1676" s="595"/>
    </row>
    <row r="1677" spans="1:36" hidden="1" x14ac:dyDescent="0.45">
      <c r="A1677" s="518"/>
      <c r="B1677" s="1104"/>
      <c r="C1677" s="1105"/>
      <c r="D1677" s="1105"/>
      <c r="E1677" s="1105"/>
      <c r="F1677" s="1105"/>
      <c r="G1677" s="1105"/>
      <c r="H1677" s="1105"/>
      <c r="I1677" s="1105"/>
      <c r="J1677" s="1105"/>
      <c r="K1677" s="1105"/>
      <c r="L1677" s="1105"/>
      <c r="M1677" s="1105"/>
      <c r="N1677" s="1105"/>
      <c r="O1677" s="1106"/>
      <c r="P1677" s="1104"/>
      <c r="Q1677" s="1105"/>
      <c r="R1677" s="1105"/>
      <c r="S1677" s="1105"/>
      <c r="T1677" s="1105"/>
      <c r="U1677" s="1106"/>
      <c r="V1677" s="901"/>
      <c r="W1677" s="901"/>
      <c r="X1677" s="901"/>
      <c r="Y1677" s="1104"/>
      <c r="Z1677" s="1105"/>
      <c r="AA1677" s="1106"/>
      <c r="AB1677" s="1104"/>
      <c r="AC1677" s="1105"/>
      <c r="AD1677" s="1106"/>
      <c r="AE1677" s="1104"/>
      <c r="AF1677" s="1105"/>
      <c r="AG1677" s="1106"/>
      <c r="AH1677" s="518"/>
      <c r="AJ1677" s="595"/>
    </row>
    <row r="1678" spans="1:36" hidden="1" x14ac:dyDescent="0.45">
      <c r="A1678" s="518"/>
      <c r="B1678" s="1104"/>
      <c r="C1678" s="1105"/>
      <c r="D1678" s="1105"/>
      <c r="E1678" s="1105"/>
      <c r="F1678" s="1105"/>
      <c r="G1678" s="1105"/>
      <c r="H1678" s="1105"/>
      <c r="I1678" s="1105"/>
      <c r="J1678" s="1105"/>
      <c r="K1678" s="1105"/>
      <c r="L1678" s="1105"/>
      <c r="M1678" s="1105"/>
      <c r="N1678" s="1105"/>
      <c r="O1678" s="1106"/>
      <c r="P1678" s="1104"/>
      <c r="Q1678" s="1105"/>
      <c r="R1678" s="1105"/>
      <c r="S1678" s="1105"/>
      <c r="T1678" s="1105"/>
      <c r="U1678" s="1106"/>
      <c r="V1678" s="901"/>
      <c r="W1678" s="901"/>
      <c r="X1678" s="901"/>
      <c r="Y1678" s="1104"/>
      <c r="Z1678" s="1105"/>
      <c r="AA1678" s="1106"/>
      <c r="AB1678" s="1104"/>
      <c r="AC1678" s="1105"/>
      <c r="AD1678" s="1106"/>
      <c r="AE1678" s="1104"/>
      <c r="AF1678" s="1105"/>
      <c r="AG1678" s="1106"/>
      <c r="AH1678" s="518"/>
      <c r="AJ1678" s="595"/>
    </row>
    <row r="1679" spans="1:36" hidden="1" x14ac:dyDescent="0.45">
      <c r="A1679" s="518"/>
      <c r="B1679" s="537"/>
      <c r="C1679" s="522"/>
      <c r="D1679" s="522"/>
      <c r="E1679" s="517"/>
      <c r="F1679" s="517"/>
      <c r="G1679" s="517"/>
      <c r="H1679" s="517"/>
      <c r="I1679" s="522"/>
      <c r="J1679" s="537"/>
      <c r="K1679" s="537"/>
      <c r="L1679" s="537"/>
      <c r="M1679" s="522"/>
      <c r="N1679" s="522"/>
      <c r="O1679" s="522"/>
      <c r="P1679" s="522"/>
      <c r="Q1679" s="522"/>
      <c r="R1679" s="522"/>
      <c r="S1679" s="522"/>
      <c r="T1679" s="522"/>
      <c r="U1679" s="522"/>
      <c r="V1679" s="522"/>
      <c r="W1679" s="522"/>
      <c r="X1679" s="522"/>
      <c r="Y1679" s="522"/>
      <c r="Z1679" s="522"/>
      <c r="AA1679" s="522"/>
      <c r="AB1679" s="522"/>
      <c r="AC1679" s="522"/>
      <c r="AD1679" s="522"/>
      <c r="AE1679" s="522"/>
      <c r="AF1679" s="522"/>
      <c r="AG1679" s="522"/>
      <c r="AH1679" s="518"/>
      <c r="AJ1679" s="595"/>
    </row>
    <row r="1680" spans="1:36" hidden="1" x14ac:dyDescent="0.45">
      <c r="A1680" s="518"/>
      <c r="B1680" s="907" t="s">
        <v>1506</v>
      </c>
      <c r="C1680" s="907"/>
      <c r="D1680" s="907"/>
      <c r="E1680" s="907"/>
      <c r="F1680" s="907"/>
      <c r="G1680" s="907"/>
      <c r="H1680" s="907"/>
      <c r="I1680" s="518"/>
      <c r="J1680" s="518"/>
      <c r="K1680" s="518"/>
      <c r="L1680" s="518"/>
      <c r="M1680" s="522"/>
      <c r="N1680" s="522"/>
      <c r="O1680" s="522"/>
      <c r="P1680" s="522"/>
      <c r="Q1680" s="522"/>
      <c r="R1680" s="522"/>
      <c r="S1680" s="522"/>
      <c r="T1680" s="522"/>
      <c r="U1680" s="522"/>
      <c r="V1680" s="522"/>
      <c r="W1680" s="522"/>
      <c r="X1680" s="522"/>
      <c r="Y1680" s="522"/>
      <c r="Z1680" s="522"/>
      <c r="AA1680" s="522"/>
      <c r="AB1680" s="522"/>
      <c r="AC1680" s="522"/>
      <c r="AD1680" s="518"/>
      <c r="AE1680" s="518"/>
      <c r="AF1680" s="518"/>
      <c r="AG1680" s="518"/>
      <c r="AH1680" s="518"/>
      <c r="AJ1680" s="595"/>
    </row>
    <row r="1681" spans="1:36" hidden="1" x14ac:dyDescent="0.45">
      <c r="A1681" s="518"/>
      <c r="B1681" s="984" t="s">
        <v>1508</v>
      </c>
      <c r="C1681" s="984"/>
      <c r="D1681" s="984"/>
      <c r="E1681" s="984"/>
      <c r="F1681" s="984"/>
      <c r="G1681" s="984"/>
      <c r="H1681" s="984"/>
      <c r="I1681" s="984"/>
      <c r="J1681" s="984"/>
      <c r="K1681" s="984"/>
      <c r="L1681" s="984"/>
      <c r="M1681" s="984"/>
      <c r="N1681" s="984"/>
      <c r="O1681" s="984"/>
      <c r="P1681" s="984"/>
      <c r="Q1681" s="984"/>
      <c r="R1681" s="984"/>
      <c r="S1681" s="984"/>
      <c r="T1681" s="984"/>
      <c r="U1681" s="984"/>
      <c r="V1681" s="984"/>
      <c r="W1681" s="984"/>
      <c r="X1681" s="984"/>
      <c r="Y1681" s="984"/>
      <c r="Z1681" s="984"/>
      <c r="AA1681" s="984"/>
      <c r="AB1681" s="984"/>
      <c r="AC1681" s="1113"/>
      <c r="AD1681" s="1114"/>
      <c r="AE1681" s="1115"/>
      <c r="AF1681" s="1115"/>
      <c r="AG1681" s="1116"/>
      <c r="AH1681" s="518"/>
      <c r="AJ1681" s="595"/>
    </row>
    <row r="1682" spans="1:36" hidden="1" x14ac:dyDescent="0.45">
      <c r="A1682" s="518"/>
      <c r="B1682" s="907" t="s">
        <v>1507</v>
      </c>
      <c r="C1682" s="907"/>
      <c r="D1682" s="907"/>
      <c r="E1682" s="907"/>
      <c r="F1682" s="907"/>
      <c r="G1682" s="907"/>
      <c r="H1682" s="907"/>
      <c r="I1682" s="518"/>
      <c r="J1682" s="518"/>
      <c r="K1682" s="518"/>
      <c r="L1682" s="518"/>
      <c r="M1682" s="522"/>
      <c r="N1682" s="522"/>
      <c r="O1682" s="522"/>
      <c r="P1682" s="522"/>
      <c r="Q1682" s="522"/>
      <c r="R1682" s="522"/>
      <c r="S1682" s="522"/>
      <c r="T1682" s="522"/>
      <c r="U1682" s="522"/>
      <c r="V1682" s="522"/>
      <c r="W1682" s="522"/>
      <c r="X1682" s="522"/>
      <c r="Y1682" s="522"/>
      <c r="Z1682" s="522"/>
      <c r="AA1682" s="522"/>
      <c r="AB1682" s="522"/>
      <c r="AC1682" s="522"/>
      <c r="AD1682" s="518"/>
      <c r="AE1682" s="518"/>
      <c r="AF1682" s="518"/>
      <c r="AG1682" s="518"/>
      <c r="AH1682" s="518"/>
      <c r="AJ1682" s="595"/>
    </row>
    <row r="1683" spans="1:36" hidden="1" x14ac:dyDescent="0.45">
      <c r="A1683" s="518"/>
      <c r="B1683" s="984" t="s">
        <v>1839</v>
      </c>
      <c r="C1683" s="984"/>
      <c r="D1683" s="984"/>
      <c r="E1683" s="984"/>
      <c r="F1683" s="984"/>
      <c r="G1683" s="984"/>
      <c r="H1683" s="984"/>
      <c r="I1683" s="984"/>
      <c r="J1683" s="984"/>
      <c r="K1683" s="984"/>
      <c r="L1683" s="984"/>
      <c r="M1683" s="984"/>
      <c r="N1683" s="984"/>
      <c r="O1683" s="984"/>
      <c r="P1683" s="984"/>
      <c r="Q1683" s="984"/>
      <c r="R1683" s="984"/>
      <c r="S1683" s="984"/>
      <c r="T1683" s="984"/>
      <c r="U1683" s="984"/>
      <c r="V1683" s="984"/>
      <c r="W1683" s="984"/>
      <c r="X1683" s="984"/>
      <c r="Y1683" s="984"/>
      <c r="Z1683" s="984"/>
      <c r="AA1683" s="984"/>
      <c r="AB1683" s="984"/>
      <c r="AC1683" s="984"/>
      <c r="AD1683" s="1114"/>
      <c r="AE1683" s="1115"/>
      <c r="AF1683" s="1115"/>
      <c r="AG1683" s="1116"/>
      <c r="AH1683" s="518"/>
      <c r="AJ1683" s="595"/>
    </row>
    <row r="1684" spans="1:36" hidden="1" x14ac:dyDescent="0.45">
      <c r="A1684" s="518"/>
      <c r="B1684" s="984"/>
      <c r="C1684" s="984"/>
      <c r="D1684" s="984"/>
      <c r="E1684" s="984"/>
      <c r="F1684" s="984"/>
      <c r="G1684" s="984"/>
      <c r="H1684" s="984"/>
      <c r="I1684" s="984"/>
      <c r="J1684" s="984"/>
      <c r="K1684" s="984"/>
      <c r="L1684" s="984"/>
      <c r="M1684" s="984"/>
      <c r="N1684" s="984"/>
      <c r="O1684" s="984"/>
      <c r="P1684" s="984"/>
      <c r="Q1684" s="984"/>
      <c r="R1684" s="984"/>
      <c r="S1684" s="984"/>
      <c r="T1684" s="984"/>
      <c r="U1684" s="984"/>
      <c r="V1684" s="984"/>
      <c r="W1684" s="984"/>
      <c r="X1684" s="984"/>
      <c r="Y1684" s="984"/>
      <c r="Z1684" s="984"/>
      <c r="AA1684" s="984"/>
      <c r="AB1684" s="984"/>
      <c r="AC1684" s="984"/>
      <c r="AD1684" s="522"/>
      <c r="AE1684" s="522"/>
      <c r="AF1684" s="522"/>
      <c r="AG1684" s="522"/>
      <c r="AH1684" s="518"/>
      <c r="AJ1684" s="595"/>
    </row>
    <row r="1685" spans="1:36" hidden="1" x14ac:dyDescent="0.45">
      <c r="A1685" s="518"/>
      <c r="B1685" s="975"/>
      <c r="C1685" s="976"/>
      <c r="D1685" s="976"/>
      <c r="E1685" s="976"/>
      <c r="F1685" s="976"/>
      <c r="G1685" s="976"/>
      <c r="H1685" s="976"/>
      <c r="I1685" s="976"/>
      <c r="J1685" s="976"/>
      <c r="K1685" s="976"/>
      <c r="L1685" s="976"/>
      <c r="M1685" s="976"/>
      <c r="N1685" s="976"/>
      <c r="O1685" s="976"/>
      <c r="P1685" s="976"/>
      <c r="Q1685" s="976"/>
      <c r="R1685" s="976"/>
      <c r="S1685" s="976"/>
      <c r="T1685" s="976"/>
      <c r="U1685" s="976"/>
      <c r="V1685" s="976"/>
      <c r="W1685" s="976"/>
      <c r="X1685" s="976"/>
      <c r="Y1685" s="976"/>
      <c r="Z1685" s="976"/>
      <c r="AA1685" s="976"/>
      <c r="AB1685" s="976"/>
      <c r="AC1685" s="976"/>
      <c r="AD1685" s="976"/>
      <c r="AE1685" s="976"/>
      <c r="AF1685" s="976"/>
      <c r="AG1685" s="977"/>
      <c r="AH1685" s="518"/>
      <c r="AJ1685" s="595"/>
    </row>
    <row r="1686" spans="1:36" hidden="1" x14ac:dyDescent="0.45">
      <c r="A1686" s="518"/>
      <c r="B1686" s="978"/>
      <c r="C1686" s="979"/>
      <c r="D1686" s="979"/>
      <c r="E1686" s="979"/>
      <c r="F1686" s="979"/>
      <c r="G1686" s="979"/>
      <c r="H1686" s="979"/>
      <c r="I1686" s="979"/>
      <c r="J1686" s="979"/>
      <c r="K1686" s="979"/>
      <c r="L1686" s="979"/>
      <c r="M1686" s="979"/>
      <c r="N1686" s="979"/>
      <c r="O1686" s="979"/>
      <c r="P1686" s="979"/>
      <c r="Q1686" s="979"/>
      <c r="R1686" s="979"/>
      <c r="S1686" s="979"/>
      <c r="T1686" s="979"/>
      <c r="U1686" s="979"/>
      <c r="V1686" s="979"/>
      <c r="W1686" s="979"/>
      <c r="X1686" s="979"/>
      <c r="Y1686" s="979"/>
      <c r="Z1686" s="979"/>
      <c r="AA1686" s="979"/>
      <c r="AB1686" s="979"/>
      <c r="AC1686" s="979"/>
      <c r="AD1686" s="979"/>
      <c r="AE1686" s="979"/>
      <c r="AF1686" s="979"/>
      <c r="AG1686" s="980"/>
      <c r="AH1686" s="518"/>
      <c r="AJ1686" s="595"/>
    </row>
    <row r="1687" spans="1:36" hidden="1" x14ac:dyDescent="0.45">
      <c r="A1687" s="518"/>
      <c r="B1687" s="981"/>
      <c r="C1687" s="982"/>
      <c r="D1687" s="982"/>
      <c r="E1687" s="982"/>
      <c r="F1687" s="982"/>
      <c r="G1687" s="982"/>
      <c r="H1687" s="982"/>
      <c r="I1687" s="982"/>
      <c r="J1687" s="982"/>
      <c r="K1687" s="982"/>
      <c r="L1687" s="982"/>
      <c r="M1687" s="982"/>
      <c r="N1687" s="982"/>
      <c r="O1687" s="982"/>
      <c r="P1687" s="982"/>
      <c r="Q1687" s="982"/>
      <c r="R1687" s="982"/>
      <c r="S1687" s="982"/>
      <c r="T1687" s="982"/>
      <c r="U1687" s="982"/>
      <c r="V1687" s="982"/>
      <c r="W1687" s="982"/>
      <c r="X1687" s="982"/>
      <c r="Y1687" s="982"/>
      <c r="Z1687" s="982"/>
      <c r="AA1687" s="982"/>
      <c r="AB1687" s="982"/>
      <c r="AC1687" s="982"/>
      <c r="AD1687" s="982"/>
      <c r="AE1687" s="982"/>
      <c r="AF1687" s="982"/>
      <c r="AG1687" s="983"/>
      <c r="AH1687" s="518"/>
      <c r="AJ1687" s="595"/>
    </row>
    <row r="1688" spans="1:36" hidden="1" x14ac:dyDescent="0.45">
      <c r="A1688" s="518"/>
      <c r="B1688" s="531"/>
      <c r="C1688" s="531"/>
      <c r="D1688" s="531"/>
      <c r="E1688" s="531"/>
      <c r="F1688" s="531"/>
      <c r="G1688" s="531"/>
      <c r="H1688" s="531"/>
      <c r="I1688" s="531"/>
      <c r="J1688" s="531"/>
      <c r="K1688" s="531"/>
      <c r="L1688" s="531"/>
      <c r="M1688" s="531"/>
      <c r="N1688" s="531"/>
      <c r="O1688" s="531"/>
      <c r="P1688" s="531"/>
      <c r="Q1688" s="531"/>
      <c r="R1688" s="531"/>
      <c r="S1688" s="531"/>
      <c r="T1688" s="531"/>
      <c r="U1688" s="531"/>
      <c r="V1688" s="531"/>
      <c r="W1688" s="531"/>
      <c r="X1688" s="531"/>
      <c r="Y1688" s="531"/>
      <c r="Z1688" s="531"/>
      <c r="AA1688" s="531"/>
      <c r="AB1688" s="531"/>
      <c r="AC1688" s="531"/>
      <c r="AD1688" s="522"/>
      <c r="AE1688" s="522"/>
      <c r="AF1688" s="522"/>
      <c r="AG1688" s="522"/>
      <c r="AH1688" s="518"/>
      <c r="AJ1688" s="595"/>
    </row>
    <row r="1689" spans="1:36" hidden="1" x14ac:dyDescent="0.45">
      <c r="A1689" s="518"/>
      <c r="B1689" s="545" t="s">
        <v>1592</v>
      </c>
      <c r="C1689" s="545"/>
      <c r="D1689" s="545"/>
      <c r="E1689" s="545"/>
      <c r="F1689" s="545"/>
      <c r="G1689" s="545"/>
      <c r="H1689" s="545"/>
      <c r="I1689" s="545"/>
      <c r="J1689" s="545"/>
      <c r="K1689" s="545"/>
      <c r="L1689" s="545"/>
      <c r="M1689" s="545"/>
      <c r="N1689" s="545"/>
      <c r="O1689" s="545"/>
      <c r="P1689" s="545"/>
      <c r="Q1689" s="545"/>
      <c r="R1689" s="545"/>
      <c r="S1689" s="545"/>
      <c r="T1689" s="545"/>
      <c r="U1689" s="545"/>
      <c r="V1689" s="545"/>
      <c r="W1689" s="545"/>
      <c r="X1689" s="545"/>
      <c r="Y1689" s="545"/>
      <c r="Z1689" s="545"/>
      <c r="AA1689" s="545"/>
      <c r="AB1689" s="545"/>
      <c r="AC1689" s="545"/>
      <c r="AD1689" s="545"/>
      <c r="AE1689" s="545"/>
      <c r="AF1689" s="545"/>
      <c r="AG1689" s="545"/>
      <c r="AH1689" s="518"/>
      <c r="AJ1689" s="595"/>
    </row>
    <row r="1690" spans="1:36" hidden="1" x14ac:dyDescent="0.45">
      <c r="A1690" s="518"/>
      <c r="B1690" s="984" t="s">
        <v>1861</v>
      </c>
      <c r="C1690" s="984"/>
      <c r="D1690" s="984"/>
      <c r="E1690" s="984"/>
      <c r="F1690" s="984"/>
      <c r="G1690" s="984"/>
      <c r="H1690" s="984"/>
      <c r="I1690" s="984"/>
      <c r="J1690" s="984"/>
      <c r="K1690" s="984"/>
      <c r="L1690" s="984"/>
      <c r="M1690" s="984"/>
      <c r="N1690" s="984"/>
      <c r="O1690" s="984"/>
      <c r="P1690" s="984"/>
      <c r="Q1690" s="984"/>
      <c r="R1690" s="984"/>
      <c r="S1690" s="984"/>
      <c r="T1690" s="984"/>
      <c r="U1690" s="984"/>
      <c r="V1690" s="984"/>
      <c r="W1690" s="984"/>
      <c r="X1690" s="984"/>
      <c r="Y1690" s="984"/>
      <c r="Z1690" s="984"/>
      <c r="AA1690" s="984"/>
      <c r="AB1690" s="984"/>
      <c r="AC1690" s="567"/>
      <c r="AD1690" s="1114"/>
      <c r="AE1690" s="1115"/>
      <c r="AF1690" s="1115"/>
      <c r="AG1690" s="1116"/>
      <c r="AH1690" s="518"/>
      <c r="AJ1690" s="595"/>
    </row>
    <row r="1691" spans="1:36" hidden="1" x14ac:dyDescent="0.45">
      <c r="A1691" s="518"/>
      <c r="B1691" s="531"/>
      <c r="C1691" s="531"/>
      <c r="D1691" s="531"/>
      <c r="E1691" s="531"/>
      <c r="F1691" s="531"/>
      <c r="G1691" s="531"/>
      <c r="H1691" s="531"/>
      <c r="I1691" s="531"/>
      <c r="J1691" s="531"/>
      <c r="K1691" s="531"/>
      <c r="L1691" s="531"/>
      <c r="M1691" s="531"/>
      <c r="N1691" s="531"/>
      <c r="O1691" s="531"/>
      <c r="P1691" s="531"/>
      <c r="Q1691" s="531"/>
      <c r="R1691" s="531"/>
      <c r="S1691" s="531"/>
      <c r="T1691" s="531"/>
      <c r="U1691" s="531"/>
      <c r="V1691" s="531"/>
      <c r="W1691" s="531"/>
      <c r="X1691" s="531"/>
      <c r="Y1691" s="531"/>
      <c r="Z1691" s="531"/>
      <c r="AA1691" s="531"/>
      <c r="AB1691" s="531"/>
      <c r="AC1691" s="531"/>
      <c r="AD1691" s="538"/>
      <c r="AE1691" s="538"/>
      <c r="AF1691" s="538"/>
      <c r="AG1691" s="538"/>
      <c r="AH1691" s="518"/>
      <c r="AJ1691" s="595"/>
    </row>
    <row r="1692" spans="1:36" hidden="1" x14ac:dyDescent="0.45">
      <c r="A1692" s="518"/>
      <c r="B1692" s="907" t="s">
        <v>1509</v>
      </c>
      <c r="C1692" s="907"/>
      <c r="D1692" s="907"/>
      <c r="E1692" s="907"/>
      <c r="F1692" s="907"/>
      <c r="G1692" s="907"/>
      <c r="H1692" s="907"/>
      <c r="I1692" s="531"/>
      <c r="J1692" s="531"/>
      <c r="K1692" s="531"/>
      <c r="L1692" s="531"/>
      <c r="M1692" s="531"/>
      <c r="N1692" s="531"/>
      <c r="O1692" s="531"/>
      <c r="P1692" s="531"/>
      <c r="Q1692" s="531"/>
      <c r="R1692" s="531"/>
      <c r="S1692" s="531"/>
      <c r="T1692" s="531"/>
      <c r="U1692" s="531"/>
      <c r="V1692" s="531"/>
      <c r="W1692" s="531"/>
      <c r="X1692" s="531"/>
      <c r="Y1692" s="531"/>
      <c r="Z1692" s="531"/>
      <c r="AA1692" s="531"/>
      <c r="AB1692" s="531"/>
      <c r="AC1692" s="531"/>
      <c r="AD1692" s="538"/>
      <c r="AE1692" s="538"/>
      <c r="AF1692" s="538"/>
      <c r="AG1692" s="538"/>
      <c r="AH1692" s="518"/>
      <c r="AJ1692" s="595"/>
    </row>
    <row r="1693" spans="1:36" hidden="1" x14ac:dyDescent="0.45">
      <c r="A1693" s="518"/>
      <c r="B1693" s="1103" t="s">
        <v>1511</v>
      </c>
      <c r="C1693" s="1103"/>
      <c r="D1693" s="1103"/>
      <c r="E1693" s="1103"/>
      <c r="F1693" s="1103"/>
      <c r="G1693" s="1103"/>
      <c r="H1693" s="1103"/>
      <c r="I1693" s="1104"/>
      <c r="J1693" s="1105"/>
      <c r="K1693" s="1106"/>
      <c r="L1693" s="532"/>
      <c r="M1693" s="544" t="s">
        <v>1510</v>
      </c>
      <c r="N1693" s="532"/>
      <c r="O1693" s="532"/>
      <c r="P1693" s="532"/>
      <c r="Q1693" s="532"/>
      <c r="R1693" s="1107"/>
      <c r="S1693" s="1108"/>
      <c r="T1693" s="1109"/>
      <c r="U1693" s="532"/>
      <c r="V1693" s="544" t="s">
        <v>1512</v>
      </c>
      <c r="W1693" s="532"/>
      <c r="X1693" s="532"/>
      <c r="Y1693" s="532"/>
      <c r="Z1693" s="532"/>
      <c r="AA1693" s="532"/>
      <c r="AB1693" s="532"/>
      <c r="AC1693" s="532"/>
      <c r="AD1693" s="1110"/>
      <c r="AE1693" s="1110"/>
      <c r="AF1693" s="1110"/>
      <c r="AG1693" s="1110"/>
      <c r="AH1693" s="518"/>
      <c r="AJ1693" s="595"/>
    </row>
    <row r="1694" spans="1:36" hidden="1" x14ac:dyDescent="0.45">
      <c r="A1694" s="518"/>
      <c r="B1694" s="531"/>
      <c r="C1694" s="531"/>
      <c r="D1694" s="531"/>
      <c r="E1694" s="531"/>
      <c r="F1694" s="531"/>
      <c r="G1694" s="531"/>
      <c r="H1694" s="531"/>
      <c r="I1694" s="518"/>
      <c r="J1694" s="518"/>
      <c r="K1694" s="518"/>
      <c r="L1694" s="518"/>
      <c r="M1694" s="518"/>
      <c r="N1694" s="518"/>
      <c r="O1694" s="518"/>
      <c r="P1694" s="518"/>
      <c r="Q1694" s="518"/>
      <c r="R1694" s="518"/>
      <c r="S1694" s="518"/>
      <c r="T1694" s="518"/>
      <c r="U1694" s="531"/>
      <c r="V1694" s="531"/>
      <c r="W1694" s="531"/>
      <c r="X1694" s="531"/>
      <c r="Y1694" s="531"/>
      <c r="Z1694" s="531"/>
      <c r="AA1694" s="518"/>
      <c r="AB1694" s="518"/>
      <c r="AC1694" s="518"/>
      <c r="AD1694" s="518"/>
      <c r="AE1694" s="518"/>
      <c r="AF1694" s="518"/>
      <c r="AG1694" s="538"/>
      <c r="AH1694" s="518"/>
      <c r="AJ1694" s="595"/>
    </row>
    <row r="1695" spans="1:36" hidden="1" x14ac:dyDescent="0.45">
      <c r="A1695" s="518"/>
      <c r="B1695" s="907" t="s">
        <v>1514</v>
      </c>
      <c r="C1695" s="907"/>
      <c r="D1695" s="907"/>
      <c r="E1695" s="907"/>
      <c r="F1695" s="907"/>
      <c r="G1695" s="907"/>
      <c r="H1695" s="907"/>
      <c r="I1695" s="518"/>
      <c r="J1695" s="518"/>
      <c r="K1695" s="518"/>
      <c r="L1695" s="518"/>
      <c r="M1695" s="518"/>
      <c r="N1695" s="518"/>
      <c r="O1695" s="518"/>
      <c r="P1695" s="518"/>
      <c r="Q1695" s="518"/>
      <c r="R1695" s="518"/>
      <c r="S1695" s="518"/>
      <c r="T1695" s="518"/>
      <c r="U1695" s="531"/>
      <c r="V1695" s="531"/>
      <c r="W1695" s="531"/>
      <c r="X1695" s="531"/>
      <c r="Y1695" s="531"/>
      <c r="Z1695" s="531"/>
      <c r="AA1695" s="518"/>
      <c r="AB1695" s="518"/>
      <c r="AC1695" s="518"/>
      <c r="AD1695" s="518"/>
      <c r="AE1695" s="518"/>
      <c r="AF1695" s="518"/>
      <c r="AG1695" s="538"/>
      <c r="AH1695" s="518"/>
      <c r="AJ1695" s="595"/>
    </row>
    <row r="1696" spans="1:36" hidden="1" x14ac:dyDescent="0.45">
      <c r="A1696" s="518"/>
      <c r="B1696" s="544" t="s">
        <v>1515</v>
      </c>
      <c r="C1696" s="547"/>
      <c r="D1696" s="547"/>
      <c r="E1696" s="547"/>
      <c r="F1696" s="547"/>
      <c r="G1696" s="547"/>
      <c r="H1696" s="547"/>
      <c r="I1696" s="532"/>
      <c r="J1696" s="532"/>
      <c r="K1696" s="532"/>
      <c r="L1696" s="906"/>
      <c r="M1696" s="906"/>
      <c r="N1696" s="906"/>
      <c r="O1696" s="906"/>
      <c r="P1696" s="906"/>
      <c r="Q1696" s="532"/>
      <c r="R1696" s="532"/>
      <c r="S1696" s="544" t="s">
        <v>1516</v>
      </c>
      <c r="T1696" s="547"/>
      <c r="U1696" s="547"/>
      <c r="V1696" s="547"/>
      <c r="W1696" s="547"/>
      <c r="X1696" s="547"/>
      <c r="Y1696" s="547"/>
      <c r="Z1696" s="547"/>
      <c r="AA1696" s="547"/>
      <c r="AB1696" s="547"/>
      <c r="AC1696" s="906"/>
      <c r="AD1696" s="906"/>
      <c r="AE1696" s="906"/>
      <c r="AF1696" s="906"/>
      <c r="AG1696" s="906"/>
      <c r="AH1696" s="518"/>
      <c r="AJ1696" s="595"/>
    </row>
    <row r="1697" spans="1:36" hidden="1" x14ac:dyDescent="0.45">
      <c r="A1697" s="518"/>
      <c r="B1697" s="543"/>
      <c r="C1697" s="531"/>
      <c r="D1697" s="531"/>
      <c r="E1697" s="531"/>
      <c r="F1697" s="531"/>
      <c r="G1697" s="531"/>
      <c r="H1697" s="531"/>
      <c r="I1697" s="518"/>
      <c r="J1697" s="518"/>
      <c r="K1697" s="518"/>
      <c r="L1697" s="546"/>
      <c r="M1697" s="546"/>
      <c r="N1697" s="546"/>
      <c r="O1697" s="546"/>
      <c r="P1697" s="546"/>
      <c r="Q1697" s="518"/>
      <c r="R1697" s="518"/>
      <c r="S1697" s="543"/>
      <c r="T1697" s="531"/>
      <c r="U1697" s="531"/>
      <c r="V1697" s="531"/>
      <c r="W1697" s="531"/>
      <c r="X1697" s="531"/>
      <c r="Y1697" s="531"/>
      <c r="Z1697" s="531"/>
      <c r="AA1697" s="531"/>
      <c r="AB1697" s="531"/>
      <c r="AC1697" s="546"/>
      <c r="AD1697" s="546"/>
      <c r="AE1697" s="546"/>
      <c r="AF1697" s="546"/>
      <c r="AG1697" s="546"/>
      <c r="AH1697" s="518"/>
      <c r="AJ1697" s="595"/>
    </row>
    <row r="1698" spans="1:36" hidden="1" x14ac:dyDescent="0.45">
      <c r="A1698" s="518"/>
      <c r="B1698" s="907" t="s">
        <v>1517</v>
      </c>
      <c r="C1698" s="907"/>
      <c r="D1698" s="907"/>
      <c r="E1698" s="907"/>
      <c r="F1698" s="907"/>
      <c r="G1698" s="907"/>
      <c r="H1698" s="907"/>
      <c r="I1698" s="907"/>
      <c r="J1698" s="907"/>
      <c r="K1698" s="907"/>
      <c r="L1698" s="907"/>
      <c r="M1698" s="517"/>
      <c r="N1698" s="517"/>
      <c r="O1698" s="517"/>
      <c r="P1698" s="517"/>
      <c r="Q1698" s="517"/>
      <c r="R1698" s="517"/>
      <c r="S1698" s="517"/>
      <c r="T1698" s="517"/>
      <c r="U1698" s="517"/>
      <c r="V1698" s="517"/>
      <c r="W1698" s="517"/>
      <c r="X1698" s="517"/>
      <c r="Y1698" s="517"/>
      <c r="Z1698" s="517"/>
      <c r="AA1698" s="517"/>
      <c r="AB1698" s="517"/>
      <c r="AC1698" s="517"/>
      <c r="AD1698" s="517"/>
      <c r="AE1698" s="517"/>
      <c r="AF1698" s="517"/>
      <c r="AG1698" s="517"/>
      <c r="AH1698" s="518"/>
      <c r="AJ1698" s="595"/>
    </row>
    <row r="1699" spans="1:36" hidden="1" x14ac:dyDescent="0.45">
      <c r="A1699" s="518"/>
      <c r="B1699" s="1103" t="s">
        <v>1518</v>
      </c>
      <c r="C1699" s="1103"/>
      <c r="D1699" s="1111"/>
      <c r="E1699" s="1038"/>
      <c r="F1699" s="1112"/>
      <c r="G1699" s="548"/>
      <c r="H1699" s="1103" t="s">
        <v>1519</v>
      </c>
      <c r="I1699" s="1103"/>
      <c r="J1699" s="1103"/>
      <c r="K1699" s="1038"/>
      <c r="L1699" s="1112"/>
      <c r="N1699" s="984" t="s">
        <v>1593</v>
      </c>
      <c r="O1699" s="984"/>
      <c r="P1699" s="984"/>
      <c r="Q1699" s="984"/>
      <c r="R1699" s="984"/>
      <c r="S1699" s="1091"/>
      <c r="T1699" s="1092"/>
      <c r="U1699" s="1092"/>
      <c r="V1699" s="1092"/>
      <c r="W1699" s="1092"/>
      <c r="X1699" s="1092"/>
      <c r="Y1699" s="1092"/>
      <c r="Z1699" s="1092"/>
      <c r="AA1699" s="1092"/>
      <c r="AB1699" s="1092"/>
      <c r="AC1699" s="1092"/>
      <c r="AD1699" s="1092"/>
      <c r="AE1699" s="1092"/>
      <c r="AF1699" s="1092"/>
      <c r="AG1699" s="1093"/>
      <c r="AH1699" s="518"/>
      <c r="AJ1699" s="595"/>
    </row>
    <row r="1700" spans="1:36" hidden="1" x14ac:dyDescent="0.45">
      <c r="A1700" s="518"/>
      <c r="B1700" s="1103" t="s">
        <v>1520</v>
      </c>
      <c r="C1700" s="1103"/>
      <c r="D1700" s="1103"/>
      <c r="E1700" s="1038"/>
      <c r="F1700" s="1112"/>
      <c r="G1700" s="532"/>
      <c r="H1700" s="1103" t="s">
        <v>1521</v>
      </c>
      <c r="I1700" s="1103"/>
      <c r="J1700" s="1103"/>
      <c r="K1700" s="1038"/>
      <c r="L1700" s="1112"/>
      <c r="M1700" s="518"/>
      <c r="N1700" s="984"/>
      <c r="O1700" s="984"/>
      <c r="P1700" s="984"/>
      <c r="Q1700" s="984"/>
      <c r="R1700" s="984"/>
      <c r="S1700" s="1094"/>
      <c r="T1700" s="1095"/>
      <c r="U1700" s="1095"/>
      <c r="V1700" s="1095"/>
      <c r="W1700" s="1095"/>
      <c r="X1700" s="1095"/>
      <c r="Y1700" s="1095"/>
      <c r="Z1700" s="1095"/>
      <c r="AA1700" s="1095"/>
      <c r="AB1700" s="1095"/>
      <c r="AC1700" s="1095"/>
      <c r="AD1700" s="1095"/>
      <c r="AE1700" s="1095"/>
      <c r="AF1700" s="1095"/>
      <c r="AG1700" s="1096"/>
      <c r="AH1700" s="518"/>
      <c r="AJ1700" s="595"/>
    </row>
    <row r="1701" spans="1:36" hidden="1" x14ac:dyDescent="0.45">
      <c r="A1701" s="518"/>
      <c r="B1701" s="543"/>
      <c r="C1701" s="531"/>
      <c r="D1701" s="531"/>
      <c r="E1701" s="531"/>
      <c r="F1701" s="531"/>
      <c r="G1701" s="531"/>
      <c r="H1701" s="531"/>
      <c r="I1701" s="518"/>
      <c r="J1701" s="518"/>
      <c r="K1701" s="518"/>
      <c r="L1701" s="546"/>
      <c r="M1701" s="546"/>
      <c r="N1701" s="546"/>
      <c r="O1701" s="546"/>
      <c r="P1701" s="546"/>
      <c r="Q1701" s="518"/>
      <c r="R1701" s="518"/>
      <c r="S1701" s="543"/>
      <c r="T1701" s="531"/>
      <c r="U1701" s="531"/>
      <c r="V1701" s="531"/>
      <c r="W1701" s="531"/>
      <c r="X1701" s="531"/>
      <c r="Y1701" s="531"/>
      <c r="Z1701" s="531"/>
      <c r="AA1701" s="531"/>
      <c r="AB1701" s="531"/>
      <c r="AC1701" s="546"/>
      <c r="AD1701" s="546"/>
      <c r="AE1701" s="546"/>
      <c r="AF1701" s="546"/>
      <c r="AG1701" s="546"/>
      <c r="AH1701" s="518"/>
      <c r="AJ1701" s="595"/>
    </row>
    <row r="1702" spans="1:36" hidden="1" x14ac:dyDescent="0.45">
      <c r="A1702" s="518"/>
      <c r="B1702" s="518"/>
      <c r="C1702" s="518"/>
      <c r="D1702" s="518"/>
      <c r="E1702" s="518"/>
      <c r="F1702" s="518"/>
      <c r="G1702" s="518"/>
      <c r="H1702" s="518"/>
      <c r="I1702" s="518"/>
      <c r="J1702" s="518"/>
      <c r="K1702" s="518"/>
      <c r="L1702" s="518"/>
      <c r="M1702" s="518"/>
      <c r="N1702" s="518"/>
      <c r="O1702" s="518"/>
      <c r="P1702" s="518"/>
      <c r="Q1702" s="518"/>
      <c r="R1702" s="518"/>
      <c r="S1702" s="518"/>
      <c r="T1702" s="518"/>
      <c r="U1702" s="518"/>
      <c r="V1702" s="518"/>
      <c r="W1702" s="518"/>
      <c r="X1702" s="518"/>
      <c r="Y1702" s="518"/>
      <c r="Z1702" s="518"/>
      <c r="AA1702" s="518"/>
      <c r="AB1702" s="518"/>
      <c r="AC1702" s="518"/>
      <c r="AD1702" s="518"/>
      <c r="AE1702" s="518"/>
      <c r="AF1702" s="518"/>
      <c r="AG1702" s="518"/>
      <c r="AH1702" s="518"/>
      <c r="AJ1702" s="595"/>
    </row>
    <row r="1703" spans="1:36" hidden="1" x14ac:dyDescent="0.45">
      <c r="A1703" s="518"/>
      <c r="B1703" s="907" t="str">
        <f>B$1635</f>
        <v>CalHome Homeownership Project Development Loan</v>
      </c>
      <c r="C1703" s="907"/>
      <c r="D1703" s="907"/>
      <c r="E1703" s="907"/>
      <c r="F1703" s="907"/>
      <c r="G1703" s="907"/>
      <c r="H1703" s="907"/>
      <c r="I1703" s="907"/>
      <c r="J1703" s="907"/>
      <c r="K1703" s="907"/>
      <c r="L1703" s="907"/>
      <c r="M1703" s="907"/>
      <c r="N1703" s="907"/>
      <c r="O1703" s="907"/>
      <c r="P1703" s="907"/>
      <c r="Q1703" s="907"/>
      <c r="R1703" s="907"/>
      <c r="S1703" s="907"/>
      <c r="T1703" s="907"/>
      <c r="U1703" s="907"/>
      <c r="V1703" s="907"/>
      <c r="W1703" s="907"/>
      <c r="X1703" s="907"/>
      <c r="Y1703" s="907"/>
      <c r="Z1703" s="907"/>
      <c r="AA1703" s="907"/>
      <c r="AB1703" s="907"/>
      <c r="AC1703" s="907"/>
      <c r="AD1703" s="907"/>
      <c r="AE1703" s="907"/>
      <c r="AF1703" s="907"/>
      <c r="AG1703" s="907"/>
      <c r="AH1703" s="518"/>
      <c r="AJ1703" s="595"/>
    </row>
    <row r="1704" spans="1:36" hidden="1" x14ac:dyDescent="0.45">
      <c r="A1704" s="518"/>
      <c r="B1704" s="518"/>
      <c r="C1704" s="518"/>
      <c r="D1704" s="518"/>
      <c r="E1704" s="518"/>
      <c r="F1704" s="518"/>
      <c r="G1704" s="518"/>
      <c r="H1704" s="518"/>
      <c r="I1704" s="518"/>
      <c r="J1704" s="518"/>
      <c r="K1704" s="518"/>
      <c r="L1704" s="518"/>
      <c r="M1704" s="518"/>
      <c r="N1704" s="518"/>
      <c r="O1704" s="518"/>
      <c r="P1704" s="518"/>
      <c r="Q1704" s="518"/>
      <c r="R1704" s="518"/>
      <c r="S1704" s="518"/>
      <c r="T1704" s="518"/>
      <c r="U1704" s="518"/>
      <c r="V1704" s="518"/>
      <c r="W1704" s="518"/>
      <c r="X1704" s="518"/>
      <c r="Y1704" s="518"/>
      <c r="Z1704" s="518"/>
      <c r="AA1704" s="518"/>
      <c r="AB1704" s="518"/>
      <c r="AC1704" s="518"/>
      <c r="AD1704" s="518"/>
      <c r="AE1704" s="518"/>
      <c r="AF1704" s="518"/>
      <c r="AG1704" s="518"/>
      <c r="AH1704" s="518"/>
      <c r="AJ1704" s="595"/>
    </row>
    <row r="1705" spans="1:36" hidden="1" x14ac:dyDescent="0.45">
      <c r="A1705" s="518"/>
      <c r="B1705" s="907" t="s">
        <v>1522</v>
      </c>
      <c r="C1705" s="907"/>
      <c r="D1705" s="907"/>
      <c r="E1705" s="907"/>
      <c r="F1705" s="907"/>
      <c r="G1705" s="907"/>
      <c r="H1705" s="907"/>
      <c r="I1705" s="907"/>
      <c r="J1705" s="907"/>
      <c r="K1705" s="907"/>
      <c r="L1705" s="907"/>
      <c r="M1705" s="907"/>
      <c r="N1705" s="907"/>
      <c r="O1705" s="907"/>
      <c r="P1705" s="907"/>
      <c r="Q1705" s="907"/>
      <c r="R1705" s="907"/>
      <c r="S1705" s="907"/>
      <c r="T1705" s="907"/>
      <c r="U1705" s="907"/>
      <c r="V1705" s="907"/>
      <c r="W1705" s="907"/>
      <c r="X1705" s="907"/>
      <c r="Y1705" s="907"/>
      <c r="Z1705" s="907"/>
      <c r="AA1705" s="907"/>
      <c r="AB1705" s="907"/>
      <c r="AC1705" s="907"/>
      <c r="AD1705" s="907"/>
      <c r="AE1705" s="907"/>
      <c r="AF1705" s="907"/>
      <c r="AG1705" s="907"/>
      <c r="AH1705" s="518"/>
      <c r="AJ1705" s="595"/>
    </row>
    <row r="1706" spans="1:36" hidden="1" x14ac:dyDescent="0.45">
      <c r="A1706" s="518"/>
      <c r="B1706" s="987" t="s">
        <v>1523</v>
      </c>
      <c r="C1706" s="987"/>
      <c r="D1706" s="987"/>
      <c r="E1706" s="987"/>
      <c r="F1706" s="987"/>
      <c r="G1706" s="987"/>
      <c r="H1706" s="987"/>
      <c r="I1706" s="987"/>
      <c r="J1706" s="987"/>
      <c r="K1706" s="987"/>
      <c r="L1706" s="987"/>
      <c r="M1706" s="987"/>
      <c r="N1706" s="987"/>
      <c r="O1706" s="987"/>
      <c r="P1706" s="987"/>
      <c r="Q1706" s="987"/>
      <c r="R1706" s="987"/>
      <c r="S1706" s="987"/>
      <c r="T1706" s="987"/>
      <c r="U1706" s="987"/>
      <c r="V1706" s="987"/>
      <c r="W1706" s="987"/>
      <c r="X1706" s="987"/>
      <c r="Y1706" s="987"/>
      <c r="Z1706" s="987"/>
      <c r="AA1706" s="987"/>
      <c r="AB1706" s="987"/>
      <c r="AC1706" s="987"/>
      <c r="AD1706" s="987"/>
      <c r="AE1706" s="987"/>
      <c r="AF1706" s="987"/>
      <c r="AG1706" s="987"/>
      <c r="AH1706" s="518"/>
      <c r="AJ1706" s="595"/>
    </row>
    <row r="1707" spans="1:36" hidden="1" x14ac:dyDescent="0.45">
      <c r="A1707" s="518"/>
      <c r="B1707" s="975"/>
      <c r="C1707" s="1092"/>
      <c r="D1707" s="1092"/>
      <c r="E1707" s="1092"/>
      <c r="F1707" s="1092"/>
      <c r="G1707" s="1092"/>
      <c r="H1707" s="1092"/>
      <c r="I1707" s="1092"/>
      <c r="J1707" s="1092"/>
      <c r="K1707" s="1092"/>
      <c r="L1707" s="1092"/>
      <c r="M1707" s="1092"/>
      <c r="N1707" s="1092"/>
      <c r="O1707" s="1092"/>
      <c r="P1707" s="1092"/>
      <c r="Q1707" s="1092"/>
      <c r="R1707" s="1092"/>
      <c r="S1707" s="1092"/>
      <c r="T1707" s="1092"/>
      <c r="U1707" s="1092"/>
      <c r="V1707" s="1092"/>
      <c r="W1707" s="1092"/>
      <c r="X1707" s="1092"/>
      <c r="Y1707" s="1092"/>
      <c r="Z1707" s="1092"/>
      <c r="AA1707" s="1092"/>
      <c r="AB1707" s="1092"/>
      <c r="AC1707" s="1092"/>
      <c r="AD1707" s="1092"/>
      <c r="AE1707" s="1092"/>
      <c r="AF1707" s="1092"/>
      <c r="AG1707" s="1093"/>
      <c r="AH1707" s="518"/>
      <c r="AJ1707" s="595"/>
    </row>
    <row r="1708" spans="1:36" hidden="1" x14ac:dyDescent="0.45">
      <c r="A1708" s="518"/>
      <c r="B1708" s="1094"/>
      <c r="C1708" s="1095"/>
      <c r="D1708" s="1095"/>
      <c r="E1708" s="1095"/>
      <c r="F1708" s="1095"/>
      <c r="G1708" s="1095"/>
      <c r="H1708" s="1095"/>
      <c r="I1708" s="1095"/>
      <c r="J1708" s="1095"/>
      <c r="K1708" s="1095"/>
      <c r="L1708" s="1095"/>
      <c r="M1708" s="1095"/>
      <c r="N1708" s="1095"/>
      <c r="O1708" s="1095"/>
      <c r="P1708" s="1095"/>
      <c r="Q1708" s="1095"/>
      <c r="R1708" s="1095"/>
      <c r="S1708" s="1095"/>
      <c r="T1708" s="1095"/>
      <c r="U1708" s="1095"/>
      <c r="V1708" s="1095"/>
      <c r="W1708" s="1095"/>
      <c r="X1708" s="1095"/>
      <c r="Y1708" s="1095"/>
      <c r="Z1708" s="1095"/>
      <c r="AA1708" s="1095"/>
      <c r="AB1708" s="1095"/>
      <c r="AC1708" s="1095"/>
      <c r="AD1708" s="1095"/>
      <c r="AE1708" s="1095"/>
      <c r="AF1708" s="1095"/>
      <c r="AG1708" s="1096"/>
      <c r="AH1708" s="518"/>
      <c r="AJ1708" s="595"/>
    </row>
    <row r="1709" spans="1:36" hidden="1" x14ac:dyDescent="0.45">
      <c r="A1709" s="518"/>
      <c r="B1709" s="539"/>
      <c r="C1709" s="539"/>
      <c r="D1709" s="539"/>
      <c r="E1709" s="539"/>
      <c r="F1709" s="539"/>
      <c r="G1709" s="539"/>
      <c r="H1709" s="539"/>
      <c r="I1709" s="539"/>
      <c r="J1709" s="539"/>
      <c r="K1709" s="539"/>
      <c r="L1709" s="539"/>
      <c r="M1709" s="539"/>
      <c r="N1709" s="539"/>
      <c r="O1709" s="539"/>
      <c r="P1709" s="540"/>
      <c r="Q1709" s="540"/>
      <c r="R1709" s="540"/>
      <c r="S1709" s="540"/>
      <c r="T1709" s="540"/>
      <c r="U1709" s="540"/>
      <c r="V1709" s="540"/>
      <c r="W1709" s="540"/>
      <c r="X1709" s="540"/>
      <c r="Y1709" s="540"/>
      <c r="Z1709" s="540"/>
      <c r="AA1709" s="540"/>
      <c r="AB1709" s="540"/>
      <c r="AC1709" s="540"/>
      <c r="AD1709" s="540"/>
      <c r="AE1709" s="540"/>
      <c r="AF1709" s="540"/>
      <c r="AG1709" s="540"/>
      <c r="AH1709" s="518"/>
      <c r="AJ1709" s="595"/>
    </row>
    <row r="1710" spans="1:36" hidden="1" x14ac:dyDescent="0.45">
      <c r="A1710" s="518"/>
      <c r="B1710" s="907" t="s">
        <v>1524</v>
      </c>
      <c r="C1710" s="907"/>
      <c r="D1710" s="907"/>
      <c r="E1710" s="907"/>
      <c r="F1710" s="907"/>
      <c r="G1710" s="907"/>
      <c r="H1710" s="907"/>
      <c r="I1710" s="907"/>
      <c r="J1710" s="907"/>
      <c r="K1710" s="907"/>
      <c r="L1710" s="907"/>
      <c r="M1710" s="907"/>
      <c r="N1710" s="907"/>
      <c r="O1710" s="907"/>
      <c r="P1710" s="907"/>
      <c r="Q1710" s="907"/>
      <c r="R1710" s="907"/>
      <c r="S1710" s="907"/>
      <c r="T1710" s="907"/>
      <c r="U1710" s="907"/>
      <c r="V1710" s="907"/>
      <c r="W1710" s="907"/>
      <c r="X1710" s="907"/>
      <c r="Y1710" s="907"/>
      <c r="Z1710" s="907"/>
      <c r="AA1710" s="907"/>
      <c r="AB1710" s="907"/>
      <c r="AC1710" s="907"/>
      <c r="AD1710" s="907"/>
      <c r="AE1710" s="907"/>
      <c r="AF1710" s="907"/>
      <c r="AG1710" s="907"/>
      <c r="AH1710" s="518"/>
      <c r="AJ1710" s="595"/>
    </row>
    <row r="1711" spans="1:36" hidden="1" x14ac:dyDescent="0.45">
      <c r="A1711" s="518"/>
      <c r="B1711" s="984" t="s">
        <v>1783</v>
      </c>
      <c r="C1711" s="984"/>
      <c r="D1711" s="984"/>
      <c r="E1711" s="984"/>
      <c r="F1711" s="984"/>
      <c r="G1711" s="984"/>
      <c r="H1711" s="984"/>
      <c r="I1711" s="984"/>
      <c r="J1711" s="984"/>
      <c r="K1711" s="984"/>
      <c r="L1711" s="984"/>
      <c r="M1711" s="984"/>
      <c r="N1711" s="984"/>
      <c r="O1711" s="984"/>
      <c r="P1711" s="984"/>
      <c r="Q1711" s="984"/>
      <c r="R1711" s="984"/>
      <c r="S1711" s="984"/>
      <c r="T1711" s="984"/>
      <c r="U1711" s="984"/>
      <c r="V1711" s="984"/>
      <c r="W1711" s="984"/>
      <c r="X1711" s="984"/>
      <c r="Y1711" s="984"/>
      <c r="Z1711" s="984"/>
      <c r="AA1711" s="540"/>
      <c r="AB1711" s="1104"/>
      <c r="AC1711" s="1106"/>
      <c r="AD1711" s="1337"/>
      <c r="AE1711" s="1337"/>
      <c r="AF1711" s="1337"/>
      <c r="AG1711" s="1337"/>
      <c r="AH1711" s="518"/>
      <c r="AJ1711" s="595"/>
    </row>
    <row r="1712" spans="1:36" hidden="1" x14ac:dyDescent="0.45">
      <c r="A1712" s="518"/>
      <c r="B1712" s="984"/>
      <c r="C1712" s="984"/>
      <c r="D1712" s="984"/>
      <c r="E1712" s="984"/>
      <c r="F1712" s="984"/>
      <c r="G1712" s="984"/>
      <c r="H1712" s="984"/>
      <c r="I1712" s="984"/>
      <c r="J1712" s="984"/>
      <c r="K1712" s="984"/>
      <c r="L1712" s="984"/>
      <c r="M1712" s="984"/>
      <c r="N1712" s="984"/>
      <c r="O1712" s="984"/>
      <c r="P1712" s="984"/>
      <c r="Q1712" s="984"/>
      <c r="R1712" s="984"/>
      <c r="S1712" s="984"/>
      <c r="T1712" s="984"/>
      <c r="U1712" s="984"/>
      <c r="V1712" s="984"/>
      <c r="W1712" s="984"/>
      <c r="X1712" s="984"/>
      <c r="Y1712" s="984"/>
      <c r="Z1712" s="984"/>
      <c r="AA1712" s="540"/>
      <c r="AB1712" s="540"/>
      <c r="AC1712" s="540"/>
      <c r="AD1712" s="540"/>
      <c r="AE1712" s="540"/>
      <c r="AF1712" s="540"/>
      <c r="AG1712" s="540"/>
      <c r="AH1712" s="518"/>
      <c r="AJ1712" s="595"/>
    </row>
    <row r="1713" spans="1:36" hidden="1" x14ac:dyDescent="0.45">
      <c r="A1713" s="518"/>
      <c r="B1713" s="987" t="s">
        <v>1784</v>
      </c>
      <c r="C1713" s="987"/>
      <c r="D1713" s="987"/>
      <c r="E1713" s="987"/>
      <c r="F1713" s="987"/>
      <c r="G1713" s="987"/>
      <c r="H1713" s="987"/>
      <c r="I1713" s="987"/>
      <c r="J1713" s="987"/>
      <c r="K1713" s="987"/>
      <c r="L1713" s="987"/>
      <c r="M1713" s="987"/>
      <c r="N1713" s="987"/>
      <c r="O1713" s="987"/>
      <c r="P1713" s="987"/>
      <c r="Q1713" s="987"/>
      <c r="R1713" s="987"/>
      <c r="S1713" s="987"/>
      <c r="T1713" s="987"/>
      <c r="U1713" s="987"/>
      <c r="V1713" s="987"/>
      <c r="W1713" s="987"/>
      <c r="X1713" s="987"/>
      <c r="Y1713" s="987"/>
      <c r="Z1713" s="987"/>
      <c r="AA1713" s="540"/>
      <c r="AB1713" s="1104"/>
      <c r="AC1713" s="1106"/>
      <c r="AD1713" s="1337"/>
      <c r="AE1713" s="1337"/>
      <c r="AF1713" s="1337"/>
      <c r="AG1713" s="1337"/>
      <c r="AH1713" s="518"/>
      <c r="AJ1713" s="595"/>
    </row>
    <row r="1714" spans="1:36" hidden="1" x14ac:dyDescent="0.45">
      <c r="A1714" s="518"/>
      <c r="B1714" s="987"/>
      <c r="C1714" s="987"/>
      <c r="D1714" s="987"/>
      <c r="E1714" s="987"/>
      <c r="F1714" s="987"/>
      <c r="G1714" s="987"/>
      <c r="H1714" s="987"/>
      <c r="I1714" s="987"/>
      <c r="J1714" s="987"/>
      <c r="K1714" s="987"/>
      <c r="L1714" s="987"/>
      <c r="M1714" s="987"/>
      <c r="N1714" s="987"/>
      <c r="O1714" s="987"/>
      <c r="P1714" s="987"/>
      <c r="Q1714" s="987"/>
      <c r="R1714" s="987"/>
      <c r="S1714" s="987"/>
      <c r="T1714" s="987"/>
      <c r="U1714" s="987"/>
      <c r="V1714" s="987"/>
      <c r="W1714" s="987"/>
      <c r="X1714" s="987"/>
      <c r="Y1714" s="987"/>
      <c r="Z1714" s="987"/>
      <c r="AA1714" s="540"/>
      <c r="AB1714" s="540"/>
      <c r="AC1714" s="540"/>
      <c r="AD1714" s="540"/>
      <c r="AE1714" s="540"/>
      <c r="AF1714" s="540"/>
      <c r="AG1714" s="540"/>
      <c r="AH1714" s="518"/>
      <c r="AJ1714" s="595"/>
    </row>
    <row r="1715" spans="1:36" hidden="1" x14ac:dyDescent="0.45">
      <c r="A1715" s="518"/>
      <c r="B1715" s="907" t="s">
        <v>1525</v>
      </c>
      <c r="C1715" s="907"/>
      <c r="D1715" s="907"/>
      <c r="E1715" s="907"/>
      <c r="F1715" s="907"/>
      <c r="G1715" s="907"/>
      <c r="H1715" s="907"/>
      <c r="I1715" s="907"/>
      <c r="J1715" s="907"/>
      <c r="K1715" s="907"/>
      <c r="L1715" s="907"/>
      <c r="M1715" s="907"/>
      <c r="N1715" s="907"/>
      <c r="O1715" s="907"/>
      <c r="P1715" s="907"/>
      <c r="Q1715" s="907"/>
      <c r="R1715" s="907"/>
      <c r="S1715" s="907"/>
      <c r="T1715" s="907"/>
      <c r="U1715" s="907"/>
      <c r="V1715" s="907"/>
      <c r="W1715" s="907"/>
      <c r="X1715" s="907"/>
      <c r="Y1715" s="907"/>
      <c r="Z1715" s="907"/>
      <c r="AA1715" s="907"/>
      <c r="AB1715" s="907"/>
      <c r="AC1715" s="907"/>
      <c r="AD1715" s="907"/>
      <c r="AE1715" s="907"/>
      <c r="AF1715" s="907"/>
      <c r="AG1715" s="907"/>
      <c r="AH1715" s="518"/>
      <c r="AJ1715" s="595"/>
    </row>
    <row r="1716" spans="1:36" hidden="1" x14ac:dyDescent="0.45">
      <c r="A1716" s="518"/>
      <c r="B1716" s="1098" t="s">
        <v>1529</v>
      </c>
      <c r="C1716" s="1098"/>
      <c r="D1716" s="1098"/>
      <c r="E1716" s="1098"/>
      <c r="F1716" s="1098"/>
      <c r="G1716" s="1098"/>
      <c r="H1716" s="1098"/>
      <c r="I1716" s="1098"/>
      <c r="J1716" s="1098"/>
      <c r="K1716" s="1098"/>
      <c r="L1716" s="1098"/>
      <c r="M1716" s="1098"/>
      <c r="N1716" s="1098"/>
      <c r="O1716" s="1098"/>
      <c r="P1716" s="1098"/>
      <c r="Q1716" s="1098"/>
      <c r="R1716" s="1098"/>
      <c r="S1716" s="1098"/>
      <c r="T1716" s="1098"/>
      <c r="U1716" s="1098"/>
      <c r="V1716" s="1098"/>
      <c r="W1716" s="1098"/>
      <c r="X1716" s="1098"/>
      <c r="Y1716" s="1098"/>
      <c r="Z1716" s="1098"/>
      <c r="AA1716" s="1098"/>
      <c r="AB1716" s="1098"/>
      <c r="AC1716" s="1099"/>
      <c r="AD1716" s="1114"/>
      <c r="AE1716" s="1115"/>
      <c r="AF1716" s="1115"/>
      <c r="AG1716" s="1116"/>
      <c r="AH1716" s="518"/>
      <c r="AJ1716" s="595"/>
    </row>
    <row r="1717" spans="1:36" hidden="1" x14ac:dyDescent="0.45">
      <c r="A1717" s="518"/>
      <c r="B1717" s="568"/>
      <c r="C1717" s="568"/>
      <c r="D1717" s="568"/>
      <c r="E1717" s="568"/>
      <c r="F1717" s="568"/>
      <c r="G1717" s="568"/>
      <c r="H1717" s="568"/>
      <c r="I1717" s="568"/>
      <c r="J1717" s="568"/>
      <c r="K1717" s="568"/>
      <c r="L1717" s="568"/>
      <c r="M1717" s="568"/>
      <c r="N1717" s="568"/>
      <c r="O1717" s="568"/>
      <c r="P1717" s="568"/>
      <c r="Q1717" s="568"/>
      <c r="R1717" s="568"/>
      <c r="S1717" s="568"/>
      <c r="T1717" s="568"/>
      <c r="U1717" s="568"/>
      <c r="V1717" s="568"/>
      <c r="W1717" s="568"/>
      <c r="X1717" s="568"/>
      <c r="Y1717" s="568"/>
      <c r="Z1717" s="568"/>
      <c r="AA1717" s="568"/>
      <c r="AB1717" s="568"/>
      <c r="AC1717" s="568"/>
      <c r="AD1717" s="568"/>
      <c r="AE1717" s="568"/>
      <c r="AF1717" s="568"/>
      <c r="AG1717" s="568"/>
      <c r="AH1717" s="518"/>
      <c r="AJ1717" s="595"/>
    </row>
    <row r="1718" spans="1:36" hidden="1" x14ac:dyDescent="0.45">
      <c r="A1718" s="518"/>
      <c r="B1718" s="1091"/>
      <c r="C1718" s="1092"/>
      <c r="D1718" s="1092"/>
      <c r="E1718" s="1092"/>
      <c r="F1718" s="1092"/>
      <c r="G1718" s="1092"/>
      <c r="H1718" s="1092"/>
      <c r="I1718" s="1092"/>
      <c r="J1718" s="1092"/>
      <c r="K1718" s="1092"/>
      <c r="L1718" s="1092"/>
      <c r="M1718" s="1092"/>
      <c r="N1718" s="1092"/>
      <c r="O1718" s="1092"/>
      <c r="P1718" s="1092"/>
      <c r="Q1718" s="1092"/>
      <c r="R1718" s="1092"/>
      <c r="S1718" s="1092"/>
      <c r="T1718" s="1092"/>
      <c r="U1718" s="1092"/>
      <c r="V1718" s="1092"/>
      <c r="W1718" s="1092"/>
      <c r="X1718" s="1092"/>
      <c r="Y1718" s="1092"/>
      <c r="Z1718" s="1092"/>
      <c r="AA1718" s="1092"/>
      <c r="AB1718" s="1092"/>
      <c r="AC1718" s="1092"/>
      <c r="AD1718" s="1092"/>
      <c r="AE1718" s="1092"/>
      <c r="AF1718" s="1092"/>
      <c r="AG1718" s="1093"/>
      <c r="AH1718" s="518"/>
      <c r="AJ1718" s="595"/>
    </row>
    <row r="1719" spans="1:36" hidden="1" x14ac:dyDescent="0.45">
      <c r="A1719" s="518"/>
      <c r="B1719" s="1094"/>
      <c r="C1719" s="1095"/>
      <c r="D1719" s="1095"/>
      <c r="E1719" s="1095"/>
      <c r="F1719" s="1095"/>
      <c r="G1719" s="1095"/>
      <c r="H1719" s="1095"/>
      <c r="I1719" s="1095"/>
      <c r="J1719" s="1095"/>
      <c r="K1719" s="1095"/>
      <c r="L1719" s="1095"/>
      <c r="M1719" s="1095"/>
      <c r="N1719" s="1095"/>
      <c r="O1719" s="1095"/>
      <c r="P1719" s="1095"/>
      <c r="Q1719" s="1095"/>
      <c r="R1719" s="1095"/>
      <c r="S1719" s="1095"/>
      <c r="T1719" s="1095"/>
      <c r="U1719" s="1095"/>
      <c r="V1719" s="1095"/>
      <c r="W1719" s="1095"/>
      <c r="X1719" s="1095"/>
      <c r="Y1719" s="1095"/>
      <c r="Z1719" s="1095"/>
      <c r="AA1719" s="1095"/>
      <c r="AB1719" s="1095"/>
      <c r="AC1719" s="1095"/>
      <c r="AD1719" s="1095"/>
      <c r="AE1719" s="1095"/>
      <c r="AF1719" s="1095"/>
      <c r="AG1719" s="1096"/>
      <c r="AH1719" s="518"/>
      <c r="AJ1719" s="595"/>
    </row>
    <row r="1720" spans="1:36" hidden="1" x14ac:dyDescent="0.45">
      <c r="A1720" s="518"/>
      <c r="B1720" s="531"/>
      <c r="C1720" s="531"/>
      <c r="D1720" s="531"/>
      <c r="E1720" s="531"/>
      <c r="F1720" s="531"/>
      <c r="G1720" s="531"/>
      <c r="H1720" s="531"/>
      <c r="I1720" s="531"/>
      <c r="J1720" s="531"/>
      <c r="K1720" s="531"/>
      <c r="L1720" s="531"/>
      <c r="M1720" s="531"/>
      <c r="N1720" s="531"/>
      <c r="O1720" s="531"/>
      <c r="P1720" s="531"/>
      <c r="Q1720" s="531"/>
      <c r="R1720" s="531"/>
      <c r="S1720" s="531"/>
      <c r="T1720" s="531"/>
      <c r="U1720" s="531"/>
      <c r="V1720" s="531"/>
      <c r="W1720" s="531"/>
      <c r="X1720" s="531"/>
      <c r="Y1720" s="531"/>
      <c r="Z1720" s="531"/>
      <c r="AA1720" s="531"/>
      <c r="AB1720" s="531"/>
      <c r="AC1720" s="531"/>
      <c r="AD1720" s="538"/>
      <c r="AE1720" s="538"/>
      <c r="AF1720" s="538"/>
      <c r="AG1720" s="538"/>
      <c r="AH1720" s="518"/>
      <c r="AJ1720" s="595"/>
    </row>
    <row r="1721" spans="1:36" hidden="1" x14ac:dyDescent="0.45">
      <c r="A1721" s="518"/>
      <c r="B1721" s="907" t="s">
        <v>1526</v>
      </c>
      <c r="C1721" s="907"/>
      <c r="D1721" s="907"/>
      <c r="E1721" s="907"/>
      <c r="F1721" s="907"/>
      <c r="G1721" s="907"/>
      <c r="H1721" s="907"/>
      <c r="I1721" s="907"/>
      <c r="J1721" s="907"/>
      <c r="K1721" s="907"/>
      <c r="L1721" s="907"/>
      <c r="M1721" s="907"/>
      <c r="N1721" s="907"/>
      <c r="O1721" s="907"/>
      <c r="P1721" s="907"/>
      <c r="Q1721" s="907"/>
      <c r="R1721" s="907"/>
      <c r="S1721" s="907"/>
      <c r="T1721" s="907"/>
      <c r="U1721" s="907"/>
      <c r="V1721" s="907"/>
      <c r="W1721" s="907"/>
      <c r="X1721" s="907"/>
      <c r="Y1721" s="907"/>
      <c r="Z1721" s="907"/>
      <c r="AA1721" s="907"/>
      <c r="AB1721" s="907"/>
      <c r="AC1721" s="907"/>
      <c r="AD1721" s="907"/>
      <c r="AE1721" s="907"/>
      <c r="AF1721" s="907"/>
      <c r="AG1721" s="907"/>
      <c r="AH1721" s="518"/>
      <c r="AJ1721" s="595"/>
    </row>
    <row r="1722" spans="1:36" hidden="1" x14ac:dyDescent="0.45">
      <c r="A1722" s="518"/>
      <c r="B1722" s="544" t="s">
        <v>1527</v>
      </c>
      <c r="C1722" s="531"/>
      <c r="D1722" s="531"/>
      <c r="E1722" s="531"/>
      <c r="F1722" s="531"/>
      <c r="G1722" s="531"/>
      <c r="H1722" s="531"/>
      <c r="I1722" s="531"/>
      <c r="J1722" s="531"/>
      <c r="K1722" s="531"/>
      <c r="L1722" s="531"/>
      <c r="M1722" s="531"/>
      <c r="N1722" s="531"/>
      <c r="O1722" s="531"/>
      <c r="P1722" s="531"/>
      <c r="Q1722" s="531"/>
      <c r="R1722" s="531"/>
      <c r="S1722" s="531"/>
      <c r="T1722" s="531"/>
      <c r="U1722" s="531"/>
      <c r="V1722" s="531"/>
      <c r="W1722" s="531"/>
      <c r="X1722" s="531"/>
      <c r="Y1722" s="531"/>
      <c r="Z1722" s="531"/>
      <c r="AA1722" s="531"/>
      <c r="AB1722" s="531"/>
      <c r="AC1722" s="531"/>
      <c r="AD1722" s="1114"/>
      <c r="AE1722" s="1115"/>
      <c r="AF1722" s="1115"/>
      <c r="AG1722" s="1116"/>
      <c r="AH1722" s="518"/>
      <c r="AJ1722" s="595"/>
    </row>
    <row r="1723" spans="1:36" hidden="1" x14ac:dyDescent="0.45">
      <c r="A1723" s="518"/>
      <c r="B1723" s="531"/>
      <c r="C1723" s="531"/>
      <c r="D1723" s="531"/>
      <c r="E1723" s="531"/>
      <c r="F1723" s="531"/>
      <c r="G1723" s="531"/>
      <c r="H1723" s="531"/>
      <c r="I1723" s="531"/>
      <c r="J1723" s="531"/>
      <c r="K1723" s="531"/>
      <c r="L1723" s="531"/>
      <c r="M1723" s="531"/>
      <c r="N1723" s="531"/>
      <c r="O1723" s="531"/>
      <c r="P1723" s="531"/>
      <c r="Q1723" s="531"/>
      <c r="R1723" s="531"/>
      <c r="S1723" s="531"/>
      <c r="T1723" s="531"/>
      <c r="U1723" s="531"/>
      <c r="V1723" s="531"/>
      <c r="W1723" s="531"/>
      <c r="X1723" s="531"/>
      <c r="Y1723" s="531"/>
      <c r="Z1723" s="531"/>
      <c r="AA1723" s="531"/>
      <c r="AB1723" s="531"/>
      <c r="AC1723" s="531"/>
      <c r="AD1723" s="522"/>
      <c r="AE1723" s="522"/>
      <c r="AF1723" s="522"/>
      <c r="AG1723" s="522"/>
      <c r="AH1723" s="518"/>
      <c r="AJ1723" s="595"/>
    </row>
    <row r="1724" spans="1:36" hidden="1" x14ac:dyDescent="0.45">
      <c r="A1724" s="518"/>
      <c r="B1724" s="907" t="s">
        <v>1528</v>
      </c>
      <c r="C1724" s="907"/>
      <c r="D1724" s="907"/>
      <c r="E1724" s="907"/>
      <c r="F1724" s="907"/>
      <c r="G1724" s="907"/>
      <c r="H1724" s="907"/>
      <c r="I1724" s="907"/>
      <c r="J1724" s="907"/>
      <c r="K1724" s="907"/>
      <c r="L1724" s="907"/>
      <c r="M1724" s="907"/>
      <c r="N1724" s="907"/>
      <c r="O1724" s="907"/>
      <c r="P1724" s="907"/>
      <c r="Q1724" s="907"/>
      <c r="R1724" s="907"/>
      <c r="S1724" s="907"/>
      <c r="T1724" s="907"/>
      <c r="U1724" s="907"/>
      <c r="V1724" s="907"/>
      <c r="W1724" s="907"/>
      <c r="X1724" s="907"/>
      <c r="Y1724" s="907"/>
      <c r="Z1724" s="907"/>
      <c r="AA1724" s="907"/>
      <c r="AB1724" s="907"/>
      <c r="AC1724" s="907"/>
      <c r="AD1724" s="907"/>
      <c r="AE1724" s="907"/>
      <c r="AF1724" s="907"/>
      <c r="AG1724" s="907"/>
      <c r="AH1724" s="518"/>
      <c r="AJ1724" s="595"/>
    </row>
    <row r="1725" spans="1:36" hidden="1" x14ac:dyDescent="0.45">
      <c r="A1725" s="518"/>
      <c r="B1725" s="543" t="s">
        <v>1531</v>
      </c>
      <c r="C1725" s="531"/>
      <c r="D1725" s="531"/>
      <c r="E1725" s="531"/>
      <c r="F1725" s="531"/>
      <c r="G1725" s="531"/>
      <c r="H1725" s="531"/>
      <c r="I1725" s="531"/>
      <c r="J1725" s="531"/>
      <c r="K1725" s="1069"/>
      <c r="L1725" s="1070"/>
      <c r="M1725" s="1070"/>
      <c r="N1725" s="1070"/>
      <c r="O1725" s="1070"/>
      <c r="P1725" s="1070"/>
      <c r="Q1725" s="1070"/>
      <c r="R1725" s="1070"/>
      <c r="S1725" s="1070"/>
      <c r="T1725" s="1070"/>
      <c r="U1725" s="1070"/>
      <c r="V1725" s="1070"/>
      <c r="W1725" s="1070"/>
      <c r="X1725" s="1071"/>
      <c r="Y1725" s="531"/>
      <c r="Z1725" s="1330" t="s">
        <v>1530</v>
      </c>
      <c r="AA1725" s="1330"/>
      <c r="AB1725" s="1330"/>
      <c r="AC1725" s="1331"/>
      <c r="AD1725" s="1074"/>
      <c r="AE1725" s="1075"/>
      <c r="AF1725" s="1075"/>
      <c r="AG1725" s="1076"/>
      <c r="AH1725" s="518"/>
      <c r="AJ1725" s="595"/>
    </row>
    <row r="1726" spans="1:36" hidden="1" x14ac:dyDescent="0.45">
      <c r="A1726" s="518"/>
      <c r="B1726" s="543" t="s">
        <v>1532</v>
      </c>
      <c r="C1726" s="531"/>
      <c r="D1726" s="531"/>
      <c r="E1726" s="531"/>
      <c r="F1726" s="531"/>
      <c r="G1726" s="531"/>
      <c r="H1726" s="531"/>
      <c r="I1726" s="531"/>
      <c r="J1726" s="531"/>
      <c r="S1726" s="531"/>
      <c r="T1726" s="531"/>
      <c r="U1726" s="531"/>
      <c r="V1726" s="531"/>
      <c r="W1726" s="531"/>
      <c r="X1726" s="531"/>
      <c r="Y1726" s="518"/>
      <c r="Z1726" s="518"/>
      <c r="AA1726" s="518"/>
      <c r="AB1726" s="518"/>
      <c r="AC1726" s="518"/>
      <c r="AD1726" s="518"/>
      <c r="AE1726" s="518"/>
      <c r="AF1726" s="518"/>
      <c r="AG1726" s="531"/>
      <c r="AH1726" s="518"/>
      <c r="AJ1726" s="595"/>
    </row>
    <row r="1727" spans="1:36" hidden="1" x14ac:dyDescent="0.45">
      <c r="A1727" s="518"/>
      <c r="B1727" s="1332"/>
      <c r="C1727" s="1078"/>
      <c r="D1727" s="1078"/>
      <c r="E1727" s="1078"/>
      <c r="F1727" s="1078"/>
      <c r="G1727" s="1078"/>
      <c r="H1727" s="1078"/>
      <c r="I1727" s="1078"/>
      <c r="J1727" s="1078"/>
      <c r="K1727" s="1078"/>
      <c r="L1727" s="1078"/>
      <c r="M1727" s="1078"/>
      <c r="N1727" s="1078"/>
      <c r="O1727" s="1078"/>
      <c r="P1727" s="1078"/>
      <c r="Q1727" s="1078"/>
      <c r="R1727" s="1078"/>
      <c r="S1727" s="1078"/>
      <c r="T1727" s="1078"/>
      <c r="U1727" s="1078"/>
      <c r="V1727" s="1078"/>
      <c r="W1727" s="1078"/>
      <c r="X1727" s="1078"/>
      <c r="Y1727" s="1078"/>
      <c r="Z1727" s="1078"/>
      <c r="AA1727" s="1078"/>
      <c r="AB1727" s="1078"/>
      <c r="AC1727" s="1078"/>
      <c r="AD1727" s="1078"/>
      <c r="AE1727" s="1078"/>
      <c r="AF1727" s="1078"/>
      <c r="AG1727" s="1079"/>
      <c r="AH1727" s="518"/>
      <c r="AJ1727" s="595"/>
    </row>
    <row r="1728" spans="1:36" hidden="1" x14ac:dyDescent="0.45">
      <c r="A1728" s="518"/>
      <c r="B1728" s="1080"/>
      <c r="C1728" s="1081"/>
      <c r="D1728" s="1081"/>
      <c r="E1728" s="1081"/>
      <c r="F1728" s="1081"/>
      <c r="G1728" s="1081"/>
      <c r="H1728" s="1081"/>
      <c r="I1728" s="1081"/>
      <c r="J1728" s="1081"/>
      <c r="K1728" s="1081"/>
      <c r="L1728" s="1081"/>
      <c r="M1728" s="1081"/>
      <c r="N1728" s="1081"/>
      <c r="O1728" s="1081"/>
      <c r="P1728" s="1081"/>
      <c r="Q1728" s="1081"/>
      <c r="R1728" s="1081"/>
      <c r="S1728" s="1081"/>
      <c r="T1728" s="1081"/>
      <c r="U1728" s="1081"/>
      <c r="V1728" s="1081"/>
      <c r="W1728" s="1081"/>
      <c r="X1728" s="1081"/>
      <c r="Y1728" s="1081"/>
      <c r="Z1728" s="1081"/>
      <c r="AA1728" s="1081"/>
      <c r="AB1728" s="1081"/>
      <c r="AC1728" s="1081"/>
      <c r="AD1728" s="1081"/>
      <c r="AE1728" s="1081"/>
      <c r="AF1728" s="1081"/>
      <c r="AG1728" s="1082"/>
      <c r="AH1728" s="518"/>
      <c r="AJ1728" s="595"/>
    </row>
    <row r="1729" spans="1:36" hidden="1" x14ac:dyDescent="0.45">
      <c r="A1729" s="518"/>
      <c r="B1729" s="541"/>
      <c r="C1729" s="541"/>
      <c r="D1729" s="541"/>
      <c r="E1729" s="541"/>
      <c r="F1729" s="541"/>
      <c r="G1729" s="541"/>
      <c r="H1729" s="541"/>
      <c r="I1729" s="541"/>
      <c r="J1729" s="541"/>
      <c r="K1729" s="541"/>
      <c r="L1729" s="541"/>
      <c r="M1729" s="541"/>
      <c r="N1729" s="541"/>
      <c r="O1729" s="541"/>
      <c r="P1729" s="541"/>
      <c r="Q1729" s="541"/>
      <c r="R1729" s="541"/>
      <c r="S1729" s="541"/>
      <c r="T1729" s="541"/>
      <c r="U1729" s="541"/>
      <c r="V1729" s="541"/>
      <c r="W1729" s="541"/>
      <c r="X1729" s="541"/>
      <c r="Y1729" s="541"/>
      <c r="Z1729" s="541"/>
      <c r="AA1729" s="541"/>
      <c r="AB1729" s="541"/>
      <c r="AC1729" s="541"/>
      <c r="AD1729" s="541"/>
      <c r="AE1729" s="541"/>
      <c r="AF1729" s="541"/>
      <c r="AG1729" s="541"/>
      <c r="AH1729" s="518"/>
      <c r="AJ1729" s="595"/>
    </row>
    <row r="1730" spans="1:36" hidden="1" x14ac:dyDescent="0.45">
      <c r="A1730" s="518"/>
      <c r="B1730" s="986" t="s">
        <v>1533</v>
      </c>
      <c r="C1730" s="986"/>
      <c r="D1730" s="986"/>
      <c r="E1730" s="986"/>
      <c r="F1730" s="986"/>
      <c r="G1730" s="986"/>
      <c r="H1730" s="986"/>
      <c r="I1730" s="986"/>
      <c r="J1730" s="986"/>
      <c r="K1730" s="986"/>
      <c r="L1730" s="986"/>
      <c r="M1730" s="986"/>
      <c r="N1730" s="986"/>
      <c r="O1730" s="986"/>
      <c r="P1730" s="986"/>
      <c r="Q1730" s="986"/>
      <c r="R1730" s="986"/>
      <c r="S1730" s="986"/>
      <c r="T1730" s="986"/>
      <c r="U1730" s="986"/>
      <c r="V1730" s="986"/>
      <c r="W1730" s="986"/>
      <c r="X1730" s="986"/>
      <c r="Y1730" s="986"/>
      <c r="Z1730" s="986"/>
      <c r="AA1730" s="986"/>
      <c r="AB1730" s="986"/>
      <c r="AC1730" s="986"/>
      <c r="AD1730" s="986"/>
      <c r="AE1730" s="986"/>
      <c r="AF1730" s="986"/>
      <c r="AG1730" s="986"/>
      <c r="AH1730" s="518"/>
      <c r="AJ1730" s="595"/>
    </row>
    <row r="1731" spans="1:36" hidden="1" x14ac:dyDescent="0.45">
      <c r="A1731" s="518"/>
      <c r="B1731" s="544" t="s">
        <v>1534</v>
      </c>
      <c r="C1731" s="549"/>
      <c r="D1731" s="549"/>
      <c r="E1731" s="549"/>
      <c r="F1731" s="549"/>
      <c r="G1731" s="549"/>
      <c r="H1731" s="549"/>
      <c r="I1731" s="549"/>
      <c r="J1731" s="549"/>
      <c r="K1731" s="549"/>
      <c r="L1731" s="549"/>
      <c r="M1731" s="549"/>
      <c r="N1731" s="549"/>
      <c r="O1731" s="549"/>
      <c r="P1731" s="549"/>
      <c r="Q1731" s="549"/>
      <c r="R1731" s="549"/>
      <c r="S1731" s="549"/>
      <c r="T1731" s="549"/>
      <c r="U1731" s="549"/>
      <c r="V1731" s="549"/>
      <c r="W1731" s="549"/>
      <c r="X1731" s="549"/>
      <c r="Y1731" s="549"/>
      <c r="Z1731" s="1336"/>
      <c r="AA1731" s="1336"/>
      <c r="AB1731" s="1336"/>
      <c r="AC1731" s="1336"/>
      <c r="AD1731" s="518"/>
      <c r="AE1731" s="518"/>
      <c r="AF1731" s="518"/>
      <c r="AG1731" s="538"/>
      <c r="AH1731" s="518"/>
      <c r="AJ1731" s="595"/>
    </row>
    <row r="1732" spans="1:36" hidden="1" x14ac:dyDescent="0.45">
      <c r="A1732" s="518"/>
      <c r="B1732" s="544" t="s">
        <v>1535</v>
      </c>
      <c r="C1732" s="549"/>
      <c r="D1732" s="549"/>
      <c r="E1732" s="549"/>
      <c r="F1732" s="549"/>
      <c r="G1732" s="549"/>
      <c r="H1732" s="549"/>
      <c r="I1732" s="549"/>
      <c r="J1732" s="549"/>
      <c r="K1732" s="549"/>
      <c r="L1732" s="549"/>
      <c r="M1732" s="549"/>
      <c r="N1732" s="549"/>
      <c r="O1732" s="549"/>
      <c r="P1732" s="549"/>
      <c r="Q1732" s="549"/>
      <c r="R1732" s="549"/>
      <c r="S1732" s="549"/>
      <c r="T1732" s="549"/>
      <c r="U1732" s="549"/>
      <c r="V1732" s="549"/>
      <c r="W1732" s="549"/>
      <c r="X1732" s="549"/>
      <c r="Y1732" s="549"/>
      <c r="Z1732" s="1336"/>
      <c r="AA1732" s="1336"/>
      <c r="AB1732" s="1336"/>
      <c r="AC1732" s="1336"/>
      <c r="AD1732" s="518"/>
      <c r="AE1732" s="518"/>
      <c r="AF1732" s="518"/>
      <c r="AG1732" s="538"/>
      <c r="AH1732" s="518"/>
      <c r="AJ1732" s="595"/>
    </row>
    <row r="1733" spans="1:36" hidden="1" x14ac:dyDescent="0.45">
      <c r="A1733" s="518"/>
      <c r="B1733" s="544" t="s">
        <v>1536</v>
      </c>
      <c r="C1733" s="549"/>
      <c r="D1733" s="549"/>
      <c r="E1733" s="549"/>
      <c r="F1733" s="549"/>
      <c r="G1733" s="549"/>
      <c r="H1733" s="549"/>
      <c r="I1733" s="549"/>
      <c r="J1733" s="549"/>
      <c r="K1733" s="549"/>
      <c r="L1733" s="549"/>
      <c r="M1733" s="549"/>
      <c r="N1733" s="549"/>
      <c r="O1733" s="549"/>
      <c r="P1733" s="549"/>
      <c r="Q1733" s="549"/>
      <c r="R1733" s="549"/>
      <c r="S1733" s="549"/>
      <c r="T1733" s="549"/>
      <c r="U1733" s="549"/>
      <c r="V1733" s="549"/>
      <c r="W1733" s="549"/>
      <c r="X1733" s="549"/>
      <c r="Y1733" s="549"/>
      <c r="Z1733" s="1336"/>
      <c r="AA1733" s="1336"/>
      <c r="AB1733" s="1336"/>
      <c r="AC1733" s="1336"/>
      <c r="AD1733" s="518"/>
      <c r="AE1733" s="518"/>
      <c r="AF1733" s="518"/>
      <c r="AG1733" s="538"/>
      <c r="AH1733" s="518"/>
      <c r="AJ1733" s="595"/>
    </row>
    <row r="1734" spans="1:36" hidden="1" x14ac:dyDescent="0.45">
      <c r="A1734" s="518"/>
      <c r="B1734" s="544" t="s">
        <v>1537</v>
      </c>
      <c r="C1734" s="544"/>
      <c r="D1734" s="544"/>
      <c r="E1734" s="544"/>
      <c r="F1734" s="544"/>
      <c r="G1734" s="544"/>
      <c r="H1734" s="544"/>
      <c r="I1734" s="549"/>
      <c r="J1734" s="549"/>
      <c r="K1734" s="549"/>
      <c r="L1734" s="549"/>
      <c r="M1734" s="549"/>
      <c r="N1734" s="549"/>
      <c r="O1734" s="549"/>
      <c r="P1734" s="549"/>
      <c r="Q1734" s="549"/>
      <c r="R1734" s="549"/>
      <c r="S1734" s="549"/>
      <c r="T1734" s="549"/>
      <c r="U1734" s="549"/>
      <c r="V1734" s="549"/>
      <c r="W1734" s="549"/>
      <c r="X1734" s="549"/>
      <c r="Y1734" s="549"/>
      <c r="Z1734" s="1336"/>
      <c r="AA1734" s="1336"/>
      <c r="AB1734" s="1336"/>
      <c r="AC1734" s="1336"/>
      <c r="AD1734" s="518"/>
      <c r="AE1734" s="518"/>
      <c r="AF1734" s="518"/>
      <c r="AG1734" s="538"/>
      <c r="AH1734" s="518"/>
      <c r="AJ1734" s="595"/>
    </row>
    <row r="1735" spans="1:36" hidden="1" x14ac:dyDescent="0.45">
      <c r="A1735" s="518"/>
      <c r="B1735" s="544" t="s">
        <v>1538</v>
      </c>
      <c r="C1735" s="544"/>
      <c r="D1735" s="544"/>
      <c r="E1735" s="544"/>
      <c r="F1735" s="544"/>
      <c r="G1735" s="544"/>
      <c r="H1735" s="544"/>
      <c r="I1735" s="544"/>
      <c r="J1735" s="544"/>
      <c r="K1735" s="544"/>
      <c r="L1735" s="544"/>
      <c r="M1735" s="544"/>
      <c r="N1735" s="544"/>
      <c r="O1735" s="544"/>
      <c r="P1735" s="544"/>
      <c r="Q1735" s="544"/>
      <c r="R1735" s="544"/>
      <c r="S1735" s="544"/>
      <c r="T1735" s="544"/>
      <c r="U1735" s="544"/>
      <c r="V1735" s="544"/>
      <c r="W1735" s="544"/>
      <c r="X1735" s="544"/>
      <c r="Y1735" s="544"/>
      <c r="Z1735" s="1336"/>
      <c r="AA1735" s="1336"/>
      <c r="AB1735" s="1336"/>
      <c r="AC1735" s="1336"/>
      <c r="AD1735" s="518"/>
      <c r="AE1735" s="518"/>
      <c r="AF1735" s="518"/>
      <c r="AG1735" s="538"/>
      <c r="AH1735" s="518"/>
      <c r="AJ1735" s="595"/>
    </row>
    <row r="1736" spans="1:36" hidden="1" x14ac:dyDescent="0.45">
      <c r="A1736" s="518"/>
      <c r="B1736" s="544" t="s">
        <v>1539</v>
      </c>
      <c r="C1736" s="549"/>
      <c r="D1736" s="549"/>
      <c r="E1736" s="549"/>
      <c r="F1736" s="549"/>
      <c r="G1736" s="549"/>
      <c r="H1736" s="549"/>
      <c r="I1736" s="544"/>
      <c r="J1736" s="544"/>
      <c r="K1736" s="544"/>
      <c r="L1736" s="544"/>
      <c r="M1736" s="544"/>
      <c r="N1736" s="544"/>
      <c r="O1736" s="544"/>
      <c r="P1736" s="544"/>
      <c r="Q1736" s="544"/>
      <c r="R1736" s="544"/>
      <c r="S1736" s="544"/>
      <c r="T1736" s="544"/>
      <c r="U1736" s="549"/>
      <c r="V1736" s="549"/>
      <c r="W1736" s="549"/>
      <c r="X1736" s="549"/>
      <c r="Y1736" s="549"/>
      <c r="Z1736" s="1336"/>
      <c r="AA1736" s="1336"/>
      <c r="AB1736" s="1336"/>
      <c r="AC1736" s="1336"/>
      <c r="AD1736" s="518"/>
      <c r="AE1736" s="518"/>
      <c r="AF1736" s="518"/>
      <c r="AG1736" s="538"/>
      <c r="AH1736" s="518"/>
      <c r="AJ1736" s="595"/>
    </row>
    <row r="1737" spans="1:36" hidden="1" x14ac:dyDescent="0.45">
      <c r="A1737" s="518"/>
      <c r="B1737" s="517"/>
      <c r="C1737" s="517"/>
      <c r="D1737" s="517"/>
      <c r="E1737" s="517"/>
      <c r="F1737" s="517"/>
      <c r="G1737" s="517"/>
      <c r="H1737" s="517"/>
      <c r="I1737" s="518"/>
      <c r="J1737" s="518"/>
      <c r="K1737" s="518"/>
      <c r="L1737" s="518"/>
      <c r="M1737" s="518"/>
      <c r="N1737" s="518"/>
      <c r="O1737" s="518"/>
      <c r="P1737" s="518"/>
      <c r="Q1737" s="518"/>
      <c r="R1737" s="518"/>
      <c r="S1737" s="518"/>
      <c r="T1737" s="518"/>
      <c r="U1737" s="531"/>
      <c r="V1737" s="531"/>
      <c r="W1737" s="531"/>
      <c r="X1737" s="531"/>
      <c r="Y1737" s="531"/>
      <c r="Z1737" s="531"/>
      <c r="AA1737" s="518"/>
      <c r="AB1737" s="518"/>
      <c r="AC1737" s="518"/>
      <c r="AD1737" s="518"/>
      <c r="AE1737" s="518"/>
      <c r="AF1737" s="518"/>
      <c r="AG1737" s="538"/>
      <c r="AH1737" s="518"/>
      <c r="AJ1737" s="595"/>
    </row>
    <row r="1738" spans="1:36" hidden="1" x14ac:dyDescent="0.45">
      <c r="A1738" s="518"/>
      <c r="B1738" s="518"/>
      <c r="C1738" s="518"/>
      <c r="D1738" s="518"/>
      <c r="E1738" s="518"/>
      <c r="F1738" s="518"/>
      <c r="G1738" s="518"/>
      <c r="H1738" s="518"/>
      <c r="I1738" s="518"/>
      <c r="J1738" s="518"/>
      <c r="K1738" s="518"/>
      <c r="L1738" s="518"/>
      <c r="M1738" s="518"/>
      <c r="N1738" s="518"/>
      <c r="O1738" s="518"/>
      <c r="P1738" s="518"/>
      <c r="Q1738" s="518"/>
      <c r="R1738" s="518"/>
      <c r="S1738" s="518"/>
      <c r="T1738" s="518"/>
      <c r="U1738" s="518"/>
      <c r="V1738" s="518"/>
      <c r="W1738" s="518"/>
      <c r="X1738" s="518"/>
      <c r="Y1738" s="518"/>
      <c r="Z1738" s="518"/>
      <c r="AA1738" s="518"/>
      <c r="AB1738" s="518"/>
      <c r="AC1738" s="518"/>
      <c r="AD1738" s="518"/>
      <c r="AE1738" s="518"/>
      <c r="AF1738" s="518"/>
      <c r="AG1738" s="518"/>
      <c r="AH1738" s="518"/>
      <c r="AJ1738" s="595"/>
    </row>
    <row r="1739" spans="1:36" hidden="1" x14ac:dyDescent="0.45">
      <c r="A1739" s="518"/>
      <c r="B1739" s="907" t="str">
        <f>B$1635</f>
        <v>CalHome Homeownership Project Development Loan</v>
      </c>
      <c r="C1739" s="907"/>
      <c r="D1739" s="907"/>
      <c r="E1739" s="907"/>
      <c r="F1739" s="907"/>
      <c r="G1739" s="907"/>
      <c r="H1739" s="907"/>
      <c r="I1739" s="907"/>
      <c r="J1739" s="907"/>
      <c r="K1739" s="907"/>
      <c r="L1739" s="907"/>
      <c r="M1739" s="907"/>
      <c r="N1739" s="907"/>
      <c r="O1739" s="907"/>
      <c r="P1739" s="907"/>
      <c r="Q1739" s="907"/>
      <c r="R1739" s="907"/>
      <c r="S1739" s="907"/>
      <c r="T1739" s="907"/>
      <c r="U1739" s="907"/>
      <c r="V1739" s="907"/>
      <c r="W1739" s="907"/>
      <c r="X1739" s="907"/>
      <c r="Y1739" s="907"/>
      <c r="Z1739" s="907"/>
      <c r="AA1739" s="907"/>
      <c r="AB1739" s="907"/>
      <c r="AC1739" s="907"/>
      <c r="AD1739" s="907"/>
      <c r="AE1739" s="907"/>
      <c r="AF1739" s="907"/>
      <c r="AG1739" s="907"/>
      <c r="AH1739" s="518"/>
      <c r="AJ1739" s="595"/>
    </row>
    <row r="1740" spans="1:36" hidden="1" x14ac:dyDescent="0.45">
      <c r="A1740" s="518"/>
      <c r="B1740" s="518"/>
      <c r="C1740" s="518"/>
      <c r="D1740" s="518"/>
      <c r="E1740" s="518"/>
      <c r="F1740" s="518"/>
      <c r="G1740" s="518"/>
      <c r="H1740" s="518"/>
      <c r="I1740" s="518"/>
      <c r="J1740" s="518"/>
      <c r="K1740" s="518"/>
      <c r="L1740" s="518"/>
      <c r="M1740" s="518"/>
      <c r="N1740" s="518"/>
      <c r="O1740" s="518"/>
      <c r="P1740" s="518"/>
      <c r="Q1740" s="518"/>
      <c r="R1740" s="518"/>
      <c r="S1740" s="518"/>
      <c r="T1740" s="518"/>
      <c r="U1740" s="518"/>
      <c r="V1740" s="518"/>
      <c r="W1740" s="518"/>
      <c r="X1740" s="518"/>
      <c r="Y1740" s="518"/>
      <c r="Z1740" s="518"/>
      <c r="AA1740" s="518"/>
      <c r="AB1740" s="518"/>
      <c r="AC1740" s="518"/>
      <c r="AD1740" s="518"/>
      <c r="AE1740" s="518"/>
      <c r="AF1740" s="518"/>
      <c r="AG1740" s="518"/>
      <c r="AH1740" s="518"/>
      <c r="AJ1740" s="595"/>
    </row>
    <row r="1741" spans="1:36" hidden="1" x14ac:dyDescent="0.45">
      <c r="A1741" s="518"/>
      <c r="B1741" s="907" t="s">
        <v>1540</v>
      </c>
      <c r="C1741" s="907"/>
      <c r="D1741" s="907"/>
      <c r="E1741" s="907"/>
      <c r="F1741" s="907"/>
      <c r="G1741" s="907"/>
      <c r="H1741" s="907"/>
      <c r="I1741" s="907"/>
      <c r="J1741" s="907"/>
      <c r="K1741" s="907"/>
      <c r="L1741" s="907"/>
      <c r="M1741" s="907"/>
      <c r="N1741" s="907"/>
      <c r="O1741" s="907"/>
      <c r="P1741" s="907"/>
      <c r="Q1741" s="907"/>
      <c r="R1741" s="907"/>
      <c r="S1741" s="907"/>
      <c r="T1741" s="907"/>
      <c r="U1741" s="907"/>
      <c r="V1741" s="907"/>
      <c r="W1741" s="907"/>
      <c r="X1741" s="907"/>
      <c r="Y1741" s="907"/>
      <c r="Z1741" s="907"/>
      <c r="AA1741" s="907"/>
      <c r="AB1741" s="907"/>
      <c r="AC1741" s="907"/>
      <c r="AD1741" s="907"/>
      <c r="AE1741" s="907"/>
      <c r="AF1741" s="907"/>
      <c r="AG1741" s="907"/>
      <c r="AH1741" s="518"/>
      <c r="AJ1741" s="595"/>
    </row>
    <row r="1742" spans="1:36" hidden="1" x14ac:dyDescent="0.45">
      <c r="A1742" s="518"/>
      <c r="B1742" s="1085" t="s">
        <v>1541</v>
      </c>
      <c r="C1742" s="1086"/>
      <c r="D1742" s="1086"/>
      <c r="E1742" s="1086"/>
      <c r="F1742" s="1086"/>
      <c r="G1742" s="1086"/>
      <c r="H1742" s="1086"/>
      <c r="I1742" s="1086"/>
      <c r="J1742" s="1086"/>
      <c r="K1742" s="1086"/>
      <c r="L1742" s="1086"/>
      <c r="M1742" s="1086"/>
      <c r="N1742" s="1086"/>
      <c r="O1742" s="1087"/>
      <c r="P1742" s="1088" t="s">
        <v>1544</v>
      </c>
      <c r="Q1742" s="1089"/>
      <c r="R1742" s="1089"/>
      <c r="S1742" s="1090"/>
      <c r="T1742" s="1085" t="s">
        <v>1543</v>
      </c>
      <c r="U1742" s="1086"/>
      <c r="V1742" s="1086"/>
      <c r="W1742" s="1086"/>
      <c r="X1742" s="1086"/>
      <c r="Y1742" s="1086"/>
      <c r="Z1742" s="1087"/>
      <c r="AA1742" s="1085" t="s">
        <v>1542</v>
      </c>
      <c r="AB1742" s="1086"/>
      <c r="AC1742" s="1086"/>
      <c r="AD1742" s="1086"/>
      <c r="AE1742" s="1086"/>
      <c r="AF1742" s="1086"/>
      <c r="AG1742" s="1087"/>
      <c r="AH1742" s="518"/>
      <c r="AJ1742" s="595"/>
    </row>
    <row r="1743" spans="1:36" hidden="1" x14ac:dyDescent="0.45">
      <c r="A1743" s="518"/>
      <c r="B1743" s="990"/>
      <c r="C1743" s="991"/>
      <c r="D1743" s="991"/>
      <c r="E1743" s="991"/>
      <c r="F1743" s="991"/>
      <c r="G1743" s="991"/>
      <c r="H1743" s="991"/>
      <c r="I1743" s="991"/>
      <c r="J1743" s="991"/>
      <c r="K1743" s="991"/>
      <c r="L1743" s="991"/>
      <c r="M1743" s="991"/>
      <c r="N1743" s="991"/>
      <c r="O1743" s="992"/>
      <c r="P1743" s="1333"/>
      <c r="Q1743" s="1334"/>
      <c r="R1743" s="1334"/>
      <c r="S1743" s="1335"/>
      <c r="T1743" s="990"/>
      <c r="U1743" s="991"/>
      <c r="V1743" s="991"/>
      <c r="W1743" s="991"/>
      <c r="X1743" s="991"/>
      <c r="Y1743" s="991"/>
      <c r="Z1743" s="992"/>
      <c r="AA1743" s="1063" t="s">
        <v>1583</v>
      </c>
      <c r="AB1743" s="1064"/>
      <c r="AC1743" s="1064"/>
      <c r="AD1743" s="1064"/>
      <c r="AE1743" s="1064"/>
      <c r="AF1743" s="1064"/>
      <c r="AG1743" s="1065"/>
      <c r="AH1743" s="518"/>
      <c r="AJ1743" s="595"/>
    </row>
    <row r="1744" spans="1:36" hidden="1" x14ac:dyDescent="0.45">
      <c r="A1744" s="518"/>
      <c r="B1744" s="990"/>
      <c r="C1744" s="991"/>
      <c r="D1744" s="991"/>
      <c r="E1744" s="991"/>
      <c r="F1744" s="991"/>
      <c r="G1744" s="991"/>
      <c r="H1744" s="991"/>
      <c r="I1744" s="991"/>
      <c r="J1744" s="991"/>
      <c r="K1744" s="991"/>
      <c r="L1744" s="991"/>
      <c r="M1744" s="991"/>
      <c r="N1744" s="991"/>
      <c r="O1744" s="992"/>
      <c r="P1744" s="1333"/>
      <c r="Q1744" s="1334"/>
      <c r="R1744" s="1334"/>
      <c r="S1744" s="1335"/>
      <c r="T1744" s="990"/>
      <c r="U1744" s="991"/>
      <c r="V1744" s="991"/>
      <c r="W1744" s="991"/>
      <c r="X1744" s="991"/>
      <c r="Y1744" s="991"/>
      <c r="Z1744" s="992"/>
      <c r="AA1744" s="1063" t="s">
        <v>1584</v>
      </c>
      <c r="AB1744" s="1064"/>
      <c r="AC1744" s="1064"/>
      <c r="AD1744" s="1064"/>
      <c r="AE1744" s="1064"/>
      <c r="AF1744" s="1064"/>
      <c r="AG1744" s="1065"/>
      <c r="AH1744" s="518"/>
      <c r="AJ1744" s="595"/>
    </row>
    <row r="1745" spans="1:36" hidden="1" x14ac:dyDescent="0.45">
      <c r="A1745" s="518"/>
      <c r="B1745" s="990"/>
      <c r="C1745" s="991"/>
      <c r="D1745" s="991"/>
      <c r="E1745" s="991"/>
      <c r="F1745" s="991"/>
      <c r="G1745" s="991"/>
      <c r="H1745" s="991"/>
      <c r="I1745" s="991"/>
      <c r="J1745" s="991"/>
      <c r="K1745" s="991"/>
      <c r="L1745" s="991"/>
      <c r="M1745" s="991"/>
      <c r="N1745" s="991"/>
      <c r="O1745" s="992"/>
      <c r="P1745" s="1333"/>
      <c r="Q1745" s="1334"/>
      <c r="R1745" s="1334"/>
      <c r="S1745" s="1335"/>
      <c r="T1745" s="990"/>
      <c r="U1745" s="991"/>
      <c r="V1745" s="991"/>
      <c r="W1745" s="991"/>
      <c r="X1745" s="991"/>
      <c r="Y1745" s="991"/>
      <c r="Z1745" s="992"/>
      <c r="AA1745" s="1063" t="s">
        <v>1585</v>
      </c>
      <c r="AB1745" s="1064"/>
      <c r="AC1745" s="1064"/>
      <c r="AD1745" s="1064"/>
      <c r="AE1745" s="1064"/>
      <c r="AF1745" s="1064"/>
      <c r="AG1745" s="1065"/>
      <c r="AH1745" s="518"/>
      <c r="AJ1745" s="595"/>
    </row>
    <row r="1746" spans="1:36" hidden="1" x14ac:dyDescent="0.45">
      <c r="A1746" s="518"/>
      <c r="B1746" s="990"/>
      <c r="C1746" s="991"/>
      <c r="D1746" s="991"/>
      <c r="E1746" s="991"/>
      <c r="F1746" s="991"/>
      <c r="G1746" s="991"/>
      <c r="H1746" s="991"/>
      <c r="I1746" s="991"/>
      <c r="J1746" s="991"/>
      <c r="K1746" s="991"/>
      <c r="L1746" s="991"/>
      <c r="M1746" s="991"/>
      <c r="N1746" s="991"/>
      <c r="O1746" s="992"/>
      <c r="P1746" s="1333"/>
      <c r="Q1746" s="1334"/>
      <c r="R1746" s="1334"/>
      <c r="S1746" s="1335"/>
      <c r="T1746" s="990"/>
      <c r="U1746" s="991"/>
      <c r="V1746" s="991"/>
      <c r="W1746" s="991"/>
      <c r="X1746" s="991"/>
      <c r="Y1746" s="991"/>
      <c r="Z1746" s="992"/>
      <c r="AA1746" s="990"/>
      <c r="AB1746" s="991"/>
      <c r="AC1746" s="991"/>
      <c r="AD1746" s="991"/>
      <c r="AE1746" s="991"/>
      <c r="AF1746" s="991"/>
      <c r="AG1746" s="992"/>
      <c r="AH1746" s="518"/>
      <c r="AJ1746" s="595"/>
    </row>
    <row r="1747" spans="1:36" hidden="1" x14ac:dyDescent="0.45">
      <c r="A1747" s="518"/>
      <c r="B1747" s="990"/>
      <c r="C1747" s="991"/>
      <c r="D1747" s="991"/>
      <c r="E1747" s="991"/>
      <c r="F1747" s="991"/>
      <c r="G1747" s="991"/>
      <c r="H1747" s="991"/>
      <c r="I1747" s="991"/>
      <c r="J1747" s="991"/>
      <c r="K1747" s="991"/>
      <c r="L1747" s="991"/>
      <c r="M1747" s="991"/>
      <c r="N1747" s="991"/>
      <c r="O1747" s="992"/>
      <c r="P1747" s="1333"/>
      <c r="Q1747" s="1334"/>
      <c r="R1747" s="1334"/>
      <c r="S1747" s="1335"/>
      <c r="T1747" s="990"/>
      <c r="U1747" s="991"/>
      <c r="V1747" s="991"/>
      <c r="W1747" s="991"/>
      <c r="X1747" s="991"/>
      <c r="Y1747" s="991"/>
      <c r="Z1747" s="992"/>
      <c r="AA1747" s="990"/>
      <c r="AB1747" s="991"/>
      <c r="AC1747" s="991"/>
      <c r="AD1747" s="991"/>
      <c r="AE1747" s="991"/>
      <c r="AF1747" s="991"/>
      <c r="AG1747" s="992"/>
      <c r="AH1747" s="518"/>
      <c r="AJ1747" s="595"/>
    </row>
    <row r="1748" spans="1:36" hidden="1" x14ac:dyDescent="0.45">
      <c r="A1748" s="518"/>
      <c r="B1748" s="990"/>
      <c r="C1748" s="991"/>
      <c r="D1748" s="991"/>
      <c r="E1748" s="991"/>
      <c r="F1748" s="991"/>
      <c r="G1748" s="991"/>
      <c r="H1748" s="991"/>
      <c r="I1748" s="991"/>
      <c r="J1748" s="991"/>
      <c r="K1748" s="991"/>
      <c r="L1748" s="991"/>
      <c r="M1748" s="991"/>
      <c r="N1748" s="991"/>
      <c r="O1748" s="992"/>
      <c r="P1748" s="1333"/>
      <c r="Q1748" s="1334"/>
      <c r="R1748" s="1334"/>
      <c r="S1748" s="1335"/>
      <c r="T1748" s="990"/>
      <c r="U1748" s="991"/>
      <c r="V1748" s="991"/>
      <c r="W1748" s="991"/>
      <c r="X1748" s="991"/>
      <c r="Y1748" s="991"/>
      <c r="Z1748" s="992"/>
      <c r="AA1748" s="990"/>
      <c r="AB1748" s="991"/>
      <c r="AC1748" s="991"/>
      <c r="AD1748" s="991"/>
      <c r="AE1748" s="991"/>
      <c r="AF1748" s="991"/>
      <c r="AG1748" s="992"/>
      <c r="AH1748" s="518"/>
      <c r="AJ1748" s="595"/>
    </row>
    <row r="1749" spans="1:36" hidden="1" x14ac:dyDescent="0.45">
      <c r="A1749" s="518"/>
      <c r="B1749" s="542"/>
      <c r="C1749" s="542"/>
      <c r="D1749" s="542"/>
      <c r="E1749" s="542"/>
      <c r="F1749" s="542"/>
      <c r="G1749" s="542"/>
      <c r="H1749" s="542"/>
      <c r="I1749" s="542"/>
      <c r="J1749" s="542"/>
      <c r="K1749" s="542"/>
      <c r="L1749" s="542"/>
      <c r="M1749" s="542"/>
      <c r="N1749" s="542"/>
      <c r="O1749" s="542"/>
      <c r="P1749" s="542"/>
      <c r="Q1749" s="542"/>
      <c r="R1749" s="542"/>
      <c r="S1749" s="542"/>
      <c r="T1749" s="542"/>
      <c r="U1749" s="542"/>
      <c r="V1749" s="542"/>
      <c r="W1749" s="542"/>
      <c r="X1749" s="542"/>
      <c r="Y1749" s="542"/>
      <c r="Z1749" s="542"/>
      <c r="AA1749" s="542"/>
      <c r="AB1749" s="542"/>
      <c r="AC1749" s="542"/>
      <c r="AD1749" s="542"/>
      <c r="AE1749" s="542"/>
      <c r="AF1749" s="542"/>
      <c r="AG1749" s="542"/>
      <c r="AH1749" s="518"/>
      <c r="AJ1749" s="595"/>
    </row>
    <row r="1750" spans="1:36" hidden="1" x14ac:dyDescent="0.45">
      <c r="A1750" s="518"/>
      <c r="B1750" s="907" t="s">
        <v>1545</v>
      </c>
      <c r="C1750" s="907"/>
      <c r="D1750" s="907"/>
      <c r="E1750" s="907"/>
      <c r="F1750" s="907"/>
      <c r="G1750" s="907"/>
      <c r="H1750" s="907"/>
      <c r="I1750" s="907"/>
      <c r="J1750" s="907"/>
      <c r="K1750" s="907"/>
      <c r="L1750" s="907"/>
      <c r="M1750" s="907"/>
      <c r="N1750" s="907"/>
      <c r="O1750" s="907"/>
      <c r="P1750" s="907"/>
      <c r="Q1750" s="907"/>
      <c r="R1750" s="907"/>
      <c r="S1750" s="907"/>
      <c r="T1750" s="907"/>
      <c r="U1750" s="907"/>
      <c r="V1750" s="907"/>
      <c r="W1750" s="907"/>
      <c r="X1750" s="907"/>
      <c r="Y1750" s="907"/>
      <c r="Z1750" s="907"/>
      <c r="AA1750" s="907"/>
      <c r="AB1750" s="907"/>
      <c r="AC1750" s="907"/>
      <c r="AD1750" s="907"/>
      <c r="AE1750" s="907"/>
      <c r="AF1750" s="907"/>
      <c r="AG1750" s="907"/>
      <c r="AH1750" s="518"/>
      <c r="AJ1750" s="595"/>
    </row>
    <row r="1751" spans="1:36" hidden="1" x14ac:dyDescent="0.45">
      <c r="A1751" s="518"/>
      <c r="B1751" s="935" t="s">
        <v>1546</v>
      </c>
      <c r="C1751" s="936"/>
      <c r="D1751" s="936"/>
      <c r="E1751" s="936"/>
      <c r="F1751" s="1053"/>
      <c r="G1751" s="935" t="s">
        <v>1547</v>
      </c>
      <c r="H1751" s="1055"/>
      <c r="I1751" s="935" t="s">
        <v>1548</v>
      </c>
      <c r="J1751" s="936"/>
      <c r="K1751" s="936"/>
      <c r="L1751" s="936"/>
      <c r="M1751" s="1053"/>
      <c r="N1751" s="935" t="s">
        <v>1549</v>
      </c>
      <c r="O1751" s="1055"/>
      <c r="P1751" s="935" t="s">
        <v>1550</v>
      </c>
      <c r="Q1751" s="1055"/>
      <c r="R1751" s="935" t="s">
        <v>1551</v>
      </c>
      <c r="S1751" s="936"/>
      <c r="T1751" s="936"/>
      <c r="U1751" s="936"/>
      <c r="V1751" s="1053"/>
      <c r="W1751" s="935" t="s">
        <v>1552</v>
      </c>
      <c r="X1751" s="936"/>
      <c r="Y1751" s="1053"/>
      <c r="Z1751" s="935" t="s">
        <v>1553</v>
      </c>
      <c r="AA1751" s="936"/>
      <c r="AB1751" s="1053"/>
      <c r="AC1751" s="862" t="s">
        <v>1554</v>
      </c>
      <c r="AD1751" s="1058"/>
      <c r="AE1751" s="1058"/>
      <c r="AF1751" s="1058"/>
      <c r="AG1751" s="1059"/>
      <c r="AH1751" s="518"/>
      <c r="AJ1751" s="595"/>
    </row>
    <row r="1752" spans="1:36" hidden="1" x14ac:dyDescent="0.45">
      <c r="A1752" s="518"/>
      <c r="B1752" s="937"/>
      <c r="C1752" s="938"/>
      <c r="D1752" s="938"/>
      <c r="E1752" s="938"/>
      <c r="F1752" s="1054"/>
      <c r="G1752" s="1056"/>
      <c r="H1752" s="1057"/>
      <c r="I1752" s="937"/>
      <c r="J1752" s="938"/>
      <c r="K1752" s="938"/>
      <c r="L1752" s="938"/>
      <c r="M1752" s="1054"/>
      <c r="N1752" s="1056"/>
      <c r="O1752" s="1057"/>
      <c r="P1752" s="1056"/>
      <c r="Q1752" s="1057"/>
      <c r="R1752" s="937"/>
      <c r="S1752" s="938"/>
      <c r="T1752" s="938"/>
      <c r="U1752" s="938"/>
      <c r="V1752" s="1054"/>
      <c r="W1752" s="937"/>
      <c r="X1752" s="938"/>
      <c r="Y1752" s="1054"/>
      <c r="Z1752" s="937"/>
      <c r="AA1752" s="938"/>
      <c r="AB1752" s="1054"/>
      <c r="AC1752" s="1060"/>
      <c r="AD1752" s="1061"/>
      <c r="AE1752" s="1061"/>
      <c r="AF1752" s="1061"/>
      <c r="AG1752" s="1062"/>
      <c r="AH1752" s="518"/>
      <c r="AJ1752" s="595"/>
    </row>
    <row r="1753" spans="1:36" hidden="1" x14ac:dyDescent="0.45">
      <c r="A1753" s="518"/>
      <c r="B1753" s="963"/>
      <c r="C1753" s="964"/>
      <c r="D1753" s="964"/>
      <c r="E1753" s="964"/>
      <c r="F1753" s="965"/>
      <c r="G1753" s="1042"/>
      <c r="H1753" s="1043"/>
      <c r="I1753" s="1044"/>
      <c r="J1753" s="1045"/>
      <c r="K1753" s="1045"/>
      <c r="L1753" s="1045"/>
      <c r="M1753" s="1046"/>
      <c r="N1753" s="1042"/>
      <c r="O1753" s="1043"/>
      <c r="P1753" s="1042"/>
      <c r="Q1753" s="1043"/>
      <c r="R1753" s="963"/>
      <c r="S1753" s="964"/>
      <c r="T1753" s="964"/>
      <c r="U1753" s="964"/>
      <c r="V1753" s="965"/>
      <c r="W1753" s="963"/>
      <c r="X1753" s="964"/>
      <c r="Y1753" s="965"/>
      <c r="Z1753" s="1047"/>
      <c r="AA1753" s="1048"/>
      <c r="AB1753" s="1049"/>
      <c r="AC1753" s="1038"/>
      <c r="AD1753" s="991"/>
      <c r="AE1753" s="991"/>
      <c r="AF1753" s="991"/>
      <c r="AG1753" s="992"/>
      <c r="AH1753" s="518"/>
      <c r="AJ1753" s="595"/>
    </row>
    <row r="1754" spans="1:36" hidden="1" x14ac:dyDescent="0.45">
      <c r="A1754" s="518"/>
      <c r="B1754" s="963"/>
      <c r="C1754" s="964"/>
      <c r="D1754" s="964"/>
      <c r="E1754" s="964"/>
      <c r="F1754" s="965"/>
      <c r="G1754" s="1042"/>
      <c r="H1754" s="1043"/>
      <c r="I1754" s="1044"/>
      <c r="J1754" s="1045"/>
      <c r="K1754" s="1045"/>
      <c r="L1754" s="1045"/>
      <c r="M1754" s="1046"/>
      <c r="N1754" s="1042"/>
      <c r="O1754" s="1043"/>
      <c r="P1754" s="1042"/>
      <c r="Q1754" s="1043"/>
      <c r="R1754" s="963"/>
      <c r="S1754" s="964"/>
      <c r="T1754" s="964"/>
      <c r="U1754" s="964"/>
      <c r="V1754" s="965"/>
      <c r="W1754" s="963"/>
      <c r="X1754" s="964"/>
      <c r="Y1754" s="965"/>
      <c r="Z1754" s="1047"/>
      <c r="AA1754" s="1048"/>
      <c r="AB1754" s="1049"/>
      <c r="AC1754" s="1038"/>
      <c r="AD1754" s="991"/>
      <c r="AE1754" s="991"/>
      <c r="AF1754" s="991"/>
      <c r="AG1754" s="992"/>
      <c r="AH1754" s="518"/>
      <c r="AJ1754" s="595"/>
    </row>
    <row r="1755" spans="1:36" hidden="1" x14ac:dyDescent="0.45">
      <c r="A1755" s="518"/>
      <c r="B1755" s="963"/>
      <c r="C1755" s="964"/>
      <c r="D1755" s="964"/>
      <c r="E1755" s="964"/>
      <c r="F1755" s="965"/>
      <c r="G1755" s="1042"/>
      <c r="H1755" s="1043"/>
      <c r="I1755" s="1044"/>
      <c r="J1755" s="1045"/>
      <c r="K1755" s="1045"/>
      <c r="L1755" s="1045"/>
      <c r="M1755" s="1046"/>
      <c r="N1755" s="1042"/>
      <c r="O1755" s="1043"/>
      <c r="P1755" s="1042"/>
      <c r="Q1755" s="1043"/>
      <c r="R1755" s="963"/>
      <c r="S1755" s="964"/>
      <c r="T1755" s="964"/>
      <c r="U1755" s="964"/>
      <c r="V1755" s="965"/>
      <c r="W1755" s="963"/>
      <c r="X1755" s="964"/>
      <c r="Y1755" s="965"/>
      <c r="Z1755" s="1047"/>
      <c r="AA1755" s="1048"/>
      <c r="AB1755" s="1049"/>
      <c r="AC1755" s="1038"/>
      <c r="AD1755" s="991"/>
      <c r="AE1755" s="991"/>
      <c r="AF1755" s="991"/>
      <c r="AG1755" s="992"/>
      <c r="AH1755" s="518"/>
      <c r="AJ1755" s="595"/>
    </row>
    <row r="1756" spans="1:36" hidden="1" x14ac:dyDescent="0.45">
      <c r="A1756" s="518"/>
      <c r="B1756" s="963"/>
      <c r="C1756" s="964"/>
      <c r="D1756" s="964"/>
      <c r="E1756" s="964"/>
      <c r="F1756" s="965"/>
      <c r="G1756" s="1042"/>
      <c r="H1756" s="1043"/>
      <c r="I1756" s="1044"/>
      <c r="J1756" s="1045"/>
      <c r="K1756" s="1045"/>
      <c r="L1756" s="1045"/>
      <c r="M1756" s="1046"/>
      <c r="N1756" s="1042"/>
      <c r="O1756" s="1043"/>
      <c r="P1756" s="1042"/>
      <c r="Q1756" s="1043"/>
      <c r="R1756" s="963"/>
      <c r="S1756" s="964"/>
      <c r="T1756" s="964"/>
      <c r="U1756" s="964"/>
      <c r="V1756" s="965"/>
      <c r="W1756" s="963"/>
      <c r="X1756" s="964"/>
      <c r="Y1756" s="965"/>
      <c r="Z1756" s="1047"/>
      <c r="AA1756" s="1048"/>
      <c r="AB1756" s="1049"/>
      <c r="AC1756" s="1038"/>
      <c r="AD1756" s="991"/>
      <c r="AE1756" s="991"/>
      <c r="AF1756" s="991"/>
      <c r="AG1756" s="992"/>
      <c r="AH1756" s="518"/>
      <c r="AJ1756" s="595"/>
    </row>
    <row r="1757" spans="1:36" hidden="1" x14ac:dyDescent="0.45">
      <c r="A1757" s="518"/>
      <c r="B1757" s="963"/>
      <c r="C1757" s="964"/>
      <c r="D1757" s="964"/>
      <c r="E1757" s="964"/>
      <c r="F1757" s="965"/>
      <c r="G1757" s="1042"/>
      <c r="H1757" s="1043"/>
      <c r="I1757" s="1044"/>
      <c r="J1757" s="1045"/>
      <c r="K1757" s="1045"/>
      <c r="L1757" s="1045"/>
      <c r="M1757" s="1046"/>
      <c r="N1757" s="1042"/>
      <c r="O1757" s="1043"/>
      <c r="P1757" s="1042"/>
      <c r="Q1757" s="1043"/>
      <c r="R1757" s="963"/>
      <c r="S1757" s="964"/>
      <c r="T1757" s="964"/>
      <c r="U1757" s="964"/>
      <c r="V1757" s="965"/>
      <c r="W1757" s="963"/>
      <c r="X1757" s="964"/>
      <c r="Y1757" s="965"/>
      <c r="Z1757" s="1047"/>
      <c r="AA1757" s="1048"/>
      <c r="AB1757" s="1049"/>
      <c r="AC1757" s="1038"/>
      <c r="AD1757" s="991"/>
      <c r="AE1757" s="991"/>
      <c r="AF1757" s="991"/>
      <c r="AG1757" s="992"/>
      <c r="AH1757" s="518"/>
      <c r="AJ1757" s="595"/>
    </row>
    <row r="1758" spans="1:36" hidden="1" x14ac:dyDescent="0.45">
      <c r="A1758" s="518"/>
      <c r="B1758" s="963"/>
      <c r="C1758" s="964"/>
      <c r="D1758" s="964"/>
      <c r="E1758" s="964"/>
      <c r="F1758" s="965"/>
      <c r="G1758" s="1042"/>
      <c r="H1758" s="1043"/>
      <c r="I1758" s="1044"/>
      <c r="J1758" s="1045"/>
      <c r="K1758" s="1045"/>
      <c r="L1758" s="1045"/>
      <c r="M1758" s="1046"/>
      <c r="N1758" s="1042"/>
      <c r="O1758" s="1043"/>
      <c r="P1758" s="1042"/>
      <c r="Q1758" s="1043"/>
      <c r="R1758" s="963"/>
      <c r="S1758" s="964"/>
      <c r="T1758" s="964"/>
      <c r="U1758" s="964"/>
      <c r="V1758" s="965"/>
      <c r="W1758" s="963"/>
      <c r="X1758" s="964"/>
      <c r="Y1758" s="965"/>
      <c r="Z1758" s="1047"/>
      <c r="AA1758" s="1048"/>
      <c r="AB1758" s="1049"/>
      <c r="AC1758" s="1038"/>
      <c r="AD1758" s="991"/>
      <c r="AE1758" s="991"/>
      <c r="AF1758" s="991"/>
      <c r="AG1758" s="992"/>
      <c r="AH1758" s="518"/>
      <c r="AJ1758" s="595"/>
    </row>
    <row r="1759" spans="1:36" hidden="1" x14ac:dyDescent="0.45">
      <c r="A1759" s="518"/>
      <c r="B1759" s="963"/>
      <c r="C1759" s="964"/>
      <c r="D1759" s="964"/>
      <c r="E1759" s="964"/>
      <c r="F1759" s="965"/>
      <c r="G1759" s="1042"/>
      <c r="H1759" s="1043"/>
      <c r="I1759" s="1044"/>
      <c r="J1759" s="1045"/>
      <c r="K1759" s="1045"/>
      <c r="L1759" s="1045"/>
      <c r="M1759" s="1046"/>
      <c r="N1759" s="1042"/>
      <c r="O1759" s="1043"/>
      <c r="P1759" s="1042"/>
      <c r="Q1759" s="1043"/>
      <c r="R1759" s="963"/>
      <c r="S1759" s="964"/>
      <c r="T1759" s="964"/>
      <c r="U1759" s="964"/>
      <c r="V1759" s="965"/>
      <c r="W1759" s="963"/>
      <c r="X1759" s="964"/>
      <c r="Y1759" s="965"/>
      <c r="Z1759" s="1047"/>
      <c r="AA1759" s="1048"/>
      <c r="AB1759" s="1049"/>
      <c r="AC1759" s="1038"/>
      <c r="AD1759" s="991"/>
      <c r="AE1759" s="991"/>
      <c r="AF1759" s="991"/>
      <c r="AG1759" s="992"/>
      <c r="AH1759" s="518"/>
      <c r="AJ1759" s="595"/>
    </row>
    <row r="1760" spans="1:36" hidden="1" x14ac:dyDescent="0.45">
      <c r="A1760" s="518"/>
      <c r="B1760" s="963"/>
      <c r="C1760" s="964"/>
      <c r="D1760" s="964"/>
      <c r="E1760" s="964"/>
      <c r="F1760" s="965"/>
      <c r="G1760" s="1042"/>
      <c r="H1760" s="1043"/>
      <c r="I1760" s="1044"/>
      <c r="J1760" s="1045"/>
      <c r="K1760" s="1045"/>
      <c r="L1760" s="1045"/>
      <c r="M1760" s="1046"/>
      <c r="N1760" s="1042"/>
      <c r="O1760" s="1043"/>
      <c r="P1760" s="1042"/>
      <c r="Q1760" s="1043"/>
      <c r="R1760" s="963"/>
      <c r="S1760" s="964"/>
      <c r="T1760" s="964"/>
      <c r="U1760" s="964"/>
      <c r="V1760" s="965"/>
      <c r="W1760" s="963"/>
      <c r="X1760" s="964"/>
      <c r="Y1760" s="965"/>
      <c r="Z1760" s="1047"/>
      <c r="AA1760" s="1048"/>
      <c r="AB1760" s="1049"/>
      <c r="AC1760" s="1038"/>
      <c r="AD1760" s="991"/>
      <c r="AE1760" s="991"/>
      <c r="AF1760" s="991"/>
      <c r="AG1760" s="992"/>
      <c r="AH1760" s="518"/>
      <c r="AJ1760" s="595"/>
    </row>
    <row r="1761" spans="1:36" hidden="1" x14ac:dyDescent="0.45">
      <c r="A1761" s="518"/>
      <c r="B1761" s="963"/>
      <c r="C1761" s="964"/>
      <c r="D1761" s="964"/>
      <c r="E1761" s="964"/>
      <c r="F1761" s="965"/>
      <c r="G1761" s="1042"/>
      <c r="H1761" s="1043"/>
      <c r="I1761" s="1044"/>
      <c r="J1761" s="1045"/>
      <c r="K1761" s="1045"/>
      <c r="L1761" s="1045"/>
      <c r="M1761" s="1046"/>
      <c r="N1761" s="1042"/>
      <c r="O1761" s="1043"/>
      <c r="P1761" s="1042"/>
      <c r="Q1761" s="1043"/>
      <c r="R1761" s="963"/>
      <c r="S1761" s="964"/>
      <c r="T1761" s="964"/>
      <c r="U1761" s="964"/>
      <c r="V1761" s="965"/>
      <c r="W1761" s="963"/>
      <c r="X1761" s="964"/>
      <c r="Y1761" s="965"/>
      <c r="Z1761" s="1047"/>
      <c r="AA1761" s="1048"/>
      <c r="AB1761" s="1049"/>
      <c r="AC1761" s="1038"/>
      <c r="AD1761" s="991"/>
      <c r="AE1761" s="991"/>
      <c r="AF1761" s="991"/>
      <c r="AG1761" s="992"/>
      <c r="AH1761" s="518"/>
      <c r="AJ1761" s="595"/>
    </row>
    <row r="1762" spans="1:36" hidden="1" x14ac:dyDescent="0.45">
      <c r="A1762" s="518"/>
      <c r="B1762" s="963"/>
      <c r="C1762" s="964"/>
      <c r="D1762" s="964"/>
      <c r="E1762" s="964"/>
      <c r="F1762" s="965"/>
      <c r="G1762" s="1042"/>
      <c r="H1762" s="1043"/>
      <c r="I1762" s="1044"/>
      <c r="J1762" s="1045"/>
      <c r="K1762" s="1045"/>
      <c r="L1762" s="1045"/>
      <c r="M1762" s="1046"/>
      <c r="N1762" s="1042"/>
      <c r="O1762" s="1043"/>
      <c r="P1762" s="1042"/>
      <c r="Q1762" s="1043"/>
      <c r="R1762" s="963"/>
      <c r="S1762" s="964"/>
      <c r="T1762" s="964"/>
      <c r="U1762" s="964"/>
      <c r="V1762" s="965"/>
      <c r="W1762" s="963"/>
      <c r="X1762" s="964"/>
      <c r="Y1762" s="965"/>
      <c r="Z1762" s="1047"/>
      <c r="AA1762" s="1048"/>
      <c r="AB1762" s="1049"/>
      <c r="AC1762" s="1038"/>
      <c r="AD1762" s="991"/>
      <c r="AE1762" s="991"/>
      <c r="AF1762" s="991"/>
      <c r="AG1762" s="992"/>
      <c r="AH1762" s="518"/>
      <c r="AJ1762" s="595"/>
    </row>
    <row r="1763" spans="1:36" hidden="1" x14ac:dyDescent="0.45">
      <c r="A1763" s="518"/>
      <c r="B1763" s="531"/>
      <c r="C1763" s="531"/>
      <c r="D1763" s="531"/>
      <c r="E1763" s="531"/>
      <c r="F1763" s="531"/>
      <c r="G1763" s="531"/>
      <c r="H1763" s="531"/>
      <c r="I1763" s="531"/>
      <c r="J1763" s="531"/>
      <c r="K1763" s="531"/>
      <c r="L1763" s="531"/>
      <c r="M1763" s="531"/>
      <c r="N1763" s="531"/>
      <c r="O1763" s="531"/>
      <c r="P1763" s="531"/>
      <c r="Q1763" s="531"/>
      <c r="R1763" s="531"/>
      <c r="S1763" s="531"/>
      <c r="T1763" s="531"/>
      <c r="U1763" s="531"/>
      <c r="V1763" s="531"/>
      <c r="W1763" s="531"/>
      <c r="X1763" s="531"/>
      <c r="Y1763" s="531"/>
      <c r="Z1763" s="531"/>
      <c r="AA1763" s="531"/>
      <c r="AB1763" s="531"/>
      <c r="AC1763" s="531"/>
      <c r="AD1763" s="522"/>
      <c r="AE1763" s="522"/>
      <c r="AF1763" s="522"/>
      <c r="AG1763" s="522"/>
      <c r="AH1763" s="518"/>
      <c r="AJ1763" s="595"/>
    </row>
    <row r="1764" spans="1:36" hidden="1" x14ac:dyDescent="0.45">
      <c r="A1764" s="518"/>
      <c r="B1764" s="518"/>
      <c r="C1764" s="518"/>
      <c r="D1764" s="518"/>
      <c r="E1764" s="518"/>
      <c r="F1764" s="518"/>
      <c r="G1764" s="518"/>
      <c r="H1764" s="518"/>
      <c r="I1764" s="518"/>
      <c r="J1764" s="518"/>
      <c r="K1764" s="518"/>
      <c r="L1764" s="518"/>
      <c r="M1764" s="518"/>
      <c r="N1764" s="518"/>
      <c r="O1764" s="518"/>
      <c r="P1764" s="518"/>
      <c r="Q1764" s="518"/>
      <c r="R1764" s="518"/>
      <c r="S1764" s="518"/>
      <c r="T1764" s="518"/>
      <c r="U1764" s="518"/>
      <c r="V1764" s="518"/>
      <c r="W1764" s="518"/>
      <c r="X1764" s="518"/>
      <c r="Y1764" s="518"/>
      <c r="Z1764" s="518"/>
      <c r="AA1764" s="518"/>
      <c r="AB1764" s="518"/>
      <c r="AC1764" s="518"/>
      <c r="AD1764" s="518"/>
      <c r="AE1764" s="518"/>
      <c r="AF1764" s="518"/>
      <c r="AG1764" s="518"/>
      <c r="AH1764" s="518"/>
      <c r="AJ1764" s="595"/>
    </row>
    <row r="1765" spans="1:36" hidden="1" x14ac:dyDescent="0.45">
      <c r="A1765" s="518"/>
      <c r="B1765" s="907" t="str">
        <f>B$1635</f>
        <v>CalHome Homeownership Project Development Loan</v>
      </c>
      <c r="C1765" s="907"/>
      <c r="D1765" s="907"/>
      <c r="E1765" s="907"/>
      <c r="F1765" s="907"/>
      <c r="G1765" s="907"/>
      <c r="H1765" s="907"/>
      <c r="I1765" s="907"/>
      <c r="J1765" s="907"/>
      <c r="K1765" s="907"/>
      <c r="L1765" s="907"/>
      <c r="M1765" s="907"/>
      <c r="N1765" s="907"/>
      <c r="O1765" s="907"/>
      <c r="P1765" s="907"/>
      <c r="Q1765" s="907"/>
      <c r="R1765" s="907"/>
      <c r="S1765" s="907"/>
      <c r="T1765" s="907"/>
      <c r="U1765" s="907"/>
      <c r="V1765" s="907"/>
      <c r="W1765" s="907"/>
      <c r="X1765" s="907"/>
      <c r="Y1765" s="907"/>
      <c r="Z1765" s="907"/>
      <c r="AA1765" s="907"/>
      <c r="AB1765" s="907"/>
      <c r="AC1765" s="907"/>
      <c r="AD1765" s="907"/>
      <c r="AE1765" s="907"/>
      <c r="AF1765" s="907"/>
      <c r="AG1765" s="907"/>
      <c r="AH1765" s="518"/>
      <c r="AJ1765" s="595"/>
    </row>
    <row r="1766" spans="1:36" hidden="1" x14ac:dyDescent="0.45">
      <c r="A1766" s="518"/>
      <c r="B1766" s="531"/>
      <c r="C1766" s="531"/>
      <c r="D1766" s="531"/>
      <c r="E1766" s="531"/>
      <c r="F1766" s="531"/>
      <c r="G1766" s="531"/>
      <c r="H1766" s="531"/>
      <c r="I1766" s="531"/>
      <c r="J1766" s="531"/>
      <c r="K1766" s="531"/>
      <c r="L1766" s="531"/>
      <c r="M1766" s="531"/>
      <c r="N1766" s="531"/>
      <c r="O1766" s="531"/>
      <c r="P1766" s="531"/>
      <c r="Q1766" s="531"/>
      <c r="R1766" s="531"/>
      <c r="S1766" s="531"/>
      <c r="T1766" s="531"/>
      <c r="U1766" s="531"/>
      <c r="V1766" s="531"/>
      <c r="W1766" s="531"/>
      <c r="X1766" s="531"/>
      <c r="Y1766" s="531"/>
      <c r="Z1766" s="531"/>
      <c r="AA1766" s="531"/>
      <c r="AB1766" s="531"/>
      <c r="AC1766" s="531"/>
      <c r="AD1766" s="522"/>
      <c r="AE1766" s="522"/>
      <c r="AF1766" s="522"/>
      <c r="AG1766" s="522"/>
      <c r="AH1766" s="518"/>
      <c r="AJ1766" s="595"/>
    </row>
    <row r="1767" spans="1:36" hidden="1" x14ac:dyDescent="0.45">
      <c r="A1767" s="518"/>
      <c r="B1767" s="907" t="s">
        <v>1594</v>
      </c>
      <c r="C1767" s="907"/>
      <c r="D1767" s="907"/>
      <c r="E1767" s="907"/>
      <c r="F1767" s="907"/>
      <c r="G1767" s="907"/>
      <c r="H1767" s="907"/>
      <c r="I1767" s="907"/>
      <c r="J1767" s="907"/>
      <c r="K1767" s="907"/>
      <c r="L1767" s="907"/>
      <c r="M1767" s="907"/>
      <c r="N1767" s="907"/>
      <c r="O1767" s="907"/>
      <c r="P1767" s="907"/>
      <c r="Q1767" s="907"/>
      <c r="R1767" s="907"/>
      <c r="S1767" s="907"/>
      <c r="T1767" s="907"/>
      <c r="U1767" s="907"/>
      <c r="V1767" s="907"/>
      <c r="W1767" s="907"/>
      <c r="X1767" s="907"/>
      <c r="Y1767" s="907"/>
      <c r="Z1767" s="907"/>
      <c r="AA1767" s="907"/>
      <c r="AB1767" s="907"/>
      <c r="AC1767" s="907"/>
      <c r="AD1767" s="907"/>
      <c r="AE1767" s="907"/>
      <c r="AF1767" s="907"/>
      <c r="AG1767" s="907"/>
      <c r="AH1767" s="518"/>
      <c r="AJ1767" s="595"/>
    </row>
    <row r="1768" spans="1:36" hidden="1" x14ac:dyDescent="0.45">
      <c r="A1768" s="518"/>
      <c r="B1768" s="996" t="s">
        <v>1555</v>
      </c>
      <c r="C1768" s="997"/>
      <c r="D1768" s="997"/>
      <c r="E1768" s="998"/>
      <c r="F1768" s="996" t="s">
        <v>1556</v>
      </c>
      <c r="G1768" s="997"/>
      <c r="H1768" s="998"/>
      <c r="I1768" s="1023" t="s">
        <v>1561</v>
      </c>
      <c r="J1768" s="1024"/>
      <c r="K1768" s="1024"/>
      <c r="L1768" s="1024"/>
      <c r="M1768" s="1024"/>
      <c r="N1768" s="1024"/>
      <c r="O1768" s="1024"/>
      <c r="P1768" s="1024"/>
      <c r="Q1768" s="1024"/>
      <c r="R1768" s="1024"/>
      <c r="S1768" s="1025"/>
      <c r="T1768" s="996" t="s">
        <v>1560</v>
      </c>
      <c r="U1768" s="997"/>
      <c r="V1768" s="997"/>
      <c r="W1768" s="998"/>
      <c r="X1768" s="1023" t="s">
        <v>1559</v>
      </c>
      <c r="Y1768" s="998"/>
      <c r="Z1768" s="1014" t="s">
        <v>1558</v>
      </c>
      <c r="AA1768" s="1015"/>
      <c r="AB1768" s="1015"/>
      <c r="AC1768" s="1016"/>
      <c r="AD1768" s="1023" t="s">
        <v>1557</v>
      </c>
      <c r="AE1768" s="1024"/>
      <c r="AF1768" s="1024"/>
      <c r="AG1768" s="1025"/>
      <c r="AH1768" s="518"/>
      <c r="AJ1768" s="595"/>
    </row>
    <row r="1769" spans="1:36" hidden="1" x14ac:dyDescent="0.45">
      <c r="A1769" s="518"/>
      <c r="B1769" s="1002"/>
      <c r="C1769" s="1003"/>
      <c r="D1769" s="1003"/>
      <c r="E1769" s="1004"/>
      <c r="F1769" s="1002"/>
      <c r="G1769" s="1003"/>
      <c r="H1769" s="1004"/>
      <c r="I1769" s="1029"/>
      <c r="J1769" s="1030"/>
      <c r="K1769" s="1030"/>
      <c r="L1769" s="1030"/>
      <c r="M1769" s="1030"/>
      <c r="N1769" s="1030"/>
      <c r="O1769" s="1030"/>
      <c r="P1769" s="1030"/>
      <c r="Q1769" s="1030"/>
      <c r="R1769" s="1030"/>
      <c r="S1769" s="1031"/>
      <c r="T1769" s="1002"/>
      <c r="U1769" s="1003"/>
      <c r="V1769" s="1003"/>
      <c r="W1769" s="1004"/>
      <c r="X1769" s="1002"/>
      <c r="Y1769" s="1004"/>
      <c r="Z1769" s="1020"/>
      <c r="AA1769" s="1021"/>
      <c r="AB1769" s="1021"/>
      <c r="AC1769" s="1022"/>
      <c r="AD1769" s="1029"/>
      <c r="AE1769" s="1030"/>
      <c r="AF1769" s="1030"/>
      <c r="AG1769" s="1031"/>
      <c r="AH1769" s="518"/>
      <c r="AJ1769" s="595"/>
    </row>
    <row r="1770" spans="1:36" hidden="1" x14ac:dyDescent="0.45">
      <c r="A1770" s="518"/>
      <c r="B1770" s="990"/>
      <c r="C1770" s="991"/>
      <c r="D1770" s="991"/>
      <c r="E1770" s="992"/>
      <c r="F1770" s="990"/>
      <c r="G1770" s="991"/>
      <c r="H1770" s="992"/>
      <c r="I1770" s="1063" t="s">
        <v>1595</v>
      </c>
      <c r="J1770" s="1064"/>
      <c r="K1770" s="1064"/>
      <c r="L1770" s="1064"/>
      <c r="M1770" s="1064"/>
      <c r="N1770" s="1064"/>
      <c r="O1770" s="1064"/>
      <c r="P1770" s="1064"/>
      <c r="Q1770" s="1064"/>
      <c r="R1770" s="1064"/>
      <c r="S1770" s="1065"/>
      <c r="T1770" s="993"/>
      <c r="U1770" s="994"/>
      <c r="V1770" s="994"/>
      <c r="W1770" s="995"/>
      <c r="X1770" s="1040"/>
      <c r="Y1770" s="1041"/>
      <c r="Z1770" s="990"/>
      <c r="AA1770" s="991"/>
      <c r="AB1770" s="991"/>
      <c r="AC1770" s="992"/>
      <c r="AD1770" s="990"/>
      <c r="AE1770" s="991"/>
      <c r="AF1770" s="991"/>
      <c r="AG1770" s="992"/>
      <c r="AH1770" s="518"/>
      <c r="AJ1770" s="595"/>
    </row>
    <row r="1771" spans="1:36" hidden="1" x14ac:dyDescent="0.45">
      <c r="A1771" s="518"/>
      <c r="B1771" s="990"/>
      <c r="C1771" s="991"/>
      <c r="D1771" s="991"/>
      <c r="E1771" s="992"/>
      <c r="F1771" s="990"/>
      <c r="G1771" s="991"/>
      <c r="H1771" s="992"/>
      <c r="I1771" s="990"/>
      <c r="J1771" s="991"/>
      <c r="K1771" s="991"/>
      <c r="L1771" s="991"/>
      <c r="M1771" s="991"/>
      <c r="N1771" s="991"/>
      <c r="O1771" s="991"/>
      <c r="P1771" s="991"/>
      <c r="Q1771" s="991"/>
      <c r="R1771" s="991"/>
      <c r="S1771" s="992"/>
      <c r="T1771" s="993"/>
      <c r="U1771" s="994"/>
      <c r="V1771" s="994"/>
      <c r="W1771" s="995"/>
      <c r="X1771" s="1040"/>
      <c r="Y1771" s="1041"/>
      <c r="Z1771" s="990"/>
      <c r="AA1771" s="991"/>
      <c r="AB1771" s="991"/>
      <c r="AC1771" s="992"/>
      <c r="AD1771" s="990"/>
      <c r="AE1771" s="991"/>
      <c r="AF1771" s="991"/>
      <c r="AG1771" s="992"/>
      <c r="AH1771" s="518"/>
      <c r="AJ1771" s="595"/>
    </row>
    <row r="1772" spans="1:36" hidden="1" x14ac:dyDescent="0.45">
      <c r="A1772" s="518"/>
      <c r="B1772" s="990"/>
      <c r="C1772" s="991"/>
      <c r="D1772" s="991"/>
      <c r="E1772" s="992"/>
      <c r="F1772" s="990"/>
      <c r="G1772" s="991"/>
      <c r="H1772" s="992"/>
      <c r="I1772" s="990"/>
      <c r="J1772" s="991"/>
      <c r="K1772" s="991"/>
      <c r="L1772" s="991"/>
      <c r="M1772" s="991"/>
      <c r="N1772" s="991"/>
      <c r="O1772" s="991"/>
      <c r="P1772" s="991"/>
      <c r="Q1772" s="991"/>
      <c r="R1772" s="991"/>
      <c r="S1772" s="992"/>
      <c r="T1772" s="993"/>
      <c r="U1772" s="994"/>
      <c r="V1772" s="994"/>
      <c r="W1772" s="995"/>
      <c r="X1772" s="1040"/>
      <c r="Y1772" s="1041"/>
      <c r="Z1772" s="990"/>
      <c r="AA1772" s="991"/>
      <c r="AB1772" s="991"/>
      <c r="AC1772" s="992"/>
      <c r="AD1772" s="990"/>
      <c r="AE1772" s="991"/>
      <c r="AF1772" s="991"/>
      <c r="AG1772" s="992"/>
      <c r="AH1772" s="518"/>
      <c r="AJ1772" s="595"/>
    </row>
    <row r="1773" spans="1:36" hidden="1" x14ac:dyDescent="0.45">
      <c r="A1773" s="518"/>
      <c r="B1773" s="990"/>
      <c r="C1773" s="991"/>
      <c r="D1773" s="991"/>
      <c r="E1773" s="992"/>
      <c r="F1773" s="990"/>
      <c r="G1773" s="991"/>
      <c r="H1773" s="992"/>
      <c r="I1773" s="990"/>
      <c r="J1773" s="991"/>
      <c r="K1773" s="991"/>
      <c r="L1773" s="991"/>
      <c r="M1773" s="991"/>
      <c r="N1773" s="991"/>
      <c r="O1773" s="991"/>
      <c r="P1773" s="991"/>
      <c r="Q1773" s="991"/>
      <c r="R1773" s="991"/>
      <c r="S1773" s="992"/>
      <c r="T1773" s="993"/>
      <c r="U1773" s="994"/>
      <c r="V1773" s="994"/>
      <c r="W1773" s="995"/>
      <c r="X1773" s="1040"/>
      <c r="Y1773" s="1041"/>
      <c r="Z1773" s="990"/>
      <c r="AA1773" s="991"/>
      <c r="AB1773" s="991"/>
      <c r="AC1773" s="992"/>
      <c r="AD1773" s="990"/>
      <c r="AE1773" s="991"/>
      <c r="AF1773" s="991"/>
      <c r="AG1773" s="992"/>
      <c r="AH1773" s="518"/>
      <c r="AJ1773" s="595"/>
    </row>
    <row r="1774" spans="1:36" hidden="1" x14ac:dyDescent="0.45">
      <c r="A1774" s="518"/>
      <c r="B1774" s="990"/>
      <c r="C1774" s="991"/>
      <c r="D1774" s="991"/>
      <c r="E1774" s="992"/>
      <c r="F1774" s="990"/>
      <c r="G1774" s="991"/>
      <c r="H1774" s="992"/>
      <c r="I1774" s="990"/>
      <c r="J1774" s="991"/>
      <c r="K1774" s="991"/>
      <c r="L1774" s="991"/>
      <c r="M1774" s="991"/>
      <c r="N1774" s="991"/>
      <c r="O1774" s="991"/>
      <c r="P1774" s="991"/>
      <c r="Q1774" s="991"/>
      <c r="R1774" s="991"/>
      <c r="S1774" s="992"/>
      <c r="T1774" s="993"/>
      <c r="U1774" s="994"/>
      <c r="V1774" s="994"/>
      <c r="W1774" s="995"/>
      <c r="X1774" s="1040"/>
      <c r="Y1774" s="1041"/>
      <c r="Z1774" s="990"/>
      <c r="AA1774" s="991"/>
      <c r="AB1774" s="991"/>
      <c r="AC1774" s="992"/>
      <c r="AD1774" s="990"/>
      <c r="AE1774" s="991"/>
      <c r="AF1774" s="991"/>
      <c r="AG1774" s="992"/>
      <c r="AH1774" s="518"/>
      <c r="AJ1774" s="595"/>
    </row>
    <row r="1775" spans="1:36" hidden="1" x14ac:dyDescent="0.45">
      <c r="A1775" s="518"/>
      <c r="B1775" s="990"/>
      <c r="C1775" s="991"/>
      <c r="D1775" s="991"/>
      <c r="E1775" s="992"/>
      <c r="F1775" s="990"/>
      <c r="G1775" s="991"/>
      <c r="H1775" s="992"/>
      <c r="I1775" s="990"/>
      <c r="J1775" s="991"/>
      <c r="K1775" s="991"/>
      <c r="L1775" s="991"/>
      <c r="M1775" s="991"/>
      <c r="N1775" s="991"/>
      <c r="O1775" s="991"/>
      <c r="P1775" s="991"/>
      <c r="Q1775" s="991"/>
      <c r="R1775" s="991"/>
      <c r="S1775" s="992"/>
      <c r="T1775" s="993"/>
      <c r="U1775" s="994"/>
      <c r="V1775" s="994"/>
      <c r="W1775" s="995"/>
      <c r="X1775" s="1040"/>
      <c r="Y1775" s="1041"/>
      <c r="Z1775" s="990"/>
      <c r="AA1775" s="991"/>
      <c r="AB1775" s="991"/>
      <c r="AC1775" s="992"/>
      <c r="AD1775" s="990"/>
      <c r="AE1775" s="991"/>
      <c r="AF1775" s="991"/>
      <c r="AG1775" s="992"/>
      <c r="AH1775" s="518"/>
      <c r="AJ1775" s="595"/>
    </row>
    <row r="1776" spans="1:36" hidden="1" x14ac:dyDescent="0.45">
      <c r="A1776" s="518"/>
      <c r="B1776" s="518"/>
      <c r="C1776" s="531"/>
      <c r="D1776" s="531"/>
      <c r="E1776" s="531"/>
      <c r="F1776" s="531"/>
      <c r="G1776" s="531"/>
      <c r="H1776" s="531"/>
      <c r="I1776" s="531"/>
      <c r="J1776" s="531"/>
      <c r="K1776" s="531"/>
      <c r="L1776" s="531"/>
      <c r="M1776" s="531"/>
      <c r="N1776" s="531"/>
      <c r="O1776" s="531"/>
      <c r="P1776" s="531"/>
      <c r="Q1776" s="531"/>
      <c r="R1776" s="531"/>
      <c r="S1776" s="531"/>
      <c r="T1776" s="531"/>
      <c r="U1776" s="531"/>
      <c r="V1776" s="531"/>
      <c r="W1776" s="531"/>
      <c r="X1776" s="531"/>
      <c r="Y1776" s="531"/>
      <c r="Z1776" s="531"/>
      <c r="AA1776" s="531"/>
      <c r="AB1776" s="531"/>
      <c r="AC1776" s="531"/>
      <c r="AD1776" s="538"/>
      <c r="AE1776" s="538"/>
      <c r="AF1776" s="518"/>
      <c r="AG1776" s="518"/>
      <c r="AH1776" s="518"/>
      <c r="AJ1776" s="595"/>
    </row>
    <row r="1777" spans="1:36" hidden="1" x14ac:dyDescent="0.45">
      <c r="A1777" s="518"/>
      <c r="B1777" s="996" t="s">
        <v>1562</v>
      </c>
      <c r="C1777" s="997"/>
      <c r="D1777" s="997"/>
      <c r="E1777" s="997"/>
      <c r="F1777" s="997"/>
      <c r="G1777" s="997"/>
      <c r="H1777" s="997"/>
      <c r="I1777" s="997"/>
      <c r="J1777" s="997"/>
      <c r="K1777" s="997"/>
      <c r="L1777" s="998"/>
      <c r="M1777" s="1277" t="str">
        <f>IF(I1770=0,"",I1770)</f>
        <v>Calhome</v>
      </c>
      <c r="N1777" s="1278"/>
      <c r="O1777" s="1279"/>
      <c r="P1777" s="1286" t="str">
        <f>IF(I1771=0,"",I1771)</f>
        <v/>
      </c>
      <c r="Q1777" s="1287"/>
      <c r="R1777" s="1288"/>
      <c r="S1777" s="1286" t="str">
        <f>IF(I1772=0,"",I1772)</f>
        <v/>
      </c>
      <c r="T1777" s="1287"/>
      <c r="U1777" s="1288"/>
      <c r="V1777" s="1286" t="str">
        <f>IF(I1773=0,"",I1773)</f>
        <v/>
      </c>
      <c r="W1777" s="1287"/>
      <c r="X1777" s="1288"/>
      <c r="Y1777" s="1286" t="str">
        <f>IF(I1774=0,"",I1774)</f>
        <v/>
      </c>
      <c r="Z1777" s="1287"/>
      <c r="AA1777" s="1288"/>
      <c r="AB1777" s="1286" t="str">
        <f>IF(I1775=0,"",I1775)</f>
        <v/>
      </c>
      <c r="AC1777" s="1287"/>
      <c r="AD1777" s="1288"/>
      <c r="AE1777" s="1023" t="s">
        <v>1577</v>
      </c>
      <c r="AF1777" s="1024"/>
      <c r="AG1777" s="1025"/>
      <c r="AH1777" s="518"/>
      <c r="AJ1777" s="595"/>
    </row>
    <row r="1778" spans="1:36" hidden="1" x14ac:dyDescent="0.45">
      <c r="A1778" s="518"/>
      <c r="B1778" s="999"/>
      <c r="C1778" s="1000"/>
      <c r="D1778" s="1000"/>
      <c r="E1778" s="1000"/>
      <c r="F1778" s="1000"/>
      <c r="G1778" s="1000"/>
      <c r="H1778" s="1000"/>
      <c r="I1778" s="1000"/>
      <c r="J1778" s="1000"/>
      <c r="K1778" s="1000"/>
      <c r="L1778" s="1001"/>
      <c r="M1778" s="1280"/>
      <c r="N1778" s="1281"/>
      <c r="O1778" s="1282"/>
      <c r="P1778" s="1289"/>
      <c r="Q1778" s="1290"/>
      <c r="R1778" s="1291"/>
      <c r="S1778" s="1289"/>
      <c r="T1778" s="1290"/>
      <c r="U1778" s="1291"/>
      <c r="V1778" s="1289"/>
      <c r="W1778" s="1290"/>
      <c r="X1778" s="1291"/>
      <c r="Y1778" s="1289"/>
      <c r="Z1778" s="1290"/>
      <c r="AA1778" s="1291"/>
      <c r="AB1778" s="1289"/>
      <c r="AC1778" s="1290"/>
      <c r="AD1778" s="1291"/>
      <c r="AE1778" s="1026"/>
      <c r="AF1778" s="1027"/>
      <c r="AG1778" s="1028"/>
      <c r="AH1778" s="518"/>
      <c r="AJ1778" s="595"/>
    </row>
    <row r="1779" spans="1:36" hidden="1" x14ac:dyDescent="0.45">
      <c r="A1779" s="518"/>
      <c r="B1779" s="1002"/>
      <c r="C1779" s="1003"/>
      <c r="D1779" s="1003"/>
      <c r="E1779" s="1003"/>
      <c r="F1779" s="1003"/>
      <c r="G1779" s="1003"/>
      <c r="H1779" s="1003"/>
      <c r="I1779" s="1003"/>
      <c r="J1779" s="1003"/>
      <c r="K1779" s="1003"/>
      <c r="L1779" s="1004"/>
      <c r="M1779" s="1283"/>
      <c r="N1779" s="1284"/>
      <c r="O1779" s="1285"/>
      <c r="P1779" s="1292"/>
      <c r="Q1779" s="1293"/>
      <c r="R1779" s="1294"/>
      <c r="S1779" s="1292"/>
      <c r="T1779" s="1293"/>
      <c r="U1779" s="1294"/>
      <c r="V1779" s="1292"/>
      <c r="W1779" s="1293"/>
      <c r="X1779" s="1294"/>
      <c r="Y1779" s="1292"/>
      <c r="Z1779" s="1293"/>
      <c r="AA1779" s="1294"/>
      <c r="AB1779" s="1292"/>
      <c r="AC1779" s="1293"/>
      <c r="AD1779" s="1294"/>
      <c r="AE1779" s="1029"/>
      <c r="AF1779" s="1030"/>
      <c r="AG1779" s="1031"/>
      <c r="AH1779" s="518"/>
      <c r="AJ1779" s="595"/>
    </row>
    <row r="1780" spans="1:36" hidden="1" x14ac:dyDescent="0.45">
      <c r="A1780" s="518"/>
      <c r="B1780" s="944" t="s">
        <v>1563</v>
      </c>
      <c r="C1780" s="944"/>
      <c r="D1780" s="944"/>
      <c r="E1780" s="944"/>
      <c r="F1780" s="944"/>
      <c r="G1780" s="944"/>
      <c r="H1780" s="944"/>
      <c r="I1780" s="944"/>
      <c r="J1780" s="944"/>
      <c r="K1780" s="944"/>
      <c r="L1780" s="944"/>
      <c r="M1780" s="945"/>
      <c r="N1780" s="946"/>
      <c r="O1780" s="947"/>
      <c r="P1780" s="945"/>
      <c r="Q1780" s="946"/>
      <c r="R1780" s="947"/>
      <c r="S1780" s="945"/>
      <c r="T1780" s="946"/>
      <c r="U1780" s="947"/>
      <c r="V1780" s="945"/>
      <c r="W1780" s="946"/>
      <c r="X1780" s="947"/>
      <c r="Y1780" s="945"/>
      <c r="Z1780" s="946"/>
      <c r="AA1780" s="947"/>
      <c r="AB1780" s="945"/>
      <c r="AC1780" s="946"/>
      <c r="AD1780" s="947"/>
      <c r="AE1780" s="960">
        <f>SUM(M1780:AD1780)</f>
        <v>0</v>
      </c>
      <c r="AF1780" s="961"/>
      <c r="AG1780" s="962"/>
      <c r="AJ1780" s="595"/>
    </row>
    <row r="1781" spans="1:36" hidden="1" x14ac:dyDescent="0.45">
      <c r="A1781" s="518"/>
      <c r="B1781" s="944" t="s">
        <v>1564</v>
      </c>
      <c r="C1781" s="944"/>
      <c r="D1781" s="944"/>
      <c r="E1781" s="944"/>
      <c r="F1781" s="944"/>
      <c r="G1781" s="944"/>
      <c r="H1781" s="944"/>
      <c r="I1781" s="944"/>
      <c r="J1781" s="944"/>
      <c r="K1781" s="944"/>
      <c r="L1781" s="944"/>
      <c r="M1781" s="945"/>
      <c r="N1781" s="946"/>
      <c r="O1781" s="947"/>
      <c r="P1781" s="945"/>
      <c r="Q1781" s="946"/>
      <c r="R1781" s="947"/>
      <c r="S1781" s="945"/>
      <c r="T1781" s="946"/>
      <c r="U1781" s="947"/>
      <c r="V1781" s="945"/>
      <c r="W1781" s="946"/>
      <c r="X1781" s="947"/>
      <c r="Y1781" s="945"/>
      <c r="Z1781" s="946"/>
      <c r="AA1781" s="947"/>
      <c r="AB1781" s="945"/>
      <c r="AC1781" s="946"/>
      <c r="AD1781" s="947"/>
      <c r="AE1781" s="960">
        <f t="shared" ref="AE1781:AE1796" si="39">SUM(M1781:AD1781)</f>
        <v>0</v>
      </c>
      <c r="AF1781" s="961"/>
      <c r="AG1781" s="962"/>
      <c r="AH1781" s="518"/>
      <c r="AJ1781" s="595"/>
    </row>
    <row r="1782" spans="1:36" hidden="1" x14ac:dyDescent="0.45">
      <c r="A1782" s="518"/>
      <c r="B1782" s="944" t="s">
        <v>1565</v>
      </c>
      <c r="C1782" s="944"/>
      <c r="D1782" s="944"/>
      <c r="E1782" s="944"/>
      <c r="F1782" s="944"/>
      <c r="G1782" s="944"/>
      <c r="H1782" s="944"/>
      <c r="I1782" s="944"/>
      <c r="J1782" s="944"/>
      <c r="K1782" s="944"/>
      <c r="L1782" s="944"/>
      <c r="M1782" s="945"/>
      <c r="N1782" s="946"/>
      <c r="O1782" s="947"/>
      <c r="P1782" s="945"/>
      <c r="Q1782" s="946"/>
      <c r="R1782" s="947"/>
      <c r="S1782" s="945"/>
      <c r="T1782" s="946"/>
      <c r="U1782" s="947"/>
      <c r="V1782" s="945"/>
      <c r="W1782" s="946"/>
      <c r="X1782" s="947"/>
      <c r="Y1782" s="945"/>
      <c r="Z1782" s="946"/>
      <c r="AA1782" s="947"/>
      <c r="AB1782" s="945"/>
      <c r="AC1782" s="946"/>
      <c r="AD1782" s="947"/>
      <c r="AE1782" s="960">
        <f t="shared" si="39"/>
        <v>0</v>
      </c>
      <c r="AF1782" s="961"/>
      <c r="AG1782" s="962"/>
      <c r="AH1782" s="518"/>
      <c r="AJ1782" s="595"/>
    </row>
    <row r="1783" spans="1:36" hidden="1" x14ac:dyDescent="0.45">
      <c r="A1783" s="518"/>
      <c r="B1783" s="944" t="s">
        <v>1566</v>
      </c>
      <c r="C1783" s="944"/>
      <c r="D1783" s="944"/>
      <c r="E1783" s="944"/>
      <c r="F1783" s="944"/>
      <c r="G1783" s="944"/>
      <c r="H1783" s="944"/>
      <c r="I1783" s="944"/>
      <c r="J1783" s="944"/>
      <c r="K1783" s="944"/>
      <c r="L1783" s="944"/>
      <c r="M1783" s="945"/>
      <c r="N1783" s="946"/>
      <c r="O1783" s="947"/>
      <c r="P1783" s="945"/>
      <c r="Q1783" s="946"/>
      <c r="R1783" s="947"/>
      <c r="S1783" s="945"/>
      <c r="T1783" s="946"/>
      <c r="U1783" s="947"/>
      <c r="V1783" s="945"/>
      <c r="W1783" s="946"/>
      <c r="X1783" s="947"/>
      <c r="Y1783" s="945"/>
      <c r="Z1783" s="946"/>
      <c r="AA1783" s="947"/>
      <c r="AB1783" s="945"/>
      <c r="AC1783" s="946"/>
      <c r="AD1783" s="947"/>
      <c r="AE1783" s="960">
        <f t="shared" si="39"/>
        <v>0</v>
      </c>
      <c r="AF1783" s="961"/>
      <c r="AG1783" s="962"/>
      <c r="AH1783" s="518"/>
      <c r="AJ1783" s="595"/>
    </row>
    <row r="1784" spans="1:36" hidden="1" x14ac:dyDescent="0.45">
      <c r="A1784" s="518"/>
      <c r="B1784" s="944" t="s">
        <v>1567</v>
      </c>
      <c r="C1784" s="944"/>
      <c r="D1784" s="944"/>
      <c r="E1784" s="944"/>
      <c r="F1784" s="944"/>
      <c r="G1784" s="944"/>
      <c r="H1784" s="944"/>
      <c r="I1784" s="944"/>
      <c r="J1784" s="944"/>
      <c r="K1784" s="944"/>
      <c r="L1784" s="944"/>
      <c r="M1784" s="945"/>
      <c r="N1784" s="946"/>
      <c r="O1784" s="947"/>
      <c r="P1784" s="945"/>
      <c r="Q1784" s="946"/>
      <c r="R1784" s="947"/>
      <c r="S1784" s="945"/>
      <c r="T1784" s="946"/>
      <c r="U1784" s="947"/>
      <c r="V1784" s="945"/>
      <c r="W1784" s="946"/>
      <c r="X1784" s="947"/>
      <c r="Y1784" s="945"/>
      <c r="Z1784" s="946"/>
      <c r="AA1784" s="947"/>
      <c r="AB1784" s="945"/>
      <c r="AC1784" s="946"/>
      <c r="AD1784" s="947"/>
      <c r="AE1784" s="960">
        <f t="shared" si="39"/>
        <v>0</v>
      </c>
      <c r="AF1784" s="961"/>
      <c r="AG1784" s="962"/>
      <c r="AH1784" s="518"/>
      <c r="AJ1784" s="595"/>
    </row>
    <row r="1785" spans="1:36" hidden="1" x14ac:dyDescent="0.45">
      <c r="A1785" s="518"/>
      <c r="B1785" s="944" t="s">
        <v>1568</v>
      </c>
      <c r="C1785" s="944"/>
      <c r="D1785" s="944"/>
      <c r="E1785" s="944"/>
      <c r="F1785" s="944"/>
      <c r="G1785" s="944"/>
      <c r="H1785" s="944"/>
      <c r="I1785" s="944"/>
      <c r="J1785" s="944"/>
      <c r="K1785" s="944"/>
      <c r="L1785" s="944"/>
      <c r="M1785" s="945"/>
      <c r="N1785" s="946"/>
      <c r="O1785" s="947"/>
      <c r="P1785" s="945"/>
      <c r="Q1785" s="946"/>
      <c r="R1785" s="947"/>
      <c r="S1785" s="945"/>
      <c r="T1785" s="946"/>
      <c r="U1785" s="947"/>
      <c r="V1785" s="945"/>
      <c r="W1785" s="946"/>
      <c r="X1785" s="947"/>
      <c r="Y1785" s="945"/>
      <c r="Z1785" s="946"/>
      <c r="AA1785" s="947"/>
      <c r="AB1785" s="945"/>
      <c r="AC1785" s="946"/>
      <c r="AD1785" s="947"/>
      <c r="AE1785" s="960">
        <f t="shared" si="39"/>
        <v>0</v>
      </c>
      <c r="AF1785" s="961"/>
      <c r="AG1785" s="962"/>
      <c r="AH1785" s="518"/>
      <c r="AJ1785" s="595"/>
    </row>
    <row r="1786" spans="1:36" hidden="1" x14ac:dyDescent="0.45">
      <c r="A1786" s="518"/>
      <c r="B1786" s="944" t="s">
        <v>1569</v>
      </c>
      <c r="C1786" s="944"/>
      <c r="D1786" s="944"/>
      <c r="E1786" s="944"/>
      <c r="F1786" s="944"/>
      <c r="G1786" s="944"/>
      <c r="H1786" s="944"/>
      <c r="I1786" s="944"/>
      <c r="J1786" s="944"/>
      <c r="K1786" s="944"/>
      <c r="L1786" s="944"/>
      <c r="M1786" s="945"/>
      <c r="N1786" s="946"/>
      <c r="O1786" s="947"/>
      <c r="P1786" s="945"/>
      <c r="Q1786" s="946"/>
      <c r="R1786" s="947"/>
      <c r="S1786" s="945"/>
      <c r="T1786" s="946"/>
      <c r="U1786" s="947"/>
      <c r="V1786" s="945"/>
      <c r="W1786" s="946"/>
      <c r="X1786" s="947"/>
      <c r="Y1786" s="945"/>
      <c r="Z1786" s="946"/>
      <c r="AA1786" s="947"/>
      <c r="AB1786" s="945"/>
      <c r="AC1786" s="946"/>
      <c r="AD1786" s="947"/>
      <c r="AE1786" s="960">
        <f t="shared" si="39"/>
        <v>0</v>
      </c>
      <c r="AF1786" s="961"/>
      <c r="AG1786" s="962"/>
      <c r="AH1786" s="518"/>
      <c r="AJ1786" s="595"/>
    </row>
    <row r="1787" spans="1:36" hidden="1" x14ac:dyDescent="0.45">
      <c r="A1787" s="518"/>
      <c r="B1787" s="944" t="s">
        <v>1570</v>
      </c>
      <c r="C1787" s="944"/>
      <c r="D1787" s="944"/>
      <c r="E1787" s="944"/>
      <c r="F1787" s="944"/>
      <c r="G1787" s="944"/>
      <c r="H1787" s="944"/>
      <c r="I1787" s="944"/>
      <c r="J1787" s="944"/>
      <c r="K1787" s="944"/>
      <c r="L1787" s="944"/>
      <c r="M1787" s="945"/>
      <c r="N1787" s="946"/>
      <c r="O1787" s="947"/>
      <c r="P1787" s="945"/>
      <c r="Q1787" s="946"/>
      <c r="R1787" s="947"/>
      <c r="S1787" s="945"/>
      <c r="T1787" s="946"/>
      <c r="U1787" s="947"/>
      <c r="V1787" s="945"/>
      <c r="W1787" s="946"/>
      <c r="X1787" s="947"/>
      <c r="Y1787" s="945"/>
      <c r="Z1787" s="946"/>
      <c r="AA1787" s="947"/>
      <c r="AB1787" s="945"/>
      <c r="AC1787" s="946"/>
      <c r="AD1787" s="947"/>
      <c r="AE1787" s="960">
        <f t="shared" si="39"/>
        <v>0</v>
      </c>
      <c r="AF1787" s="961"/>
      <c r="AG1787" s="962"/>
      <c r="AH1787" s="518"/>
      <c r="AJ1787" s="595"/>
    </row>
    <row r="1788" spans="1:36" hidden="1" x14ac:dyDescent="0.45">
      <c r="A1788" s="518"/>
      <c r="B1788" s="944" t="s">
        <v>1571</v>
      </c>
      <c r="C1788" s="944"/>
      <c r="D1788" s="944"/>
      <c r="E1788" s="944"/>
      <c r="F1788" s="944"/>
      <c r="G1788" s="944"/>
      <c r="H1788" s="944"/>
      <c r="I1788" s="944"/>
      <c r="J1788" s="944"/>
      <c r="K1788" s="944"/>
      <c r="L1788" s="944"/>
      <c r="M1788" s="945"/>
      <c r="N1788" s="946"/>
      <c r="O1788" s="947"/>
      <c r="P1788" s="945"/>
      <c r="Q1788" s="946"/>
      <c r="R1788" s="947"/>
      <c r="S1788" s="945"/>
      <c r="T1788" s="946"/>
      <c r="U1788" s="947"/>
      <c r="V1788" s="945"/>
      <c r="W1788" s="946"/>
      <c r="X1788" s="947"/>
      <c r="Y1788" s="945"/>
      <c r="Z1788" s="946"/>
      <c r="AA1788" s="947"/>
      <c r="AB1788" s="945"/>
      <c r="AC1788" s="946"/>
      <c r="AD1788" s="947"/>
      <c r="AE1788" s="960">
        <f t="shared" si="39"/>
        <v>0</v>
      </c>
      <c r="AF1788" s="961"/>
      <c r="AG1788" s="962"/>
      <c r="AH1788" s="518"/>
      <c r="AJ1788" s="595"/>
    </row>
    <row r="1789" spans="1:36" hidden="1" x14ac:dyDescent="0.45">
      <c r="A1789" s="518"/>
      <c r="B1789" s="944" t="s">
        <v>1572</v>
      </c>
      <c r="C1789" s="944"/>
      <c r="D1789" s="944"/>
      <c r="E1789" s="944"/>
      <c r="F1789" s="944"/>
      <c r="G1789" s="944"/>
      <c r="H1789" s="944"/>
      <c r="I1789" s="944"/>
      <c r="J1789" s="944"/>
      <c r="K1789" s="944"/>
      <c r="L1789" s="944"/>
      <c r="M1789" s="945"/>
      <c r="N1789" s="946"/>
      <c r="O1789" s="947"/>
      <c r="P1789" s="945"/>
      <c r="Q1789" s="946"/>
      <c r="R1789" s="947"/>
      <c r="S1789" s="945"/>
      <c r="T1789" s="946"/>
      <c r="U1789" s="947"/>
      <c r="V1789" s="945"/>
      <c r="W1789" s="946"/>
      <c r="X1789" s="947"/>
      <c r="Y1789" s="945"/>
      <c r="Z1789" s="946"/>
      <c r="AA1789" s="947"/>
      <c r="AB1789" s="945"/>
      <c r="AC1789" s="946"/>
      <c r="AD1789" s="947"/>
      <c r="AE1789" s="960">
        <f t="shared" si="39"/>
        <v>0</v>
      </c>
      <c r="AF1789" s="961"/>
      <c r="AG1789" s="962"/>
      <c r="AH1789" s="518"/>
      <c r="AJ1789" s="595"/>
    </row>
    <row r="1790" spans="1:36" hidden="1" x14ac:dyDescent="0.45">
      <c r="A1790" s="518"/>
      <c r="B1790" s="944" t="s">
        <v>1573</v>
      </c>
      <c r="C1790" s="944"/>
      <c r="D1790" s="944"/>
      <c r="E1790" s="944"/>
      <c r="F1790" s="944"/>
      <c r="G1790" s="944"/>
      <c r="H1790" s="944"/>
      <c r="I1790" s="944"/>
      <c r="J1790" s="944"/>
      <c r="K1790" s="944"/>
      <c r="L1790" s="944"/>
      <c r="M1790" s="945"/>
      <c r="N1790" s="946"/>
      <c r="O1790" s="947"/>
      <c r="P1790" s="945"/>
      <c r="Q1790" s="946"/>
      <c r="R1790" s="947"/>
      <c r="S1790" s="945"/>
      <c r="T1790" s="946"/>
      <c r="U1790" s="947"/>
      <c r="V1790" s="945"/>
      <c r="W1790" s="946"/>
      <c r="X1790" s="947"/>
      <c r="Y1790" s="945"/>
      <c r="Z1790" s="946"/>
      <c r="AA1790" s="947"/>
      <c r="AB1790" s="945"/>
      <c r="AC1790" s="946"/>
      <c r="AD1790" s="947"/>
      <c r="AE1790" s="960">
        <f t="shared" si="39"/>
        <v>0</v>
      </c>
      <c r="AF1790" s="961"/>
      <c r="AG1790" s="962"/>
      <c r="AH1790" s="518"/>
      <c r="AJ1790" s="595"/>
    </row>
    <row r="1791" spans="1:36" hidden="1" x14ac:dyDescent="0.45">
      <c r="A1791" s="518"/>
      <c r="B1791" s="944" t="s">
        <v>1574</v>
      </c>
      <c r="C1791" s="944"/>
      <c r="D1791" s="944"/>
      <c r="E1791" s="944"/>
      <c r="F1791" s="944"/>
      <c r="G1791" s="944"/>
      <c r="H1791" s="944"/>
      <c r="I1791" s="944"/>
      <c r="J1791" s="944"/>
      <c r="K1791" s="944"/>
      <c r="L1791" s="944"/>
      <c r="M1791" s="945"/>
      <c r="N1791" s="946"/>
      <c r="O1791" s="947"/>
      <c r="P1791" s="945"/>
      <c r="Q1791" s="946"/>
      <c r="R1791" s="947"/>
      <c r="S1791" s="945"/>
      <c r="T1791" s="946"/>
      <c r="U1791" s="947"/>
      <c r="V1791" s="945"/>
      <c r="W1791" s="946"/>
      <c r="X1791" s="947"/>
      <c r="Y1791" s="945"/>
      <c r="Z1791" s="946"/>
      <c r="AA1791" s="947"/>
      <c r="AB1791" s="945"/>
      <c r="AC1791" s="946"/>
      <c r="AD1791" s="947"/>
      <c r="AE1791" s="960">
        <f t="shared" si="39"/>
        <v>0</v>
      </c>
      <c r="AF1791" s="961"/>
      <c r="AG1791" s="962"/>
      <c r="AH1791" s="518"/>
      <c r="AJ1791" s="595"/>
    </row>
    <row r="1792" spans="1:36" hidden="1" x14ac:dyDescent="0.45">
      <c r="A1792" s="518"/>
      <c r="B1792" s="944" t="s">
        <v>1576</v>
      </c>
      <c r="C1792" s="944"/>
      <c r="D1792" s="944"/>
      <c r="E1792" s="944"/>
      <c r="F1792" s="944"/>
      <c r="G1792" s="944"/>
      <c r="H1792" s="944"/>
      <c r="I1792" s="944"/>
      <c r="J1792" s="944"/>
      <c r="K1792" s="944"/>
      <c r="L1792" s="944"/>
      <c r="M1792" s="945"/>
      <c r="N1792" s="946"/>
      <c r="O1792" s="947"/>
      <c r="P1792" s="945"/>
      <c r="Q1792" s="946"/>
      <c r="R1792" s="947"/>
      <c r="S1792" s="945"/>
      <c r="T1792" s="946"/>
      <c r="U1792" s="947"/>
      <c r="V1792" s="945"/>
      <c r="W1792" s="946"/>
      <c r="X1792" s="947"/>
      <c r="Y1792" s="945"/>
      <c r="Z1792" s="946"/>
      <c r="AA1792" s="947"/>
      <c r="AB1792" s="945"/>
      <c r="AC1792" s="946"/>
      <c r="AD1792" s="947"/>
      <c r="AE1792" s="960">
        <f t="shared" si="39"/>
        <v>0</v>
      </c>
      <c r="AF1792" s="961"/>
      <c r="AG1792" s="962"/>
      <c r="AH1792" s="518"/>
      <c r="AJ1792" s="595"/>
    </row>
    <row r="1793" spans="1:36" hidden="1" x14ac:dyDescent="0.45">
      <c r="A1793" s="518"/>
      <c r="B1793" s="944" t="s">
        <v>1575</v>
      </c>
      <c r="C1793" s="944"/>
      <c r="D1793" s="944"/>
      <c r="E1793" s="944"/>
      <c r="F1793" s="944"/>
      <c r="G1793" s="944"/>
      <c r="H1793" s="944"/>
      <c r="I1793" s="944"/>
      <c r="J1793" s="944"/>
      <c r="K1793" s="944"/>
      <c r="L1793" s="944"/>
      <c r="M1793" s="945"/>
      <c r="N1793" s="946"/>
      <c r="O1793" s="947"/>
      <c r="P1793" s="945"/>
      <c r="Q1793" s="946"/>
      <c r="R1793" s="947"/>
      <c r="S1793" s="945"/>
      <c r="T1793" s="946"/>
      <c r="U1793" s="947"/>
      <c r="V1793" s="945"/>
      <c r="W1793" s="946"/>
      <c r="X1793" s="947"/>
      <c r="Y1793" s="945"/>
      <c r="Z1793" s="946"/>
      <c r="AA1793" s="947"/>
      <c r="AB1793" s="945"/>
      <c r="AC1793" s="946"/>
      <c r="AD1793" s="947"/>
      <c r="AE1793" s="960">
        <f t="shared" si="39"/>
        <v>0</v>
      </c>
      <c r="AF1793" s="961"/>
      <c r="AG1793" s="962"/>
      <c r="AH1793" s="518"/>
      <c r="AJ1793" s="595"/>
    </row>
    <row r="1794" spans="1:36" hidden="1" x14ac:dyDescent="0.45">
      <c r="A1794" s="518"/>
      <c r="B1794" s="948"/>
      <c r="C1794" s="948"/>
      <c r="D1794" s="948"/>
      <c r="E1794" s="948"/>
      <c r="F1794" s="948"/>
      <c r="G1794" s="948"/>
      <c r="H1794" s="948"/>
      <c r="I1794" s="948"/>
      <c r="J1794" s="948"/>
      <c r="K1794" s="948"/>
      <c r="L1794" s="948"/>
      <c r="M1794" s="945"/>
      <c r="N1794" s="946"/>
      <c r="O1794" s="947"/>
      <c r="P1794" s="945"/>
      <c r="Q1794" s="946"/>
      <c r="R1794" s="947"/>
      <c r="S1794" s="945"/>
      <c r="T1794" s="946"/>
      <c r="U1794" s="947"/>
      <c r="V1794" s="945"/>
      <c r="W1794" s="946"/>
      <c r="X1794" s="947"/>
      <c r="Y1794" s="945"/>
      <c r="Z1794" s="946"/>
      <c r="AA1794" s="947"/>
      <c r="AB1794" s="945"/>
      <c r="AC1794" s="946"/>
      <c r="AD1794" s="947"/>
      <c r="AE1794" s="960">
        <f t="shared" si="39"/>
        <v>0</v>
      </c>
      <c r="AF1794" s="961"/>
      <c r="AG1794" s="962"/>
      <c r="AH1794" s="518"/>
      <c r="AJ1794" s="595"/>
    </row>
    <row r="1795" spans="1:36" hidden="1" x14ac:dyDescent="0.45">
      <c r="A1795" s="518"/>
      <c r="B1795" s="948"/>
      <c r="C1795" s="948"/>
      <c r="D1795" s="948"/>
      <c r="E1795" s="948"/>
      <c r="F1795" s="948"/>
      <c r="G1795" s="948"/>
      <c r="H1795" s="948"/>
      <c r="I1795" s="948"/>
      <c r="J1795" s="948"/>
      <c r="K1795" s="948"/>
      <c r="L1795" s="948"/>
      <c r="M1795" s="945"/>
      <c r="N1795" s="946"/>
      <c r="O1795" s="947"/>
      <c r="P1795" s="945"/>
      <c r="Q1795" s="946"/>
      <c r="R1795" s="947"/>
      <c r="S1795" s="945"/>
      <c r="T1795" s="946"/>
      <c r="U1795" s="947"/>
      <c r="V1795" s="945"/>
      <c r="W1795" s="946"/>
      <c r="X1795" s="947"/>
      <c r="Y1795" s="945"/>
      <c r="Z1795" s="946"/>
      <c r="AA1795" s="947"/>
      <c r="AB1795" s="945"/>
      <c r="AC1795" s="946"/>
      <c r="AD1795" s="947"/>
      <c r="AE1795" s="960">
        <f t="shared" si="39"/>
        <v>0</v>
      </c>
      <c r="AF1795" s="961"/>
      <c r="AG1795" s="962"/>
      <c r="AH1795" s="518"/>
      <c r="AJ1795" s="595"/>
    </row>
    <row r="1796" spans="1:36" hidden="1" x14ac:dyDescent="0.45">
      <c r="A1796" s="518"/>
      <c r="B1796" s="948"/>
      <c r="C1796" s="948"/>
      <c r="D1796" s="948"/>
      <c r="E1796" s="948"/>
      <c r="F1796" s="948"/>
      <c r="G1796" s="948"/>
      <c r="H1796" s="948"/>
      <c r="I1796" s="948"/>
      <c r="J1796" s="948"/>
      <c r="K1796" s="948"/>
      <c r="L1796" s="948"/>
      <c r="M1796" s="945"/>
      <c r="N1796" s="946"/>
      <c r="O1796" s="947"/>
      <c r="P1796" s="945"/>
      <c r="Q1796" s="946"/>
      <c r="R1796" s="947"/>
      <c r="S1796" s="945"/>
      <c r="T1796" s="946"/>
      <c r="U1796" s="947"/>
      <c r="V1796" s="945"/>
      <c r="W1796" s="946"/>
      <c r="X1796" s="947"/>
      <c r="Y1796" s="945"/>
      <c r="Z1796" s="946"/>
      <c r="AA1796" s="947"/>
      <c r="AB1796" s="945"/>
      <c r="AC1796" s="946"/>
      <c r="AD1796" s="947"/>
      <c r="AE1796" s="960">
        <f t="shared" si="39"/>
        <v>0</v>
      </c>
      <c r="AF1796" s="961"/>
      <c r="AG1796" s="962"/>
      <c r="AH1796" s="518"/>
      <c r="AJ1796" s="595"/>
    </row>
    <row r="1797" spans="1:36" hidden="1" x14ac:dyDescent="0.45">
      <c r="A1797" s="518"/>
      <c r="B1797" s="989" t="s">
        <v>1577</v>
      </c>
      <c r="C1797" s="989"/>
      <c r="D1797" s="989"/>
      <c r="E1797" s="989"/>
      <c r="F1797" s="989"/>
      <c r="G1797" s="989"/>
      <c r="H1797" s="989"/>
      <c r="I1797" s="989"/>
      <c r="J1797" s="989"/>
      <c r="K1797" s="989"/>
      <c r="L1797" s="989"/>
      <c r="M1797" s="960">
        <f>SUM(M1780:O1796)</f>
        <v>0</v>
      </c>
      <c r="N1797" s="961"/>
      <c r="O1797" s="962"/>
      <c r="P1797" s="960">
        <f>SUM(P1780:R1796)</f>
        <v>0</v>
      </c>
      <c r="Q1797" s="961"/>
      <c r="R1797" s="962"/>
      <c r="S1797" s="960">
        <f>SUM(S1780:U1796)</f>
        <v>0</v>
      </c>
      <c r="T1797" s="961"/>
      <c r="U1797" s="962"/>
      <c r="V1797" s="960">
        <f>SUM(V1780:X1796)</f>
        <v>0</v>
      </c>
      <c r="W1797" s="961"/>
      <c r="X1797" s="962"/>
      <c r="Y1797" s="960">
        <f>SUM(Y1780:AA1796)</f>
        <v>0</v>
      </c>
      <c r="Z1797" s="961"/>
      <c r="AA1797" s="962"/>
      <c r="AB1797" s="960">
        <f>SUM(AB1780:AD1796)</f>
        <v>0</v>
      </c>
      <c r="AC1797" s="961"/>
      <c r="AD1797" s="962"/>
      <c r="AE1797" s="960">
        <f>SUM(M1797:AD1797)</f>
        <v>0</v>
      </c>
      <c r="AF1797" s="961"/>
      <c r="AG1797" s="962"/>
      <c r="AH1797" s="518"/>
      <c r="AJ1797" s="595"/>
    </row>
    <row r="1798" spans="1:36" hidden="1" x14ac:dyDescent="0.45">
      <c r="A1798" s="518"/>
      <c r="B1798" s="517"/>
      <c r="C1798" s="517"/>
      <c r="D1798" s="517"/>
      <c r="E1798" s="517"/>
      <c r="F1798" s="517"/>
      <c r="G1798" s="517"/>
      <c r="H1798" s="517"/>
      <c r="I1798" s="518"/>
      <c r="J1798" s="518"/>
      <c r="K1798" s="518"/>
      <c r="L1798" s="518"/>
      <c r="M1798" s="518"/>
      <c r="N1798" s="518"/>
      <c r="O1798" s="518"/>
      <c r="P1798" s="518"/>
      <c r="Q1798" s="518"/>
      <c r="R1798" s="518"/>
      <c r="S1798" s="518"/>
      <c r="T1798" s="518"/>
      <c r="U1798" s="531"/>
      <c r="V1798" s="531"/>
      <c r="W1798" s="531"/>
      <c r="X1798" s="531"/>
      <c r="Y1798" s="531"/>
      <c r="Z1798" s="531"/>
      <c r="AA1798" s="518"/>
      <c r="AB1798" s="518"/>
      <c r="AC1798" s="518"/>
      <c r="AD1798" s="518"/>
      <c r="AE1798" s="518"/>
      <c r="AF1798" s="518"/>
      <c r="AG1798" s="538"/>
      <c r="AH1798" s="518"/>
      <c r="AJ1798" s="595"/>
    </row>
    <row r="1799" spans="1:36" hidden="1" x14ac:dyDescent="0.45">
      <c r="A1799" s="518"/>
      <c r="B1799" s="518"/>
      <c r="C1799" s="518"/>
      <c r="D1799" s="518"/>
      <c r="E1799" s="518"/>
      <c r="F1799" s="518"/>
      <c r="G1799" s="518"/>
      <c r="H1799" s="518"/>
      <c r="I1799" s="518"/>
      <c r="J1799" s="518"/>
      <c r="K1799" s="518"/>
      <c r="L1799" s="518"/>
      <c r="M1799" s="518"/>
      <c r="N1799" s="518"/>
      <c r="O1799" s="518"/>
      <c r="P1799" s="518"/>
      <c r="Q1799" s="518"/>
      <c r="R1799" s="518"/>
      <c r="S1799" s="518"/>
      <c r="T1799" s="518"/>
      <c r="U1799" s="518"/>
      <c r="V1799" s="518"/>
      <c r="W1799" s="518"/>
      <c r="X1799" s="518"/>
      <c r="Y1799" s="518"/>
      <c r="Z1799" s="518"/>
      <c r="AA1799" s="518"/>
      <c r="AB1799" s="518"/>
      <c r="AC1799" s="518"/>
      <c r="AD1799" s="518"/>
      <c r="AE1799" s="518"/>
      <c r="AF1799" s="518"/>
      <c r="AG1799" s="518"/>
      <c r="AH1799" s="518"/>
      <c r="AJ1799" s="595"/>
    </row>
    <row r="1800" spans="1:36" hidden="1" x14ac:dyDescent="0.45">
      <c r="A1800" s="518"/>
      <c r="B1800" s="907" t="str">
        <f>B$1635</f>
        <v>CalHome Homeownership Project Development Loan</v>
      </c>
      <c r="C1800" s="907"/>
      <c r="D1800" s="907"/>
      <c r="E1800" s="907"/>
      <c r="F1800" s="907"/>
      <c r="G1800" s="907"/>
      <c r="H1800" s="907"/>
      <c r="I1800" s="907"/>
      <c r="J1800" s="907"/>
      <c r="K1800" s="907"/>
      <c r="L1800" s="907"/>
      <c r="M1800" s="907"/>
      <c r="N1800" s="907"/>
      <c r="O1800" s="907"/>
      <c r="P1800" s="907"/>
      <c r="Q1800" s="907"/>
      <c r="R1800" s="907"/>
      <c r="S1800" s="907"/>
      <c r="T1800" s="907"/>
      <c r="U1800" s="907"/>
      <c r="V1800" s="907"/>
      <c r="W1800" s="907"/>
      <c r="X1800" s="907"/>
      <c r="Y1800" s="907"/>
      <c r="Z1800" s="907"/>
      <c r="AA1800" s="907"/>
      <c r="AB1800" s="907"/>
      <c r="AC1800" s="907"/>
      <c r="AD1800" s="907"/>
      <c r="AE1800" s="907"/>
      <c r="AF1800" s="907"/>
      <c r="AG1800" s="907"/>
      <c r="AH1800" s="518"/>
      <c r="AJ1800" s="595"/>
    </row>
    <row r="1801" spans="1:36" hidden="1" x14ac:dyDescent="0.45">
      <c r="A1801" s="518"/>
      <c r="B1801" s="531"/>
      <c r="C1801" s="531"/>
      <c r="D1801" s="531"/>
      <c r="E1801" s="531"/>
      <c r="F1801" s="531"/>
      <c r="G1801" s="531"/>
      <c r="H1801" s="531"/>
      <c r="I1801" s="531"/>
      <c r="J1801" s="531"/>
      <c r="K1801" s="531"/>
      <c r="L1801" s="531"/>
      <c r="M1801" s="531"/>
      <c r="N1801" s="531"/>
      <c r="O1801" s="531"/>
      <c r="P1801" s="531"/>
      <c r="Q1801" s="531"/>
      <c r="R1801" s="531"/>
      <c r="S1801" s="531"/>
      <c r="T1801" s="531"/>
      <c r="U1801" s="531"/>
      <c r="V1801" s="531"/>
      <c r="W1801" s="531"/>
      <c r="X1801" s="531"/>
      <c r="Y1801" s="531"/>
      <c r="Z1801" s="531"/>
      <c r="AA1801" s="531"/>
      <c r="AB1801" s="531"/>
      <c r="AC1801" s="531"/>
      <c r="AD1801" s="522"/>
      <c r="AE1801" s="522"/>
      <c r="AF1801" s="522"/>
      <c r="AG1801" s="522"/>
      <c r="AH1801" s="518"/>
      <c r="AJ1801" s="595"/>
    </row>
    <row r="1802" spans="1:36" hidden="1" x14ac:dyDescent="0.45">
      <c r="A1802" s="518"/>
      <c r="B1802" s="907" t="s">
        <v>1578</v>
      </c>
      <c r="C1802" s="907"/>
      <c r="D1802" s="907"/>
      <c r="E1802" s="907"/>
      <c r="F1802" s="907"/>
      <c r="G1802" s="907"/>
      <c r="H1802" s="907"/>
      <c r="I1802" s="907"/>
      <c r="J1802" s="907"/>
      <c r="K1802" s="907"/>
      <c r="L1802" s="907"/>
      <c r="M1802" s="907"/>
      <c r="N1802" s="907"/>
      <c r="O1802" s="907"/>
      <c r="P1802" s="907"/>
      <c r="Q1802" s="907"/>
      <c r="R1802" s="907"/>
      <c r="S1802" s="907"/>
      <c r="T1802" s="907"/>
      <c r="U1802" s="907"/>
      <c r="V1802" s="907"/>
      <c r="W1802" s="907"/>
      <c r="X1802" s="907"/>
      <c r="Y1802" s="907"/>
      <c r="Z1802" s="907"/>
      <c r="AA1802" s="907"/>
      <c r="AB1802" s="907"/>
      <c r="AC1802" s="907"/>
      <c r="AD1802" s="907"/>
      <c r="AE1802" s="907"/>
      <c r="AF1802" s="907"/>
      <c r="AG1802" s="907"/>
      <c r="AH1802" s="518"/>
      <c r="AJ1802" s="595"/>
    </row>
    <row r="1803" spans="1:36" hidden="1" x14ac:dyDescent="0.45">
      <c r="A1803" s="518"/>
      <c r="B1803" s="996" t="s">
        <v>1555</v>
      </c>
      <c r="C1803" s="997"/>
      <c r="D1803" s="997"/>
      <c r="E1803" s="998"/>
      <c r="F1803" s="996" t="s">
        <v>1556</v>
      </c>
      <c r="G1803" s="997"/>
      <c r="H1803" s="998"/>
      <c r="I1803" s="1023" t="s">
        <v>1561</v>
      </c>
      <c r="J1803" s="1024"/>
      <c r="K1803" s="1024"/>
      <c r="L1803" s="1024"/>
      <c r="M1803" s="1024"/>
      <c r="N1803" s="1024"/>
      <c r="O1803" s="1024"/>
      <c r="P1803" s="1024"/>
      <c r="Q1803" s="1024"/>
      <c r="R1803" s="1024"/>
      <c r="S1803" s="1025"/>
      <c r="T1803" s="996" t="s">
        <v>1560</v>
      </c>
      <c r="U1803" s="997"/>
      <c r="V1803" s="997"/>
      <c r="W1803" s="998"/>
      <c r="X1803" s="1023" t="s">
        <v>1559</v>
      </c>
      <c r="Y1803" s="998"/>
      <c r="Z1803" s="1014" t="s">
        <v>1558</v>
      </c>
      <c r="AA1803" s="1015"/>
      <c r="AB1803" s="1015"/>
      <c r="AC1803" s="1016"/>
      <c r="AD1803" s="1023" t="s">
        <v>1557</v>
      </c>
      <c r="AE1803" s="1024"/>
      <c r="AF1803" s="1024"/>
      <c r="AG1803" s="1025"/>
      <c r="AH1803" s="518"/>
      <c r="AJ1803" s="595"/>
    </row>
    <row r="1804" spans="1:36" hidden="1" x14ac:dyDescent="0.45">
      <c r="A1804" s="518"/>
      <c r="B1804" s="1002"/>
      <c r="C1804" s="1003"/>
      <c r="D1804" s="1003"/>
      <c r="E1804" s="1004"/>
      <c r="F1804" s="1002"/>
      <c r="G1804" s="1003"/>
      <c r="H1804" s="1004"/>
      <c r="I1804" s="1029"/>
      <c r="J1804" s="1030"/>
      <c r="K1804" s="1030"/>
      <c r="L1804" s="1030"/>
      <c r="M1804" s="1030"/>
      <c r="N1804" s="1030"/>
      <c r="O1804" s="1030"/>
      <c r="P1804" s="1030"/>
      <c r="Q1804" s="1030"/>
      <c r="R1804" s="1030"/>
      <c r="S1804" s="1031"/>
      <c r="T1804" s="1002"/>
      <c r="U1804" s="1003"/>
      <c r="V1804" s="1003"/>
      <c r="W1804" s="1004"/>
      <c r="X1804" s="1002"/>
      <c r="Y1804" s="1004"/>
      <c r="Z1804" s="1020"/>
      <c r="AA1804" s="1021"/>
      <c r="AB1804" s="1021"/>
      <c r="AC1804" s="1022"/>
      <c r="AD1804" s="1029"/>
      <c r="AE1804" s="1030"/>
      <c r="AF1804" s="1030"/>
      <c r="AG1804" s="1031"/>
      <c r="AH1804" s="518"/>
      <c r="AJ1804" s="595"/>
    </row>
    <row r="1805" spans="1:36" hidden="1" x14ac:dyDescent="0.45">
      <c r="A1805" s="518"/>
      <c r="B1805" s="949"/>
      <c r="C1805" s="950"/>
      <c r="D1805" s="950"/>
      <c r="E1805" s="951"/>
      <c r="F1805" s="949"/>
      <c r="G1805" s="950"/>
      <c r="H1805" s="951"/>
      <c r="I1805" s="1063" t="s">
        <v>1595</v>
      </c>
      <c r="J1805" s="1064"/>
      <c r="K1805" s="1064"/>
      <c r="L1805" s="1064"/>
      <c r="M1805" s="1064"/>
      <c r="N1805" s="1064"/>
      <c r="O1805" s="1064"/>
      <c r="P1805" s="1064"/>
      <c r="Q1805" s="1064"/>
      <c r="R1805" s="1064"/>
      <c r="S1805" s="1065"/>
      <c r="T1805" s="952"/>
      <c r="U1805" s="953"/>
      <c r="V1805" s="953"/>
      <c r="W1805" s="954"/>
      <c r="X1805" s="1338"/>
      <c r="Y1805" s="1339"/>
      <c r="Z1805" s="949"/>
      <c r="AA1805" s="950"/>
      <c r="AB1805" s="950"/>
      <c r="AC1805" s="951"/>
      <c r="AD1805" s="949"/>
      <c r="AE1805" s="950"/>
      <c r="AF1805" s="950"/>
      <c r="AG1805" s="951"/>
      <c r="AH1805" s="518"/>
      <c r="AJ1805" s="595"/>
    </row>
    <row r="1806" spans="1:36" hidden="1" x14ac:dyDescent="0.45">
      <c r="A1806" s="518"/>
      <c r="B1806" s="949"/>
      <c r="C1806" s="950"/>
      <c r="D1806" s="950"/>
      <c r="E1806" s="951"/>
      <c r="F1806" s="949"/>
      <c r="G1806" s="950"/>
      <c r="H1806" s="951"/>
      <c r="I1806" s="949"/>
      <c r="J1806" s="950"/>
      <c r="K1806" s="950"/>
      <c r="L1806" s="950"/>
      <c r="M1806" s="950"/>
      <c r="N1806" s="950"/>
      <c r="O1806" s="950"/>
      <c r="P1806" s="950"/>
      <c r="Q1806" s="950"/>
      <c r="R1806" s="950"/>
      <c r="S1806" s="951"/>
      <c r="T1806" s="952"/>
      <c r="U1806" s="953"/>
      <c r="V1806" s="953"/>
      <c r="W1806" s="954"/>
      <c r="X1806" s="1338"/>
      <c r="Y1806" s="1339"/>
      <c r="Z1806" s="949"/>
      <c r="AA1806" s="950"/>
      <c r="AB1806" s="950"/>
      <c r="AC1806" s="951"/>
      <c r="AD1806" s="949"/>
      <c r="AE1806" s="950"/>
      <c r="AF1806" s="950"/>
      <c r="AG1806" s="951"/>
      <c r="AH1806" s="518"/>
      <c r="AJ1806" s="595"/>
    </row>
    <row r="1807" spans="1:36" hidden="1" x14ac:dyDescent="0.45">
      <c r="A1807" s="518"/>
      <c r="B1807" s="949"/>
      <c r="C1807" s="950"/>
      <c r="D1807" s="950"/>
      <c r="E1807" s="951"/>
      <c r="F1807" s="949"/>
      <c r="G1807" s="950"/>
      <c r="H1807" s="951"/>
      <c r="I1807" s="949"/>
      <c r="J1807" s="950"/>
      <c r="K1807" s="950"/>
      <c r="L1807" s="950"/>
      <c r="M1807" s="950"/>
      <c r="N1807" s="950"/>
      <c r="O1807" s="950"/>
      <c r="P1807" s="950"/>
      <c r="Q1807" s="950"/>
      <c r="R1807" s="950"/>
      <c r="S1807" s="951"/>
      <c r="T1807" s="952"/>
      <c r="U1807" s="953"/>
      <c r="V1807" s="953"/>
      <c r="W1807" s="954"/>
      <c r="X1807" s="1338"/>
      <c r="Y1807" s="1339"/>
      <c r="Z1807" s="949"/>
      <c r="AA1807" s="950"/>
      <c r="AB1807" s="950"/>
      <c r="AC1807" s="951"/>
      <c r="AD1807" s="949"/>
      <c r="AE1807" s="950"/>
      <c r="AF1807" s="950"/>
      <c r="AG1807" s="951"/>
      <c r="AH1807" s="518"/>
      <c r="AJ1807" s="595"/>
    </row>
    <row r="1808" spans="1:36" hidden="1" x14ac:dyDescent="0.45">
      <c r="A1808" s="518"/>
      <c r="B1808" s="949"/>
      <c r="C1808" s="950"/>
      <c r="D1808" s="950"/>
      <c r="E1808" s="951"/>
      <c r="F1808" s="949"/>
      <c r="G1808" s="950"/>
      <c r="H1808" s="951"/>
      <c r="I1808" s="949"/>
      <c r="J1808" s="950"/>
      <c r="K1808" s="950"/>
      <c r="L1808" s="950"/>
      <c r="M1808" s="950"/>
      <c r="N1808" s="950"/>
      <c r="O1808" s="950"/>
      <c r="P1808" s="950"/>
      <c r="Q1808" s="950"/>
      <c r="R1808" s="950"/>
      <c r="S1808" s="951"/>
      <c r="T1808" s="952"/>
      <c r="U1808" s="953"/>
      <c r="V1808" s="953"/>
      <c r="W1808" s="954"/>
      <c r="X1808" s="1338"/>
      <c r="Y1808" s="1339"/>
      <c r="Z1808" s="949"/>
      <c r="AA1808" s="950"/>
      <c r="AB1808" s="950"/>
      <c r="AC1808" s="951"/>
      <c r="AD1808" s="949"/>
      <c r="AE1808" s="950"/>
      <c r="AF1808" s="950"/>
      <c r="AG1808" s="951"/>
      <c r="AH1808" s="518"/>
      <c r="AJ1808" s="595"/>
    </row>
    <row r="1809" spans="1:36" hidden="1" x14ac:dyDescent="0.45">
      <c r="A1809" s="518"/>
      <c r="B1809" s="949"/>
      <c r="C1809" s="950"/>
      <c r="D1809" s="950"/>
      <c r="E1809" s="951"/>
      <c r="F1809" s="949"/>
      <c r="G1809" s="950"/>
      <c r="H1809" s="951"/>
      <c r="I1809" s="949"/>
      <c r="J1809" s="950"/>
      <c r="K1809" s="950"/>
      <c r="L1809" s="950"/>
      <c r="M1809" s="950"/>
      <c r="N1809" s="950"/>
      <c r="O1809" s="950"/>
      <c r="P1809" s="950"/>
      <c r="Q1809" s="950"/>
      <c r="R1809" s="950"/>
      <c r="S1809" s="951"/>
      <c r="T1809" s="952"/>
      <c r="U1809" s="953"/>
      <c r="V1809" s="953"/>
      <c r="W1809" s="954"/>
      <c r="X1809" s="1338"/>
      <c r="Y1809" s="1339"/>
      <c r="Z1809" s="949"/>
      <c r="AA1809" s="950"/>
      <c r="AB1809" s="950"/>
      <c r="AC1809" s="951"/>
      <c r="AD1809" s="949"/>
      <c r="AE1809" s="950"/>
      <c r="AF1809" s="950"/>
      <c r="AG1809" s="951"/>
      <c r="AH1809" s="518"/>
      <c r="AJ1809" s="595"/>
    </row>
    <row r="1810" spans="1:36" hidden="1" x14ac:dyDescent="0.45">
      <c r="A1810" s="518"/>
      <c r="B1810" s="949"/>
      <c r="C1810" s="950"/>
      <c r="D1810" s="950"/>
      <c r="E1810" s="951"/>
      <c r="F1810" s="949"/>
      <c r="G1810" s="950"/>
      <c r="H1810" s="951"/>
      <c r="I1810" s="949"/>
      <c r="J1810" s="950"/>
      <c r="K1810" s="950"/>
      <c r="L1810" s="950"/>
      <c r="M1810" s="950"/>
      <c r="N1810" s="950"/>
      <c r="O1810" s="950"/>
      <c r="P1810" s="950"/>
      <c r="Q1810" s="950"/>
      <c r="R1810" s="950"/>
      <c r="S1810" s="951"/>
      <c r="T1810" s="952"/>
      <c r="U1810" s="953"/>
      <c r="V1810" s="953"/>
      <c r="W1810" s="954"/>
      <c r="X1810" s="1338"/>
      <c r="Y1810" s="1339"/>
      <c r="Z1810" s="949"/>
      <c r="AA1810" s="950"/>
      <c r="AB1810" s="950"/>
      <c r="AC1810" s="951"/>
      <c r="AD1810" s="949"/>
      <c r="AE1810" s="950"/>
      <c r="AF1810" s="950"/>
      <c r="AG1810" s="951"/>
      <c r="AH1810" s="518"/>
      <c r="AJ1810" s="595"/>
    </row>
    <row r="1811" spans="1:36" hidden="1" x14ac:dyDescent="0.45">
      <c r="A1811" s="518"/>
      <c r="B1811" s="518"/>
      <c r="C1811" s="531"/>
      <c r="D1811" s="531"/>
      <c r="E1811" s="531"/>
      <c r="F1811" s="531"/>
      <c r="G1811" s="531"/>
      <c r="H1811" s="531"/>
      <c r="I1811" s="531"/>
      <c r="J1811" s="531"/>
      <c r="K1811" s="531"/>
      <c r="L1811" s="531"/>
      <c r="M1811" s="531"/>
      <c r="N1811" s="531"/>
      <c r="O1811" s="531"/>
      <c r="P1811" s="531"/>
      <c r="Q1811" s="531"/>
      <c r="R1811" s="531"/>
      <c r="S1811" s="531"/>
      <c r="T1811" s="531"/>
      <c r="U1811" s="531"/>
      <c r="V1811" s="531"/>
      <c r="W1811" s="531"/>
      <c r="X1811" s="531"/>
      <c r="Y1811" s="531"/>
      <c r="Z1811" s="531"/>
      <c r="AA1811" s="531"/>
      <c r="AB1811" s="531"/>
      <c r="AC1811" s="531"/>
      <c r="AD1811" s="538"/>
      <c r="AE1811" s="538"/>
      <c r="AF1811" s="518"/>
      <c r="AG1811" s="518"/>
      <c r="AH1811" s="518"/>
      <c r="AJ1811" s="595"/>
    </row>
    <row r="1812" spans="1:36" hidden="1" x14ac:dyDescent="0.45">
      <c r="A1812" s="518"/>
      <c r="B1812" s="996" t="s">
        <v>1562</v>
      </c>
      <c r="C1812" s="997"/>
      <c r="D1812" s="997"/>
      <c r="E1812" s="997"/>
      <c r="F1812" s="997"/>
      <c r="G1812" s="997"/>
      <c r="H1812" s="997"/>
      <c r="I1812" s="997"/>
      <c r="J1812" s="997"/>
      <c r="K1812" s="997"/>
      <c r="L1812" s="998"/>
      <c r="M1812" s="1277" t="str">
        <f>IF(I1805=0,"",I1805)</f>
        <v>Calhome</v>
      </c>
      <c r="N1812" s="1278"/>
      <c r="O1812" s="1279"/>
      <c r="P1812" s="1286" t="str">
        <f>IF(I1806=0,"",I1806)</f>
        <v/>
      </c>
      <c r="Q1812" s="1287"/>
      <c r="R1812" s="1288"/>
      <c r="S1812" s="1286" t="str">
        <f>IF(I1807=0,"",I1807)</f>
        <v/>
      </c>
      <c r="T1812" s="1287"/>
      <c r="U1812" s="1288"/>
      <c r="V1812" s="1286" t="str">
        <f>IF(I1808=0,"",I1808)</f>
        <v/>
      </c>
      <c r="W1812" s="1287"/>
      <c r="X1812" s="1288"/>
      <c r="Y1812" s="1286" t="str">
        <f>IF(I1809=0,"",I1809)</f>
        <v/>
      </c>
      <c r="Z1812" s="1287"/>
      <c r="AA1812" s="1288"/>
      <c r="AB1812" s="1286" t="str">
        <f>IF(I1810=0,"",I1810)</f>
        <v/>
      </c>
      <c r="AC1812" s="1287"/>
      <c r="AD1812" s="1288"/>
      <c r="AE1812" s="1023" t="s">
        <v>1577</v>
      </c>
      <c r="AF1812" s="1024"/>
      <c r="AG1812" s="1025"/>
      <c r="AH1812" s="518"/>
      <c r="AJ1812" s="595"/>
    </row>
    <row r="1813" spans="1:36" hidden="1" x14ac:dyDescent="0.45">
      <c r="A1813" s="518"/>
      <c r="B1813" s="999"/>
      <c r="C1813" s="1000"/>
      <c r="D1813" s="1000"/>
      <c r="E1813" s="1000"/>
      <c r="F1813" s="1000"/>
      <c r="G1813" s="1000"/>
      <c r="H1813" s="1000"/>
      <c r="I1813" s="1000"/>
      <c r="J1813" s="1000"/>
      <c r="K1813" s="1000"/>
      <c r="L1813" s="1001"/>
      <c r="M1813" s="1280"/>
      <c r="N1813" s="1281"/>
      <c r="O1813" s="1282"/>
      <c r="P1813" s="1289"/>
      <c r="Q1813" s="1290"/>
      <c r="R1813" s="1291"/>
      <c r="S1813" s="1289"/>
      <c r="T1813" s="1290"/>
      <c r="U1813" s="1291"/>
      <c r="V1813" s="1289"/>
      <c r="W1813" s="1290"/>
      <c r="X1813" s="1291"/>
      <c r="Y1813" s="1289"/>
      <c r="Z1813" s="1290"/>
      <c r="AA1813" s="1291"/>
      <c r="AB1813" s="1289"/>
      <c r="AC1813" s="1290"/>
      <c r="AD1813" s="1291"/>
      <c r="AE1813" s="1026"/>
      <c r="AF1813" s="1027"/>
      <c r="AG1813" s="1028"/>
      <c r="AH1813" s="518"/>
      <c r="AJ1813" s="595"/>
    </row>
    <row r="1814" spans="1:36" hidden="1" x14ac:dyDescent="0.45">
      <c r="A1814" s="518"/>
      <c r="B1814" s="1002"/>
      <c r="C1814" s="1003"/>
      <c r="D1814" s="1003"/>
      <c r="E1814" s="1003"/>
      <c r="F1814" s="1003"/>
      <c r="G1814" s="1003"/>
      <c r="H1814" s="1003"/>
      <c r="I1814" s="1003"/>
      <c r="J1814" s="1003"/>
      <c r="K1814" s="1003"/>
      <c r="L1814" s="1004"/>
      <c r="M1814" s="1283"/>
      <c r="N1814" s="1284"/>
      <c r="O1814" s="1285"/>
      <c r="P1814" s="1292"/>
      <c r="Q1814" s="1293"/>
      <c r="R1814" s="1294"/>
      <c r="S1814" s="1292"/>
      <c r="T1814" s="1293"/>
      <c r="U1814" s="1294"/>
      <c r="V1814" s="1292"/>
      <c r="W1814" s="1293"/>
      <c r="X1814" s="1294"/>
      <c r="Y1814" s="1292"/>
      <c r="Z1814" s="1293"/>
      <c r="AA1814" s="1294"/>
      <c r="AB1814" s="1292"/>
      <c r="AC1814" s="1293"/>
      <c r="AD1814" s="1294"/>
      <c r="AE1814" s="1029"/>
      <c r="AF1814" s="1030"/>
      <c r="AG1814" s="1031"/>
      <c r="AH1814" s="518"/>
      <c r="AJ1814" s="595"/>
    </row>
    <row r="1815" spans="1:36" hidden="1" x14ac:dyDescent="0.45">
      <c r="A1815" s="518"/>
      <c r="B1815" s="944" t="s">
        <v>1563</v>
      </c>
      <c r="C1815" s="944"/>
      <c r="D1815" s="944"/>
      <c r="E1815" s="944"/>
      <c r="F1815" s="944"/>
      <c r="G1815" s="944"/>
      <c r="H1815" s="944"/>
      <c r="I1815" s="944"/>
      <c r="J1815" s="944"/>
      <c r="K1815" s="944"/>
      <c r="L1815" s="944"/>
      <c r="M1815" s="945"/>
      <c r="N1815" s="946"/>
      <c r="O1815" s="947"/>
      <c r="P1815" s="945"/>
      <c r="Q1815" s="946"/>
      <c r="R1815" s="947"/>
      <c r="S1815" s="945"/>
      <c r="T1815" s="946"/>
      <c r="U1815" s="947"/>
      <c r="V1815" s="945"/>
      <c r="W1815" s="946"/>
      <c r="X1815" s="947"/>
      <c r="Y1815" s="945"/>
      <c r="Z1815" s="946"/>
      <c r="AA1815" s="947"/>
      <c r="AB1815" s="945"/>
      <c r="AC1815" s="946"/>
      <c r="AD1815" s="947"/>
      <c r="AE1815" s="960">
        <f>SUM(M1815:AD1815)</f>
        <v>0</v>
      </c>
      <c r="AF1815" s="961"/>
      <c r="AG1815" s="962"/>
      <c r="AJ1815" s="595"/>
    </row>
    <row r="1816" spans="1:36" hidden="1" x14ac:dyDescent="0.45">
      <c r="A1816" s="518"/>
      <c r="B1816" s="944" t="s">
        <v>1564</v>
      </c>
      <c r="C1816" s="944"/>
      <c r="D1816" s="944"/>
      <c r="E1816" s="944"/>
      <c r="F1816" s="944"/>
      <c r="G1816" s="944"/>
      <c r="H1816" s="944"/>
      <c r="I1816" s="944"/>
      <c r="J1816" s="944"/>
      <c r="K1816" s="944"/>
      <c r="L1816" s="944"/>
      <c r="M1816" s="945"/>
      <c r="N1816" s="946"/>
      <c r="O1816" s="947"/>
      <c r="P1816" s="945"/>
      <c r="Q1816" s="946"/>
      <c r="R1816" s="947"/>
      <c r="S1816" s="945"/>
      <c r="T1816" s="946"/>
      <c r="U1816" s="947"/>
      <c r="V1816" s="945"/>
      <c r="W1816" s="946"/>
      <c r="X1816" s="947"/>
      <c r="Y1816" s="945"/>
      <c r="Z1816" s="946"/>
      <c r="AA1816" s="947"/>
      <c r="AB1816" s="945"/>
      <c r="AC1816" s="946"/>
      <c r="AD1816" s="947"/>
      <c r="AE1816" s="960">
        <f t="shared" ref="AE1816:AE1832" si="40">SUM(M1816:AD1816)</f>
        <v>0</v>
      </c>
      <c r="AF1816" s="961"/>
      <c r="AG1816" s="962"/>
      <c r="AH1816" s="518"/>
      <c r="AJ1816" s="595"/>
    </row>
    <row r="1817" spans="1:36" hidden="1" x14ac:dyDescent="0.45">
      <c r="A1817" s="518"/>
      <c r="B1817" s="944" t="s">
        <v>1565</v>
      </c>
      <c r="C1817" s="944"/>
      <c r="D1817" s="944"/>
      <c r="E1817" s="944"/>
      <c r="F1817" s="944"/>
      <c r="G1817" s="944"/>
      <c r="H1817" s="944"/>
      <c r="I1817" s="944"/>
      <c r="J1817" s="944"/>
      <c r="K1817" s="944"/>
      <c r="L1817" s="944"/>
      <c r="M1817" s="945"/>
      <c r="N1817" s="946"/>
      <c r="O1817" s="947"/>
      <c r="P1817" s="945"/>
      <c r="Q1817" s="946"/>
      <c r="R1817" s="947"/>
      <c r="S1817" s="945"/>
      <c r="T1817" s="946"/>
      <c r="U1817" s="947"/>
      <c r="V1817" s="945"/>
      <c r="W1817" s="946"/>
      <c r="X1817" s="947"/>
      <c r="Y1817" s="945"/>
      <c r="Z1817" s="946"/>
      <c r="AA1817" s="947"/>
      <c r="AB1817" s="945"/>
      <c r="AC1817" s="946"/>
      <c r="AD1817" s="947"/>
      <c r="AE1817" s="960">
        <f t="shared" si="40"/>
        <v>0</v>
      </c>
      <c r="AF1817" s="961"/>
      <c r="AG1817" s="962"/>
      <c r="AH1817" s="518"/>
      <c r="AJ1817" s="595"/>
    </row>
    <row r="1818" spans="1:36" hidden="1" x14ac:dyDescent="0.45">
      <c r="A1818" s="518"/>
      <c r="B1818" s="944" t="s">
        <v>1566</v>
      </c>
      <c r="C1818" s="944"/>
      <c r="D1818" s="944"/>
      <c r="E1818" s="944"/>
      <c r="F1818" s="944"/>
      <c r="G1818" s="944"/>
      <c r="H1818" s="944"/>
      <c r="I1818" s="944"/>
      <c r="J1818" s="944"/>
      <c r="K1818" s="944"/>
      <c r="L1818" s="944"/>
      <c r="M1818" s="945"/>
      <c r="N1818" s="946"/>
      <c r="O1818" s="947"/>
      <c r="P1818" s="945"/>
      <c r="Q1818" s="946"/>
      <c r="R1818" s="947"/>
      <c r="S1818" s="945"/>
      <c r="T1818" s="946"/>
      <c r="U1818" s="947"/>
      <c r="V1818" s="945"/>
      <c r="W1818" s="946"/>
      <c r="X1818" s="947"/>
      <c r="Y1818" s="945"/>
      <c r="Z1818" s="946"/>
      <c r="AA1818" s="947"/>
      <c r="AB1818" s="945"/>
      <c r="AC1818" s="946"/>
      <c r="AD1818" s="947"/>
      <c r="AE1818" s="960">
        <f t="shared" si="40"/>
        <v>0</v>
      </c>
      <c r="AF1818" s="961"/>
      <c r="AG1818" s="962"/>
      <c r="AH1818" s="518"/>
      <c r="AJ1818" s="595"/>
    </row>
    <row r="1819" spans="1:36" hidden="1" x14ac:dyDescent="0.45">
      <c r="A1819" s="518"/>
      <c r="B1819" s="944" t="s">
        <v>1567</v>
      </c>
      <c r="C1819" s="944"/>
      <c r="D1819" s="944"/>
      <c r="E1819" s="944"/>
      <c r="F1819" s="944"/>
      <c r="G1819" s="944"/>
      <c r="H1819" s="944"/>
      <c r="I1819" s="944"/>
      <c r="J1819" s="944"/>
      <c r="K1819" s="944"/>
      <c r="L1819" s="944"/>
      <c r="M1819" s="945"/>
      <c r="N1819" s="946"/>
      <c r="O1819" s="947"/>
      <c r="P1819" s="945"/>
      <c r="Q1819" s="946"/>
      <c r="R1819" s="947"/>
      <c r="S1819" s="945"/>
      <c r="T1819" s="946"/>
      <c r="U1819" s="947"/>
      <c r="V1819" s="945"/>
      <c r="W1819" s="946"/>
      <c r="X1819" s="947"/>
      <c r="Y1819" s="945"/>
      <c r="Z1819" s="946"/>
      <c r="AA1819" s="947"/>
      <c r="AB1819" s="945"/>
      <c r="AC1819" s="946"/>
      <c r="AD1819" s="947"/>
      <c r="AE1819" s="960">
        <f t="shared" si="40"/>
        <v>0</v>
      </c>
      <c r="AF1819" s="961"/>
      <c r="AG1819" s="962"/>
      <c r="AH1819" s="518"/>
      <c r="AJ1819" s="595"/>
    </row>
    <row r="1820" spans="1:36" hidden="1" x14ac:dyDescent="0.45">
      <c r="A1820" s="518"/>
      <c r="B1820" s="944" t="s">
        <v>1568</v>
      </c>
      <c r="C1820" s="944"/>
      <c r="D1820" s="944"/>
      <c r="E1820" s="944"/>
      <c r="F1820" s="944"/>
      <c r="G1820" s="944"/>
      <c r="H1820" s="944"/>
      <c r="I1820" s="944"/>
      <c r="J1820" s="944"/>
      <c r="K1820" s="944"/>
      <c r="L1820" s="944"/>
      <c r="M1820" s="945"/>
      <c r="N1820" s="946"/>
      <c r="O1820" s="947"/>
      <c r="P1820" s="945"/>
      <c r="Q1820" s="946"/>
      <c r="R1820" s="947"/>
      <c r="S1820" s="945"/>
      <c r="T1820" s="946"/>
      <c r="U1820" s="947"/>
      <c r="V1820" s="945"/>
      <c r="W1820" s="946"/>
      <c r="X1820" s="947"/>
      <c r="Y1820" s="945"/>
      <c r="Z1820" s="946"/>
      <c r="AA1820" s="947"/>
      <c r="AB1820" s="945"/>
      <c r="AC1820" s="946"/>
      <c r="AD1820" s="947"/>
      <c r="AE1820" s="960">
        <f>SUM(M1820:AD1820)</f>
        <v>0</v>
      </c>
      <c r="AF1820" s="961"/>
      <c r="AG1820" s="962"/>
      <c r="AH1820" s="518"/>
      <c r="AJ1820" s="595"/>
    </row>
    <row r="1821" spans="1:36" hidden="1" x14ac:dyDescent="0.45">
      <c r="A1821" s="518"/>
      <c r="B1821" s="944" t="s">
        <v>1569</v>
      </c>
      <c r="C1821" s="944"/>
      <c r="D1821" s="944"/>
      <c r="E1821" s="944"/>
      <c r="F1821" s="944"/>
      <c r="G1821" s="944"/>
      <c r="H1821" s="944"/>
      <c r="I1821" s="944"/>
      <c r="J1821" s="944"/>
      <c r="K1821" s="944"/>
      <c r="L1821" s="944"/>
      <c r="M1821" s="945"/>
      <c r="N1821" s="946"/>
      <c r="O1821" s="947"/>
      <c r="P1821" s="945"/>
      <c r="Q1821" s="946"/>
      <c r="R1821" s="947"/>
      <c r="S1821" s="945"/>
      <c r="T1821" s="946"/>
      <c r="U1821" s="947"/>
      <c r="V1821" s="945"/>
      <c r="W1821" s="946"/>
      <c r="X1821" s="947"/>
      <c r="Y1821" s="945"/>
      <c r="Z1821" s="946"/>
      <c r="AA1821" s="947"/>
      <c r="AB1821" s="945"/>
      <c r="AC1821" s="946"/>
      <c r="AD1821" s="947"/>
      <c r="AE1821" s="960">
        <f>SUM(M1821:AD1821)</f>
        <v>0</v>
      </c>
      <c r="AF1821" s="961"/>
      <c r="AG1821" s="962"/>
      <c r="AH1821" s="518"/>
      <c r="AJ1821" s="595"/>
    </row>
    <row r="1822" spans="1:36" hidden="1" x14ac:dyDescent="0.45">
      <c r="A1822" s="518"/>
      <c r="B1822" s="944" t="s">
        <v>1570</v>
      </c>
      <c r="C1822" s="944"/>
      <c r="D1822" s="944"/>
      <c r="E1822" s="944"/>
      <c r="F1822" s="944"/>
      <c r="G1822" s="944"/>
      <c r="H1822" s="944"/>
      <c r="I1822" s="944"/>
      <c r="J1822" s="944"/>
      <c r="K1822" s="944"/>
      <c r="L1822" s="944"/>
      <c r="M1822" s="945"/>
      <c r="N1822" s="946"/>
      <c r="O1822" s="947"/>
      <c r="P1822" s="945"/>
      <c r="Q1822" s="946"/>
      <c r="R1822" s="947"/>
      <c r="S1822" s="945"/>
      <c r="T1822" s="946"/>
      <c r="U1822" s="947"/>
      <c r="V1822" s="945"/>
      <c r="W1822" s="946"/>
      <c r="X1822" s="947"/>
      <c r="Y1822" s="945"/>
      <c r="Z1822" s="946"/>
      <c r="AA1822" s="947"/>
      <c r="AB1822" s="945"/>
      <c r="AC1822" s="946"/>
      <c r="AD1822" s="947"/>
      <c r="AE1822" s="960">
        <f t="shared" si="40"/>
        <v>0</v>
      </c>
      <c r="AF1822" s="961"/>
      <c r="AG1822" s="962"/>
      <c r="AH1822" s="518"/>
      <c r="AJ1822" s="595"/>
    </row>
    <row r="1823" spans="1:36" hidden="1" x14ac:dyDescent="0.45">
      <c r="A1823" s="518"/>
      <c r="B1823" s="944" t="s">
        <v>1571</v>
      </c>
      <c r="C1823" s="944"/>
      <c r="D1823" s="944"/>
      <c r="E1823" s="944"/>
      <c r="F1823" s="944"/>
      <c r="G1823" s="944"/>
      <c r="H1823" s="944"/>
      <c r="I1823" s="944"/>
      <c r="J1823" s="944"/>
      <c r="K1823" s="944"/>
      <c r="L1823" s="944"/>
      <c r="M1823" s="945"/>
      <c r="N1823" s="946"/>
      <c r="O1823" s="947"/>
      <c r="P1823" s="945"/>
      <c r="Q1823" s="946"/>
      <c r="R1823" s="947"/>
      <c r="S1823" s="945"/>
      <c r="T1823" s="946"/>
      <c r="U1823" s="947"/>
      <c r="V1823" s="945"/>
      <c r="W1823" s="946"/>
      <c r="X1823" s="947"/>
      <c r="Y1823" s="945"/>
      <c r="Z1823" s="946"/>
      <c r="AA1823" s="947"/>
      <c r="AB1823" s="945"/>
      <c r="AC1823" s="946"/>
      <c r="AD1823" s="947"/>
      <c r="AE1823" s="960">
        <f t="shared" si="40"/>
        <v>0</v>
      </c>
      <c r="AF1823" s="961"/>
      <c r="AG1823" s="962"/>
      <c r="AH1823" s="518"/>
      <c r="AJ1823" s="595"/>
    </row>
    <row r="1824" spans="1:36" hidden="1" x14ac:dyDescent="0.45">
      <c r="A1824" s="518"/>
      <c r="B1824" s="944" t="s">
        <v>1572</v>
      </c>
      <c r="C1824" s="944"/>
      <c r="D1824" s="944"/>
      <c r="E1824" s="944"/>
      <c r="F1824" s="944"/>
      <c r="G1824" s="944"/>
      <c r="H1824" s="944"/>
      <c r="I1824" s="944"/>
      <c r="J1824" s="944"/>
      <c r="K1824" s="944"/>
      <c r="L1824" s="944"/>
      <c r="M1824" s="945"/>
      <c r="N1824" s="946"/>
      <c r="O1824" s="947"/>
      <c r="P1824" s="945"/>
      <c r="Q1824" s="946"/>
      <c r="R1824" s="947"/>
      <c r="S1824" s="945"/>
      <c r="T1824" s="946"/>
      <c r="U1824" s="947"/>
      <c r="V1824" s="945"/>
      <c r="W1824" s="946"/>
      <c r="X1824" s="947"/>
      <c r="Y1824" s="945"/>
      <c r="Z1824" s="946"/>
      <c r="AA1824" s="947"/>
      <c r="AB1824" s="945"/>
      <c r="AC1824" s="946"/>
      <c r="AD1824" s="947"/>
      <c r="AE1824" s="960">
        <f t="shared" si="40"/>
        <v>0</v>
      </c>
      <c r="AF1824" s="961"/>
      <c r="AG1824" s="962"/>
      <c r="AH1824" s="518"/>
      <c r="AJ1824" s="595"/>
    </row>
    <row r="1825" spans="1:36" hidden="1" x14ac:dyDescent="0.45">
      <c r="A1825" s="518"/>
      <c r="B1825" s="944" t="s">
        <v>1573</v>
      </c>
      <c r="C1825" s="944"/>
      <c r="D1825" s="944"/>
      <c r="E1825" s="944"/>
      <c r="F1825" s="944"/>
      <c r="G1825" s="944"/>
      <c r="H1825" s="944"/>
      <c r="I1825" s="944"/>
      <c r="J1825" s="944"/>
      <c r="K1825" s="944"/>
      <c r="L1825" s="944"/>
      <c r="M1825" s="945"/>
      <c r="N1825" s="946"/>
      <c r="O1825" s="947"/>
      <c r="P1825" s="945"/>
      <c r="Q1825" s="946"/>
      <c r="R1825" s="947"/>
      <c r="S1825" s="945"/>
      <c r="T1825" s="946"/>
      <c r="U1825" s="947"/>
      <c r="V1825" s="945"/>
      <c r="W1825" s="946"/>
      <c r="X1825" s="947"/>
      <c r="Y1825" s="945"/>
      <c r="Z1825" s="946"/>
      <c r="AA1825" s="947"/>
      <c r="AB1825" s="945"/>
      <c r="AC1825" s="946"/>
      <c r="AD1825" s="947"/>
      <c r="AE1825" s="960">
        <f>SUM(M1825:AD1825)</f>
        <v>0</v>
      </c>
      <c r="AF1825" s="961"/>
      <c r="AG1825" s="962"/>
      <c r="AH1825" s="518"/>
      <c r="AJ1825" s="595"/>
    </row>
    <row r="1826" spans="1:36" hidden="1" x14ac:dyDescent="0.45">
      <c r="A1826" s="518"/>
      <c r="B1826" s="944" t="s">
        <v>1574</v>
      </c>
      <c r="C1826" s="944"/>
      <c r="D1826" s="944"/>
      <c r="E1826" s="944"/>
      <c r="F1826" s="944"/>
      <c r="G1826" s="944"/>
      <c r="H1826" s="944"/>
      <c r="I1826" s="944"/>
      <c r="J1826" s="944"/>
      <c r="K1826" s="944"/>
      <c r="L1826" s="944"/>
      <c r="M1826" s="945"/>
      <c r="N1826" s="946"/>
      <c r="O1826" s="947"/>
      <c r="P1826" s="945"/>
      <c r="Q1826" s="946"/>
      <c r="R1826" s="947"/>
      <c r="S1826" s="945"/>
      <c r="T1826" s="946"/>
      <c r="U1826" s="947"/>
      <c r="V1826" s="945"/>
      <c r="W1826" s="946"/>
      <c r="X1826" s="947"/>
      <c r="Y1826" s="945"/>
      <c r="Z1826" s="946"/>
      <c r="AA1826" s="947"/>
      <c r="AB1826" s="945"/>
      <c r="AC1826" s="946"/>
      <c r="AD1826" s="947"/>
      <c r="AE1826" s="960">
        <f t="shared" si="40"/>
        <v>0</v>
      </c>
      <c r="AF1826" s="961"/>
      <c r="AG1826" s="962"/>
      <c r="AH1826" s="518"/>
      <c r="AJ1826" s="595"/>
    </row>
    <row r="1827" spans="1:36" hidden="1" x14ac:dyDescent="0.45">
      <c r="A1827" s="518"/>
      <c r="B1827" s="944" t="s">
        <v>1576</v>
      </c>
      <c r="C1827" s="944"/>
      <c r="D1827" s="944"/>
      <c r="E1827" s="944"/>
      <c r="F1827" s="944"/>
      <c r="G1827" s="944"/>
      <c r="H1827" s="944"/>
      <c r="I1827" s="944"/>
      <c r="J1827" s="944"/>
      <c r="K1827" s="944"/>
      <c r="L1827" s="944"/>
      <c r="M1827" s="945"/>
      <c r="N1827" s="946"/>
      <c r="O1827" s="947"/>
      <c r="P1827" s="945"/>
      <c r="Q1827" s="946"/>
      <c r="R1827" s="947"/>
      <c r="S1827" s="945"/>
      <c r="T1827" s="946"/>
      <c r="U1827" s="947"/>
      <c r="V1827" s="945"/>
      <c r="W1827" s="946"/>
      <c r="X1827" s="947"/>
      <c r="Y1827" s="945"/>
      <c r="Z1827" s="946"/>
      <c r="AA1827" s="947"/>
      <c r="AB1827" s="945"/>
      <c r="AC1827" s="946"/>
      <c r="AD1827" s="947"/>
      <c r="AE1827" s="960">
        <f t="shared" si="40"/>
        <v>0</v>
      </c>
      <c r="AF1827" s="961"/>
      <c r="AG1827" s="962"/>
      <c r="AH1827" s="518"/>
      <c r="AJ1827" s="595"/>
    </row>
    <row r="1828" spans="1:36" hidden="1" x14ac:dyDescent="0.45">
      <c r="A1828" s="518"/>
      <c r="B1828" s="944" t="s">
        <v>1575</v>
      </c>
      <c r="C1828" s="944"/>
      <c r="D1828" s="944"/>
      <c r="E1828" s="944"/>
      <c r="F1828" s="944"/>
      <c r="G1828" s="944"/>
      <c r="H1828" s="944"/>
      <c r="I1828" s="944"/>
      <c r="J1828" s="944"/>
      <c r="K1828" s="944"/>
      <c r="L1828" s="944"/>
      <c r="M1828" s="945"/>
      <c r="N1828" s="946"/>
      <c r="O1828" s="947"/>
      <c r="P1828" s="945"/>
      <c r="Q1828" s="946"/>
      <c r="R1828" s="947"/>
      <c r="S1828" s="945"/>
      <c r="T1828" s="946"/>
      <c r="U1828" s="947"/>
      <c r="V1828" s="945"/>
      <c r="W1828" s="946"/>
      <c r="X1828" s="947"/>
      <c r="Y1828" s="945"/>
      <c r="Z1828" s="946"/>
      <c r="AA1828" s="947"/>
      <c r="AB1828" s="945"/>
      <c r="AC1828" s="946"/>
      <c r="AD1828" s="947"/>
      <c r="AE1828" s="960">
        <f t="shared" si="40"/>
        <v>0</v>
      </c>
      <c r="AF1828" s="961"/>
      <c r="AG1828" s="962"/>
      <c r="AH1828" s="518"/>
      <c r="AJ1828" s="595"/>
    </row>
    <row r="1829" spans="1:36" hidden="1" x14ac:dyDescent="0.45">
      <c r="A1829" s="518"/>
      <c r="B1829" s="948"/>
      <c r="C1829" s="948"/>
      <c r="D1829" s="948"/>
      <c r="E1829" s="948"/>
      <c r="F1829" s="948"/>
      <c r="G1829" s="948"/>
      <c r="H1829" s="948"/>
      <c r="I1829" s="948"/>
      <c r="J1829" s="948"/>
      <c r="K1829" s="948"/>
      <c r="L1829" s="948"/>
      <c r="M1829" s="945"/>
      <c r="N1829" s="946"/>
      <c r="O1829" s="947"/>
      <c r="P1829" s="945"/>
      <c r="Q1829" s="946"/>
      <c r="R1829" s="947"/>
      <c r="S1829" s="945"/>
      <c r="T1829" s="946"/>
      <c r="U1829" s="947"/>
      <c r="V1829" s="945"/>
      <c r="W1829" s="946"/>
      <c r="X1829" s="947"/>
      <c r="Y1829" s="945"/>
      <c r="Z1829" s="946"/>
      <c r="AA1829" s="947"/>
      <c r="AB1829" s="945"/>
      <c r="AC1829" s="946"/>
      <c r="AD1829" s="947"/>
      <c r="AE1829" s="960">
        <f t="shared" si="40"/>
        <v>0</v>
      </c>
      <c r="AF1829" s="961"/>
      <c r="AG1829" s="962"/>
      <c r="AH1829" s="518"/>
      <c r="AJ1829" s="595"/>
    </row>
    <row r="1830" spans="1:36" hidden="1" x14ac:dyDescent="0.45">
      <c r="A1830" s="518"/>
      <c r="B1830" s="948"/>
      <c r="C1830" s="948"/>
      <c r="D1830" s="948"/>
      <c r="E1830" s="948"/>
      <c r="F1830" s="948"/>
      <c r="G1830" s="948"/>
      <c r="H1830" s="948"/>
      <c r="I1830" s="948"/>
      <c r="J1830" s="948"/>
      <c r="K1830" s="948"/>
      <c r="L1830" s="948"/>
      <c r="M1830" s="945"/>
      <c r="N1830" s="946"/>
      <c r="O1830" s="947"/>
      <c r="P1830" s="945"/>
      <c r="Q1830" s="946"/>
      <c r="R1830" s="947"/>
      <c r="S1830" s="945"/>
      <c r="T1830" s="946"/>
      <c r="U1830" s="947"/>
      <c r="V1830" s="945"/>
      <c r="W1830" s="946"/>
      <c r="X1830" s="947"/>
      <c r="Y1830" s="945"/>
      <c r="Z1830" s="946"/>
      <c r="AA1830" s="947"/>
      <c r="AB1830" s="945"/>
      <c r="AC1830" s="946"/>
      <c r="AD1830" s="947"/>
      <c r="AE1830" s="960">
        <f t="shared" si="40"/>
        <v>0</v>
      </c>
      <c r="AF1830" s="961"/>
      <c r="AG1830" s="962"/>
      <c r="AH1830" s="518"/>
      <c r="AJ1830" s="595"/>
    </row>
    <row r="1831" spans="1:36" hidden="1" x14ac:dyDescent="0.45">
      <c r="A1831" s="518"/>
      <c r="B1831" s="948"/>
      <c r="C1831" s="948"/>
      <c r="D1831" s="948"/>
      <c r="E1831" s="948"/>
      <c r="F1831" s="948"/>
      <c r="G1831" s="948"/>
      <c r="H1831" s="948"/>
      <c r="I1831" s="948"/>
      <c r="J1831" s="948"/>
      <c r="K1831" s="948"/>
      <c r="L1831" s="948"/>
      <c r="M1831" s="945"/>
      <c r="N1831" s="946"/>
      <c r="O1831" s="947"/>
      <c r="P1831" s="945"/>
      <c r="Q1831" s="946"/>
      <c r="R1831" s="947"/>
      <c r="S1831" s="945"/>
      <c r="T1831" s="946"/>
      <c r="U1831" s="947"/>
      <c r="V1831" s="945"/>
      <c r="W1831" s="946"/>
      <c r="X1831" s="947"/>
      <c r="Y1831" s="945"/>
      <c r="Z1831" s="946"/>
      <c r="AA1831" s="947"/>
      <c r="AB1831" s="945"/>
      <c r="AC1831" s="946"/>
      <c r="AD1831" s="947"/>
      <c r="AE1831" s="960">
        <f t="shared" si="40"/>
        <v>0</v>
      </c>
      <c r="AF1831" s="961"/>
      <c r="AG1831" s="962"/>
      <c r="AH1831" s="518"/>
      <c r="AJ1831" s="595"/>
    </row>
    <row r="1832" spans="1:36" hidden="1" x14ac:dyDescent="0.45">
      <c r="A1832" s="518"/>
      <c r="B1832" s="989" t="s">
        <v>1577</v>
      </c>
      <c r="C1832" s="989"/>
      <c r="D1832" s="989"/>
      <c r="E1832" s="989"/>
      <c r="F1832" s="989"/>
      <c r="G1832" s="989"/>
      <c r="H1832" s="989"/>
      <c r="I1832" s="989"/>
      <c r="J1832" s="989"/>
      <c r="K1832" s="989"/>
      <c r="L1832" s="989"/>
      <c r="M1832" s="960">
        <f>SUM(M1815:O1831)</f>
        <v>0</v>
      </c>
      <c r="N1832" s="961"/>
      <c r="O1832" s="962"/>
      <c r="P1832" s="960">
        <f>SUM(P1815:R1831)</f>
        <v>0</v>
      </c>
      <c r="Q1832" s="961"/>
      <c r="R1832" s="962"/>
      <c r="S1832" s="960">
        <f>SUM(S1815:U1831)</f>
        <v>0</v>
      </c>
      <c r="T1832" s="961"/>
      <c r="U1832" s="962"/>
      <c r="V1832" s="960">
        <f>SUM(V1815:X1831)</f>
        <v>0</v>
      </c>
      <c r="W1832" s="961"/>
      <c r="X1832" s="962"/>
      <c r="Y1832" s="960">
        <f>SUM(Y1815:AA1831)</f>
        <v>0</v>
      </c>
      <c r="Z1832" s="961"/>
      <c r="AA1832" s="962"/>
      <c r="AB1832" s="960">
        <f>SUM(AB1815:AD1831)</f>
        <v>0</v>
      </c>
      <c r="AC1832" s="961"/>
      <c r="AD1832" s="962"/>
      <c r="AE1832" s="960">
        <f t="shared" si="40"/>
        <v>0</v>
      </c>
      <c r="AF1832" s="961"/>
      <c r="AG1832" s="962"/>
      <c r="AH1832" s="518"/>
      <c r="AJ1832" s="595"/>
    </row>
    <row r="1833" spans="1:36" hidden="1" x14ac:dyDescent="0.45">
      <c r="A1833" s="518"/>
      <c r="B1833" s="550"/>
      <c r="C1833" s="550"/>
      <c r="D1833" s="550"/>
      <c r="E1833" s="550"/>
      <c r="F1833" s="550"/>
      <c r="G1833" s="550"/>
      <c r="H1833" s="550"/>
      <c r="I1833" s="550"/>
      <c r="J1833" s="550"/>
      <c r="K1833" s="550"/>
      <c r="L1833" s="550"/>
      <c r="M1833" s="551"/>
      <c r="N1833" s="551"/>
      <c r="O1833" s="551"/>
      <c r="P1833" s="551"/>
      <c r="Q1833" s="551"/>
      <c r="R1833" s="551"/>
      <c r="S1833" s="551"/>
      <c r="T1833" s="551"/>
      <c r="U1833" s="551"/>
      <c r="V1833" s="551"/>
      <c r="W1833" s="551"/>
      <c r="X1833" s="551"/>
      <c r="Y1833" s="551"/>
      <c r="Z1833" s="551"/>
      <c r="AA1833" s="551"/>
      <c r="AB1833" s="551"/>
      <c r="AC1833" s="551"/>
      <c r="AD1833" s="551"/>
      <c r="AE1833" s="551"/>
      <c r="AF1833" s="551"/>
      <c r="AG1833" s="551"/>
      <c r="AH1833" s="518"/>
      <c r="AJ1833" s="595"/>
    </row>
    <row r="1834" spans="1:36" hidden="1" x14ac:dyDescent="0.45">
      <c r="A1834" s="518"/>
      <c r="B1834" s="518"/>
      <c r="C1834" s="518"/>
      <c r="D1834" s="518"/>
      <c r="E1834" s="518"/>
      <c r="F1834" s="518"/>
      <c r="G1834" s="518"/>
      <c r="H1834" s="518"/>
      <c r="I1834" s="518"/>
      <c r="J1834" s="518"/>
      <c r="K1834" s="518"/>
      <c r="L1834" s="518"/>
      <c r="M1834" s="518"/>
      <c r="N1834" s="518"/>
      <c r="O1834" s="518"/>
      <c r="P1834" s="518"/>
      <c r="Q1834" s="518"/>
      <c r="R1834" s="518"/>
      <c r="S1834" s="518"/>
      <c r="T1834" s="518"/>
      <c r="U1834" s="518"/>
      <c r="V1834" s="518"/>
      <c r="W1834" s="518"/>
      <c r="X1834" s="518"/>
      <c r="Y1834" s="518"/>
      <c r="Z1834" s="518"/>
      <c r="AA1834" s="518"/>
      <c r="AB1834" s="518"/>
      <c r="AC1834" s="518"/>
      <c r="AD1834" s="518"/>
      <c r="AE1834" s="518"/>
      <c r="AF1834" s="518"/>
      <c r="AG1834" s="518"/>
      <c r="AH1834" s="518"/>
      <c r="AJ1834" s="595"/>
    </row>
    <row r="1835" spans="1:36" hidden="1" x14ac:dyDescent="0.45">
      <c r="A1835" s="518"/>
      <c r="B1835" s="907" t="str">
        <f>B$1635</f>
        <v>CalHome Homeownership Project Development Loan</v>
      </c>
      <c r="C1835" s="907"/>
      <c r="D1835" s="907"/>
      <c r="E1835" s="907"/>
      <c r="F1835" s="907"/>
      <c r="G1835" s="907"/>
      <c r="H1835" s="907"/>
      <c r="I1835" s="907"/>
      <c r="J1835" s="907"/>
      <c r="K1835" s="907"/>
      <c r="L1835" s="907"/>
      <c r="M1835" s="907"/>
      <c r="N1835" s="907"/>
      <c r="O1835" s="907"/>
      <c r="P1835" s="907"/>
      <c r="Q1835" s="907"/>
      <c r="R1835" s="907"/>
      <c r="S1835" s="907"/>
      <c r="T1835" s="907"/>
      <c r="U1835" s="907"/>
      <c r="V1835" s="907"/>
      <c r="W1835" s="907"/>
      <c r="X1835" s="907"/>
      <c r="Y1835" s="907"/>
      <c r="Z1835" s="907"/>
      <c r="AA1835" s="907"/>
      <c r="AB1835" s="907"/>
      <c r="AC1835" s="907"/>
      <c r="AD1835" s="907"/>
      <c r="AE1835" s="907"/>
      <c r="AF1835" s="907"/>
      <c r="AG1835" s="907"/>
      <c r="AH1835" s="518"/>
      <c r="AJ1835" s="595"/>
    </row>
    <row r="1836" spans="1:36" hidden="1" x14ac:dyDescent="0.45">
      <c r="A1836" s="518"/>
      <c r="B1836" s="531"/>
      <c r="C1836" s="531"/>
      <c r="D1836" s="531"/>
      <c r="E1836" s="531"/>
      <c r="F1836" s="531"/>
      <c r="G1836" s="531"/>
      <c r="H1836" s="531"/>
      <c r="I1836" s="531"/>
      <c r="J1836" s="531"/>
      <c r="K1836" s="531"/>
      <c r="L1836" s="531"/>
      <c r="M1836" s="531"/>
      <c r="N1836" s="531"/>
      <c r="O1836" s="531"/>
      <c r="P1836" s="531"/>
      <c r="Q1836" s="531"/>
      <c r="R1836" s="531"/>
      <c r="S1836" s="531"/>
      <c r="T1836" s="531"/>
      <c r="U1836" s="531"/>
      <c r="V1836" s="531"/>
      <c r="W1836" s="531"/>
      <c r="X1836" s="531"/>
      <c r="Y1836" s="531"/>
      <c r="Z1836" s="531"/>
      <c r="AA1836" s="531"/>
      <c r="AB1836" s="531"/>
      <c r="AC1836" s="531"/>
      <c r="AD1836" s="522"/>
      <c r="AE1836" s="522"/>
      <c r="AF1836" s="522"/>
      <c r="AG1836" s="522"/>
      <c r="AH1836" s="518"/>
      <c r="AJ1836" s="595"/>
    </row>
    <row r="1837" spans="1:36" hidden="1" x14ac:dyDescent="0.45">
      <c r="A1837" s="518"/>
      <c r="B1837" s="907" t="s">
        <v>1579</v>
      </c>
      <c r="C1837" s="907"/>
      <c r="D1837" s="907"/>
      <c r="E1837" s="907"/>
      <c r="F1837" s="907"/>
      <c r="G1837" s="907"/>
      <c r="H1837" s="907"/>
      <c r="I1837" s="907"/>
      <c r="J1837" s="907"/>
      <c r="K1837" s="907"/>
      <c r="L1837" s="907"/>
      <c r="M1837" s="907"/>
      <c r="N1837" s="907"/>
      <c r="O1837" s="907"/>
      <c r="P1837" s="907"/>
      <c r="Q1837" s="907"/>
      <c r="R1837" s="907"/>
      <c r="S1837" s="907"/>
      <c r="T1837" s="907"/>
      <c r="U1837" s="907"/>
      <c r="V1837" s="907"/>
      <c r="W1837" s="907"/>
      <c r="X1837" s="907"/>
      <c r="Y1837" s="907"/>
      <c r="Z1837" s="907"/>
      <c r="AA1837" s="907"/>
      <c r="AB1837" s="907"/>
      <c r="AC1837" s="907"/>
      <c r="AD1837" s="907"/>
      <c r="AE1837" s="907"/>
      <c r="AF1837" s="907"/>
      <c r="AG1837" s="907"/>
      <c r="AH1837" s="518"/>
      <c r="AJ1837" s="595"/>
    </row>
    <row r="1838" spans="1:36" ht="16" hidden="1" customHeight="1" x14ac:dyDescent="0.45">
      <c r="A1838" s="518"/>
      <c r="B1838" s="1343" t="s">
        <v>1841</v>
      </c>
      <c r="C1838" s="1343" t="s">
        <v>1556</v>
      </c>
      <c r="D1838" s="1023" t="s">
        <v>1561</v>
      </c>
      <c r="E1838" s="1024"/>
      <c r="F1838" s="1024"/>
      <c r="G1838" s="1024"/>
      <c r="H1838" s="1024"/>
      <c r="I1838" s="1024"/>
      <c r="J1838" s="1024"/>
      <c r="K1838" s="1025"/>
      <c r="L1838" s="996" t="s">
        <v>1560</v>
      </c>
      <c r="M1838" s="997"/>
      <c r="N1838" s="997"/>
      <c r="O1838" s="998"/>
      <c r="P1838" s="1023" t="s">
        <v>1559</v>
      </c>
      <c r="Q1838" s="998"/>
      <c r="R1838" s="1014" t="s">
        <v>1596</v>
      </c>
      <c r="S1838" s="1015"/>
      <c r="T1838" s="1015"/>
      <c r="U1838" s="1015"/>
      <c r="V1838" s="1015"/>
      <c r="W1838" s="1016"/>
      <c r="X1838" s="1014" t="s">
        <v>1597</v>
      </c>
      <c r="Y1838" s="1015"/>
      <c r="Z1838" s="1015"/>
      <c r="AA1838" s="1015"/>
      <c r="AB1838" s="1016"/>
      <c r="AC1838" s="1014" t="s">
        <v>1842</v>
      </c>
      <c r="AD1838" s="1016"/>
      <c r="AE1838" s="1014" t="s">
        <v>1843</v>
      </c>
      <c r="AF1838" s="1015"/>
      <c r="AG1838" s="1016"/>
      <c r="AH1838" s="518"/>
      <c r="AJ1838" s="595"/>
    </row>
    <row r="1839" spans="1:36" hidden="1" x14ac:dyDescent="0.45">
      <c r="A1839" s="518"/>
      <c r="B1839" s="1344"/>
      <c r="C1839" s="1344"/>
      <c r="D1839" s="1029"/>
      <c r="E1839" s="1030"/>
      <c r="F1839" s="1030"/>
      <c r="G1839" s="1030"/>
      <c r="H1839" s="1030"/>
      <c r="I1839" s="1030"/>
      <c r="J1839" s="1030"/>
      <c r="K1839" s="1031"/>
      <c r="L1839" s="1002"/>
      <c r="M1839" s="1003"/>
      <c r="N1839" s="1003"/>
      <c r="O1839" s="1004"/>
      <c r="P1839" s="1002"/>
      <c r="Q1839" s="1004"/>
      <c r="R1839" s="1020"/>
      <c r="S1839" s="1021"/>
      <c r="T1839" s="1021"/>
      <c r="U1839" s="1021"/>
      <c r="V1839" s="1021"/>
      <c r="W1839" s="1022"/>
      <c r="X1839" s="1020"/>
      <c r="Y1839" s="1021"/>
      <c r="Z1839" s="1021"/>
      <c r="AA1839" s="1021"/>
      <c r="AB1839" s="1022"/>
      <c r="AC1839" s="1020"/>
      <c r="AD1839" s="1022"/>
      <c r="AE1839" s="1020"/>
      <c r="AF1839" s="1021"/>
      <c r="AG1839" s="1022"/>
      <c r="AH1839" s="518"/>
      <c r="AJ1839" s="595"/>
    </row>
    <row r="1840" spans="1:36" hidden="1" x14ac:dyDescent="0.45">
      <c r="A1840" s="552"/>
      <c r="B1840" s="576"/>
      <c r="C1840" s="576"/>
      <c r="D1840" s="1063" t="s">
        <v>1595</v>
      </c>
      <c r="E1840" s="1064"/>
      <c r="F1840" s="1064"/>
      <c r="G1840" s="1064"/>
      <c r="H1840" s="1064"/>
      <c r="I1840" s="1064"/>
      <c r="J1840" s="1064"/>
      <c r="K1840" s="1065"/>
      <c r="L1840" s="952"/>
      <c r="M1840" s="953"/>
      <c r="N1840" s="953"/>
      <c r="O1840" s="954"/>
      <c r="P1840" s="1338"/>
      <c r="Q1840" s="1339"/>
      <c r="R1840" s="957"/>
      <c r="S1840" s="958"/>
      <c r="T1840" s="958"/>
      <c r="U1840" s="958"/>
      <c r="V1840" s="958"/>
      <c r="W1840" s="959"/>
      <c r="X1840" s="990"/>
      <c r="Y1840" s="991"/>
      <c r="Z1840" s="991"/>
      <c r="AA1840" s="991"/>
      <c r="AB1840" s="992"/>
      <c r="AC1840" s="990"/>
      <c r="AD1840" s="992"/>
      <c r="AE1840" s="990"/>
      <c r="AF1840" s="991"/>
      <c r="AG1840" s="992"/>
      <c r="AH1840" s="518"/>
      <c r="AJ1840" s="595"/>
    </row>
    <row r="1841" spans="1:36" hidden="1" x14ac:dyDescent="0.45">
      <c r="A1841" s="552"/>
      <c r="B1841" s="576"/>
      <c r="C1841" s="576"/>
      <c r="D1841" s="949"/>
      <c r="E1841" s="950"/>
      <c r="F1841" s="950"/>
      <c r="G1841" s="950"/>
      <c r="H1841" s="950"/>
      <c r="I1841" s="950"/>
      <c r="J1841" s="950"/>
      <c r="K1841" s="951"/>
      <c r="L1841" s="952"/>
      <c r="M1841" s="953"/>
      <c r="N1841" s="953"/>
      <c r="O1841" s="954"/>
      <c r="P1841" s="1338"/>
      <c r="Q1841" s="1339"/>
      <c r="R1841" s="957"/>
      <c r="S1841" s="958"/>
      <c r="T1841" s="958"/>
      <c r="U1841" s="958"/>
      <c r="V1841" s="958"/>
      <c r="W1841" s="959"/>
      <c r="X1841" s="990"/>
      <c r="Y1841" s="991"/>
      <c r="Z1841" s="991"/>
      <c r="AA1841" s="991"/>
      <c r="AB1841" s="992"/>
      <c r="AC1841" s="990"/>
      <c r="AD1841" s="992"/>
      <c r="AE1841" s="990"/>
      <c r="AF1841" s="991"/>
      <c r="AG1841" s="992"/>
      <c r="AH1841" s="518"/>
      <c r="AJ1841" s="595"/>
    </row>
    <row r="1842" spans="1:36" hidden="1" x14ac:dyDescent="0.45">
      <c r="A1842" s="552"/>
      <c r="B1842" s="576"/>
      <c r="C1842" s="576"/>
      <c r="D1842" s="949"/>
      <c r="E1842" s="950"/>
      <c r="F1842" s="950"/>
      <c r="G1842" s="950"/>
      <c r="H1842" s="950"/>
      <c r="I1842" s="950"/>
      <c r="J1842" s="950"/>
      <c r="K1842" s="951"/>
      <c r="L1842" s="952"/>
      <c r="M1842" s="953"/>
      <c r="N1842" s="953"/>
      <c r="O1842" s="954"/>
      <c r="P1842" s="1338"/>
      <c r="Q1842" s="1339"/>
      <c r="R1842" s="957"/>
      <c r="S1842" s="958"/>
      <c r="T1842" s="958"/>
      <c r="U1842" s="958"/>
      <c r="V1842" s="958"/>
      <c r="W1842" s="959"/>
      <c r="X1842" s="990"/>
      <c r="Y1842" s="991"/>
      <c r="Z1842" s="991"/>
      <c r="AA1842" s="991"/>
      <c r="AB1842" s="992"/>
      <c r="AC1842" s="990"/>
      <c r="AD1842" s="992"/>
      <c r="AE1842" s="990"/>
      <c r="AF1842" s="991"/>
      <c r="AG1842" s="992"/>
      <c r="AH1842" s="518"/>
      <c r="AJ1842" s="595"/>
    </row>
    <row r="1843" spans="1:36" hidden="1" x14ac:dyDescent="0.45">
      <c r="A1843" s="552"/>
      <c r="B1843" s="576"/>
      <c r="C1843" s="576"/>
      <c r="D1843" s="949"/>
      <c r="E1843" s="950"/>
      <c r="F1843" s="950"/>
      <c r="G1843" s="950"/>
      <c r="H1843" s="950"/>
      <c r="I1843" s="950"/>
      <c r="J1843" s="950"/>
      <c r="K1843" s="951"/>
      <c r="L1843" s="952"/>
      <c r="M1843" s="953"/>
      <c r="N1843" s="953"/>
      <c r="O1843" s="954"/>
      <c r="P1843" s="1338"/>
      <c r="Q1843" s="1339"/>
      <c r="R1843" s="957"/>
      <c r="S1843" s="958"/>
      <c r="T1843" s="958"/>
      <c r="U1843" s="958"/>
      <c r="V1843" s="958"/>
      <c r="W1843" s="959"/>
      <c r="X1843" s="990"/>
      <c r="Y1843" s="991"/>
      <c r="Z1843" s="991"/>
      <c r="AA1843" s="991"/>
      <c r="AB1843" s="992"/>
      <c r="AC1843" s="990"/>
      <c r="AD1843" s="992"/>
      <c r="AE1843" s="990"/>
      <c r="AF1843" s="991"/>
      <c r="AG1843" s="992"/>
      <c r="AH1843" s="518"/>
      <c r="AJ1843" s="595"/>
    </row>
    <row r="1844" spans="1:36" hidden="1" x14ac:dyDescent="0.45">
      <c r="A1844" s="552"/>
      <c r="B1844" s="576"/>
      <c r="C1844" s="576"/>
      <c r="D1844" s="949"/>
      <c r="E1844" s="950"/>
      <c r="F1844" s="950"/>
      <c r="G1844" s="950"/>
      <c r="H1844" s="950"/>
      <c r="I1844" s="950"/>
      <c r="J1844" s="950"/>
      <c r="K1844" s="951"/>
      <c r="L1844" s="952"/>
      <c r="M1844" s="953"/>
      <c r="N1844" s="953"/>
      <c r="O1844" s="954"/>
      <c r="P1844" s="1338"/>
      <c r="Q1844" s="1339"/>
      <c r="R1844" s="957"/>
      <c r="S1844" s="958"/>
      <c r="T1844" s="958"/>
      <c r="U1844" s="958"/>
      <c r="V1844" s="958"/>
      <c r="W1844" s="959"/>
      <c r="X1844" s="990"/>
      <c r="Y1844" s="991"/>
      <c r="Z1844" s="991"/>
      <c r="AA1844" s="991"/>
      <c r="AB1844" s="992"/>
      <c r="AC1844" s="990"/>
      <c r="AD1844" s="992"/>
      <c r="AE1844" s="990"/>
      <c r="AF1844" s="991"/>
      <c r="AG1844" s="992"/>
      <c r="AH1844" s="518"/>
      <c r="AJ1844" s="595"/>
    </row>
    <row r="1845" spans="1:36" hidden="1" x14ac:dyDescent="0.45">
      <c r="A1845" s="552"/>
      <c r="B1845" s="576"/>
      <c r="C1845" s="576"/>
      <c r="D1845" s="949"/>
      <c r="E1845" s="950"/>
      <c r="F1845" s="950"/>
      <c r="G1845" s="950"/>
      <c r="H1845" s="950"/>
      <c r="I1845" s="950"/>
      <c r="J1845" s="950"/>
      <c r="K1845" s="951"/>
      <c r="L1845" s="952"/>
      <c r="M1845" s="953"/>
      <c r="N1845" s="953"/>
      <c r="O1845" s="954"/>
      <c r="P1845" s="1338"/>
      <c r="Q1845" s="1339"/>
      <c r="R1845" s="957"/>
      <c r="S1845" s="958"/>
      <c r="T1845" s="958"/>
      <c r="U1845" s="958"/>
      <c r="V1845" s="958"/>
      <c r="W1845" s="959"/>
      <c r="X1845" s="990"/>
      <c r="Y1845" s="991"/>
      <c r="Z1845" s="991"/>
      <c r="AA1845" s="991"/>
      <c r="AB1845" s="992"/>
      <c r="AC1845" s="990"/>
      <c r="AD1845" s="992"/>
      <c r="AE1845" s="990"/>
      <c r="AF1845" s="991"/>
      <c r="AG1845" s="992"/>
      <c r="AH1845" s="518"/>
      <c r="AJ1845" s="595"/>
    </row>
    <row r="1846" spans="1:36" hidden="1" x14ac:dyDescent="0.45">
      <c r="A1846" s="532"/>
      <c r="B1846" s="553"/>
      <c r="C1846" s="553"/>
      <c r="D1846" s="553"/>
      <c r="E1846" s="553"/>
      <c r="F1846" s="553"/>
      <c r="G1846" s="553"/>
      <c r="H1846" s="553"/>
      <c r="I1846" s="553"/>
      <c r="J1846" s="553"/>
      <c r="K1846" s="553"/>
      <c r="L1846" s="553"/>
      <c r="M1846" s="553"/>
      <c r="N1846" s="553"/>
      <c r="O1846" s="553"/>
      <c r="P1846" s="553"/>
      <c r="Q1846" s="553"/>
      <c r="R1846" s="553"/>
      <c r="S1846" s="553"/>
      <c r="T1846" s="553"/>
      <c r="U1846" s="553"/>
      <c r="V1846" s="553"/>
      <c r="W1846" s="553"/>
      <c r="X1846" s="553"/>
      <c r="Y1846" s="553"/>
      <c r="Z1846" s="553"/>
      <c r="AA1846" s="553"/>
      <c r="AB1846" s="553"/>
      <c r="AC1846" s="553"/>
      <c r="AD1846" s="553"/>
      <c r="AE1846" s="553"/>
      <c r="AF1846" s="553"/>
      <c r="AG1846" s="553"/>
      <c r="AH1846" s="518"/>
      <c r="AJ1846" s="595"/>
    </row>
    <row r="1847" spans="1:36" hidden="1" x14ac:dyDescent="0.45">
      <c r="A1847" s="518"/>
      <c r="B1847" s="996" t="s">
        <v>1562</v>
      </c>
      <c r="C1847" s="997"/>
      <c r="D1847" s="997"/>
      <c r="E1847" s="997"/>
      <c r="F1847" s="997"/>
      <c r="G1847" s="997"/>
      <c r="H1847" s="997"/>
      <c r="I1847" s="997"/>
      <c r="J1847" s="997"/>
      <c r="K1847" s="997"/>
      <c r="L1847" s="998"/>
      <c r="M1847" s="1277" t="str">
        <f>IF(D1840=0,"",D1840)</f>
        <v>Calhome</v>
      </c>
      <c r="N1847" s="1278"/>
      <c r="O1847" s="1279"/>
      <c r="P1847" s="1286" t="str">
        <f>IF(D1841=0,"",D1841)</f>
        <v/>
      </c>
      <c r="Q1847" s="1287"/>
      <c r="R1847" s="1288"/>
      <c r="S1847" s="1286" t="str">
        <f>IF(D1842=0,"",D1842)</f>
        <v/>
      </c>
      <c r="T1847" s="1287"/>
      <c r="U1847" s="1288"/>
      <c r="V1847" s="1286" t="str">
        <f>IF(D1843=0,"",D1843)</f>
        <v/>
      </c>
      <c r="W1847" s="1287"/>
      <c r="X1847" s="1288"/>
      <c r="Y1847" s="1286" t="str">
        <f>IF(D1844=0,"",D1844)</f>
        <v/>
      </c>
      <c r="Z1847" s="1287"/>
      <c r="AA1847" s="1288"/>
      <c r="AB1847" s="1286" t="str">
        <f>IF(D1845=0,"",D1845)</f>
        <v/>
      </c>
      <c r="AC1847" s="1287"/>
      <c r="AD1847" s="1288"/>
      <c r="AE1847" s="1014" t="s">
        <v>1577</v>
      </c>
      <c r="AF1847" s="1015"/>
      <c r="AG1847" s="1016"/>
      <c r="AH1847" s="518"/>
      <c r="AJ1847" s="595"/>
    </row>
    <row r="1848" spans="1:36" hidden="1" x14ac:dyDescent="0.45">
      <c r="A1848" s="518"/>
      <c r="B1848" s="999"/>
      <c r="C1848" s="1000"/>
      <c r="D1848" s="1000"/>
      <c r="E1848" s="1000"/>
      <c r="F1848" s="1000"/>
      <c r="G1848" s="1000"/>
      <c r="H1848" s="1000"/>
      <c r="I1848" s="1000"/>
      <c r="J1848" s="1000"/>
      <c r="K1848" s="1000"/>
      <c r="L1848" s="1001"/>
      <c r="M1848" s="1280"/>
      <c r="N1848" s="1281"/>
      <c r="O1848" s="1282"/>
      <c r="P1848" s="1289"/>
      <c r="Q1848" s="1290"/>
      <c r="R1848" s="1291"/>
      <c r="S1848" s="1289"/>
      <c r="T1848" s="1290"/>
      <c r="U1848" s="1291"/>
      <c r="V1848" s="1289"/>
      <c r="W1848" s="1290"/>
      <c r="X1848" s="1291"/>
      <c r="Y1848" s="1289"/>
      <c r="Z1848" s="1290"/>
      <c r="AA1848" s="1291"/>
      <c r="AB1848" s="1289"/>
      <c r="AC1848" s="1290"/>
      <c r="AD1848" s="1291"/>
      <c r="AE1848" s="1017"/>
      <c r="AF1848" s="1018"/>
      <c r="AG1848" s="1019"/>
      <c r="AH1848" s="518"/>
      <c r="AJ1848" s="595"/>
    </row>
    <row r="1849" spans="1:36" hidden="1" x14ac:dyDescent="0.45">
      <c r="A1849" s="518"/>
      <c r="B1849" s="1002"/>
      <c r="C1849" s="1003"/>
      <c r="D1849" s="1003"/>
      <c r="E1849" s="1003"/>
      <c r="F1849" s="1003"/>
      <c r="G1849" s="1003"/>
      <c r="H1849" s="1003"/>
      <c r="I1849" s="1003"/>
      <c r="J1849" s="1003"/>
      <c r="K1849" s="1003"/>
      <c r="L1849" s="1004"/>
      <c r="M1849" s="1283"/>
      <c r="N1849" s="1284"/>
      <c r="O1849" s="1285"/>
      <c r="P1849" s="1292"/>
      <c r="Q1849" s="1293"/>
      <c r="R1849" s="1294"/>
      <c r="S1849" s="1292"/>
      <c r="T1849" s="1293"/>
      <c r="U1849" s="1294"/>
      <c r="V1849" s="1292"/>
      <c r="W1849" s="1293"/>
      <c r="X1849" s="1294"/>
      <c r="Y1849" s="1292"/>
      <c r="Z1849" s="1293"/>
      <c r="AA1849" s="1294"/>
      <c r="AB1849" s="1292"/>
      <c r="AC1849" s="1293"/>
      <c r="AD1849" s="1294"/>
      <c r="AE1849" s="1020"/>
      <c r="AF1849" s="1021"/>
      <c r="AG1849" s="1022"/>
      <c r="AH1849" s="518"/>
      <c r="AJ1849" s="595"/>
    </row>
    <row r="1850" spans="1:36" hidden="1" x14ac:dyDescent="0.45">
      <c r="A1850" s="518"/>
      <c r="B1850" s="944" t="s">
        <v>1563</v>
      </c>
      <c r="C1850" s="944"/>
      <c r="D1850" s="944"/>
      <c r="E1850" s="944"/>
      <c r="F1850" s="944"/>
      <c r="G1850" s="944"/>
      <c r="H1850" s="944"/>
      <c r="I1850" s="944"/>
      <c r="J1850" s="944"/>
      <c r="K1850" s="944"/>
      <c r="L1850" s="944"/>
      <c r="M1850" s="1340"/>
      <c r="N1850" s="1341"/>
      <c r="O1850" s="1342"/>
      <c r="P1850" s="1340"/>
      <c r="Q1850" s="1341"/>
      <c r="R1850" s="1342"/>
      <c r="S1850" s="1340"/>
      <c r="T1850" s="1341"/>
      <c r="U1850" s="1342"/>
      <c r="V1850" s="1340"/>
      <c r="W1850" s="1341"/>
      <c r="X1850" s="1342"/>
      <c r="Y1850" s="1340"/>
      <c r="Z1850" s="1341"/>
      <c r="AA1850" s="1342"/>
      <c r="AB1850" s="1340"/>
      <c r="AC1850" s="1341"/>
      <c r="AD1850" s="1342"/>
      <c r="AE1850" s="1346"/>
      <c r="AF1850" s="1347"/>
      <c r="AG1850" s="1348"/>
      <c r="AJ1850" s="595"/>
    </row>
    <row r="1851" spans="1:36" hidden="1" x14ac:dyDescent="0.45">
      <c r="A1851" s="518"/>
      <c r="B1851" s="944" t="s">
        <v>1564</v>
      </c>
      <c r="C1851" s="944"/>
      <c r="D1851" s="944"/>
      <c r="E1851" s="944"/>
      <c r="F1851" s="944"/>
      <c r="G1851" s="944"/>
      <c r="H1851" s="944"/>
      <c r="I1851" s="944"/>
      <c r="J1851" s="944"/>
      <c r="K1851" s="944"/>
      <c r="L1851" s="944"/>
      <c r="M1851" s="1340"/>
      <c r="N1851" s="1341"/>
      <c r="O1851" s="1342"/>
      <c r="P1851" s="1340"/>
      <c r="Q1851" s="1341"/>
      <c r="R1851" s="1342"/>
      <c r="S1851" s="1340"/>
      <c r="T1851" s="1341"/>
      <c r="U1851" s="1342"/>
      <c r="V1851" s="1340"/>
      <c r="W1851" s="1341"/>
      <c r="X1851" s="1342"/>
      <c r="Y1851" s="1340"/>
      <c r="Z1851" s="1341"/>
      <c r="AA1851" s="1342"/>
      <c r="AB1851" s="1340"/>
      <c r="AC1851" s="1341"/>
      <c r="AD1851" s="1342"/>
      <c r="AE1851" s="1346"/>
      <c r="AF1851" s="1347"/>
      <c r="AG1851" s="1348"/>
      <c r="AH1851" s="518"/>
      <c r="AJ1851" s="595"/>
    </row>
    <row r="1852" spans="1:36" hidden="1" x14ac:dyDescent="0.45">
      <c r="A1852" s="518"/>
      <c r="B1852" s="944" t="s">
        <v>1565</v>
      </c>
      <c r="C1852" s="944"/>
      <c r="D1852" s="944"/>
      <c r="E1852" s="944"/>
      <c r="F1852" s="944"/>
      <c r="G1852" s="944"/>
      <c r="H1852" s="944"/>
      <c r="I1852" s="944"/>
      <c r="J1852" s="944"/>
      <c r="K1852" s="944"/>
      <c r="L1852" s="944"/>
      <c r="M1852" s="1340"/>
      <c r="N1852" s="1341"/>
      <c r="O1852" s="1342"/>
      <c r="P1852" s="1340"/>
      <c r="Q1852" s="1341"/>
      <c r="R1852" s="1342"/>
      <c r="S1852" s="1340"/>
      <c r="T1852" s="1341"/>
      <c r="U1852" s="1342"/>
      <c r="V1852" s="1340"/>
      <c r="W1852" s="1341"/>
      <c r="X1852" s="1342"/>
      <c r="Y1852" s="1340"/>
      <c r="Z1852" s="1341"/>
      <c r="AA1852" s="1342"/>
      <c r="AB1852" s="1340"/>
      <c r="AC1852" s="1341"/>
      <c r="AD1852" s="1342"/>
      <c r="AE1852" s="1346"/>
      <c r="AF1852" s="1347"/>
      <c r="AG1852" s="1348"/>
      <c r="AH1852" s="518"/>
      <c r="AJ1852" s="595"/>
    </row>
    <row r="1853" spans="1:36" hidden="1" x14ac:dyDescent="0.45">
      <c r="A1853" s="518"/>
      <c r="B1853" s="944" t="s">
        <v>1566</v>
      </c>
      <c r="C1853" s="944"/>
      <c r="D1853" s="944"/>
      <c r="E1853" s="944"/>
      <c r="F1853" s="944"/>
      <c r="G1853" s="944"/>
      <c r="H1853" s="944"/>
      <c r="I1853" s="944"/>
      <c r="J1853" s="944"/>
      <c r="K1853" s="944"/>
      <c r="L1853" s="944"/>
      <c r="M1853" s="1340"/>
      <c r="N1853" s="1341"/>
      <c r="O1853" s="1342"/>
      <c r="P1853" s="1340"/>
      <c r="Q1853" s="1341"/>
      <c r="R1853" s="1342"/>
      <c r="S1853" s="1340"/>
      <c r="T1853" s="1341"/>
      <c r="U1853" s="1342"/>
      <c r="V1853" s="1340"/>
      <c r="W1853" s="1341"/>
      <c r="X1853" s="1342"/>
      <c r="Y1853" s="1340"/>
      <c r="Z1853" s="1341"/>
      <c r="AA1853" s="1342"/>
      <c r="AB1853" s="1340"/>
      <c r="AC1853" s="1341"/>
      <c r="AD1853" s="1342"/>
      <c r="AE1853" s="1346"/>
      <c r="AF1853" s="1347"/>
      <c r="AG1853" s="1348"/>
      <c r="AH1853" s="518"/>
      <c r="AJ1853" s="595"/>
    </row>
    <row r="1854" spans="1:36" hidden="1" x14ac:dyDescent="0.45">
      <c r="A1854" s="518"/>
      <c r="B1854" s="944" t="s">
        <v>1567</v>
      </c>
      <c r="C1854" s="944"/>
      <c r="D1854" s="944"/>
      <c r="E1854" s="944"/>
      <c r="F1854" s="944"/>
      <c r="G1854" s="944"/>
      <c r="H1854" s="944"/>
      <c r="I1854" s="944"/>
      <c r="J1854" s="944"/>
      <c r="K1854" s="944"/>
      <c r="L1854" s="944"/>
      <c r="M1854" s="1340"/>
      <c r="N1854" s="1341"/>
      <c r="O1854" s="1342"/>
      <c r="P1854" s="1340"/>
      <c r="Q1854" s="1341"/>
      <c r="R1854" s="1342"/>
      <c r="S1854" s="1340"/>
      <c r="T1854" s="1341"/>
      <c r="U1854" s="1342"/>
      <c r="V1854" s="1340"/>
      <c r="W1854" s="1341"/>
      <c r="X1854" s="1342"/>
      <c r="Y1854" s="1340"/>
      <c r="Z1854" s="1341"/>
      <c r="AA1854" s="1342"/>
      <c r="AB1854" s="1340"/>
      <c r="AC1854" s="1341"/>
      <c r="AD1854" s="1342"/>
      <c r="AE1854" s="1346"/>
      <c r="AF1854" s="1347"/>
      <c r="AG1854" s="1348"/>
      <c r="AH1854" s="518"/>
      <c r="AJ1854" s="595"/>
    </row>
    <row r="1855" spans="1:36" hidden="1" x14ac:dyDescent="0.45">
      <c r="A1855" s="518"/>
      <c r="B1855" s="944" t="s">
        <v>1568</v>
      </c>
      <c r="C1855" s="944"/>
      <c r="D1855" s="944"/>
      <c r="E1855" s="944"/>
      <c r="F1855" s="944"/>
      <c r="G1855" s="944"/>
      <c r="H1855" s="944"/>
      <c r="I1855" s="944"/>
      <c r="J1855" s="944"/>
      <c r="K1855" s="944"/>
      <c r="L1855" s="944"/>
      <c r="M1855" s="1340"/>
      <c r="N1855" s="1341"/>
      <c r="O1855" s="1342"/>
      <c r="P1855" s="1340"/>
      <c r="Q1855" s="1341"/>
      <c r="R1855" s="1342"/>
      <c r="S1855" s="1340"/>
      <c r="T1855" s="1341"/>
      <c r="U1855" s="1342"/>
      <c r="V1855" s="1340"/>
      <c r="W1855" s="1341"/>
      <c r="X1855" s="1342"/>
      <c r="Y1855" s="1340"/>
      <c r="Z1855" s="1341"/>
      <c r="AA1855" s="1342"/>
      <c r="AB1855" s="1340"/>
      <c r="AC1855" s="1341"/>
      <c r="AD1855" s="1342"/>
      <c r="AE1855" s="1346"/>
      <c r="AF1855" s="1347"/>
      <c r="AG1855" s="1348"/>
      <c r="AH1855" s="518"/>
      <c r="AJ1855" s="595"/>
    </row>
    <row r="1856" spans="1:36" hidden="1" x14ac:dyDescent="0.45">
      <c r="A1856" s="518"/>
      <c r="B1856" s="944" t="s">
        <v>1569</v>
      </c>
      <c r="C1856" s="944"/>
      <c r="D1856" s="944"/>
      <c r="E1856" s="944"/>
      <c r="F1856" s="944"/>
      <c r="G1856" s="944"/>
      <c r="H1856" s="944"/>
      <c r="I1856" s="944"/>
      <c r="J1856" s="944"/>
      <c r="K1856" s="944"/>
      <c r="L1856" s="944"/>
      <c r="M1856" s="1340"/>
      <c r="N1856" s="1341"/>
      <c r="O1856" s="1342"/>
      <c r="P1856" s="1340"/>
      <c r="Q1856" s="1341"/>
      <c r="R1856" s="1342"/>
      <c r="S1856" s="1340"/>
      <c r="T1856" s="1341"/>
      <c r="U1856" s="1342"/>
      <c r="V1856" s="1340"/>
      <c r="W1856" s="1341"/>
      <c r="X1856" s="1342"/>
      <c r="Y1856" s="1340"/>
      <c r="Z1856" s="1341"/>
      <c r="AA1856" s="1342"/>
      <c r="AB1856" s="1340"/>
      <c r="AC1856" s="1341"/>
      <c r="AD1856" s="1342"/>
      <c r="AE1856" s="1346"/>
      <c r="AF1856" s="1347"/>
      <c r="AG1856" s="1348"/>
      <c r="AH1856" s="518"/>
      <c r="AJ1856" s="595"/>
    </row>
    <row r="1857" spans="1:36" hidden="1" x14ac:dyDescent="0.45">
      <c r="A1857" s="518"/>
      <c r="B1857" s="944" t="s">
        <v>1570</v>
      </c>
      <c r="C1857" s="944"/>
      <c r="D1857" s="944"/>
      <c r="E1857" s="944"/>
      <c r="F1857" s="944"/>
      <c r="G1857" s="944"/>
      <c r="H1857" s="944"/>
      <c r="I1857" s="944"/>
      <c r="J1857" s="944"/>
      <c r="K1857" s="944"/>
      <c r="L1857" s="944"/>
      <c r="M1857" s="1340"/>
      <c r="N1857" s="1341"/>
      <c r="O1857" s="1342"/>
      <c r="P1857" s="1340"/>
      <c r="Q1857" s="1341"/>
      <c r="R1857" s="1342"/>
      <c r="S1857" s="1340"/>
      <c r="T1857" s="1341"/>
      <c r="U1857" s="1342"/>
      <c r="V1857" s="1340"/>
      <c r="W1857" s="1341"/>
      <c r="X1857" s="1342"/>
      <c r="Y1857" s="1340"/>
      <c r="Z1857" s="1341"/>
      <c r="AA1857" s="1342"/>
      <c r="AB1857" s="1340"/>
      <c r="AC1857" s="1341"/>
      <c r="AD1857" s="1342"/>
      <c r="AE1857" s="1346"/>
      <c r="AF1857" s="1347"/>
      <c r="AG1857" s="1348"/>
      <c r="AH1857" s="518"/>
      <c r="AJ1857" s="595"/>
    </row>
    <row r="1858" spans="1:36" hidden="1" x14ac:dyDescent="0.45">
      <c r="A1858" s="518"/>
      <c r="B1858" s="944" t="s">
        <v>1571</v>
      </c>
      <c r="C1858" s="944"/>
      <c r="D1858" s="944"/>
      <c r="E1858" s="944"/>
      <c r="F1858" s="944"/>
      <c r="G1858" s="944"/>
      <c r="H1858" s="944"/>
      <c r="I1858" s="944"/>
      <c r="J1858" s="944"/>
      <c r="K1858" s="944"/>
      <c r="L1858" s="944"/>
      <c r="M1858" s="1340"/>
      <c r="N1858" s="1341"/>
      <c r="O1858" s="1342"/>
      <c r="P1858" s="1340"/>
      <c r="Q1858" s="1341"/>
      <c r="R1858" s="1342"/>
      <c r="S1858" s="1340"/>
      <c r="T1858" s="1341"/>
      <c r="U1858" s="1342"/>
      <c r="V1858" s="1340"/>
      <c r="W1858" s="1341"/>
      <c r="X1858" s="1342"/>
      <c r="Y1858" s="1340"/>
      <c r="Z1858" s="1341"/>
      <c r="AA1858" s="1342"/>
      <c r="AB1858" s="1340"/>
      <c r="AC1858" s="1341"/>
      <c r="AD1858" s="1342"/>
      <c r="AE1858" s="1346"/>
      <c r="AF1858" s="1347"/>
      <c r="AG1858" s="1348"/>
      <c r="AH1858" s="518"/>
      <c r="AJ1858" s="595"/>
    </row>
    <row r="1859" spans="1:36" hidden="1" x14ac:dyDescent="0.45">
      <c r="A1859" s="518"/>
      <c r="B1859" s="944" t="s">
        <v>1572</v>
      </c>
      <c r="C1859" s="944"/>
      <c r="D1859" s="944"/>
      <c r="E1859" s="944"/>
      <c r="F1859" s="944"/>
      <c r="G1859" s="944"/>
      <c r="H1859" s="944"/>
      <c r="I1859" s="944"/>
      <c r="J1859" s="944"/>
      <c r="K1859" s="944"/>
      <c r="L1859" s="944"/>
      <c r="M1859" s="1340"/>
      <c r="N1859" s="1341"/>
      <c r="O1859" s="1342"/>
      <c r="P1859" s="1340"/>
      <c r="Q1859" s="1341"/>
      <c r="R1859" s="1342"/>
      <c r="S1859" s="1340"/>
      <c r="T1859" s="1341"/>
      <c r="U1859" s="1342"/>
      <c r="V1859" s="1340"/>
      <c r="W1859" s="1341"/>
      <c r="X1859" s="1342"/>
      <c r="Y1859" s="1340"/>
      <c r="Z1859" s="1341"/>
      <c r="AA1859" s="1342"/>
      <c r="AB1859" s="1340"/>
      <c r="AC1859" s="1341"/>
      <c r="AD1859" s="1342"/>
      <c r="AE1859" s="1346"/>
      <c r="AF1859" s="1347"/>
      <c r="AG1859" s="1348"/>
      <c r="AH1859" s="518"/>
      <c r="AJ1859" s="595"/>
    </row>
    <row r="1860" spans="1:36" hidden="1" x14ac:dyDescent="0.45">
      <c r="A1860" s="518"/>
      <c r="B1860" s="944" t="s">
        <v>1573</v>
      </c>
      <c r="C1860" s="944"/>
      <c r="D1860" s="944"/>
      <c r="E1860" s="944"/>
      <c r="F1860" s="944"/>
      <c r="G1860" s="944"/>
      <c r="H1860" s="944"/>
      <c r="I1860" s="944"/>
      <c r="J1860" s="944"/>
      <c r="K1860" s="944"/>
      <c r="L1860" s="944"/>
      <c r="M1860" s="1340"/>
      <c r="N1860" s="1341"/>
      <c r="O1860" s="1342"/>
      <c r="P1860" s="1340"/>
      <c r="Q1860" s="1341"/>
      <c r="R1860" s="1342"/>
      <c r="S1860" s="1340"/>
      <c r="T1860" s="1341"/>
      <c r="U1860" s="1342"/>
      <c r="V1860" s="1340"/>
      <c r="W1860" s="1341"/>
      <c r="X1860" s="1342"/>
      <c r="Y1860" s="1340"/>
      <c r="Z1860" s="1341"/>
      <c r="AA1860" s="1342"/>
      <c r="AB1860" s="1340"/>
      <c r="AC1860" s="1341"/>
      <c r="AD1860" s="1342"/>
      <c r="AE1860" s="1346"/>
      <c r="AF1860" s="1347"/>
      <c r="AG1860" s="1348"/>
      <c r="AH1860" s="518"/>
      <c r="AJ1860" s="595"/>
    </row>
    <row r="1861" spans="1:36" hidden="1" x14ac:dyDescent="0.45">
      <c r="A1861" s="518"/>
      <c r="B1861" s="944" t="s">
        <v>1574</v>
      </c>
      <c r="C1861" s="944"/>
      <c r="D1861" s="944"/>
      <c r="E1861" s="944"/>
      <c r="F1861" s="944"/>
      <c r="G1861" s="944"/>
      <c r="H1861" s="944"/>
      <c r="I1861" s="944"/>
      <c r="J1861" s="944"/>
      <c r="K1861" s="944"/>
      <c r="L1861" s="944"/>
      <c r="M1861" s="1340"/>
      <c r="N1861" s="1341"/>
      <c r="O1861" s="1342"/>
      <c r="P1861" s="1340"/>
      <c r="Q1861" s="1341"/>
      <c r="R1861" s="1342"/>
      <c r="S1861" s="1340"/>
      <c r="T1861" s="1341"/>
      <c r="U1861" s="1342"/>
      <c r="V1861" s="1340"/>
      <c r="W1861" s="1341"/>
      <c r="X1861" s="1342"/>
      <c r="Y1861" s="1340"/>
      <c r="Z1861" s="1341"/>
      <c r="AA1861" s="1342"/>
      <c r="AB1861" s="1340"/>
      <c r="AC1861" s="1341"/>
      <c r="AD1861" s="1342"/>
      <c r="AE1861" s="1346"/>
      <c r="AF1861" s="1347"/>
      <c r="AG1861" s="1348"/>
      <c r="AH1861" s="518"/>
      <c r="AJ1861" s="595"/>
    </row>
    <row r="1862" spans="1:36" hidden="1" x14ac:dyDescent="0.45">
      <c r="A1862" s="518"/>
      <c r="B1862" s="944" t="s">
        <v>1576</v>
      </c>
      <c r="C1862" s="944"/>
      <c r="D1862" s="944"/>
      <c r="E1862" s="944"/>
      <c r="F1862" s="944"/>
      <c r="G1862" s="944"/>
      <c r="H1862" s="944"/>
      <c r="I1862" s="944"/>
      <c r="J1862" s="944"/>
      <c r="K1862" s="944"/>
      <c r="L1862" s="944"/>
      <c r="M1862" s="1340"/>
      <c r="N1862" s="1341"/>
      <c r="O1862" s="1342"/>
      <c r="P1862" s="1340"/>
      <c r="Q1862" s="1341"/>
      <c r="R1862" s="1342"/>
      <c r="S1862" s="1340"/>
      <c r="T1862" s="1341"/>
      <c r="U1862" s="1342"/>
      <c r="V1862" s="1340"/>
      <c r="W1862" s="1341"/>
      <c r="X1862" s="1342"/>
      <c r="Y1862" s="1340"/>
      <c r="Z1862" s="1341"/>
      <c r="AA1862" s="1342"/>
      <c r="AB1862" s="1340"/>
      <c r="AC1862" s="1341"/>
      <c r="AD1862" s="1342"/>
      <c r="AE1862" s="1346"/>
      <c r="AF1862" s="1347"/>
      <c r="AG1862" s="1348"/>
      <c r="AH1862" s="518"/>
      <c r="AJ1862" s="595"/>
    </row>
    <row r="1863" spans="1:36" hidden="1" x14ac:dyDescent="0.45">
      <c r="A1863" s="518"/>
      <c r="B1863" s="944" t="s">
        <v>1575</v>
      </c>
      <c r="C1863" s="944"/>
      <c r="D1863" s="944"/>
      <c r="E1863" s="944"/>
      <c r="F1863" s="944"/>
      <c r="G1863" s="944"/>
      <c r="H1863" s="944"/>
      <c r="I1863" s="944"/>
      <c r="J1863" s="944"/>
      <c r="K1863" s="944"/>
      <c r="L1863" s="944"/>
      <c r="M1863" s="1340"/>
      <c r="N1863" s="1341"/>
      <c r="O1863" s="1342"/>
      <c r="P1863" s="1340"/>
      <c r="Q1863" s="1341"/>
      <c r="R1863" s="1342"/>
      <c r="S1863" s="1340"/>
      <c r="T1863" s="1341"/>
      <c r="U1863" s="1342"/>
      <c r="V1863" s="1340"/>
      <c r="W1863" s="1341"/>
      <c r="X1863" s="1342"/>
      <c r="Y1863" s="1340"/>
      <c r="Z1863" s="1341"/>
      <c r="AA1863" s="1342"/>
      <c r="AB1863" s="1340"/>
      <c r="AC1863" s="1341"/>
      <c r="AD1863" s="1342"/>
      <c r="AE1863" s="1346"/>
      <c r="AF1863" s="1347"/>
      <c r="AG1863" s="1348"/>
      <c r="AH1863" s="518"/>
      <c r="AJ1863" s="595"/>
    </row>
    <row r="1864" spans="1:36" hidden="1" x14ac:dyDescent="0.45">
      <c r="A1864" s="518"/>
      <c r="B1864" s="988"/>
      <c r="C1864" s="988"/>
      <c r="D1864" s="988"/>
      <c r="E1864" s="988"/>
      <c r="F1864" s="988"/>
      <c r="G1864" s="988"/>
      <c r="H1864" s="988"/>
      <c r="I1864" s="988"/>
      <c r="J1864" s="988"/>
      <c r="K1864" s="988"/>
      <c r="L1864" s="988"/>
      <c r="M1864" s="1340"/>
      <c r="N1864" s="1341"/>
      <c r="O1864" s="1342"/>
      <c r="P1864" s="1340"/>
      <c r="Q1864" s="1341"/>
      <c r="R1864" s="1342"/>
      <c r="S1864" s="1340"/>
      <c r="T1864" s="1341"/>
      <c r="U1864" s="1342"/>
      <c r="V1864" s="1340"/>
      <c r="W1864" s="1341"/>
      <c r="X1864" s="1342"/>
      <c r="Y1864" s="1340"/>
      <c r="Z1864" s="1341"/>
      <c r="AA1864" s="1342"/>
      <c r="AB1864" s="1340"/>
      <c r="AC1864" s="1341"/>
      <c r="AD1864" s="1342"/>
      <c r="AE1864" s="1346"/>
      <c r="AF1864" s="1347"/>
      <c r="AG1864" s="1348"/>
      <c r="AH1864" s="518"/>
      <c r="AJ1864" s="595"/>
    </row>
    <row r="1865" spans="1:36" hidden="1" x14ac:dyDescent="0.45">
      <c r="A1865" s="518"/>
      <c r="B1865" s="988"/>
      <c r="C1865" s="988"/>
      <c r="D1865" s="988"/>
      <c r="E1865" s="988"/>
      <c r="F1865" s="988"/>
      <c r="G1865" s="988"/>
      <c r="H1865" s="988"/>
      <c r="I1865" s="988"/>
      <c r="J1865" s="988"/>
      <c r="K1865" s="988"/>
      <c r="L1865" s="988"/>
      <c r="M1865" s="1340"/>
      <c r="N1865" s="1341"/>
      <c r="O1865" s="1342"/>
      <c r="P1865" s="1340"/>
      <c r="Q1865" s="1341"/>
      <c r="R1865" s="1342"/>
      <c r="S1865" s="1340"/>
      <c r="T1865" s="1341"/>
      <c r="U1865" s="1342"/>
      <c r="V1865" s="1340"/>
      <c r="W1865" s="1341"/>
      <c r="X1865" s="1342"/>
      <c r="Y1865" s="1340"/>
      <c r="Z1865" s="1341"/>
      <c r="AA1865" s="1342"/>
      <c r="AB1865" s="1340"/>
      <c r="AC1865" s="1341"/>
      <c r="AD1865" s="1342"/>
      <c r="AE1865" s="1346"/>
      <c r="AF1865" s="1347"/>
      <c r="AG1865" s="1348"/>
      <c r="AH1865" s="518"/>
      <c r="AJ1865" s="595"/>
    </row>
    <row r="1866" spans="1:36" hidden="1" x14ac:dyDescent="0.45">
      <c r="A1866" s="518"/>
      <c r="B1866" s="988"/>
      <c r="C1866" s="988"/>
      <c r="D1866" s="988"/>
      <c r="E1866" s="988"/>
      <c r="F1866" s="988"/>
      <c r="G1866" s="988"/>
      <c r="H1866" s="988"/>
      <c r="I1866" s="988"/>
      <c r="J1866" s="988"/>
      <c r="K1866" s="988"/>
      <c r="L1866" s="988"/>
      <c r="M1866" s="1340"/>
      <c r="N1866" s="1341"/>
      <c r="O1866" s="1342"/>
      <c r="P1866" s="1340"/>
      <c r="Q1866" s="1341"/>
      <c r="R1866" s="1342"/>
      <c r="S1866" s="1340"/>
      <c r="T1866" s="1341"/>
      <c r="U1866" s="1342"/>
      <c r="V1866" s="1340"/>
      <c r="W1866" s="1341"/>
      <c r="X1866" s="1342"/>
      <c r="Y1866" s="1340"/>
      <c r="Z1866" s="1341"/>
      <c r="AA1866" s="1342"/>
      <c r="AB1866" s="1340"/>
      <c r="AC1866" s="1341"/>
      <c r="AD1866" s="1342"/>
      <c r="AE1866" s="1346"/>
      <c r="AF1866" s="1347"/>
      <c r="AG1866" s="1348"/>
      <c r="AH1866" s="518"/>
      <c r="AJ1866" s="595"/>
    </row>
    <row r="1867" spans="1:36" hidden="1" x14ac:dyDescent="0.45">
      <c r="A1867" s="518"/>
      <c r="B1867" s="517"/>
      <c r="C1867" s="517"/>
      <c r="D1867" s="517"/>
      <c r="E1867" s="517"/>
      <c r="F1867" s="517"/>
      <c r="G1867" s="517"/>
      <c r="H1867" s="517"/>
      <c r="I1867" s="518"/>
      <c r="J1867" s="518"/>
      <c r="K1867" s="518"/>
      <c r="L1867" s="518"/>
      <c r="M1867" s="518"/>
      <c r="N1867" s="518"/>
      <c r="O1867" s="518"/>
      <c r="P1867" s="518"/>
      <c r="Q1867" s="518"/>
      <c r="R1867" s="518"/>
      <c r="S1867" s="518"/>
      <c r="T1867" s="518"/>
      <c r="U1867" s="531"/>
      <c r="V1867" s="531"/>
      <c r="W1867" s="531"/>
      <c r="X1867" s="531"/>
      <c r="Y1867" s="531"/>
      <c r="Z1867" s="531"/>
      <c r="AA1867" s="518"/>
      <c r="AB1867" s="518"/>
      <c r="AC1867" s="518"/>
      <c r="AD1867" s="518"/>
      <c r="AE1867" s="518"/>
      <c r="AF1867" s="518"/>
      <c r="AG1867" s="538"/>
      <c r="AH1867" s="518"/>
      <c r="AJ1867" s="595"/>
    </row>
    <row r="1868" spans="1:36" hidden="1" x14ac:dyDescent="0.45">
      <c r="A1868" s="518"/>
      <c r="B1868" s="518"/>
      <c r="C1868" s="518"/>
      <c r="D1868" s="518"/>
      <c r="E1868" s="518"/>
      <c r="F1868" s="518"/>
      <c r="G1868" s="518"/>
      <c r="H1868" s="518"/>
      <c r="I1868" s="518"/>
      <c r="J1868" s="518"/>
      <c r="K1868" s="518"/>
      <c r="L1868" s="518"/>
      <c r="M1868" s="518"/>
      <c r="N1868" s="518"/>
      <c r="O1868" s="518"/>
      <c r="P1868" s="518"/>
      <c r="Q1868" s="518"/>
      <c r="R1868" s="518"/>
      <c r="S1868" s="518"/>
      <c r="T1868" s="518"/>
      <c r="U1868" s="518"/>
      <c r="V1868" s="518"/>
      <c r="W1868" s="518"/>
      <c r="X1868" s="518"/>
      <c r="Y1868" s="518"/>
      <c r="Z1868" s="518"/>
      <c r="AA1868" s="518"/>
      <c r="AB1868" s="518"/>
      <c r="AC1868" s="518"/>
      <c r="AD1868" s="518"/>
      <c r="AE1868" s="518"/>
      <c r="AF1868" s="518"/>
      <c r="AG1868" s="518"/>
      <c r="AH1868" s="518"/>
      <c r="AJ1868" s="595"/>
    </row>
    <row r="1869" spans="1:36" hidden="1" x14ac:dyDescent="0.45">
      <c r="A1869" s="518"/>
      <c r="B1869" s="907" t="str">
        <f>B$1635</f>
        <v>CalHome Homeownership Project Development Loan</v>
      </c>
      <c r="C1869" s="907"/>
      <c r="D1869" s="907"/>
      <c r="E1869" s="907"/>
      <c r="F1869" s="907"/>
      <c r="G1869" s="907"/>
      <c r="H1869" s="907"/>
      <c r="I1869" s="907"/>
      <c r="J1869" s="907"/>
      <c r="K1869" s="907"/>
      <c r="L1869" s="907"/>
      <c r="M1869" s="907"/>
      <c r="N1869" s="907"/>
      <c r="O1869" s="907"/>
      <c r="P1869" s="907"/>
      <c r="Q1869" s="907"/>
      <c r="R1869" s="907"/>
      <c r="S1869" s="907"/>
      <c r="T1869" s="907"/>
      <c r="U1869" s="907"/>
      <c r="V1869" s="907"/>
      <c r="W1869" s="907"/>
      <c r="X1869" s="907"/>
      <c r="Y1869" s="907"/>
      <c r="Z1869" s="907"/>
      <c r="AA1869" s="907"/>
      <c r="AB1869" s="907"/>
      <c r="AC1869" s="907"/>
      <c r="AD1869" s="907"/>
      <c r="AE1869" s="907"/>
      <c r="AF1869" s="907"/>
      <c r="AG1869" s="907"/>
      <c r="AH1869" s="518"/>
      <c r="AJ1869" s="595"/>
    </row>
    <row r="1870" spans="1:36" hidden="1" x14ac:dyDescent="0.45">
      <c r="A1870" s="518"/>
      <c r="B1870" s="518"/>
      <c r="C1870" s="518"/>
      <c r="D1870" s="518"/>
      <c r="E1870" s="518"/>
      <c r="F1870" s="518"/>
      <c r="G1870" s="518"/>
      <c r="H1870" s="518"/>
      <c r="I1870" s="518"/>
      <c r="J1870" s="518"/>
      <c r="K1870" s="518"/>
      <c r="L1870" s="518"/>
      <c r="M1870" s="518"/>
      <c r="N1870" s="518"/>
      <c r="O1870" s="518"/>
      <c r="P1870" s="518"/>
      <c r="Q1870" s="518"/>
      <c r="R1870" s="518"/>
      <c r="S1870" s="518"/>
      <c r="T1870" s="518"/>
      <c r="U1870" s="518"/>
      <c r="V1870" s="518"/>
      <c r="W1870" s="518"/>
      <c r="X1870" s="518"/>
      <c r="Y1870" s="518"/>
      <c r="Z1870" s="518"/>
      <c r="AA1870" s="518"/>
      <c r="AB1870" s="518"/>
      <c r="AC1870" s="518"/>
      <c r="AD1870" s="518"/>
      <c r="AE1870" s="518"/>
      <c r="AF1870" s="518"/>
      <c r="AG1870" s="518"/>
      <c r="AH1870" s="518"/>
      <c r="AJ1870" s="595"/>
    </row>
    <row r="1871" spans="1:36" hidden="1" x14ac:dyDescent="0.45">
      <c r="A1871" s="518"/>
      <c r="B1871" s="907" t="s">
        <v>1580</v>
      </c>
      <c r="C1871" s="907"/>
      <c r="D1871" s="907"/>
      <c r="E1871" s="907"/>
      <c r="F1871" s="907"/>
      <c r="G1871" s="907"/>
      <c r="H1871" s="907"/>
      <c r="I1871" s="907"/>
      <c r="J1871" s="907"/>
      <c r="K1871" s="907"/>
      <c r="L1871" s="907"/>
      <c r="M1871" s="907"/>
      <c r="N1871" s="907"/>
      <c r="O1871" s="907"/>
      <c r="P1871" s="907"/>
      <c r="Q1871" s="907"/>
      <c r="R1871" s="907"/>
      <c r="S1871" s="907"/>
      <c r="T1871" s="907"/>
      <c r="U1871" s="907"/>
      <c r="V1871" s="907"/>
      <c r="W1871" s="907"/>
      <c r="X1871" s="907"/>
      <c r="Y1871" s="907"/>
      <c r="Z1871" s="907"/>
      <c r="AA1871" s="907"/>
      <c r="AB1871" s="907"/>
      <c r="AC1871" s="907"/>
      <c r="AD1871" s="907"/>
      <c r="AE1871" s="907"/>
      <c r="AF1871" s="907"/>
      <c r="AG1871" s="907"/>
      <c r="AH1871" s="518"/>
      <c r="AJ1871" s="595"/>
    </row>
    <row r="1872" spans="1:36" hidden="1" x14ac:dyDescent="0.45">
      <c r="A1872" s="518"/>
      <c r="B1872" s="984" t="s">
        <v>1581</v>
      </c>
      <c r="C1872" s="984"/>
      <c r="D1872" s="984"/>
      <c r="E1872" s="984"/>
      <c r="F1872" s="984"/>
      <c r="G1872" s="984"/>
      <c r="H1872" s="984"/>
      <c r="I1872" s="984"/>
      <c r="J1872" s="984"/>
      <c r="K1872" s="984"/>
      <c r="L1872" s="984"/>
      <c r="M1872" s="984"/>
      <c r="N1872" s="984"/>
      <c r="O1872" s="984"/>
      <c r="P1872" s="984"/>
      <c r="Q1872" s="984"/>
      <c r="R1872" s="984"/>
      <c r="S1872" s="984"/>
      <c r="T1872" s="984"/>
      <c r="U1872" s="984"/>
      <c r="V1872" s="984"/>
      <c r="W1872" s="984"/>
      <c r="X1872" s="984"/>
      <c r="Y1872" s="984"/>
      <c r="Z1872" s="984"/>
      <c r="AA1872" s="984"/>
      <c r="AB1872" s="984"/>
      <c r="AC1872" s="984"/>
      <c r="AD1872" s="984"/>
      <c r="AE1872" s="984"/>
      <c r="AF1872" s="984"/>
      <c r="AG1872" s="984"/>
      <c r="AH1872" s="518"/>
      <c r="AJ1872" s="595"/>
    </row>
    <row r="1873" spans="1:36" hidden="1" x14ac:dyDescent="0.45">
      <c r="A1873" s="518"/>
      <c r="B1873" s="984"/>
      <c r="C1873" s="984"/>
      <c r="D1873" s="984"/>
      <c r="E1873" s="984"/>
      <c r="F1873" s="984"/>
      <c r="G1873" s="984"/>
      <c r="H1873" s="984"/>
      <c r="I1873" s="984"/>
      <c r="J1873" s="984"/>
      <c r="K1873" s="984"/>
      <c r="L1873" s="984"/>
      <c r="M1873" s="984"/>
      <c r="N1873" s="984"/>
      <c r="O1873" s="984"/>
      <c r="P1873" s="984"/>
      <c r="Q1873" s="984"/>
      <c r="R1873" s="984"/>
      <c r="S1873" s="984"/>
      <c r="T1873" s="984"/>
      <c r="U1873" s="984"/>
      <c r="V1873" s="984"/>
      <c r="W1873" s="984"/>
      <c r="X1873" s="984"/>
      <c r="Y1873" s="984"/>
      <c r="Z1873" s="984"/>
      <c r="AA1873" s="984"/>
      <c r="AB1873" s="984"/>
      <c r="AC1873" s="984"/>
      <c r="AD1873" s="984"/>
      <c r="AE1873" s="984"/>
      <c r="AF1873" s="984"/>
      <c r="AG1873" s="984"/>
      <c r="AH1873" s="518"/>
      <c r="AJ1873" s="595"/>
    </row>
    <row r="1874" spans="1:36" hidden="1" x14ac:dyDescent="0.45">
      <c r="A1874" s="518"/>
      <c r="B1874" s="1345"/>
      <c r="C1874" s="1345"/>
      <c r="D1874" s="1345"/>
      <c r="E1874" s="1345"/>
      <c r="F1874" s="1345"/>
      <c r="G1874" s="1345"/>
      <c r="H1874" s="1345"/>
      <c r="I1874" s="1345"/>
      <c r="J1874" s="1345"/>
      <c r="K1874" s="1345"/>
      <c r="L1874" s="1345"/>
      <c r="M1874" s="1345"/>
      <c r="N1874" s="1345"/>
      <c r="O1874" s="1345"/>
      <c r="P1874" s="1345"/>
      <c r="Q1874" s="1345"/>
      <c r="R1874" s="1345"/>
      <c r="S1874" s="1345"/>
      <c r="T1874" s="1345"/>
      <c r="U1874" s="1345"/>
      <c r="V1874" s="1345"/>
      <c r="W1874" s="1345"/>
      <c r="X1874" s="1345"/>
      <c r="Y1874" s="1345"/>
      <c r="Z1874" s="1345"/>
      <c r="AA1874" s="1345"/>
      <c r="AB1874" s="1345"/>
      <c r="AC1874" s="1345"/>
      <c r="AD1874" s="1345"/>
      <c r="AE1874" s="1345"/>
      <c r="AF1874" s="1345"/>
      <c r="AG1874" s="1345"/>
      <c r="AH1874" s="518"/>
      <c r="AJ1874" s="595"/>
    </row>
    <row r="1875" spans="1:36" ht="280" hidden="1" customHeight="1" x14ac:dyDescent="0.45">
      <c r="A1875" s="518"/>
      <c r="B1875" s="975" t="s">
        <v>1464</v>
      </c>
      <c r="C1875" s="976"/>
      <c r="D1875" s="976"/>
      <c r="E1875" s="976"/>
      <c r="F1875" s="976"/>
      <c r="G1875" s="976"/>
      <c r="H1875" s="976"/>
      <c r="I1875" s="976"/>
      <c r="J1875" s="976"/>
      <c r="K1875" s="976"/>
      <c r="L1875" s="976"/>
      <c r="M1875" s="976"/>
      <c r="N1875" s="976"/>
      <c r="O1875" s="976"/>
      <c r="P1875" s="976"/>
      <c r="Q1875" s="976"/>
      <c r="R1875" s="976"/>
      <c r="S1875" s="976"/>
      <c r="T1875" s="976"/>
      <c r="U1875" s="976"/>
      <c r="V1875" s="976"/>
      <c r="W1875" s="976"/>
      <c r="X1875" s="976"/>
      <c r="Y1875" s="976"/>
      <c r="Z1875" s="976"/>
      <c r="AA1875" s="976"/>
      <c r="AB1875" s="976"/>
      <c r="AC1875" s="976"/>
      <c r="AD1875" s="976"/>
      <c r="AE1875" s="976"/>
      <c r="AF1875" s="976"/>
      <c r="AG1875" s="977"/>
      <c r="AH1875" s="518"/>
      <c r="AJ1875" s="595"/>
    </row>
    <row r="1876" spans="1:36" ht="280" hidden="1" customHeight="1" x14ac:dyDescent="0.45">
      <c r="A1876" s="518"/>
      <c r="B1876" s="981"/>
      <c r="C1876" s="982"/>
      <c r="D1876" s="982"/>
      <c r="E1876" s="982"/>
      <c r="F1876" s="982"/>
      <c r="G1876" s="982"/>
      <c r="H1876" s="982"/>
      <c r="I1876" s="982"/>
      <c r="J1876" s="982"/>
      <c r="K1876" s="982"/>
      <c r="L1876" s="982"/>
      <c r="M1876" s="982"/>
      <c r="N1876" s="982"/>
      <c r="O1876" s="982"/>
      <c r="P1876" s="982"/>
      <c r="Q1876" s="982"/>
      <c r="R1876" s="982"/>
      <c r="S1876" s="982"/>
      <c r="T1876" s="982"/>
      <c r="U1876" s="982"/>
      <c r="V1876" s="982"/>
      <c r="W1876" s="982"/>
      <c r="X1876" s="982"/>
      <c r="Y1876" s="982"/>
      <c r="Z1876" s="982"/>
      <c r="AA1876" s="982"/>
      <c r="AB1876" s="982"/>
      <c r="AC1876" s="982"/>
      <c r="AD1876" s="982"/>
      <c r="AE1876" s="982"/>
      <c r="AF1876" s="982"/>
      <c r="AG1876" s="983"/>
      <c r="AH1876" s="518"/>
      <c r="AJ1876" s="595"/>
    </row>
    <row r="1877" spans="1:36" hidden="1" x14ac:dyDescent="0.45">
      <c r="A1877" s="518"/>
      <c r="B1877" s="518"/>
      <c r="C1877" s="518"/>
      <c r="D1877" s="518"/>
      <c r="E1877" s="518"/>
      <c r="F1877" s="518"/>
      <c r="G1877" s="518"/>
      <c r="H1877" s="518"/>
      <c r="I1877" s="518"/>
      <c r="J1877" s="518"/>
      <c r="K1877" s="518"/>
      <c r="L1877" s="518"/>
      <c r="M1877" s="518"/>
      <c r="N1877" s="518"/>
      <c r="O1877" s="518"/>
      <c r="P1877" s="518"/>
      <c r="Q1877" s="518"/>
      <c r="R1877" s="518"/>
      <c r="S1877" s="518"/>
      <c r="T1877" s="518"/>
      <c r="U1877" s="518"/>
      <c r="V1877" s="518"/>
      <c r="W1877" s="518"/>
      <c r="X1877" s="518"/>
      <c r="Y1877" s="518"/>
      <c r="Z1877" s="518"/>
      <c r="AA1877" s="518"/>
      <c r="AB1877" s="518"/>
      <c r="AC1877" s="518"/>
      <c r="AD1877" s="518"/>
      <c r="AE1877" s="518"/>
      <c r="AF1877" s="518"/>
      <c r="AG1877" s="518"/>
      <c r="AH1877" s="518"/>
      <c r="AJ1877" s="595"/>
    </row>
    <row r="1878" spans="1:36" hidden="1" x14ac:dyDescent="0.45">
      <c r="A1878" s="518"/>
      <c r="B1878" s="518"/>
      <c r="C1878" s="518"/>
      <c r="D1878" s="518"/>
      <c r="E1878" s="518"/>
      <c r="F1878" s="518"/>
      <c r="G1878" s="518"/>
      <c r="H1878" s="518"/>
      <c r="I1878" s="518"/>
      <c r="J1878" s="518"/>
      <c r="K1878" s="518"/>
      <c r="L1878" s="518"/>
      <c r="M1878" s="518"/>
      <c r="N1878" s="518"/>
      <c r="O1878" s="518"/>
      <c r="P1878" s="518"/>
      <c r="Q1878" s="518"/>
      <c r="R1878" s="518"/>
      <c r="S1878" s="518"/>
      <c r="T1878" s="518"/>
      <c r="U1878" s="518"/>
      <c r="V1878" s="518"/>
      <c r="W1878" s="518"/>
      <c r="X1878" s="518"/>
      <c r="Y1878" s="518"/>
      <c r="Z1878" s="518"/>
      <c r="AA1878" s="518"/>
      <c r="AB1878" s="518"/>
      <c r="AC1878" s="518"/>
      <c r="AD1878" s="518"/>
      <c r="AE1878" s="518"/>
      <c r="AF1878" s="518"/>
      <c r="AG1878" s="518"/>
      <c r="AH1878" s="518"/>
      <c r="AJ1878" s="595"/>
    </row>
    <row r="1879" spans="1:36" hidden="1" x14ac:dyDescent="0.45">
      <c r="A1879" s="518"/>
      <c r="B1879" s="907" t="str">
        <f>B$1635</f>
        <v>CalHome Homeownership Project Development Loan</v>
      </c>
      <c r="C1879" s="907"/>
      <c r="D1879" s="907"/>
      <c r="E1879" s="907"/>
      <c r="F1879" s="907"/>
      <c r="G1879" s="907"/>
      <c r="H1879" s="907"/>
      <c r="I1879" s="907"/>
      <c r="J1879" s="907"/>
      <c r="K1879" s="907"/>
      <c r="L1879" s="907"/>
      <c r="M1879" s="907"/>
      <c r="N1879" s="907"/>
      <c r="O1879" s="907"/>
      <c r="P1879" s="907"/>
      <c r="Q1879" s="907"/>
      <c r="R1879" s="907"/>
      <c r="S1879" s="907"/>
      <c r="T1879" s="907"/>
      <c r="U1879" s="907"/>
      <c r="V1879" s="907"/>
      <c r="W1879" s="907"/>
      <c r="X1879" s="907"/>
      <c r="Y1879" s="907"/>
      <c r="Z1879" s="907"/>
      <c r="AA1879" s="907"/>
      <c r="AB1879" s="907"/>
      <c r="AC1879" s="907"/>
      <c r="AD1879" s="907"/>
      <c r="AE1879" s="907"/>
      <c r="AF1879" s="907"/>
      <c r="AG1879" s="907"/>
      <c r="AH1879" s="518"/>
      <c r="AJ1879" s="595"/>
    </row>
    <row r="1880" spans="1:36" hidden="1" x14ac:dyDescent="0.45">
      <c r="A1880" s="518"/>
      <c r="B1880" s="518"/>
      <c r="C1880" s="518"/>
      <c r="D1880" s="518"/>
      <c r="E1880" s="518"/>
      <c r="F1880" s="518"/>
      <c r="G1880" s="518"/>
      <c r="H1880" s="518"/>
      <c r="I1880" s="518"/>
      <c r="J1880" s="518"/>
      <c r="K1880" s="518"/>
      <c r="L1880" s="518"/>
      <c r="M1880" s="518"/>
      <c r="N1880" s="518"/>
      <c r="O1880" s="518"/>
      <c r="P1880" s="518"/>
      <c r="Q1880" s="518"/>
      <c r="R1880" s="518"/>
      <c r="S1880" s="518"/>
      <c r="T1880" s="518"/>
      <c r="U1880" s="518"/>
      <c r="V1880" s="518"/>
      <c r="W1880" s="518"/>
      <c r="X1880" s="518"/>
      <c r="Y1880" s="518"/>
      <c r="Z1880" s="518"/>
      <c r="AA1880" s="518"/>
      <c r="AB1880" s="518"/>
      <c r="AC1880" s="518"/>
      <c r="AD1880" s="518"/>
      <c r="AE1880" s="518"/>
      <c r="AF1880" s="518"/>
      <c r="AG1880" s="518"/>
      <c r="AH1880" s="518"/>
      <c r="AJ1880" s="595"/>
    </row>
    <row r="1881" spans="1:36" hidden="1" x14ac:dyDescent="0.45">
      <c r="A1881" s="518"/>
      <c r="B1881" s="907" t="s">
        <v>101</v>
      </c>
      <c r="C1881" s="907"/>
      <c r="D1881" s="907"/>
      <c r="E1881" s="907"/>
      <c r="F1881" s="907"/>
      <c r="G1881" s="907"/>
      <c r="H1881" s="907"/>
      <c r="I1881" s="907"/>
      <c r="J1881" s="907"/>
      <c r="K1881" s="907"/>
      <c r="L1881" s="907"/>
      <c r="M1881" s="907"/>
      <c r="N1881" s="907"/>
      <c r="O1881" s="907"/>
      <c r="P1881" s="907"/>
      <c r="Q1881" s="907"/>
      <c r="R1881" s="907"/>
      <c r="S1881" s="907"/>
      <c r="T1881" s="907"/>
      <c r="U1881" s="907"/>
      <c r="V1881" s="907"/>
      <c r="W1881" s="907"/>
      <c r="X1881" s="907"/>
      <c r="Y1881" s="907"/>
      <c r="Z1881" s="907"/>
      <c r="AA1881" s="907"/>
      <c r="AB1881" s="907"/>
      <c r="AC1881" s="907"/>
      <c r="AD1881" s="907"/>
      <c r="AE1881" s="907"/>
      <c r="AF1881" s="907"/>
      <c r="AG1881" s="907"/>
      <c r="AH1881" s="518"/>
      <c r="AJ1881" s="595"/>
    </row>
    <row r="1882" spans="1:36" hidden="1" x14ac:dyDescent="0.45">
      <c r="A1882" s="518"/>
      <c r="B1882" s="987" t="s">
        <v>1582</v>
      </c>
      <c r="C1882" s="987"/>
      <c r="D1882" s="987"/>
      <c r="E1882" s="987"/>
      <c r="F1882" s="987"/>
      <c r="G1882" s="987"/>
      <c r="H1882" s="987"/>
      <c r="I1882" s="987"/>
      <c r="J1882" s="987"/>
      <c r="K1882" s="987"/>
      <c r="L1882" s="987"/>
      <c r="M1882" s="987"/>
      <c r="N1882" s="987"/>
      <c r="O1882" s="987"/>
      <c r="P1882" s="987"/>
      <c r="Q1882" s="987"/>
      <c r="R1882" s="987"/>
      <c r="S1882" s="987"/>
      <c r="T1882" s="987"/>
      <c r="U1882" s="987"/>
      <c r="V1882" s="987"/>
      <c r="W1882" s="987"/>
      <c r="X1882" s="987"/>
      <c r="Y1882" s="987"/>
      <c r="Z1882" s="987"/>
      <c r="AA1882" s="987"/>
      <c r="AB1882" s="987"/>
      <c r="AC1882" s="987"/>
      <c r="AD1882" s="987"/>
      <c r="AE1882" s="987"/>
      <c r="AF1882" s="987"/>
      <c r="AG1882" s="987"/>
      <c r="AH1882" s="518"/>
      <c r="AJ1882" s="595"/>
    </row>
    <row r="1883" spans="1:36" hidden="1" x14ac:dyDescent="0.45">
      <c r="A1883" s="518"/>
      <c r="B1883" s="987"/>
      <c r="C1883" s="987"/>
      <c r="D1883" s="987"/>
      <c r="E1883" s="987"/>
      <c r="F1883" s="987"/>
      <c r="G1883" s="987"/>
      <c r="H1883" s="987"/>
      <c r="I1883" s="987"/>
      <c r="J1883" s="987"/>
      <c r="K1883" s="987"/>
      <c r="L1883" s="987"/>
      <c r="M1883" s="987"/>
      <c r="N1883" s="987"/>
      <c r="O1883" s="987"/>
      <c r="P1883" s="987"/>
      <c r="Q1883" s="987"/>
      <c r="R1883" s="987"/>
      <c r="S1883" s="987"/>
      <c r="T1883" s="987"/>
      <c r="U1883" s="987"/>
      <c r="V1883" s="987"/>
      <c r="W1883" s="987"/>
      <c r="X1883" s="987"/>
      <c r="Y1883" s="987"/>
      <c r="Z1883" s="987"/>
      <c r="AA1883" s="987"/>
      <c r="AB1883" s="987"/>
      <c r="AC1883" s="987"/>
      <c r="AD1883" s="987"/>
      <c r="AE1883" s="987"/>
      <c r="AF1883" s="987"/>
      <c r="AG1883" s="987"/>
      <c r="AH1883" s="518"/>
      <c r="AJ1883" s="595"/>
    </row>
    <row r="1884" spans="1:36" ht="280" hidden="1" customHeight="1" x14ac:dyDescent="0.45">
      <c r="A1884" s="518"/>
      <c r="B1884" s="975" t="s">
        <v>1464</v>
      </c>
      <c r="C1884" s="976"/>
      <c r="D1884" s="976"/>
      <c r="E1884" s="976"/>
      <c r="F1884" s="976"/>
      <c r="G1884" s="976"/>
      <c r="H1884" s="976"/>
      <c r="I1884" s="976"/>
      <c r="J1884" s="976"/>
      <c r="K1884" s="976"/>
      <c r="L1884" s="976"/>
      <c r="M1884" s="976"/>
      <c r="N1884" s="976"/>
      <c r="O1884" s="976"/>
      <c r="P1884" s="976"/>
      <c r="Q1884" s="976"/>
      <c r="R1884" s="976"/>
      <c r="S1884" s="976"/>
      <c r="T1884" s="976"/>
      <c r="U1884" s="976"/>
      <c r="V1884" s="976"/>
      <c r="W1884" s="976"/>
      <c r="X1884" s="976"/>
      <c r="Y1884" s="976"/>
      <c r="Z1884" s="976"/>
      <c r="AA1884" s="976"/>
      <c r="AB1884" s="976"/>
      <c r="AC1884" s="976"/>
      <c r="AD1884" s="976"/>
      <c r="AE1884" s="976"/>
      <c r="AF1884" s="976"/>
      <c r="AG1884" s="977"/>
      <c r="AH1884" s="518"/>
      <c r="AJ1884" s="595"/>
    </row>
    <row r="1885" spans="1:36" ht="280" hidden="1" customHeight="1" x14ac:dyDescent="0.45">
      <c r="A1885" s="518"/>
      <c r="B1885" s="981"/>
      <c r="C1885" s="982"/>
      <c r="D1885" s="982"/>
      <c r="E1885" s="982"/>
      <c r="F1885" s="982"/>
      <c r="G1885" s="982"/>
      <c r="H1885" s="982"/>
      <c r="I1885" s="982"/>
      <c r="J1885" s="982"/>
      <c r="K1885" s="982"/>
      <c r="L1885" s="982"/>
      <c r="M1885" s="982"/>
      <c r="N1885" s="982"/>
      <c r="O1885" s="982"/>
      <c r="P1885" s="982"/>
      <c r="Q1885" s="982"/>
      <c r="R1885" s="982"/>
      <c r="S1885" s="982"/>
      <c r="T1885" s="982"/>
      <c r="U1885" s="982"/>
      <c r="V1885" s="982"/>
      <c r="W1885" s="982"/>
      <c r="X1885" s="982"/>
      <c r="Y1885" s="982"/>
      <c r="Z1885" s="982"/>
      <c r="AA1885" s="982"/>
      <c r="AB1885" s="982"/>
      <c r="AC1885" s="982"/>
      <c r="AD1885" s="982"/>
      <c r="AE1885" s="982"/>
      <c r="AF1885" s="982"/>
      <c r="AG1885" s="983"/>
      <c r="AH1885" s="518"/>
      <c r="AJ1885" s="595"/>
    </row>
    <row r="1886" spans="1:36" hidden="1" x14ac:dyDescent="0.45">
      <c r="A1886" s="518"/>
      <c r="B1886" s="517"/>
      <c r="C1886" s="517"/>
      <c r="D1886" s="517"/>
      <c r="E1886" s="517"/>
      <c r="F1886" s="517"/>
      <c r="G1886" s="517"/>
      <c r="H1886" s="517"/>
      <c r="I1886" s="517"/>
      <c r="J1886" s="517"/>
      <c r="K1886" s="517"/>
      <c r="L1886" s="517"/>
      <c r="M1886" s="517"/>
      <c r="N1886" s="517"/>
      <c r="O1886" s="517"/>
      <c r="P1886" s="517"/>
      <c r="Q1886" s="517"/>
      <c r="R1886" s="517"/>
      <c r="S1886" s="517"/>
      <c r="T1886" s="517"/>
      <c r="U1886" s="517"/>
      <c r="V1886" s="517"/>
      <c r="W1886" s="517"/>
      <c r="X1886" s="517"/>
      <c r="Y1886" s="517"/>
      <c r="Z1886" s="517"/>
      <c r="AA1886" s="517"/>
      <c r="AB1886" s="517"/>
      <c r="AC1886" s="517"/>
      <c r="AD1886" s="517"/>
      <c r="AE1886" s="517"/>
      <c r="AF1886" s="517"/>
      <c r="AG1886" s="517"/>
      <c r="AH1886" s="518"/>
      <c r="AJ1886" s="595"/>
    </row>
    <row r="1887" spans="1:36" hidden="1" x14ac:dyDescent="0.45">
      <c r="A1887" s="518"/>
      <c r="B1887" s="518"/>
      <c r="C1887" s="518"/>
      <c r="D1887" s="518"/>
      <c r="E1887" s="518"/>
      <c r="F1887" s="518"/>
      <c r="G1887" s="518"/>
      <c r="H1887" s="518"/>
      <c r="I1887" s="518"/>
      <c r="J1887" s="518"/>
      <c r="K1887" s="518"/>
      <c r="L1887" s="518"/>
      <c r="M1887" s="518"/>
      <c r="N1887" s="518"/>
      <c r="O1887" s="518"/>
      <c r="P1887" s="518"/>
      <c r="Q1887" s="518"/>
      <c r="R1887" s="518"/>
      <c r="S1887" s="518"/>
      <c r="T1887" s="518"/>
      <c r="U1887" s="518"/>
      <c r="V1887" s="518"/>
      <c r="W1887" s="518"/>
      <c r="X1887" s="518"/>
      <c r="Y1887" s="518"/>
      <c r="Z1887" s="518"/>
      <c r="AA1887" s="518"/>
      <c r="AB1887" s="518"/>
      <c r="AC1887" s="518"/>
      <c r="AD1887" s="518"/>
      <c r="AE1887" s="518"/>
      <c r="AF1887" s="518"/>
      <c r="AG1887" s="518"/>
      <c r="AH1887" s="518"/>
      <c r="AJ1887" s="595"/>
    </row>
    <row r="1888" spans="1:36" hidden="1" x14ac:dyDescent="0.45">
      <c r="A1888" s="518"/>
      <c r="B1888" s="923" t="str">
        <f>B$1635</f>
        <v>CalHome Homeownership Project Development Loan</v>
      </c>
      <c r="C1888" s="923"/>
      <c r="D1888" s="923"/>
      <c r="E1888" s="923"/>
      <c r="F1888" s="923"/>
      <c r="G1888" s="923"/>
      <c r="H1888" s="923"/>
      <c r="I1888" s="923"/>
      <c r="J1888" s="923"/>
      <c r="K1888" s="923"/>
      <c r="L1888" s="923"/>
      <c r="M1888" s="923"/>
      <c r="N1888" s="923"/>
      <c r="O1888" s="923"/>
      <c r="P1888" s="923"/>
      <c r="Q1888" s="923"/>
      <c r="R1888" s="923"/>
      <c r="S1888" s="923"/>
      <c r="T1888" s="923"/>
      <c r="U1888" s="923"/>
      <c r="V1888" s="923"/>
      <c r="W1888" s="923"/>
      <c r="X1888" s="923"/>
      <c r="Y1888" s="923"/>
      <c r="Z1888" s="923"/>
      <c r="AA1888" s="923"/>
      <c r="AB1888" s="923"/>
      <c r="AC1888" s="923"/>
      <c r="AD1888" s="923"/>
      <c r="AE1888" s="923"/>
      <c r="AF1888" s="923"/>
      <c r="AG1888" s="923"/>
      <c r="AH1888" s="518"/>
      <c r="AJ1888" s="595"/>
    </row>
    <row r="1889" spans="1:36" hidden="1" x14ac:dyDescent="0.45">
      <c r="A1889" s="518"/>
      <c r="B1889" s="518"/>
      <c r="C1889" s="518"/>
      <c r="D1889" s="518"/>
      <c r="E1889" s="518"/>
      <c r="F1889" s="518"/>
      <c r="G1889" s="518"/>
      <c r="H1889" s="518"/>
      <c r="I1889" s="518"/>
      <c r="J1889" s="518"/>
      <c r="K1889" s="518"/>
      <c r="L1889" s="518"/>
      <c r="M1889" s="518"/>
      <c r="N1889" s="518"/>
      <c r="O1889" s="518"/>
      <c r="P1889" s="518"/>
      <c r="Q1889" s="518"/>
      <c r="R1889" s="518"/>
      <c r="S1889" s="518"/>
      <c r="T1889" s="518"/>
      <c r="U1889" s="518"/>
      <c r="V1889" s="518"/>
      <c r="W1889" s="518"/>
      <c r="X1889" s="518"/>
      <c r="Y1889" s="518"/>
      <c r="Z1889" s="518"/>
      <c r="AA1889" s="518"/>
      <c r="AB1889" s="518"/>
      <c r="AC1889" s="518"/>
      <c r="AD1889" s="518"/>
      <c r="AE1889" s="518"/>
      <c r="AF1889" s="518"/>
      <c r="AG1889" s="518"/>
      <c r="AH1889" s="518"/>
      <c r="AJ1889" s="595"/>
    </row>
    <row r="1890" spans="1:36" hidden="1" x14ac:dyDescent="0.45">
      <c r="A1890" s="518"/>
      <c r="B1890" s="923" t="s">
        <v>1785</v>
      </c>
      <c r="C1890" s="923"/>
      <c r="D1890" s="923"/>
      <c r="E1890" s="923"/>
      <c r="F1890" s="923"/>
      <c r="G1890" s="923"/>
      <c r="H1890" s="923"/>
      <c r="I1890" s="923"/>
      <c r="J1890" s="923"/>
      <c r="K1890" s="923"/>
      <c r="L1890" s="923"/>
      <c r="M1890" s="923"/>
      <c r="N1890" s="923"/>
      <c r="O1890" s="923"/>
      <c r="P1890" s="923"/>
      <c r="Q1890" s="923"/>
      <c r="R1890" s="923"/>
      <c r="S1890" s="923"/>
      <c r="T1890" s="923"/>
      <c r="U1890" s="923"/>
      <c r="V1890" s="923"/>
      <c r="W1890" s="923"/>
      <c r="X1890" s="923"/>
      <c r="Y1890" s="923"/>
      <c r="Z1890" s="923"/>
      <c r="AA1890" s="923"/>
      <c r="AB1890" s="923"/>
      <c r="AC1890" s="923"/>
      <c r="AD1890" s="923"/>
      <c r="AE1890" s="923"/>
      <c r="AF1890" s="923"/>
      <c r="AG1890" s="923"/>
      <c r="AH1890" s="518"/>
      <c r="AJ1890" s="595"/>
    </row>
    <row r="1891" spans="1:36" hidden="1" x14ac:dyDescent="0.45">
      <c r="A1891" s="518"/>
      <c r="B1891" s="984" t="s">
        <v>1786</v>
      </c>
      <c r="C1891" s="984"/>
      <c r="D1891" s="984"/>
      <c r="E1891" s="984"/>
      <c r="F1891" s="984"/>
      <c r="G1891" s="984"/>
      <c r="H1891" s="984"/>
      <c r="I1891" s="984"/>
      <c r="J1891" s="984"/>
      <c r="K1891" s="984"/>
      <c r="L1891" s="984"/>
      <c r="M1891" s="984"/>
      <c r="N1891" s="984"/>
      <c r="O1891" s="984"/>
      <c r="P1891" s="984"/>
      <c r="Q1891" s="984"/>
      <c r="R1891" s="984"/>
      <c r="S1891" s="984"/>
      <c r="T1891" s="984"/>
      <c r="U1891" s="984"/>
      <c r="V1891" s="984"/>
      <c r="W1891" s="984"/>
      <c r="X1891" s="984"/>
      <c r="Y1891" s="984"/>
      <c r="Z1891" s="984"/>
      <c r="AA1891" s="540"/>
      <c r="AB1891" s="540"/>
      <c r="AC1891" s="540"/>
      <c r="AD1891" s="540"/>
      <c r="AE1891" s="540"/>
      <c r="AF1891" s="540"/>
      <c r="AG1891" s="540"/>
      <c r="AH1891" s="518"/>
      <c r="AJ1891" s="595"/>
    </row>
    <row r="1892" spans="1:36" hidden="1" x14ac:dyDescent="0.45">
      <c r="A1892" s="518"/>
      <c r="B1892" s="984"/>
      <c r="C1892" s="984"/>
      <c r="D1892" s="984"/>
      <c r="E1892" s="984"/>
      <c r="F1892" s="984"/>
      <c r="G1892" s="984"/>
      <c r="H1892" s="984"/>
      <c r="I1892" s="984"/>
      <c r="J1892" s="984"/>
      <c r="K1892" s="984"/>
      <c r="L1892" s="984"/>
      <c r="M1892" s="984"/>
      <c r="N1892" s="984"/>
      <c r="O1892" s="984"/>
      <c r="P1892" s="984"/>
      <c r="Q1892" s="984"/>
      <c r="R1892" s="984"/>
      <c r="S1892" s="984"/>
      <c r="T1892" s="984"/>
      <c r="U1892" s="984"/>
      <c r="V1892" s="984"/>
      <c r="W1892" s="984"/>
      <c r="X1892" s="984"/>
      <c r="Y1892" s="984"/>
      <c r="Z1892" s="984"/>
      <c r="AA1892" s="540"/>
      <c r="AB1892" s="540"/>
      <c r="AC1892" s="540"/>
      <c r="AD1892" s="540"/>
      <c r="AE1892" s="540"/>
      <c r="AF1892" s="540"/>
      <c r="AG1892" s="540"/>
      <c r="AH1892" s="518"/>
      <c r="AJ1892" s="595"/>
    </row>
    <row r="1893" spans="1:36" hidden="1" x14ac:dyDescent="0.45">
      <c r="A1893" s="518"/>
      <c r="B1893" s="518"/>
      <c r="C1893" s="518"/>
      <c r="D1893" s="518"/>
      <c r="E1893" s="518"/>
      <c r="F1893" s="518"/>
      <c r="G1893" s="518"/>
      <c r="H1893" s="518"/>
      <c r="I1893" s="518"/>
      <c r="J1893" s="518"/>
      <c r="K1893" s="518"/>
      <c r="L1893" s="518"/>
      <c r="M1893" s="518"/>
      <c r="N1893" s="518"/>
      <c r="O1893" s="518"/>
      <c r="P1893" s="518"/>
      <c r="Q1893" s="518"/>
      <c r="R1893" s="518"/>
      <c r="S1893" s="518"/>
      <c r="T1893" s="518"/>
      <c r="U1893" s="518"/>
      <c r="V1893" s="518"/>
      <c r="W1893" s="518"/>
      <c r="X1893" s="518"/>
      <c r="Y1893" s="518"/>
      <c r="Z1893" s="518"/>
      <c r="AA1893" s="518"/>
      <c r="AB1893" s="518"/>
      <c r="AC1893" s="518"/>
      <c r="AD1893" s="518"/>
      <c r="AE1893" s="518"/>
      <c r="AF1893" s="518"/>
      <c r="AG1893" s="518"/>
      <c r="AH1893" s="518"/>
      <c r="AJ1893" s="595"/>
    </row>
    <row r="1894" spans="1:36" hidden="1" x14ac:dyDescent="0.45">
      <c r="A1894" s="518"/>
      <c r="B1894" s="985"/>
      <c r="C1894" s="985"/>
      <c r="D1894" s="985"/>
      <c r="E1894" s="985"/>
      <c r="F1894" s="518"/>
      <c r="G1894" s="986" t="s">
        <v>104</v>
      </c>
      <c r="H1894" s="986"/>
      <c r="I1894" s="986"/>
      <c r="J1894" s="986"/>
      <c r="K1894" s="986"/>
      <c r="L1894" s="986"/>
      <c r="M1894" s="986"/>
      <c r="N1894" s="986"/>
      <c r="O1894" s="986"/>
      <c r="P1894" s="986"/>
      <c r="Q1894" s="986"/>
      <c r="R1894" s="986"/>
      <c r="S1894" s="986"/>
      <c r="T1894" s="986"/>
      <c r="U1894" s="986"/>
      <c r="V1894" s="986"/>
      <c r="W1894" s="986"/>
      <c r="X1894" s="986"/>
      <c r="Y1894" s="518"/>
      <c r="Z1894" s="518"/>
      <c r="AA1894" s="518"/>
      <c r="AB1894" s="518"/>
      <c r="AC1894" s="518"/>
      <c r="AD1894" s="518"/>
      <c r="AE1894" s="518"/>
      <c r="AF1894" s="518"/>
      <c r="AG1894" s="518"/>
      <c r="AH1894" s="518"/>
      <c r="AJ1894" s="595"/>
    </row>
    <row r="1895" spans="1:36" hidden="1" x14ac:dyDescent="0.45">
      <c r="A1895" s="518"/>
      <c r="B1895" s="985"/>
      <c r="C1895" s="985"/>
      <c r="D1895" s="985"/>
      <c r="E1895" s="985"/>
      <c r="F1895" s="518"/>
      <c r="G1895" s="986" t="s">
        <v>105</v>
      </c>
      <c r="H1895" s="986"/>
      <c r="I1895" s="986"/>
      <c r="J1895" s="986"/>
      <c r="K1895" s="986"/>
      <c r="L1895" s="986"/>
      <c r="M1895" s="986"/>
      <c r="N1895" s="986"/>
      <c r="O1895" s="986"/>
      <c r="P1895" s="986"/>
      <c r="Q1895" s="986"/>
      <c r="R1895" s="986"/>
      <c r="S1895" s="986"/>
      <c r="T1895" s="986"/>
      <c r="U1895" s="986"/>
      <c r="V1895" s="986"/>
      <c r="W1895" s="986"/>
      <c r="X1895" s="986"/>
      <c r="Y1895" s="518"/>
      <c r="Z1895" s="518"/>
      <c r="AA1895" s="518"/>
      <c r="AB1895" s="518"/>
      <c r="AC1895" s="518"/>
      <c r="AD1895" s="518"/>
      <c r="AE1895" s="518"/>
      <c r="AF1895" s="518"/>
      <c r="AG1895" s="518"/>
      <c r="AH1895" s="518"/>
      <c r="AJ1895" s="595"/>
    </row>
    <row r="1896" spans="1:36" hidden="1" x14ac:dyDescent="0.45">
      <c r="A1896" s="518"/>
      <c r="B1896" s="985"/>
      <c r="C1896" s="985"/>
      <c r="D1896" s="985"/>
      <c r="E1896" s="985"/>
      <c r="F1896" s="518"/>
      <c r="G1896" s="986" t="s">
        <v>1787</v>
      </c>
      <c r="H1896" s="986"/>
      <c r="I1896" s="986"/>
      <c r="J1896" s="986"/>
      <c r="K1896" s="986"/>
      <c r="L1896" s="986"/>
      <c r="M1896" s="986"/>
      <c r="N1896" s="986"/>
      <c r="O1896" s="986"/>
      <c r="P1896" s="986"/>
      <c r="Q1896" s="986"/>
      <c r="R1896" s="986"/>
      <c r="S1896" s="986"/>
      <c r="T1896" s="986"/>
      <c r="U1896" s="986"/>
      <c r="V1896" s="986"/>
      <c r="W1896" s="986"/>
      <c r="X1896" s="986"/>
      <c r="Y1896" s="518"/>
      <c r="Z1896" s="518"/>
      <c r="AA1896" s="518"/>
      <c r="AB1896" s="518"/>
      <c r="AC1896" s="518"/>
      <c r="AD1896" s="518"/>
      <c r="AE1896" s="518"/>
      <c r="AF1896" s="518"/>
      <c r="AG1896" s="518"/>
      <c r="AH1896" s="518"/>
      <c r="AJ1896" s="595"/>
    </row>
    <row r="1897" spans="1:36" hidden="1" x14ac:dyDescent="0.45">
      <c r="A1897" s="518"/>
      <c r="B1897" s="518"/>
      <c r="C1897" s="518"/>
      <c r="D1897" s="518"/>
      <c r="E1897" s="518"/>
      <c r="F1897" s="518"/>
      <c r="G1897" s="518"/>
      <c r="H1897" s="518"/>
      <c r="I1897" s="518"/>
      <c r="J1897" s="518"/>
      <c r="K1897" s="518"/>
      <c r="L1897" s="518"/>
      <c r="M1897" s="518"/>
      <c r="N1897" s="518"/>
      <c r="O1897" s="518"/>
      <c r="P1897" s="518"/>
      <c r="Q1897" s="518"/>
      <c r="R1897" s="518"/>
      <c r="S1897" s="518"/>
      <c r="T1897" s="518"/>
      <c r="U1897" s="518"/>
      <c r="V1897" s="518"/>
      <c r="W1897" s="518"/>
      <c r="X1897" s="518"/>
      <c r="Y1897" s="518"/>
      <c r="Z1897" s="518"/>
      <c r="AA1897" s="518"/>
      <c r="AB1897" s="518"/>
      <c r="AC1897" s="518"/>
      <c r="AD1897" s="518"/>
      <c r="AE1897" s="518"/>
      <c r="AF1897" s="518"/>
      <c r="AG1897" s="518"/>
      <c r="AH1897" s="518"/>
      <c r="AJ1897" s="595"/>
    </row>
    <row r="1898" spans="1:36" hidden="1" x14ac:dyDescent="0.45">
      <c r="A1898" s="518"/>
      <c r="B1898" s="517" t="s">
        <v>1788</v>
      </c>
      <c r="C1898" s="517"/>
      <c r="D1898" s="517"/>
      <c r="E1898" s="517"/>
      <c r="F1898" s="517"/>
      <c r="G1898" s="517"/>
      <c r="H1898" s="517"/>
      <c r="I1898" s="517"/>
      <c r="J1898" s="517"/>
      <c r="K1898" s="517"/>
      <c r="L1898" s="517"/>
      <c r="M1898" s="517"/>
      <c r="N1898" s="517"/>
      <c r="O1898" s="517"/>
      <c r="P1898" s="517"/>
      <c r="Q1898" s="517"/>
      <c r="R1898" s="517"/>
      <c r="S1898" s="517"/>
      <c r="T1898" s="517"/>
      <c r="U1898" s="517"/>
      <c r="V1898" s="517"/>
      <c r="W1898" s="517"/>
      <c r="X1898" s="517"/>
      <c r="Y1898" s="517"/>
      <c r="Z1898" s="517"/>
      <c r="AA1898" s="517"/>
      <c r="AB1898" s="517"/>
      <c r="AC1898" s="518"/>
      <c r="AD1898" s="518"/>
      <c r="AE1898" s="518"/>
      <c r="AF1898" s="517"/>
      <c r="AG1898" s="517"/>
      <c r="AH1898" s="518"/>
      <c r="AJ1898" s="595"/>
    </row>
    <row r="1899" spans="1:36" hidden="1" x14ac:dyDescent="0.45">
      <c r="A1899" s="518"/>
      <c r="B1899" s="518"/>
      <c r="C1899" s="518"/>
      <c r="D1899" s="518"/>
      <c r="E1899" s="518"/>
      <c r="F1899" s="518"/>
      <c r="G1899" s="518"/>
      <c r="H1899" s="518"/>
      <c r="I1899" s="518"/>
      <c r="J1899" s="518"/>
      <c r="K1899" s="518"/>
      <c r="L1899" s="518"/>
      <c r="M1899" s="518"/>
      <c r="N1899" s="518"/>
      <c r="O1899" s="518"/>
      <c r="P1899" s="518"/>
      <c r="Q1899" s="518"/>
      <c r="R1899" s="518"/>
      <c r="S1899" s="518"/>
      <c r="T1899" s="518"/>
      <c r="U1899" s="518"/>
      <c r="V1899" s="518"/>
      <c r="W1899" s="518"/>
      <c r="X1899" s="518"/>
      <c r="Y1899" s="518"/>
      <c r="Z1899" s="518"/>
      <c r="AA1899" s="518"/>
      <c r="AB1899" s="518"/>
      <c r="AC1899" s="518"/>
      <c r="AD1899" s="518"/>
      <c r="AE1899" s="518"/>
      <c r="AF1899" s="518"/>
      <c r="AG1899" s="518"/>
      <c r="AH1899" s="518"/>
      <c r="AJ1899" s="595"/>
    </row>
    <row r="1900" spans="1:36" hidden="1" x14ac:dyDescent="0.45">
      <c r="A1900" s="518"/>
      <c r="B1900" s="617" t="s">
        <v>1789</v>
      </c>
      <c r="C1900" s="618"/>
      <c r="D1900" s="618"/>
      <c r="E1900" s="618"/>
      <c r="F1900" s="618"/>
      <c r="G1900" s="618"/>
      <c r="H1900" s="618"/>
      <c r="I1900" s="618"/>
      <c r="J1900" s="618"/>
      <c r="K1900" s="618"/>
      <c r="L1900" s="618"/>
      <c r="M1900" s="618"/>
      <c r="N1900" s="618"/>
      <c r="O1900" s="618"/>
      <c r="P1900" s="618"/>
      <c r="Q1900" s="618"/>
      <c r="R1900" s="618"/>
      <c r="S1900" s="618"/>
      <c r="T1900" s="618"/>
      <c r="U1900" s="618"/>
      <c r="V1900" s="618"/>
      <c r="W1900" s="617"/>
      <c r="X1900" s="617"/>
      <c r="Y1900" s="901"/>
      <c r="Z1900" s="901"/>
      <c r="AA1900" s="901"/>
      <c r="AB1900" s="901"/>
      <c r="AC1900" s="518"/>
      <c r="AD1900" s="518"/>
      <c r="AE1900" s="518"/>
      <c r="AF1900" s="575"/>
      <c r="AG1900" s="575"/>
      <c r="AH1900" s="518"/>
      <c r="AJ1900" s="595"/>
    </row>
    <row r="1901" spans="1:36" hidden="1" x14ac:dyDescent="0.45">
      <c r="A1901" s="518"/>
      <c r="B1901" s="532" t="s">
        <v>1791</v>
      </c>
      <c r="C1901" s="616"/>
      <c r="D1901" s="616"/>
      <c r="E1901" s="616"/>
      <c r="F1901" s="616"/>
      <c r="G1901" s="616"/>
      <c r="H1901" s="616"/>
      <c r="I1901" s="616"/>
      <c r="J1901" s="616"/>
      <c r="K1901" s="616"/>
      <c r="L1901" s="616"/>
      <c r="M1901" s="616"/>
      <c r="N1901" s="616"/>
      <c r="O1901" s="616"/>
      <c r="P1901" s="616"/>
      <c r="Q1901" s="616"/>
      <c r="R1901" s="616"/>
      <c r="S1901" s="616"/>
      <c r="T1901" s="616"/>
      <c r="U1901" s="616"/>
      <c r="V1901" s="616"/>
      <c r="W1901" s="532"/>
      <c r="X1901" s="532"/>
      <c r="Y1901" s="905"/>
      <c r="Z1901" s="905"/>
      <c r="AA1901" s="905"/>
      <c r="AB1901" s="905"/>
      <c r="AC1901" s="518"/>
      <c r="AD1901" s="518"/>
      <c r="AE1901" s="518"/>
      <c r="AF1901" s="575"/>
      <c r="AG1901" s="575"/>
      <c r="AH1901" s="518"/>
      <c r="AJ1901" s="595"/>
    </row>
    <row r="1902" spans="1:36" hidden="1" x14ac:dyDescent="0.45">
      <c r="A1902" s="518"/>
      <c r="B1902" s="617" t="s">
        <v>1790</v>
      </c>
      <c r="C1902" s="618"/>
      <c r="D1902" s="618"/>
      <c r="E1902" s="618"/>
      <c r="F1902" s="618"/>
      <c r="G1902" s="618"/>
      <c r="H1902" s="618"/>
      <c r="I1902" s="618"/>
      <c r="J1902" s="618"/>
      <c r="K1902" s="618"/>
      <c r="L1902" s="618"/>
      <c r="M1902" s="618"/>
      <c r="N1902" s="618"/>
      <c r="O1902" s="618"/>
      <c r="P1902" s="618"/>
      <c r="Q1902" s="618"/>
      <c r="R1902" s="618"/>
      <c r="S1902" s="618"/>
      <c r="T1902" s="618"/>
      <c r="U1902" s="618"/>
      <c r="V1902" s="618"/>
      <c r="W1902" s="617"/>
      <c r="X1902" s="617"/>
      <c r="Y1902" s="906"/>
      <c r="Z1902" s="906"/>
      <c r="AA1902" s="906"/>
      <c r="AB1902" s="906"/>
      <c r="AC1902" s="518"/>
      <c r="AD1902" s="518"/>
      <c r="AE1902" s="518"/>
      <c r="AF1902" s="575"/>
      <c r="AG1902" s="575"/>
      <c r="AH1902" s="518"/>
      <c r="AJ1902" s="595"/>
    </row>
    <row r="1903" spans="1:36" hidden="1" x14ac:dyDescent="0.45">
      <c r="A1903" s="518"/>
      <c r="B1903" s="532" t="s">
        <v>173</v>
      </c>
      <c r="C1903" s="532"/>
      <c r="D1903" s="532"/>
      <c r="E1903" s="532"/>
      <c r="F1903" s="532"/>
      <c r="G1903" s="532"/>
      <c r="H1903" s="532"/>
      <c r="I1903" s="532"/>
      <c r="J1903" s="532"/>
      <c r="K1903" s="532"/>
      <c r="L1903" s="532"/>
      <c r="M1903" s="532"/>
      <c r="N1903" s="532"/>
      <c r="O1903" s="532"/>
      <c r="P1903" s="532"/>
      <c r="Q1903" s="532"/>
      <c r="R1903" s="532"/>
      <c r="S1903" s="532"/>
      <c r="T1903" s="532"/>
      <c r="U1903" s="532"/>
      <c r="V1903" s="532"/>
      <c r="W1903" s="532"/>
      <c r="X1903" s="532"/>
      <c r="Y1903" s="905"/>
      <c r="Z1903" s="905"/>
      <c r="AA1903" s="905"/>
      <c r="AB1903" s="905"/>
      <c r="AC1903" s="518"/>
      <c r="AD1903" s="518"/>
      <c r="AE1903" s="518"/>
      <c r="AF1903" s="518"/>
      <c r="AG1903" s="518"/>
      <c r="AH1903" s="518"/>
      <c r="AJ1903" s="595"/>
    </row>
    <row r="1904" spans="1:36" hidden="1" x14ac:dyDescent="0.45">
      <c r="A1904" s="518"/>
      <c r="B1904" s="518"/>
      <c r="C1904" s="518"/>
      <c r="D1904" s="518"/>
      <c r="E1904" s="518"/>
      <c r="F1904" s="518"/>
      <c r="G1904" s="518"/>
      <c r="H1904" s="518"/>
      <c r="I1904" s="518"/>
      <c r="J1904" s="518"/>
      <c r="K1904" s="518"/>
      <c r="L1904" s="518"/>
      <c r="M1904" s="518"/>
      <c r="N1904" s="518"/>
      <c r="O1904" s="518"/>
      <c r="P1904" s="518"/>
      <c r="Q1904" s="518"/>
      <c r="R1904" s="518"/>
      <c r="S1904" s="518"/>
      <c r="T1904" s="518"/>
      <c r="U1904" s="518"/>
      <c r="V1904" s="518"/>
      <c r="W1904" s="518"/>
      <c r="X1904" s="518"/>
      <c r="Y1904" s="518"/>
      <c r="Z1904" s="518"/>
      <c r="AA1904" s="518"/>
      <c r="AB1904" s="518"/>
      <c r="AC1904" s="518"/>
      <c r="AD1904" s="518"/>
      <c r="AE1904" s="518"/>
      <c r="AF1904" s="518"/>
      <c r="AG1904" s="518"/>
      <c r="AH1904" s="518"/>
      <c r="AJ1904" s="595"/>
    </row>
    <row r="1905" spans="1:37" hidden="1" x14ac:dyDescent="0.45">
      <c r="A1905" s="518"/>
      <c r="B1905" s="922" t="s">
        <v>174</v>
      </c>
      <c r="C1905" s="922"/>
      <c r="D1905" s="922"/>
      <c r="E1905" s="922"/>
      <c r="F1905" s="922"/>
      <c r="G1905" s="922"/>
      <c r="H1905" s="922"/>
      <c r="I1905" s="922"/>
      <c r="J1905" s="922"/>
      <c r="K1905" s="922"/>
      <c r="L1905" s="922"/>
      <c r="M1905" s="922"/>
      <c r="N1905" s="922"/>
      <c r="O1905" s="878"/>
      <c r="P1905" s="879"/>
      <c r="Q1905" s="880"/>
      <c r="R1905" s="518"/>
      <c r="S1905" s="518"/>
      <c r="T1905" s="518"/>
      <c r="U1905" s="518"/>
      <c r="V1905" s="518"/>
      <c r="W1905" s="518"/>
      <c r="X1905" s="518"/>
      <c r="Y1905" s="518"/>
      <c r="Z1905" s="518"/>
      <c r="AA1905" s="518"/>
      <c r="AB1905" s="518"/>
      <c r="AC1905" s="518"/>
      <c r="AD1905" s="518"/>
      <c r="AE1905" s="518"/>
      <c r="AF1905" s="518"/>
      <c r="AG1905" s="518"/>
      <c r="AH1905" s="518"/>
      <c r="AJ1905" s="595"/>
    </row>
    <row r="1906" spans="1:37" hidden="1" x14ac:dyDescent="0.45">
      <c r="A1906" s="518"/>
      <c r="B1906" s="922" t="s">
        <v>175</v>
      </c>
      <c r="C1906" s="922"/>
      <c r="D1906" s="922"/>
      <c r="E1906" s="922"/>
      <c r="F1906" s="922"/>
      <c r="G1906" s="922"/>
      <c r="H1906" s="922"/>
      <c r="I1906" s="922"/>
      <c r="J1906" s="922"/>
      <c r="K1906" s="922"/>
      <c r="L1906" s="922"/>
      <c r="M1906" s="922"/>
      <c r="N1906" s="922"/>
      <c r="O1906" s="878"/>
      <c r="P1906" s="879"/>
      <c r="Q1906" s="880"/>
      <c r="R1906" s="518"/>
      <c r="S1906" s="518"/>
      <c r="T1906" s="518"/>
      <c r="U1906" s="518"/>
      <c r="V1906" s="518"/>
      <c r="W1906" s="518"/>
      <c r="X1906" s="518"/>
      <c r="Y1906" s="518"/>
      <c r="Z1906" s="518"/>
      <c r="AA1906" s="518"/>
      <c r="AB1906" s="518"/>
      <c r="AC1906" s="518"/>
      <c r="AD1906" s="518"/>
      <c r="AE1906" s="518"/>
      <c r="AF1906" s="518"/>
      <c r="AG1906" s="518"/>
      <c r="AH1906" s="518"/>
      <c r="AJ1906" s="595"/>
    </row>
    <row r="1907" spans="1:37" hidden="1" x14ac:dyDescent="0.45">
      <c r="A1907" s="518"/>
      <c r="B1907" s="922" t="s">
        <v>176</v>
      </c>
      <c r="C1907" s="922"/>
      <c r="D1907" s="922"/>
      <c r="E1907" s="922"/>
      <c r="F1907" s="922"/>
      <c r="G1907" s="922"/>
      <c r="H1907" s="922"/>
      <c r="I1907" s="922"/>
      <c r="J1907" s="922"/>
      <c r="K1907" s="922"/>
      <c r="L1907" s="922"/>
      <c r="M1907" s="922"/>
      <c r="N1907" s="922"/>
      <c r="O1907" s="878"/>
      <c r="P1907" s="879"/>
      <c r="Q1907" s="880"/>
      <c r="R1907" s="518"/>
      <c r="S1907" s="518"/>
      <c r="T1907" s="518"/>
      <c r="U1907" s="518"/>
      <c r="V1907" s="518"/>
      <c r="W1907" s="518"/>
      <c r="X1907" s="518"/>
      <c r="Y1907" s="518"/>
      <c r="Z1907" s="518"/>
      <c r="AA1907" s="518"/>
      <c r="AB1907" s="518"/>
      <c r="AC1907" s="518"/>
      <c r="AD1907" s="518"/>
      <c r="AE1907" s="518"/>
      <c r="AF1907" s="518"/>
      <c r="AG1907" s="518"/>
      <c r="AH1907" s="518"/>
      <c r="AJ1907" s="595"/>
    </row>
    <row r="1908" spans="1:37" hidden="1" x14ac:dyDescent="0.45">
      <c r="A1908" s="518"/>
      <c r="B1908" s="922" t="s">
        <v>177</v>
      </c>
      <c r="C1908" s="922"/>
      <c r="D1908" s="922"/>
      <c r="E1908" s="922"/>
      <c r="F1908" s="922"/>
      <c r="G1908" s="922"/>
      <c r="H1908" s="922"/>
      <c r="I1908" s="922"/>
      <c r="J1908" s="922"/>
      <c r="K1908" s="922"/>
      <c r="L1908" s="922"/>
      <c r="M1908" s="922"/>
      <c r="N1908" s="922"/>
      <c r="O1908" s="878"/>
      <c r="P1908" s="879"/>
      <c r="Q1908" s="880"/>
      <c r="R1908" s="518"/>
      <c r="S1908" s="518"/>
      <c r="T1908" s="518"/>
      <c r="U1908" s="518"/>
      <c r="V1908" s="518"/>
      <c r="W1908" s="518"/>
      <c r="X1908" s="518"/>
      <c r="Y1908" s="518"/>
      <c r="Z1908" s="518"/>
      <c r="AA1908" s="518"/>
      <c r="AB1908" s="518"/>
      <c r="AC1908" s="518"/>
      <c r="AD1908" s="518"/>
      <c r="AE1908" s="518"/>
      <c r="AF1908" s="518"/>
      <c r="AG1908" s="518"/>
      <c r="AH1908" s="518"/>
      <c r="AJ1908" s="595"/>
    </row>
    <row r="1909" spans="1:37" hidden="1" x14ac:dyDescent="0.45">
      <c r="A1909" s="518"/>
      <c r="B1909" s="922" t="s">
        <v>178</v>
      </c>
      <c r="C1909" s="922"/>
      <c r="D1909" s="922"/>
      <c r="E1909" s="922"/>
      <c r="F1909" s="922"/>
      <c r="G1909" s="922"/>
      <c r="H1909" s="922"/>
      <c r="I1909" s="922"/>
      <c r="J1909" s="922"/>
      <c r="K1909" s="922"/>
      <c r="L1909" s="922"/>
      <c r="M1909" s="922"/>
      <c r="N1909" s="922"/>
      <c r="O1909" s="878"/>
      <c r="P1909" s="879"/>
      <c r="Q1909" s="880"/>
      <c r="R1909" s="518"/>
      <c r="S1909" s="518"/>
      <c r="T1909" s="518"/>
      <c r="U1909" s="518"/>
      <c r="V1909" s="518"/>
      <c r="W1909" s="518"/>
      <c r="X1909" s="518"/>
      <c r="Y1909" s="518"/>
      <c r="Z1909" s="518"/>
      <c r="AA1909" s="518"/>
      <c r="AB1909" s="518"/>
      <c r="AC1909" s="518"/>
      <c r="AD1909" s="518"/>
      <c r="AE1909" s="518"/>
      <c r="AF1909" s="518"/>
      <c r="AG1909" s="518"/>
      <c r="AH1909" s="518"/>
      <c r="AJ1909" s="595"/>
    </row>
    <row r="1910" spans="1:37" hidden="1" x14ac:dyDescent="0.45">
      <c r="A1910" s="518"/>
      <c r="B1910" s="922" t="s">
        <v>179</v>
      </c>
      <c r="C1910" s="922"/>
      <c r="D1910" s="922"/>
      <c r="E1910" s="922"/>
      <c r="F1910" s="922"/>
      <c r="G1910" s="922"/>
      <c r="H1910" s="922"/>
      <c r="I1910" s="922"/>
      <c r="J1910" s="922"/>
      <c r="K1910" s="922"/>
      <c r="L1910" s="922"/>
      <c r="M1910" s="922"/>
      <c r="N1910" s="922"/>
      <c r="O1910" s="878"/>
      <c r="P1910" s="879"/>
      <c r="Q1910" s="880"/>
      <c r="R1910" s="518"/>
      <c r="S1910" s="518"/>
      <c r="T1910" s="518"/>
      <c r="U1910" s="518"/>
      <c r="V1910" s="518"/>
      <c r="W1910" s="518"/>
      <c r="X1910" s="518"/>
      <c r="Y1910" s="518"/>
      <c r="Z1910" s="518"/>
      <c r="AA1910" s="518"/>
      <c r="AB1910" s="518"/>
      <c r="AC1910" s="518"/>
      <c r="AD1910" s="518"/>
      <c r="AE1910" s="518"/>
      <c r="AF1910" s="518"/>
      <c r="AG1910" s="518"/>
      <c r="AH1910" s="518"/>
      <c r="AJ1910" s="595"/>
    </row>
    <row r="1911" spans="1:37" hidden="1" x14ac:dyDescent="0.45">
      <c r="A1911" s="518"/>
      <c r="B1911" s="922" t="s">
        <v>180</v>
      </c>
      <c r="C1911" s="922"/>
      <c r="D1911" s="922"/>
      <c r="E1911" s="922"/>
      <c r="F1911" s="922"/>
      <c r="G1911" s="922"/>
      <c r="H1911" s="922"/>
      <c r="I1911" s="922"/>
      <c r="J1911" s="922"/>
      <c r="K1911" s="922"/>
      <c r="L1911" s="922"/>
      <c r="M1911" s="922"/>
      <c r="N1911" s="922"/>
      <c r="O1911" s="878"/>
      <c r="P1911" s="879"/>
      <c r="Q1911" s="880"/>
      <c r="R1911" s="518"/>
      <c r="S1911" s="518"/>
      <c r="T1911" s="518"/>
      <c r="U1911" s="518"/>
      <c r="V1911" s="518"/>
      <c r="W1911" s="518"/>
      <c r="X1911" s="518"/>
      <c r="Y1911" s="518"/>
      <c r="Z1911" s="518"/>
      <c r="AA1911" s="518"/>
      <c r="AB1911" s="518"/>
      <c r="AC1911" s="518"/>
      <c r="AD1911" s="518"/>
      <c r="AE1911" s="518"/>
      <c r="AF1911" s="518"/>
      <c r="AG1911" s="518"/>
      <c r="AH1911" s="518"/>
      <c r="AJ1911" s="595"/>
    </row>
    <row r="1912" spans="1:37" hidden="1" x14ac:dyDescent="0.45">
      <c r="A1912" s="518"/>
      <c r="B1912" s="916" t="s">
        <v>181</v>
      </c>
      <c r="C1912" s="916"/>
      <c r="D1912" s="916"/>
      <c r="E1912" s="916"/>
      <c r="F1912" s="916"/>
      <c r="G1912" s="916"/>
      <c r="H1912" s="916"/>
      <c r="I1912" s="916"/>
      <c r="J1912" s="916"/>
      <c r="K1912" s="916"/>
      <c r="L1912" s="916"/>
      <c r="M1912" s="916"/>
      <c r="N1912" s="916"/>
      <c r="O1912" s="927"/>
      <c r="P1912" s="928"/>
      <c r="Q1912" s="929"/>
      <c r="R1912" s="518"/>
      <c r="S1912" s="518"/>
      <c r="T1912" s="518"/>
      <c r="U1912" s="518"/>
      <c r="V1912" s="518"/>
      <c r="W1912" s="518"/>
      <c r="X1912" s="518"/>
      <c r="Y1912" s="518"/>
      <c r="Z1912" s="518"/>
      <c r="AA1912" s="518"/>
      <c r="AB1912" s="518"/>
      <c r="AC1912" s="518"/>
      <c r="AD1912" s="518"/>
      <c r="AE1912" s="518"/>
      <c r="AF1912" s="518"/>
      <c r="AG1912" s="518"/>
      <c r="AH1912" s="518"/>
      <c r="AJ1912" s="595"/>
    </row>
    <row r="1913" spans="1:37" hidden="1" x14ac:dyDescent="0.45">
      <c r="A1913" s="518"/>
      <c r="B1913" s="930" t="s">
        <v>182</v>
      </c>
      <c r="C1913" s="930"/>
      <c r="D1913" s="930"/>
      <c r="E1913" s="930"/>
      <c r="F1913" s="930"/>
      <c r="G1913" s="930"/>
      <c r="H1913" s="930"/>
      <c r="I1913" s="930"/>
      <c r="J1913" s="930"/>
      <c r="K1913" s="930"/>
      <c r="L1913" s="930"/>
      <c r="M1913" s="930"/>
      <c r="N1913" s="930"/>
      <c r="O1913" s="878">
        <f>SUM(O1905:Q1911)-O1912</f>
        <v>0</v>
      </c>
      <c r="P1913" s="879"/>
      <c r="Q1913" s="880"/>
      <c r="R1913" s="518"/>
      <c r="S1913" s="518"/>
      <c r="T1913" s="518"/>
      <c r="U1913" s="518"/>
      <c r="V1913" s="518"/>
      <c r="W1913" s="518"/>
      <c r="X1913" s="518"/>
      <c r="Y1913" s="518"/>
      <c r="Z1913" s="518"/>
      <c r="AA1913" s="518"/>
      <c r="AB1913" s="518"/>
      <c r="AC1913" s="518"/>
      <c r="AD1913" s="518"/>
      <c r="AE1913" s="518"/>
      <c r="AF1913" s="518"/>
      <c r="AG1913" s="518"/>
      <c r="AH1913" s="518"/>
      <c r="AJ1913" s="595"/>
    </row>
    <row r="1914" spans="1:37" hidden="1" x14ac:dyDescent="0.45">
      <c r="A1914" s="518"/>
      <c r="B1914" s="517"/>
      <c r="C1914" s="517"/>
      <c r="D1914" s="517"/>
      <c r="E1914" s="517"/>
      <c r="F1914" s="517"/>
      <c r="G1914" s="517"/>
      <c r="H1914" s="517"/>
      <c r="I1914" s="517"/>
      <c r="J1914" s="517"/>
      <c r="K1914" s="517"/>
      <c r="L1914" s="517"/>
      <c r="M1914" s="517"/>
      <c r="N1914" s="517"/>
      <c r="O1914" s="532"/>
      <c r="P1914" s="532"/>
      <c r="Q1914" s="532"/>
      <c r="R1914" s="518"/>
      <c r="S1914" s="533"/>
      <c r="T1914" s="533"/>
      <c r="U1914" s="533"/>
      <c r="V1914" s="533"/>
      <c r="W1914" s="533"/>
      <c r="X1914" s="533"/>
      <c r="Y1914" s="533"/>
      <c r="Z1914" s="533"/>
      <c r="AA1914" s="533"/>
      <c r="AB1914" s="533"/>
      <c r="AC1914" s="533"/>
      <c r="AD1914" s="533"/>
      <c r="AE1914" s="533"/>
      <c r="AF1914" s="533"/>
      <c r="AG1914" s="533"/>
      <c r="AH1914" s="518"/>
      <c r="AJ1914" s="595"/>
    </row>
    <row r="1915" spans="1:37" ht="200.15" hidden="1" customHeight="1" x14ac:dyDescent="0.45">
      <c r="A1915" s="518"/>
      <c r="B1915" s="926" t="s">
        <v>183</v>
      </c>
      <c r="C1915" s="926"/>
      <c r="D1915" s="926"/>
      <c r="E1915" s="926"/>
      <c r="F1915" s="926"/>
      <c r="G1915" s="926"/>
      <c r="H1915" s="926"/>
      <c r="I1915" s="926"/>
      <c r="J1915" s="926"/>
      <c r="K1915" s="926"/>
      <c r="L1915" s="926"/>
      <c r="M1915" s="926"/>
      <c r="N1915" s="926"/>
      <c r="O1915" s="926"/>
      <c r="P1915" s="926"/>
      <c r="Q1915" s="926"/>
      <c r="R1915" s="926"/>
      <c r="S1915" s="926"/>
      <c r="T1915" s="926"/>
      <c r="U1915" s="926"/>
      <c r="V1915" s="926"/>
      <c r="W1915" s="926"/>
      <c r="X1915" s="926"/>
      <c r="Y1915" s="926"/>
      <c r="Z1915" s="926"/>
      <c r="AA1915" s="926"/>
      <c r="AB1915" s="926"/>
      <c r="AC1915" s="926"/>
      <c r="AD1915" s="926"/>
      <c r="AE1915" s="926"/>
      <c r="AF1915" s="926"/>
      <c r="AG1915" s="926"/>
      <c r="AH1915" s="518"/>
      <c r="AJ1915" s="595"/>
    </row>
    <row r="1916" spans="1:37" hidden="1" x14ac:dyDescent="0.45">
      <c r="A1916" s="518"/>
      <c r="B1916" s="518"/>
      <c r="C1916" s="518"/>
      <c r="D1916" s="518"/>
      <c r="E1916" s="518"/>
      <c r="F1916" s="518"/>
      <c r="G1916" s="518"/>
      <c r="H1916" s="518"/>
      <c r="I1916" s="518"/>
      <c r="J1916" s="518"/>
      <c r="K1916" s="518"/>
      <c r="L1916" s="518"/>
      <c r="M1916" s="518"/>
      <c r="N1916" s="518"/>
      <c r="O1916" s="518"/>
      <c r="P1916" s="518"/>
      <c r="Q1916" s="518"/>
      <c r="R1916" s="518"/>
      <c r="S1916" s="518"/>
      <c r="T1916" s="518"/>
      <c r="U1916" s="518"/>
      <c r="V1916" s="518"/>
      <c r="W1916" s="518"/>
      <c r="X1916" s="518"/>
      <c r="Y1916" s="518"/>
      <c r="Z1916" s="518"/>
      <c r="AA1916" s="518"/>
      <c r="AB1916" s="518"/>
      <c r="AC1916" s="518"/>
      <c r="AD1916" s="518"/>
      <c r="AE1916" s="518"/>
      <c r="AF1916" s="518"/>
      <c r="AG1916" s="518"/>
      <c r="AH1916" s="518"/>
      <c r="AJ1916" s="595"/>
    </row>
    <row r="1917" spans="1:37" hidden="1" x14ac:dyDescent="0.45">
      <c r="A1917" s="518"/>
      <c r="B1917" s="580"/>
      <c r="C1917" s="518"/>
      <c r="D1917" s="518"/>
      <c r="E1917" s="518"/>
      <c r="F1917" s="518"/>
      <c r="G1917" s="518"/>
      <c r="H1917" s="518"/>
      <c r="I1917" s="518"/>
      <c r="J1917" s="518"/>
      <c r="K1917" s="518"/>
      <c r="L1917" s="518"/>
      <c r="M1917" s="518"/>
      <c r="N1917" s="518"/>
      <c r="O1917" s="518"/>
      <c r="P1917" s="518"/>
      <c r="Q1917" s="518"/>
      <c r="R1917" s="518"/>
      <c r="S1917" s="518"/>
      <c r="T1917" s="518"/>
      <c r="U1917" s="518"/>
      <c r="V1917" s="518"/>
      <c r="W1917" s="518"/>
      <c r="X1917" s="518"/>
      <c r="Y1917" s="518"/>
      <c r="Z1917" s="518"/>
      <c r="AA1917" s="518"/>
      <c r="AB1917" s="518"/>
      <c r="AC1917" s="518"/>
      <c r="AD1917" s="518"/>
      <c r="AE1917" s="518"/>
      <c r="AF1917" s="518"/>
      <c r="AG1917" s="518"/>
      <c r="AH1917" s="518"/>
      <c r="AJ1917" s="595" t="b">
        <f>AND(
APP_ApplyingForSerna="Yes",
S1_ER_EligibleApplicant)</f>
        <v>0</v>
      </c>
      <c r="AK1917" s="462" t="s">
        <v>1833</v>
      </c>
    </row>
    <row r="1918" spans="1:37" hidden="1" x14ac:dyDescent="0.45">
      <c r="A1918" s="518"/>
      <c r="B1918" s="907" t="s">
        <v>1864</v>
      </c>
      <c r="C1918" s="907"/>
      <c r="D1918" s="907"/>
      <c r="E1918" s="907"/>
      <c r="F1918" s="907"/>
      <c r="G1918" s="907"/>
      <c r="H1918" s="907"/>
      <c r="I1918" s="907"/>
      <c r="J1918" s="907"/>
      <c r="K1918" s="907"/>
      <c r="L1918" s="907"/>
      <c r="M1918" s="907"/>
      <c r="N1918" s="907"/>
      <c r="O1918" s="907"/>
      <c r="P1918" s="907"/>
      <c r="Q1918" s="907"/>
      <c r="R1918" s="907"/>
      <c r="S1918" s="907"/>
      <c r="T1918" s="907"/>
      <c r="U1918" s="907"/>
      <c r="V1918" s="907"/>
      <c r="W1918" s="907"/>
      <c r="X1918" s="907"/>
      <c r="Y1918" s="907"/>
      <c r="Z1918" s="907"/>
      <c r="AA1918" s="907"/>
      <c r="AB1918" s="907"/>
      <c r="AC1918" s="907"/>
      <c r="AD1918" s="907"/>
      <c r="AE1918" s="907"/>
      <c r="AF1918" s="907"/>
      <c r="AG1918" s="907"/>
      <c r="AH1918" s="518"/>
      <c r="AJ1918" s="595"/>
    </row>
    <row r="1919" spans="1:37" hidden="1" x14ac:dyDescent="0.45">
      <c r="A1919" s="518"/>
      <c r="B1919" s="518"/>
      <c r="C1919" s="518"/>
      <c r="D1919" s="518"/>
      <c r="E1919" s="518"/>
      <c r="F1919" s="518"/>
      <c r="G1919" s="518"/>
      <c r="H1919" s="518"/>
      <c r="I1919" s="518"/>
      <c r="J1919" s="518"/>
      <c r="K1919" s="518"/>
      <c r="L1919" s="518"/>
      <c r="M1919" s="518"/>
      <c r="N1919" s="518"/>
      <c r="O1919" s="518"/>
      <c r="P1919" s="518"/>
      <c r="Q1919" s="518"/>
      <c r="R1919" s="518"/>
      <c r="S1919" s="518"/>
      <c r="T1919" s="518"/>
      <c r="U1919" s="518"/>
      <c r="V1919" s="518"/>
      <c r="W1919" s="518"/>
      <c r="X1919" s="518"/>
      <c r="Y1919" s="518"/>
      <c r="Z1919" s="518"/>
      <c r="AA1919" s="518"/>
      <c r="AB1919" s="518"/>
      <c r="AC1919" s="518"/>
      <c r="AD1919" s="518"/>
      <c r="AE1919" s="518"/>
      <c r="AF1919" s="518"/>
      <c r="AG1919" s="518"/>
      <c r="AH1919" s="518"/>
      <c r="AJ1919" s="595"/>
    </row>
    <row r="1920" spans="1:37" s="585" customFormat="1" ht="29.15" hidden="1" customHeight="1" x14ac:dyDescent="0.35">
      <c r="A1920" s="529"/>
      <c r="B1920" s="1266">
        <v>1</v>
      </c>
      <c r="C1920" s="1267"/>
      <c r="D1920" s="1122" t="s">
        <v>43</v>
      </c>
      <c r="E1920" s="1122"/>
      <c r="F1920" s="1122"/>
      <c r="G1920" s="1122"/>
      <c r="H1920" s="1122"/>
      <c r="I1920" s="1122"/>
      <c r="J1920" s="1122"/>
      <c r="K1920" s="1122"/>
      <c r="L1920" s="1122"/>
      <c r="M1920" s="1122"/>
      <c r="N1920" s="1122"/>
      <c r="O1920" s="1122"/>
      <c r="P1920" s="1122"/>
      <c r="Q1920" s="1122"/>
      <c r="R1920" s="1122"/>
      <c r="S1920" s="1122"/>
      <c r="T1920" s="1122"/>
      <c r="U1920" s="1122"/>
      <c r="V1920" s="1122"/>
      <c r="W1920" s="1122"/>
      <c r="X1920" s="1122"/>
      <c r="Y1920" s="1122"/>
      <c r="Z1920" s="1122"/>
      <c r="AA1920" s="1122"/>
      <c r="AB1920" s="1122"/>
      <c r="AC1920" s="1122"/>
      <c r="AD1920" s="1122"/>
      <c r="AE1920" s="519"/>
      <c r="AF1920" s="1190"/>
      <c r="AG1920" s="1191"/>
      <c r="AH1920" s="529"/>
      <c r="AI1920" s="599"/>
      <c r="AJ1920" s="596"/>
    </row>
    <row r="1921" spans="1:36" s="585" customFormat="1" hidden="1" x14ac:dyDescent="0.35">
      <c r="A1921" s="529"/>
      <c r="B1921" s="1263">
        <v>2</v>
      </c>
      <c r="C1921" s="1317"/>
      <c r="D1921" s="1125" t="s">
        <v>44</v>
      </c>
      <c r="E1921" s="1125"/>
      <c r="F1921" s="1125"/>
      <c r="G1921" s="1125"/>
      <c r="H1921" s="1125"/>
      <c r="I1921" s="1125"/>
      <c r="J1921" s="1125"/>
      <c r="K1921" s="1125"/>
      <c r="L1921" s="1125"/>
      <c r="M1921" s="1125"/>
      <c r="N1921" s="1125"/>
      <c r="O1921" s="1125"/>
      <c r="P1921" s="1125"/>
      <c r="Q1921" s="1125"/>
      <c r="R1921" s="1125"/>
      <c r="S1921" s="1125"/>
      <c r="T1921" s="1125"/>
      <c r="U1921" s="1125"/>
      <c r="V1921" s="1125"/>
      <c r="W1921" s="1125"/>
      <c r="X1921" s="1125"/>
      <c r="Y1921" s="1125"/>
      <c r="Z1921" s="1125"/>
      <c r="AA1921" s="1125"/>
      <c r="AB1921" s="1125"/>
      <c r="AC1921" s="1125"/>
      <c r="AD1921" s="1125"/>
      <c r="AE1921" s="520"/>
      <c r="AF1921" s="1123"/>
      <c r="AG1921" s="1123"/>
      <c r="AH1921" s="529"/>
      <c r="AI1921" s="599"/>
      <c r="AJ1921" s="596"/>
    </row>
    <row r="1922" spans="1:36" s="585" customFormat="1" ht="29.15" hidden="1" customHeight="1" x14ac:dyDescent="0.35">
      <c r="A1922" s="529"/>
      <c r="B1922" s="1266">
        <v>3</v>
      </c>
      <c r="C1922" s="1267"/>
      <c r="D1922" s="1122" t="s">
        <v>45</v>
      </c>
      <c r="E1922" s="1122"/>
      <c r="F1922" s="1122"/>
      <c r="G1922" s="1122"/>
      <c r="H1922" s="1122"/>
      <c r="I1922" s="1122"/>
      <c r="J1922" s="1122"/>
      <c r="K1922" s="1122"/>
      <c r="L1922" s="1122"/>
      <c r="M1922" s="1122"/>
      <c r="N1922" s="1122"/>
      <c r="O1922" s="1122"/>
      <c r="P1922" s="1122"/>
      <c r="Q1922" s="1122"/>
      <c r="R1922" s="1122"/>
      <c r="S1922" s="1122"/>
      <c r="T1922" s="1122"/>
      <c r="U1922" s="1122"/>
      <c r="V1922" s="1122"/>
      <c r="W1922" s="1122"/>
      <c r="X1922" s="1122"/>
      <c r="Y1922" s="1122"/>
      <c r="Z1922" s="1122"/>
      <c r="AA1922" s="1122"/>
      <c r="AB1922" s="1122"/>
      <c r="AC1922" s="1122"/>
      <c r="AD1922" s="1122"/>
      <c r="AE1922" s="519"/>
      <c r="AF1922" s="1123"/>
      <c r="AG1922" s="1123"/>
      <c r="AH1922" s="529"/>
      <c r="AI1922" s="599"/>
      <c r="AJ1922" s="596"/>
    </row>
    <row r="1923" spans="1:36" s="585" customFormat="1" ht="29.15" hidden="1" customHeight="1" x14ac:dyDescent="0.35">
      <c r="A1923" s="529"/>
      <c r="B1923" s="1266">
        <v>4</v>
      </c>
      <c r="C1923" s="1267"/>
      <c r="D1923" s="1122" t="s">
        <v>46</v>
      </c>
      <c r="E1923" s="1122"/>
      <c r="F1923" s="1122"/>
      <c r="G1923" s="1122"/>
      <c r="H1923" s="1122"/>
      <c r="I1923" s="1122"/>
      <c r="J1923" s="1122"/>
      <c r="K1923" s="1122"/>
      <c r="L1923" s="1122"/>
      <c r="M1923" s="1122"/>
      <c r="N1923" s="1122"/>
      <c r="O1923" s="1122"/>
      <c r="P1923" s="1122"/>
      <c r="Q1923" s="1122"/>
      <c r="R1923" s="1122"/>
      <c r="S1923" s="1122"/>
      <c r="T1923" s="1122"/>
      <c r="U1923" s="1122"/>
      <c r="V1923" s="1122"/>
      <c r="W1923" s="1122"/>
      <c r="X1923" s="1122"/>
      <c r="Y1923" s="1122"/>
      <c r="Z1923" s="1122"/>
      <c r="AA1923" s="1122"/>
      <c r="AB1923" s="1122"/>
      <c r="AC1923" s="1122"/>
      <c r="AD1923" s="1122"/>
      <c r="AE1923" s="519"/>
      <c r="AF1923" s="1123"/>
      <c r="AG1923" s="1123"/>
      <c r="AH1923" s="529"/>
      <c r="AI1923" s="599"/>
      <c r="AJ1923" s="596"/>
    </row>
    <row r="1924" spans="1:36" s="585" customFormat="1" ht="42" hidden="1" customHeight="1" x14ac:dyDescent="0.35">
      <c r="A1924" s="529"/>
      <c r="B1924" s="1266">
        <v>5</v>
      </c>
      <c r="C1924" s="1267"/>
      <c r="D1924" s="1122" t="s">
        <v>47</v>
      </c>
      <c r="E1924" s="1122"/>
      <c r="F1924" s="1122"/>
      <c r="G1924" s="1122"/>
      <c r="H1924" s="1122"/>
      <c r="I1924" s="1122"/>
      <c r="J1924" s="1122"/>
      <c r="K1924" s="1122"/>
      <c r="L1924" s="1122"/>
      <c r="M1924" s="1122"/>
      <c r="N1924" s="1122"/>
      <c r="O1924" s="1122"/>
      <c r="P1924" s="1122"/>
      <c r="Q1924" s="1122"/>
      <c r="R1924" s="1122"/>
      <c r="S1924" s="1122"/>
      <c r="T1924" s="1122"/>
      <c r="U1924" s="1122"/>
      <c r="V1924" s="1122"/>
      <c r="W1924" s="1122"/>
      <c r="X1924" s="1122"/>
      <c r="Y1924" s="1122"/>
      <c r="Z1924" s="1122"/>
      <c r="AA1924" s="1122"/>
      <c r="AB1924" s="1122"/>
      <c r="AC1924" s="1122"/>
      <c r="AD1924" s="1122"/>
      <c r="AE1924" s="519"/>
      <c r="AF1924" s="1190"/>
      <c r="AG1924" s="1191"/>
      <c r="AH1924" s="529"/>
      <c r="AI1924" s="599"/>
      <c r="AJ1924" s="596"/>
    </row>
    <row r="1925" spans="1:36" s="585" customFormat="1" ht="29.15" hidden="1" customHeight="1" x14ac:dyDescent="0.35">
      <c r="A1925" s="529"/>
      <c r="B1925" s="1266">
        <v>6</v>
      </c>
      <c r="C1925" s="1267"/>
      <c r="D1925" s="1122" t="s">
        <v>48</v>
      </c>
      <c r="E1925" s="1122"/>
      <c r="F1925" s="1122"/>
      <c r="G1925" s="1122"/>
      <c r="H1925" s="1122"/>
      <c r="I1925" s="1122"/>
      <c r="J1925" s="1122"/>
      <c r="K1925" s="1122"/>
      <c r="L1925" s="1122"/>
      <c r="M1925" s="1122"/>
      <c r="N1925" s="1122"/>
      <c r="O1925" s="1122"/>
      <c r="P1925" s="1122"/>
      <c r="Q1925" s="1122"/>
      <c r="R1925" s="1122"/>
      <c r="S1925" s="1122"/>
      <c r="T1925" s="1122"/>
      <c r="U1925" s="1122"/>
      <c r="V1925" s="1122"/>
      <c r="W1925" s="1122"/>
      <c r="X1925" s="1122"/>
      <c r="Y1925" s="1122"/>
      <c r="Z1925" s="1122"/>
      <c r="AA1925" s="1122"/>
      <c r="AB1925" s="1122"/>
      <c r="AC1925" s="1122"/>
      <c r="AD1925" s="1122"/>
      <c r="AE1925" s="519"/>
      <c r="AF1925" s="1123"/>
      <c r="AG1925" s="1123"/>
      <c r="AH1925" s="529"/>
      <c r="AI1925" s="599"/>
      <c r="AJ1925" s="596"/>
    </row>
    <row r="1926" spans="1:36" s="585" customFormat="1" ht="29.15" hidden="1" customHeight="1" x14ac:dyDescent="0.35">
      <c r="A1926" s="529"/>
      <c r="B1926" s="1266">
        <v>7</v>
      </c>
      <c r="C1926" s="1267"/>
      <c r="D1926" s="1122" t="s">
        <v>49</v>
      </c>
      <c r="E1926" s="1122"/>
      <c r="F1926" s="1122"/>
      <c r="G1926" s="1122"/>
      <c r="H1926" s="1122"/>
      <c r="I1926" s="1122"/>
      <c r="J1926" s="1122"/>
      <c r="K1926" s="1122"/>
      <c r="L1926" s="1122"/>
      <c r="M1926" s="1122"/>
      <c r="N1926" s="1122"/>
      <c r="O1926" s="1122"/>
      <c r="P1926" s="1122"/>
      <c r="Q1926" s="1122"/>
      <c r="R1926" s="1122"/>
      <c r="S1926" s="1122"/>
      <c r="T1926" s="1122"/>
      <c r="U1926" s="1122"/>
      <c r="V1926" s="1122"/>
      <c r="W1926" s="1122"/>
      <c r="X1926" s="1122"/>
      <c r="Y1926" s="1122"/>
      <c r="Z1926" s="1122"/>
      <c r="AA1926" s="1122"/>
      <c r="AB1926" s="1122"/>
      <c r="AC1926" s="1122"/>
      <c r="AD1926" s="1122"/>
      <c r="AE1926" s="519"/>
      <c r="AF1926" s="1123"/>
      <c r="AG1926" s="1123"/>
      <c r="AH1926" s="529"/>
      <c r="AI1926" s="599"/>
      <c r="AJ1926" s="596"/>
    </row>
    <row r="1927" spans="1:36" s="585" customFormat="1" ht="29.15" hidden="1" customHeight="1" x14ac:dyDescent="0.35">
      <c r="A1927" s="529"/>
      <c r="B1927" s="1266">
        <v>8</v>
      </c>
      <c r="C1927" s="1267"/>
      <c r="D1927" s="1122" t="s">
        <v>50</v>
      </c>
      <c r="E1927" s="1122"/>
      <c r="F1927" s="1122"/>
      <c r="G1927" s="1122"/>
      <c r="H1927" s="1122"/>
      <c r="I1927" s="1122"/>
      <c r="J1927" s="1122"/>
      <c r="K1927" s="1122"/>
      <c r="L1927" s="1122"/>
      <c r="M1927" s="1122"/>
      <c r="N1927" s="1122"/>
      <c r="O1927" s="1122"/>
      <c r="P1927" s="1122"/>
      <c r="Q1927" s="1122"/>
      <c r="R1927" s="1122"/>
      <c r="S1927" s="1122"/>
      <c r="T1927" s="1122"/>
      <c r="U1927" s="1122"/>
      <c r="V1927" s="1122"/>
      <c r="W1927" s="1122"/>
      <c r="X1927" s="1122"/>
      <c r="Y1927" s="1122"/>
      <c r="Z1927" s="1122"/>
      <c r="AA1927" s="1122"/>
      <c r="AB1927" s="1122"/>
      <c r="AC1927" s="1122"/>
      <c r="AD1927" s="1122"/>
      <c r="AE1927" s="519"/>
      <c r="AF1927" s="1123"/>
      <c r="AG1927" s="1123"/>
      <c r="AH1927" s="529"/>
      <c r="AI1927" s="599"/>
      <c r="AJ1927" s="596"/>
    </row>
    <row r="1928" spans="1:36" s="585" customFormat="1" ht="29.15" hidden="1" customHeight="1" x14ac:dyDescent="0.35">
      <c r="A1928" s="529"/>
      <c r="B1928" s="1266">
        <v>9</v>
      </c>
      <c r="C1928" s="1267"/>
      <c r="D1928" s="1122" t="s">
        <v>51</v>
      </c>
      <c r="E1928" s="1122"/>
      <c r="F1928" s="1122"/>
      <c r="G1928" s="1122"/>
      <c r="H1928" s="1122"/>
      <c r="I1928" s="1122"/>
      <c r="J1928" s="1122"/>
      <c r="K1928" s="1122"/>
      <c r="L1928" s="1122"/>
      <c r="M1928" s="1122"/>
      <c r="N1928" s="1122"/>
      <c r="O1928" s="1122"/>
      <c r="P1928" s="1122"/>
      <c r="Q1928" s="1122"/>
      <c r="R1928" s="1122"/>
      <c r="S1928" s="1122"/>
      <c r="T1928" s="1122"/>
      <c r="U1928" s="1122"/>
      <c r="V1928" s="1122"/>
      <c r="W1928" s="1122"/>
      <c r="X1928" s="1122"/>
      <c r="Y1928" s="1122"/>
      <c r="Z1928" s="1122"/>
      <c r="AA1928" s="1122"/>
      <c r="AB1928" s="1122"/>
      <c r="AC1928" s="1122"/>
      <c r="AD1928" s="1122"/>
      <c r="AE1928" s="519"/>
      <c r="AF1928" s="1123"/>
      <c r="AG1928" s="1123"/>
      <c r="AH1928" s="529"/>
      <c r="AI1928" s="599"/>
      <c r="AJ1928" s="596"/>
    </row>
    <row r="1929" spans="1:36" s="585" customFormat="1" ht="66.650000000000006" hidden="1" customHeight="1" x14ac:dyDescent="0.35">
      <c r="A1929" s="529"/>
      <c r="B1929" s="1266">
        <v>10</v>
      </c>
      <c r="C1929" s="1267"/>
      <c r="D1929" s="1122" t="s">
        <v>52</v>
      </c>
      <c r="E1929" s="1122"/>
      <c r="F1929" s="1122"/>
      <c r="G1929" s="1122"/>
      <c r="H1929" s="1122"/>
      <c r="I1929" s="1122"/>
      <c r="J1929" s="1122"/>
      <c r="K1929" s="1122"/>
      <c r="L1929" s="1122"/>
      <c r="M1929" s="1122"/>
      <c r="N1929" s="1122"/>
      <c r="O1929" s="1122"/>
      <c r="P1929" s="1122"/>
      <c r="Q1929" s="1122"/>
      <c r="R1929" s="1122"/>
      <c r="S1929" s="1122"/>
      <c r="T1929" s="1122"/>
      <c r="U1929" s="1122"/>
      <c r="V1929" s="1122"/>
      <c r="W1929" s="1122"/>
      <c r="X1929" s="1122"/>
      <c r="Y1929" s="1122"/>
      <c r="Z1929" s="1122"/>
      <c r="AA1929" s="1122"/>
      <c r="AB1929" s="1122"/>
      <c r="AC1929" s="1122"/>
      <c r="AD1929" s="1122"/>
      <c r="AE1929" s="521"/>
      <c r="AF1929" s="1190"/>
      <c r="AG1929" s="1191"/>
      <c r="AH1929" s="529"/>
      <c r="AI1929" s="599"/>
      <c r="AJ1929" s="596"/>
    </row>
    <row r="1930" spans="1:36" s="585" customFormat="1" ht="42" hidden="1" customHeight="1" x14ac:dyDescent="0.35">
      <c r="A1930" s="529"/>
      <c r="B1930" s="1262">
        <v>11</v>
      </c>
      <c r="C1930" s="1263"/>
      <c r="D1930" s="1264" t="s">
        <v>53</v>
      </c>
      <c r="E1930" s="1265"/>
      <c r="F1930" s="1265"/>
      <c r="G1930" s="1265"/>
      <c r="H1930" s="1265"/>
      <c r="I1930" s="1265"/>
      <c r="J1930" s="1265"/>
      <c r="K1930" s="1265"/>
      <c r="L1930" s="1265"/>
      <c r="M1930" s="1265"/>
      <c r="N1930" s="1265"/>
      <c r="O1930" s="1265"/>
      <c r="P1930" s="1265"/>
      <c r="Q1930" s="1265"/>
      <c r="R1930" s="1265"/>
      <c r="S1930" s="1265"/>
      <c r="T1930" s="1265"/>
      <c r="U1930" s="1265"/>
      <c r="V1930" s="1265"/>
      <c r="W1930" s="1265"/>
      <c r="X1930" s="1265"/>
      <c r="Y1930" s="1265"/>
      <c r="Z1930" s="1265"/>
      <c r="AA1930" s="1265"/>
      <c r="AB1930" s="1265"/>
      <c r="AC1930" s="1265"/>
      <c r="AD1930" s="1124"/>
      <c r="AE1930" s="587"/>
      <c r="AF1930" s="1123"/>
      <c r="AG1930" s="1123"/>
      <c r="AH1930" s="529"/>
      <c r="AI1930" s="599"/>
      <c r="AJ1930" s="596"/>
    </row>
    <row r="1931" spans="1:36" s="585" customFormat="1" ht="29.15" hidden="1" customHeight="1" x14ac:dyDescent="0.35">
      <c r="A1931" s="529"/>
      <c r="B1931" s="1266">
        <v>12</v>
      </c>
      <c r="C1931" s="1267"/>
      <c r="D1931" s="1122" t="s">
        <v>54</v>
      </c>
      <c r="E1931" s="1122"/>
      <c r="F1931" s="1122"/>
      <c r="G1931" s="1122"/>
      <c r="H1931" s="1122"/>
      <c r="I1931" s="1122"/>
      <c r="J1931" s="1122"/>
      <c r="K1931" s="1122"/>
      <c r="L1931" s="1122"/>
      <c r="M1931" s="1122"/>
      <c r="N1931" s="1122"/>
      <c r="O1931" s="1122"/>
      <c r="P1931" s="1122"/>
      <c r="Q1931" s="1122"/>
      <c r="R1931" s="1122"/>
      <c r="S1931" s="1122"/>
      <c r="T1931" s="1122"/>
      <c r="U1931" s="1122"/>
      <c r="V1931" s="1122"/>
      <c r="W1931" s="1122"/>
      <c r="X1931" s="1122"/>
      <c r="Y1931" s="1122"/>
      <c r="Z1931" s="1122"/>
      <c r="AA1931" s="1122"/>
      <c r="AB1931" s="1122"/>
      <c r="AC1931" s="1122"/>
      <c r="AD1931" s="1122"/>
      <c r="AE1931" s="519"/>
      <c r="AF1931" s="1123"/>
      <c r="AG1931" s="1123"/>
      <c r="AH1931" s="529"/>
      <c r="AI1931" s="599"/>
      <c r="AJ1931" s="596"/>
    </row>
    <row r="1932" spans="1:36" s="585" customFormat="1" ht="55" hidden="1" customHeight="1" x14ac:dyDescent="0.35">
      <c r="A1932" s="529"/>
      <c r="B1932" s="1266">
        <v>13</v>
      </c>
      <c r="C1932" s="1267"/>
      <c r="D1932" s="1122" t="s">
        <v>55</v>
      </c>
      <c r="E1932" s="1122"/>
      <c r="F1932" s="1122"/>
      <c r="G1932" s="1122"/>
      <c r="H1932" s="1122"/>
      <c r="I1932" s="1122"/>
      <c r="J1932" s="1122"/>
      <c r="K1932" s="1122"/>
      <c r="L1932" s="1122"/>
      <c r="M1932" s="1122"/>
      <c r="N1932" s="1122"/>
      <c r="O1932" s="1122"/>
      <c r="P1932" s="1122"/>
      <c r="Q1932" s="1122"/>
      <c r="R1932" s="1122"/>
      <c r="S1932" s="1122"/>
      <c r="T1932" s="1122"/>
      <c r="U1932" s="1122"/>
      <c r="V1932" s="1122"/>
      <c r="W1932" s="1122"/>
      <c r="X1932" s="1122"/>
      <c r="Y1932" s="1122"/>
      <c r="Z1932" s="1122"/>
      <c r="AA1932" s="1122"/>
      <c r="AB1932" s="1122"/>
      <c r="AC1932" s="1122"/>
      <c r="AD1932" s="1122"/>
      <c r="AE1932" s="521"/>
      <c r="AF1932" s="1190"/>
      <c r="AG1932" s="1191"/>
      <c r="AH1932" s="529"/>
      <c r="AI1932" s="599"/>
      <c r="AJ1932" s="596"/>
    </row>
    <row r="1933" spans="1:36" s="585" customFormat="1" ht="29.15" hidden="1" customHeight="1" x14ac:dyDescent="0.35">
      <c r="A1933" s="529"/>
      <c r="B1933" s="1266">
        <v>14</v>
      </c>
      <c r="C1933" s="1267"/>
      <c r="D1933" s="1122" t="s">
        <v>56</v>
      </c>
      <c r="E1933" s="1122"/>
      <c r="F1933" s="1122"/>
      <c r="G1933" s="1122"/>
      <c r="H1933" s="1122"/>
      <c r="I1933" s="1122"/>
      <c r="J1933" s="1122"/>
      <c r="K1933" s="1122"/>
      <c r="L1933" s="1122"/>
      <c r="M1933" s="1122"/>
      <c r="N1933" s="1122"/>
      <c r="O1933" s="1122"/>
      <c r="P1933" s="1122"/>
      <c r="Q1933" s="1122"/>
      <c r="R1933" s="1122"/>
      <c r="S1933" s="1122"/>
      <c r="T1933" s="1122"/>
      <c r="U1933" s="1122"/>
      <c r="V1933" s="1122"/>
      <c r="W1933" s="1122"/>
      <c r="X1933" s="1122"/>
      <c r="Y1933" s="1122"/>
      <c r="Z1933" s="1122"/>
      <c r="AA1933" s="1122"/>
      <c r="AB1933" s="1122"/>
      <c r="AC1933" s="1122"/>
      <c r="AD1933" s="1122"/>
      <c r="AE1933" s="519"/>
      <c r="AF1933" s="1123"/>
      <c r="AG1933" s="1123"/>
      <c r="AH1933" s="529"/>
      <c r="AI1933" s="599"/>
      <c r="AJ1933" s="596"/>
    </row>
    <row r="1934" spans="1:36" s="585" customFormat="1" ht="29.15" hidden="1" customHeight="1" x14ac:dyDescent="0.35">
      <c r="A1934" s="529"/>
      <c r="B1934" s="1263">
        <v>15</v>
      </c>
      <c r="C1934" s="1317"/>
      <c r="D1934" s="1125" t="s">
        <v>57</v>
      </c>
      <c r="E1934" s="1125"/>
      <c r="F1934" s="1125"/>
      <c r="G1934" s="1125"/>
      <c r="H1934" s="1125"/>
      <c r="I1934" s="1125"/>
      <c r="J1934" s="1125"/>
      <c r="K1934" s="1125"/>
      <c r="L1934" s="1125"/>
      <c r="M1934" s="1125"/>
      <c r="N1934" s="1125"/>
      <c r="O1934" s="1125"/>
      <c r="P1934" s="1125"/>
      <c r="Q1934" s="1125"/>
      <c r="R1934" s="1125"/>
      <c r="S1934" s="1125"/>
      <c r="T1934" s="1125"/>
      <c r="U1934" s="1125"/>
      <c r="V1934" s="1125"/>
      <c r="W1934" s="1125"/>
      <c r="X1934" s="1125"/>
      <c r="Y1934" s="1125"/>
      <c r="Z1934" s="1125"/>
      <c r="AA1934" s="1125"/>
      <c r="AB1934" s="1125"/>
      <c r="AC1934" s="1125"/>
      <c r="AD1934" s="1125"/>
      <c r="AE1934" s="572"/>
      <c r="AF1934" s="1123"/>
      <c r="AG1934" s="1123"/>
      <c r="AH1934" s="529"/>
      <c r="AI1934" s="599"/>
      <c r="AJ1934" s="596"/>
    </row>
    <row r="1935" spans="1:36" hidden="1" x14ac:dyDescent="0.45">
      <c r="A1935" s="518"/>
      <c r="B1935" s="523"/>
      <c r="C1935" s="523"/>
      <c r="D1935" s="522"/>
      <c r="E1935" s="522"/>
      <c r="F1935" s="522"/>
      <c r="G1935" s="522"/>
      <c r="H1935" s="522"/>
      <c r="I1935" s="522"/>
      <c r="J1935" s="522"/>
      <c r="K1935" s="522"/>
      <c r="L1935" s="522"/>
      <c r="M1935" s="522"/>
      <c r="N1935" s="522"/>
      <c r="O1935" s="522"/>
      <c r="P1935" s="522"/>
      <c r="Q1935" s="522"/>
      <c r="R1935" s="522"/>
      <c r="S1935" s="522"/>
      <c r="T1935" s="522"/>
      <c r="U1935" s="522"/>
      <c r="V1935" s="522"/>
      <c r="W1935" s="522"/>
      <c r="X1935" s="522"/>
      <c r="Y1935" s="522"/>
      <c r="Z1935" s="522"/>
      <c r="AA1935" s="522"/>
      <c r="AB1935" s="522"/>
      <c r="AC1935" s="522"/>
      <c r="AD1935" s="522"/>
      <c r="AE1935" s="522"/>
      <c r="AF1935" s="524"/>
      <c r="AG1935" s="524"/>
      <c r="AH1935" s="518"/>
      <c r="AJ1935" s="595"/>
    </row>
    <row r="1936" spans="1:36" hidden="1" x14ac:dyDescent="0.45">
      <c r="A1936" s="518"/>
      <c r="B1936" s="518"/>
      <c r="C1936" s="518"/>
      <c r="D1936" s="518"/>
      <c r="E1936" s="518"/>
      <c r="F1936" s="518"/>
      <c r="G1936" s="518"/>
      <c r="H1936" s="518"/>
      <c r="I1936" s="518"/>
      <c r="J1936" s="518"/>
      <c r="K1936" s="518"/>
      <c r="L1936" s="518"/>
      <c r="M1936" s="518"/>
      <c r="N1936" s="518"/>
      <c r="O1936" s="518"/>
      <c r="P1936" s="518"/>
      <c r="Q1936" s="518"/>
      <c r="R1936" s="518"/>
      <c r="S1936" s="518"/>
      <c r="T1936" s="518"/>
      <c r="U1936" s="518"/>
      <c r="V1936" s="518"/>
      <c r="W1936" s="518"/>
      <c r="X1936" s="518"/>
      <c r="Y1936" s="518"/>
      <c r="Z1936" s="518"/>
      <c r="AA1936" s="518"/>
      <c r="AB1936" s="518"/>
      <c r="AC1936" s="518"/>
      <c r="AD1936" s="518"/>
      <c r="AE1936" s="518"/>
      <c r="AF1936" s="518"/>
      <c r="AG1936" s="518"/>
      <c r="AH1936" s="518"/>
      <c r="AJ1936" s="595" t="b">
        <f>AND(
APP_ApplyingForSerna="Yes",
S1_ER_EligibleApplicant,
APP_Applicant1Type="Non-Profit Corporation")</f>
        <v>0</v>
      </c>
    </row>
    <row r="1937" spans="1:36" hidden="1" x14ac:dyDescent="0.45">
      <c r="A1937" s="518"/>
      <c r="B1937" s="907" t="s">
        <v>1793</v>
      </c>
      <c r="C1937" s="907"/>
      <c r="D1937" s="907"/>
      <c r="E1937" s="907"/>
      <c r="F1937" s="907"/>
      <c r="G1937" s="907"/>
      <c r="H1937" s="907"/>
      <c r="I1937" s="907"/>
      <c r="J1937" s="907"/>
      <c r="K1937" s="907"/>
      <c r="L1937" s="907"/>
      <c r="M1937" s="907"/>
      <c r="N1937" s="907"/>
      <c r="O1937" s="907"/>
      <c r="P1937" s="907"/>
      <c r="Q1937" s="907"/>
      <c r="R1937" s="907"/>
      <c r="S1937" s="907"/>
      <c r="T1937" s="907"/>
      <c r="U1937" s="907"/>
      <c r="V1937" s="907"/>
      <c r="W1937" s="907"/>
      <c r="X1937" s="907"/>
      <c r="Y1937" s="907"/>
      <c r="Z1937" s="907"/>
      <c r="AA1937" s="907"/>
      <c r="AB1937" s="907"/>
      <c r="AC1937" s="907"/>
      <c r="AD1937" s="907"/>
      <c r="AE1937" s="907"/>
      <c r="AF1937" s="907"/>
      <c r="AG1937" s="907"/>
      <c r="AH1937" s="518"/>
      <c r="AJ1937" s="595"/>
    </row>
    <row r="1938" spans="1:36" hidden="1" x14ac:dyDescent="0.45">
      <c r="A1938" s="518"/>
      <c r="B1938" s="518"/>
      <c r="C1938" s="518"/>
      <c r="D1938" s="518"/>
      <c r="E1938" s="518"/>
      <c r="F1938" s="518"/>
      <c r="G1938" s="518"/>
      <c r="H1938" s="518"/>
      <c r="I1938" s="518"/>
      <c r="J1938" s="518"/>
      <c r="K1938" s="518"/>
      <c r="L1938" s="518"/>
      <c r="M1938" s="518"/>
      <c r="N1938" s="518"/>
      <c r="O1938" s="518"/>
      <c r="P1938" s="518"/>
      <c r="Q1938" s="518"/>
      <c r="R1938" s="518"/>
      <c r="S1938" s="518"/>
      <c r="T1938" s="518"/>
      <c r="U1938" s="518"/>
      <c r="V1938" s="518"/>
      <c r="W1938" s="518"/>
      <c r="X1938" s="518"/>
      <c r="Y1938" s="518"/>
      <c r="Z1938" s="518"/>
      <c r="AA1938" s="518"/>
      <c r="AB1938" s="518"/>
      <c r="AC1938" s="518"/>
      <c r="AD1938" s="518"/>
      <c r="AE1938" s="518"/>
      <c r="AF1938" s="518"/>
      <c r="AG1938" s="518"/>
      <c r="AH1938" s="518"/>
      <c r="AJ1938" s="595"/>
    </row>
    <row r="1939" spans="1:36" ht="27.65" hidden="1" customHeight="1" x14ac:dyDescent="0.45">
      <c r="A1939" s="518"/>
      <c r="B1939" s="1255">
        <v>1</v>
      </c>
      <c r="C1939" s="1256"/>
      <c r="D1939" s="1122" t="s">
        <v>59</v>
      </c>
      <c r="E1939" s="1122"/>
      <c r="F1939" s="1122"/>
      <c r="G1939" s="1122"/>
      <c r="H1939" s="1122"/>
      <c r="I1939" s="1122"/>
      <c r="J1939" s="1122"/>
      <c r="K1939" s="1122"/>
      <c r="L1939" s="1122"/>
      <c r="M1939" s="1122"/>
      <c r="N1939" s="1122"/>
      <c r="O1939" s="1122"/>
      <c r="P1939" s="1122"/>
      <c r="Q1939" s="1122"/>
      <c r="R1939" s="1122"/>
      <c r="S1939" s="1122"/>
      <c r="T1939" s="1122"/>
      <c r="U1939" s="1122"/>
      <c r="V1939" s="1122"/>
      <c r="W1939" s="1122"/>
      <c r="X1939" s="1122"/>
      <c r="Y1939" s="1122"/>
      <c r="Z1939" s="1122"/>
      <c r="AA1939" s="1122"/>
      <c r="AB1939" s="1122"/>
      <c r="AC1939" s="1122"/>
      <c r="AD1939" s="1122"/>
      <c r="AE1939" s="519"/>
      <c r="AF1939" s="1123"/>
      <c r="AG1939" s="1123"/>
      <c r="AH1939" s="518"/>
      <c r="AJ1939" s="595"/>
    </row>
    <row r="1940" spans="1:36" ht="40" hidden="1" customHeight="1" x14ac:dyDescent="0.45">
      <c r="A1940" s="518"/>
      <c r="B1940" s="1255">
        <v>2</v>
      </c>
      <c r="C1940" s="1256"/>
      <c r="D1940" s="1122" t="s">
        <v>60</v>
      </c>
      <c r="E1940" s="1122"/>
      <c r="F1940" s="1122"/>
      <c r="G1940" s="1122"/>
      <c r="H1940" s="1122"/>
      <c r="I1940" s="1122"/>
      <c r="J1940" s="1122"/>
      <c r="K1940" s="1122"/>
      <c r="L1940" s="1122"/>
      <c r="M1940" s="1122"/>
      <c r="N1940" s="1122"/>
      <c r="O1940" s="1122"/>
      <c r="P1940" s="1122"/>
      <c r="Q1940" s="1122"/>
      <c r="R1940" s="1122"/>
      <c r="S1940" s="1122"/>
      <c r="T1940" s="1122"/>
      <c r="U1940" s="1122"/>
      <c r="V1940" s="1122"/>
      <c r="W1940" s="1122"/>
      <c r="X1940" s="1122"/>
      <c r="Y1940" s="1122"/>
      <c r="Z1940" s="1122"/>
      <c r="AA1940" s="1122"/>
      <c r="AB1940" s="1122"/>
      <c r="AC1940" s="1122"/>
      <c r="AD1940" s="1122"/>
      <c r="AE1940" s="521"/>
      <c r="AF1940" s="1257"/>
      <c r="AG1940" s="1191"/>
      <c r="AH1940" s="518"/>
      <c r="AJ1940" s="595"/>
    </row>
    <row r="1941" spans="1:36" ht="28.5" hidden="1" customHeight="1" x14ac:dyDescent="0.45">
      <c r="A1941" s="518"/>
      <c r="B1941" s="1258">
        <v>3</v>
      </c>
      <c r="C1941" s="1259"/>
      <c r="D1941" s="1125" t="s">
        <v>61</v>
      </c>
      <c r="E1941" s="1125"/>
      <c r="F1941" s="1125"/>
      <c r="G1941" s="1125"/>
      <c r="H1941" s="1125"/>
      <c r="I1941" s="1125"/>
      <c r="J1941" s="1125"/>
      <c r="K1941" s="1125"/>
      <c r="L1941" s="1125"/>
      <c r="M1941" s="1125"/>
      <c r="N1941" s="1125"/>
      <c r="O1941" s="1125"/>
      <c r="P1941" s="1125"/>
      <c r="Q1941" s="1125"/>
      <c r="R1941" s="1125"/>
      <c r="S1941" s="1125"/>
      <c r="T1941" s="1125"/>
      <c r="U1941" s="1125"/>
      <c r="V1941" s="1125"/>
      <c r="W1941" s="1125"/>
      <c r="X1941" s="1125"/>
      <c r="Y1941" s="1125"/>
      <c r="Z1941" s="1125"/>
      <c r="AA1941" s="1125"/>
      <c r="AB1941" s="1125"/>
      <c r="AC1941" s="1125"/>
      <c r="AD1941" s="1125"/>
      <c r="AE1941" s="572"/>
      <c r="AF1941" s="1123"/>
      <c r="AG1941" s="1123"/>
      <c r="AH1941" s="518"/>
      <c r="AJ1941" s="595"/>
    </row>
    <row r="1942" spans="1:36" ht="42" hidden="1" customHeight="1" x14ac:dyDescent="0.45">
      <c r="A1942" s="518"/>
      <c r="B1942" s="1255">
        <v>4</v>
      </c>
      <c r="C1942" s="1256"/>
      <c r="D1942" s="1122" t="s">
        <v>1794</v>
      </c>
      <c r="E1942" s="1122"/>
      <c r="F1942" s="1122"/>
      <c r="G1942" s="1122"/>
      <c r="H1942" s="1122"/>
      <c r="I1942" s="1122"/>
      <c r="J1942" s="1122"/>
      <c r="K1942" s="1122"/>
      <c r="L1942" s="1122"/>
      <c r="M1942" s="1122"/>
      <c r="N1942" s="1122"/>
      <c r="O1942" s="1122"/>
      <c r="P1942" s="1122"/>
      <c r="Q1942" s="1122"/>
      <c r="R1942" s="1122"/>
      <c r="S1942" s="1122"/>
      <c r="T1942" s="1122"/>
      <c r="U1942" s="1122"/>
      <c r="V1942" s="1122"/>
      <c r="W1942" s="1122"/>
      <c r="X1942" s="1122"/>
      <c r="Y1942" s="1122"/>
      <c r="Z1942" s="1122"/>
      <c r="AA1942" s="1122"/>
      <c r="AB1942" s="1122"/>
      <c r="AC1942" s="1122"/>
      <c r="AD1942" s="1122"/>
      <c r="AE1942" s="519"/>
      <c r="AF1942" s="1123"/>
      <c r="AG1942" s="1123"/>
      <c r="AH1942" s="518"/>
      <c r="AJ1942" s="595"/>
    </row>
    <row r="1943" spans="1:36" ht="54.65" hidden="1" customHeight="1" x14ac:dyDescent="0.45">
      <c r="A1943" s="518"/>
      <c r="B1943" s="1258">
        <v>5</v>
      </c>
      <c r="C1943" s="1259"/>
      <c r="D1943" s="1125" t="s">
        <v>1795</v>
      </c>
      <c r="E1943" s="1125"/>
      <c r="F1943" s="1125"/>
      <c r="G1943" s="1125"/>
      <c r="H1943" s="1125"/>
      <c r="I1943" s="1125"/>
      <c r="J1943" s="1125"/>
      <c r="K1943" s="1125"/>
      <c r="L1943" s="1125"/>
      <c r="M1943" s="1125"/>
      <c r="N1943" s="1125"/>
      <c r="O1943" s="1125"/>
      <c r="P1943" s="1125"/>
      <c r="Q1943" s="1125"/>
      <c r="R1943" s="1125"/>
      <c r="S1943" s="1125"/>
      <c r="T1943" s="1125"/>
      <c r="U1943" s="1125"/>
      <c r="V1943" s="1125"/>
      <c r="W1943" s="1125"/>
      <c r="X1943" s="1125"/>
      <c r="Y1943" s="1125"/>
      <c r="Z1943" s="1125"/>
      <c r="AA1943" s="1125"/>
      <c r="AB1943" s="1125"/>
      <c r="AC1943" s="1125"/>
      <c r="AD1943" s="1125"/>
      <c r="AE1943" s="520"/>
      <c r="AF1943" s="1355"/>
      <c r="AG1943" s="1193"/>
      <c r="AH1943" s="527"/>
      <c r="AJ1943" s="595"/>
    </row>
    <row r="1944" spans="1:36" hidden="1" x14ac:dyDescent="0.45">
      <c r="A1944" s="518"/>
      <c r="B1944" s="523"/>
      <c r="C1944" s="523"/>
      <c r="D1944" s="522"/>
      <c r="E1944" s="522"/>
      <c r="F1944" s="522"/>
      <c r="G1944" s="522"/>
      <c r="H1944" s="522"/>
      <c r="I1944" s="522"/>
      <c r="J1944" s="522"/>
      <c r="K1944" s="522"/>
      <c r="L1944" s="522"/>
      <c r="M1944" s="522"/>
      <c r="N1944" s="522"/>
      <c r="O1944" s="522"/>
      <c r="P1944" s="522"/>
      <c r="Q1944" s="522"/>
      <c r="R1944" s="522"/>
      <c r="S1944" s="522"/>
      <c r="T1944" s="522"/>
      <c r="U1944" s="522"/>
      <c r="V1944" s="522"/>
      <c r="W1944" s="522"/>
      <c r="X1944" s="522"/>
      <c r="Y1944" s="522"/>
      <c r="Z1944" s="522"/>
      <c r="AA1944" s="522"/>
      <c r="AB1944" s="522"/>
      <c r="AC1944" s="522"/>
      <c r="AD1944" s="522"/>
      <c r="AE1944" s="522"/>
      <c r="AF1944" s="524"/>
      <c r="AG1944" s="524"/>
      <c r="AH1944" s="518"/>
      <c r="AJ1944" s="595"/>
    </row>
    <row r="1945" spans="1:36" hidden="1" x14ac:dyDescent="0.45">
      <c r="A1945" s="518"/>
      <c r="B1945" s="1269" t="str">
        <f>IF(S1_ER_EligibleApplicant,"APPLICANT IS ELIGIBLE","APPLICANT IS NOT ELIGIBLE")</f>
        <v>APPLICANT IS NOT ELIGIBLE</v>
      </c>
      <c r="C1945" s="1269"/>
      <c r="D1945" s="1269"/>
      <c r="E1945" s="1269"/>
      <c r="F1945" s="1269"/>
      <c r="G1945" s="1269"/>
      <c r="H1945" s="1269"/>
      <c r="I1945" s="1269"/>
      <c r="J1945" s="1269"/>
      <c r="K1945" s="1269"/>
      <c r="L1945" s="1269"/>
      <c r="M1945" s="1269"/>
      <c r="N1945" s="1269"/>
      <c r="O1945" s="1269"/>
      <c r="P1945" s="1269"/>
      <c r="Q1945" s="1269"/>
      <c r="R1945" s="1269"/>
      <c r="S1945" s="1269"/>
      <c r="T1945" s="1269"/>
      <c r="U1945" s="1269"/>
      <c r="V1945" s="1269"/>
      <c r="W1945" s="1269"/>
      <c r="X1945" s="1269"/>
      <c r="Y1945" s="1269"/>
      <c r="Z1945" s="1269"/>
      <c r="AA1945" s="1269"/>
      <c r="AB1945" s="1269"/>
      <c r="AC1945" s="1269"/>
      <c r="AD1945" s="1269"/>
      <c r="AE1945" s="525"/>
      <c r="AF1945" s="1268"/>
      <c r="AG1945" s="1268"/>
      <c r="AH1945" s="518"/>
      <c r="AJ1945" s="595"/>
    </row>
    <row r="1946" spans="1:36" hidden="1" x14ac:dyDescent="0.45">
      <c r="A1946" s="518"/>
      <c r="B1946" s="518"/>
      <c r="C1946" s="518"/>
      <c r="D1946" s="518"/>
      <c r="E1946" s="518"/>
      <c r="F1946" s="518"/>
      <c r="G1946" s="518"/>
      <c r="H1946" s="518"/>
      <c r="I1946" s="518"/>
      <c r="J1946" s="518"/>
      <c r="K1946" s="518"/>
      <c r="L1946" s="518"/>
      <c r="M1946" s="518"/>
      <c r="N1946" s="518"/>
      <c r="O1946" s="518"/>
      <c r="P1946" s="518"/>
      <c r="Q1946" s="518"/>
      <c r="R1946" s="518"/>
      <c r="S1946" s="518"/>
      <c r="T1946" s="518"/>
      <c r="U1946" s="518"/>
      <c r="V1946" s="518"/>
      <c r="W1946" s="518"/>
      <c r="X1946" s="518"/>
      <c r="Y1946" s="518"/>
      <c r="Z1946" s="518"/>
      <c r="AA1946" s="518"/>
      <c r="AB1946" s="518"/>
      <c r="AC1946" s="518"/>
      <c r="AD1946" s="518"/>
      <c r="AE1946" s="518"/>
      <c r="AF1946" s="518"/>
      <c r="AG1946" s="518"/>
      <c r="AH1946" s="518"/>
      <c r="AJ1946" s="595"/>
    </row>
    <row r="1947" spans="1:36" hidden="1" x14ac:dyDescent="0.45">
      <c r="A1947" s="518"/>
      <c r="B1947" s="518"/>
      <c r="C1947" s="518"/>
      <c r="D1947" s="518"/>
      <c r="E1947" s="518"/>
      <c r="F1947" s="518"/>
      <c r="G1947" s="518"/>
      <c r="H1947" s="518"/>
      <c r="I1947" s="518"/>
      <c r="J1947" s="518"/>
      <c r="K1947" s="518"/>
      <c r="L1947" s="518"/>
      <c r="M1947" s="518"/>
      <c r="N1947" s="518"/>
      <c r="O1947" s="518"/>
      <c r="P1947" s="518"/>
      <c r="Q1947" s="518"/>
      <c r="R1947" s="518"/>
      <c r="S1947" s="518"/>
      <c r="T1947" s="518"/>
      <c r="U1947" s="518"/>
      <c r="V1947" s="518"/>
      <c r="W1947" s="518"/>
      <c r="X1947" s="518"/>
      <c r="Y1947" s="518"/>
      <c r="Z1947" s="518"/>
      <c r="AA1947" s="518"/>
      <c r="AB1947" s="518"/>
      <c r="AC1947" s="518"/>
      <c r="AD1947" s="518"/>
      <c r="AE1947" s="518"/>
      <c r="AF1947" s="518"/>
      <c r="AG1947" s="518"/>
      <c r="AH1947" s="518"/>
      <c r="AJ1947" s="595" t="b">
        <f>AND(
APP_ApplyingForSerna="Yes",
S1_ER_EligibleApplicant,
OR(
APP_Applicant1Type="County Government (All Departments)",
APP_Applicant1Type="City Government (All Departments)",
APP_Applicant1Type="Local Public Housing Authority",
APP_Applicant1Type="Local Public Redevelopment Agency",
APP_Applicant1Type="Other Local Public Entity/Agency")
)</f>
        <v>0</v>
      </c>
    </row>
    <row r="1948" spans="1:36" hidden="1" x14ac:dyDescent="0.45">
      <c r="A1948" s="518"/>
      <c r="B1948" s="907" t="s">
        <v>1865</v>
      </c>
      <c r="C1948" s="907"/>
      <c r="D1948" s="907"/>
      <c r="E1948" s="907"/>
      <c r="F1948" s="907"/>
      <c r="G1948" s="907"/>
      <c r="H1948" s="907"/>
      <c r="I1948" s="907"/>
      <c r="J1948" s="907"/>
      <c r="K1948" s="907"/>
      <c r="L1948" s="907"/>
      <c r="M1948" s="907"/>
      <c r="N1948" s="907"/>
      <c r="O1948" s="907"/>
      <c r="P1948" s="907"/>
      <c r="Q1948" s="907"/>
      <c r="R1948" s="907"/>
      <c r="S1948" s="907"/>
      <c r="T1948" s="907"/>
      <c r="U1948" s="907"/>
      <c r="V1948" s="907"/>
      <c r="W1948" s="907"/>
      <c r="X1948" s="907"/>
      <c r="Y1948" s="907"/>
      <c r="Z1948" s="907"/>
      <c r="AA1948" s="907"/>
      <c r="AB1948" s="907"/>
      <c r="AC1948" s="907"/>
      <c r="AD1948" s="907"/>
      <c r="AE1948" s="907"/>
      <c r="AF1948" s="907"/>
      <c r="AG1948" s="907"/>
      <c r="AH1948" s="518"/>
      <c r="AJ1948" s="595"/>
    </row>
    <row r="1949" spans="1:36" hidden="1" x14ac:dyDescent="0.45">
      <c r="A1949" s="518"/>
      <c r="B1949" s="518"/>
      <c r="C1949" s="518"/>
      <c r="D1949" s="518"/>
      <c r="E1949" s="518"/>
      <c r="F1949" s="518"/>
      <c r="G1949" s="518"/>
      <c r="H1949" s="518"/>
      <c r="I1949" s="518"/>
      <c r="J1949" s="518"/>
      <c r="K1949" s="518"/>
      <c r="L1949" s="518"/>
      <c r="M1949" s="518"/>
      <c r="N1949" s="518"/>
      <c r="O1949" s="518"/>
      <c r="P1949" s="518"/>
      <c r="Q1949" s="518"/>
      <c r="R1949" s="518"/>
      <c r="S1949" s="518"/>
      <c r="T1949" s="518"/>
      <c r="U1949" s="518"/>
      <c r="V1949" s="518"/>
      <c r="W1949" s="518"/>
      <c r="X1949" s="518"/>
      <c r="Y1949" s="518"/>
      <c r="Z1949" s="518"/>
      <c r="AA1949" s="518"/>
      <c r="AB1949" s="518"/>
      <c r="AC1949" s="518"/>
      <c r="AD1949" s="518"/>
      <c r="AE1949" s="518"/>
      <c r="AF1949" s="518"/>
      <c r="AG1949" s="518"/>
      <c r="AH1949" s="518"/>
      <c r="AJ1949" s="595"/>
    </row>
    <row r="1950" spans="1:36" ht="27.65" hidden="1" customHeight="1" x14ac:dyDescent="0.45">
      <c r="A1950" s="518"/>
      <c r="B1950" s="1255">
        <v>1</v>
      </c>
      <c r="C1950" s="1256"/>
      <c r="D1950" s="1122" t="s">
        <v>63</v>
      </c>
      <c r="E1950" s="1122"/>
      <c r="F1950" s="1122"/>
      <c r="G1950" s="1122"/>
      <c r="H1950" s="1122"/>
      <c r="I1950" s="1122"/>
      <c r="J1950" s="1122"/>
      <c r="K1950" s="1122"/>
      <c r="L1950" s="1122"/>
      <c r="M1950" s="1122"/>
      <c r="N1950" s="1122"/>
      <c r="O1950" s="1122"/>
      <c r="P1950" s="1122"/>
      <c r="Q1950" s="1122"/>
      <c r="R1950" s="1122"/>
      <c r="S1950" s="1122"/>
      <c r="T1950" s="1122"/>
      <c r="U1950" s="1122"/>
      <c r="V1950" s="1122"/>
      <c r="W1950" s="1122"/>
      <c r="X1950" s="1122"/>
      <c r="Y1950" s="1122"/>
      <c r="Z1950" s="1122"/>
      <c r="AA1950" s="1122"/>
      <c r="AB1950" s="1122"/>
      <c r="AC1950" s="1122"/>
      <c r="AD1950" s="1122"/>
      <c r="AE1950" s="519"/>
      <c r="AF1950" s="1123"/>
      <c r="AG1950" s="1123"/>
      <c r="AH1950" s="518"/>
      <c r="AJ1950" s="595"/>
    </row>
    <row r="1951" spans="1:36" ht="27.65" hidden="1" customHeight="1" x14ac:dyDescent="0.45">
      <c r="A1951" s="518"/>
      <c r="B1951" s="1255">
        <v>2</v>
      </c>
      <c r="C1951" s="1256"/>
      <c r="D1951" s="1125" t="s">
        <v>65</v>
      </c>
      <c r="E1951" s="1125"/>
      <c r="F1951" s="1125"/>
      <c r="G1951" s="1125"/>
      <c r="H1951" s="1125"/>
      <c r="I1951" s="1125"/>
      <c r="J1951" s="1125"/>
      <c r="K1951" s="1125"/>
      <c r="L1951" s="1125"/>
      <c r="M1951" s="1125"/>
      <c r="N1951" s="1125"/>
      <c r="O1951" s="1125"/>
      <c r="P1951" s="1125"/>
      <c r="Q1951" s="1125"/>
      <c r="R1951" s="1125"/>
      <c r="S1951" s="1125"/>
      <c r="T1951" s="1125"/>
      <c r="U1951" s="1125"/>
      <c r="V1951" s="1125"/>
      <c r="W1951" s="1125"/>
      <c r="X1951" s="1125"/>
      <c r="Y1951" s="1125"/>
      <c r="Z1951" s="1125"/>
      <c r="AA1951" s="1125"/>
      <c r="AB1951" s="1125"/>
      <c r="AC1951" s="1125"/>
      <c r="AD1951" s="1125"/>
      <c r="AE1951" s="521"/>
      <c r="AF1951" s="1257"/>
      <c r="AG1951" s="1191"/>
      <c r="AH1951" s="518"/>
      <c r="AJ1951" s="595"/>
    </row>
    <row r="1952" spans="1:36" ht="27.65" hidden="1" customHeight="1" x14ac:dyDescent="0.45">
      <c r="A1952" s="518"/>
      <c r="B1952" s="1255">
        <v>3</v>
      </c>
      <c r="C1952" s="1256"/>
      <c r="D1952" s="1122" t="s">
        <v>1796</v>
      </c>
      <c r="E1952" s="1122"/>
      <c r="F1952" s="1122"/>
      <c r="G1952" s="1122"/>
      <c r="H1952" s="1122"/>
      <c r="I1952" s="1122"/>
      <c r="J1952" s="1122"/>
      <c r="K1952" s="1122"/>
      <c r="L1952" s="1122"/>
      <c r="M1952" s="1122"/>
      <c r="N1952" s="1122"/>
      <c r="O1952" s="1122"/>
      <c r="P1952" s="1122"/>
      <c r="Q1952" s="1122"/>
      <c r="R1952" s="1122"/>
      <c r="S1952" s="1122"/>
      <c r="T1952" s="1122"/>
      <c r="U1952" s="1122"/>
      <c r="V1952" s="1122"/>
      <c r="W1952" s="1122"/>
      <c r="X1952" s="1122"/>
      <c r="Y1952" s="1122"/>
      <c r="Z1952" s="1122"/>
      <c r="AA1952" s="1122"/>
      <c r="AB1952" s="1122"/>
      <c r="AC1952" s="1122"/>
      <c r="AD1952" s="1122"/>
      <c r="AE1952" s="519"/>
      <c r="AF1952" s="1123"/>
      <c r="AG1952" s="1123"/>
      <c r="AH1952" s="518"/>
      <c r="AJ1952" s="595"/>
    </row>
    <row r="1953" spans="1:36" ht="27.65" hidden="1" customHeight="1" x14ac:dyDescent="0.45">
      <c r="A1953" s="518"/>
      <c r="B1953" s="1258">
        <v>4</v>
      </c>
      <c r="C1953" s="1259"/>
      <c r="D1953" s="1125" t="s">
        <v>66</v>
      </c>
      <c r="E1953" s="1125"/>
      <c r="F1953" s="1125"/>
      <c r="G1953" s="1125"/>
      <c r="H1953" s="1125"/>
      <c r="I1953" s="1125"/>
      <c r="J1953" s="1125"/>
      <c r="K1953" s="1125"/>
      <c r="L1953" s="1125"/>
      <c r="M1953" s="1125"/>
      <c r="N1953" s="1125"/>
      <c r="O1953" s="1125"/>
      <c r="P1953" s="1125"/>
      <c r="Q1953" s="1125"/>
      <c r="R1953" s="1125"/>
      <c r="S1953" s="1125"/>
      <c r="T1953" s="1125"/>
      <c r="U1953" s="1125"/>
      <c r="V1953" s="1125"/>
      <c r="W1953" s="1125"/>
      <c r="X1953" s="1125"/>
      <c r="Y1953" s="1125"/>
      <c r="Z1953" s="1125"/>
      <c r="AA1953" s="1125"/>
      <c r="AB1953" s="1125"/>
      <c r="AC1953" s="1125"/>
      <c r="AD1953" s="1125"/>
      <c r="AE1953" s="572"/>
      <c r="AF1953" s="1123"/>
      <c r="AG1953" s="1123"/>
      <c r="AH1953" s="518"/>
      <c r="AJ1953" s="595"/>
    </row>
    <row r="1954" spans="1:36" hidden="1" x14ac:dyDescent="0.45">
      <c r="A1954" s="518"/>
      <c r="B1954" s="518"/>
      <c r="C1954" s="518"/>
      <c r="D1954" s="518"/>
      <c r="E1954" s="518"/>
      <c r="F1954" s="518"/>
      <c r="G1954" s="518"/>
      <c r="H1954" s="518"/>
      <c r="I1954" s="518"/>
      <c r="J1954" s="518"/>
      <c r="K1954" s="518"/>
      <c r="L1954" s="518"/>
      <c r="M1954" s="518"/>
      <c r="N1954" s="518"/>
      <c r="O1954" s="518"/>
      <c r="P1954" s="518"/>
      <c r="Q1954" s="518"/>
      <c r="R1954" s="518"/>
      <c r="S1954" s="518"/>
      <c r="T1954" s="518"/>
      <c r="U1954" s="518"/>
      <c r="V1954" s="518"/>
      <c r="W1954" s="518"/>
      <c r="X1954" s="518"/>
      <c r="Y1954" s="518"/>
      <c r="Z1954" s="518"/>
      <c r="AA1954" s="518"/>
      <c r="AB1954" s="518"/>
      <c r="AC1954" s="518"/>
      <c r="AD1954" s="518"/>
      <c r="AE1954" s="518"/>
      <c r="AF1954" s="518"/>
      <c r="AG1954" s="518"/>
      <c r="AH1954" s="518"/>
      <c r="AJ1954" s="595"/>
    </row>
    <row r="1955" spans="1:36" hidden="1" x14ac:dyDescent="0.45">
      <c r="A1955" s="518"/>
      <c r="B1955" s="1269" t="str">
        <f>B1945</f>
        <v>APPLICANT IS NOT ELIGIBLE</v>
      </c>
      <c r="C1955" s="1269"/>
      <c r="D1955" s="1269"/>
      <c r="E1955" s="1269"/>
      <c r="F1955" s="1269"/>
      <c r="G1955" s="1269"/>
      <c r="H1955" s="1269"/>
      <c r="I1955" s="1269"/>
      <c r="J1955" s="1269"/>
      <c r="K1955" s="1269"/>
      <c r="L1955" s="1269"/>
      <c r="M1955" s="1269"/>
      <c r="N1955" s="1269"/>
      <c r="O1955" s="1269"/>
      <c r="P1955" s="1269"/>
      <c r="Q1955" s="1269"/>
      <c r="R1955" s="1269"/>
      <c r="S1955" s="1269"/>
      <c r="T1955" s="1269"/>
      <c r="U1955" s="1269"/>
      <c r="V1955" s="1269"/>
      <c r="W1955" s="1269"/>
      <c r="X1955" s="1269"/>
      <c r="Y1955" s="1269"/>
      <c r="Z1955" s="1269"/>
      <c r="AA1955" s="1269"/>
      <c r="AB1955" s="1269"/>
      <c r="AC1955" s="1269"/>
      <c r="AD1955" s="1269"/>
      <c r="AE1955" s="525"/>
      <c r="AF1955" s="1180"/>
      <c r="AG1955" s="1180"/>
      <c r="AH1955" s="518"/>
      <c r="AJ1955" s="595"/>
    </row>
    <row r="1956" spans="1:36" hidden="1" x14ac:dyDescent="0.45">
      <c r="A1956" s="518"/>
      <c r="B1956" s="518"/>
      <c r="C1956" s="518"/>
      <c r="D1956" s="518"/>
      <c r="E1956" s="518"/>
      <c r="F1956" s="518"/>
      <c r="G1956" s="518"/>
      <c r="H1956" s="518"/>
      <c r="I1956" s="518"/>
      <c r="J1956" s="518"/>
      <c r="K1956" s="518"/>
      <c r="L1956" s="518"/>
      <c r="M1956" s="518"/>
      <c r="N1956" s="518"/>
      <c r="O1956" s="518"/>
      <c r="P1956" s="518"/>
      <c r="Q1956" s="518"/>
      <c r="R1956" s="518"/>
      <c r="S1956" s="518"/>
      <c r="T1956" s="518"/>
      <c r="U1956" s="518"/>
      <c r="V1956" s="518"/>
      <c r="W1956" s="518"/>
      <c r="X1956" s="518"/>
      <c r="Y1956" s="518"/>
      <c r="Z1956" s="518"/>
      <c r="AA1956" s="518"/>
      <c r="AB1956" s="518"/>
      <c r="AC1956" s="518"/>
      <c r="AD1956" s="518"/>
      <c r="AE1956" s="518"/>
      <c r="AF1956" s="518"/>
      <c r="AG1956" s="518"/>
      <c r="AH1956" s="518"/>
      <c r="AJ1956" s="595"/>
    </row>
    <row r="1957" spans="1:36" hidden="1" x14ac:dyDescent="0.45">
      <c r="A1957" s="518"/>
      <c r="B1957" s="518"/>
      <c r="C1957" s="518"/>
      <c r="D1957" s="518"/>
      <c r="E1957" s="518"/>
      <c r="F1957" s="518"/>
      <c r="G1957" s="518"/>
      <c r="H1957" s="518"/>
      <c r="I1957" s="518"/>
      <c r="J1957" s="518"/>
      <c r="K1957" s="518"/>
      <c r="L1957" s="518"/>
      <c r="M1957" s="518"/>
      <c r="N1957" s="518"/>
      <c r="O1957" s="518"/>
      <c r="P1957" s="518"/>
      <c r="Q1957" s="518"/>
      <c r="R1957" s="518"/>
      <c r="S1957" s="518"/>
      <c r="T1957" s="518"/>
      <c r="U1957" s="518"/>
      <c r="V1957" s="518"/>
      <c r="W1957" s="518"/>
      <c r="X1957" s="518"/>
      <c r="Y1957" s="518"/>
      <c r="Z1957" s="518"/>
      <c r="AA1957" s="518"/>
      <c r="AB1957" s="518"/>
      <c r="AC1957" s="518"/>
      <c r="AD1957" s="518"/>
      <c r="AE1957" s="518"/>
      <c r="AF1957" s="518"/>
      <c r="AG1957" s="518"/>
      <c r="AH1957" s="518"/>
      <c r="AJ1957" s="595" t="b">
        <f>AND(
APP_ApplyingForSerna="Yes",
S1_ER_EligibleApplicant,
APP_Applicant1Type="LLC Controlled by a Non-Profit Corporation")</f>
        <v>0</v>
      </c>
    </row>
    <row r="1958" spans="1:36" hidden="1" x14ac:dyDescent="0.45">
      <c r="A1958" s="518"/>
      <c r="B1958" s="907" t="s">
        <v>1866</v>
      </c>
      <c r="C1958" s="907"/>
      <c r="D1958" s="907"/>
      <c r="E1958" s="907"/>
      <c r="F1958" s="907"/>
      <c r="G1958" s="907"/>
      <c r="H1958" s="907"/>
      <c r="I1958" s="907"/>
      <c r="J1958" s="907"/>
      <c r="K1958" s="907"/>
      <c r="L1958" s="907"/>
      <c r="M1958" s="907"/>
      <c r="N1958" s="907"/>
      <c r="O1958" s="907"/>
      <c r="P1958" s="907"/>
      <c r="Q1958" s="907"/>
      <c r="R1958" s="907"/>
      <c r="S1958" s="907"/>
      <c r="T1958" s="907"/>
      <c r="U1958" s="907"/>
      <c r="V1958" s="907"/>
      <c r="W1958" s="907"/>
      <c r="X1958" s="907"/>
      <c r="Y1958" s="907"/>
      <c r="Z1958" s="907"/>
      <c r="AA1958" s="907"/>
      <c r="AB1958" s="907"/>
      <c r="AC1958" s="907"/>
      <c r="AD1958" s="907"/>
      <c r="AE1958" s="907"/>
      <c r="AF1958" s="907"/>
      <c r="AG1958" s="907"/>
      <c r="AH1958" s="518"/>
      <c r="AJ1958" s="595"/>
    </row>
    <row r="1959" spans="1:36" hidden="1" x14ac:dyDescent="0.45">
      <c r="A1959" s="518"/>
      <c r="B1959" s="518"/>
      <c r="C1959" s="518"/>
      <c r="D1959" s="518"/>
      <c r="E1959" s="518"/>
      <c r="F1959" s="518"/>
      <c r="G1959" s="518"/>
      <c r="H1959" s="518"/>
      <c r="I1959" s="518"/>
      <c r="J1959" s="518"/>
      <c r="K1959" s="518"/>
      <c r="L1959" s="518"/>
      <c r="M1959" s="518"/>
      <c r="N1959" s="518"/>
      <c r="O1959" s="518"/>
      <c r="P1959" s="518"/>
      <c r="Q1959" s="518"/>
      <c r="R1959" s="518"/>
      <c r="S1959" s="518"/>
      <c r="T1959" s="518"/>
      <c r="U1959" s="518"/>
      <c r="V1959" s="518"/>
      <c r="W1959" s="518"/>
      <c r="X1959" s="518"/>
      <c r="Y1959" s="518"/>
      <c r="Z1959" s="518"/>
      <c r="AA1959" s="518"/>
      <c r="AB1959" s="518"/>
      <c r="AC1959" s="518"/>
      <c r="AD1959" s="518"/>
      <c r="AE1959" s="518"/>
      <c r="AF1959" s="518"/>
      <c r="AG1959" s="518"/>
      <c r="AH1959" s="518"/>
      <c r="AJ1959" s="595"/>
    </row>
    <row r="1960" spans="1:36" ht="27" hidden="1" customHeight="1" x14ac:dyDescent="0.45">
      <c r="A1960" s="518"/>
      <c r="B1960" s="1255">
        <v>1</v>
      </c>
      <c r="C1960" s="1256"/>
      <c r="D1960" s="1122" t="s">
        <v>59</v>
      </c>
      <c r="E1960" s="1122"/>
      <c r="F1960" s="1122"/>
      <c r="G1960" s="1122"/>
      <c r="H1960" s="1122"/>
      <c r="I1960" s="1122"/>
      <c r="J1960" s="1122"/>
      <c r="K1960" s="1122"/>
      <c r="L1960" s="1122"/>
      <c r="M1960" s="1122"/>
      <c r="N1960" s="1122"/>
      <c r="O1960" s="1122"/>
      <c r="P1960" s="1122"/>
      <c r="Q1960" s="1122"/>
      <c r="R1960" s="1122"/>
      <c r="S1960" s="1122"/>
      <c r="T1960" s="1122"/>
      <c r="U1960" s="1122"/>
      <c r="V1960" s="1122"/>
      <c r="W1960" s="1122"/>
      <c r="X1960" s="1122"/>
      <c r="Y1960" s="1122"/>
      <c r="Z1960" s="1122"/>
      <c r="AA1960" s="1122"/>
      <c r="AB1960" s="1122"/>
      <c r="AC1960" s="1122"/>
      <c r="AD1960" s="1122"/>
      <c r="AE1960" s="519"/>
      <c r="AF1960" s="1123"/>
      <c r="AG1960" s="1123"/>
      <c r="AH1960" s="518"/>
      <c r="AJ1960" s="595"/>
    </row>
    <row r="1961" spans="1:36" ht="40.5" hidden="1" customHeight="1" x14ac:dyDescent="0.45">
      <c r="A1961" s="518"/>
      <c r="B1961" s="1255">
        <v>2</v>
      </c>
      <c r="C1961" s="1256"/>
      <c r="D1961" s="1125" t="s">
        <v>1797</v>
      </c>
      <c r="E1961" s="1125"/>
      <c r="F1961" s="1125"/>
      <c r="G1961" s="1125"/>
      <c r="H1961" s="1125"/>
      <c r="I1961" s="1125"/>
      <c r="J1961" s="1125"/>
      <c r="K1961" s="1125"/>
      <c r="L1961" s="1125"/>
      <c r="M1961" s="1125"/>
      <c r="N1961" s="1125"/>
      <c r="O1961" s="1125"/>
      <c r="P1961" s="1125"/>
      <c r="Q1961" s="1125"/>
      <c r="R1961" s="1125"/>
      <c r="S1961" s="1125"/>
      <c r="T1961" s="1125"/>
      <c r="U1961" s="1125"/>
      <c r="V1961" s="1125"/>
      <c r="W1961" s="1125"/>
      <c r="X1961" s="1125"/>
      <c r="Y1961" s="1125"/>
      <c r="Z1961" s="1125"/>
      <c r="AA1961" s="1125"/>
      <c r="AB1961" s="1125"/>
      <c r="AC1961" s="1125"/>
      <c r="AD1961" s="1125"/>
      <c r="AE1961" s="521"/>
      <c r="AF1961" s="1257"/>
      <c r="AG1961" s="1191"/>
      <c r="AH1961" s="518"/>
      <c r="AJ1961" s="595"/>
    </row>
    <row r="1962" spans="1:36" ht="67.5" hidden="1" customHeight="1" x14ac:dyDescent="0.45">
      <c r="A1962" s="518"/>
      <c r="B1962" s="1258">
        <v>3</v>
      </c>
      <c r="C1962" s="1259"/>
      <c r="D1962" s="1125" t="s">
        <v>1798</v>
      </c>
      <c r="E1962" s="1125"/>
      <c r="F1962" s="1125"/>
      <c r="G1962" s="1125"/>
      <c r="H1962" s="1125"/>
      <c r="I1962" s="1125"/>
      <c r="J1962" s="1125"/>
      <c r="K1962" s="1125"/>
      <c r="L1962" s="1125"/>
      <c r="M1962" s="1125"/>
      <c r="N1962" s="1125"/>
      <c r="O1962" s="1125"/>
      <c r="P1962" s="1125"/>
      <c r="Q1962" s="1125"/>
      <c r="R1962" s="1125"/>
      <c r="S1962" s="1125"/>
      <c r="T1962" s="1125"/>
      <c r="U1962" s="1125"/>
      <c r="V1962" s="1125"/>
      <c r="W1962" s="1125"/>
      <c r="X1962" s="1125"/>
      <c r="Y1962" s="1125"/>
      <c r="Z1962" s="1125"/>
      <c r="AA1962" s="1125"/>
      <c r="AB1962" s="1125"/>
      <c r="AC1962" s="1125"/>
      <c r="AD1962" s="1125"/>
      <c r="AE1962" s="572"/>
      <c r="AF1962" s="1123"/>
      <c r="AG1962" s="1123"/>
      <c r="AH1962" s="518"/>
      <c r="AJ1962" s="595"/>
    </row>
    <row r="1963" spans="1:36" hidden="1" x14ac:dyDescent="0.45">
      <c r="A1963" s="518"/>
      <c r="B1963" s="518"/>
      <c r="C1963" s="518"/>
      <c r="D1963" s="518"/>
      <c r="E1963" s="518"/>
      <c r="F1963" s="518"/>
      <c r="G1963" s="518"/>
      <c r="H1963" s="518"/>
      <c r="I1963" s="518"/>
      <c r="J1963" s="518"/>
      <c r="K1963" s="518"/>
      <c r="L1963" s="518"/>
      <c r="M1963" s="518"/>
      <c r="N1963" s="518"/>
      <c r="O1963" s="518"/>
      <c r="P1963" s="518"/>
      <c r="Q1963" s="518"/>
      <c r="R1963" s="518"/>
      <c r="S1963" s="518"/>
      <c r="T1963" s="518"/>
      <c r="U1963" s="518"/>
      <c r="V1963" s="518"/>
      <c r="W1963" s="518"/>
      <c r="X1963" s="518"/>
      <c r="Y1963" s="518"/>
      <c r="Z1963" s="518"/>
      <c r="AA1963" s="518"/>
      <c r="AB1963" s="518"/>
      <c r="AC1963" s="518"/>
      <c r="AD1963" s="518"/>
      <c r="AE1963" s="518"/>
      <c r="AF1963" s="518"/>
      <c r="AG1963" s="518"/>
      <c r="AH1963" s="518"/>
      <c r="AJ1963" s="595"/>
    </row>
    <row r="1964" spans="1:36" hidden="1" x14ac:dyDescent="0.45">
      <c r="A1964" s="518"/>
      <c r="B1964" s="1269" t="str">
        <f>B1955</f>
        <v>APPLICANT IS NOT ELIGIBLE</v>
      </c>
      <c r="C1964" s="1269"/>
      <c r="D1964" s="1269"/>
      <c r="E1964" s="1269"/>
      <c r="F1964" s="1269"/>
      <c r="G1964" s="1269"/>
      <c r="H1964" s="1269"/>
      <c r="I1964" s="1269"/>
      <c r="J1964" s="1269"/>
      <c r="K1964" s="1269"/>
      <c r="L1964" s="1269"/>
      <c r="M1964" s="1269"/>
      <c r="N1964" s="1269"/>
      <c r="O1964" s="1269"/>
      <c r="P1964" s="1269"/>
      <c r="Q1964" s="1269"/>
      <c r="R1964" s="1269"/>
      <c r="S1964" s="1269"/>
      <c r="T1964" s="1269"/>
      <c r="U1964" s="1269"/>
      <c r="V1964" s="1269"/>
      <c r="W1964" s="1269"/>
      <c r="X1964" s="1269"/>
      <c r="Y1964" s="1269"/>
      <c r="Z1964" s="1269"/>
      <c r="AA1964" s="1269"/>
      <c r="AB1964" s="1269"/>
      <c r="AC1964" s="1269"/>
      <c r="AD1964" s="1269"/>
      <c r="AE1964" s="525"/>
      <c r="AF1964" s="1180"/>
      <c r="AG1964" s="1180"/>
      <c r="AH1964" s="518"/>
      <c r="AJ1964" s="595"/>
    </row>
    <row r="1965" spans="1:36" hidden="1" x14ac:dyDescent="0.45">
      <c r="A1965" s="518"/>
      <c r="B1965" s="518"/>
      <c r="C1965" s="518"/>
      <c r="D1965" s="518"/>
      <c r="E1965" s="518"/>
      <c r="F1965" s="518"/>
      <c r="G1965" s="518"/>
      <c r="H1965" s="518"/>
      <c r="I1965" s="518"/>
      <c r="J1965" s="518"/>
      <c r="K1965" s="518"/>
      <c r="L1965" s="518"/>
      <c r="M1965" s="518"/>
      <c r="N1965" s="518"/>
      <c r="O1965" s="518"/>
      <c r="P1965" s="518"/>
      <c r="Q1965" s="518"/>
      <c r="R1965" s="518"/>
      <c r="S1965" s="518"/>
      <c r="T1965" s="518"/>
      <c r="U1965" s="518"/>
      <c r="V1965" s="518"/>
      <c r="W1965" s="518"/>
      <c r="X1965" s="518"/>
      <c r="Y1965" s="518"/>
      <c r="Z1965" s="518"/>
      <c r="AA1965" s="518"/>
      <c r="AB1965" s="518"/>
      <c r="AC1965" s="518"/>
      <c r="AD1965" s="518"/>
      <c r="AE1965" s="518"/>
      <c r="AF1965" s="518"/>
      <c r="AG1965" s="518"/>
      <c r="AH1965" s="518"/>
      <c r="AJ1965" s="595"/>
    </row>
    <row r="1966" spans="1:36" hidden="1" x14ac:dyDescent="0.45">
      <c r="A1966" s="518"/>
      <c r="B1966" s="518"/>
      <c r="C1966" s="518"/>
      <c r="D1966" s="518"/>
      <c r="E1966" s="518"/>
      <c r="F1966" s="518"/>
      <c r="G1966" s="518"/>
      <c r="H1966" s="518"/>
      <c r="I1966" s="518"/>
      <c r="J1966" s="518"/>
      <c r="K1966" s="518"/>
      <c r="L1966" s="518"/>
      <c r="M1966" s="518"/>
      <c r="N1966" s="518"/>
      <c r="O1966" s="518"/>
      <c r="P1966" s="518"/>
      <c r="Q1966" s="518"/>
      <c r="R1966" s="518"/>
      <c r="S1966" s="518"/>
      <c r="T1966" s="518"/>
      <c r="U1966" s="518"/>
      <c r="V1966" s="518"/>
      <c r="W1966" s="518"/>
      <c r="X1966" s="518"/>
      <c r="Y1966" s="518"/>
      <c r="Z1966" s="518"/>
      <c r="AA1966" s="518"/>
      <c r="AB1966" s="518"/>
      <c r="AC1966" s="518"/>
      <c r="AD1966" s="518"/>
      <c r="AE1966" s="518"/>
      <c r="AF1966" s="518"/>
      <c r="AG1966" s="518"/>
      <c r="AH1966" s="518"/>
      <c r="AJ1966" s="595" t="b">
        <f>AND(
APP_ApplyingForSerna="Yes",
S1_ER_EligibleApplicant,
APP_Applicant1Type="LP Controlled by a Non-Profit Corporation")</f>
        <v>0</v>
      </c>
    </row>
    <row r="1967" spans="1:36" hidden="1" x14ac:dyDescent="0.45">
      <c r="A1967" s="518"/>
      <c r="B1967" s="907" t="s">
        <v>1867</v>
      </c>
      <c r="C1967" s="907"/>
      <c r="D1967" s="907"/>
      <c r="E1967" s="907"/>
      <c r="F1967" s="907"/>
      <c r="G1967" s="907"/>
      <c r="H1967" s="907"/>
      <c r="I1967" s="907"/>
      <c r="J1967" s="907"/>
      <c r="K1967" s="907"/>
      <c r="L1967" s="907"/>
      <c r="M1967" s="907"/>
      <c r="N1967" s="907"/>
      <c r="O1967" s="907"/>
      <c r="P1967" s="907"/>
      <c r="Q1967" s="907"/>
      <c r="R1967" s="907"/>
      <c r="S1967" s="907"/>
      <c r="T1967" s="907"/>
      <c r="U1967" s="907"/>
      <c r="V1967" s="907"/>
      <c r="W1967" s="907"/>
      <c r="X1967" s="907"/>
      <c r="Y1967" s="907"/>
      <c r="Z1967" s="907"/>
      <c r="AA1967" s="907"/>
      <c r="AB1967" s="907"/>
      <c r="AC1967" s="907"/>
      <c r="AD1967" s="907"/>
      <c r="AE1967" s="907"/>
      <c r="AF1967" s="907"/>
      <c r="AG1967" s="907"/>
      <c r="AH1967" s="518"/>
      <c r="AJ1967" s="595"/>
    </row>
    <row r="1968" spans="1:36" hidden="1" x14ac:dyDescent="0.45">
      <c r="A1968" s="518"/>
      <c r="B1968" s="518"/>
      <c r="C1968" s="518"/>
      <c r="D1968" s="518"/>
      <c r="E1968" s="518"/>
      <c r="F1968" s="518"/>
      <c r="G1968" s="518"/>
      <c r="H1968" s="518"/>
      <c r="I1968" s="518"/>
      <c r="J1968" s="518"/>
      <c r="K1968" s="518"/>
      <c r="L1968" s="518"/>
      <c r="M1968" s="518"/>
      <c r="N1968" s="518"/>
      <c r="O1968" s="518"/>
      <c r="P1968" s="518"/>
      <c r="Q1968" s="518"/>
      <c r="R1968" s="518"/>
      <c r="S1968" s="518"/>
      <c r="T1968" s="518"/>
      <c r="U1968" s="518"/>
      <c r="V1968" s="518"/>
      <c r="W1968" s="518"/>
      <c r="X1968" s="518"/>
      <c r="Y1968" s="518"/>
      <c r="Z1968" s="518"/>
      <c r="AA1968" s="518"/>
      <c r="AB1968" s="518"/>
      <c r="AC1968" s="518"/>
      <c r="AD1968" s="518"/>
      <c r="AE1968" s="518"/>
      <c r="AF1968" s="518"/>
      <c r="AG1968" s="518"/>
      <c r="AH1968" s="518"/>
      <c r="AJ1968" s="595"/>
    </row>
    <row r="1969" spans="1:36" ht="28" hidden="1" customHeight="1" x14ac:dyDescent="0.45">
      <c r="A1969" s="518"/>
      <c r="B1969" s="1255">
        <v>1</v>
      </c>
      <c r="C1969" s="1256"/>
      <c r="D1969" s="1122" t="s">
        <v>59</v>
      </c>
      <c r="E1969" s="1122"/>
      <c r="F1969" s="1122"/>
      <c r="G1969" s="1122"/>
      <c r="H1969" s="1122"/>
      <c r="I1969" s="1122"/>
      <c r="J1969" s="1122"/>
      <c r="K1969" s="1122"/>
      <c r="L1969" s="1122"/>
      <c r="M1969" s="1122"/>
      <c r="N1969" s="1122"/>
      <c r="O1969" s="1122"/>
      <c r="P1969" s="1122"/>
      <c r="Q1969" s="1122"/>
      <c r="R1969" s="1122"/>
      <c r="S1969" s="1122"/>
      <c r="T1969" s="1122"/>
      <c r="U1969" s="1122"/>
      <c r="V1969" s="1122"/>
      <c r="W1969" s="1122"/>
      <c r="X1969" s="1122"/>
      <c r="Y1969" s="1122"/>
      <c r="Z1969" s="1122"/>
      <c r="AA1969" s="1122"/>
      <c r="AB1969" s="1122"/>
      <c r="AC1969" s="1122"/>
      <c r="AD1969" s="1122"/>
      <c r="AE1969" s="519"/>
      <c r="AF1969" s="1123"/>
      <c r="AG1969" s="1123"/>
      <c r="AH1969" s="518"/>
      <c r="AJ1969" s="595"/>
    </row>
    <row r="1970" spans="1:36" ht="40.5" hidden="1" customHeight="1" x14ac:dyDescent="0.45">
      <c r="A1970" s="518"/>
      <c r="B1970" s="1255">
        <v>2</v>
      </c>
      <c r="C1970" s="1256"/>
      <c r="D1970" s="1125" t="s">
        <v>1797</v>
      </c>
      <c r="E1970" s="1125"/>
      <c r="F1970" s="1125"/>
      <c r="G1970" s="1125"/>
      <c r="H1970" s="1125"/>
      <c r="I1970" s="1125"/>
      <c r="J1970" s="1125"/>
      <c r="K1970" s="1125"/>
      <c r="L1970" s="1125"/>
      <c r="M1970" s="1125"/>
      <c r="N1970" s="1125"/>
      <c r="O1970" s="1125"/>
      <c r="P1970" s="1125"/>
      <c r="Q1970" s="1125"/>
      <c r="R1970" s="1125"/>
      <c r="S1970" s="1125"/>
      <c r="T1970" s="1125"/>
      <c r="U1970" s="1125"/>
      <c r="V1970" s="1125"/>
      <c r="W1970" s="1125"/>
      <c r="X1970" s="1125"/>
      <c r="Y1970" s="1125"/>
      <c r="Z1970" s="1125"/>
      <c r="AA1970" s="1125"/>
      <c r="AB1970" s="1125"/>
      <c r="AC1970" s="1125"/>
      <c r="AD1970" s="1125"/>
      <c r="AE1970" s="521"/>
      <c r="AF1970" s="1257"/>
      <c r="AG1970" s="1191"/>
      <c r="AH1970" s="518"/>
      <c r="AJ1970" s="595"/>
    </row>
    <row r="1971" spans="1:36" ht="65.5" hidden="1" customHeight="1" x14ac:dyDescent="0.45">
      <c r="A1971" s="518"/>
      <c r="B1971" s="1258">
        <v>3</v>
      </c>
      <c r="C1971" s="1259"/>
      <c r="D1971" s="1125" t="s">
        <v>1798</v>
      </c>
      <c r="E1971" s="1125"/>
      <c r="F1971" s="1125"/>
      <c r="G1971" s="1125"/>
      <c r="H1971" s="1125"/>
      <c r="I1971" s="1125"/>
      <c r="J1971" s="1125"/>
      <c r="K1971" s="1125"/>
      <c r="L1971" s="1125"/>
      <c r="M1971" s="1125"/>
      <c r="N1971" s="1125"/>
      <c r="O1971" s="1125"/>
      <c r="P1971" s="1125"/>
      <c r="Q1971" s="1125"/>
      <c r="R1971" s="1125"/>
      <c r="S1971" s="1125"/>
      <c r="T1971" s="1125"/>
      <c r="U1971" s="1125"/>
      <c r="V1971" s="1125"/>
      <c r="W1971" s="1125"/>
      <c r="X1971" s="1125"/>
      <c r="Y1971" s="1125"/>
      <c r="Z1971" s="1125"/>
      <c r="AA1971" s="1125"/>
      <c r="AB1971" s="1125"/>
      <c r="AC1971" s="1125"/>
      <c r="AD1971" s="1125"/>
      <c r="AE1971" s="572"/>
      <c r="AF1971" s="1123"/>
      <c r="AG1971" s="1123"/>
      <c r="AH1971" s="518"/>
      <c r="AJ1971" s="595"/>
    </row>
    <row r="1972" spans="1:36" hidden="1" x14ac:dyDescent="0.45">
      <c r="A1972" s="518"/>
      <c r="B1972" s="518"/>
      <c r="C1972" s="518"/>
      <c r="D1972" s="518"/>
      <c r="E1972" s="518"/>
      <c r="F1972" s="518"/>
      <c r="G1972" s="518"/>
      <c r="H1972" s="518"/>
      <c r="I1972" s="518"/>
      <c r="J1972" s="518"/>
      <c r="K1972" s="518"/>
      <c r="L1972" s="518"/>
      <c r="M1972" s="518"/>
      <c r="N1972" s="518"/>
      <c r="O1972" s="518"/>
      <c r="P1972" s="518"/>
      <c r="Q1972" s="518"/>
      <c r="R1972" s="518"/>
      <c r="S1972" s="518"/>
      <c r="T1972" s="518"/>
      <c r="U1972" s="518"/>
      <c r="V1972" s="518"/>
      <c r="W1972" s="518"/>
      <c r="X1972" s="518"/>
      <c r="Y1972" s="518"/>
      <c r="Z1972" s="518"/>
      <c r="AA1972" s="518"/>
      <c r="AB1972" s="518"/>
      <c r="AC1972" s="518"/>
      <c r="AD1972" s="518"/>
      <c r="AE1972" s="518"/>
      <c r="AF1972" s="518"/>
      <c r="AG1972" s="518"/>
      <c r="AH1972" s="518"/>
      <c r="AJ1972" s="595"/>
    </row>
    <row r="1973" spans="1:36" hidden="1" x14ac:dyDescent="0.45">
      <c r="A1973" s="518"/>
      <c r="B1973" s="1269" t="str">
        <f>B1964</f>
        <v>APPLICANT IS NOT ELIGIBLE</v>
      </c>
      <c r="C1973" s="1269"/>
      <c r="D1973" s="1269"/>
      <c r="E1973" s="1269"/>
      <c r="F1973" s="1269"/>
      <c r="G1973" s="1269"/>
      <c r="H1973" s="1269"/>
      <c r="I1973" s="1269"/>
      <c r="J1973" s="1269"/>
      <c r="K1973" s="1269"/>
      <c r="L1973" s="1269"/>
      <c r="M1973" s="1269"/>
      <c r="N1973" s="1269"/>
      <c r="O1973" s="1269"/>
      <c r="P1973" s="1269"/>
      <c r="Q1973" s="1269"/>
      <c r="R1973" s="1269"/>
      <c r="S1973" s="1269"/>
      <c r="T1973" s="1269"/>
      <c r="U1973" s="1269"/>
      <c r="V1973" s="1269"/>
      <c r="W1973" s="1269"/>
      <c r="X1973" s="1269"/>
      <c r="Y1973" s="1269"/>
      <c r="Z1973" s="1269"/>
      <c r="AA1973" s="1269"/>
      <c r="AB1973" s="1269"/>
      <c r="AC1973" s="1269"/>
      <c r="AD1973" s="1269"/>
      <c r="AE1973" s="525"/>
      <c r="AF1973" s="1180"/>
      <c r="AG1973" s="1180"/>
      <c r="AH1973" s="518"/>
      <c r="AJ1973" s="595"/>
    </row>
    <row r="1974" spans="1:36" hidden="1" x14ac:dyDescent="0.45">
      <c r="A1974" s="518"/>
      <c r="B1974" s="518"/>
      <c r="C1974" s="518"/>
      <c r="D1974" s="518"/>
      <c r="E1974" s="518"/>
      <c r="F1974" s="518"/>
      <c r="G1974" s="518"/>
      <c r="H1974" s="518"/>
      <c r="I1974" s="518"/>
      <c r="J1974" s="518"/>
      <c r="K1974" s="518"/>
      <c r="L1974" s="518"/>
      <c r="M1974" s="518"/>
      <c r="N1974" s="518"/>
      <c r="O1974" s="518"/>
      <c r="P1974" s="518"/>
      <c r="Q1974" s="518"/>
      <c r="R1974" s="518"/>
      <c r="S1974" s="518"/>
      <c r="T1974" s="518"/>
      <c r="U1974" s="518"/>
      <c r="V1974" s="518"/>
      <c r="W1974" s="518"/>
      <c r="X1974" s="518"/>
      <c r="Y1974" s="518"/>
      <c r="Z1974" s="518"/>
      <c r="AA1974" s="518"/>
      <c r="AB1974" s="518"/>
      <c r="AC1974" s="518"/>
      <c r="AD1974" s="518"/>
      <c r="AE1974" s="518"/>
      <c r="AF1974" s="518"/>
      <c r="AG1974" s="518"/>
      <c r="AH1974" s="518"/>
      <c r="AJ1974" s="595"/>
    </row>
    <row r="1975" spans="1:36" hidden="1" x14ac:dyDescent="0.45">
      <c r="A1975" s="518"/>
      <c r="B1975" s="518"/>
      <c r="C1975" s="518"/>
      <c r="D1975" s="518"/>
      <c r="E1975" s="518"/>
      <c r="F1975" s="518"/>
      <c r="G1975" s="518"/>
      <c r="H1975" s="518"/>
      <c r="I1975" s="518"/>
      <c r="J1975" s="518"/>
      <c r="K1975" s="518"/>
      <c r="L1975" s="518"/>
      <c r="M1975" s="518"/>
      <c r="N1975" s="518"/>
      <c r="O1975" s="518"/>
      <c r="P1975" s="518"/>
      <c r="Q1975" s="518"/>
      <c r="R1975" s="518"/>
      <c r="S1975" s="518"/>
      <c r="T1975" s="518"/>
      <c r="U1975" s="518"/>
      <c r="V1975" s="518"/>
      <c r="W1975" s="518"/>
      <c r="X1975" s="518"/>
      <c r="Y1975" s="518"/>
      <c r="Z1975" s="518"/>
      <c r="AA1975" s="518"/>
      <c r="AB1975" s="518"/>
      <c r="AC1975" s="518"/>
      <c r="AD1975" s="518"/>
      <c r="AE1975" s="518"/>
      <c r="AF1975" s="518"/>
      <c r="AG1975" s="518"/>
      <c r="AH1975" s="518"/>
      <c r="AJ1975" s="595" t="b">
        <f>AND(
APP_ApplyingForSerna="Yes",
S1_ER_EligibleApplicant,
APP_Applicant1Type="Community-Based Developer")</f>
        <v>0</v>
      </c>
    </row>
    <row r="1976" spans="1:36" hidden="1" x14ac:dyDescent="0.45">
      <c r="A1976" s="518"/>
      <c r="B1976" s="517" t="s">
        <v>1868</v>
      </c>
      <c r="C1976" s="518"/>
      <c r="D1976" s="518"/>
      <c r="E1976" s="518"/>
      <c r="F1976" s="518"/>
      <c r="G1976" s="518"/>
      <c r="H1976" s="518"/>
      <c r="I1976" s="518"/>
      <c r="J1976" s="518"/>
      <c r="K1976" s="518"/>
      <c r="L1976" s="518"/>
      <c r="M1976" s="518"/>
      <c r="N1976" s="518"/>
      <c r="O1976" s="518"/>
      <c r="P1976" s="518"/>
      <c r="Q1976" s="518"/>
      <c r="R1976" s="518"/>
      <c r="S1976" s="518"/>
      <c r="T1976" s="518"/>
      <c r="U1976" s="518"/>
      <c r="V1976" s="518"/>
      <c r="W1976" s="518"/>
      <c r="X1976" s="518"/>
      <c r="Y1976" s="518"/>
      <c r="Z1976" s="518"/>
      <c r="AA1976" s="518"/>
      <c r="AB1976" s="518"/>
      <c r="AC1976" s="518"/>
      <c r="AD1976" s="518"/>
      <c r="AE1976" s="518"/>
      <c r="AF1976" s="518"/>
      <c r="AG1976" s="518"/>
      <c r="AH1976" s="518"/>
      <c r="AJ1976" s="595"/>
    </row>
    <row r="1977" spans="1:36" hidden="1" x14ac:dyDescent="0.45">
      <c r="A1977" s="518"/>
      <c r="B1977" s="518"/>
      <c r="C1977" s="518"/>
      <c r="D1977" s="518"/>
      <c r="E1977" s="518"/>
      <c r="F1977" s="518"/>
      <c r="G1977" s="518"/>
      <c r="H1977" s="518"/>
      <c r="I1977" s="518"/>
      <c r="J1977" s="518"/>
      <c r="K1977" s="518"/>
      <c r="L1977" s="518"/>
      <c r="M1977" s="518"/>
      <c r="N1977" s="518"/>
      <c r="O1977" s="518"/>
      <c r="P1977" s="518"/>
      <c r="Q1977" s="518"/>
      <c r="R1977" s="518"/>
      <c r="S1977" s="518"/>
      <c r="T1977" s="518"/>
      <c r="U1977" s="518"/>
      <c r="V1977" s="518"/>
      <c r="W1977" s="518"/>
      <c r="X1977" s="518"/>
      <c r="Y1977" s="518"/>
      <c r="Z1977" s="518"/>
      <c r="AA1977" s="518"/>
      <c r="AB1977" s="518"/>
      <c r="AC1977" s="518"/>
      <c r="AD1977" s="518"/>
      <c r="AE1977" s="518"/>
      <c r="AF1977" s="518"/>
      <c r="AG1977" s="518"/>
      <c r="AH1977" s="518"/>
      <c r="AJ1977" s="595"/>
    </row>
    <row r="1978" spans="1:36" ht="41.5" hidden="1" customHeight="1" x14ac:dyDescent="0.45">
      <c r="A1978" s="518"/>
      <c r="B1978" s="1270">
        <v>1</v>
      </c>
      <c r="C1978" s="1258"/>
      <c r="D1978" s="1271" t="s">
        <v>67</v>
      </c>
      <c r="E1978" s="1272"/>
      <c r="F1978" s="1272"/>
      <c r="G1978" s="1272"/>
      <c r="H1978" s="1272"/>
      <c r="I1978" s="1272"/>
      <c r="J1978" s="1272"/>
      <c r="K1978" s="1272"/>
      <c r="L1978" s="1272"/>
      <c r="M1978" s="1272"/>
      <c r="N1978" s="1272"/>
      <c r="O1978" s="1272"/>
      <c r="P1978" s="1272"/>
      <c r="Q1978" s="1272"/>
      <c r="R1978" s="1272"/>
      <c r="S1978" s="1272"/>
      <c r="T1978" s="1272"/>
      <c r="U1978" s="1272"/>
      <c r="V1978" s="1272"/>
      <c r="W1978" s="1272"/>
      <c r="X1978" s="1272"/>
      <c r="Y1978" s="1272"/>
      <c r="Z1978" s="1272"/>
      <c r="AA1978" s="1272"/>
      <c r="AB1978" s="1272"/>
      <c r="AC1978" s="1272"/>
      <c r="AD1978" s="1273"/>
      <c r="AE1978" s="521"/>
      <c r="AF1978" s="1123"/>
      <c r="AG1978" s="1123"/>
      <c r="AH1978" s="518"/>
      <c r="AJ1978" s="595"/>
    </row>
    <row r="1979" spans="1:36" ht="41.5" hidden="1" customHeight="1" x14ac:dyDescent="0.45">
      <c r="A1979" s="518"/>
      <c r="B1979" s="1270">
        <v>2</v>
      </c>
      <c r="C1979" s="1258"/>
      <c r="D1979" s="1271" t="s">
        <v>68</v>
      </c>
      <c r="E1979" s="1272"/>
      <c r="F1979" s="1272"/>
      <c r="G1979" s="1272"/>
      <c r="H1979" s="1272"/>
      <c r="I1979" s="1272"/>
      <c r="J1979" s="1272"/>
      <c r="K1979" s="1272"/>
      <c r="L1979" s="1272"/>
      <c r="M1979" s="1272"/>
      <c r="N1979" s="1272"/>
      <c r="O1979" s="1272"/>
      <c r="P1979" s="1272"/>
      <c r="Q1979" s="1272"/>
      <c r="R1979" s="1272"/>
      <c r="S1979" s="1272"/>
      <c r="T1979" s="1272"/>
      <c r="U1979" s="1272"/>
      <c r="V1979" s="1272"/>
      <c r="W1979" s="1272"/>
      <c r="X1979" s="1272"/>
      <c r="Y1979" s="1272"/>
      <c r="Z1979" s="1272"/>
      <c r="AA1979" s="1272"/>
      <c r="AB1979" s="1272"/>
      <c r="AC1979" s="1272"/>
      <c r="AD1979" s="1273"/>
      <c r="AE1979" s="521"/>
      <c r="AF1979" s="1123"/>
      <c r="AG1979" s="1123"/>
      <c r="AH1979" s="518"/>
      <c r="AJ1979" s="595"/>
    </row>
    <row r="1980" spans="1:36" ht="41.5" hidden="1" customHeight="1" x14ac:dyDescent="0.45">
      <c r="A1980" s="518"/>
      <c r="B1980" s="1270">
        <v>3</v>
      </c>
      <c r="C1980" s="1258"/>
      <c r="D1980" s="1271" t="s">
        <v>69</v>
      </c>
      <c r="E1980" s="1272"/>
      <c r="F1980" s="1272"/>
      <c r="G1980" s="1272"/>
      <c r="H1980" s="1272"/>
      <c r="I1980" s="1272"/>
      <c r="J1980" s="1272"/>
      <c r="K1980" s="1272"/>
      <c r="L1980" s="1272"/>
      <c r="M1980" s="1272"/>
      <c r="N1980" s="1272"/>
      <c r="O1980" s="1272"/>
      <c r="P1980" s="1272"/>
      <c r="Q1980" s="1272"/>
      <c r="R1980" s="1272"/>
      <c r="S1980" s="1272"/>
      <c r="T1980" s="1272"/>
      <c r="U1980" s="1272"/>
      <c r="V1980" s="1272"/>
      <c r="W1980" s="1272"/>
      <c r="X1980" s="1272"/>
      <c r="Y1980" s="1272"/>
      <c r="Z1980" s="1272"/>
      <c r="AA1980" s="1272"/>
      <c r="AB1980" s="1272"/>
      <c r="AC1980" s="1272"/>
      <c r="AD1980" s="1273"/>
      <c r="AE1980" s="521"/>
      <c r="AF1980" s="1123"/>
      <c r="AG1980" s="1123"/>
      <c r="AH1980" s="518"/>
      <c r="AJ1980" s="595"/>
    </row>
    <row r="1981" spans="1:36" ht="67.5" hidden="1" customHeight="1" x14ac:dyDescent="0.45">
      <c r="A1981" s="518"/>
      <c r="B1981" s="1255">
        <v>4</v>
      </c>
      <c r="C1981" s="1256"/>
      <c r="D1981" s="1260" t="s">
        <v>1781</v>
      </c>
      <c r="E1981" s="1260"/>
      <c r="F1981" s="1260"/>
      <c r="G1981" s="1260"/>
      <c r="H1981" s="1260"/>
      <c r="I1981" s="1260"/>
      <c r="J1981" s="1260"/>
      <c r="K1981" s="1260"/>
      <c r="L1981" s="1260"/>
      <c r="M1981" s="1260"/>
      <c r="N1981" s="1260"/>
      <c r="O1981" s="1260"/>
      <c r="P1981" s="1260"/>
      <c r="Q1981" s="1260"/>
      <c r="R1981" s="1260"/>
      <c r="S1981" s="1260"/>
      <c r="T1981" s="1260"/>
      <c r="U1981" s="1260"/>
      <c r="V1981" s="1260"/>
      <c r="W1981" s="1260"/>
      <c r="X1981" s="1260"/>
      <c r="Y1981" s="1260"/>
      <c r="Z1981" s="1260"/>
      <c r="AA1981" s="1260"/>
      <c r="AB1981" s="1260"/>
      <c r="AC1981" s="1260"/>
      <c r="AD1981" s="1260"/>
      <c r="AE1981" s="519"/>
      <c r="AF1981" s="1123"/>
      <c r="AG1981" s="1123"/>
      <c r="AH1981" s="518"/>
      <c r="AJ1981" s="595"/>
    </row>
    <row r="1982" spans="1:36" ht="52.5" hidden="1" customHeight="1" x14ac:dyDescent="0.45">
      <c r="A1982" s="518"/>
      <c r="B1982" s="1255" t="s">
        <v>70</v>
      </c>
      <c r="C1982" s="1256"/>
      <c r="D1982" s="1256"/>
      <c r="E1982" s="1260" t="s">
        <v>1586</v>
      </c>
      <c r="F1982" s="1260"/>
      <c r="G1982" s="1260"/>
      <c r="H1982" s="1260"/>
      <c r="I1982" s="1260"/>
      <c r="J1982" s="1260"/>
      <c r="K1982" s="1260"/>
      <c r="L1982" s="1260"/>
      <c r="M1982" s="1260"/>
      <c r="N1982" s="1260"/>
      <c r="O1982" s="1260"/>
      <c r="P1982" s="1260"/>
      <c r="Q1982" s="1260"/>
      <c r="R1982" s="1260"/>
      <c r="S1982" s="1260"/>
      <c r="T1982" s="1260"/>
      <c r="U1982" s="1260"/>
      <c r="V1982" s="1260"/>
      <c r="W1982" s="1260"/>
      <c r="X1982" s="1260"/>
      <c r="Y1982" s="1260"/>
      <c r="Z1982" s="1260"/>
      <c r="AA1982" s="1260"/>
      <c r="AB1982" s="1260"/>
      <c r="AC1982" s="1260"/>
      <c r="AD1982" s="1260"/>
      <c r="AE1982" s="519"/>
      <c r="AF1982" s="1123"/>
      <c r="AG1982" s="1123"/>
      <c r="AH1982" s="518"/>
      <c r="AJ1982" s="595"/>
    </row>
    <row r="1983" spans="1:36" ht="65.5" hidden="1" customHeight="1" x14ac:dyDescent="0.45">
      <c r="A1983" s="518"/>
      <c r="B1983" s="1255" t="s">
        <v>71</v>
      </c>
      <c r="C1983" s="1256"/>
      <c r="D1983" s="1256"/>
      <c r="E1983" s="1260" t="s">
        <v>1587</v>
      </c>
      <c r="F1983" s="1260"/>
      <c r="G1983" s="1260"/>
      <c r="H1983" s="1260"/>
      <c r="I1983" s="1260"/>
      <c r="J1983" s="1260"/>
      <c r="K1983" s="1260"/>
      <c r="L1983" s="1260"/>
      <c r="M1983" s="1260"/>
      <c r="N1983" s="1260"/>
      <c r="O1983" s="1260"/>
      <c r="P1983" s="1260"/>
      <c r="Q1983" s="1260"/>
      <c r="R1983" s="1260"/>
      <c r="S1983" s="1260"/>
      <c r="T1983" s="1260"/>
      <c r="U1983" s="1260"/>
      <c r="V1983" s="1260"/>
      <c r="W1983" s="1260"/>
      <c r="X1983" s="1260"/>
      <c r="Y1983" s="1260"/>
      <c r="Z1983" s="1260"/>
      <c r="AA1983" s="1260"/>
      <c r="AB1983" s="1260"/>
      <c r="AC1983" s="1260"/>
      <c r="AD1983" s="1260"/>
      <c r="AE1983" s="519"/>
      <c r="AF1983" s="1190"/>
      <c r="AG1983" s="1191"/>
      <c r="AH1983" s="518"/>
      <c r="AJ1983" s="595"/>
    </row>
    <row r="1984" spans="1:36" ht="41.15" hidden="1" customHeight="1" x14ac:dyDescent="0.45">
      <c r="A1984" s="518"/>
      <c r="B1984" s="1255" t="s">
        <v>72</v>
      </c>
      <c r="C1984" s="1256"/>
      <c r="D1984" s="1256"/>
      <c r="E1984" s="1260" t="s">
        <v>1588</v>
      </c>
      <c r="F1984" s="1260"/>
      <c r="G1984" s="1260"/>
      <c r="H1984" s="1260"/>
      <c r="I1984" s="1260"/>
      <c r="J1984" s="1260"/>
      <c r="K1984" s="1260"/>
      <c r="L1984" s="1260"/>
      <c r="M1984" s="1260"/>
      <c r="N1984" s="1260"/>
      <c r="O1984" s="1260"/>
      <c r="P1984" s="1260"/>
      <c r="Q1984" s="1260"/>
      <c r="R1984" s="1260"/>
      <c r="S1984" s="1260"/>
      <c r="T1984" s="1260"/>
      <c r="U1984" s="1260"/>
      <c r="V1984" s="1260"/>
      <c r="W1984" s="1260"/>
      <c r="X1984" s="1260"/>
      <c r="Y1984" s="1260"/>
      <c r="Z1984" s="1260"/>
      <c r="AA1984" s="1260"/>
      <c r="AB1984" s="1260"/>
      <c r="AC1984" s="1260"/>
      <c r="AD1984" s="1260"/>
      <c r="AE1984" s="519"/>
      <c r="AF1984" s="1190"/>
      <c r="AG1984" s="1191"/>
      <c r="AH1984" s="518"/>
      <c r="AJ1984" s="595"/>
    </row>
    <row r="1985" spans="1:36" ht="78" hidden="1" customHeight="1" x14ac:dyDescent="0.45">
      <c r="A1985" s="518"/>
      <c r="B1985" s="1255" t="s">
        <v>73</v>
      </c>
      <c r="C1985" s="1256"/>
      <c r="D1985" s="1256"/>
      <c r="E1985" s="1260" t="s">
        <v>1589</v>
      </c>
      <c r="F1985" s="1260"/>
      <c r="G1985" s="1260"/>
      <c r="H1985" s="1260"/>
      <c r="I1985" s="1260"/>
      <c r="J1985" s="1260"/>
      <c r="K1985" s="1260"/>
      <c r="L1985" s="1260"/>
      <c r="M1985" s="1260"/>
      <c r="N1985" s="1260"/>
      <c r="O1985" s="1260"/>
      <c r="P1985" s="1260"/>
      <c r="Q1985" s="1260"/>
      <c r="R1985" s="1260"/>
      <c r="S1985" s="1260"/>
      <c r="T1985" s="1260"/>
      <c r="U1985" s="1260"/>
      <c r="V1985" s="1260"/>
      <c r="W1985" s="1260"/>
      <c r="X1985" s="1260"/>
      <c r="Y1985" s="1260"/>
      <c r="Z1985" s="1260"/>
      <c r="AA1985" s="1260"/>
      <c r="AB1985" s="1260"/>
      <c r="AC1985" s="1260"/>
      <c r="AD1985" s="1260"/>
      <c r="AE1985" s="519"/>
      <c r="AF1985" s="1190"/>
      <c r="AG1985" s="1191"/>
      <c r="AH1985" s="518"/>
      <c r="AJ1985" s="595"/>
    </row>
    <row r="1986" spans="1:36" ht="65.5" hidden="1" customHeight="1" x14ac:dyDescent="0.45">
      <c r="A1986" s="518"/>
      <c r="B1986" s="1255" t="s">
        <v>74</v>
      </c>
      <c r="C1986" s="1256"/>
      <c r="D1986" s="1256"/>
      <c r="E1986" s="1260" t="s">
        <v>1590</v>
      </c>
      <c r="F1986" s="1260"/>
      <c r="G1986" s="1260"/>
      <c r="H1986" s="1260"/>
      <c r="I1986" s="1260"/>
      <c r="J1986" s="1260"/>
      <c r="K1986" s="1260"/>
      <c r="L1986" s="1260"/>
      <c r="M1986" s="1260"/>
      <c r="N1986" s="1260"/>
      <c r="O1986" s="1260"/>
      <c r="P1986" s="1260"/>
      <c r="Q1986" s="1260"/>
      <c r="R1986" s="1260"/>
      <c r="S1986" s="1260"/>
      <c r="T1986" s="1260"/>
      <c r="U1986" s="1260"/>
      <c r="V1986" s="1260"/>
      <c r="W1986" s="1260"/>
      <c r="X1986" s="1260"/>
      <c r="Y1986" s="1260"/>
      <c r="Z1986" s="1260"/>
      <c r="AA1986" s="1260"/>
      <c r="AB1986" s="1260"/>
      <c r="AC1986" s="1260"/>
      <c r="AD1986" s="1260"/>
      <c r="AE1986" s="519"/>
      <c r="AF1986" s="1190"/>
      <c r="AG1986" s="1191"/>
      <c r="AH1986" s="518"/>
      <c r="AJ1986" s="595"/>
    </row>
    <row r="1987" spans="1:36" ht="41.15" hidden="1" customHeight="1" x14ac:dyDescent="0.45">
      <c r="A1987" s="518"/>
      <c r="B1987" s="1255" t="s">
        <v>75</v>
      </c>
      <c r="C1987" s="1256"/>
      <c r="D1987" s="1256"/>
      <c r="E1987" s="1260" t="s">
        <v>1800</v>
      </c>
      <c r="F1987" s="1260"/>
      <c r="G1987" s="1260"/>
      <c r="H1987" s="1260"/>
      <c r="I1987" s="1260"/>
      <c r="J1987" s="1260"/>
      <c r="K1987" s="1260"/>
      <c r="L1987" s="1260"/>
      <c r="M1987" s="1260"/>
      <c r="N1987" s="1260"/>
      <c r="O1987" s="1260"/>
      <c r="P1987" s="1260"/>
      <c r="Q1987" s="1260"/>
      <c r="R1987" s="1260"/>
      <c r="S1987" s="1260"/>
      <c r="T1987" s="1260"/>
      <c r="U1987" s="1260"/>
      <c r="V1987" s="1260"/>
      <c r="W1987" s="1260"/>
      <c r="X1987" s="1260"/>
      <c r="Y1987" s="1260"/>
      <c r="Z1987" s="1260"/>
      <c r="AA1987" s="1260"/>
      <c r="AB1987" s="1260"/>
      <c r="AC1987" s="1260"/>
      <c r="AD1987" s="1260"/>
      <c r="AE1987" s="519"/>
      <c r="AF1987" s="1190"/>
      <c r="AG1987" s="1191"/>
      <c r="AH1987" s="518"/>
      <c r="AJ1987" s="595"/>
    </row>
    <row r="1988" spans="1:36" ht="41.15" hidden="1" customHeight="1" x14ac:dyDescent="0.45">
      <c r="A1988" s="518"/>
      <c r="B1988" s="1258" t="s">
        <v>76</v>
      </c>
      <c r="C1988" s="1259"/>
      <c r="D1988" s="1259"/>
      <c r="E1988" s="1261" t="s">
        <v>77</v>
      </c>
      <c r="F1988" s="1261"/>
      <c r="G1988" s="1261"/>
      <c r="H1988" s="1261"/>
      <c r="I1988" s="1261"/>
      <c r="J1988" s="1261"/>
      <c r="K1988" s="1261"/>
      <c r="L1988" s="1261"/>
      <c r="M1988" s="1261"/>
      <c r="N1988" s="1261"/>
      <c r="O1988" s="1261"/>
      <c r="P1988" s="1261"/>
      <c r="Q1988" s="1261"/>
      <c r="R1988" s="1261"/>
      <c r="S1988" s="1261"/>
      <c r="T1988" s="1261"/>
      <c r="U1988" s="1261"/>
      <c r="V1988" s="1261"/>
      <c r="W1988" s="1261"/>
      <c r="X1988" s="1261"/>
      <c r="Y1988" s="1261"/>
      <c r="Z1988" s="1261"/>
      <c r="AA1988" s="1261"/>
      <c r="AB1988" s="1261"/>
      <c r="AC1988" s="1261"/>
      <c r="AD1988" s="1261"/>
      <c r="AE1988" s="572"/>
      <c r="AF1988" s="1192"/>
      <c r="AG1988" s="1193"/>
      <c r="AH1988" s="518"/>
      <c r="AJ1988" s="595"/>
    </row>
    <row r="1989" spans="1:36" hidden="1" x14ac:dyDescent="0.45">
      <c r="A1989" s="518"/>
      <c r="B1989" s="518"/>
      <c r="C1989" s="518"/>
      <c r="D1989" s="518"/>
      <c r="E1989" s="518"/>
      <c r="F1989" s="518"/>
      <c r="G1989" s="518"/>
      <c r="H1989" s="518"/>
      <c r="I1989" s="518"/>
      <c r="J1989" s="518"/>
      <c r="K1989" s="518"/>
      <c r="L1989" s="518"/>
      <c r="M1989" s="518"/>
      <c r="N1989" s="518"/>
      <c r="O1989" s="518"/>
      <c r="P1989" s="518"/>
      <c r="Q1989" s="518"/>
      <c r="R1989" s="518"/>
      <c r="S1989" s="518"/>
      <c r="T1989" s="518"/>
      <c r="U1989" s="518"/>
      <c r="V1989" s="518"/>
      <c r="W1989" s="518"/>
      <c r="X1989" s="518"/>
      <c r="Y1989" s="518"/>
      <c r="Z1989" s="518"/>
      <c r="AA1989" s="518"/>
      <c r="AB1989" s="518"/>
      <c r="AC1989" s="518"/>
      <c r="AD1989" s="518"/>
      <c r="AE1989" s="518"/>
      <c r="AF1989" s="518"/>
      <c r="AG1989" s="518"/>
      <c r="AH1989" s="518"/>
      <c r="AJ1989" s="595"/>
    </row>
    <row r="1990" spans="1:36" hidden="1" x14ac:dyDescent="0.45">
      <c r="A1990" s="518"/>
      <c r="B1990" s="518"/>
      <c r="C1990" s="518"/>
      <c r="D1990" s="518"/>
      <c r="E1990" s="518"/>
      <c r="F1990" s="518"/>
      <c r="G1990" s="518"/>
      <c r="H1990" s="518"/>
      <c r="I1990" s="518"/>
      <c r="J1990" s="518"/>
      <c r="K1990" s="518"/>
      <c r="L1990" s="518"/>
      <c r="M1990" s="518"/>
      <c r="N1990" s="518"/>
      <c r="O1990" s="518"/>
      <c r="P1990" s="518"/>
      <c r="Q1990" s="518"/>
      <c r="R1990" s="518"/>
      <c r="S1990" s="518"/>
      <c r="T1990" s="518"/>
      <c r="U1990" s="518"/>
      <c r="V1990" s="518"/>
      <c r="W1990" s="518"/>
      <c r="X1990" s="518"/>
      <c r="Y1990" s="518"/>
      <c r="Z1990" s="518"/>
      <c r="AA1990" s="518"/>
      <c r="AB1990" s="518"/>
      <c r="AC1990" s="518"/>
      <c r="AD1990" s="518"/>
      <c r="AE1990" s="518"/>
      <c r="AF1990" s="518"/>
      <c r="AG1990" s="518"/>
      <c r="AH1990" s="518"/>
      <c r="AJ1990" s="595"/>
    </row>
    <row r="1991" spans="1:36" hidden="1" x14ac:dyDescent="0.45">
      <c r="A1991" s="518"/>
      <c r="B1991" s="907" t="s">
        <v>25</v>
      </c>
      <c r="C1991" s="907"/>
      <c r="D1991" s="907"/>
      <c r="E1991" s="907"/>
      <c r="F1991" s="907"/>
      <c r="G1991" s="907"/>
      <c r="H1991" s="907"/>
      <c r="I1991" s="907"/>
      <c r="J1991" s="907"/>
      <c r="K1991" s="907"/>
      <c r="L1991" s="907"/>
      <c r="M1991" s="907"/>
      <c r="N1991" s="907"/>
      <c r="O1991" s="907"/>
      <c r="P1991" s="907"/>
      <c r="Q1991" s="907"/>
      <c r="R1991" s="907"/>
      <c r="S1991" s="907"/>
      <c r="T1991" s="907"/>
      <c r="U1991" s="907"/>
      <c r="V1991" s="907"/>
      <c r="W1991" s="907"/>
      <c r="X1991" s="907"/>
      <c r="Y1991" s="907"/>
      <c r="Z1991" s="907"/>
      <c r="AA1991" s="907"/>
      <c r="AB1991" s="907"/>
      <c r="AC1991" s="907"/>
      <c r="AD1991" s="907"/>
      <c r="AE1991" s="907"/>
      <c r="AF1991" s="907"/>
      <c r="AG1991" s="907"/>
      <c r="AH1991" s="518"/>
      <c r="AJ1991" s="595"/>
    </row>
    <row r="1992" spans="1:36" hidden="1" x14ac:dyDescent="0.45">
      <c r="A1992" s="518"/>
      <c r="B1992" s="907" t="s">
        <v>1591</v>
      </c>
      <c r="C1992" s="907"/>
      <c r="D1992" s="907"/>
      <c r="E1992" s="907"/>
      <c r="F1992" s="907"/>
      <c r="G1992" s="907"/>
      <c r="H1992" s="907"/>
      <c r="I1992" s="907"/>
      <c r="J1992" s="907"/>
      <c r="K1992" s="907"/>
      <c r="L1992" s="907"/>
      <c r="M1992" s="907"/>
      <c r="N1992" s="907"/>
      <c r="O1992" s="907"/>
      <c r="P1992" s="907"/>
      <c r="Q1992" s="907"/>
      <c r="R1992" s="907"/>
      <c r="S1992" s="907"/>
      <c r="T1992" s="907"/>
      <c r="U1992" s="907"/>
      <c r="V1992" s="907"/>
      <c r="W1992" s="907"/>
      <c r="X1992" s="907"/>
      <c r="Y1992" s="907"/>
      <c r="Z1992" s="907"/>
      <c r="AA1992" s="907"/>
      <c r="AB1992" s="907"/>
      <c r="AC1992" s="907"/>
      <c r="AD1992" s="907"/>
      <c r="AE1992" s="907"/>
      <c r="AF1992" s="907"/>
      <c r="AG1992" s="907"/>
      <c r="AH1992" s="518"/>
      <c r="AJ1992" s="595"/>
    </row>
    <row r="1993" spans="1:36" hidden="1" x14ac:dyDescent="0.45">
      <c r="A1993" s="518"/>
      <c r="B1993" s="518"/>
      <c r="C1993" s="518"/>
      <c r="D1993" s="518"/>
      <c r="E1993" s="518"/>
      <c r="F1993" s="518"/>
      <c r="G1993" s="518"/>
      <c r="H1993" s="518"/>
      <c r="I1993" s="518"/>
      <c r="J1993" s="518"/>
      <c r="K1993" s="518"/>
      <c r="L1993" s="518"/>
      <c r="M1993" s="518"/>
      <c r="N1993" s="518"/>
      <c r="O1993" s="518"/>
      <c r="P1993" s="518"/>
      <c r="Q1993" s="518"/>
      <c r="R1993" s="518"/>
      <c r="S1993" s="518"/>
      <c r="T1993" s="518"/>
      <c r="U1993" s="518"/>
      <c r="V1993" s="518"/>
      <c r="W1993" s="518"/>
      <c r="X1993" s="518"/>
      <c r="Y1993" s="518"/>
      <c r="Z1993" s="518"/>
      <c r="AA1993" s="518"/>
      <c r="AB1993" s="518"/>
      <c r="AC1993" s="518"/>
      <c r="AD1993" s="518"/>
      <c r="AE1993" s="518"/>
      <c r="AF1993" s="518"/>
      <c r="AG1993" s="518"/>
      <c r="AH1993" s="518"/>
      <c r="AJ1993" s="595"/>
    </row>
    <row r="1994" spans="1:36" ht="67" hidden="1" customHeight="1" x14ac:dyDescent="0.45">
      <c r="B1994" s="1255" t="s">
        <v>78</v>
      </c>
      <c r="C1994" s="1256"/>
      <c r="D1994" s="1256"/>
      <c r="E1994" s="1260" t="s">
        <v>79</v>
      </c>
      <c r="F1994" s="1260"/>
      <c r="G1994" s="1260"/>
      <c r="H1994" s="1260"/>
      <c r="I1994" s="1260"/>
      <c r="J1994" s="1260"/>
      <c r="K1994" s="1260"/>
      <c r="L1994" s="1260"/>
      <c r="M1994" s="1260"/>
      <c r="N1994" s="1260"/>
      <c r="O1994" s="1260"/>
      <c r="P1994" s="1260"/>
      <c r="Q1994" s="1260"/>
      <c r="R1994" s="1260"/>
      <c r="S1994" s="1260"/>
      <c r="T1994" s="1260"/>
      <c r="U1994" s="1260"/>
      <c r="V1994" s="1260"/>
      <c r="W1994" s="1260"/>
      <c r="X1994" s="1260"/>
      <c r="Y1994" s="1260"/>
      <c r="Z1994" s="1260"/>
      <c r="AA1994" s="1260"/>
      <c r="AB1994" s="1260"/>
      <c r="AC1994" s="1260"/>
      <c r="AD1994" s="1260"/>
      <c r="AE1994" s="519"/>
      <c r="AF1994" s="1190"/>
      <c r="AG1994" s="1191"/>
      <c r="AH1994" s="518"/>
      <c r="AJ1994" s="595"/>
    </row>
    <row r="1995" spans="1:36" ht="54" hidden="1" customHeight="1" x14ac:dyDescent="0.45">
      <c r="B1995" s="1255">
        <v>5</v>
      </c>
      <c r="C1995" s="1256"/>
      <c r="D1995" s="1260" t="s">
        <v>80</v>
      </c>
      <c r="E1995" s="1260"/>
      <c r="F1995" s="1260"/>
      <c r="G1995" s="1260"/>
      <c r="H1995" s="1260"/>
      <c r="I1995" s="1260"/>
      <c r="J1995" s="1260"/>
      <c r="K1995" s="1260"/>
      <c r="L1995" s="1260"/>
      <c r="M1995" s="1260"/>
      <c r="N1995" s="1260"/>
      <c r="O1995" s="1260"/>
      <c r="P1995" s="1260"/>
      <c r="Q1995" s="1260"/>
      <c r="R1995" s="1260"/>
      <c r="S1995" s="1260"/>
      <c r="T1995" s="1260"/>
      <c r="U1995" s="1260"/>
      <c r="V1995" s="1260"/>
      <c r="W1995" s="1260"/>
      <c r="X1995" s="1260"/>
      <c r="Y1995" s="1260"/>
      <c r="Z1995" s="1260"/>
      <c r="AA1995" s="1260"/>
      <c r="AB1995" s="1260"/>
      <c r="AC1995" s="1260"/>
      <c r="AD1995" s="1260"/>
      <c r="AE1995" s="519"/>
      <c r="AF1995" s="1123"/>
      <c r="AG1995" s="1123"/>
      <c r="AH1995" s="518"/>
      <c r="AJ1995" s="595"/>
    </row>
    <row r="1996" spans="1:36" ht="28.5" hidden="1" customHeight="1" x14ac:dyDescent="0.45">
      <c r="B1996" s="1255" t="s">
        <v>70</v>
      </c>
      <c r="C1996" s="1256"/>
      <c r="D1996" s="1256"/>
      <c r="E1996" s="1260" t="s">
        <v>81</v>
      </c>
      <c r="F1996" s="1260"/>
      <c r="G1996" s="1260"/>
      <c r="H1996" s="1260"/>
      <c r="I1996" s="1260"/>
      <c r="J1996" s="1260"/>
      <c r="K1996" s="1260"/>
      <c r="L1996" s="1260"/>
      <c r="M1996" s="1260"/>
      <c r="N1996" s="1260"/>
      <c r="O1996" s="1260"/>
      <c r="P1996" s="1260"/>
      <c r="Q1996" s="1260"/>
      <c r="R1996" s="1260"/>
      <c r="S1996" s="1260"/>
      <c r="T1996" s="1260"/>
      <c r="U1996" s="1260"/>
      <c r="V1996" s="1260"/>
      <c r="W1996" s="1260"/>
      <c r="X1996" s="1260"/>
      <c r="Y1996" s="1260"/>
      <c r="Z1996" s="1260"/>
      <c r="AA1996" s="1260"/>
      <c r="AB1996" s="1260"/>
      <c r="AC1996" s="1260"/>
      <c r="AD1996" s="1260"/>
      <c r="AE1996" s="519"/>
      <c r="AF1996" s="1190"/>
      <c r="AG1996" s="1191"/>
      <c r="AH1996" s="518"/>
      <c r="AJ1996" s="595"/>
    </row>
    <row r="1997" spans="1:36" ht="41.5" hidden="1" customHeight="1" x14ac:dyDescent="0.45">
      <c r="B1997" s="1255" t="s">
        <v>71</v>
      </c>
      <c r="C1997" s="1256"/>
      <c r="D1997" s="1256"/>
      <c r="E1997" s="1260" t="s">
        <v>82</v>
      </c>
      <c r="F1997" s="1260"/>
      <c r="G1997" s="1260"/>
      <c r="H1997" s="1260"/>
      <c r="I1997" s="1260"/>
      <c r="J1997" s="1260"/>
      <c r="K1997" s="1260"/>
      <c r="L1997" s="1260"/>
      <c r="M1997" s="1260"/>
      <c r="N1997" s="1260"/>
      <c r="O1997" s="1260"/>
      <c r="P1997" s="1260"/>
      <c r="Q1997" s="1260"/>
      <c r="R1997" s="1260"/>
      <c r="S1997" s="1260"/>
      <c r="T1997" s="1260"/>
      <c r="U1997" s="1260"/>
      <c r="V1997" s="1260"/>
      <c r="W1997" s="1260"/>
      <c r="X1997" s="1260"/>
      <c r="Y1997" s="1260"/>
      <c r="Z1997" s="1260"/>
      <c r="AA1997" s="1260"/>
      <c r="AB1997" s="1260"/>
      <c r="AC1997" s="1260"/>
      <c r="AD1997" s="1260"/>
      <c r="AE1997" s="519"/>
      <c r="AF1997" s="1123"/>
      <c r="AG1997" s="1123"/>
      <c r="AH1997" s="518"/>
      <c r="AJ1997" s="595"/>
    </row>
    <row r="1998" spans="1:36" ht="28.5" hidden="1" customHeight="1" x14ac:dyDescent="0.45">
      <c r="B1998" s="1255" t="s">
        <v>72</v>
      </c>
      <c r="C1998" s="1256"/>
      <c r="D1998" s="1256"/>
      <c r="E1998" s="1260" t="s">
        <v>83</v>
      </c>
      <c r="F1998" s="1260"/>
      <c r="G1998" s="1260"/>
      <c r="H1998" s="1260"/>
      <c r="I1998" s="1260"/>
      <c r="J1998" s="1260"/>
      <c r="K1998" s="1260"/>
      <c r="L1998" s="1260"/>
      <c r="M1998" s="1260"/>
      <c r="N1998" s="1260"/>
      <c r="O1998" s="1260"/>
      <c r="P1998" s="1260"/>
      <c r="Q1998" s="1260"/>
      <c r="R1998" s="1260"/>
      <c r="S1998" s="1260"/>
      <c r="T1998" s="1260"/>
      <c r="U1998" s="1260"/>
      <c r="V1998" s="1260"/>
      <c r="W1998" s="1260"/>
      <c r="X1998" s="1260"/>
      <c r="Y1998" s="1260"/>
      <c r="Z1998" s="1260"/>
      <c r="AA1998" s="1260"/>
      <c r="AB1998" s="1260"/>
      <c r="AC1998" s="1260"/>
      <c r="AD1998" s="1260"/>
      <c r="AE1998" s="519"/>
      <c r="AF1998" s="1123"/>
      <c r="AG1998" s="1123"/>
      <c r="AH1998" s="518"/>
      <c r="AJ1998" s="595"/>
    </row>
    <row r="1999" spans="1:36" ht="28.5" hidden="1" customHeight="1" x14ac:dyDescent="0.45">
      <c r="B1999" s="1258" t="s">
        <v>73</v>
      </c>
      <c r="C1999" s="1259"/>
      <c r="D1999" s="1259"/>
      <c r="E1999" s="1261" t="s">
        <v>84</v>
      </c>
      <c r="F1999" s="1261"/>
      <c r="G1999" s="1261"/>
      <c r="H1999" s="1261"/>
      <c r="I1999" s="1261"/>
      <c r="J1999" s="1261"/>
      <c r="K1999" s="1261"/>
      <c r="L1999" s="1261"/>
      <c r="M1999" s="1261"/>
      <c r="N1999" s="1261"/>
      <c r="O1999" s="1261"/>
      <c r="P1999" s="1261"/>
      <c r="Q1999" s="1261"/>
      <c r="R1999" s="1261"/>
      <c r="S1999" s="1261"/>
      <c r="T1999" s="1261"/>
      <c r="U1999" s="1261"/>
      <c r="V1999" s="1261"/>
      <c r="W1999" s="1261"/>
      <c r="X1999" s="1261"/>
      <c r="Y1999" s="1261"/>
      <c r="Z1999" s="1261"/>
      <c r="AA1999" s="1261"/>
      <c r="AB1999" s="1261"/>
      <c r="AC1999" s="1261"/>
      <c r="AD1999" s="1261"/>
      <c r="AE1999" s="572"/>
      <c r="AF1999" s="1123"/>
      <c r="AG1999" s="1123"/>
      <c r="AH1999" s="518"/>
      <c r="AJ1999" s="595"/>
    </row>
    <row r="2000" spans="1:36" hidden="1" x14ac:dyDescent="0.45">
      <c r="A2000" s="518"/>
      <c r="B2000" s="518"/>
      <c r="C2000" s="518"/>
      <c r="D2000" s="518"/>
      <c r="E2000" s="518"/>
      <c r="F2000" s="518"/>
      <c r="G2000" s="518"/>
      <c r="H2000" s="518"/>
      <c r="I2000" s="518"/>
      <c r="J2000" s="518"/>
      <c r="K2000" s="518"/>
      <c r="L2000" s="518"/>
      <c r="M2000" s="518"/>
      <c r="N2000" s="518"/>
      <c r="O2000" s="518"/>
      <c r="P2000" s="518"/>
      <c r="Q2000" s="518"/>
      <c r="R2000" s="518"/>
      <c r="S2000" s="518"/>
      <c r="T2000" s="518"/>
      <c r="U2000" s="518"/>
      <c r="V2000" s="518"/>
      <c r="W2000" s="518"/>
      <c r="X2000" s="518"/>
      <c r="Y2000" s="518"/>
      <c r="Z2000" s="518"/>
      <c r="AA2000" s="518"/>
      <c r="AB2000" s="518"/>
      <c r="AC2000" s="518"/>
      <c r="AD2000" s="518"/>
      <c r="AE2000" s="518"/>
      <c r="AF2000" s="518"/>
      <c r="AG2000" s="518"/>
      <c r="AH2000" s="518"/>
      <c r="AJ2000" s="595"/>
    </row>
    <row r="2001" spans="1:37" hidden="1" x14ac:dyDescent="0.45">
      <c r="A2001" s="518"/>
      <c r="B2001" s="1269" t="str">
        <f>IF(CH_ER_EligibleApplicant,"APPLICANT IS ELIGIBLE","APPLICANT IS NOT ELIGIBLE")</f>
        <v>APPLICANT IS NOT ELIGIBLE</v>
      </c>
      <c r="C2001" s="1269"/>
      <c r="D2001" s="1269"/>
      <c r="E2001" s="1269"/>
      <c r="F2001" s="1269"/>
      <c r="G2001" s="1269"/>
      <c r="H2001" s="1269"/>
      <c r="I2001" s="1269"/>
      <c r="J2001" s="1269"/>
      <c r="K2001" s="1269"/>
      <c r="L2001" s="1269"/>
      <c r="M2001" s="1269"/>
      <c r="N2001" s="1269"/>
      <c r="O2001" s="1269"/>
      <c r="P2001" s="1269"/>
      <c r="Q2001" s="1269"/>
      <c r="R2001" s="1269"/>
      <c r="S2001" s="1269"/>
      <c r="T2001" s="1269"/>
      <c r="U2001" s="1269"/>
      <c r="V2001" s="1269"/>
      <c r="W2001" s="1269"/>
      <c r="X2001" s="1269"/>
      <c r="Y2001" s="1269"/>
      <c r="Z2001" s="1269"/>
      <c r="AA2001" s="1269"/>
      <c r="AB2001" s="1269"/>
      <c r="AC2001" s="1269"/>
      <c r="AD2001" s="1269"/>
      <c r="AE2001" s="518"/>
      <c r="AF2001" s="518"/>
      <c r="AG2001" s="518"/>
      <c r="AH2001" s="518"/>
      <c r="AJ2001" s="595"/>
    </row>
    <row r="2002" spans="1:37" hidden="1" x14ac:dyDescent="0.45">
      <c r="A2002" s="518"/>
      <c r="B2002" s="518"/>
      <c r="C2002" s="518"/>
      <c r="D2002" s="518"/>
      <c r="E2002" s="518"/>
      <c r="F2002" s="518"/>
      <c r="G2002" s="518"/>
      <c r="H2002" s="518"/>
      <c r="I2002" s="518"/>
      <c r="J2002" s="518"/>
      <c r="K2002" s="518"/>
      <c r="L2002" s="518"/>
      <c r="M2002" s="518"/>
      <c r="N2002" s="518"/>
      <c r="O2002" s="518"/>
      <c r="P2002" s="518"/>
      <c r="Q2002" s="518"/>
      <c r="R2002" s="518"/>
      <c r="S2002" s="518"/>
      <c r="T2002" s="518"/>
      <c r="U2002" s="518"/>
      <c r="V2002" s="518"/>
      <c r="W2002" s="518"/>
      <c r="X2002" s="518"/>
      <c r="Y2002" s="518"/>
      <c r="Z2002" s="518"/>
      <c r="AA2002" s="518"/>
      <c r="AB2002" s="518"/>
      <c r="AC2002" s="518"/>
      <c r="AD2002" s="518"/>
      <c r="AE2002" s="518"/>
      <c r="AF2002" s="518"/>
      <c r="AG2002" s="518"/>
      <c r="AH2002" s="518"/>
      <c r="AJ2002" s="595"/>
    </row>
    <row r="2003" spans="1:37" hidden="1" x14ac:dyDescent="0.45">
      <c r="A2003" s="518"/>
      <c r="B2003" s="907" t="s">
        <v>85</v>
      </c>
      <c r="C2003" s="907"/>
      <c r="D2003" s="907"/>
      <c r="E2003" s="907"/>
      <c r="F2003" s="907"/>
      <c r="G2003" s="907"/>
      <c r="H2003" s="907"/>
      <c r="I2003" s="907"/>
      <c r="J2003" s="907"/>
      <c r="K2003" s="907"/>
      <c r="L2003" s="907"/>
      <c r="M2003" s="907"/>
      <c r="N2003" s="907"/>
      <c r="O2003" s="907"/>
      <c r="P2003" s="907"/>
      <c r="Q2003" s="907"/>
      <c r="R2003" s="907"/>
      <c r="S2003" s="907"/>
      <c r="T2003" s="907"/>
      <c r="U2003" s="907"/>
      <c r="V2003" s="907"/>
      <c r="W2003" s="907"/>
      <c r="X2003" s="907"/>
      <c r="Y2003" s="907"/>
      <c r="Z2003" s="907"/>
      <c r="AA2003" s="907"/>
      <c r="AB2003" s="907"/>
      <c r="AC2003" s="907"/>
      <c r="AD2003" s="907"/>
      <c r="AE2003" s="907"/>
      <c r="AF2003" s="907"/>
      <c r="AG2003" s="907"/>
      <c r="AH2003" s="518"/>
      <c r="AJ2003" s="595"/>
    </row>
    <row r="2004" spans="1:37" hidden="1" x14ac:dyDescent="0.45">
      <c r="A2004" s="518"/>
      <c r="B2004" s="518"/>
      <c r="C2004" s="518"/>
      <c r="D2004" s="518"/>
      <c r="E2004" s="518"/>
      <c r="F2004" s="518"/>
      <c r="G2004" s="518"/>
      <c r="H2004" s="518"/>
      <c r="I2004" s="518"/>
      <c r="J2004" s="518"/>
      <c r="K2004" s="518"/>
      <c r="L2004" s="518"/>
      <c r="M2004" s="518"/>
      <c r="N2004" s="518"/>
      <c r="O2004" s="518"/>
      <c r="P2004" s="518"/>
      <c r="Q2004" s="518"/>
      <c r="R2004" s="518"/>
      <c r="S2004" s="518"/>
      <c r="T2004" s="518"/>
      <c r="U2004" s="518"/>
      <c r="V2004" s="518"/>
      <c r="W2004" s="518"/>
      <c r="X2004" s="518"/>
      <c r="Y2004" s="518"/>
      <c r="Z2004" s="518"/>
      <c r="AA2004" s="518"/>
      <c r="AB2004" s="518"/>
      <c r="AC2004" s="518"/>
      <c r="AD2004" s="518"/>
      <c r="AE2004" s="518"/>
      <c r="AF2004" s="518"/>
      <c r="AG2004" s="518"/>
      <c r="AH2004" s="518"/>
      <c r="AJ2004" s="595"/>
    </row>
    <row r="2005" spans="1:37" hidden="1" x14ac:dyDescent="0.45">
      <c r="A2005" s="518"/>
      <c r="B2005" s="1273" t="s">
        <v>1801</v>
      </c>
      <c r="C2005" s="1261"/>
      <c r="D2005" s="1261"/>
      <c r="E2005" s="1261"/>
      <c r="F2005" s="1261"/>
      <c r="G2005" s="1261"/>
      <c r="H2005" s="1261"/>
      <c r="I2005" s="1261"/>
      <c r="J2005" s="1261"/>
      <c r="K2005" s="1261"/>
      <c r="L2005" s="1261"/>
      <c r="M2005" s="1271"/>
      <c r="N2005" s="1274"/>
      <c r="O2005" s="1275"/>
      <c r="P2005" s="1275"/>
      <c r="Q2005" s="1275"/>
      <c r="R2005" s="1275"/>
      <c r="S2005" s="1275"/>
      <c r="T2005" s="1275"/>
      <c r="U2005" s="1275"/>
      <c r="V2005" s="1275"/>
      <c r="W2005" s="1275"/>
      <c r="X2005" s="1275"/>
      <c r="Y2005" s="1275"/>
      <c r="Z2005" s="1275"/>
      <c r="AA2005" s="1275"/>
      <c r="AB2005" s="1275"/>
      <c r="AC2005" s="1275"/>
      <c r="AD2005" s="1275"/>
      <c r="AE2005" s="1275"/>
      <c r="AF2005" s="1275"/>
      <c r="AG2005" s="1276"/>
      <c r="AH2005" s="518"/>
      <c r="AJ2005" s="595"/>
    </row>
    <row r="2006" spans="1:37" ht="41.5" hidden="1" customHeight="1" x14ac:dyDescent="0.45">
      <c r="A2006" s="518"/>
      <c r="B2006" s="1273" t="s">
        <v>60</v>
      </c>
      <c r="C2006" s="1261"/>
      <c r="D2006" s="1261"/>
      <c r="E2006" s="1261"/>
      <c r="F2006" s="1261"/>
      <c r="G2006" s="1261"/>
      <c r="H2006" s="1261"/>
      <c r="I2006" s="1261"/>
      <c r="J2006" s="1261"/>
      <c r="K2006" s="1261"/>
      <c r="L2006" s="1261"/>
      <c r="M2006" s="1261"/>
      <c r="N2006" s="1261"/>
      <c r="O2006" s="1261"/>
      <c r="P2006" s="1261"/>
      <c r="Q2006" s="1261"/>
      <c r="R2006" s="1261"/>
      <c r="S2006" s="1261"/>
      <c r="T2006" s="1261"/>
      <c r="U2006" s="1261"/>
      <c r="V2006" s="1261"/>
      <c r="W2006" s="1261"/>
      <c r="X2006" s="1261"/>
      <c r="Y2006" s="1261"/>
      <c r="Z2006" s="1261"/>
      <c r="AA2006" s="1261"/>
      <c r="AB2006" s="1261"/>
      <c r="AC2006" s="1261"/>
      <c r="AD2006" s="1261"/>
      <c r="AE2006" s="582"/>
      <c r="AF2006" s="1123"/>
      <c r="AG2006" s="1123"/>
      <c r="AH2006" s="518"/>
      <c r="AJ2006" s="595"/>
    </row>
    <row r="2007" spans="1:37" ht="29.15" hidden="1" customHeight="1" x14ac:dyDescent="0.45">
      <c r="A2007" s="518"/>
      <c r="B2007" s="1253" t="s">
        <v>86</v>
      </c>
      <c r="C2007" s="1254"/>
      <c r="D2007" s="1254"/>
      <c r="E2007" s="1254"/>
      <c r="F2007" s="1254"/>
      <c r="G2007" s="1254"/>
      <c r="H2007" s="1254"/>
      <c r="I2007" s="1254"/>
      <c r="J2007" s="1254"/>
      <c r="K2007" s="1254"/>
      <c r="L2007" s="1254"/>
      <c r="M2007" s="1254"/>
      <c r="N2007" s="1254"/>
      <c r="O2007" s="1254"/>
      <c r="P2007" s="1254"/>
      <c r="Q2007" s="1254"/>
      <c r="R2007" s="1254"/>
      <c r="S2007" s="1254"/>
      <c r="T2007" s="1254"/>
      <c r="U2007" s="1254"/>
      <c r="V2007" s="1254"/>
      <c r="W2007" s="1254"/>
      <c r="X2007" s="1254"/>
      <c r="Y2007" s="1254"/>
      <c r="Z2007" s="1254"/>
      <c r="AA2007" s="1254"/>
      <c r="AB2007" s="1254"/>
      <c r="AC2007" s="1254"/>
      <c r="AD2007" s="1254"/>
      <c r="AE2007" s="581"/>
      <c r="AF2007" s="1123"/>
      <c r="AG2007" s="1123"/>
      <c r="AH2007" s="518"/>
      <c r="AJ2007" s="595"/>
    </row>
    <row r="2008" spans="1:37" ht="29.15" hidden="1" customHeight="1" x14ac:dyDescent="0.45">
      <c r="B2008" s="1253" t="s">
        <v>59</v>
      </c>
      <c r="C2008" s="1254"/>
      <c r="D2008" s="1254"/>
      <c r="E2008" s="1254"/>
      <c r="F2008" s="1254"/>
      <c r="G2008" s="1254"/>
      <c r="H2008" s="1254"/>
      <c r="I2008" s="1254"/>
      <c r="J2008" s="1254"/>
      <c r="K2008" s="1254"/>
      <c r="L2008" s="1254"/>
      <c r="M2008" s="1254"/>
      <c r="N2008" s="1254"/>
      <c r="O2008" s="1254"/>
      <c r="P2008" s="1254"/>
      <c r="Q2008" s="1254"/>
      <c r="R2008" s="1254"/>
      <c r="S2008" s="1254"/>
      <c r="T2008" s="1254"/>
      <c r="U2008" s="1254"/>
      <c r="V2008" s="1254"/>
      <c r="W2008" s="1254"/>
      <c r="X2008" s="1254"/>
      <c r="Y2008" s="1254"/>
      <c r="Z2008" s="1254"/>
      <c r="AA2008" s="1254"/>
      <c r="AB2008" s="1254"/>
      <c r="AC2008" s="1254"/>
      <c r="AD2008" s="1254"/>
      <c r="AE2008" s="581"/>
      <c r="AF2008" s="1123"/>
      <c r="AG2008" s="1123"/>
      <c r="AH2008" s="518"/>
      <c r="AJ2008" s="595"/>
    </row>
    <row r="2009" spans="1:37" ht="41.5" hidden="1" customHeight="1" x14ac:dyDescent="0.45">
      <c r="B2009" s="1253" t="s">
        <v>1797</v>
      </c>
      <c r="C2009" s="1254"/>
      <c r="D2009" s="1254"/>
      <c r="E2009" s="1254"/>
      <c r="F2009" s="1254"/>
      <c r="G2009" s="1254"/>
      <c r="H2009" s="1254"/>
      <c r="I2009" s="1254"/>
      <c r="J2009" s="1254"/>
      <c r="K2009" s="1254"/>
      <c r="L2009" s="1254"/>
      <c r="M2009" s="1254"/>
      <c r="N2009" s="1254"/>
      <c r="O2009" s="1254"/>
      <c r="P2009" s="1254"/>
      <c r="Q2009" s="1254"/>
      <c r="R2009" s="1254"/>
      <c r="S2009" s="1254"/>
      <c r="T2009" s="1254"/>
      <c r="U2009" s="1254"/>
      <c r="V2009" s="1254"/>
      <c r="W2009" s="1254"/>
      <c r="X2009" s="1254"/>
      <c r="Y2009" s="1254"/>
      <c r="Z2009" s="1254"/>
      <c r="AA2009" s="1254"/>
      <c r="AB2009" s="1254"/>
      <c r="AC2009" s="1254"/>
      <c r="AD2009" s="1254"/>
      <c r="AE2009" s="581"/>
      <c r="AF2009" s="1123"/>
      <c r="AG2009" s="1123"/>
      <c r="AH2009" s="518"/>
      <c r="AJ2009" s="595"/>
    </row>
    <row r="2010" spans="1:37" ht="53.5" hidden="1" customHeight="1" x14ac:dyDescent="0.45">
      <c r="B2010" s="1253" t="s">
        <v>1795</v>
      </c>
      <c r="C2010" s="1254"/>
      <c r="D2010" s="1254"/>
      <c r="E2010" s="1254"/>
      <c r="F2010" s="1254"/>
      <c r="G2010" s="1254"/>
      <c r="H2010" s="1254"/>
      <c r="I2010" s="1254"/>
      <c r="J2010" s="1254"/>
      <c r="K2010" s="1254"/>
      <c r="L2010" s="1254"/>
      <c r="M2010" s="1254"/>
      <c r="N2010" s="1254"/>
      <c r="O2010" s="1254"/>
      <c r="P2010" s="1254"/>
      <c r="Q2010" s="1254"/>
      <c r="R2010" s="1254"/>
      <c r="S2010" s="1254"/>
      <c r="T2010" s="1254"/>
      <c r="U2010" s="1254"/>
      <c r="V2010" s="1254"/>
      <c r="W2010" s="1254"/>
      <c r="X2010" s="1254"/>
      <c r="Y2010" s="1254"/>
      <c r="Z2010" s="1254"/>
      <c r="AA2010" s="1254"/>
      <c r="AB2010" s="1254"/>
      <c r="AC2010" s="1254"/>
      <c r="AD2010" s="1254"/>
      <c r="AE2010" s="581"/>
      <c r="AF2010" s="1123"/>
      <c r="AG2010" s="1123"/>
      <c r="AH2010" s="518"/>
      <c r="AJ2010" s="595"/>
    </row>
    <row r="2011" spans="1:37" hidden="1" x14ac:dyDescent="0.45">
      <c r="A2011" s="518"/>
      <c r="B2011" s="518"/>
      <c r="C2011" s="518"/>
      <c r="D2011" s="518"/>
      <c r="E2011" s="518"/>
      <c r="F2011" s="518"/>
      <c r="G2011" s="518"/>
      <c r="H2011" s="518"/>
      <c r="I2011" s="518"/>
      <c r="J2011" s="518"/>
      <c r="K2011" s="518"/>
      <c r="L2011" s="518"/>
      <c r="M2011" s="518"/>
      <c r="N2011" s="518"/>
      <c r="O2011" s="518"/>
      <c r="P2011" s="518"/>
      <c r="Q2011" s="518"/>
      <c r="R2011" s="518"/>
      <c r="S2011" s="518"/>
      <c r="T2011" s="518"/>
      <c r="U2011" s="518"/>
      <c r="V2011" s="518"/>
      <c r="W2011" s="518"/>
      <c r="X2011" s="518"/>
      <c r="Y2011" s="518"/>
      <c r="Z2011" s="518"/>
      <c r="AA2011" s="518"/>
      <c r="AB2011" s="518"/>
      <c r="AC2011" s="518"/>
      <c r="AD2011" s="518"/>
      <c r="AE2011" s="518"/>
      <c r="AF2011" s="518"/>
      <c r="AG2011" s="518"/>
      <c r="AH2011" s="518"/>
      <c r="AJ2011" s="595"/>
    </row>
    <row r="2012" spans="1:37" hidden="1" x14ac:dyDescent="0.45">
      <c r="A2012" s="518"/>
      <c r="B2012" s="518"/>
      <c r="C2012" s="518"/>
      <c r="D2012" s="518"/>
      <c r="E2012" s="518"/>
      <c r="F2012" s="518"/>
      <c r="G2012" s="518"/>
      <c r="H2012" s="518"/>
      <c r="I2012" s="518"/>
      <c r="J2012" s="518"/>
      <c r="K2012" s="518"/>
      <c r="L2012" s="518"/>
      <c r="M2012" s="518"/>
      <c r="N2012" s="518"/>
      <c r="O2012" s="518"/>
      <c r="P2012" s="518"/>
      <c r="Q2012" s="518"/>
      <c r="R2012" s="518"/>
      <c r="S2012" s="518"/>
      <c r="T2012" s="518"/>
      <c r="U2012" s="518"/>
      <c r="V2012" s="518"/>
      <c r="W2012" s="518"/>
      <c r="X2012" s="518"/>
      <c r="Y2012" s="518"/>
      <c r="Z2012" s="518"/>
      <c r="AA2012" s="518"/>
      <c r="AB2012" s="518"/>
      <c r="AC2012" s="518"/>
      <c r="AD2012" s="518"/>
      <c r="AE2012" s="518"/>
      <c r="AF2012" s="518"/>
      <c r="AG2012" s="518"/>
      <c r="AH2012" s="518"/>
      <c r="AJ2012" s="595" t="b">
        <f>AND(
APP_ApplyingForSerna="Yes",
S1_ER_EligibleApplicant,
S1_MA_CompletionStatus="Final/Complete")</f>
        <v>0</v>
      </c>
      <c r="AK2012" s="462" t="str">
        <f>B2013</f>
        <v>Serna First-Time Homebuyer Mortgage Assistance Application</v>
      </c>
    </row>
    <row r="2013" spans="1:37" hidden="1" x14ac:dyDescent="0.45">
      <c r="A2013" s="518"/>
      <c r="B2013" s="907" t="s">
        <v>1802</v>
      </c>
      <c r="C2013" s="907"/>
      <c r="D2013" s="907"/>
      <c r="E2013" s="907"/>
      <c r="F2013" s="907"/>
      <c r="G2013" s="907"/>
      <c r="H2013" s="907"/>
      <c r="I2013" s="907"/>
      <c r="J2013" s="907"/>
      <c r="K2013" s="907"/>
      <c r="L2013" s="907"/>
      <c r="M2013" s="907"/>
      <c r="N2013" s="907"/>
      <c r="O2013" s="907"/>
      <c r="P2013" s="907"/>
      <c r="Q2013" s="907"/>
      <c r="R2013" s="907"/>
      <c r="S2013" s="907"/>
      <c r="T2013" s="907"/>
      <c r="U2013" s="907"/>
      <c r="V2013" s="907"/>
      <c r="W2013" s="907"/>
      <c r="X2013" s="907"/>
      <c r="Y2013" s="907"/>
      <c r="Z2013" s="907"/>
      <c r="AA2013" s="907"/>
      <c r="AB2013" s="907"/>
      <c r="AC2013" s="907"/>
      <c r="AD2013" s="907"/>
      <c r="AE2013" s="907"/>
      <c r="AF2013" s="907"/>
      <c r="AG2013" s="907"/>
      <c r="AH2013" s="518"/>
      <c r="AJ2013" s="595"/>
    </row>
    <row r="2014" spans="1:37" hidden="1" x14ac:dyDescent="0.45">
      <c r="A2014" s="518"/>
      <c r="B2014" s="517"/>
      <c r="C2014" s="517"/>
      <c r="D2014" s="517"/>
      <c r="E2014" s="517"/>
      <c r="F2014" s="517"/>
      <c r="G2014" s="517"/>
      <c r="H2014" s="517"/>
      <c r="I2014" s="517"/>
      <c r="J2014" s="517"/>
      <c r="K2014" s="517"/>
      <c r="L2014" s="517"/>
      <c r="M2014" s="517"/>
      <c r="N2014" s="517"/>
      <c r="O2014" s="517"/>
      <c r="P2014" s="517"/>
      <c r="Q2014" s="517"/>
      <c r="R2014" s="517"/>
      <c r="S2014" s="517"/>
      <c r="T2014" s="517"/>
      <c r="U2014" s="517"/>
      <c r="V2014" s="517"/>
      <c r="W2014" s="517"/>
      <c r="X2014" s="517"/>
      <c r="Y2014" s="517"/>
      <c r="Z2014" s="517"/>
      <c r="AA2014" s="517"/>
      <c r="AB2014" s="517"/>
      <c r="AC2014" s="517"/>
      <c r="AD2014" s="517"/>
      <c r="AE2014" s="517"/>
      <c r="AF2014" s="517"/>
      <c r="AG2014" s="517"/>
      <c r="AH2014" s="518"/>
      <c r="AJ2014" s="595"/>
    </row>
    <row r="2015" spans="1:37" hidden="1" x14ac:dyDescent="0.45">
      <c r="A2015" s="518"/>
      <c r="B2015" s="907" t="s">
        <v>88</v>
      </c>
      <c r="C2015" s="907"/>
      <c r="D2015" s="907"/>
      <c r="E2015" s="907"/>
      <c r="F2015" s="907"/>
      <c r="G2015" s="907"/>
      <c r="H2015" s="907"/>
      <c r="I2015" s="1214"/>
      <c r="J2015" s="1215"/>
      <c r="K2015" s="1215"/>
      <c r="L2015" s="1215"/>
      <c r="M2015" s="1215"/>
      <c r="N2015" s="1215"/>
      <c r="O2015" s="1216"/>
      <c r="P2015" s="517"/>
      <c r="Q2015" s="517"/>
      <c r="R2015" s="517"/>
      <c r="S2015" s="517"/>
      <c r="T2015" s="517"/>
      <c r="U2015" s="517"/>
      <c r="V2015" s="517"/>
      <c r="W2015" s="517"/>
      <c r="X2015" s="517"/>
      <c r="Y2015" s="517"/>
      <c r="Z2015" s="517"/>
      <c r="AA2015" s="517"/>
      <c r="AB2015" s="517"/>
      <c r="AC2015" s="517"/>
      <c r="AD2015" s="517"/>
      <c r="AE2015" s="517"/>
      <c r="AF2015" s="1180"/>
      <c r="AG2015" s="1180"/>
      <c r="AH2015" s="518"/>
      <c r="AJ2015" s="595"/>
    </row>
    <row r="2016" spans="1:37" hidden="1" x14ac:dyDescent="0.45">
      <c r="A2016" s="518"/>
      <c r="B2016" s="518"/>
      <c r="C2016" s="518"/>
      <c r="D2016" s="518"/>
      <c r="E2016" s="518"/>
      <c r="F2016" s="518"/>
      <c r="G2016" s="518"/>
      <c r="H2016" s="518"/>
      <c r="I2016" s="518"/>
      <c r="J2016" s="518"/>
      <c r="K2016" s="518"/>
      <c r="L2016" s="518"/>
      <c r="M2016" s="518"/>
      <c r="N2016" s="518"/>
      <c r="O2016" s="518"/>
      <c r="P2016" s="518"/>
      <c r="Q2016" s="518"/>
      <c r="R2016" s="518"/>
      <c r="S2016" s="518"/>
      <c r="T2016" s="518"/>
      <c r="U2016" s="518"/>
      <c r="V2016" s="518"/>
      <c r="W2016" s="518"/>
      <c r="X2016" s="518"/>
      <c r="Y2016" s="518"/>
      <c r="Z2016" s="518"/>
      <c r="AA2016" s="518"/>
      <c r="AB2016" s="518"/>
      <c r="AC2016" s="518"/>
      <c r="AD2016" s="518"/>
      <c r="AE2016" s="518"/>
      <c r="AF2016" s="518"/>
      <c r="AG2016" s="518"/>
      <c r="AH2016" s="518"/>
      <c r="AJ2016" s="595"/>
    </row>
    <row r="2017" spans="1:36" ht="43" hidden="1" customHeight="1" x14ac:dyDescent="0.45">
      <c r="A2017" s="518"/>
      <c r="B2017" s="1124" t="s">
        <v>89</v>
      </c>
      <c r="C2017" s="1125"/>
      <c r="D2017" s="1125"/>
      <c r="E2017" s="1125"/>
      <c r="F2017" s="1125"/>
      <c r="G2017" s="1125"/>
      <c r="H2017" s="1125"/>
      <c r="I2017" s="1125"/>
      <c r="J2017" s="1125"/>
      <c r="K2017" s="1125"/>
      <c r="L2017" s="1125"/>
      <c r="M2017" s="1125"/>
      <c r="N2017" s="1125"/>
      <c r="O2017" s="1125"/>
      <c r="P2017" s="1125"/>
      <c r="Q2017" s="1125"/>
      <c r="R2017" s="1125"/>
      <c r="S2017" s="1125"/>
      <c r="T2017" s="1125"/>
      <c r="U2017" s="1125"/>
      <c r="V2017" s="1125"/>
      <c r="W2017" s="1125"/>
      <c r="X2017" s="1125"/>
      <c r="Y2017" s="1125"/>
      <c r="Z2017" s="1125"/>
      <c r="AA2017" s="1125"/>
      <c r="AB2017" s="1125"/>
      <c r="AC2017" s="1125"/>
      <c r="AD2017" s="1125"/>
      <c r="AE2017" s="573"/>
      <c r="AF2017" s="1123"/>
      <c r="AG2017" s="1123"/>
      <c r="AH2017" s="518"/>
      <c r="AJ2017" s="595"/>
    </row>
    <row r="2018" spans="1:36" hidden="1" x14ac:dyDescent="0.45">
      <c r="A2018" s="518"/>
      <c r="B2018" s="518"/>
      <c r="C2018" s="518"/>
      <c r="D2018" s="518"/>
      <c r="E2018" s="518"/>
      <c r="F2018" s="518"/>
      <c r="G2018" s="518"/>
      <c r="H2018" s="518"/>
      <c r="I2018" s="518"/>
      <c r="J2018" s="518"/>
      <c r="K2018" s="518"/>
      <c r="L2018" s="518"/>
      <c r="M2018" s="518"/>
      <c r="N2018" s="518"/>
      <c r="O2018" s="518"/>
      <c r="P2018" s="518"/>
      <c r="Q2018" s="518"/>
      <c r="R2018" s="518"/>
      <c r="S2018" s="518"/>
      <c r="T2018" s="518"/>
      <c r="U2018" s="518"/>
      <c r="V2018" s="518"/>
      <c r="W2018" s="518"/>
      <c r="X2018" s="518"/>
      <c r="Y2018" s="518"/>
      <c r="Z2018" s="518"/>
      <c r="AA2018" s="518"/>
      <c r="AB2018" s="518"/>
      <c r="AC2018" s="518"/>
      <c r="AD2018" s="518"/>
      <c r="AE2018" s="518"/>
      <c r="AF2018" s="518"/>
      <c r="AG2018" s="518"/>
      <c r="AH2018" s="518"/>
      <c r="AJ2018" s="595"/>
    </row>
    <row r="2019" spans="1:36" hidden="1" x14ac:dyDescent="0.45">
      <c r="A2019" s="518"/>
      <c r="B2019" s="1137" t="s">
        <v>90</v>
      </c>
      <c r="C2019" s="1138"/>
      <c r="D2019" s="1138"/>
      <c r="E2019" s="1138"/>
      <c r="F2019" s="1138"/>
      <c r="G2019" s="1138"/>
      <c r="H2019" s="1138"/>
      <c r="I2019" s="1138"/>
      <c r="J2019" s="1138"/>
      <c r="K2019" s="1138"/>
      <c r="L2019" s="1138"/>
      <c r="M2019" s="1138"/>
      <c r="N2019" s="1138"/>
      <c r="O2019" s="1138"/>
      <c r="P2019" s="1138"/>
      <c r="Q2019" s="1138"/>
      <c r="R2019" s="1138"/>
      <c r="S2019" s="1138"/>
      <c r="T2019" s="1138"/>
      <c r="U2019" s="1139"/>
      <c r="V2019" s="1143" t="s">
        <v>91</v>
      </c>
      <c r="W2019" s="1143"/>
      <c r="X2019" s="1143"/>
      <c r="Y2019" s="1143" t="s">
        <v>92</v>
      </c>
      <c r="Z2019" s="1143"/>
      <c r="AA2019" s="1143"/>
      <c r="AB2019" s="1143" t="s">
        <v>93</v>
      </c>
      <c r="AC2019" s="1143"/>
      <c r="AD2019" s="1143"/>
      <c r="AE2019" s="1143" t="s">
        <v>94</v>
      </c>
      <c r="AF2019" s="1143"/>
      <c r="AG2019" s="1143"/>
      <c r="AH2019" s="518"/>
      <c r="AJ2019" s="595"/>
    </row>
    <row r="2020" spans="1:36" hidden="1" x14ac:dyDescent="0.45">
      <c r="A2020" s="518"/>
      <c r="B2020" s="1140"/>
      <c r="C2020" s="1141"/>
      <c r="D2020" s="1141"/>
      <c r="E2020" s="1141"/>
      <c r="F2020" s="1141"/>
      <c r="G2020" s="1141"/>
      <c r="H2020" s="1141"/>
      <c r="I2020" s="1141"/>
      <c r="J2020" s="1141"/>
      <c r="K2020" s="1141"/>
      <c r="L2020" s="1141"/>
      <c r="M2020" s="1141"/>
      <c r="N2020" s="1141"/>
      <c r="O2020" s="1141"/>
      <c r="P2020" s="1141"/>
      <c r="Q2020" s="1141"/>
      <c r="R2020" s="1141"/>
      <c r="S2020" s="1141"/>
      <c r="T2020" s="1141"/>
      <c r="U2020" s="1142"/>
      <c r="V2020" s="1143"/>
      <c r="W2020" s="1143"/>
      <c r="X2020" s="1143"/>
      <c r="Y2020" s="1143"/>
      <c r="Z2020" s="1143"/>
      <c r="AA2020" s="1143"/>
      <c r="AB2020" s="1143"/>
      <c r="AC2020" s="1143"/>
      <c r="AD2020" s="1143"/>
      <c r="AE2020" s="1143"/>
      <c r="AF2020" s="1143"/>
      <c r="AG2020" s="1143"/>
      <c r="AH2020" s="518"/>
      <c r="AJ2020" s="595"/>
    </row>
    <row r="2021" spans="1:36" hidden="1" x14ac:dyDescent="0.45">
      <c r="A2021" s="518"/>
      <c r="B2021" s="1150"/>
      <c r="C2021" s="1151"/>
      <c r="D2021" s="1151"/>
      <c r="E2021" s="1151"/>
      <c r="F2021" s="1151"/>
      <c r="G2021" s="1151"/>
      <c r="H2021" s="1151"/>
      <c r="I2021" s="1151"/>
      <c r="J2021" s="1151"/>
      <c r="K2021" s="1151"/>
      <c r="L2021" s="1151"/>
      <c r="M2021" s="1151"/>
      <c r="N2021" s="1151"/>
      <c r="O2021" s="1151"/>
      <c r="P2021" s="1151"/>
      <c r="Q2021" s="1151"/>
      <c r="R2021" s="1151"/>
      <c r="S2021" s="1151"/>
      <c r="T2021" s="1151"/>
      <c r="U2021" s="1152"/>
      <c r="V2021" s="894"/>
      <c r="W2021" s="895"/>
      <c r="X2021" s="896"/>
      <c r="Y2021" s="1201"/>
      <c r="Z2021" s="1202"/>
      <c r="AA2021" s="1203"/>
      <c r="AB2021" s="1201"/>
      <c r="AC2021" s="1202"/>
      <c r="AD2021" s="1203"/>
      <c r="AE2021" s="1207" cm="1">
        <f t="array" ref="AE2021">wwDateDiff(S1_MA_PreviousProgramStart1,S1_MA_PreviousProgramEnd1)</f>
        <v>0</v>
      </c>
      <c r="AF2021" s="1208"/>
      <c r="AG2021" s="1209"/>
      <c r="AH2021" s="518"/>
      <c r="AJ2021" s="595"/>
    </row>
    <row r="2022" spans="1:36" hidden="1" x14ac:dyDescent="0.45">
      <c r="A2022" s="518"/>
      <c r="B2022" s="1153"/>
      <c r="C2022" s="1154"/>
      <c r="D2022" s="1154"/>
      <c r="E2022" s="1154"/>
      <c r="F2022" s="1154"/>
      <c r="G2022" s="1154"/>
      <c r="H2022" s="1154"/>
      <c r="I2022" s="1154"/>
      <c r="J2022" s="1154"/>
      <c r="K2022" s="1154"/>
      <c r="L2022" s="1154"/>
      <c r="M2022" s="1154"/>
      <c r="N2022" s="1154"/>
      <c r="O2022" s="1154"/>
      <c r="P2022" s="1154"/>
      <c r="Q2022" s="1154"/>
      <c r="R2022" s="1154"/>
      <c r="S2022" s="1154"/>
      <c r="T2022" s="1154"/>
      <c r="U2022" s="1155"/>
      <c r="V2022" s="897"/>
      <c r="W2022" s="898"/>
      <c r="X2022" s="899"/>
      <c r="Y2022" s="1204"/>
      <c r="Z2022" s="1205"/>
      <c r="AA2022" s="1206"/>
      <c r="AB2022" s="1204"/>
      <c r="AC2022" s="1205"/>
      <c r="AD2022" s="1206"/>
      <c r="AE2022" s="1210"/>
      <c r="AF2022" s="1211"/>
      <c r="AG2022" s="1212"/>
      <c r="AH2022" s="518"/>
      <c r="AJ2022" s="595"/>
    </row>
    <row r="2023" spans="1:36" hidden="1" x14ac:dyDescent="0.45">
      <c r="A2023" s="518"/>
      <c r="B2023" s="1150"/>
      <c r="C2023" s="1151"/>
      <c r="D2023" s="1151"/>
      <c r="E2023" s="1151"/>
      <c r="F2023" s="1151"/>
      <c r="G2023" s="1151"/>
      <c r="H2023" s="1151"/>
      <c r="I2023" s="1151"/>
      <c r="J2023" s="1151"/>
      <c r="K2023" s="1151"/>
      <c r="L2023" s="1151"/>
      <c r="M2023" s="1151"/>
      <c r="N2023" s="1151"/>
      <c r="O2023" s="1151"/>
      <c r="P2023" s="1151"/>
      <c r="Q2023" s="1151"/>
      <c r="R2023" s="1151"/>
      <c r="S2023" s="1151"/>
      <c r="T2023" s="1151"/>
      <c r="U2023" s="1152"/>
      <c r="V2023" s="894"/>
      <c r="W2023" s="895"/>
      <c r="X2023" s="896"/>
      <c r="Y2023" s="1201"/>
      <c r="Z2023" s="1202"/>
      <c r="AA2023" s="1203"/>
      <c r="AB2023" s="1201"/>
      <c r="AC2023" s="1202"/>
      <c r="AD2023" s="1203"/>
      <c r="AE2023" s="1207" cm="1">
        <f t="array" ref="AE2023">wwDateDiff(S1_MA_PreviousProgramStart2,S1_MA_PreviousProgramEnd2)</f>
        <v>0</v>
      </c>
      <c r="AF2023" s="1208"/>
      <c r="AG2023" s="1209"/>
      <c r="AH2023" s="518"/>
      <c r="AJ2023" s="595"/>
    </row>
    <row r="2024" spans="1:36" hidden="1" x14ac:dyDescent="0.45">
      <c r="A2024" s="518"/>
      <c r="B2024" s="1153"/>
      <c r="C2024" s="1154"/>
      <c r="D2024" s="1154"/>
      <c r="E2024" s="1154"/>
      <c r="F2024" s="1154"/>
      <c r="G2024" s="1154"/>
      <c r="H2024" s="1154"/>
      <c r="I2024" s="1154"/>
      <c r="J2024" s="1154"/>
      <c r="K2024" s="1154"/>
      <c r="L2024" s="1154"/>
      <c r="M2024" s="1154"/>
      <c r="N2024" s="1154"/>
      <c r="O2024" s="1154"/>
      <c r="P2024" s="1154"/>
      <c r="Q2024" s="1154"/>
      <c r="R2024" s="1154"/>
      <c r="S2024" s="1154"/>
      <c r="T2024" s="1154"/>
      <c r="U2024" s="1155"/>
      <c r="V2024" s="897"/>
      <c r="W2024" s="898"/>
      <c r="X2024" s="899"/>
      <c r="Y2024" s="1204"/>
      <c r="Z2024" s="1205"/>
      <c r="AA2024" s="1206"/>
      <c r="AB2024" s="1204"/>
      <c r="AC2024" s="1205"/>
      <c r="AD2024" s="1206"/>
      <c r="AE2024" s="1210"/>
      <c r="AF2024" s="1211"/>
      <c r="AG2024" s="1212"/>
      <c r="AH2024" s="518"/>
      <c r="AJ2024" s="595"/>
    </row>
    <row r="2025" spans="1:36" hidden="1" x14ac:dyDescent="0.45">
      <c r="A2025" s="518"/>
      <c r="B2025" s="1150"/>
      <c r="C2025" s="1151"/>
      <c r="D2025" s="1151"/>
      <c r="E2025" s="1151"/>
      <c r="F2025" s="1151"/>
      <c r="G2025" s="1151"/>
      <c r="H2025" s="1151"/>
      <c r="I2025" s="1151"/>
      <c r="J2025" s="1151"/>
      <c r="K2025" s="1151"/>
      <c r="L2025" s="1151"/>
      <c r="M2025" s="1151"/>
      <c r="N2025" s="1151"/>
      <c r="O2025" s="1151"/>
      <c r="P2025" s="1151"/>
      <c r="Q2025" s="1151"/>
      <c r="R2025" s="1151"/>
      <c r="S2025" s="1151"/>
      <c r="T2025" s="1151"/>
      <c r="U2025" s="1152"/>
      <c r="V2025" s="894"/>
      <c r="W2025" s="895"/>
      <c r="X2025" s="896"/>
      <c r="Y2025" s="1201"/>
      <c r="Z2025" s="1202"/>
      <c r="AA2025" s="1203"/>
      <c r="AB2025" s="1201"/>
      <c r="AC2025" s="1202"/>
      <c r="AD2025" s="1203"/>
      <c r="AE2025" s="1207" cm="1">
        <f t="array" ref="AE2025">wwDateDiff(S1_MA_PreviousProgramStart3,S1_MA_PreviousProgramEnd3)</f>
        <v>0</v>
      </c>
      <c r="AF2025" s="1208"/>
      <c r="AG2025" s="1209"/>
      <c r="AH2025" s="518"/>
      <c r="AJ2025" s="595"/>
    </row>
    <row r="2026" spans="1:36" hidden="1" x14ac:dyDescent="0.45">
      <c r="A2026" s="518"/>
      <c r="B2026" s="1153"/>
      <c r="C2026" s="1154"/>
      <c r="D2026" s="1154"/>
      <c r="E2026" s="1154"/>
      <c r="F2026" s="1154"/>
      <c r="G2026" s="1154"/>
      <c r="H2026" s="1154"/>
      <c r="I2026" s="1154"/>
      <c r="J2026" s="1154"/>
      <c r="K2026" s="1154"/>
      <c r="L2026" s="1154"/>
      <c r="M2026" s="1154"/>
      <c r="N2026" s="1154"/>
      <c r="O2026" s="1154"/>
      <c r="P2026" s="1154"/>
      <c r="Q2026" s="1154"/>
      <c r="R2026" s="1154"/>
      <c r="S2026" s="1154"/>
      <c r="T2026" s="1154"/>
      <c r="U2026" s="1155"/>
      <c r="V2026" s="897"/>
      <c r="W2026" s="898"/>
      <c r="X2026" s="899"/>
      <c r="Y2026" s="1204"/>
      <c r="Z2026" s="1205"/>
      <c r="AA2026" s="1206"/>
      <c r="AB2026" s="1204"/>
      <c r="AC2026" s="1205"/>
      <c r="AD2026" s="1206"/>
      <c r="AE2026" s="1210"/>
      <c r="AF2026" s="1211"/>
      <c r="AG2026" s="1212"/>
      <c r="AH2026" s="518"/>
      <c r="AJ2026" s="595"/>
    </row>
    <row r="2027" spans="1:36" hidden="1" x14ac:dyDescent="0.45">
      <c r="A2027" s="518"/>
      <c r="B2027" s="1150"/>
      <c r="C2027" s="1151"/>
      <c r="D2027" s="1151"/>
      <c r="E2027" s="1151"/>
      <c r="F2027" s="1151"/>
      <c r="G2027" s="1151"/>
      <c r="H2027" s="1151"/>
      <c r="I2027" s="1151"/>
      <c r="J2027" s="1151"/>
      <c r="K2027" s="1151"/>
      <c r="L2027" s="1151"/>
      <c r="M2027" s="1151"/>
      <c r="N2027" s="1151"/>
      <c r="O2027" s="1151"/>
      <c r="P2027" s="1151"/>
      <c r="Q2027" s="1151"/>
      <c r="R2027" s="1151"/>
      <c r="S2027" s="1151"/>
      <c r="T2027" s="1151"/>
      <c r="U2027" s="1152"/>
      <c r="V2027" s="894"/>
      <c r="W2027" s="895"/>
      <c r="X2027" s="896"/>
      <c r="Y2027" s="1201"/>
      <c r="Z2027" s="1202"/>
      <c r="AA2027" s="1203"/>
      <c r="AB2027" s="1201"/>
      <c r="AC2027" s="1202"/>
      <c r="AD2027" s="1203"/>
      <c r="AE2027" s="1207" cm="1">
        <f t="array" ref="AE2027">wwDateDiff(S1_MA_PreviousProgramStart4,S1_MA_PreviousProgramEnd4)</f>
        <v>0</v>
      </c>
      <c r="AF2027" s="1208"/>
      <c r="AG2027" s="1209"/>
      <c r="AH2027" s="518"/>
      <c r="AJ2027" s="595"/>
    </row>
    <row r="2028" spans="1:36" hidden="1" x14ac:dyDescent="0.45">
      <c r="A2028" s="518"/>
      <c r="B2028" s="1153"/>
      <c r="C2028" s="1154"/>
      <c r="D2028" s="1154"/>
      <c r="E2028" s="1154"/>
      <c r="F2028" s="1154"/>
      <c r="G2028" s="1154"/>
      <c r="H2028" s="1154"/>
      <c r="I2028" s="1154"/>
      <c r="J2028" s="1154"/>
      <c r="K2028" s="1154"/>
      <c r="L2028" s="1154"/>
      <c r="M2028" s="1154"/>
      <c r="N2028" s="1154"/>
      <c r="O2028" s="1154"/>
      <c r="P2028" s="1154"/>
      <c r="Q2028" s="1154"/>
      <c r="R2028" s="1154"/>
      <c r="S2028" s="1154"/>
      <c r="T2028" s="1154"/>
      <c r="U2028" s="1155"/>
      <c r="V2028" s="897"/>
      <c r="W2028" s="898"/>
      <c r="X2028" s="899"/>
      <c r="Y2028" s="1204"/>
      <c r="Z2028" s="1205"/>
      <c r="AA2028" s="1206"/>
      <c r="AB2028" s="1204"/>
      <c r="AC2028" s="1205"/>
      <c r="AD2028" s="1206"/>
      <c r="AE2028" s="1210"/>
      <c r="AF2028" s="1211"/>
      <c r="AG2028" s="1212"/>
      <c r="AH2028" s="518"/>
      <c r="AJ2028" s="595"/>
    </row>
    <row r="2029" spans="1:36" hidden="1" x14ac:dyDescent="0.45">
      <c r="A2029" s="518"/>
      <c r="B2029" s="1150"/>
      <c r="C2029" s="1151"/>
      <c r="D2029" s="1151"/>
      <c r="E2029" s="1151"/>
      <c r="F2029" s="1151"/>
      <c r="G2029" s="1151"/>
      <c r="H2029" s="1151"/>
      <c r="I2029" s="1151"/>
      <c r="J2029" s="1151"/>
      <c r="K2029" s="1151"/>
      <c r="L2029" s="1151"/>
      <c r="M2029" s="1151"/>
      <c r="N2029" s="1151"/>
      <c r="O2029" s="1151"/>
      <c r="P2029" s="1151"/>
      <c r="Q2029" s="1151"/>
      <c r="R2029" s="1151"/>
      <c r="S2029" s="1151"/>
      <c r="T2029" s="1151"/>
      <c r="U2029" s="1152"/>
      <c r="V2029" s="894"/>
      <c r="W2029" s="895"/>
      <c r="X2029" s="896"/>
      <c r="Y2029" s="1201"/>
      <c r="Z2029" s="1202"/>
      <c r="AA2029" s="1203"/>
      <c r="AB2029" s="1201"/>
      <c r="AC2029" s="1202"/>
      <c r="AD2029" s="1203"/>
      <c r="AE2029" s="1207" cm="1">
        <f t="array" ref="AE2029">wwDateDiff(S1_MA_PreviousProgramStart5,S1_MA_PreviousProgramEnd5)</f>
        <v>0</v>
      </c>
      <c r="AF2029" s="1208"/>
      <c r="AG2029" s="1209"/>
      <c r="AH2029" s="518"/>
      <c r="AJ2029" s="595"/>
    </row>
    <row r="2030" spans="1:36" hidden="1" x14ac:dyDescent="0.45">
      <c r="A2030" s="518"/>
      <c r="B2030" s="1153"/>
      <c r="C2030" s="1154"/>
      <c r="D2030" s="1154"/>
      <c r="E2030" s="1154"/>
      <c r="F2030" s="1154"/>
      <c r="G2030" s="1154"/>
      <c r="H2030" s="1154"/>
      <c r="I2030" s="1154"/>
      <c r="J2030" s="1154"/>
      <c r="K2030" s="1154"/>
      <c r="L2030" s="1154"/>
      <c r="M2030" s="1154"/>
      <c r="N2030" s="1154"/>
      <c r="O2030" s="1154"/>
      <c r="P2030" s="1154"/>
      <c r="Q2030" s="1154"/>
      <c r="R2030" s="1154"/>
      <c r="S2030" s="1154"/>
      <c r="T2030" s="1154"/>
      <c r="U2030" s="1155"/>
      <c r="V2030" s="897"/>
      <c r="W2030" s="898"/>
      <c r="X2030" s="899"/>
      <c r="Y2030" s="1204"/>
      <c r="Z2030" s="1205"/>
      <c r="AA2030" s="1206"/>
      <c r="AB2030" s="1204"/>
      <c r="AC2030" s="1205"/>
      <c r="AD2030" s="1206"/>
      <c r="AE2030" s="1210"/>
      <c r="AF2030" s="1211"/>
      <c r="AG2030" s="1212"/>
      <c r="AH2030" s="518"/>
      <c r="AJ2030" s="595"/>
    </row>
    <row r="2031" spans="1:36" hidden="1" x14ac:dyDescent="0.45">
      <c r="A2031" s="518"/>
      <c r="B2031" s="518"/>
      <c r="C2031" s="518"/>
      <c r="D2031" s="518"/>
      <c r="E2031" s="518"/>
      <c r="F2031" s="518"/>
      <c r="G2031" s="518"/>
      <c r="H2031" s="518"/>
      <c r="I2031" s="518"/>
      <c r="J2031" s="518"/>
      <c r="K2031" s="518"/>
      <c r="L2031" s="518"/>
      <c r="M2031" s="518"/>
      <c r="N2031" s="518"/>
      <c r="O2031" s="518"/>
      <c r="P2031" s="518"/>
      <c r="Q2031" s="518"/>
      <c r="R2031" s="518"/>
      <c r="S2031" s="518"/>
      <c r="T2031" s="518"/>
      <c r="U2031" s="518"/>
      <c r="V2031" s="518"/>
      <c r="W2031" s="518"/>
      <c r="X2031" s="518"/>
      <c r="Y2031" s="518"/>
      <c r="Z2031" s="518"/>
      <c r="AA2031" s="518"/>
      <c r="AB2031" s="518"/>
      <c r="AC2031" s="518"/>
      <c r="AD2031" s="518"/>
      <c r="AE2031" s="518"/>
      <c r="AF2031" s="518"/>
      <c r="AG2031" s="518"/>
      <c r="AH2031" s="518"/>
      <c r="AJ2031" s="595"/>
    </row>
    <row r="2032" spans="1:36" ht="42" hidden="1" customHeight="1" x14ac:dyDescent="0.45">
      <c r="A2032" s="518"/>
      <c r="B2032" s="1121" t="s">
        <v>1803</v>
      </c>
      <c r="C2032" s="1122"/>
      <c r="D2032" s="1122"/>
      <c r="E2032" s="1122"/>
      <c r="F2032" s="1122"/>
      <c r="G2032" s="1122"/>
      <c r="H2032" s="1122"/>
      <c r="I2032" s="1122"/>
      <c r="J2032" s="1122"/>
      <c r="K2032" s="1122"/>
      <c r="L2032" s="1122"/>
      <c r="M2032" s="1122"/>
      <c r="N2032" s="1122"/>
      <c r="O2032" s="1122"/>
      <c r="P2032" s="1122"/>
      <c r="Q2032" s="1122"/>
      <c r="R2032" s="1122"/>
      <c r="S2032" s="1122"/>
      <c r="T2032" s="1122"/>
      <c r="U2032" s="1122"/>
      <c r="V2032" s="1122"/>
      <c r="W2032" s="1122"/>
      <c r="X2032" s="1122"/>
      <c r="Y2032" s="1122"/>
      <c r="Z2032" s="1122"/>
      <c r="AA2032" s="1122"/>
      <c r="AB2032" s="1122"/>
      <c r="AC2032" s="1122"/>
      <c r="AD2032" s="1122"/>
      <c r="AE2032" s="528"/>
      <c r="AF2032" s="1123"/>
      <c r="AG2032" s="1123"/>
      <c r="AH2032" s="518"/>
      <c r="AJ2032" s="595"/>
    </row>
    <row r="2033" spans="1:36" ht="42" hidden="1" customHeight="1" x14ac:dyDescent="0.45">
      <c r="A2033" s="518"/>
      <c r="B2033" s="1121" t="s">
        <v>1804</v>
      </c>
      <c r="C2033" s="1122"/>
      <c r="D2033" s="1122"/>
      <c r="E2033" s="1122"/>
      <c r="F2033" s="1122"/>
      <c r="G2033" s="1122"/>
      <c r="H2033" s="1122"/>
      <c r="I2033" s="1122"/>
      <c r="J2033" s="1122"/>
      <c r="K2033" s="1122"/>
      <c r="L2033" s="1122"/>
      <c r="M2033" s="1122"/>
      <c r="N2033" s="1122"/>
      <c r="O2033" s="1122"/>
      <c r="P2033" s="1122"/>
      <c r="Q2033" s="1122"/>
      <c r="R2033" s="1122"/>
      <c r="S2033" s="1122"/>
      <c r="T2033" s="1122"/>
      <c r="U2033" s="1122"/>
      <c r="V2033" s="1122"/>
      <c r="W2033" s="1122"/>
      <c r="X2033" s="1122"/>
      <c r="Y2033" s="1122"/>
      <c r="Z2033" s="1122"/>
      <c r="AA2033" s="1122"/>
      <c r="AB2033" s="1122"/>
      <c r="AC2033" s="1122"/>
      <c r="AD2033" s="1122"/>
      <c r="AE2033" s="528"/>
      <c r="AF2033" s="1123"/>
      <c r="AG2033" s="1123"/>
      <c r="AH2033" s="518"/>
      <c r="AJ2033" s="595"/>
    </row>
    <row r="2034" spans="1:36" ht="53.15" hidden="1" customHeight="1" x14ac:dyDescent="0.45">
      <c r="A2034" s="518"/>
      <c r="B2034" s="1121" t="s">
        <v>97</v>
      </c>
      <c r="C2034" s="1122"/>
      <c r="D2034" s="1122"/>
      <c r="E2034" s="1122"/>
      <c r="F2034" s="1122"/>
      <c r="G2034" s="1122"/>
      <c r="H2034" s="1122"/>
      <c r="I2034" s="1122"/>
      <c r="J2034" s="1122"/>
      <c r="K2034" s="1122"/>
      <c r="L2034" s="1122"/>
      <c r="M2034" s="1122"/>
      <c r="N2034" s="1122"/>
      <c r="O2034" s="1122"/>
      <c r="P2034" s="1122"/>
      <c r="Q2034" s="1122"/>
      <c r="R2034" s="1122"/>
      <c r="S2034" s="1122"/>
      <c r="T2034" s="1122"/>
      <c r="U2034" s="1122"/>
      <c r="V2034" s="1122"/>
      <c r="W2034" s="1122"/>
      <c r="X2034" s="1122"/>
      <c r="Y2034" s="1122"/>
      <c r="Z2034" s="1122"/>
      <c r="AA2034" s="1122"/>
      <c r="AB2034" s="1122"/>
      <c r="AC2034" s="1122"/>
      <c r="AD2034" s="1122"/>
      <c r="AE2034" s="528"/>
      <c r="AF2034" s="1123"/>
      <c r="AG2034" s="1123"/>
      <c r="AH2034" s="518"/>
      <c r="AJ2034" s="595"/>
    </row>
    <row r="2035" spans="1:36" ht="28" hidden="1" customHeight="1" x14ac:dyDescent="0.45">
      <c r="A2035" s="518"/>
      <c r="B2035" s="1121" t="s">
        <v>98</v>
      </c>
      <c r="C2035" s="1122"/>
      <c r="D2035" s="1122"/>
      <c r="E2035" s="1122"/>
      <c r="F2035" s="1122"/>
      <c r="G2035" s="1122"/>
      <c r="H2035" s="1122"/>
      <c r="I2035" s="1122"/>
      <c r="J2035" s="1122"/>
      <c r="K2035" s="1122"/>
      <c r="L2035" s="1122"/>
      <c r="M2035" s="1122"/>
      <c r="N2035" s="1122"/>
      <c r="O2035" s="1122"/>
      <c r="P2035" s="1122"/>
      <c r="Q2035" s="1122"/>
      <c r="R2035" s="1122"/>
      <c r="S2035" s="1122"/>
      <c r="T2035" s="1122"/>
      <c r="U2035" s="1122"/>
      <c r="V2035" s="1122"/>
      <c r="W2035" s="1122"/>
      <c r="X2035" s="1122"/>
      <c r="Y2035" s="1122"/>
      <c r="Z2035" s="1122"/>
      <c r="AA2035" s="1122"/>
      <c r="AB2035" s="1122"/>
      <c r="AC2035" s="1122"/>
      <c r="AD2035" s="1122"/>
      <c r="AE2035" s="528"/>
      <c r="AF2035" s="1123"/>
      <c r="AG2035" s="1123"/>
      <c r="AH2035" s="518"/>
      <c r="AJ2035" s="595"/>
    </row>
    <row r="2036" spans="1:36" ht="42" hidden="1" customHeight="1" x14ac:dyDescent="0.45">
      <c r="A2036" s="518"/>
      <c r="B2036" s="1124" t="s">
        <v>1805</v>
      </c>
      <c r="C2036" s="1125"/>
      <c r="D2036" s="1125"/>
      <c r="E2036" s="1125"/>
      <c r="F2036" s="1125"/>
      <c r="G2036" s="1125"/>
      <c r="H2036" s="1125"/>
      <c r="I2036" s="1125"/>
      <c r="J2036" s="1125"/>
      <c r="K2036" s="1125"/>
      <c r="L2036" s="1125"/>
      <c r="M2036" s="1125"/>
      <c r="N2036" s="1125"/>
      <c r="O2036" s="1125"/>
      <c r="P2036" s="1125"/>
      <c r="Q2036" s="1125"/>
      <c r="R2036" s="1125"/>
      <c r="S2036" s="1125"/>
      <c r="T2036" s="1125"/>
      <c r="U2036" s="1125"/>
      <c r="V2036" s="1125"/>
      <c r="W2036" s="1125"/>
      <c r="X2036" s="1125"/>
      <c r="Y2036" s="1125"/>
      <c r="Z2036" s="1125"/>
      <c r="AA2036" s="1125"/>
      <c r="AB2036" s="1125"/>
      <c r="AC2036" s="1125"/>
      <c r="AD2036" s="1125"/>
      <c r="AE2036" s="573"/>
      <c r="AF2036" s="1123"/>
      <c r="AG2036" s="1123"/>
      <c r="AH2036" s="518"/>
      <c r="AJ2036" s="595"/>
    </row>
    <row r="2037" spans="1:36" hidden="1" x14ac:dyDescent="0.45">
      <c r="A2037" s="518"/>
      <c r="B2037" s="518"/>
      <c r="C2037" s="518"/>
      <c r="D2037" s="518"/>
      <c r="E2037" s="518"/>
      <c r="F2037" s="518"/>
      <c r="G2037" s="518"/>
      <c r="H2037" s="518"/>
      <c r="I2037" s="518"/>
      <c r="J2037" s="518"/>
      <c r="K2037" s="518"/>
      <c r="L2037" s="518"/>
      <c r="M2037" s="518"/>
      <c r="N2037" s="518"/>
      <c r="O2037" s="518"/>
      <c r="P2037" s="518"/>
      <c r="Q2037" s="518"/>
      <c r="R2037" s="518"/>
      <c r="S2037" s="518"/>
      <c r="T2037" s="518"/>
      <c r="U2037" s="518"/>
      <c r="V2037" s="518"/>
      <c r="W2037" s="518"/>
      <c r="X2037" s="518"/>
      <c r="Y2037" s="518"/>
      <c r="Z2037" s="518"/>
      <c r="AA2037" s="518"/>
      <c r="AB2037" s="518"/>
      <c r="AC2037" s="518"/>
      <c r="AD2037" s="518"/>
      <c r="AE2037" s="518"/>
      <c r="AF2037" s="518"/>
      <c r="AG2037" s="518"/>
      <c r="AH2037" s="518"/>
      <c r="AJ2037" s="595"/>
    </row>
    <row r="2038" spans="1:36" hidden="1" x14ac:dyDescent="0.45">
      <c r="A2038" s="518"/>
      <c r="B2038" s="518"/>
      <c r="C2038" s="518"/>
      <c r="D2038" s="518"/>
      <c r="E2038" s="518"/>
      <c r="F2038" s="518"/>
      <c r="G2038" s="518"/>
      <c r="H2038" s="518"/>
      <c r="I2038" s="518"/>
      <c r="J2038" s="518"/>
      <c r="K2038" s="518"/>
      <c r="L2038" s="518"/>
      <c r="M2038" s="518"/>
      <c r="N2038" s="518"/>
      <c r="O2038" s="518"/>
      <c r="P2038" s="518"/>
      <c r="Q2038" s="518"/>
      <c r="R2038" s="518"/>
      <c r="S2038" s="518"/>
      <c r="T2038" s="518"/>
      <c r="U2038" s="518"/>
      <c r="V2038" s="518"/>
      <c r="W2038" s="518"/>
      <c r="X2038" s="518"/>
      <c r="Y2038" s="518"/>
      <c r="Z2038" s="518"/>
      <c r="AA2038" s="518"/>
      <c r="AB2038" s="518"/>
      <c r="AC2038" s="518"/>
      <c r="AD2038" s="518"/>
      <c r="AE2038" s="518"/>
      <c r="AF2038" s="518"/>
      <c r="AG2038" s="518"/>
      <c r="AH2038" s="518"/>
      <c r="AJ2038" s="595"/>
    </row>
    <row r="2039" spans="1:36" hidden="1" x14ac:dyDescent="0.45">
      <c r="A2039" s="518"/>
      <c r="B2039" s="907" t="str">
        <f>B$2013</f>
        <v>Serna First-Time Homebuyer Mortgage Assistance Application</v>
      </c>
      <c r="C2039" s="907"/>
      <c r="D2039" s="907"/>
      <c r="E2039" s="907"/>
      <c r="F2039" s="907"/>
      <c r="G2039" s="907"/>
      <c r="H2039" s="907"/>
      <c r="I2039" s="907"/>
      <c r="J2039" s="907"/>
      <c r="K2039" s="907"/>
      <c r="L2039" s="907"/>
      <c r="M2039" s="907"/>
      <c r="N2039" s="907"/>
      <c r="O2039" s="907"/>
      <c r="P2039" s="907"/>
      <c r="Q2039" s="907"/>
      <c r="R2039" s="907"/>
      <c r="S2039" s="907"/>
      <c r="T2039" s="907"/>
      <c r="U2039" s="907"/>
      <c r="V2039" s="907"/>
      <c r="W2039" s="907"/>
      <c r="X2039" s="907"/>
      <c r="Y2039" s="907"/>
      <c r="Z2039" s="907"/>
      <c r="AA2039" s="907"/>
      <c r="AB2039" s="907"/>
      <c r="AC2039" s="907"/>
      <c r="AD2039" s="907"/>
      <c r="AE2039" s="907"/>
      <c r="AF2039" s="907"/>
      <c r="AG2039" s="907"/>
      <c r="AH2039" s="518"/>
      <c r="AJ2039" s="595"/>
    </row>
    <row r="2040" spans="1:36" hidden="1" x14ac:dyDescent="0.45">
      <c r="A2040" s="518"/>
      <c r="B2040" s="518"/>
      <c r="C2040" s="518"/>
      <c r="D2040" s="518"/>
      <c r="E2040" s="518"/>
      <c r="F2040" s="518"/>
      <c r="G2040" s="518"/>
      <c r="H2040" s="518"/>
      <c r="I2040" s="518"/>
      <c r="J2040" s="518"/>
      <c r="K2040" s="518"/>
      <c r="L2040" s="518"/>
      <c r="M2040" s="518"/>
      <c r="N2040" s="518"/>
      <c r="O2040" s="518"/>
      <c r="P2040" s="518"/>
      <c r="Q2040" s="518"/>
      <c r="R2040" s="518"/>
      <c r="S2040" s="518"/>
      <c r="T2040" s="518"/>
      <c r="U2040" s="518"/>
      <c r="V2040" s="518"/>
      <c r="W2040" s="518"/>
      <c r="X2040" s="518"/>
      <c r="Y2040" s="518"/>
      <c r="Z2040" s="518"/>
      <c r="AA2040" s="518"/>
      <c r="AB2040" s="518"/>
      <c r="AC2040" s="518"/>
      <c r="AD2040" s="518"/>
      <c r="AE2040" s="518"/>
      <c r="AF2040" s="518"/>
      <c r="AG2040" s="518"/>
      <c r="AH2040" s="518"/>
      <c r="AJ2040" s="595"/>
    </row>
    <row r="2041" spans="1:36" hidden="1" x14ac:dyDescent="0.45">
      <c r="A2041" s="518"/>
      <c r="B2041" s="907" t="s">
        <v>100</v>
      </c>
      <c r="C2041" s="907"/>
      <c r="D2041" s="907"/>
      <c r="E2041" s="907"/>
      <c r="F2041" s="907"/>
      <c r="G2041" s="907"/>
      <c r="H2041" s="907"/>
      <c r="I2041" s="907"/>
      <c r="J2041" s="907"/>
      <c r="K2041" s="907"/>
      <c r="L2041" s="907"/>
      <c r="M2041" s="907"/>
      <c r="N2041" s="907"/>
      <c r="O2041" s="907"/>
      <c r="P2041" s="907"/>
      <c r="Q2041" s="907"/>
      <c r="R2041" s="907"/>
      <c r="S2041" s="907"/>
      <c r="T2041" s="907"/>
      <c r="U2041" s="907"/>
      <c r="V2041" s="907"/>
      <c r="W2041" s="907"/>
      <c r="X2041" s="907"/>
      <c r="Y2041" s="907"/>
      <c r="Z2041" s="907"/>
      <c r="AA2041" s="907"/>
      <c r="AB2041" s="907"/>
      <c r="AC2041" s="907"/>
      <c r="AD2041" s="907"/>
      <c r="AE2041" s="907"/>
      <c r="AF2041" s="907"/>
      <c r="AG2041" s="907"/>
      <c r="AH2041" s="518"/>
      <c r="AJ2041" s="595"/>
    </row>
    <row r="2042" spans="1:36" ht="304" hidden="1" customHeight="1" x14ac:dyDescent="0.45">
      <c r="A2042" s="518"/>
      <c r="B2042" s="1248"/>
      <c r="C2042" s="1248"/>
      <c r="D2042" s="1248"/>
      <c r="E2042" s="1248"/>
      <c r="F2042" s="1248"/>
      <c r="G2042" s="1248"/>
      <c r="H2042" s="1248"/>
      <c r="I2042" s="1248"/>
      <c r="J2042" s="1248"/>
      <c r="K2042" s="1248"/>
      <c r="L2042" s="1248"/>
      <c r="M2042" s="1248"/>
      <c r="N2042" s="1248"/>
      <c r="O2042" s="1248"/>
      <c r="P2042" s="1248"/>
      <c r="Q2042" s="1248"/>
      <c r="R2042" s="1248"/>
      <c r="S2042" s="1248"/>
      <c r="T2042" s="1248"/>
      <c r="U2042" s="1248"/>
      <c r="V2042" s="1248"/>
      <c r="W2042" s="1248"/>
      <c r="X2042" s="1248"/>
      <c r="Y2042" s="1248"/>
      <c r="Z2042" s="1248"/>
      <c r="AA2042" s="1248"/>
      <c r="AB2042" s="1248"/>
      <c r="AC2042" s="1248"/>
      <c r="AD2042" s="1248"/>
      <c r="AE2042" s="1248"/>
      <c r="AF2042" s="1248"/>
      <c r="AG2042" s="1248"/>
      <c r="AH2042" s="518"/>
      <c r="AJ2042" s="595"/>
    </row>
    <row r="2043" spans="1:36" ht="304" hidden="1" customHeight="1" x14ac:dyDescent="0.45">
      <c r="A2043" s="518"/>
      <c r="B2043" s="1248"/>
      <c r="C2043" s="1248"/>
      <c r="D2043" s="1248"/>
      <c r="E2043" s="1248"/>
      <c r="F2043" s="1248"/>
      <c r="G2043" s="1248"/>
      <c r="H2043" s="1248"/>
      <c r="I2043" s="1248"/>
      <c r="J2043" s="1248"/>
      <c r="K2043" s="1248"/>
      <c r="L2043" s="1248"/>
      <c r="M2043" s="1248"/>
      <c r="N2043" s="1248"/>
      <c r="O2043" s="1248"/>
      <c r="P2043" s="1248"/>
      <c r="Q2043" s="1248"/>
      <c r="R2043" s="1248"/>
      <c r="S2043" s="1248"/>
      <c r="T2043" s="1248"/>
      <c r="U2043" s="1248"/>
      <c r="V2043" s="1248"/>
      <c r="W2043" s="1248"/>
      <c r="X2043" s="1248"/>
      <c r="Y2043" s="1248"/>
      <c r="Z2043" s="1248"/>
      <c r="AA2043" s="1248"/>
      <c r="AB2043" s="1248"/>
      <c r="AC2043" s="1248"/>
      <c r="AD2043" s="1248"/>
      <c r="AE2043" s="1248"/>
      <c r="AF2043" s="1248"/>
      <c r="AG2043" s="1248"/>
      <c r="AH2043" s="518"/>
      <c r="AJ2043" s="595"/>
    </row>
    <row r="2044" spans="1:36" hidden="1" x14ac:dyDescent="0.45">
      <c r="A2044" s="518"/>
      <c r="B2044" s="518"/>
      <c r="C2044" s="518"/>
      <c r="D2044" s="518"/>
      <c r="E2044" s="518"/>
      <c r="F2044" s="518"/>
      <c r="G2044" s="518"/>
      <c r="H2044" s="518"/>
      <c r="I2044" s="518"/>
      <c r="J2044" s="518"/>
      <c r="K2044" s="518"/>
      <c r="L2044" s="518"/>
      <c r="M2044" s="518"/>
      <c r="N2044" s="518"/>
      <c r="O2044" s="518"/>
      <c r="P2044" s="518"/>
      <c r="Q2044" s="518"/>
      <c r="R2044" s="518"/>
      <c r="S2044" s="518"/>
      <c r="T2044" s="518"/>
      <c r="U2044" s="518"/>
      <c r="V2044" s="518"/>
      <c r="W2044" s="518"/>
      <c r="X2044" s="518"/>
      <c r="Y2044" s="518"/>
      <c r="Z2044" s="518"/>
      <c r="AA2044" s="518"/>
      <c r="AB2044" s="518"/>
      <c r="AC2044" s="518"/>
      <c r="AD2044" s="518"/>
      <c r="AE2044" s="518"/>
      <c r="AF2044" s="518"/>
      <c r="AG2044" s="518"/>
      <c r="AH2044" s="518"/>
      <c r="AJ2044" s="595"/>
    </row>
    <row r="2045" spans="1:36" hidden="1" x14ac:dyDescent="0.45">
      <c r="A2045" s="518"/>
      <c r="B2045" s="518"/>
      <c r="C2045" s="518"/>
      <c r="D2045" s="518"/>
      <c r="E2045" s="518"/>
      <c r="F2045" s="518"/>
      <c r="G2045" s="518"/>
      <c r="H2045" s="518"/>
      <c r="I2045" s="518"/>
      <c r="J2045" s="518"/>
      <c r="K2045" s="518"/>
      <c r="L2045" s="518"/>
      <c r="M2045" s="518"/>
      <c r="N2045" s="518"/>
      <c r="O2045" s="518"/>
      <c r="P2045" s="518"/>
      <c r="Q2045" s="518"/>
      <c r="R2045" s="518"/>
      <c r="S2045" s="518"/>
      <c r="T2045" s="518"/>
      <c r="U2045" s="518"/>
      <c r="V2045" s="518"/>
      <c r="W2045" s="518"/>
      <c r="X2045" s="518"/>
      <c r="Y2045" s="518"/>
      <c r="Z2045" s="518"/>
      <c r="AA2045" s="518"/>
      <c r="AB2045" s="518"/>
      <c r="AC2045" s="518"/>
      <c r="AD2045" s="518"/>
      <c r="AE2045" s="518"/>
      <c r="AF2045" s="518"/>
      <c r="AG2045" s="518"/>
      <c r="AH2045" s="518"/>
      <c r="AJ2045" s="595"/>
    </row>
    <row r="2046" spans="1:36" hidden="1" x14ac:dyDescent="0.45">
      <c r="A2046" s="518"/>
      <c r="B2046" s="907" t="str">
        <f>B$2013</f>
        <v>Serna First-Time Homebuyer Mortgage Assistance Application</v>
      </c>
      <c r="C2046" s="907"/>
      <c r="D2046" s="907"/>
      <c r="E2046" s="907"/>
      <c r="F2046" s="907"/>
      <c r="G2046" s="907"/>
      <c r="H2046" s="907"/>
      <c r="I2046" s="907"/>
      <c r="J2046" s="907"/>
      <c r="K2046" s="907"/>
      <c r="L2046" s="907"/>
      <c r="M2046" s="907"/>
      <c r="N2046" s="907"/>
      <c r="O2046" s="907"/>
      <c r="P2046" s="907"/>
      <c r="Q2046" s="907"/>
      <c r="R2046" s="907"/>
      <c r="S2046" s="907"/>
      <c r="T2046" s="907"/>
      <c r="U2046" s="907"/>
      <c r="V2046" s="907"/>
      <c r="W2046" s="907"/>
      <c r="X2046" s="907"/>
      <c r="Y2046" s="907"/>
      <c r="Z2046" s="907"/>
      <c r="AA2046" s="907"/>
      <c r="AB2046" s="907"/>
      <c r="AC2046" s="907"/>
      <c r="AD2046" s="907"/>
      <c r="AE2046" s="907"/>
      <c r="AF2046" s="907"/>
      <c r="AG2046" s="907"/>
      <c r="AH2046" s="518"/>
      <c r="AJ2046" s="595"/>
    </row>
    <row r="2047" spans="1:36" hidden="1" x14ac:dyDescent="0.45">
      <c r="A2047" s="518"/>
      <c r="B2047" s="518"/>
      <c r="C2047" s="518"/>
      <c r="D2047" s="518"/>
      <c r="E2047" s="518"/>
      <c r="F2047" s="518"/>
      <c r="G2047" s="518"/>
      <c r="H2047" s="518"/>
      <c r="I2047" s="518"/>
      <c r="J2047" s="518"/>
      <c r="K2047" s="518"/>
      <c r="L2047" s="518"/>
      <c r="M2047" s="518"/>
      <c r="N2047" s="518"/>
      <c r="O2047" s="518"/>
      <c r="P2047" s="518"/>
      <c r="Q2047" s="518"/>
      <c r="R2047" s="518"/>
      <c r="S2047" s="518"/>
      <c r="T2047" s="518"/>
      <c r="U2047" s="518"/>
      <c r="V2047" s="518"/>
      <c r="W2047" s="518"/>
      <c r="X2047" s="518"/>
      <c r="Y2047" s="518"/>
      <c r="Z2047" s="518"/>
      <c r="AA2047" s="518"/>
      <c r="AB2047" s="518"/>
      <c r="AC2047" s="518"/>
      <c r="AD2047" s="518"/>
      <c r="AE2047" s="518"/>
      <c r="AF2047" s="518"/>
      <c r="AG2047" s="518"/>
      <c r="AH2047" s="518"/>
      <c r="AJ2047" s="595"/>
    </row>
    <row r="2048" spans="1:36" hidden="1" x14ac:dyDescent="0.45">
      <c r="A2048" s="518"/>
      <c r="B2048" s="907" t="s">
        <v>101</v>
      </c>
      <c r="C2048" s="907"/>
      <c r="D2048" s="907"/>
      <c r="E2048" s="907"/>
      <c r="F2048" s="907"/>
      <c r="G2048" s="907"/>
      <c r="H2048" s="907"/>
      <c r="I2048" s="907"/>
      <c r="J2048" s="907"/>
      <c r="K2048" s="907"/>
      <c r="L2048" s="907"/>
      <c r="M2048" s="907"/>
      <c r="N2048" s="907"/>
      <c r="O2048" s="907"/>
      <c r="P2048" s="907"/>
      <c r="Q2048" s="907"/>
      <c r="R2048" s="907"/>
      <c r="S2048" s="907"/>
      <c r="T2048" s="907"/>
      <c r="U2048" s="907"/>
      <c r="V2048" s="907"/>
      <c r="W2048" s="907"/>
      <c r="X2048" s="907"/>
      <c r="Y2048" s="907"/>
      <c r="Z2048" s="907"/>
      <c r="AA2048" s="907"/>
      <c r="AB2048" s="907"/>
      <c r="AC2048" s="907"/>
      <c r="AD2048" s="907"/>
      <c r="AE2048" s="907"/>
      <c r="AF2048" s="907"/>
      <c r="AG2048" s="907"/>
      <c r="AH2048" s="518"/>
      <c r="AJ2048" s="595"/>
    </row>
    <row r="2049" spans="1:36" ht="304" hidden="1" customHeight="1" x14ac:dyDescent="0.45">
      <c r="A2049" s="518"/>
      <c r="B2049" s="1248"/>
      <c r="C2049" s="1248"/>
      <c r="D2049" s="1248"/>
      <c r="E2049" s="1248"/>
      <c r="F2049" s="1248"/>
      <c r="G2049" s="1248"/>
      <c r="H2049" s="1248"/>
      <c r="I2049" s="1248"/>
      <c r="J2049" s="1248"/>
      <c r="K2049" s="1248"/>
      <c r="L2049" s="1248"/>
      <c r="M2049" s="1248"/>
      <c r="N2049" s="1248"/>
      <c r="O2049" s="1248"/>
      <c r="P2049" s="1248"/>
      <c r="Q2049" s="1248"/>
      <c r="R2049" s="1248"/>
      <c r="S2049" s="1248"/>
      <c r="T2049" s="1248"/>
      <c r="U2049" s="1248"/>
      <c r="V2049" s="1248"/>
      <c r="W2049" s="1248"/>
      <c r="X2049" s="1248"/>
      <c r="Y2049" s="1248"/>
      <c r="Z2049" s="1248"/>
      <c r="AA2049" s="1248"/>
      <c r="AB2049" s="1248"/>
      <c r="AC2049" s="1248"/>
      <c r="AD2049" s="1248"/>
      <c r="AE2049" s="1248"/>
      <c r="AF2049" s="1248"/>
      <c r="AG2049" s="1248"/>
      <c r="AH2049" s="518"/>
      <c r="AJ2049" s="595"/>
    </row>
    <row r="2050" spans="1:36" ht="304" hidden="1" customHeight="1" x14ac:dyDescent="0.45">
      <c r="A2050" s="518"/>
      <c r="B2050" s="1248"/>
      <c r="C2050" s="1248"/>
      <c r="D2050" s="1248"/>
      <c r="E2050" s="1248"/>
      <c r="F2050" s="1248"/>
      <c r="G2050" s="1248"/>
      <c r="H2050" s="1248"/>
      <c r="I2050" s="1248"/>
      <c r="J2050" s="1248"/>
      <c r="K2050" s="1248"/>
      <c r="L2050" s="1248"/>
      <c r="M2050" s="1248"/>
      <c r="N2050" s="1248"/>
      <c r="O2050" s="1248"/>
      <c r="P2050" s="1248"/>
      <c r="Q2050" s="1248"/>
      <c r="R2050" s="1248"/>
      <c r="S2050" s="1248"/>
      <c r="T2050" s="1248"/>
      <c r="U2050" s="1248"/>
      <c r="V2050" s="1248"/>
      <c r="W2050" s="1248"/>
      <c r="X2050" s="1248"/>
      <c r="Y2050" s="1248"/>
      <c r="Z2050" s="1248"/>
      <c r="AA2050" s="1248"/>
      <c r="AB2050" s="1248"/>
      <c r="AC2050" s="1248"/>
      <c r="AD2050" s="1248"/>
      <c r="AE2050" s="1248"/>
      <c r="AF2050" s="1248"/>
      <c r="AG2050" s="1248"/>
      <c r="AH2050" s="518"/>
      <c r="AJ2050" s="595"/>
    </row>
    <row r="2051" spans="1:36" hidden="1" x14ac:dyDescent="0.45">
      <c r="A2051" s="518"/>
      <c r="B2051" s="517"/>
      <c r="C2051" s="517"/>
      <c r="D2051" s="517"/>
      <c r="E2051" s="517"/>
      <c r="F2051" s="517"/>
      <c r="G2051" s="517"/>
      <c r="H2051" s="517"/>
      <c r="I2051" s="517"/>
      <c r="J2051" s="517"/>
      <c r="K2051" s="517"/>
      <c r="L2051" s="517"/>
      <c r="M2051" s="517"/>
      <c r="N2051" s="517"/>
      <c r="O2051" s="517"/>
      <c r="P2051" s="517"/>
      <c r="Q2051" s="517"/>
      <c r="R2051" s="517"/>
      <c r="S2051" s="517"/>
      <c r="T2051" s="517"/>
      <c r="U2051" s="517"/>
      <c r="V2051" s="517"/>
      <c r="W2051" s="517"/>
      <c r="X2051" s="517"/>
      <c r="Y2051" s="517"/>
      <c r="Z2051" s="517"/>
      <c r="AA2051" s="517"/>
      <c r="AB2051" s="517"/>
      <c r="AC2051" s="517"/>
      <c r="AD2051" s="517"/>
      <c r="AE2051" s="517"/>
      <c r="AF2051" s="517"/>
      <c r="AG2051" s="517"/>
      <c r="AH2051" s="518"/>
      <c r="AJ2051" s="595"/>
    </row>
    <row r="2052" spans="1:36" hidden="1" x14ac:dyDescent="0.45">
      <c r="A2052" s="518"/>
      <c r="B2052" s="518"/>
      <c r="C2052" s="518"/>
      <c r="D2052" s="518"/>
      <c r="E2052" s="518"/>
      <c r="F2052" s="518"/>
      <c r="G2052" s="518"/>
      <c r="H2052" s="518"/>
      <c r="I2052" s="518"/>
      <c r="J2052" s="518"/>
      <c r="K2052" s="518"/>
      <c r="L2052" s="518"/>
      <c r="M2052" s="518"/>
      <c r="N2052" s="518"/>
      <c r="O2052" s="518"/>
      <c r="P2052" s="518"/>
      <c r="Q2052" s="518"/>
      <c r="R2052" s="518"/>
      <c r="S2052" s="518"/>
      <c r="T2052" s="518"/>
      <c r="U2052" s="518"/>
      <c r="V2052" s="518"/>
      <c r="W2052" s="518"/>
      <c r="X2052" s="518"/>
      <c r="Y2052" s="518"/>
      <c r="Z2052" s="518"/>
      <c r="AA2052" s="518"/>
      <c r="AB2052" s="518"/>
      <c r="AC2052" s="518"/>
      <c r="AD2052" s="518"/>
      <c r="AE2052" s="518"/>
      <c r="AF2052" s="518"/>
      <c r="AG2052" s="518"/>
      <c r="AH2052" s="518"/>
      <c r="AJ2052" s="595"/>
    </row>
    <row r="2053" spans="1:36" hidden="1" x14ac:dyDescent="0.45">
      <c r="A2053" s="518"/>
      <c r="B2053" s="907" t="str">
        <f>B$2013</f>
        <v>Serna First-Time Homebuyer Mortgage Assistance Application</v>
      </c>
      <c r="C2053" s="907"/>
      <c r="D2053" s="907"/>
      <c r="E2053" s="907"/>
      <c r="F2053" s="907"/>
      <c r="G2053" s="907"/>
      <c r="H2053" s="907"/>
      <c r="I2053" s="907"/>
      <c r="J2053" s="907"/>
      <c r="K2053" s="907"/>
      <c r="L2053" s="907"/>
      <c r="M2053" s="907"/>
      <c r="N2053" s="907"/>
      <c r="O2053" s="907"/>
      <c r="P2053" s="907"/>
      <c r="Q2053" s="907"/>
      <c r="R2053" s="907"/>
      <c r="S2053" s="907"/>
      <c r="T2053" s="907"/>
      <c r="U2053" s="907"/>
      <c r="V2053" s="907"/>
      <c r="W2053" s="907"/>
      <c r="X2053" s="907"/>
      <c r="Y2053" s="907"/>
      <c r="Z2053" s="907"/>
      <c r="AA2053" s="907"/>
      <c r="AB2053" s="907"/>
      <c r="AC2053" s="907"/>
      <c r="AD2053" s="907"/>
      <c r="AE2053" s="907"/>
      <c r="AF2053" s="907"/>
      <c r="AG2053" s="907"/>
      <c r="AH2053" s="518"/>
      <c r="AJ2053" s="595"/>
    </row>
    <row r="2054" spans="1:36" hidden="1" x14ac:dyDescent="0.45">
      <c r="A2054" s="518"/>
      <c r="B2054" s="518"/>
      <c r="C2054" s="518"/>
      <c r="D2054" s="518"/>
      <c r="E2054" s="518"/>
      <c r="F2054" s="518"/>
      <c r="G2054" s="518"/>
      <c r="H2054" s="518"/>
      <c r="I2054" s="518"/>
      <c r="J2054" s="518"/>
      <c r="K2054" s="518"/>
      <c r="L2054" s="518"/>
      <c r="M2054" s="518"/>
      <c r="N2054" s="518"/>
      <c r="O2054" s="518"/>
      <c r="P2054" s="518"/>
      <c r="Q2054" s="518"/>
      <c r="R2054" s="518"/>
      <c r="S2054" s="518"/>
      <c r="T2054" s="518"/>
      <c r="U2054" s="518"/>
      <c r="V2054" s="518"/>
      <c r="W2054" s="518"/>
      <c r="X2054" s="518"/>
      <c r="Y2054" s="518"/>
      <c r="Z2054" s="518"/>
      <c r="AA2054" s="518"/>
      <c r="AB2054" s="518"/>
      <c r="AC2054" s="518"/>
      <c r="AD2054" s="518"/>
      <c r="AE2054" s="518"/>
      <c r="AF2054" s="518"/>
      <c r="AG2054" s="518"/>
      <c r="AH2054" s="518"/>
      <c r="AJ2054" s="595"/>
    </row>
    <row r="2055" spans="1:36" hidden="1" x14ac:dyDescent="0.45">
      <c r="A2055" s="518"/>
      <c r="B2055" s="907" t="s">
        <v>1806</v>
      </c>
      <c r="C2055" s="907"/>
      <c r="D2055" s="907"/>
      <c r="E2055" s="907"/>
      <c r="F2055" s="907"/>
      <c r="G2055" s="907"/>
      <c r="H2055" s="907"/>
      <c r="I2055" s="907"/>
      <c r="J2055" s="907"/>
      <c r="K2055" s="907"/>
      <c r="L2055" s="907"/>
      <c r="M2055" s="907"/>
      <c r="N2055" s="907"/>
      <c r="O2055" s="907"/>
      <c r="P2055" s="907"/>
      <c r="Q2055" s="907"/>
      <c r="R2055" s="907"/>
      <c r="S2055" s="907"/>
      <c r="T2055" s="907"/>
      <c r="U2055" s="907"/>
      <c r="V2055" s="907"/>
      <c r="W2055" s="907"/>
      <c r="X2055" s="907"/>
      <c r="Y2055" s="907"/>
      <c r="Z2055" s="907"/>
      <c r="AA2055" s="907"/>
      <c r="AB2055" s="907"/>
      <c r="AC2055" s="907"/>
      <c r="AD2055" s="907"/>
      <c r="AE2055" s="907"/>
      <c r="AF2055" s="907"/>
      <c r="AG2055" s="907"/>
      <c r="AH2055" s="518"/>
      <c r="AJ2055" s="595"/>
    </row>
    <row r="2056" spans="1:36" ht="304" hidden="1" customHeight="1" x14ac:dyDescent="0.45">
      <c r="A2056" s="518"/>
      <c r="B2056" s="1248"/>
      <c r="C2056" s="1248"/>
      <c r="D2056" s="1248"/>
      <c r="E2056" s="1248"/>
      <c r="F2056" s="1248"/>
      <c r="G2056" s="1248"/>
      <c r="H2056" s="1248"/>
      <c r="I2056" s="1248"/>
      <c r="J2056" s="1248"/>
      <c r="K2056" s="1248"/>
      <c r="L2056" s="1248"/>
      <c r="M2056" s="1248"/>
      <c r="N2056" s="1248"/>
      <c r="O2056" s="1248"/>
      <c r="P2056" s="1248"/>
      <c r="Q2056" s="1248"/>
      <c r="R2056" s="1248"/>
      <c r="S2056" s="1248"/>
      <c r="T2056" s="1248"/>
      <c r="U2056" s="1248"/>
      <c r="V2056" s="1248"/>
      <c r="W2056" s="1248"/>
      <c r="X2056" s="1248"/>
      <c r="Y2056" s="1248"/>
      <c r="Z2056" s="1248"/>
      <c r="AA2056" s="1248"/>
      <c r="AB2056" s="1248"/>
      <c r="AC2056" s="1248"/>
      <c r="AD2056" s="1248"/>
      <c r="AE2056" s="1248"/>
      <c r="AF2056" s="1248"/>
      <c r="AG2056" s="1248"/>
      <c r="AH2056" s="518"/>
      <c r="AJ2056" s="595"/>
    </row>
    <row r="2057" spans="1:36" ht="304" hidden="1" customHeight="1" x14ac:dyDescent="0.45">
      <c r="A2057" s="518"/>
      <c r="B2057" s="1248"/>
      <c r="C2057" s="1248"/>
      <c r="D2057" s="1248"/>
      <c r="E2057" s="1248"/>
      <c r="F2057" s="1248"/>
      <c r="G2057" s="1248"/>
      <c r="H2057" s="1248"/>
      <c r="I2057" s="1248"/>
      <c r="J2057" s="1248"/>
      <c r="K2057" s="1248"/>
      <c r="L2057" s="1248"/>
      <c r="M2057" s="1248"/>
      <c r="N2057" s="1248"/>
      <c r="O2057" s="1248"/>
      <c r="P2057" s="1248"/>
      <c r="Q2057" s="1248"/>
      <c r="R2057" s="1248"/>
      <c r="S2057" s="1248"/>
      <c r="T2057" s="1248"/>
      <c r="U2057" s="1248"/>
      <c r="V2057" s="1248"/>
      <c r="W2057" s="1248"/>
      <c r="X2057" s="1248"/>
      <c r="Y2057" s="1248"/>
      <c r="Z2057" s="1248"/>
      <c r="AA2057" s="1248"/>
      <c r="AB2057" s="1248"/>
      <c r="AC2057" s="1248"/>
      <c r="AD2057" s="1248"/>
      <c r="AE2057" s="1248"/>
      <c r="AF2057" s="1248"/>
      <c r="AG2057" s="1248"/>
      <c r="AH2057" s="518"/>
      <c r="AJ2057" s="595"/>
    </row>
    <row r="2058" spans="1:36" hidden="1" x14ac:dyDescent="0.45">
      <c r="A2058" s="518"/>
      <c r="B2058" s="517"/>
      <c r="C2058" s="517"/>
      <c r="D2058" s="517"/>
      <c r="E2058" s="517"/>
      <c r="F2058" s="517"/>
      <c r="G2058" s="517"/>
      <c r="H2058" s="517"/>
      <c r="I2058" s="517"/>
      <c r="J2058" s="517"/>
      <c r="K2058" s="517"/>
      <c r="L2058" s="517"/>
      <c r="M2058" s="517"/>
      <c r="N2058" s="517"/>
      <c r="O2058" s="517"/>
      <c r="P2058" s="517"/>
      <c r="Q2058" s="517"/>
      <c r="R2058" s="517"/>
      <c r="S2058" s="517"/>
      <c r="T2058" s="517"/>
      <c r="U2058" s="517"/>
      <c r="V2058" s="517"/>
      <c r="W2058" s="517"/>
      <c r="X2058" s="517"/>
      <c r="Y2058" s="517"/>
      <c r="Z2058" s="517"/>
      <c r="AA2058" s="517"/>
      <c r="AB2058" s="517"/>
      <c r="AC2058" s="517"/>
      <c r="AD2058" s="517"/>
      <c r="AE2058" s="517"/>
      <c r="AF2058" s="517"/>
      <c r="AG2058" s="517"/>
      <c r="AH2058" s="518"/>
      <c r="AJ2058" s="595"/>
    </row>
    <row r="2059" spans="1:36" hidden="1" x14ac:dyDescent="0.45">
      <c r="A2059" s="518"/>
      <c r="B2059" s="518"/>
      <c r="C2059" s="518"/>
      <c r="D2059" s="518"/>
      <c r="E2059" s="518"/>
      <c r="F2059" s="518"/>
      <c r="G2059" s="518"/>
      <c r="H2059" s="518"/>
      <c r="I2059" s="518"/>
      <c r="J2059" s="518"/>
      <c r="K2059" s="518"/>
      <c r="L2059" s="518"/>
      <c r="M2059" s="518"/>
      <c r="N2059" s="518"/>
      <c r="O2059" s="518"/>
      <c r="P2059" s="518"/>
      <c r="Q2059" s="518"/>
      <c r="R2059" s="518"/>
      <c r="S2059" s="518"/>
      <c r="T2059" s="518"/>
      <c r="U2059" s="518"/>
      <c r="V2059" s="518"/>
      <c r="W2059" s="518"/>
      <c r="X2059" s="518"/>
      <c r="Y2059" s="518"/>
      <c r="Z2059" s="518"/>
      <c r="AA2059" s="518"/>
      <c r="AB2059" s="518"/>
      <c r="AC2059" s="518"/>
      <c r="AD2059" s="518"/>
      <c r="AE2059" s="518"/>
      <c r="AF2059" s="518"/>
      <c r="AG2059" s="518"/>
      <c r="AH2059" s="518"/>
      <c r="AJ2059" s="595"/>
    </row>
    <row r="2060" spans="1:36" hidden="1" x14ac:dyDescent="0.45">
      <c r="A2060" s="518"/>
      <c r="B2060" s="907" t="str">
        <f>B$2013</f>
        <v>Serna First-Time Homebuyer Mortgage Assistance Application</v>
      </c>
      <c r="C2060" s="907"/>
      <c r="D2060" s="907"/>
      <c r="E2060" s="907"/>
      <c r="F2060" s="907"/>
      <c r="G2060" s="907"/>
      <c r="H2060" s="907"/>
      <c r="I2060" s="907"/>
      <c r="J2060" s="907"/>
      <c r="K2060" s="907"/>
      <c r="L2060" s="907"/>
      <c r="M2060" s="907"/>
      <c r="N2060" s="907"/>
      <c r="O2060" s="907"/>
      <c r="P2060" s="907"/>
      <c r="Q2060" s="907"/>
      <c r="R2060" s="907"/>
      <c r="S2060" s="907"/>
      <c r="T2060" s="907"/>
      <c r="U2060" s="907"/>
      <c r="V2060" s="907"/>
      <c r="W2060" s="907"/>
      <c r="X2060" s="907"/>
      <c r="Y2060" s="907"/>
      <c r="Z2060" s="907"/>
      <c r="AA2060" s="907"/>
      <c r="AB2060" s="907"/>
      <c r="AC2060" s="907"/>
      <c r="AD2060" s="907"/>
      <c r="AE2060" s="907"/>
      <c r="AF2060" s="907"/>
      <c r="AG2060" s="907"/>
      <c r="AH2060" s="518"/>
      <c r="AJ2060" s="595"/>
    </row>
    <row r="2061" spans="1:36" hidden="1" x14ac:dyDescent="0.45">
      <c r="A2061" s="518"/>
      <c r="B2061" s="925" t="s">
        <v>1810</v>
      </c>
      <c r="C2061" s="925"/>
      <c r="D2061" s="925"/>
      <c r="E2061" s="925"/>
      <c r="F2061" s="925"/>
      <c r="G2061" s="925"/>
      <c r="H2061" s="925"/>
      <c r="I2061" s="925"/>
      <c r="J2061" s="925"/>
      <c r="K2061" s="925"/>
      <c r="L2061" s="925"/>
      <c r="M2061" s="925"/>
      <c r="N2061" s="925"/>
      <c r="O2061" s="925"/>
      <c r="P2061" s="925"/>
      <c r="Q2061" s="925"/>
      <c r="R2061" s="925"/>
      <c r="S2061" s="925"/>
      <c r="T2061" s="925"/>
      <c r="U2061" s="925"/>
      <c r="V2061" s="925"/>
      <c r="W2061" s="925"/>
      <c r="X2061" s="925"/>
      <c r="Y2061" s="925"/>
      <c r="Z2061" s="925"/>
      <c r="AA2061" s="925"/>
      <c r="AB2061" s="925"/>
      <c r="AC2061" s="925"/>
      <c r="AD2061" s="925"/>
      <c r="AE2061" s="925"/>
      <c r="AF2061" s="925"/>
      <c r="AG2061" s="925"/>
      <c r="AH2061" s="518"/>
      <c r="AJ2061" s="595"/>
    </row>
    <row r="2062" spans="1:36" hidden="1" x14ac:dyDescent="0.45">
      <c r="A2062" s="518"/>
      <c r="B2062" s="517"/>
      <c r="C2062" s="517"/>
      <c r="D2062" s="517"/>
      <c r="E2062" s="517"/>
      <c r="F2062" s="517"/>
      <c r="G2062" s="517"/>
      <c r="H2062" s="517"/>
      <c r="I2062" s="517"/>
      <c r="J2062" s="517"/>
      <c r="K2062" s="517"/>
      <c r="L2062" s="517"/>
      <c r="M2062" s="517"/>
      <c r="N2062" s="517"/>
      <c r="O2062" s="517"/>
      <c r="P2062" s="517"/>
      <c r="Q2062" s="517"/>
      <c r="R2062" s="517"/>
      <c r="S2062" s="517"/>
      <c r="T2062" s="517"/>
      <c r="U2062" s="517"/>
      <c r="V2062" s="517"/>
      <c r="W2062" s="517"/>
      <c r="X2062" s="517"/>
      <c r="Y2062" s="517"/>
      <c r="Z2062" s="517"/>
      <c r="AA2062" s="517"/>
      <c r="AB2062" s="517"/>
      <c r="AC2062" s="517"/>
      <c r="AD2062" s="517"/>
      <c r="AE2062" s="517"/>
      <c r="AF2062" s="517"/>
      <c r="AG2062" s="517"/>
      <c r="AH2062" s="518"/>
      <c r="AJ2062" s="595"/>
    </row>
    <row r="2063" spans="1:36" hidden="1" x14ac:dyDescent="0.45">
      <c r="A2063" s="518"/>
      <c r="B2063" s="1252" t="s">
        <v>102</v>
      </c>
      <c r="C2063" s="1252"/>
      <c r="D2063" s="1252"/>
      <c r="E2063" s="1252"/>
      <c r="F2063" s="1252"/>
      <c r="G2063" s="1252"/>
      <c r="H2063" s="1252"/>
      <c r="I2063" s="1252"/>
      <c r="J2063" s="1252"/>
      <c r="K2063" s="1252"/>
      <c r="L2063" s="1252"/>
      <c r="M2063" s="1252"/>
      <c r="N2063" s="1252"/>
      <c r="O2063" s="1252"/>
      <c r="P2063" s="1252"/>
      <c r="Q2063" s="1252"/>
      <c r="R2063" s="1252"/>
      <c r="S2063" s="1252"/>
      <c r="T2063" s="1252"/>
      <c r="U2063" s="1252"/>
      <c r="V2063" s="1252"/>
      <c r="W2063" s="1252"/>
      <c r="X2063" s="1252"/>
      <c r="Y2063" s="1252"/>
      <c r="Z2063" s="1252"/>
      <c r="AA2063" s="1252"/>
      <c r="AB2063" s="1252"/>
      <c r="AC2063" s="1252"/>
      <c r="AD2063" s="1252"/>
      <c r="AE2063" s="1252"/>
      <c r="AF2063" s="1252"/>
      <c r="AG2063" s="1252"/>
      <c r="AH2063" s="518"/>
      <c r="AJ2063" s="595"/>
    </row>
    <row r="2064" spans="1:36" hidden="1" x14ac:dyDescent="0.45">
      <c r="A2064" s="518"/>
      <c r="B2064" s="1252"/>
      <c r="C2064" s="1252"/>
      <c r="D2064" s="1252"/>
      <c r="E2064" s="1252"/>
      <c r="F2064" s="1252"/>
      <c r="G2064" s="1252"/>
      <c r="H2064" s="1252"/>
      <c r="I2064" s="1252"/>
      <c r="J2064" s="1252"/>
      <c r="K2064" s="1252"/>
      <c r="L2064" s="1252"/>
      <c r="M2064" s="1252"/>
      <c r="N2064" s="1252"/>
      <c r="O2064" s="1252"/>
      <c r="P2064" s="1252"/>
      <c r="Q2064" s="1252"/>
      <c r="R2064" s="1252"/>
      <c r="S2064" s="1252"/>
      <c r="T2064" s="1252"/>
      <c r="U2064" s="1252"/>
      <c r="V2064" s="1252"/>
      <c r="W2064" s="1252"/>
      <c r="X2064" s="1252"/>
      <c r="Y2064" s="1252"/>
      <c r="Z2064" s="1252"/>
      <c r="AA2064" s="1252"/>
      <c r="AB2064" s="1252"/>
      <c r="AC2064" s="1252"/>
      <c r="AD2064" s="1252"/>
      <c r="AE2064" s="1252"/>
      <c r="AF2064" s="1252"/>
      <c r="AG2064" s="1252"/>
      <c r="AH2064" s="518"/>
      <c r="AJ2064" s="595"/>
    </row>
    <row r="2065" spans="1:36" hidden="1" x14ac:dyDescent="0.45">
      <c r="A2065" s="518"/>
      <c r="B2065" s="1183" t="s">
        <v>103</v>
      </c>
      <c r="C2065" s="1183"/>
      <c r="D2065" s="1183"/>
      <c r="E2065" s="1183"/>
      <c r="F2065" s="1183"/>
      <c r="G2065" s="1183"/>
      <c r="H2065" s="1183"/>
      <c r="I2065" s="1183"/>
      <c r="J2065" s="1183"/>
      <c r="K2065" s="1183"/>
      <c r="L2065" s="1183"/>
      <c r="M2065" s="1183"/>
      <c r="N2065" s="1183"/>
      <c r="O2065" s="1183"/>
      <c r="P2065" s="1183"/>
      <c r="Q2065" s="1183"/>
      <c r="R2065" s="1183"/>
      <c r="S2065" s="1183"/>
      <c r="T2065" s="1183"/>
      <c r="U2065" s="1183"/>
      <c r="V2065" s="1183"/>
      <c r="W2065" s="1183"/>
      <c r="X2065" s="1183"/>
      <c r="Y2065" s="1183"/>
      <c r="Z2065" s="1183"/>
      <c r="AA2065" s="1183"/>
      <c r="AB2065" s="1183"/>
      <c r="AC2065" s="1183"/>
      <c r="AD2065" s="1183"/>
      <c r="AE2065" s="1183"/>
      <c r="AF2065" s="1183"/>
      <c r="AG2065" s="1183"/>
      <c r="AH2065" s="518"/>
      <c r="AJ2065" s="595"/>
    </row>
    <row r="2066" spans="1:36" hidden="1" x14ac:dyDescent="0.45">
      <c r="A2066" s="518"/>
      <c r="B2066" s="1183"/>
      <c r="C2066" s="1183"/>
      <c r="D2066" s="1183"/>
      <c r="E2066" s="1183"/>
      <c r="F2066" s="1183"/>
      <c r="G2066" s="1183"/>
      <c r="H2066" s="1183"/>
      <c r="I2066" s="1183"/>
      <c r="J2066" s="1183"/>
      <c r="K2066" s="1183"/>
      <c r="L2066" s="1183"/>
      <c r="M2066" s="1183"/>
      <c r="N2066" s="1183"/>
      <c r="O2066" s="1183"/>
      <c r="P2066" s="1183"/>
      <c r="Q2066" s="1183"/>
      <c r="R2066" s="1183"/>
      <c r="S2066" s="1183"/>
      <c r="T2066" s="1183"/>
      <c r="U2066" s="1183"/>
      <c r="V2066" s="1183"/>
      <c r="W2066" s="1183"/>
      <c r="X2066" s="1183"/>
      <c r="Y2066" s="1183"/>
      <c r="Z2066" s="1183"/>
      <c r="AA2066" s="1183"/>
      <c r="AB2066" s="1183"/>
      <c r="AC2066" s="1183"/>
      <c r="AD2066" s="1183"/>
      <c r="AE2066" s="1183"/>
      <c r="AF2066" s="1183"/>
      <c r="AG2066" s="1183"/>
      <c r="AH2066" s="518"/>
      <c r="AJ2066" s="595"/>
    </row>
    <row r="2067" spans="1:36" hidden="1" x14ac:dyDescent="0.45">
      <c r="A2067" s="518"/>
      <c r="B2067" s="518"/>
      <c r="C2067" s="518"/>
      <c r="D2067" s="518"/>
      <c r="E2067" s="518"/>
      <c r="F2067" s="518"/>
      <c r="G2067" s="518"/>
      <c r="H2067" s="518"/>
      <c r="I2067" s="518"/>
      <c r="J2067" s="518"/>
      <c r="K2067" s="518"/>
      <c r="L2067" s="518"/>
      <c r="M2067" s="518"/>
      <c r="N2067" s="518"/>
      <c r="O2067" s="518"/>
      <c r="P2067" s="518"/>
      <c r="Q2067" s="518"/>
      <c r="R2067" s="518"/>
      <c r="S2067" s="518"/>
      <c r="T2067" s="518"/>
      <c r="U2067" s="518"/>
      <c r="V2067" s="518"/>
      <c r="W2067" s="518"/>
      <c r="X2067" s="518"/>
      <c r="Y2067" s="518"/>
      <c r="Z2067" s="518"/>
      <c r="AA2067" s="518"/>
      <c r="AB2067" s="518"/>
      <c r="AC2067" s="518"/>
      <c r="AD2067" s="518"/>
      <c r="AE2067" s="518"/>
      <c r="AF2067" s="518"/>
      <c r="AG2067" s="518"/>
      <c r="AH2067" s="518"/>
      <c r="AJ2067" s="595"/>
    </row>
    <row r="2068" spans="1:36" hidden="1" x14ac:dyDescent="0.45">
      <c r="A2068" s="518"/>
      <c r="B2068" s="1187"/>
      <c r="C2068" s="1188"/>
      <c r="D2068" s="1189"/>
      <c r="E2068" s="518"/>
      <c r="F2068" s="986" t="s">
        <v>104</v>
      </c>
      <c r="G2068" s="986"/>
      <c r="H2068" s="986"/>
      <c r="I2068" s="986"/>
      <c r="J2068" s="986"/>
      <c r="K2068" s="986"/>
      <c r="L2068" s="986"/>
      <c r="M2068" s="986"/>
      <c r="N2068" s="986"/>
      <c r="O2068" s="986"/>
      <c r="P2068" s="986"/>
      <c r="Q2068" s="986"/>
      <c r="R2068" s="986"/>
      <c r="S2068" s="986"/>
      <c r="T2068" s="986"/>
      <c r="U2068" s="986"/>
      <c r="V2068" s="986"/>
      <c r="W2068" s="986"/>
      <c r="X2068" s="986"/>
      <c r="Y2068" s="986"/>
      <c r="Z2068" s="986"/>
      <c r="AA2068" s="986"/>
      <c r="AB2068" s="986"/>
      <c r="AC2068" s="986"/>
      <c r="AD2068" s="986"/>
      <c r="AE2068" s="986"/>
      <c r="AF2068" s="986"/>
      <c r="AG2068" s="986"/>
      <c r="AH2068" s="518"/>
      <c r="AJ2068" s="595"/>
    </row>
    <row r="2069" spans="1:36" hidden="1" x14ac:dyDescent="0.45">
      <c r="A2069" s="518"/>
      <c r="B2069" s="1187"/>
      <c r="C2069" s="1188"/>
      <c r="D2069" s="1189"/>
      <c r="E2069" s="518"/>
      <c r="F2069" s="986" t="s">
        <v>105</v>
      </c>
      <c r="G2069" s="986"/>
      <c r="H2069" s="986"/>
      <c r="I2069" s="986"/>
      <c r="J2069" s="986"/>
      <c r="K2069" s="986"/>
      <c r="L2069" s="986"/>
      <c r="M2069" s="986"/>
      <c r="N2069" s="986"/>
      <c r="O2069" s="986"/>
      <c r="P2069" s="986"/>
      <c r="Q2069" s="986"/>
      <c r="R2069" s="986"/>
      <c r="S2069" s="986"/>
      <c r="T2069" s="986"/>
      <c r="U2069" s="986"/>
      <c r="V2069" s="986"/>
      <c r="W2069" s="986"/>
      <c r="X2069" s="986"/>
      <c r="Y2069" s="986"/>
      <c r="Z2069" s="986"/>
      <c r="AA2069" s="986"/>
      <c r="AB2069" s="986"/>
      <c r="AC2069" s="986"/>
      <c r="AD2069" s="986"/>
      <c r="AE2069" s="986"/>
      <c r="AF2069" s="986"/>
      <c r="AG2069" s="986"/>
      <c r="AH2069" s="518"/>
      <c r="AJ2069" s="595"/>
    </row>
    <row r="2070" spans="1:36" hidden="1" x14ac:dyDescent="0.45">
      <c r="A2070" s="518"/>
      <c r="B2070" s="1187"/>
      <c r="C2070" s="1188"/>
      <c r="D2070" s="1189"/>
      <c r="E2070" s="518"/>
      <c r="F2070" s="986" t="s">
        <v>106</v>
      </c>
      <c r="G2070" s="986"/>
      <c r="H2070" s="986"/>
      <c r="I2070" s="986"/>
      <c r="J2070" s="986"/>
      <c r="K2070" s="986"/>
      <c r="L2070" s="986"/>
      <c r="M2070" s="986"/>
      <c r="N2070" s="986"/>
      <c r="O2070" s="986"/>
      <c r="P2070" s="986"/>
      <c r="Q2070" s="986"/>
      <c r="R2070" s="986"/>
      <c r="S2070" s="986"/>
      <c r="T2070" s="986"/>
      <c r="U2070" s="986"/>
      <c r="V2070" s="986"/>
      <c r="W2070" s="986"/>
      <c r="X2070" s="986"/>
      <c r="Y2070" s="986"/>
      <c r="Z2070" s="986"/>
      <c r="AA2070" s="986"/>
      <c r="AB2070" s="986"/>
      <c r="AC2070" s="986"/>
      <c r="AD2070" s="986"/>
      <c r="AE2070" s="986"/>
      <c r="AF2070" s="986"/>
      <c r="AG2070" s="986"/>
      <c r="AH2070" s="518"/>
      <c r="AJ2070" s="595"/>
    </row>
    <row r="2071" spans="1:36" hidden="1" x14ac:dyDescent="0.45">
      <c r="A2071" s="518"/>
      <c r="B2071" s="518"/>
      <c r="C2071" s="518"/>
      <c r="D2071" s="518"/>
      <c r="E2071" s="518"/>
      <c r="F2071" s="518"/>
      <c r="G2071" s="518"/>
      <c r="H2071" s="518"/>
      <c r="I2071" s="518"/>
      <c r="J2071" s="518"/>
      <c r="K2071" s="518"/>
      <c r="L2071" s="518"/>
      <c r="M2071" s="518"/>
      <c r="N2071" s="518"/>
      <c r="O2071" s="518"/>
      <c r="P2071" s="518"/>
      <c r="Q2071" s="518"/>
      <c r="R2071" s="518"/>
      <c r="S2071" s="518"/>
      <c r="T2071" s="518"/>
      <c r="U2071" s="518"/>
      <c r="V2071" s="518"/>
      <c r="W2071" s="518"/>
      <c r="X2071" s="518"/>
      <c r="Y2071" s="518"/>
      <c r="Z2071" s="518"/>
      <c r="AA2071" s="518"/>
      <c r="AB2071" s="518"/>
      <c r="AC2071" s="518"/>
      <c r="AD2071" s="518"/>
      <c r="AE2071" s="518"/>
      <c r="AF2071" s="518"/>
      <c r="AG2071" s="518"/>
      <c r="AH2071" s="518"/>
      <c r="AJ2071" s="595"/>
    </row>
    <row r="2072" spans="1:36" hidden="1" x14ac:dyDescent="0.45">
      <c r="A2072" s="518"/>
      <c r="B2072" s="518"/>
      <c r="C2072" s="518"/>
      <c r="D2072" s="518"/>
      <c r="E2072" s="518"/>
      <c r="F2072" s="518"/>
      <c r="G2072" s="518"/>
      <c r="H2072" s="518"/>
      <c r="I2072" s="518"/>
      <c r="J2072" s="518"/>
      <c r="K2072" s="518"/>
      <c r="L2072" s="518"/>
      <c r="M2072" s="518"/>
      <c r="N2072" s="518"/>
      <c r="O2072" s="518"/>
      <c r="P2072" s="518"/>
      <c r="Q2072" s="518"/>
      <c r="R2072" s="518"/>
      <c r="S2072" s="518"/>
      <c r="T2072" s="518"/>
      <c r="U2072" s="518"/>
      <c r="V2072" s="518"/>
      <c r="W2072" s="518"/>
      <c r="X2072" s="518"/>
      <c r="Y2072" s="518"/>
      <c r="Z2072" s="518"/>
      <c r="AA2072" s="518"/>
      <c r="AB2072" s="518"/>
      <c r="AC2072" s="518"/>
      <c r="AD2072" s="518"/>
      <c r="AE2072" s="518"/>
      <c r="AF2072" s="518"/>
      <c r="AG2072" s="518"/>
      <c r="AH2072" s="518"/>
      <c r="AJ2072" s="595" t="b">
        <f>AND(AJ$2012,S1_MA_UnrestrictedTotalRequested&gt;0)</f>
        <v>0</v>
      </c>
    </row>
    <row r="2073" spans="1:36" hidden="1" x14ac:dyDescent="0.45">
      <c r="A2073" s="518"/>
      <c r="B2073" s="611" t="s">
        <v>1807</v>
      </c>
      <c r="C2073" s="518"/>
      <c r="D2073" s="518"/>
      <c r="E2073" s="518"/>
      <c r="F2073" s="518"/>
      <c r="G2073" s="518"/>
      <c r="H2073" s="518"/>
      <c r="I2073" s="518"/>
      <c r="J2073" s="518"/>
      <c r="K2073" s="518"/>
      <c r="L2073" s="518"/>
      <c r="M2073" s="518"/>
      <c r="N2073" s="518"/>
      <c r="O2073" s="518"/>
      <c r="P2073" s="518"/>
      <c r="Q2073" s="518"/>
      <c r="R2073" s="518"/>
      <c r="S2073" s="518"/>
      <c r="T2073" s="518"/>
      <c r="U2073" s="518"/>
      <c r="V2073" s="518"/>
      <c r="W2073" s="518"/>
      <c r="X2073" s="518"/>
      <c r="Y2073" s="518"/>
      <c r="Z2073" s="518"/>
      <c r="AA2073" s="518"/>
      <c r="AB2073" s="518"/>
      <c r="AC2073" s="518"/>
      <c r="AD2073" s="518"/>
      <c r="AE2073" s="518"/>
      <c r="AF2073" s="518"/>
      <c r="AG2073" s="518"/>
      <c r="AH2073" s="518"/>
      <c r="AJ2073" s="595"/>
    </row>
    <row r="2074" spans="1:36" hidden="1" x14ac:dyDescent="0.45">
      <c r="A2074" s="518"/>
      <c r="B2074" s="612" t="s">
        <v>1810</v>
      </c>
      <c r="C2074" s="565"/>
      <c r="D2074" s="565"/>
      <c r="E2074" s="565"/>
      <c r="F2074" s="565"/>
      <c r="G2074" s="565"/>
      <c r="H2074" s="565"/>
      <c r="I2074" s="565"/>
      <c r="J2074" s="565"/>
      <c r="K2074" s="565"/>
      <c r="L2074" s="565"/>
      <c r="M2074" s="565"/>
      <c r="N2074" s="565"/>
      <c r="O2074" s="565"/>
      <c r="P2074" s="565"/>
      <c r="Q2074" s="565"/>
      <c r="R2074" s="565"/>
      <c r="S2074" s="565"/>
      <c r="T2074" s="565"/>
      <c r="U2074" s="565"/>
      <c r="V2074" s="565"/>
      <c r="W2074" s="565"/>
      <c r="X2074" s="565"/>
      <c r="Y2074" s="565"/>
      <c r="Z2074" s="565"/>
      <c r="AA2074" s="565"/>
      <c r="AB2074" s="565"/>
      <c r="AC2074" s="565"/>
      <c r="AD2074" s="565"/>
      <c r="AE2074" s="565"/>
      <c r="AF2074" s="565"/>
      <c r="AG2074" s="565"/>
      <c r="AH2074" s="518"/>
      <c r="AJ2074" s="595"/>
    </row>
    <row r="2075" spans="1:36" hidden="1" x14ac:dyDescent="0.45">
      <c r="A2075" s="518"/>
      <c r="B2075" s="613" t="s">
        <v>1811</v>
      </c>
      <c r="C2075" s="518"/>
      <c r="D2075" s="518"/>
      <c r="E2075" s="518"/>
      <c r="F2075" s="518"/>
      <c r="G2075" s="518"/>
      <c r="H2075" s="518"/>
      <c r="I2075" s="518"/>
      <c r="J2075" s="518"/>
      <c r="K2075" s="518"/>
      <c r="L2075" s="518"/>
      <c r="M2075" s="518"/>
      <c r="N2075" s="518"/>
      <c r="O2075" s="518"/>
      <c r="P2075" s="518"/>
      <c r="Q2075" s="518"/>
      <c r="R2075" s="518"/>
      <c r="S2075" s="518"/>
      <c r="T2075" s="518"/>
      <c r="U2075" s="518"/>
      <c r="V2075" s="518"/>
      <c r="W2075" s="518"/>
      <c r="X2075" s="518"/>
      <c r="Y2075" s="518"/>
      <c r="Z2075" s="518"/>
      <c r="AA2075" s="518"/>
      <c r="AB2075" s="518"/>
      <c r="AC2075" s="518"/>
      <c r="AD2075" s="518"/>
      <c r="AE2075" s="518"/>
      <c r="AF2075" s="518"/>
      <c r="AG2075" s="518"/>
      <c r="AH2075" s="518"/>
      <c r="AJ2075" s="595"/>
    </row>
    <row r="2076" spans="1:36" hidden="1" x14ac:dyDescent="0.45">
      <c r="A2076" s="518"/>
      <c r="B2076" s="614" t="s">
        <v>1856</v>
      </c>
      <c r="C2076" s="518"/>
      <c r="D2076" s="518"/>
      <c r="E2076" s="518"/>
      <c r="F2076" s="518"/>
      <c r="G2076" s="518"/>
      <c r="H2076" s="518"/>
      <c r="I2076" s="518"/>
      <c r="J2076" s="518"/>
      <c r="K2076" s="518"/>
      <c r="L2076" s="518"/>
      <c r="M2076" s="518"/>
      <c r="N2076" s="518"/>
      <c r="O2076" s="518"/>
      <c r="P2076" s="518"/>
      <c r="Q2076" s="518"/>
      <c r="R2076" s="518"/>
      <c r="S2076" s="518"/>
      <c r="T2076" s="518"/>
      <c r="U2076" s="518"/>
      <c r="V2076" s="518"/>
      <c r="W2076" s="518"/>
      <c r="X2076" s="518"/>
      <c r="Y2076" s="518"/>
      <c r="Z2076" s="518"/>
      <c r="AA2076" s="518"/>
      <c r="AB2076" s="518"/>
      <c r="AC2076" s="518"/>
      <c r="AD2076" s="518"/>
      <c r="AE2076" s="518"/>
      <c r="AF2076" s="518"/>
      <c r="AG2076" s="518"/>
      <c r="AH2076" s="518"/>
      <c r="AJ2076" s="595"/>
    </row>
    <row r="2077" spans="1:36" hidden="1" x14ac:dyDescent="0.45">
      <c r="A2077" s="518"/>
      <c r="B2077" s="862" t="s">
        <v>108</v>
      </c>
      <c r="C2077" s="863"/>
      <c r="D2077" s="863"/>
      <c r="E2077" s="863"/>
      <c r="F2077" s="892"/>
      <c r="G2077" s="862" t="s">
        <v>1462</v>
      </c>
      <c r="H2077" s="892"/>
      <c r="I2077" s="1249" t="s">
        <v>1485</v>
      </c>
      <c r="J2077" s="1249" t="s">
        <v>1486</v>
      </c>
      <c r="K2077" s="1182" t="s">
        <v>91</v>
      </c>
      <c r="L2077" s="1059"/>
      <c r="M2077" s="1251" t="s">
        <v>109</v>
      </c>
      <c r="N2077" s="1251"/>
      <c r="O2077" s="1251"/>
      <c r="P2077" s="1251"/>
      <c r="Q2077" s="862" t="s">
        <v>110</v>
      </c>
      <c r="R2077" s="863"/>
      <c r="S2077" s="863"/>
      <c r="T2077" s="892"/>
      <c r="U2077" s="862" t="s">
        <v>111</v>
      </c>
      <c r="V2077" s="863"/>
      <c r="W2077" s="863"/>
      <c r="X2077" s="862" t="s">
        <v>1463</v>
      </c>
      <c r="Y2077" s="863"/>
      <c r="Z2077" s="892"/>
      <c r="AA2077" s="1182" t="s">
        <v>113</v>
      </c>
      <c r="AB2077" s="1058"/>
      <c r="AC2077" s="1058"/>
      <c r="AD2077" s="1059"/>
      <c r="AE2077" s="862" t="s">
        <v>114</v>
      </c>
      <c r="AF2077" s="892"/>
      <c r="AG2077" s="529"/>
      <c r="AH2077" s="518"/>
      <c r="AJ2077" s="595"/>
    </row>
    <row r="2078" spans="1:36" hidden="1" x14ac:dyDescent="0.45">
      <c r="A2078" s="518"/>
      <c r="B2078" s="864"/>
      <c r="C2078" s="865"/>
      <c r="D2078" s="865"/>
      <c r="E2078" s="865"/>
      <c r="F2078" s="893"/>
      <c r="G2078" s="864"/>
      <c r="H2078" s="893"/>
      <c r="I2078" s="1250"/>
      <c r="J2078" s="1250"/>
      <c r="K2078" s="1060"/>
      <c r="L2078" s="1062"/>
      <c r="M2078" s="1251"/>
      <c r="N2078" s="1251"/>
      <c r="O2078" s="1251"/>
      <c r="P2078" s="1251"/>
      <c r="Q2078" s="864"/>
      <c r="R2078" s="865"/>
      <c r="S2078" s="865"/>
      <c r="T2078" s="893"/>
      <c r="U2078" s="864"/>
      <c r="V2078" s="865"/>
      <c r="W2078" s="865"/>
      <c r="X2078" s="864"/>
      <c r="Y2078" s="865"/>
      <c r="Z2078" s="893"/>
      <c r="AA2078" s="1060"/>
      <c r="AB2078" s="1061"/>
      <c r="AC2078" s="1061"/>
      <c r="AD2078" s="1062"/>
      <c r="AE2078" s="864"/>
      <c r="AF2078" s="893"/>
      <c r="AG2078" s="529"/>
      <c r="AH2078" s="518"/>
      <c r="AJ2078" s="595"/>
    </row>
    <row r="2079" spans="1:36" hidden="1" x14ac:dyDescent="0.45">
      <c r="A2079" s="518"/>
      <c r="B2079" s="514" t="s">
        <v>1405</v>
      </c>
      <c r="C2079" s="530"/>
      <c r="D2079" s="530"/>
      <c r="E2079" s="530"/>
      <c r="F2079" s="530"/>
      <c r="G2079" s="885" t="str">
        <f>IF(S1MAData!N3=0,"",SUBSTITUTE(SUBSTITUTE(S1MAData!N3,"Acquired and Rehabilitated Housing","A/R"),"Newly Constructed Housing","N/C"))</f>
        <v/>
      </c>
      <c r="H2079" s="885"/>
      <c r="I2079" s="583" t="str">
        <f>IF(S1MAData!AM3=0,"",LEFT(S1MAData!AM3,1))</f>
        <v/>
      </c>
      <c r="J2079" s="583" t="str">
        <f>IF(S1MAData!L3=0,"",LEFT(S1MAData!L3,1))</f>
        <v/>
      </c>
      <c r="K2079" s="939">
        <f>S1MAData!O3</f>
        <v>0</v>
      </c>
      <c r="L2079" s="1181"/>
      <c r="M2079" s="940">
        <f>S1MAData!P3</f>
        <v>0</v>
      </c>
      <c r="N2079" s="940"/>
      <c r="O2079" s="940"/>
      <c r="P2079" s="940"/>
      <c r="Q2079" s="940">
        <f>S1MAData!Q3</f>
        <v>0</v>
      </c>
      <c r="R2079" s="940"/>
      <c r="S2079" s="940"/>
      <c r="T2079" s="940"/>
      <c r="U2079" s="940">
        <f>S1MAData!R3</f>
        <v>0</v>
      </c>
      <c r="V2079" s="940"/>
      <c r="W2079" s="940"/>
      <c r="X2079" s="940">
        <f>S1MAData!S3</f>
        <v>0</v>
      </c>
      <c r="Y2079" s="940"/>
      <c r="Z2079" s="940"/>
      <c r="AA2079" s="940">
        <f>SUM(Q2079:Z2079)</f>
        <v>0</v>
      </c>
      <c r="AB2079" s="940"/>
      <c r="AC2079" s="940"/>
      <c r="AD2079" s="940"/>
      <c r="AE2079" s="871">
        <f>S1MAData!U3</f>
        <v>0</v>
      </c>
      <c r="AF2079" s="871"/>
      <c r="AG2079" s="529"/>
      <c r="AH2079" s="518"/>
      <c r="AJ2079" s="595" t="b">
        <f>IF(AND(AJ$2072,AA2079&gt;0),TRUE,FALSE)</f>
        <v>0</v>
      </c>
    </row>
    <row r="2080" spans="1:36" hidden="1" x14ac:dyDescent="0.45">
      <c r="A2080" s="518"/>
      <c r="B2080" s="514" t="s">
        <v>1406</v>
      </c>
      <c r="C2080" s="530"/>
      <c r="D2080" s="530"/>
      <c r="E2080" s="530"/>
      <c r="F2080" s="530"/>
      <c r="G2080" s="885" t="str">
        <f>IF(S1MAData!N4=0,"",SUBSTITUTE(SUBSTITUTE(S1MAData!N4,"Acquired and Rehabilitated Housing","A/R"),"Newly Constructed Housing","N/C"))</f>
        <v/>
      </c>
      <c r="H2080" s="885"/>
      <c r="I2080" s="583" t="str">
        <f>IF(S1MAData!AM4=0,"",LEFT(S1MAData!AM4,1))</f>
        <v/>
      </c>
      <c r="J2080" s="583" t="str">
        <f>IF(S1MAData!L4=0,"",LEFT(S1MAData!L4,1))</f>
        <v/>
      </c>
      <c r="K2080" s="939">
        <f>S1MAData!O4</f>
        <v>0</v>
      </c>
      <c r="L2080" s="1181"/>
      <c r="M2080" s="940">
        <f>S1MAData!P4</f>
        <v>0</v>
      </c>
      <c r="N2080" s="940"/>
      <c r="O2080" s="940"/>
      <c r="P2080" s="940"/>
      <c r="Q2080" s="940">
        <f>S1MAData!Q4</f>
        <v>0</v>
      </c>
      <c r="R2080" s="940"/>
      <c r="S2080" s="940"/>
      <c r="T2080" s="940"/>
      <c r="U2080" s="940">
        <f>S1MAData!R4</f>
        <v>0</v>
      </c>
      <c r="V2080" s="940"/>
      <c r="W2080" s="940"/>
      <c r="X2080" s="940">
        <f>S1MAData!S4</f>
        <v>0</v>
      </c>
      <c r="Y2080" s="940"/>
      <c r="Z2080" s="940"/>
      <c r="AA2080" s="940">
        <f t="shared" ref="AA2080:AA2136" si="41">SUM(Q2080:Z2080)</f>
        <v>0</v>
      </c>
      <c r="AB2080" s="940"/>
      <c r="AC2080" s="940"/>
      <c r="AD2080" s="940"/>
      <c r="AE2080" s="871">
        <f>S1MAData!U4</f>
        <v>0</v>
      </c>
      <c r="AF2080" s="871"/>
      <c r="AG2080" s="529"/>
      <c r="AH2080" s="518"/>
      <c r="AJ2080" s="595" t="b">
        <f>IF(AND(AJ$2072,AA2080&gt;0),TRUE,FALSE)</f>
        <v>0</v>
      </c>
    </row>
    <row r="2081" spans="1:36" hidden="1" x14ac:dyDescent="0.45">
      <c r="A2081" s="518"/>
      <c r="B2081" s="514" t="s">
        <v>1407</v>
      </c>
      <c r="C2081" s="530"/>
      <c r="D2081" s="530"/>
      <c r="E2081" s="530"/>
      <c r="F2081" s="530"/>
      <c r="G2081" s="885" t="str">
        <f>IF(S1MAData!N5=0,"",SUBSTITUTE(SUBSTITUTE(S1MAData!N5,"Acquired and Rehabilitated Housing","A/R"),"Newly Constructed Housing","N/C"))</f>
        <v/>
      </c>
      <c r="H2081" s="885"/>
      <c r="I2081" s="583" t="str">
        <f>IF(S1MAData!AM5=0,"",LEFT(S1MAData!AM5,1))</f>
        <v/>
      </c>
      <c r="J2081" s="583" t="str">
        <f>IF(S1MAData!L5=0,"",LEFT(S1MAData!L5,1))</f>
        <v/>
      </c>
      <c r="K2081" s="939">
        <f>S1MAData!O5</f>
        <v>0</v>
      </c>
      <c r="L2081" s="1181"/>
      <c r="M2081" s="940">
        <f>S1MAData!P5</f>
        <v>0</v>
      </c>
      <c r="N2081" s="940"/>
      <c r="O2081" s="940"/>
      <c r="P2081" s="940"/>
      <c r="Q2081" s="940">
        <f>S1MAData!Q5</f>
        <v>0</v>
      </c>
      <c r="R2081" s="940"/>
      <c r="S2081" s="940"/>
      <c r="T2081" s="940"/>
      <c r="U2081" s="940">
        <f>S1MAData!R5</f>
        <v>0</v>
      </c>
      <c r="V2081" s="940"/>
      <c r="W2081" s="940"/>
      <c r="X2081" s="940">
        <f>S1MAData!S5</f>
        <v>0</v>
      </c>
      <c r="Y2081" s="940"/>
      <c r="Z2081" s="940"/>
      <c r="AA2081" s="940">
        <f t="shared" si="41"/>
        <v>0</v>
      </c>
      <c r="AB2081" s="940"/>
      <c r="AC2081" s="940"/>
      <c r="AD2081" s="940"/>
      <c r="AE2081" s="871">
        <f>S1MAData!U5</f>
        <v>0</v>
      </c>
      <c r="AF2081" s="871"/>
      <c r="AG2081" s="529"/>
      <c r="AH2081" s="518"/>
      <c r="AJ2081" s="595" t="b">
        <f t="shared" ref="AJ2081:AJ2136" si="42">IF(AND(AJ$2072,AA2081&gt;0),TRUE,FALSE)</f>
        <v>0</v>
      </c>
    </row>
    <row r="2082" spans="1:36" hidden="1" x14ac:dyDescent="0.45">
      <c r="A2082" s="518"/>
      <c r="B2082" s="514" t="s">
        <v>1408</v>
      </c>
      <c r="C2082" s="530"/>
      <c r="D2082" s="530"/>
      <c r="E2082" s="530"/>
      <c r="F2082" s="530"/>
      <c r="G2082" s="885" t="str">
        <f>IF(S1MAData!N6=0,"",SUBSTITUTE(SUBSTITUTE(S1MAData!N6,"Acquired and Rehabilitated Housing","A/R"),"Newly Constructed Housing","N/C"))</f>
        <v/>
      </c>
      <c r="H2082" s="885"/>
      <c r="I2082" s="583" t="str">
        <f>IF(S1MAData!AM6=0,"",LEFT(S1MAData!AM6,1))</f>
        <v/>
      </c>
      <c r="J2082" s="583" t="str">
        <f>IF(S1MAData!L6=0,"",LEFT(S1MAData!L6,1))</f>
        <v/>
      </c>
      <c r="K2082" s="939">
        <f>S1MAData!O6</f>
        <v>0</v>
      </c>
      <c r="L2082" s="1181"/>
      <c r="M2082" s="940">
        <f>S1MAData!P6</f>
        <v>0</v>
      </c>
      <c r="N2082" s="940"/>
      <c r="O2082" s="940"/>
      <c r="P2082" s="940"/>
      <c r="Q2082" s="940">
        <f>S1MAData!Q6</f>
        <v>0</v>
      </c>
      <c r="R2082" s="940"/>
      <c r="S2082" s="940"/>
      <c r="T2082" s="940"/>
      <c r="U2082" s="940">
        <f>S1MAData!R6</f>
        <v>0</v>
      </c>
      <c r="V2082" s="940"/>
      <c r="W2082" s="940"/>
      <c r="X2082" s="940">
        <f>S1MAData!S6</f>
        <v>0</v>
      </c>
      <c r="Y2082" s="940"/>
      <c r="Z2082" s="940"/>
      <c r="AA2082" s="940">
        <f t="shared" si="41"/>
        <v>0</v>
      </c>
      <c r="AB2082" s="940"/>
      <c r="AC2082" s="940"/>
      <c r="AD2082" s="940"/>
      <c r="AE2082" s="871">
        <f>S1MAData!U6</f>
        <v>0</v>
      </c>
      <c r="AF2082" s="871"/>
      <c r="AG2082" s="529"/>
      <c r="AH2082" s="518"/>
      <c r="AJ2082" s="595" t="b">
        <f t="shared" si="42"/>
        <v>0</v>
      </c>
    </row>
    <row r="2083" spans="1:36" hidden="1" x14ac:dyDescent="0.45">
      <c r="A2083" s="518"/>
      <c r="B2083" s="514" t="s">
        <v>1409</v>
      </c>
      <c r="C2083" s="530"/>
      <c r="D2083" s="530"/>
      <c r="E2083" s="530"/>
      <c r="F2083" s="530"/>
      <c r="G2083" s="885" t="str">
        <f>IF(S1MAData!N7=0,"",SUBSTITUTE(SUBSTITUTE(S1MAData!N7,"Acquired and Rehabilitated Housing","A/R"),"Newly Constructed Housing","N/C"))</f>
        <v/>
      </c>
      <c r="H2083" s="885"/>
      <c r="I2083" s="583" t="str">
        <f>IF(S1MAData!AM7=0,"",LEFT(S1MAData!AM7,1))</f>
        <v/>
      </c>
      <c r="J2083" s="583" t="str">
        <f>IF(S1MAData!L7=0,"",LEFT(S1MAData!L7,1))</f>
        <v/>
      </c>
      <c r="K2083" s="939">
        <f>S1MAData!O7</f>
        <v>0</v>
      </c>
      <c r="L2083" s="1181"/>
      <c r="M2083" s="940">
        <f>S1MAData!P7</f>
        <v>0</v>
      </c>
      <c r="N2083" s="940"/>
      <c r="O2083" s="940"/>
      <c r="P2083" s="940"/>
      <c r="Q2083" s="940">
        <f>S1MAData!Q7</f>
        <v>0</v>
      </c>
      <c r="R2083" s="940"/>
      <c r="S2083" s="940"/>
      <c r="T2083" s="940"/>
      <c r="U2083" s="940">
        <f>S1MAData!R7</f>
        <v>0</v>
      </c>
      <c r="V2083" s="940"/>
      <c r="W2083" s="940"/>
      <c r="X2083" s="940">
        <f>S1MAData!S7</f>
        <v>0</v>
      </c>
      <c r="Y2083" s="940"/>
      <c r="Z2083" s="940"/>
      <c r="AA2083" s="940">
        <f t="shared" si="41"/>
        <v>0</v>
      </c>
      <c r="AB2083" s="940"/>
      <c r="AC2083" s="940"/>
      <c r="AD2083" s="940"/>
      <c r="AE2083" s="871">
        <f>S1MAData!U7</f>
        <v>0</v>
      </c>
      <c r="AF2083" s="871"/>
      <c r="AG2083" s="529"/>
      <c r="AH2083" s="518"/>
      <c r="AJ2083" s="595" t="b">
        <f t="shared" si="42"/>
        <v>0</v>
      </c>
    </row>
    <row r="2084" spans="1:36" hidden="1" x14ac:dyDescent="0.45">
      <c r="A2084" s="518"/>
      <c r="B2084" s="514" t="s">
        <v>1410</v>
      </c>
      <c r="C2084" s="530"/>
      <c r="D2084" s="530"/>
      <c r="E2084" s="530"/>
      <c r="F2084" s="530"/>
      <c r="G2084" s="885" t="str">
        <f>IF(S1MAData!N8=0,"",SUBSTITUTE(SUBSTITUTE(S1MAData!N8,"Acquired and Rehabilitated Housing","A/R"),"Newly Constructed Housing","N/C"))</f>
        <v/>
      </c>
      <c r="H2084" s="885"/>
      <c r="I2084" s="583" t="str">
        <f>IF(S1MAData!AM8=0,"",LEFT(S1MAData!AM8,1))</f>
        <v/>
      </c>
      <c r="J2084" s="583" t="str">
        <f>IF(S1MAData!L8=0,"",LEFT(S1MAData!L8,1))</f>
        <v/>
      </c>
      <c r="K2084" s="939">
        <f>S1MAData!O8</f>
        <v>0</v>
      </c>
      <c r="L2084" s="1181"/>
      <c r="M2084" s="940">
        <f>S1MAData!P8</f>
        <v>0</v>
      </c>
      <c r="N2084" s="940"/>
      <c r="O2084" s="940"/>
      <c r="P2084" s="940"/>
      <c r="Q2084" s="940">
        <f>S1MAData!Q8</f>
        <v>0</v>
      </c>
      <c r="R2084" s="940"/>
      <c r="S2084" s="940"/>
      <c r="T2084" s="940"/>
      <c r="U2084" s="940">
        <f>S1MAData!R8</f>
        <v>0</v>
      </c>
      <c r="V2084" s="940"/>
      <c r="W2084" s="940"/>
      <c r="X2084" s="940">
        <f>S1MAData!S8</f>
        <v>0</v>
      </c>
      <c r="Y2084" s="940"/>
      <c r="Z2084" s="940"/>
      <c r="AA2084" s="940">
        <f t="shared" si="41"/>
        <v>0</v>
      </c>
      <c r="AB2084" s="940"/>
      <c r="AC2084" s="940"/>
      <c r="AD2084" s="940"/>
      <c r="AE2084" s="871">
        <f>S1MAData!U8</f>
        <v>0</v>
      </c>
      <c r="AF2084" s="871"/>
      <c r="AG2084" s="529"/>
      <c r="AH2084" s="518"/>
      <c r="AJ2084" s="595" t="b">
        <f t="shared" si="42"/>
        <v>0</v>
      </c>
    </row>
    <row r="2085" spans="1:36" hidden="1" x14ac:dyDescent="0.45">
      <c r="A2085" s="518"/>
      <c r="B2085" s="514" t="s">
        <v>1411</v>
      </c>
      <c r="C2085" s="530"/>
      <c r="D2085" s="530"/>
      <c r="E2085" s="530"/>
      <c r="F2085" s="530"/>
      <c r="G2085" s="885" t="str">
        <f>IF(S1MAData!N9=0,"",SUBSTITUTE(SUBSTITUTE(S1MAData!N9,"Acquired and Rehabilitated Housing","A/R"),"Newly Constructed Housing","N/C"))</f>
        <v/>
      </c>
      <c r="H2085" s="885"/>
      <c r="I2085" s="583" t="str">
        <f>IF(S1MAData!AM9=0,"",LEFT(S1MAData!AM9,1))</f>
        <v/>
      </c>
      <c r="J2085" s="583" t="str">
        <f>IF(S1MAData!L9=0,"",LEFT(S1MAData!L9,1))</f>
        <v/>
      </c>
      <c r="K2085" s="939">
        <f>S1MAData!O9</f>
        <v>0</v>
      </c>
      <c r="L2085" s="1181"/>
      <c r="M2085" s="940">
        <f>S1MAData!P9</f>
        <v>0</v>
      </c>
      <c r="N2085" s="940"/>
      <c r="O2085" s="940"/>
      <c r="P2085" s="940"/>
      <c r="Q2085" s="940">
        <f>S1MAData!Q9</f>
        <v>0</v>
      </c>
      <c r="R2085" s="940"/>
      <c r="S2085" s="940"/>
      <c r="T2085" s="940"/>
      <c r="U2085" s="940">
        <f>S1MAData!R9</f>
        <v>0</v>
      </c>
      <c r="V2085" s="940"/>
      <c r="W2085" s="940"/>
      <c r="X2085" s="940">
        <f>S1MAData!S9</f>
        <v>0</v>
      </c>
      <c r="Y2085" s="940"/>
      <c r="Z2085" s="940"/>
      <c r="AA2085" s="940">
        <f t="shared" si="41"/>
        <v>0</v>
      </c>
      <c r="AB2085" s="940"/>
      <c r="AC2085" s="940"/>
      <c r="AD2085" s="940"/>
      <c r="AE2085" s="871">
        <f>S1MAData!U9</f>
        <v>0</v>
      </c>
      <c r="AF2085" s="871"/>
      <c r="AG2085" s="529"/>
      <c r="AH2085" s="518"/>
      <c r="AJ2085" s="595" t="b">
        <f t="shared" si="42"/>
        <v>0</v>
      </c>
    </row>
    <row r="2086" spans="1:36" hidden="1" x14ac:dyDescent="0.45">
      <c r="A2086" s="518"/>
      <c r="B2086" s="514" t="s">
        <v>1412</v>
      </c>
      <c r="C2086" s="530"/>
      <c r="D2086" s="530"/>
      <c r="E2086" s="530"/>
      <c r="F2086" s="530"/>
      <c r="G2086" s="885" t="str">
        <f>IF(S1MAData!N10=0,"",SUBSTITUTE(SUBSTITUTE(S1MAData!N10,"Acquired and Rehabilitated Housing","A/R"),"Newly Constructed Housing","N/C"))</f>
        <v/>
      </c>
      <c r="H2086" s="885"/>
      <c r="I2086" s="583" t="str">
        <f>IF(S1MAData!AM10=0,"",LEFT(S1MAData!AM10,1))</f>
        <v/>
      </c>
      <c r="J2086" s="583" t="str">
        <f>IF(S1MAData!L10=0,"",LEFT(S1MAData!L10,1))</f>
        <v/>
      </c>
      <c r="K2086" s="939">
        <f>S1MAData!O10</f>
        <v>0</v>
      </c>
      <c r="L2086" s="1181"/>
      <c r="M2086" s="940">
        <f>S1MAData!P10</f>
        <v>0</v>
      </c>
      <c r="N2086" s="940"/>
      <c r="O2086" s="940"/>
      <c r="P2086" s="940"/>
      <c r="Q2086" s="940">
        <f>S1MAData!Q10</f>
        <v>0</v>
      </c>
      <c r="R2086" s="940"/>
      <c r="S2086" s="940"/>
      <c r="T2086" s="940"/>
      <c r="U2086" s="940">
        <f>S1MAData!R10</f>
        <v>0</v>
      </c>
      <c r="V2086" s="940"/>
      <c r="W2086" s="940"/>
      <c r="X2086" s="940">
        <f>S1MAData!S10</f>
        <v>0</v>
      </c>
      <c r="Y2086" s="940"/>
      <c r="Z2086" s="940"/>
      <c r="AA2086" s="940">
        <f t="shared" si="41"/>
        <v>0</v>
      </c>
      <c r="AB2086" s="940"/>
      <c r="AC2086" s="940"/>
      <c r="AD2086" s="940"/>
      <c r="AE2086" s="871">
        <f>S1MAData!U10</f>
        <v>0</v>
      </c>
      <c r="AF2086" s="871"/>
      <c r="AG2086" s="529"/>
      <c r="AH2086" s="518"/>
      <c r="AJ2086" s="595" t="b">
        <f t="shared" si="42"/>
        <v>0</v>
      </c>
    </row>
    <row r="2087" spans="1:36" hidden="1" x14ac:dyDescent="0.45">
      <c r="A2087" s="518"/>
      <c r="B2087" s="514" t="s">
        <v>1413</v>
      </c>
      <c r="C2087" s="530"/>
      <c r="D2087" s="530"/>
      <c r="E2087" s="530"/>
      <c r="F2087" s="530"/>
      <c r="G2087" s="885" t="str">
        <f>IF(S1MAData!N11=0,"",SUBSTITUTE(SUBSTITUTE(S1MAData!N11,"Acquired and Rehabilitated Housing","A/R"),"Newly Constructed Housing","N/C"))</f>
        <v/>
      </c>
      <c r="H2087" s="885"/>
      <c r="I2087" s="583" t="str">
        <f>IF(S1MAData!AM11=0,"",LEFT(S1MAData!AM11,1))</f>
        <v/>
      </c>
      <c r="J2087" s="583" t="str">
        <f>IF(S1MAData!L11=0,"",LEFT(S1MAData!L11,1))</f>
        <v/>
      </c>
      <c r="K2087" s="939">
        <f>S1MAData!O11</f>
        <v>0</v>
      </c>
      <c r="L2087" s="1181"/>
      <c r="M2087" s="940">
        <f>S1MAData!P11</f>
        <v>0</v>
      </c>
      <c r="N2087" s="940"/>
      <c r="O2087" s="940"/>
      <c r="P2087" s="940"/>
      <c r="Q2087" s="940">
        <f>S1MAData!Q11</f>
        <v>0</v>
      </c>
      <c r="R2087" s="940"/>
      <c r="S2087" s="940"/>
      <c r="T2087" s="940"/>
      <c r="U2087" s="940">
        <f>S1MAData!R11</f>
        <v>0</v>
      </c>
      <c r="V2087" s="940"/>
      <c r="W2087" s="940"/>
      <c r="X2087" s="940">
        <f>S1MAData!S11</f>
        <v>0</v>
      </c>
      <c r="Y2087" s="940"/>
      <c r="Z2087" s="940"/>
      <c r="AA2087" s="940">
        <f t="shared" si="41"/>
        <v>0</v>
      </c>
      <c r="AB2087" s="940"/>
      <c r="AC2087" s="940"/>
      <c r="AD2087" s="940"/>
      <c r="AE2087" s="871">
        <f>S1MAData!U11</f>
        <v>0</v>
      </c>
      <c r="AF2087" s="871"/>
      <c r="AG2087" s="529"/>
      <c r="AH2087" s="518"/>
      <c r="AJ2087" s="595" t="b">
        <f t="shared" si="42"/>
        <v>0</v>
      </c>
    </row>
    <row r="2088" spans="1:36" hidden="1" x14ac:dyDescent="0.45">
      <c r="A2088" s="518"/>
      <c r="B2088" s="514" t="s">
        <v>1414</v>
      </c>
      <c r="C2088" s="530"/>
      <c r="D2088" s="530"/>
      <c r="E2088" s="530"/>
      <c r="F2088" s="530"/>
      <c r="G2088" s="885" t="str">
        <f>IF(S1MAData!N12=0,"",SUBSTITUTE(SUBSTITUTE(S1MAData!N12,"Acquired and Rehabilitated Housing","A/R"),"Newly Constructed Housing","N/C"))</f>
        <v/>
      </c>
      <c r="H2088" s="885"/>
      <c r="I2088" s="583" t="str">
        <f>IF(S1MAData!AM12=0,"",LEFT(S1MAData!AM12,1))</f>
        <v/>
      </c>
      <c r="J2088" s="583" t="str">
        <f>IF(S1MAData!L12=0,"",LEFT(S1MAData!L12,1))</f>
        <v/>
      </c>
      <c r="K2088" s="939">
        <f>S1MAData!O12</f>
        <v>0</v>
      </c>
      <c r="L2088" s="1181"/>
      <c r="M2088" s="940">
        <f>S1MAData!P12</f>
        <v>0</v>
      </c>
      <c r="N2088" s="940"/>
      <c r="O2088" s="940"/>
      <c r="P2088" s="940"/>
      <c r="Q2088" s="940">
        <f>S1MAData!Q12</f>
        <v>0</v>
      </c>
      <c r="R2088" s="940"/>
      <c r="S2088" s="940"/>
      <c r="T2088" s="940"/>
      <c r="U2088" s="940">
        <f>S1MAData!R12</f>
        <v>0</v>
      </c>
      <c r="V2088" s="940"/>
      <c r="W2088" s="940"/>
      <c r="X2088" s="940">
        <f>S1MAData!S12</f>
        <v>0</v>
      </c>
      <c r="Y2088" s="940"/>
      <c r="Z2088" s="940"/>
      <c r="AA2088" s="940">
        <f t="shared" si="41"/>
        <v>0</v>
      </c>
      <c r="AB2088" s="940"/>
      <c r="AC2088" s="940"/>
      <c r="AD2088" s="940"/>
      <c r="AE2088" s="871">
        <f>S1MAData!U12</f>
        <v>0</v>
      </c>
      <c r="AF2088" s="871"/>
      <c r="AG2088" s="529"/>
      <c r="AH2088" s="518"/>
      <c r="AJ2088" s="595" t="b">
        <f t="shared" si="42"/>
        <v>0</v>
      </c>
    </row>
    <row r="2089" spans="1:36" hidden="1" x14ac:dyDescent="0.45">
      <c r="A2089" s="518"/>
      <c r="B2089" s="514" t="s">
        <v>1415</v>
      </c>
      <c r="C2089" s="530"/>
      <c r="D2089" s="530"/>
      <c r="E2089" s="530"/>
      <c r="F2089" s="530"/>
      <c r="G2089" s="885" t="str">
        <f>IF(S1MAData!N13=0,"",SUBSTITUTE(SUBSTITUTE(S1MAData!N13,"Acquired and Rehabilitated Housing","A/R"),"Newly Constructed Housing","N/C"))</f>
        <v/>
      </c>
      <c r="H2089" s="885"/>
      <c r="I2089" s="583" t="str">
        <f>IF(S1MAData!AM13=0,"",LEFT(S1MAData!AM13,1))</f>
        <v/>
      </c>
      <c r="J2089" s="583" t="str">
        <f>IF(S1MAData!L13=0,"",LEFT(S1MAData!L13,1))</f>
        <v/>
      </c>
      <c r="K2089" s="939">
        <f>S1MAData!O13</f>
        <v>0</v>
      </c>
      <c r="L2089" s="1181"/>
      <c r="M2089" s="940">
        <f>S1MAData!P13</f>
        <v>0</v>
      </c>
      <c r="N2089" s="940"/>
      <c r="O2089" s="940"/>
      <c r="P2089" s="940"/>
      <c r="Q2089" s="940">
        <f>S1MAData!Q13</f>
        <v>0</v>
      </c>
      <c r="R2089" s="940"/>
      <c r="S2089" s="940"/>
      <c r="T2089" s="940"/>
      <c r="U2089" s="940">
        <f>S1MAData!R13</f>
        <v>0</v>
      </c>
      <c r="V2089" s="940"/>
      <c r="W2089" s="940"/>
      <c r="X2089" s="940">
        <f>S1MAData!S13</f>
        <v>0</v>
      </c>
      <c r="Y2089" s="940"/>
      <c r="Z2089" s="940"/>
      <c r="AA2089" s="940">
        <f t="shared" si="41"/>
        <v>0</v>
      </c>
      <c r="AB2089" s="940"/>
      <c r="AC2089" s="940"/>
      <c r="AD2089" s="940"/>
      <c r="AE2089" s="871">
        <f>S1MAData!U13</f>
        <v>0</v>
      </c>
      <c r="AF2089" s="871"/>
      <c r="AG2089" s="529"/>
      <c r="AH2089" s="518"/>
      <c r="AJ2089" s="595" t="b">
        <f t="shared" si="42"/>
        <v>0</v>
      </c>
    </row>
    <row r="2090" spans="1:36" hidden="1" x14ac:dyDescent="0.45">
      <c r="A2090" s="518"/>
      <c r="B2090" s="514" t="s">
        <v>1416</v>
      </c>
      <c r="C2090" s="530"/>
      <c r="D2090" s="530"/>
      <c r="E2090" s="530"/>
      <c r="F2090" s="530"/>
      <c r="G2090" s="885" t="str">
        <f>IF(S1MAData!N14=0,"",SUBSTITUTE(SUBSTITUTE(S1MAData!N14,"Acquired and Rehabilitated Housing","A/R"),"Newly Constructed Housing","N/C"))</f>
        <v/>
      </c>
      <c r="H2090" s="885"/>
      <c r="I2090" s="583" t="str">
        <f>IF(S1MAData!AM14=0,"",LEFT(S1MAData!AM14,1))</f>
        <v/>
      </c>
      <c r="J2090" s="583" t="str">
        <f>IF(S1MAData!L14=0,"",LEFT(S1MAData!L14,1))</f>
        <v/>
      </c>
      <c r="K2090" s="939">
        <f>S1MAData!O14</f>
        <v>0</v>
      </c>
      <c r="L2090" s="1181"/>
      <c r="M2090" s="940">
        <f>S1MAData!P14</f>
        <v>0</v>
      </c>
      <c r="N2090" s="940"/>
      <c r="O2090" s="940"/>
      <c r="P2090" s="940"/>
      <c r="Q2090" s="940">
        <f>S1MAData!Q14</f>
        <v>0</v>
      </c>
      <c r="R2090" s="940"/>
      <c r="S2090" s="940"/>
      <c r="T2090" s="940"/>
      <c r="U2090" s="940">
        <f>S1MAData!R14</f>
        <v>0</v>
      </c>
      <c r="V2090" s="940"/>
      <c r="W2090" s="940"/>
      <c r="X2090" s="940">
        <f>S1MAData!S14</f>
        <v>0</v>
      </c>
      <c r="Y2090" s="940"/>
      <c r="Z2090" s="940"/>
      <c r="AA2090" s="940">
        <f t="shared" si="41"/>
        <v>0</v>
      </c>
      <c r="AB2090" s="940"/>
      <c r="AC2090" s="940"/>
      <c r="AD2090" s="940"/>
      <c r="AE2090" s="871">
        <f>S1MAData!U14</f>
        <v>0</v>
      </c>
      <c r="AF2090" s="871"/>
      <c r="AG2090" s="529"/>
      <c r="AH2090" s="518"/>
      <c r="AJ2090" s="595" t="b">
        <f t="shared" si="42"/>
        <v>0</v>
      </c>
    </row>
    <row r="2091" spans="1:36" hidden="1" x14ac:dyDescent="0.45">
      <c r="A2091" s="518"/>
      <c r="B2091" s="514" t="s">
        <v>1417</v>
      </c>
      <c r="C2091" s="530"/>
      <c r="D2091" s="530"/>
      <c r="E2091" s="530"/>
      <c r="F2091" s="530"/>
      <c r="G2091" s="885" t="str">
        <f>IF(S1MAData!N15=0,"",SUBSTITUTE(SUBSTITUTE(S1MAData!N15,"Acquired and Rehabilitated Housing","A/R"),"Newly Constructed Housing","N/C"))</f>
        <v/>
      </c>
      <c r="H2091" s="885"/>
      <c r="I2091" s="583" t="str">
        <f>IF(S1MAData!AM15=0,"",LEFT(S1MAData!AM15,1))</f>
        <v/>
      </c>
      <c r="J2091" s="583" t="str">
        <f>IF(S1MAData!L15=0,"",LEFT(S1MAData!L15,1))</f>
        <v/>
      </c>
      <c r="K2091" s="939">
        <f>S1MAData!O15</f>
        <v>0</v>
      </c>
      <c r="L2091" s="1181"/>
      <c r="M2091" s="940">
        <f>S1MAData!P15</f>
        <v>0</v>
      </c>
      <c r="N2091" s="940"/>
      <c r="O2091" s="940"/>
      <c r="P2091" s="940"/>
      <c r="Q2091" s="940">
        <f>S1MAData!Q15</f>
        <v>0</v>
      </c>
      <c r="R2091" s="940"/>
      <c r="S2091" s="940"/>
      <c r="T2091" s="940"/>
      <c r="U2091" s="940">
        <f>S1MAData!R15</f>
        <v>0</v>
      </c>
      <c r="V2091" s="940"/>
      <c r="W2091" s="940"/>
      <c r="X2091" s="940">
        <f>S1MAData!S15</f>
        <v>0</v>
      </c>
      <c r="Y2091" s="940"/>
      <c r="Z2091" s="940"/>
      <c r="AA2091" s="940">
        <f t="shared" si="41"/>
        <v>0</v>
      </c>
      <c r="AB2091" s="940"/>
      <c r="AC2091" s="940"/>
      <c r="AD2091" s="940"/>
      <c r="AE2091" s="871">
        <f>S1MAData!U15</f>
        <v>0</v>
      </c>
      <c r="AF2091" s="871"/>
      <c r="AG2091" s="529"/>
      <c r="AH2091" s="518"/>
      <c r="AJ2091" s="595" t="b">
        <f t="shared" si="42"/>
        <v>0</v>
      </c>
    </row>
    <row r="2092" spans="1:36" hidden="1" x14ac:dyDescent="0.45">
      <c r="A2092" s="518"/>
      <c r="B2092" s="514" t="s">
        <v>1418</v>
      </c>
      <c r="C2092" s="530"/>
      <c r="D2092" s="530"/>
      <c r="E2092" s="530"/>
      <c r="F2092" s="530"/>
      <c r="G2092" s="885" t="str">
        <f>IF(S1MAData!N16=0,"",SUBSTITUTE(SUBSTITUTE(S1MAData!N16,"Acquired and Rehabilitated Housing","A/R"),"Newly Constructed Housing","N/C"))</f>
        <v/>
      </c>
      <c r="H2092" s="885"/>
      <c r="I2092" s="583" t="str">
        <f>IF(S1MAData!AM16=0,"",LEFT(S1MAData!AM16,1))</f>
        <v/>
      </c>
      <c r="J2092" s="583" t="str">
        <f>IF(S1MAData!L16=0,"",LEFT(S1MAData!L16,1))</f>
        <v/>
      </c>
      <c r="K2092" s="939">
        <f>S1MAData!O16</f>
        <v>0</v>
      </c>
      <c r="L2092" s="1181"/>
      <c r="M2092" s="940">
        <f>S1MAData!P16</f>
        <v>0</v>
      </c>
      <c r="N2092" s="940"/>
      <c r="O2092" s="940"/>
      <c r="P2092" s="940"/>
      <c r="Q2092" s="940">
        <f>S1MAData!Q16</f>
        <v>0</v>
      </c>
      <c r="R2092" s="940"/>
      <c r="S2092" s="940"/>
      <c r="T2092" s="940"/>
      <c r="U2092" s="940">
        <f>S1MAData!R16</f>
        <v>0</v>
      </c>
      <c r="V2092" s="940"/>
      <c r="W2092" s="940"/>
      <c r="X2092" s="940">
        <f>S1MAData!S16</f>
        <v>0</v>
      </c>
      <c r="Y2092" s="940"/>
      <c r="Z2092" s="940"/>
      <c r="AA2092" s="940">
        <f t="shared" si="41"/>
        <v>0</v>
      </c>
      <c r="AB2092" s="940"/>
      <c r="AC2092" s="940"/>
      <c r="AD2092" s="940"/>
      <c r="AE2092" s="871">
        <f>S1MAData!U16</f>
        <v>0</v>
      </c>
      <c r="AF2092" s="871"/>
      <c r="AG2092" s="529"/>
      <c r="AH2092" s="518"/>
      <c r="AJ2092" s="595" t="b">
        <f t="shared" si="42"/>
        <v>0</v>
      </c>
    </row>
    <row r="2093" spans="1:36" hidden="1" x14ac:dyDescent="0.45">
      <c r="A2093" s="518"/>
      <c r="B2093" s="514" t="s">
        <v>1419</v>
      </c>
      <c r="C2093" s="530"/>
      <c r="D2093" s="530"/>
      <c r="E2093" s="530"/>
      <c r="F2093" s="530"/>
      <c r="G2093" s="885" t="str">
        <f>IF(S1MAData!N17=0,"",SUBSTITUTE(SUBSTITUTE(S1MAData!N17,"Acquired and Rehabilitated Housing","A/R"),"Newly Constructed Housing","N/C"))</f>
        <v/>
      </c>
      <c r="H2093" s="885"/>
      <c r="I2093" s="583" t="str">
        <f>IF(S1MAData!AM17=0,"",LEFT(S1MAData!AM17,1))</f>
        <v/>
      </c>
      <c r="J2093" s="583" t="str">
        <f>IF(S1MAData!L17=0,"",LEFT(S1MAData!L17,1))</f>
        <v/>
      </c>
      <c r="K2093" s="939">
        <f>S1MAData!O17</f>
        <v>0</v>
      </c>
      <c r="L2093" s="1181"/>
      <c r="M2093" s="940">
        <f>S1MAData!P17</f>
        <v>0</v>
      </c>
      <c r="N2093" s="940"/>
      <c r="O2093" s="940"/>
      <c r="P2093" s="940"/>
      <c r="Q2093" s="940">
        <f>S1MAData!Q17</f>
        <v>0</v>
      </c>
      <c r="R2093" s="940"/>
      <c r="S2093" s="940"/>
      <c r="T2093" s="940"/>
      <c r="U2093" s="940">
        <f>S1MAData!R17</f>
        <v>0</v>
      </c>
      <c r="V2093" s="940"/>
      <c r="W2093" s="940"/>
      <c r="X2093" s="940">
        <f>S1MAData!S17</f>
        <v>0</v>
      </c>
      <c r="Y2093" s="940"/>
      <c r="Z2093" s="940"/>
      <c r="AA2093" s="940">
        <f t="shared" si="41"/>
        <v>0</v>
      </c>
      <c r="AB2093" s="940"/>
      <c r="AC2093" s="940"/>
      <c r="AD2093" s="940"/>
      <c r="AE2093" s="871">
        <f>S1MAData!U17</f>
        <v>0</v>
      </c>
      <c r="AF2093" s="871"/>
      <c r="AG2093" s="529"/>
      <c r="AH2093" s="518"/>
      <c r="AJ2093" s="595" t="b">
        <f t="shared" si="42"/>
        <v>0</v>
      </c>
    </row>
    <row r="2094" spans="1:36" hidden="1" x14ac:dyDescent="0.45">
      <c r="A2094" s="518"/>
      <c r="B2094" s="514" t="s">
        <v>1420</v>
      </c>
      <c r="C2094" s="530"/>
      <c r="D2094" s="530"/>
      <c r="E2094" s="530"/>
      <c r="F2094" s="530"/>
      <c r="G2094" s="885" t="str">
        <f>IF(S1MAData!N18=0,"",SUBSTITUTE(SUBSTITUTE(S1MAData!N18,"Acquired and Rehabilitated Housing","A/R"),"Newly Constructed Housing","N/C"))</f>
        <v/>
      </c>
      <c r="H2094" s="885"/>
      <c r="I2094" s="583" t="str">
        <f>IF(S1MAData!AM18=0,"",LEFT(S1MAData!AM18,1))</f>
        <v/>
      </c>
      <c r="J2094" s="583" t="str">
        <f>IF(S1MAData!L18=0,"",LEFT(S1MAData!L18,1))</f>
        <v/>
      </c>
      <c r="K2094" s="939">
        <f>S1MAData!O18</f>
        <v>0</v>
      </c>
      <c r="L2094" s="1181"/>
      <c r="M2094" s="940">
        <f>S1MAData!P18</f>
        <v>0</v>
      </c>
      <c r="N2094" s="940"/>
      <c r="O2094" s="940"/>
      <c r="P2094" s="940"/>
      <c r="Q2094" s="940">
        <f>S1MAData!Q18</f>
        <v>0</v>
      </c>
      <c r="R2094" s="940"/>
      <c r="S2094" s="940"/>
      <c r="T2094" s="940"/>
      <c r="U2094" s="940">
        <f>S1MAData!R18</f>
        <v>0</v>
      </c>
      <c r="V2094" s="940"/>
      <c r="W2094" s="940"/>
      <c r="X2094" s="940">
        <f>S1MAData!S18</f>
        <v>0</v>
      </c>
      <c r="Y2094" s="940"/>
      <c r="Z2094" s="940"/>
      <c r="AA2094" s="940">
        <f t="shared" si="41"/>
        <v>0</v>
      </c>
      <c r="AB2094" s="940"/>
      <c r="AC2094" s="940"/>
      <c r="AD2094" s="940"/>
      <c r="AE2094" s="871">
        <f>S1MAData!U18</f>
        <v>0</v>
      </c>
      <c r="AF2094" s="871"/>
      <c r="AG2094" s="529"/>
      <c r="AH2094" s="518"/>
      <c r="AJ2094" s="595" t="b">
        <f t="shared" si="42"/>
        <v>0</v>
      </c>
    </row>
    <row r="2095" spans="1:36" hidden="1" x14ac:dyDescent="0.45">
      <c r="A2095" s="518"/>
      <c r="B2095" s="514" t="s">
        <v>1421</v>
      </c>
      <c r="C2095" s="530"/>
      <c r="D2095" s="530"/>
      <c r="E2095" s="530"/>
      <c r="F2095" s="530"/>
      <c r="G2095" s="885" t="str">
        <f>IF(S1MAData!N19=0,"",SUBSTITUTE(SUBSTITUTE(S1MAData!N19,"Acquired and Rehabilitated Housing","A/R"),"Newly Constructed Housing","N/C"))</f>
        <v/>
      </c>
      <c r="H2095" s="885"/>
      <c r="I2095" s="583" t="str">
        <f>IF(S1MAData!AM19=0,"",LEFT(S1MAData!AM19,1))</f>
        <v/>
      </c>
      <c r="J2095" s="583" t="str">
        <f>IF(S1MAData!L19=0,"",LEFT(S1MAData!L19,1))</f>
        <v/>
      </c>
      <c r="K2095" s="939">
        <f>S1MAData!O19</f>
        <v>0</v>
      </c>
      <c r="L2095" s="1181"/>
      <c r="M2095" s="940">
        <f>S1MAData!P19</f>
        <v>0</v>
      </c>
      <c r="N2095" s="940"/>
      <c r="O2095" s="940"/>
      <c r="P2095" s="940"/>
      <c r="Q2095" s="940">
        <f>S1MAData!Q19</f>
        <v>0</v>
      </c>
      <c r="R2095" s="940"/>
      <c r="S2095" s="940"/>
      <c r="T2095" s="940"/>
      <c r="U2095" s="940">
        <f>S1MAData!R19</f>
        <v>0</v>
      </c>
      <c r="V2095" s="940"/>
      <c r="W2095" s="940"/>
      <c r="X2095" s="940">
        <f>S1MAData!S19</f>
        <v>0</v>
      </c>
      <c r="Y2095" s="940"/>
      <c r="Z2095" s="940"/>
      <c r="AA2095" s="940">
        <f t="shared" si="41"/>
        <v>0</v>
      </c>
      <c r="AB2095" s="940"/>
      <c r="AC2095" s="940"/>
      <c r="AD2095" s="940"/>
      <c r="AE2095" s="871">
        <f>S1MAData!U19</f>
        <v>0</v>
      </c>
      <c r="AF2095" s="871"/>
      <c r="AG2095" s="529"/>
      <c r="AH2095" s="518"/>
      <c r="AJ2095" s="595" t="b">
        <f t="shared" si="42"/>
        <v>0</v>
      </c>
    </row>
    <row r="2096" spans="1:36" hidden="1" x14ac:dyDescent="0.45">
      <c r="A2096" s="518"/>
      <c r="B2096" s="514" t="s">
        <v>1422</v>
      </c>
      <c r="C2096" s="530"/>
      <c r="D2096" s="530"/>
      <c r="E2096" s="530"/>
      <c r="F2096" s="530"/>
      <c r="G2096" s="885" t="str">
        <f>IF(S1MAData!N20=0,"",SUBSTITUTE(SUBSTITUTE(S1MAData!N20,"Acquired and Rehabilitated Housing","A/R"),"Newly Constructed Housing","N/C"))</f>
        <v/>
      </c>
      <c r="H2096" s="885"/>
      <c r="I2096" s="583" t="str">
        <f>IF(S1MAData!AM20=0,"",LEFT(S1MAData!AM20,1))</f>
        <v/>
      </c>
      <c r="J2096" s="583" t="str">
        <f>IF(S1MAData!L20=0,"",LEFT(S1MAData!L20,1))</f>
        <v/>
      </c>
      <c r="K2096" s="939">
        <f>S1MAData!O20</f>
        <v>0</v>
      </c>
      <c r="L2096" s="1181"/>
      <c r="M2096" s="940">
        <f>S1MAData!P20</f>
        <v>0</v>
      </c>
      <c r="N2096" s="940"/>
      <c r="O2096" s="940"/>
      <c r="P2096" s="940"/>
      <c r="Q2096" s="940">
        <f>S1MAData!Q20</f>
        <v>0</v>
      </c>
      <c r="R2096" s="940"/>
      <c r="S2096" s="940"/>
      <c r="T2096" s="940"/>
      <c r="U2096" s="940">
        <f>S1MAData!R20</f>
        <v>0</v>
      </c>
      <c r="V2096" s="940"/>
      <c r="W2096" s="940"/>
      <c r="X2096" s="940">
        <f>S1MAData!S20</f>
        <v>0</v>
      </c>
      <c r="Y2096" s="940"/>
      <c r="Z2096" s="940"/>
      <c r="AA2096" s="940">
        <f t="shared" si="41"/>
        <v>0</v>
      </c>
      <c r="AB2096" s="940"/>
      <c r="AC2096" s="940"/>
      <c r="AD2096" s="940"/>
      <c r="AE2096" s="871">
        <f>S1MAData!U20</f>
        <v>0</v>
      </c>
      <c r="AF2096" s="871"/>
      <c r="AG2096" s="529"/>
      <c r="AH2096" s="518"/>
      <c r="AJ2096" s="595" t="b">
        <f t="shared" si="42"/>
        <v>0</v>
      </c>
    </row>
    <row r="2097" spans="1:36" hidden="1" x14ac:dyDescent="0.45">
      <c r="A2097" s="518"/>
      <c r="B2097" s="514" t="s">
        <v>1423</v>
      </c>
      <c r="C2097" s="530"/>
      <c r="D2097" s="530"/>
      <c r="E2097" s="530"/>
      <c r="F2097" s="530"/>
      <c r="G2097" s="885" t="str">
        <f>IF(S1MAData!N21=0,"",SUBSTITUTE(SUBSTITUTE(S1MAData!N21,"Acquired and Rehabilitated Housing","A/R"),"Newly Constructed Housing","N/C"))</f>
        <v/>
      </c>
      <c r="H2097" s="885"/>
      <c r="I2097" s="583" t="str">
        <f>IF(S1MAData!AM21=0,"",LEFT(S1MAData!AM21,1))</f>
        <v/>
      </c>
      <c r="J2097" s="583" t="str">
        <f>IF(S1MAData!L21=0,"",LEFT(S1MAData!L21,1))</f>
        <v/>
      </c>
      <c r="K2097" s="939">
        <f>S1MAData!O21</f>
        <v>0</v>
      </c>
      <c r="L2097" s="1181"/>
      <c r="M2097" s="940">
        <f>S1MAData!P21</f>
        <v>0</v>
      </c>
      <c r="N2097" s="940"/>
      <c r="O2097" s="940"/>
      <c r="P2097" s="940"/>
      <c r="Q2097" s="940">
        <f>S1MAData!Q21</f>
        <v>0</v>
      </c>
      <c r="R2097" s="940"/>
      <c r="S2097" s="940"/>
      <c r="T2097" s="940"/>
      <c r="U2097" s="940">
        <f>S1MAData!R21</f>
        <v>0</v>
      </c>
      <c r="V2097" s="940"/>
      <c r="W2097" s="940"/>
      <c r="X2097" s="940">
        <f>S1MAData!S21</f>
        <v>0</v>
      </c>
      <c r="Y2097" s="940"/>
      <c r="Z2097" s="940"/>
      <c r="AA2097" s="940">
        <f t="shared" si="41"/>
        <v>0</v>
      </c>
      <c r="AB2097" s="940"/>
      <c r="AC2097" s="940"/>
      <c r="AD2097" s="940"/>
      <c r="AE2097" s="871">
        <f>S1MAData!U21</f>
        <v>0</v>
      </c>
      <c r="AF2097" s="871"/>
      <c r="AG2097" s="529"/>
      <c r="AH2097" s="518"/>
      <c r="AJ2097" s="595" t="b">
        <f t="shared" si="42"/>
        <v>0</v>
      </c>
    </row>
    <row r="2098" spans="1:36" hidden="1" x14ac:dyDescent="0.45">
      <c r="A2098" s="518"/>
      <c r="B2098" s="514" t="s">
        <v>1424</v>
      </c>
      <c r="C2098" s="530"/>
      <c r="D2098" s="530"/>
      <c r="E2098" s="530"/>
      <c r="F2098" s="530"/>
      <c r="G2098" s="885" t="str">
        <f>IF(S1MAData!N22=0,"",SUBSTITUTE(SUBSTITUTE(S1MAData!N22,"Acquired and Rehabilitated Housing","A/R"),"Newly Constructed Housing","N/C"))</f>
        <v/>
      </c>
      <c r="H2098" s="885"/>
      <c r="I2098" s="583" t="str">
        <f>IF(S1MAData!AM22=0,"",LEFT(S1MAData!AM22,1))</f>
        <v/>
      </c>
      <c r="J2098" s="583" t="str">
        <f>IF(S1MAData!L22=0,"",LEFT(S1MAData!L22,1))</f>
        <v/>
      </c>
      <c r="K2098" s="939">
        <f>S1MAData!O22</f>
        <v>0</v>
      </c>
      <c r="L2098" s="1181"/>
      <c r="M2098" s="940">
        <f>S1MAData!P22</f>
        <v>0</v>
      </c>
      <c r="N2098" s="940"/>
      <c r="O2098" s="940"/>
      <c r="P2098" s="940"/>
      <c r="Q2098" s="940">
        <f>S1MAData!Q22</f>
        <v>0</v>
      </c>
      <c r="R2098" s="940"/>
      <c r="S2098" s="940"/>
      <c r="T2098" s="940"/>
      <c r="U2098" s="940">
        <f>S1MAData!R22</f>
        <v>0</v>
      </c>
      <c r="V2098" s="940"/>
      <c r="W2098" s="940"/>
      <c r="X2098" s="940">
        <f>S1MAData!S22</f>
        <v>0</v>
      </c>
      <c r="Y2098" s="940"/>
      <c r="Z2098" s="940"/>
      <c r="AA2098" s="940">
        <f t="shared" si="41"/>
        <v>0</v>
      </c>
      <c r="AB2098" s="940"/>
      <c r="AC2098" s="940"/>
      <c r="AD2098" s="940"/>
      <c r="AE2098" s="871">
        <f>S1MAData!U22</f>
        <v>0</v>
      </c>
      <c r="AF2098" s="871"/>
      <c r="AG2098" s="529"/>
      <c r="AH2098" s="518"/>
      <c r="AJ2098" s="595" t="b">
        <f t="shared" si="42"/>
        <v>0</v>
      </c>
    </row>
    <row r="2099" spans="1:36" hidden="1" x14ac:dyDescent="0.45">
      <c r="A2099" s="518"/>
      <c r="B2099" s="514" t="s">
        <v>1425</v>
      </c>
      <c r="C2099" s="530"/>
      <c r="D2099" s="530"/>
      <c r="E2099" s="530"/>
      <c r="F2099" s="530"/>
      <c r="G2099" s="885" t="str">
        <f>IF(S1MAData!N23=0,"",SUBSTITUTE(SUBSTITUTE(S1MAData!N23,"Acquired and Rehabilitated Housing","A/R"),"Newly Constructed Housing","N/C"))</f>
        <v/>
      </c>
      <c r="H2099" s="885"/>
      <c r="I2099" s="583" t="str">
        <f>IF(S1MAData!AM23=0,"",LEFT(S1MAData!AM23,1))</f>
        <v/>
      </c>
      <c r="J2099" s="583" t="str">
        <f>IF(S1MAData!L23=0,"",LEFT(S1MAData!L23,1))</f>
        <v/>
      </c>
      <c r="K2099" s="939">
        <f>S1MAData!O23</f>
        <v>0</v>
      </c>
      <c r="L2099" s="1181"/>
      <c r="M2099" s="940">
        <f>S1MAData!P23</f>
        <v>0</v>
      </c>
      <c r="N2099" s="940"/>
      <c r="O2099" s="940"/>
      <c r="P2099" s="940"/>
      <c r="Q2099" s="940">
        <f>S1MAData!Q23</f>
        <v>0</v>
      </c>
      <c r="R2099" s="940"/>
      <c r="S2099" s="940"/>
      <c r="T2099" s="940"/>
      <c r="U2099" s="940">
        <f>S1MAData!R23</f>
        <v>0</v>
      </c>
      <c r="V2099" s="940"/>
      <c r="W2099" s="940"/>
      <c r="X2099" s="940">
        <f>S1MAData!S23</f>
        <v>0</v>
      </c>
      <c r="Y2099" s="940"/>
      <c r="Z2099" s="940"/>
      <c r="AA2099" s="940">
        <f t="shared" si="41"/>
        <v>0</v>
      </c>
      <c r="AB2099" s="940"/>
      <c r="AC2099" s="940"/>
      <c r="AD2099" s="940"/>
      <c r="AE2099" s="871">
        <f>S1MAData!U23</f>
        <v>0</v>
      </c>
      <c r="AF2099" s="871"/>
      <c r="AG2099" s="529"/>
      <c r="AH2099" s="518"/>
      <c r="AJ2099" s="595" t="b">
        <f t="shared" si="42"/>
        <v>0</v>
      </c>
    </row>
    <row r="2100" spans="1:36" hidden="1" x14ac:dyDescent="0.45">
      <c r="A2100" s="518"/>
      <c r="B2100" s="514" t="s">
        <v>1426</v>
      </c>
      <c r="C2100" s="530"/>
      <c r="D2100" s="530"/>
      <c r="E2100" s="530"/>
      <c r="F2100" s="530"/>
      <c r="G2100" s="885" t="str">
        <f>IF(S1MAData!N24=0,"",SUBSTITUTE(SUBSTITUTE(S1MAData!N24,"Acquired and Rehabilitated Housing","A/R"),"Newly Constructed Housing","N/C"))</f>
        <v/>
      </c>
      <c r="H2100" s="885"/>
      <c r="I2100" s="583" t="str">
        <f>IF(S1MAData!AM24=0,"",LEFT(S1MAData!AM24,1))</f>
        <v/>
      </c>
      <c r="J2100" s="583" t="str">
        <f>IF(S1MAData!L24=0,"",LEFT(S1MAData!L24,1))</f>
        <v/>
      </c>
      <c r="K2100" s="939">
        <f>S1MAData!O24</f>
        <v>0</v>
      </c>
      <c r="L2100" s="1181"/>
      <c r="M2100" s="940">
        <f>S1MAData!P24</f>
        <v>0</v>
      </c>
      <c r="N2100" s="940"/>
      <c r="O2100" s="940"/>
      <c r="P2100" s="940"/>
      <c r="Q2100" s="940">
        <f>S1MAData!Q24</f>
        <v>0</v>
      </c>
      <c r="R2100" s="940"/>
      <c r="S2100" s="940"/>
      <c r="T2100" s="940"/>
      <c r="U2100" s="940">
        <f>S1MAData!R24</f>
        <v>0</v>
      </c>
      <c r="V2100" s="940"/>
      <c r="W2100" s="940"/>
      <c r="X2100" s="940">
        <f>S1MAData!S24</f>
        <v>0</v>
      </c>
      <c r="Y2100" s="940"/>
      <c r="Z2100" s="940"/>
      <c r="AA2100" s="940">
        <f t="shared" si="41"/>
        <v>0</v>
      </c>
      <c r="AB2100" s="940"/>
      <c r="AC2100" s="940"/>
      <c r="AD2100" s="940"/>
      <c r="AE2100" s="871">
        <f>S1MAData!U24</f>
        <v>0</v>
      </c>
      <c r="AF2100" s="871"/>
      <c r="AG2100" s="529"/>
      <c r="AH2100" s="518"/>
      <c r="AJ2100" s="595" t="b">
        <f t="shared" si="42"/>
        <v>0</v>
      </c>
    </row>
    <row r="2101" spans="1:36" hidden="1" x14ac:dyDescent="0.45">
      <c r="A2101" s="518"/>
      <c r="B2101" s="514" t="s">
        <v>1427</v>
      </c>
      <c r="C2101" s="530"/>
      <c r="D2101" s="530"/>
      <c r="E2101" s="530"/>
      <c r="F2101" s="530"/>
      <c r="G2101" s="885" t="str">
        <f>IF(S1MAData!N25=0,"",SUBSTITUTE(SUBSTITUTE(S1MAData!N25,"Acquired and Rehabilitated Housing","A/R"),"Newly Constructed Housing","N/C"))</f>
        <v/>
      </c>
      <c r="H2101" s="885"/>
      <c r="I2101" s="583" t="str">
        <f>IF(S1MAData!AM25=0,"",LEFT(S1MAData!AM25,1))</f>
        <v/>
      </c>
      <c r="J2101" s="583" t="str">
        <f>IF(S1MAData!L25=0,"",LEFT(S1MAData!L25,1))</f>
        <v/>
      </c>
      <c r="K2101" s="939">
        <f>S1MAData!O25</f>
        <v>0</v>
      </c>
      <c r="L2101" s="1181"/>
      <c r="M2101" s="940">
        <f>S1MAData!P25</f>
        <v>0</v>
      </c>
      <c r="N2101" s="940"/>
      <c r="O2101" s="940"/>
      <c r="P2101" s="940"/>
      <c r="Q2101" s="940">
        <f>S1MAData!Q25</f>
        <v>0</v>
      </c>
      <c r="R2101" s="940"/>
      <c r="S2101" s="940"/>
      <c r="T2101" s="940"/>
      <c r="U2101" s="940">
        <f>S1MAData!R25</f>
        <v>0</v>
      </c>
      <c r="V2101" s="940"/>
      <c r="W2101" s="940"/>
      <c r="X2101" s="940">
        <f>S1MAData!S25</f>
        <v>0</v>
      </c>
      <c r="Y2101" s="940"/>
      <c r="Z2101" s="940"/>
      <c r="AA2101" s="940">
        <f t="shared" si="41"/>
        <v>0</v>
      </c>
      <c r="AB2101" s="940"/>
      <c r="AC2101" s="940"/>
      <c r="AD2101" s="940"/>
      <c r="AE2101" s="871">
        <f>S1MAData!U25</f>
        <v>0</v>
      </c>
      <c r="AF2101" s="871"/>
      <c r="AG2101" s="529"/>
      <c r="AH2101" s="518"/>
      <c r="AJ2101" s="595" t="b">
        <f t="shared" si="42"/>
        <v>0</v>
      </c>
    </row>
    <row r="2102" spans="1:36" hidden="1" x14ac:dyDescent="0.45">
      <c r="A2102" s="518"/>
      <c r="B2102" s="514" t="s">
        <v>1428</v>
      </c>
      <c r="C2102" s="530"/>
      <c r="D2102" s="530"/>
      <c r="E2102" s="530"/>
      <c r="F2102" s="530"/>
      <c r="G2102" s="885" t="str">
        <f>IF(S1MAData!N26=0,"",SUBSTITUTE(SUBSTITUTE(S1MAData!N26,"Acquired and Rehabilitated Housing","A/R"),"Newly Constructed Housing","N/C"))</f>
        <v/>
      </c>
      <c r="H2102" s="885"/>
      <c r="I2102" s="583" t="str">
        <f>IF(S1MAData!AM26=0,"",LEFT(S1MAData!AM26,1))</f>
        <v/>
      </c>
      <c r="J2102" s="583" t="str">
        <f>IF(S1MAData!L26=0,"",LEFT(S1MAData!L26,1))</f>
        <v/>
      </c>
      <c r="K2102" s="939">
        <f>S1MAData!O26</f>
        <v>0</v>
      </c>
      <c r="L2102" s="1181"/>
      <c r="M2102" s="940">
        <f>S1MAData!P26</f>
        <v>0</v>
      </c>
      <c r="N2102" s="940"/>
      <c r="O2102" s="940"/>
      <c r="P2102" s="940"/>
      <c r="Q2102" s="940">
        <f>S1MAData!Q26</f>
        <v>0</v>
      </c>
      <c r="R2102" s="940"/>
      <c r="S2102" s="940"/>
      <c r="T2102" s="940"/>
      <c r="U2102" s="940">
        <f>S1MAData!R26</f>
        <v>0</v>
      </c>
      <c r="V2102" s="940"/>
      <c r="W2102" s="940"/>
      <c r="X2102" s="940">
        <f>S1MAData!S26</f>
        <v>0</v>
      </c>
      <c r="Y2102" s="940"/>
      <c r="Z2102" s="940"/>
      <c r="AA2102" s="940">
        <f t="shared" si="41"/>
        <v>0</v>
      </c>
      <c r="AB2102" s="940"/>
      <c r="AC2102" s="940"/>
      <c r="AD2102" s="940"/>
      <c r="AE2102" s="871">
        <f>S1MAData!U26</f>
        <v>0</v>
      </c>
      <c r="AF2102" s="871"/>
      <c r="AG2102" s="529"/>
      <c r="AH2102" s="518"/>
      <c r="AJ2102" s="595" t="b">
        <f t="shared" si="42"/>
        <v>0</v>
      </c>
    </row>
    <row r="2103" spans="1:36" hidden="1" x14ac:dyDescent="0.45">
      <c r="A2103" s="518"/>
      <c r="B2103" s="514" t="s">
        <v>1429</v>
      </c>
      <c r="C2103" s="530"/>
      <c r="D2103" s="530"/>
      <c r="E2103" s="530"/>
      <c r="F2103" s="530"/>
      <c r="G2103" s="885" t="str">
        <f>IF(S1MAData!N27=0,"",SUBSTITUTE(SUBSTITUTE(S1MAData!N27,"Acquired and Rehabilitated Housing","A/R"),"Newly Constructed Housing","N/C"))</f>
        <v/>
      </c>
      <c r="H2103" s="885"/>
      <c r="I2103" s="583" t="str">
        <f>IF(S1MAData!AM27=0,"",LEFT(S1MAData!AM27,1))</f>
        <v/>
      </c>
      <c r="J2103" s="583" t="str">
        <f>IF(S1MAData!L27=0,"",LEFT(S1MAData!L27,1))</f>
        <v/>
      </c>
      <c r="K2103" s="939">
        <f>S1MAData!O27</f>
        <v>0</v>
      </c>
      <c r="L2103" s="1181"/>
      <c r="M2103" s="940">
        <f>S1MAData!P27</f>
        <v>0</v>
      </c>
      <c r="N2103" s="940"/>
      <c r="O2103" s="940"/>
      <c r="P2103" s="940"/>
      <c r="Q2103" s="940">
        <f>S1MAData!Q27</f>
        <v>0</v>
      </c>
      <c r="R2103" s="940"/>
      <c r="S2103" s="940"/>
      <c r="T2103" s="940"/>
      <c r="U2103" s="940">
        <f>S1MAData!R27</f>
        <v>0</v>
      </c>
      <c r="V2103" s="940"/>
      <c r="W2103" s="940"/>
      <c r="X2103" s="940">
        <f>S1MAData!S27</f>
        <v>0</v>
      </c>
      <c r="Y2103" s="940"/>
      <c r="Z2103" s="940"/>
      <c r="AA2103" s="940">
        <f t="shared" si="41"/>
        <v>0</v>
      </c>
      <c r="AB2103" s="940"/>
      <c r="AC2103" s="940"/>
      <c r="AD2103" s="940"/>
      <c r="AE2103" s="871">
        <f>S1MAData!U27</f>
        <v>0</v>
      </c>
      <c r="AF2103" s="871"/>
      <c r="AG2103" s="529"/>
      <c r="AH2103" s="518"/>
      <c r="AJ2103" s="595" t="b">
        <f t="shared" si="42"/>
        <v>0</v>
      </c>
    </row>
    <row r="2104" spans="1:36" hidden="1" x14ac:dyDescent="0.45">
      <c r="A2104" s="518"/>
      <c r="B2104" s="514" t="s">
        <v>1430</v>
      </c>
      <c r="C2104" s="530"/>
      <c r="D2104" s="530"/>
      <c r="E2104" s="530"/>
      <c r="F2104" s="530"/>
      <c r="G2104" s="885" t="str">
        <f>IF(S1MAData!N28=0,"",SUBSTITUTE(SUBSTITUTE(S1MAData!N28,"Acquired and Rehabilitated Housing","A/R"),"Newly Constructed Housing","N/C"))</f>
        <v/>
      </c>
      <c r="H2104" s="885"/>
      <c r="I2104" s="583" t="str">
        <f>IF(S1MAData!AM28=0,"",LEFT(S1MAData!AM28,1))</f>
        <v/>
      </c>
      <c r="J2104" s="583" t="str">
        <f>IF(S1MAData!L28=0,"",LEFT(S1MAData!L28,1))</f>
        <v/>
      </c>
      <c r="K2104" s="939">
        <f>S1MAData!O28</f>
        <v>0</v>
      </c>
      <c r="L2104" s="1181"/>
      <c r="M2104" s="940">
        <f>S1MAData!P28</f>
        <v>0</v>
      </c>
      <c r="N2104" s="940"/>
      <c r="O2104" s="940"/>
      <c r="P2104" s="940"/>
      <c r="Q2104" s="940">
        <f>S1MAData!Q28</f>
        <v>0</v>
      </c>
      <c r="R2104" s="940"/>
      <c r="S2104" s="940"/>
      <c r="T2104" s="940"/>
      <c r="U2104" s="940">
        <f>S1MAData!R28</f>
        <v>0</v>
      </c>
      <c r="V2104" s="940"/>
      <c r="W2104" s="940"/>
      <c r="X2104" s="940">
        <f>S1MAData!S28</f>
        <v>0</v>
      </c>
      <c r="Y2104" s="940"/>
      <c r="Z2104" s="940"/>
      <c r="AA2104" s="940">
        <f t="shared" si="41"/>
        <v>0</v>
      </c>
      <c r="AB2104" s="940"/>
      <c r="AC2104" s="940"/>
      <c r="AD2104" s="940"/>
      <c r="AE2104" s="871">
        <f>S1MAData!U28</f>
        <v>0</v>
      </c>
      <c r="AF2104" s="871"/>
      <c r="AG2104" s="529"/>
      <c r="AH2104" s="518"/>
      <c r="AJ2104" s="595" t="b">
        <f t="shared" si="42"/>
        <v>0</v>
      </c>
    </row>
    <row r="2105" spans="1:36" hidden="1" x14ac:dyDescent="0.45">
      <c r="A2105" s="518"/>
      <c r="B2105" s="514" t="s">
        <v>1431</v>
      </c>
      <c r="C2105" s="530"/>
      <c r="D2105" s="530"/>
      <c r="E2105" s="530"/>
      <c r="F2105" s="530"/>
      <c r="G2105" s="885" t="str">
        <f>IF(S1MAData!N29=0,"",SUBSTITUTE(SUBSTITUTE(S1MAData!N29,"Acquired and Rehabilitated Housing","A/R"),"Newly Constructed Housing","N/C"))</f>
        <v/>
      </c>
      <c r="H2105" s="885"/>
      <c r="I2105" s="583" t="str">
        <f>IF(S1MAData!AM29=0,"",LEFT(S1MAData!AM29,1))</f>
        <v/>
      </c>
      <c r="J2105" s="583" t="str">
        <f>IF(S1MAData!L29=0,"",LEFT(S1MAData!L29,1))</f>
        <v/>
      </c>
      <c r="K2105" s="939">
        <f>S1MAData!O29</f>
        <v>0</v>
      </c>
      <c r="L2105" s="1181"/>
      <c r="M2105" s="940">
        <f>S1MAData!P29</f>
        <v>0</v>
      </c>
      <c r="N2105" s="940"/>
      <c r="O2105" s="940"/>
      <c r="P2105" s="940"/>
      <c r="Q2105" s="940">
        <f>S1MAData!Q29</f>
        <v>0</v>
      </c>
      <c r="R2105" s="940"/>
      <c r="S2105" s="940"/>
      <c r="T2105" s="940"/>
      <c r="U2105" s="940">
        <f>S1MAData!R29</f>
        <v>0</v>
      </c>
      <c r="V2105" s="940"/>
      <c r="W2105" s="940"/>
      <c r="X2105" s="940">
        <f>S1MAData!S29</f>
        <v>0</v>
      </c>
      <c r="Y2105" s="940"/>
      <c r="Z2105" s="940"/>
      <c r="AA2105" s="940">
        <f t="shared" si="41"/>
        <v>0</v>
      </c>
      <c r="AB2105" s="940"/>
      <c r="AC2105" s="940"/>
      <c r="AD2105" s="940"/>
      <c r="AE2105" s="871">
        <f>S1MAData!U29</f>
        <v>0</v>
      </c>
      <c r="AF2105" s="871"/>
      <c r="AG2105" s="529"/>
      <c r="AH2105" s="518"/>
      <c r="AJ2105" s="595" t="b">
        <f t="shared" si="42"/>
        <v>0</v>
      </c>
    </row>
    <row r="2106" spans="1:36" hidden="1" x14ac:dyDescent="0.45">
      <c r="A2106" s="518"/>
      <c r="B2106" s="514" t="s">
        <v>1432</v>
      </c>
      <c r="C2106" s="530"/>
      <c r="D2106" s="530"/>
      <c r="E2106" s="530"/>
      <c r="F2106" s="530"/>
      <c r="G2106" s="885" t="str">
        <f>IF(S1MAData!N30=0,"",SUBSTITUTE(SUBSTITUTE(S1MAData!N30,"Acquired and Rehabilitated Housing","A/R"),"Newly Constructed Housing","N/C"))</f>
        <v/>
      </c>
      <c r="H2106" s="885"/>
      <c r="I2106" s="583" t="str">
        <f>IF(S1MAData!AM30=0,"",LEFT(S1MAData!AM30,1))</f>
        <v/>
      </c>
      <c r="J2106" s="583" t="str">
        <f>IF(S1MAData!L30=0,"",LEFT(S1MAData!L30,1))</f>
        <v/>
      </c>
      <c r="K2106" s="939">
        <f>S1MAData!O30</f>
        <v>0</v>
      </c>
      <c r="L2106" s="1181"/>
      <c r="M2106" s="940">
        <f>S1MAData!P30</f>
        <v>0</v>
      </c>
      <c r="N2106" s="940"/>
      <c r="O2106" s="940"/>
      <c r="P2106" s="940"/>
      <c r="Q2106" s="940">
        <f>S1MAData!Q30</f>
        <v>0</v>
      </c>
      <c r="R2106" s="940"/>
      <c r="S2106" s="940"/>
      <c r="T2106" s="940"/>
      <c r="U2106" s="940">
        <f>S1MAData!R30</f>
        <v>0</v>
      </c>
      <c r="V2106" s="940"/>
      <c r="W2106" s="940"/>
      <c r="X2106" s="940">
        <f>S1MAData!S30</f>
        <v>0</v>
      </c>
      <c r="Y2106" s="940"/>
      <c r="Z2106" s="940"/>
      <c r="AA2106" s="940">
        <f t="shared" si="41"/>
        <v>0</v>
      </c>
      <c r="AB2106" s="940"/>
      <c r="AC2106" s="940"/>
      <c r="AD2106" s="940"/>
      <c r="AE2106" s="871">
        <f>S1MAData!U30</f>
        <v>0</v>
      </c>
      <c r="AF2106" s="871"/>
      <c r="AG2106" s="529"/>
      <c r="AH2106" s="518"/>
      <c r="AJ2106" s="595" t="b">
        <f t="shared" si="42"/>
        <v>0</v>
      </c>
    </row>
    <row r="2107" spans="1:36" hidden="1" x14ac:dyDescent="0.45">
      <c r="A2107" s="518"/>
      <c r="B2107" s="514" t="s">
        <v>1433</v>
      </c>
      <c r="C2107" s="530"/>
      <c r="D2107" s="530"/>
      <c r="E2107" s="530"/>
      <c r="F2107" s="530"/>
      <c r="G2107" s="885" t="str">
        <f>IF(S1MAData!N31=0,"",SUBSTITUTE(SUBSTITUTE(S1MAData!N31,"Acquired and Rehabilitated Housing","A/R"),"Newly Constructed Housing","N/C"))</f>
        <v/>
      </c>
      <c r="H2107" s="885"/>
      <c r="I2107" s="583" t="str">
        <f>IF(S1MAData!AM31=0,"",LEFT(S1MAData!AM31,1))</f>
        <v/>
      </c>
      <c r="J2107" s="583" t="str">
        <f>IF(S1MAData!L31=0,"",LEFT(S1MAData!L31,1))</f>
        <v/>
      </c>
      <c r="K2107" s="939">
        <f>S1MAData!O31</f>
        <v>0</v>
      </c>
      <c r="L2107" s="1181"/>
      <c r="M2107" s="940">
        <f>S1MAData!P31</f>
        <v>0</v>
      </c>
      <c r="N2107" s="940"/>
      <c r="O2107" s="940"/>
      <c r="P2107" s="940"/>
      <c r="Q2107" s="940">
        <f>S1MAData!Q31</f>
        <v>0</v>
      </c>
      <c r="R2107" s="940"/>
      <c r="S2107" s="940"/>
      <c r="T2107" s="940"/>
      <c r="U2107" s="940">
        <f>S1MAData!R31</f>
        <v>0</v>
      </c>
      <c r="V2107" s="940"/>
      <c r="W2107" s="940"/>
      <c r="X2107" s="940">
        <f>S1MAData!S31</f>
        <v>0</v>
      </c>
      <c r="Y2107" s="940"/>
      <c r="Z2107" s="940"/>
      <c r="AA2107" s="940">
        <f t="shared" si="41"/>
        <v>0</v>
      </c>
      <c r="AB2107" s="940"/>
      <c r="AC2107" s="940"/>
      <c r="AD2107" s="940"/>
      <c r="AE2107" s="871">
        <f>S1MAData!U31</f>
        <v>0</v>
      </c>
      <c r="AF2107" s="871"/>
      <c r="AG2107" s="529"/>
      <c r="AH2107" s="518"/>
      <c r="AJ2107" s="595" t="b">
        <f t="shared" si="42"/>
        <v>0</v>
      </c>
    </row>
    <row r="2108" spans="1:36" hidden="1" x14ac:dyDescent="0.45">
      <c r="A2108" s="518"/>
      <c r="B2108" s="514" t="s">
        <v>1434</v>
      </c>
      <c r="C2108" s="530"/>
      <c r="D2108" s="530"/>
      <c r="E2108" s="530"/>
      <c r="F2108" s="530"/>
      <c r="G2108" s="885" t="str">
        <f>IF(S1MAData!N32=0,"",SUBSTITUTE(SUBSTITUTE(S1MAData!N32,"Acquired and Rehabilitated Housing","A/R"),"Newly Constructed Housing","N/C"))</f>
        <v/>
      </c>
      <c r="H2108" s="885"/>
      <c r="I2108" s="583" t="str">
        <f>IF(S1MAData!AM32=0,"",LEFT(S1MAData!AM32,1))</f>
        <v/>
      </c>
      <c r="J2108" s="583" t="str">
        <f>IF(S1MAData!L32=0,"",LEFT(S1MAData!L32,1))</f>
        <v/>
      </c>
      <c r="K2108" s="939">
        <f>S1MAData!O32</f>
        <v>0</v>
      </c>
      <c r="L2108" s="1181"/>
      <c r="M2108" s="940">
        <f>S1MAData!P32</f>
        <v>0</v>
      </c>
      <c r="N2108" s="940"/>
      <c r="O2108" s="940"/>
      <c r="P2108" s="940"/>
      <c r="Q2108" s="940">
        <f>S1MAData!Q32</f>
        <v>0</v>
      </c>
      <c r="R2108" s="940"/>
      <c r="S2108" s="940"/>
      <c r="T2108" s="940"/>
      <c r="U2108" s="940">
        <f>S1MAData!R32</f>
        <v>0</v>
      </c>
      <c r="V2108" s="940"/>
      <c r="W2108" s="940"/>
      <c r="X2108" s="940">
        <f>S1MAData!S32</f>
        <v>0</v>
      </c>
      <c r="Y2108" s="940"/>
      <c r="Z2108" s="940"/>
      <c r="AA2108" s="940">
        <f t="shared" si="41"/>
        <v>0</v>
      </c>
      <c r="AB2108" s="940"/>
      <c r="AC2108" s="940"/>
      <c r="AD2108" s="940"/>
      <c r="AE2108" s="871">
        <f>S1MAData!U32</f>
        <v>0</v>
      </c>
      <c r="AF2108" s="871"/>
      <c r="AG2108" s="529"/>
      <c r="AH2108" s="518"/>
      <c r="AJ2108" s="595" t="b">
        <f t="shared" si="42"/>
        <v>0</v>
      </c>
    </row>
    <row r="2109" spans="1:36" hidden="1" x14ac:dyDescent="0.45">
      <c r="A2109" s="518"/>
      <c r="B2109" s="514" t="s">
        <v>1435</v>
      </c>
      <c r="C2109" s="530"/>
      <c r="D2109" s="530"/>
      <c r="E2109" s="530"/>
      <c r="F2109" s="530"/>
      <c r="G2109" s="885" t="str">
        <f>IF(S1MAData!N33=0,"",SUBSTITUTE(SUBSTITUTE(S1MAData!N33,"Acquired and Rehabilitated Housing","A/R"),"Newly Constructed Housing","N/C"))</f>
        <v/>
      </c>
      <c r="H2109" s="885"/>
      <c r="I2109" s="583" t="str">
        <f>IF(S1MAData!AM33=0,"",LEFT(S1MAData!AM33,1))</f>
        <v/>
      </c>
      <c r="J2109" s="583" t="str">
        <f>IF(S1MAData!L33=0,"",LEFT(S1MAData!L33,1))</f>
        <v/>
      </c>
      <c r="K2109" s="939">
        <f>S1MAData!O33</f>
        <v>0</v>
      </c>
      <c r="L2109" s="1181"/>
      <c r="M2109" s="940">
        <f>S1MAData!P33</f>
        <v>0</v>
      </c>
      <c r="N2109" s="940"/>
      <c r="O2109" s="940"/>
      <c r="P2109" s="940"/>
      <c r="Q2109" s="940">
        <f>S1MAData!Q33</f>
        <v>0</v>
      </c>
      <c r="R2109" s="940"/>
      <c r="S2109" s="940"/>
      <c r="T2109" s="940"/>
      <c r="U2109" s="940">
        <f>S1MAData!R33</f>
        <v>0</v>
      </c>
      <c r="V2109" s="940"/>
      <c r="W2109" s="940"/>
      <c r="X2109" s="940">
        <f>S1MAData!S33</f>
        <v>0</v>
      </c>
      <c r="Y2109" s="940"/>
      <c r="Z2109" s="940"/>
      <c r="AA2109" s="940">
        <f t="shared" si="41"/>
        <v>0</v>
      </c>
      <c r="AB2109" s="940"/>
      <c r="AC2109" s="940"/>
      <c r="AD2109" s="940"/>
      <c r="AE2109" s="871">
        <f>S1MAData!U33</f>
        <v>0</v>
      </c>
      <c r="AF2109" s="871"/>
      <c r="AG2109" s="529"/>
      <c r="AH2109" s="518"/>
      <c r="AJ2109" s="595" t="b">
        <f t="shared" si="42"/>
        <v>0</v>
      </c>
    </row>
    <row r="2110" spans="1:36" hidden="1" x14ac:dyDescent="0.45">
      <c r="A2110" s="518"/>
      <c r="B2110" s="514" t="s">
        <v>1436</v>
      </c>
      <c r="C2110" s="530"/>
      <c r="D2110" s="530"/>
      <c r="E2110" s="530"/>
      <c r="F2110" s="530"/>
      <c r="G2110" s="885" t="str">
        <f>IF(S1MAData!N34=0,"",SUBSTITUTE(SUBSTITUTE(S1MAData!N34,"Acquired and Rehabilitated Housing","A/R"),"Newly Constructed Housing","N/C"))</f>
        <v/>
      </c>
      <c r="H2110" s="885"/>
      <c r="I2110" s="583" t="str">
        <f>IF(S1MAData!AM34=0,"",LEFT(S1MAData!AM34,1))</f>
        <v/>
      </c>
      <c r="J2110" s="583" t="str">
        <f>IF(S1MAData!L34=0,"",LEFT(S1MAData!L34,1))</f>
        <v/>
      </c>
      <c r="K2110" s="939">
        <f>S1MAData!O34</f>
        <v>0</v>
      </c>
      <c r="L2110" s="1181"/>
      <c r="M2110" s="940">
        <f>S1MAData!P34</f>
        <v>0</v>
      </c>
      <c r="N2110" s="940"/>
      <c r="O2110" s="940"/>
      <c r="P2110" s="940"/>
      <c r="Q2110" s="940">
        <f>S1MAData!Q34</f>
        <v>0</v>
      </c>
      <c r="R2110" s="940"/>
      <c r="S2110" s="940"/>
      <c r="T2110" s="940"/>
      <c r="U2110" s="940">
        <f>S1MAData!R34</f>
        <v>0</v>
      </c>
      <c r="V2110" s="940"/>
      <c r="W2110" s="940"/>
      <c r="X2110" s="940">
        <f>S1MAData!S34</f>
        <v>0</v>
      </c>
      <c r="Y2110" s="940"/>
      <c r="Z2110" s="940"/>
      <c r="AA2110" s="940">
        <f t="shared" si="41"/>
        <v>0</v>
      </c>
      <c r="AB2110" s="940"/>
      <c r="AC2110" s="940"/>
      <c r="AD2110" s="940"/>
      <c r="AE2110" s="871">
        <f>S1MAData!U34</f>
        <v>0</v>
      </c>
      <c r="AF2110" s="871"/>
      <c r="AG2110" s="529"/>
      <c r="AH2110" s="518"/>
      <c r="AJ2110" s="595" t="b">
        <f t="shared" si="42"/>
        <v>0</v>
      </c>
    </row>
    <row r="2111" spans="1:36" hidden="1" x14ac:dyDescent="0.45">
      <c r="A2111" s="518"/>
      <c r="B2111" s="514" t="s">
        <v>1437</v>
      </c>
      <c r="C2111" s="530"/>
      <c r="D2111" s="530"/>
      <c r="E2111" s="530"/>
      <c r="F2111" s="530"/>
      <c r="G2111" s="885" t="str">
        <f>IF(S1MAData!N35=0,"",SUBSTITUTE(SUBSTITUTE(S1MAData!N35,"Acquired and Rehabilitated Housing","A/R"),"Newly Constructed Housing","N/C"))</f>
        <v/>
      </c>
      <c r="H2111" s="885"/>
      <c r="I2111" s="583" t="str">
        <f>IF(S1MAData!AM35=0,"",LEFT(S1MAData!AM35,1))</f>
        <v/>
      </c>
      <c r="J2111" s="583" t="str">
        <f>IF(S1MAData!L35=0,"",LEFT(S1MAData!L35,1))</f>
        <v/>
      </c>
      <c r="K2111" s="939">
        <f>S1MAData!O35</f>
        <v>0</v>
      </c>
      <c r="L2111" s="1181"/>
      <c r="M2111" s="940">
        <f>S1MAData!P35</f>
        <v>0</v>
      </c>
      <c r="N2111" s="940"/>
      <c r="O2111" s="940"/>
      <c r="P2111" s="940"/>
      <c r="Q2111" s="940">
        <f>S1MAData!Q35</f>
        <v>0</v>
      </c>
      <c r="R2111" s="940"/>
      <c r="S2111" s="940"/>
      <c r="T2111" s="940"/>
      <c r="U2111" s="940">
        <f>S1MAData!R35</f>
        <v>0</v>
      </c>
      <c r="V2111" s="940"/>
      <c r="W2111" s="940"/>
      <c r="X2111" s="940">
        <f>S1MAData!S35</f>
        <v>0</v>
      </c>
      <c r="Y2111" s="940"/>
      <c r="Z2111" s="940"/>
      <c r="AA2111" s="940">
        <f t="shared" si="41"/>
        <v>0</v>
      </c>
      <c r="AB2111" s="940"/>
      <c r="AC2111" s="940"/>
      <c r="AD2111" s="940"/>
      <c r="AE2111" s="871">
        <f>S1MAData!U35</f>
        <v>0</v>
      </c>
      <c r="AF2111" s="871"/>
      <c r="AG2111" s="529"/>
      <c r="AH2111" s="518"/>
      <c r="AJ2111" s="595" t="b">
        <f t="shared" si="42"/>
        <v>0</v>
      </c>
    </row>
    <row r="2112" spans="1:36" hidden="1" x14ac:dyDescent="0.45">
      <c r="A2112" s="518"/>
      <c r="B2112" s="514" t="s">
        <v>1438</v>
      </c>
      <c r="C2112" s="530"/>
      <c r="D2112" s="530"/>
      <c r="E2112" s="530"/>
      <c r="F2112" s="530"/>
      <c r="G2112" s="885" t="str">
        <f>IF(S1MAData!N36=0,"",SUBSTITUTE(SUBSTITUTE(S1MAData!N36,"Acquired and Rehabilitated Housing","A/R"),"Newly Constructed Housing","N/C"))</f>
        <v/>
      </c>
      <c r="H2112" s="885"/>
      <c r="I2112" s="583" t="str">
        <f>IF(S1MAData!AM36=0,"",LEFT(S1MAData!AM36,1))</f>
        <v/>
      </c>
      <c r="J2112" s="583" t="str">
        <f>IF(S1MAData!L36=0,"",LEFT(S1MAData!L36,1))</f>
        <v/>
      </c>
      <c r="K2112" s="939">
        <f>S1MAData!O36</f>
        <v>0</v>
      </c>
      <c r="L2112" s="1181"/>
      <c r="M2112" s="940">
        <f>S1MAData!P36</f>
        <v>0</v>
      </c>
      <c r="N2112" s="940"/>
      <c r="O2112" s="940"/>
      <c r="P2112" s="940"/>
      <c r="Q2112" s="940">
        <f>S1MAData!Q36</f>
        <v>0</v>
      </c>
      <c r="R2112" s="940"/>
      <c r="S2112" s="940"/>
      <c r="T2112" s="940"/>
      <c r="U2112" s="940">
        <f>S1MAData!R36</f>
        <v>0</v>
      </c>
      <c r="V2112" s="940"/>
      <c r="W2112" s="940"/>
      <c r="X2112" s="940">
        <f>S1MAData!S36</f>
        <v>0</v>
      </c>
      <c r="Y2112" s="940"/>
      <c r="Z2112" s="940"/>
      <c r="AA2112" s="940">
        <f t="shared" si="41"/>
        <v>0</v>
      </c>
      <c r="AB2112" s="940"/>
      <c r="AC2112" s="940"/>
      <c r="AD2112" s="940"/>
      <c r="AE2112" s="871">
        <f>S1MAData!U36</f>
        <v>0</v>
      </c>
      <c r="AF2112" s="871"/>
      <c r="AG2112" s="529"/>
      <c r="AH2112" s="518"/>
      <c r="AJ2112" s="595" t="b">
        <f t="shared" si="42"/>
        <v>0</v>
      </c>
    </row>
    <row r="2113" spans="1:36" hidden="1" x14ac:dyDescent="0.45">
      <c r="A2113" s="518"/>
      <c r="B2113" s="514" t="s">
        <v>1439</v>
      </c>
      <c r="C2113" s="530"/>
      <c r="D2113" s="530"/>
      <c r="E2113" s="530"/>
      <c r="F2113" s="530"/>
      <c r="G2113" s="885" t="str">
        <f>IF(S1MAData!N37=0,"",SUBSTITUTE(SUBSTITUTE(S1MAData!N37,"Acquired and Rehabilitated Housing","A/R"),"Newly Constructed Housing","N/C"))</f>
        <v/>
      </c>
      <c r="H2113" s="885"/>
      <c r="I2113" s="583" t="str">
        <f>IF(S1MAData!AM37=0,"",LEFT(S1MAData!AM37,1))</f>
        <v/>
      </c>
      <c r="J2113" s="583" t="str">
        <f>IF(S1MAData!L37=0,"",LEFT(S1MAData!L37,1))</f>
        <v/>
      </c>
      <c r="K2113" s="939">
        <f>S1MAData!O37</f>
        <v>0</v>
      </c>
      <c r="L2113" s="1181"/>
      <c r="M2113" s="940">
        <f>S1MAData!P37</f>
        <v>0</v>
      </c>
      <c r="N2113" s="940"/>
      <c r="O2113" s="940"/>
      <c r="P2113" s="940"/>
      <c r="Q2113" s="940">
        <f>S1MAData!Q37</f>
        <v>0</v>
      </c>
      <c r="R2113" s="940"/>
      <c r="S2113" s="940"/>
      <c r="T2113" s="940"/>
      <c r="U2113" s="940">
        <f>S1MAData!R37</f>
        <v>0</v>
      </c>
      <c r="V2113" s="940"/>
      <c r="W2113" s="940"/>
      <c r="X2113" s="940">
        <f>S1MAData!S37</f>
        <v>0</v>
      </c>
      <c r="Y2113" s="940"/>
      <c r="Z2113" s="940"/>
      <c r="AA2113" s="940">
        <f t="shared" si="41"/>
        <v>0</v>
      </c>
      <c r="AB2113" s="940"/>
      <c r="AC2113" s="940"/>
      <c r="AD2113" s="940"/>
      <c r="AE2113" s="871">
        <f>S1MAData!U37</f>
        <v>0</v>
      </c>
      <c r="AF2113" s="871"/>
      <c r="AG2113" s="529"/>
      <c r="AH2113" s="518"/>
      <c r="AJ2113" s="595" t="b">
        <f t="shared" si="42"/>
        <v>0</v>
      </c>
    </row>
    <row r="2114" spans="1:36" hidden="1" x14ac:dyDescent="0.45">
      <c r="A2114" s="518"/>
      <c r="B2114" s="514" t="s">
        <v>1440</v>
      </c>
      <c r="C2114" s="530"/>
      <c r="D2114" s="530"/>
      <c r="E2114" s="530"/>
      <c r="F2114" s="530"/>
      <c r="G2114" s="885" t="str">
        <f>IF(S1MAData!N38=0,"",SUBSTITUTE(SUBSTITUTE(S1MAData!N38,"Acquired and Rehabilitated Housing","A/R"),"Newly Constructed Housing","N/C"))</f>
        <v/>
      </c>
      <c r="H2114" s="885"/>
      <c r="I2114" s="583" t="str">
        <f>IF(S1MAData!AM38=0,"",LEFT(S1MAData!AM38,1))</f>
        <v/>
      </c>
      <c r="J2114" s="583" t="str">
        <f>IF(S1MAData!L38=0,"",LEFT(S1MAData!L38,1))</f>
        <v/>
      </c>
      <c r="K2114" s="939">
        <f>S1MAData!O38</f>
        <v>0</v>
      </c>
      <c r="L2114" s="1181"/>
      <c r="M2114" s="940">
        <f>S1MAData!P38</f>
        <v>0</v>
      </c>
      <c r="N2114" s="940"/>
      <c r="O2114" s="940"/>
      <c r="P2114" s="940"/>
      <c r="Q2114" s="940">
        <f>S1MAData!Q38</f>
        <v>0</v>
      </c>
      <c r="R2114" s="940"/>
      <c r="S2114" s="940"/>
      <c r="T2114" s="940"/>
      <c r="U2114" s="940">
        <f>S1MAData!R38</f>
        <v>0</v>
      </c>
      <c r="V2114" s="940"/>
      <c r="W2114" s="940"/>
      <c r="X2114" s="940">
        <f>S1MAData!S38</f>
        <v>0</v>
      </c>
      <c r="Y2114" s="940"/>
      <c r="Z2114" s="940"/>
      <c r="AA2114" s="940">
        <f t="shared" si="41"/>
        <v>0</v>
      </c>
      <c r="AB2114" s="940"/>
      <c r="AC2114" s="940"/>
      <c r="AD2114" s="940"/>
      <c r="AE2114" s="871">
        <f>S1MAData!U38</f>
        <v>0</v>
      </c>
      <c r="AF2114" s="871"/>
      <c r="AG2114" s="529"/>
      <c r="AH2114" s="518"/>
      <c r="AJ2114" s="595" t="b">
        <f t="shared" si="42"/>
        <v>0</v>
      </c>
    </row>
    <row r="2115" spans="1:36" hidden="1" x14ac:dyDescent="0.45">
      <c r="A2115" s="518"/>
      <c r="B2115" s="514" t="s">
        <v>1441</v>
      </c>
      <c r="C2115" s="530"/>
      <c r="D2115" s="530"/>
      <c r="E2115" s="530"/>
      <c r="F2115" s="530"/>
      <c r="G2115" s="885" t="str">
        <f>IF(S1MAData!N39=0,"",SUBSTITUTE(SUBSTITUTE(S1MAData!N39,"Acquired and Rehabilitated Housing","A/R"),"Newly Constructed Housing","N/C"))</f>
        <v/>
      </c>
      <c r="H2115" s="885"/>
      <c r="I2115" s="583" t="str">
        <f>IF(S1MAData!AM39=0,"",LEFT(S1MAData!AM39,1))</f>
        <v/>
      </c>
      <c r="J2115" s="583" t="str">
        <f>IF(S1MAData!L39=0,"",LEFT(S1MAData!L39,1))</f>
        <v/>
      </c>
      <c r="K2115" s="939">
        <f>S1MAData!O39</f>
        <v>0</v>
      </c>
      <c r="L2115" s="1181"/>
      <c r="M2115" s="940">
        <f>S1MAData!P39</f>
        <v>0</v>
      </c>
      <c r="N2115" s="940"/>
      <c r="O2115" s="940"/>
      <c r="P2115" s="940"/>
      <c r="Q2115" s="940">
        <f>S1MAData!Q39</f>
        <v>0</v>
      </c>
      <c r="R2115" s="940"/>
      <c r="S2115" s="940"/>
      <c r="T2115" s="940"/>
      <c r="U2115" s="940">
        <f>S1MAData!R39</f>
        <v>0</v>
      </c>
      <c r="V2115" s="940"/>
      <c r="W2115" s="940"/>
      <c r="X2115" s="940">
        <f>S1MAData!S39</f>
        <v>0</v>
      </c>
      <c r="Y2115" s="940"/>
      <c r="Z2115" s="940"/>
      <c r="AA2115" s="940">
        <f t="shared" si="41"/>
        <v>0</v>
      </c>
      <c r="AB2115" s="940"/>
      <c r="AC2115" s="940"/>
      <c r="AD2115" s="940"/>
      <c r="AE2115" s="871">
        <f>S1MAData!U39</f>
        <v>0</v>
      </c>
      <c r="AF2115" s="871"/>
      <c r="AG2115" s="529"/>
      <c r="AH2115" s="518"/>
      <c r="AJ2115" s="595" t="b">
        <f t="shared" si="42"/>
        <v>0</v>
      </c>
    </row>
    <row r="2116" spans="1:36" hidden="1" x14ac:dyDescent="0.45">
      <c r="A2116" s="518"/>
      <c r="B2116" s="514" t="s">
        <v>152</v>
      </c>
      <c r="C2116" s="530"/>
      <c r="D2116" s="530"/>
      <c r="E2116" s="530"/>
      <c r="F2116" s="530"/>
      <c r="G2116" s="885" t="str">
        <f>IF(S1MAData!N40=0,"",SUBSTITUTE(SUBSTITUTE(S1MAData!N40,"Acquired and Rehabilitated Housing","A/R"),"Newly Constructed Housing","N/C"))</f>
        <v/>
      </c>
      <c r="H2116" s="885"/>
      <c r="I2116" s="583" t="str">
        <f>IF(S1MAData!AM40=0,"",LEFT(S1MAData!AM40,1))</f>
        <v/>
      </c>
      <c r="J2116" s="583" t="str">
        <f>IF(S1MAData!L40=0,"",LEFT(S1MAData!L40,1))</f>
        <v/>
      </c>
      <c r="K2116" s="939">
        <f>S1MAData!O40</f>
        <v>0</v>
      </c>
      <c r="L2116" s="1181"/>
      <c r="M2116" s="940">
        <f>S1MAData!P40</f>
        <v>0</v>
      </c>
      <c r="N2116" s="940"/>
      <c r="O2116" s="940"/>
      <c r="P2116" s="940"/>
      <c r="Q2116" s="940">
        <f>S1MAData!Q40</f>
        <v>0</v>
      </c>
      <c r="R2116" s="940"/>
      <c r="S2116" s="940"/>
      <c r="T2116" s="940"/>
      <c r="U2116" s="940">
        <f>S1MAData!R40</f>
        <v>0</v>
      </c>
      <c r="V2116" s="940"/>
      <c r="W2116" s="940"/>
      <c r="X2116" s="940">
        <f>S1MAData!S40</f>
        <v>0</v>
      </c>
      <c r="Y2116" s="940"/>
      <c r="Z2116" s="940"/>
      <c r="AA2116" s="940">
        <f t="shared" si="41"/>
        <v>0</v>
      </c>
      <c r="AB2116" s="940"/>
      <c r="AC2116" s="940"/>
      <c r="AD2116" s="940"/>
      <c r="AE2116" s="871">
        <f>S1MAData!U40</f>
        <v>0</v>
      </c>
      <c r="AF2116" s="871"/>
      <c r="AG2116" s="529"/>
      <c r="AH2116" s="518"/>
      <c r="AJ2116" s="595" t="b">
        <f t="shared" si="42"/>
        <v>0</v>
      </c>
    </row>
    <row r="2117" spans="1:36" hidden="1" x14ac:dyDescent="0.45">
      <c r="A2117" s="518"/>
      <c r="B2117" s="514" t="s">
        <v>1442</v>
      </c>
      <c r="C2117" s="530"/>
      <c r="D2117" s="530"/>
      <c r="E2117" s="530"/>
      <c r="F2117" s="530"/>
      <c r="G2117" s="885" t="str">
        <f>IF(S1MAData!N41=0,"",SUBSTITUTE(SUBSTITUTE(S1MAData!N41,"Acquired and Rehabilitated Housing","A/R"),"Newly Constructed Housing","N/C"))</f>
        <v/>
      </c>
      <c r="H2117" s="885"/>
      <c r="I2117" s="583" t="str">
        <f>IF(S1MAData!AM41=0,"",LEFT(S1MAData!AM41,1))</f>
        <v/>
      </c>
      <c r="J2117" s="583" t="str">
        <f>IF(S1MAData!L41=0,"",LEFT(S1MAData!L41,1))</f>
        <v/>
      </c>
      <c r="K2117" s="939">
        <f>S1MAData!O41</f>
        <v>0</v>
      </c>
      <c r="L2117" s="1181"/>
      <c r="M2117" s="940">
        <f>S1MAData!P41</f>
        <v>0</v>
      </c>
      <c r="N2117" s="940"/>
      <c r="O2117" s="940"/>
      <c r="P2117" s="940"/>
      <c r="Q2117" s="940">
        <f>S1MAData!Q41</f>
        <v>0</v>
      </c>
      <c r="R2117" s="940"/>
      <c r="S2117" s="940"/>
      <c r="T2117" s="940"/>
      <c r="U2117" s="940">
        <f>S1MAData!R41</f>
        <v>0</v>
      </c>
      <c r="V2117" s="940"/>
      <c r="W2117" s="940"/>
      <c r="X2117" s="940">
        <f>S1MAData!S41</f>
        <v>0</v>
      </c>
      <c r="Y2117" s="940"/>
      <c r="Z2117" s="940"/>
      <c r="AA2117" s="940">
        <f t="shared" si="41"/>
        <v>0</v>
      </c>
      <c r="AB2117" s="940"/>
      <c r="AC2117" s="940"/>
      <c r="AD2117" s="940"/>
      <c r="AE2117" s="871">
        <f>S1MAData!U41</f>
        <v>0</v>
      </c>
      <c r="AF2117" s="871"/>
      <c r="AG2117" s="529"/>
      <c r="AH2117" s="518"/>
      <c r="AJ2117" s="595" t="b">
        <f t="shared" si="42"/>
        <v>0</v>
      </c>
    </row>
    <row r="2118" spans="1:36" hidden="1" x14ac:dyDescent="0.45">
      <c r="A2118" s="518"/>
      <c r="B2118" s="514" t="s">
        <v>1443</v>
      </c>
      <c r="C2118" s="530"/>
      <c r="D2118" s="530"/>
      <c r="E2118" s="530"/>
      <c r="F2118" s="530"/>
      <c r="G2118" s="885" t="str">
        <f>IF(S1MAData!N42=0,"",SUBSTITUTE(SUBSTITUTE(S1MAData!N42,"Acquired and Rehabilitated Housing","A/R"),"Newly Constructed Housing","N/C"))</f>
        <v/>
      </c>
      <c r="H2118" s="885"/>
      <c r="I2118" s="583" t="str">
        <f>IF(S1MAData!AM42=0,"",LEFT(S1MAData!AM42,1))</f>
        <v/>
      </c>
      <c r="J2118" s="583" t="str">
        <f>IF(S1MAData!L42=0,"",LEFT(S1MAData!L42,1))</f>
        <v/>
      </c>
      <c r="K2118" s="939">
        <f>S1MAData!O42</f>
        <v>0</v>
      </c>
      <c r="L2118" s="1181"/>
      <c r="M2118" s="940">
        <f>S1MAData!P42</f>
        <v>0</v>
      </c>
      <c r="N2118" s="940"/>
      <c r="O2118" s="940"/>
      <c r="P2118" s="940"/>
      <c r="Q2118" s="940">
        <f>S1MAData!Q42</f>
        <v>0</v>
      </c>
      <c r="R2118" s="940"/>
      <c r="S2118" s="940"/>
      <c r="T2118" s="940"/>
      <c r="U2118" s="940">
        <f>S1MAData!R42</f>
        <v>0</v>
      </c>
      <c r="V2118" s="940"/>
      <c r="W2118" s="940"/>
      <c r="X2118" s="940">
        <f>S1MAData!S42</f>
        <v>0</v>
      </c>
      <c r="Y2118" s="940"/>
      <c r="Z2118" s="940"/>
      <c r="AA2118" s="940">
        <f t="shared" si="41"/>
        <v>0</v>
      </c>
      <c r="AB2118" s="940"/>
      <c r="AC2118" s="940"/>
      <c r="AD2118" s="940"/>
      <c r="AE2118" s="871">
        <f>S1MAData!U42</f>
        <v>0</v>
      </c>
      <c r="AF2118" s="871"/>
      <c r="AG2118" s="529"/>
      <c r="AH2118" s="518"/>
      <c r="AJ2118" s="595" t="b">
        <f t="shared" si="42"/>
        <v>0</v>
      </c>
    </row>
    <row r="2119" spans="1:36" hidden="1" x14ac:dyDescent="0.45">
      <c r="A2119" s="518"/>
      <c r="B2119" s="514" t="s">
        <v>1444</v>
      </c>
      <c r="C2119" s="530"/>
      <c r="D2119" s="530"/>
      <c r="E2119" s="530"/>
      <c r="F2119" s="530"/>
      <c r="G2119" s="885" t="str">
        <f>IF(S1MAData!N43=0,"",SUBSTITUTE(SUBSTITUTE(S1MAData!N43,"Acquired and Rehabilitated Housing","A/R"),"Newly Constructed Housing","N/C"))</f>
        <v/>
      </c>
      <c r="H2119" s="885"/>
      <c r="I2119" s="583" t="str">
        <f>IF(S1MAData!AM43=0,"",LEFT(S1MAData!AM43,1))</f>
        <v/>
      </c>
      <c r="J2119" s="583" t="str">
        <f>IF(S1MAData!L43=0,"",LEFT(S1MAData!L43,1))</f>
        <v/>
      </c>
      <c r="K2119" s="939">
        <f>S1MAData!O43</f>
        <v>0</v>
      </c>
      <c r="L2119" s="1181"/>
      <c r="M2119" s="940">
        <f>S1MAData!P43</f>
        <v>0</v>
      </c>
      <c r="N2119" s="940"/>
      <c r="O2119" s="940"/>
      <c r="P2119" s="940"/>
      <c r="Q2119" s="940">
        <f>S1MAData!Q43</f>
        <v>0</v>
      </c>
      <c r="R2119" s="940"/>
      <c r="S2119" s="940"/>
      <c r="T2119" s="940"/>
      <c r="U2119" s="940">
        <f>S1MAData!R43</f>
        <v>0</v>
      </c>
      <c r="V2119" s="940"/>
      <c r="W2119" s="940"/>
      <c r="X2119" s="940">
        <f>S1MAData!S43</f>
        <v>0</v>
      </c>
      <c r="Y2119" s="940"/>
      <c r="Z2119" s="940"/>
      <c r="AA2119" s="940">
        <f t="shared" si="41"/>
        <v>0</v>
      </c>
      <c r="AB2119" s="940"/>
      <c r="AC2119" s="940"/>
      <c r="AD2119" s="940"/>
      <c r="AE2119" s="871">
        <f>S1MAData!U43</f>
        <v>0</v>
      </c>
      <c r="AF2119" s="871"/>
      <c r="AG2119" s="529"/>
      <c r="AH2119" s="518"/>
      <c r="AJ2119" s="595" t="b">
        <f t="shared" si="42"/>
        <v>0</v>
      </c>
    </row>
    <row r="2120" spans="1:36" hidden="1" x14ac:dyDescent="0.45">
      <c r="A2120" s="518"/>
      <c r="B2120" s="514" t="s">
        <v>1445</v>
      </c>
      <c r="C2120" s="530"/>
      <c r="D2120" s="530"/>
      <c r="E2120" s="530"/>
      <c r="F2120" s="530"/>
      <c r="G2120" s="885" t="str">
        <f>IF(S1MAData!N44=0,"",SUBSTITUTE(SUBSTITUTE(S1MAData!N44,"Acquired and Rehabilitated Housing","A/R"),"Newly Constructed Housing","N/C"))</f>
        <v/>
      </c>
      <c r="H2120" s="885"/>
      <c r="I2120" s="583" t="str">
        <f>IF(S1MAData!AM44=0,"",LEFT(S1MAData!AM44,1))</f>
        <v/>
      </c>
      <c r="J2120" s="583" t="str">
        <f>IF(S1MAData!L44=0,"",LEFT(S1MAData!L44,1))</f>
        <v/>
      </c>
      <c r="K2120" s="939">
        <f>S1MAData!O44</f>
        <v>0</v>
      </c>
      <c r="L2120" s="1181"/>
      <c r="M2120" s="940">
        <f>S1MAData!P44</f>
        <v>0</v>
      </c>
      <c r="N2120" s="940"/>
      <c r="O2120" s="940"/>
      <c r="P2120" s="940"/>
      <c r="Q2120" s="940">
        <f>S1MAData!Q44</f>
        <v>0</v>
      </c>
      <c r="R2120" s="940"/>
      <c r="S2120" s="940"/>
      <c r="T2120" s="940"/>
      <c r="U2120" s="940">
        <f>S1MAData!R44</f>
        <v>0</v>
      </c>
      <c r="V2120" s="940"/>
      <c r="W2120" s="940"/>
      <c r="X2120" s="940">
        <f>S1MAData!S44</f>
        <v>0</v>
      </c>
      <c r="Y2120" s="940"/>
      <c r="Z2120" s="940"/>
      <c r="AA2120" s="940">
        <f t="shared" si="41"/>
        <v>0</v>
      </c>
      <c r="AB2120" s="940"/>
      <c r="AC2120" s="940"/>
      <c r="AD2120" s="940"/>
      <c r="AE2120" s="871">
        <f>S1MAData!U44</f>
        <v>0</v>
      </c>
      <c r="AF2120" s="871"/>
      <c r="AG2120" s="529"/>
      <c r="AH2120" s="518"/>
      <c r="AJ2120" s="595" t="b">
        <f t="shared" si="42"/>
        <v>0</v>
      </c>
    </row>
    <row r="2121" spans="1:36" hidden="1" x14ac:dyDescent="0.45">
      <c r="A2121" s="518"/>
      <c r="B2121" s="514" t="s">
        <v>1446</v>
      </c>
      <c r="C2121" s="530"/>
      <c r="D2121" s="530"/>
      <c r="E2121" s="530"/>
      <c r="F2121" s="530"/>
      <c r="G2121" s="885" t="str">
        <f>IF(S1MAData!N45=0,"",SUBSTITUTE(SUBSTITUTE(S1MAData!N45,"Acquired and Rehabilitated Housing","A/R"),"Newly Constructed Housing","N/C"))</f>
        <v/>
      </c>
      <c r="H2121" s="885"/>
      <c r="I2121" s="583" t="str">
        <f>IF(S1MAData!AM45=0,"",LEFT(S1MAData!AM45,1))</f>
        <v/>
      </c>
      <c r="J2121" s="583" t="str">
        <f>IF(S1MAData!L45=0,"",LEFT(S1MAData!L45,1))</f>
        <v/>
      </c>
      <c r="K2121" s="939">
        <f>S1MAData!O45</f>
        <v>0</v>
      </c>
      <c r="L2121" s="1181"/>
      <c r="M2121" s="940">
        <f>S1MAData!P45</f>
        <v>0</v>
      </c>
      <c r="N2121" s="940"/>
      <c r="O2121" s="940"/>
      <c r="P2121" s="940"/>
      <c r="Q2121" s="940">
        <f>S1MAData!Q45</f>
        <v>0</v>
      </c>
      <c r="R2121" s="940"/>
      <c r="S2121" s="940"/>
      <c r="T2121" s="940"/>
      <c r="U2121" s="940">
        <f>S1MAData!R45</f>
        <v>0</v>
      </c>
      <c r="V2121" s="940"/>
      <c r="W2121" s="940"/>
      <c r="X2121" s="940">
        <f>S1MAData!S45</f>
        <v>0</v>
      </c>
      <c r="Y2121" s="940"/>
      <c r="Z2121" s="940"/>
      <c r="AA2121" s="940">
        <f t="shared" si="41"/>
        <v>0</v>
      </c>
      <c r="AB2121" s="940"/>
      <c r="AC2121" s="940"/>
      <c r="AD2121" s="940"/>
      <c r="AE2121" s="871">
        <f>S1MAData!U45</f>
        <v>0</v>
      </c>
      <c r="AF2121" s="871"/>
      <c r="AG2121" s="529"/>
      <c r="AH2121" s="518"/>
      <c r="AJ2121" s="595" t="b">
        <f t="shared" si="42"/>
        <v>0</v>
      </c>
    </row>
    <row r="2122" spans="1:36" hidden="1" x14ac:dyDescent="0.45">
      <c r="B2122" s="514" t="s">
        <v>1447</v>
      </c>
      <c r="C2122" s="530"/>
      <c r="D2122" s="530"/>
      <c r="E2122" s="530"/>
      <c r="F2122" s="530"/>
      <c r="G2122" s="885" t="str">
        <f>IF(S1MAData!N46=0,"",SUBSTITUTE(SUBSTITUTE(S1MAData!N46,"Acquired and Rehabilitated Housing","A/R"),"Newly Constructed Housing","N/C"))</f>
        <v/>
      </c>
      <c r="H2122" s="885"/>
      <c r="I2122" s="583" t="str">
        <f>IF(S1MAData!AM46=0,"",LEFT(S1MAData!AM46,1))</f>
        <v/>
      </c>
      <c r="J2122" s="583" t="str">
        <f>IF(S1MAData!L46=0,"",LEFT(S1MAData!L46,1))</f>
        <v/>
      </c>
      <c r="K2122" s="939">
        <f>S1MAData!O46</f>
        <v>0</v>
      </c>
      <c r="L2122" s="1181"/>
      <c r="M2122" s="940">
        <f>S1MAData!P46</f>
        <v>0</v>
      </c>
      <c r="N2122" s="940"/>
      <c r="O2122" s="940"/>
      <c r="P2122" s="940"/>
      <c r="Q2122" s="940">
        <f>S1MAData!Q46</f>
        <v>0</v>
      </c>
      <c r="R2122" s="940"/>
      <c r="S2122" s="940"/>
      <c r="T2122" s="940"/>
      <c r="U2122" s="940">
        <f>S1MAData!R46</f>
        <v>0</v>
      </c>
      <c r="V2122" s="940"/>
      <c r="W2122" s="940"/>
      <c r="X2122" s="940">
        <f>S1MAData!S46</f>
        <v>0</v>
      </c>
      <c r="Y2122" s="940"/>
      <c r="Z2122" s="940"/>
      <c r="AA2122" s="940">
        <f t="shared" si="41"/>
        <v>0</v>
      </c>
      <c r="AB2122" s="940"/>
      <c r="AC2122" s="940"/>
      <c r="AD2122" s="940"/>
      <c r="AE2122" s="871">
        <f>S1MAData!U46</f>
        <v>0</v>
      </c>
      <c r="AF2122" s="871"/>
      <c r="AG2122" s="529"/>
      <c r="AH2122" s="518"/>
      <c r="AJ2122" s="595" t="b">
        <f t="shared" si="42"/>
        <v>0</v>
      </c>
    </row>
    <row r="2123" spans="1:36" hidden="1" x14ac:dyDescent="0.45">
      <c r="B2123" s="514" t="s">
        <v>1448</v>
      </c>
      <c r="C2123" s="530"/>
      <c r="D2123" s="530"/>
      <c r="E2123" s="530"/>
      <c r="F2123" s="530"/>
      <c r="G2123" s="885" t="str">
        <f>IF(S1MAData!N47=0,"",SUBSTITUTE(SUBSTITUTE(S1MAData!N47,"Acquired and Rehabilitated Housing","A/R"),"Newly Constructed Housing","N/C"))</f>
        <v/>
      </c>
      <c r="H2123" s="885"/>
      <c r="I2123" s="583" t="str">
        <f>IF(S1MAData!AM47=0,"",LEFT(S1MAData!AM47,1))</f>
        <v/>
      </c>
      <c r="J2123" s="583" t="str">
        <f>IF(S1MAData!L47=0,"",LEFT(S1MAData!L47,1))</f>
        <v/>
      </c>
      <c r="K2123" s="939">
        <f>S1MAData!O47</f>
        <v>0</v>
      </c>
      <c r="L2123" s="1181"/>
      <c r="M2123" s="940">
        <f>S1MAData!P47</f>
        <v>0</v>
      </c>
      <c r="N2123" s="940"/>
      <c r="O2123" s="940"/>
      <c r="P2123" s="940"/>
      <c r="Q2123" s="940">
        <f>S1MAData!Q47</f>
        <v>0</v>
      </c>
      <c r="R2123" s="940"/>
      <c r="S2123" s="940"/>
      <c r="T2123" s="940"/>
      <c r="U2123" s="940">
        <f>S1MAData!R47</f>
        <v>0</v>
      </c>
      <c r="V2123" s="940"/>
      <c r="W2123" s="940"/>
      <c r="X2123" s="940">
        <f>S1MAData!S47</f>
        <v>0</v>
      </c>
      <c r="Y2123" s="940"/>
      <c r="Z2123" s="940"/>
      <c r="AA2123" s="940">
        <f t="shared" si="41"/>
        <v>0</v>
      </c>
      <c r="AB2123" s="940"/>
      <c r="AC2123" s="940"/>
      <c r="AD2123" s="940"/>
      <c r="AE2123" s="871">
        <f>S1MAData!U47</f>
        <v>0</v>
      </c>
      <c r="AF2123" s="871"/>
      <c r="AG2123" s="529"/>
      <c r="AH2123" s="518"/>
      <c r="AJ2123" s="595" t="b">
        <f t="shared" si="42"/>
        <v>0</v>
      </c>
    </row>
    <row r="2124" spans="1:36" hidden="1" x14ac:dyDescent="0.45">
      <c r="B2124" s="514" t="s">
        <v>1449</v>
      </c>
      <c r="C2124" s="530"/>
      <c r="D2124" s="530"/>
      <c r="E2124" s="530"/>
      <c r="F2124" s="530"/>
      <c r="G2124" s="885" t="str">
        <f>IF(S1MAData!N48=0,"",SUBSTITUTE(SUBSTITUTE(S1MAData!N48,"Acquired and Rehabilitated Housing","A/R"),"Newly Constructed Housing","N/C"))</f>
        <v/>
      </c>
      <c r="H2124" s="885"/>
      <c r="I2124" s="583" t="str">
        <f>IF(S1MAData!AM48=0,"",LEFT(S1MAData!AM48,1))</f>
        <v/>
      </c>
      <c r="J2124" s="583" t="str">
        <f>IF(S1MAData!L48=0,"",LEFT(S1MAData!L48,1))</f>
        <v/>
      </c>
      <c r="K2124" s="939">
        <f>S1MAData!O48</f>
        <v>0</v>
      </c>
      <c r="L2124" s="1181"/>
      <c r="M2124" s="940">
        <f>S1MAData!P48</f>
        <v>0</v>
      </c>
      <c r="N2124" s="940"/>
      <c r="O2124" s="940"/>
      <c r="P2124" s="940"/>
      <c r="Q2124" s="940">
        <f>S1MAData!Q48</f>
        <v>0</v>
      </c>
      <c r="R2124" s="940"/>
      <c r="S2124" s="940"/>
      <c r="T2124" s="940"/>
      <c r="U2124" s="940">
        <f>S1MAData!R48</f>
        <v>0</v>
      </c>
      <c r="V2124" s="940"/>
      <c r="W2124" s="940"/>
      <c r="X2124" s="940">
        <f>S1MAData!S48</f>
        <v>0</v>
      </c>
      <c r="Y2124" s="940"/>
      <c r="Z2124" s="940"/>
      <c r="AA2124" s="940">
        <f t="shared" si="41"/>
        <v>0</v>
      </c>
      <c r="AB2124" s="940"/>
      <c r="AC2124" s="940"/>
      <c r="AD2124" s="940"/>
      <c r="AE2124" s="871">
        <f>S1MAData!U48</f>
        <v>0</v>
      </c>
      <c r="AF2124" s="871"/>
      <c r="AG2124" s="529"/>
      <c r="AH2124" s="518"/>
      <c r="AJ2124" s="595" t="b">
        <f t="shared" si="42"/>
        <v>0</v>
      </c>
    </row>
    <row r="2125" spans="1:36" hidden="1" x14ac:dyDescent="0.45">
      <c r="B2125" s="514" t="s">
        <v>1450</v>
      </c>
      <c r="C2125" s="530"/>
      <c r="D2125" s="530"/>
      <c r="E2125" s="530"/>
      <c r="F2125" s="530"/>
      <c r="G2125" s="885" t="str">
        <f>IF(S1MAData!N49=0,"",SUBSTITUTE(SUBSTITUTE(S1MAData!N49,"Acquired and Rehabilitated Housing","A/R"),"Newly Constructed Housing","N/C"))</f>
        <v/>
      </c>
      <c r="H2125" s="885"/>
      <c r="I2125" s="583" t="str">
        <f>IF(S1MAData!AM49=0,"",LEFT(S1MAData!AM49,1))</f>
        <v/>
      </c>
      <c r="J2125" s="583" t="str">
        <f>IF(S1MAData!L49=0,"",LEFT(S1MAData!L49,1))</f>
        <v/>
      </c>
      <c r="K2125" s="939">
        <f>S1MAData!O49</f>
        <v>0</v>
      </c>
      <c r="L2125" s="1181"/>
      <c r="M2125" s="940">
        <f>S1MAData!P49</f>
        <v>0</v>
      </c>
      <c r="N2125" s="940"/>
      <c r="O2125" s="940"/>
      <c r="P2125" s="940"/>
      <c r="Q2125" s="940">
        <f>S1MAData!Q49</f>
        <v>0</v>
      </c>
      <c r="R2125" s="940"/>
      <c r="S2125" s="940"/>
      <c r="T2125" s="940"/>
      <c r="U2125" s="940">
        <f>S1MAData!R49</f>
        <v>0</v>
      </c>
      <c r="V2125" s="940"/>
      <c r="W2125" s="940"/>
      <c r="X2125" s="940">
        <f>S1MAData!S49</f>
        <v>0</v>
      </c>
      <c r="Y2125" s="940"/>
      <c r="Z2125" s="940"/>
      <c r="AA2125" s="940">
        <f t="shared" si="41"/>
        <v>0</v>
      </c>
      <c r="AB2125" s="940"/>
      <c r="AC2125" s="940"/>
      <c r="AD2125" s="940"/>
      <c r="AE2125" s="871">
        <f>S1MAData!U49</f>
        <v>0</v>
      </c>
      <c r="AF2125" s="871"/>
      <c r="AG2125" s="529"/>
      <c r="AH2125" s="518"/>
      <c r="AJ2125" s="595" t="b">
        <f t="shared" si="42"/>
        <v>0</v>
      </c>
    </row>
    <row r="2126" spans="1:36" hidden="1" x14ac:dyDescent="0.45">
      <c r="B2126" s="514" t="s">
        <v>1451</v>
      </c>
      <c r="C2126" s="530"/>
      <c r="D2126" s="530"/>
      <c r="E2126" s="530"/>
      <c r="F2126" s="530"/>
      <c r="G2126" s="885" t="str">
        <f>IF(S1MAData!N50=0,"",SUBSTITUTE(SUBSTITUTE(S1MAData!N50,"Acquired and Rehabilitated Housing","A/R"),"Newly Constructed Housing","N/C"))</f>
        <v/>
      </c>
      <c r="H2126" s="885"/>
      <c r="I2126" s="583" t="str">
        <f>IF(S1MAData!AM50=0,"",LEFT(S1MAData!AM50,1))</f>
        <v/>
      </c>
      <c r="J2126" s="583" t="str">
        <f>IF(S1MAData!L50=0,"",LEFT(S1MAData!L50,1))</f>
        <v/>
      </c>
      <c r="K2126" s="939">
        <f>S1MAData!O50</f>
        <v>0</v>
      </c>
      <c r="L2126" s="1181"/>
      <c r="M2126" s="940">
        <f>S1MAData!P50</f>
        <v>0</v>
      </c>
      <c r="N2126" s="940"/>
      <c r="O2126" s="940"/>
      <c r="P2126" s="940"/>
      <c r="Q2126" s="940">
        <f>S1MAData!Q50</f>
        <v>0</v>
      </c>
      <c r="R2126" s="940"/>
      <c r="S2126" s="940"/>
      <c r="T2126" s="940"/>
      <c r="U2126" s="940">
        <f>S1MAData!R50</f>
        <v>0</v>
      </c>
      <c r="V2126" s="940"/>
      <c r="W2126" s="940"/>
      <c r="X2126" s="940">
        <f>S1MAData!S50</f>
        <v>0</v>
      </c>
      <c r="Y2126" s="940"/>
      <c r="Z2126" s="940"/>
      <c r="AA2126" s="940">
        <f t="shared" si="41"/>
        <v>0</v>
      </c>
      <c r="AB2126" s="940"/>
      <c r="AC2126" s="940"/>
      <c r="AD2126" s="940"/>
      <c r="AE2126" s="871">
        <f>S1MAData!U50</f>
        <v>0</v>
      </c>
      <c r="AF2126" s="871"/>
      <c r="AG2126" s="529"/>
      <c r="AH2126" s="518"/>
      <c r="AJ2126" s="595" t="b">
        <f t="shared" si="42"/>
        <v>0</v>
      </c>
    </row>
    <row r="2127" spans="1:36" hidden="1" x14ac:dyDescent="0.45">
      <c r="B2127" s="514" t="s">
        <v>1452</v>
      </c>
      <c r="C2127" s="530"/>
      <c r="D2127" s="530"/>
      <c r="E2127" s="530"/>
      <c r="F2127" s="530"/>
      <c r="G2127" s="885" t="str">
        <f>IF(S1MAData!N51=0,"",SUBSTITUTE(SUBSTITUTE(S1MAData!N51,"Acquired and Rehabilitated Housing","A/R"),"Newly Constructed Housing","N/C"))</f>
        <v/>
      </c>
      <c r="H2127" s="885"/>
      <c r="I2127" s="583" t="str">
        <f>IF(S1MAData!AM51=0,"",LEFT(S1MAData!AM51,1))</f>
        <v/>
      </c>
      <c r="J2127" s="583" t="str">
        <f>IF(S1MAData!L51=0,"",LEFT(S1MAData!L51,1))</f>
        <v/>
      </c>
      <c r="K2127" s="939">
        <f>S1MAData!O51</f>
        <v>0</v>
      </c>
      <c r="L2127" s="1181"/>
      <c r="M2127" s="940">
        <f>S1MAData!P51</f>
        <v>0</v>
      </c>
      <c r="N2127" s="940"/>
      <c r="O2127" s="940"/>
      <c r="P2127" s="940"/>
      <c r="Q2127" s="940">
        <f>S1MAData!Q51</f>
        <v>0</v>
      </c>
      <c r="R2127" s="940"/>
      <c r="S2127" s="940"/>
      <c r="T2127" s="940"/>
      <c r="U2127" s="940">
        <f>S1MAData!R51</f>
        <v>0</v>
      </c>
      <c r="V2127" s="940"/>
      <c r="W2127" s="940"/>
      <c r="X2127" s="940">
        <f>S1MAData!S51</f>
        <v>0</v>
      </c>
      <c r="Y2127" s="940"/>
      <c r="Z2127" s="940"/>
      <c r="AA2127" s="940">
        <f t="shared" si="41"/>
        <v>0</v>
      </c>
      <c r="AB2127" s="940"/>
      <c r="AC2127" s="940"/>
      <c r="AD2127" s="940"/>
      <c r="AE2127" s="871">
        <f>S1MAData!U51</f>
        <v>0</v>
      </c>
      <c r="AF2127" s="871"/>
      <c r="AG2127" s="529"/>
      <c r="AH2127" s="518"/>
      <c r="AJ2127" s="595" t="b">
        <f t="shared" si="42"/>
        <v>0</v>
      </c>
    </row>
    <row r="2128" spans="1:36" hidden="1" x14ac:dyDescent="0.45">
      <c r="B2128" s="514" t="s">
        <v>1453</v>
      </c>
      <c r="C2128" s="530"/>
      <c r="D2128" s="530"/>
      <c r="E2128" s="530"/>
      <c r="F2128" s="530"/>
      <c r="G2128" s="885" t="str">
        <f>IF(S1MAData!N52=0,"",SUBSTITUTE(SUBSTITUTE(S1MAData!N52,"Acquired and Rehabilitated Housing","A/R"),"Newly Constructed Housing","N/C"))</f>
        <v/>
      </c>
      <c r="H2128" s="885"/>
      <c r="I2128" s="583" t="str">
        <f>IF(S1MAData!AM52=0,"",LEFT(S1MAData!AM52,1))</f>
        <v/>
      </c>
      <c r="J2128" s="583" t="str">
        <f>IF(S1MAData!L52=0,"",LEFT(S1MAData!L52,1))</f>
        <v/>
      </c>
      <c r="K2128" s="939">
        <f>S1MAData!O52</f>
        <v>0</v>
      </c>
      <c r="L2128" s="1181"/>
      <c r="M2128" s="940">
        <f>S1MAData!P52</f>
        <v>0</v>
      </c>
      <c r="N2128" s="940"/>
      <c r="O2128" s="940"/>
      <c r="P2128" s="940"/>
      <c r="Q2128" s="940">
        <f>S1MAData!Q52</f>
        <v>0</v>
      </c>
      <c r="R2128" s="940"/>
      <c r="S2128" s="940"/>
      <c r="T2128" s="940"/>
      <c r="U2128" s="940">
        <f>S1MAData!R52</f>
        <v>0</v>
      </c>
      <c r="V2128" s="940"/>
      <c r="W2128" s="940"/>
      <c r="X2128" s="940">
        <f>S1MAData!S52</f>
        <v>0</v>
      </c>
      <c r="Y2128" s="940"/>
      <c r="Z2128" s="940"/>
      <c r="AA2128" s="940">
        <f t="shared" si="41"/>
        <v>0</v>
      </c>
      <c r="AB2128" s="940"/>
      <c r="AC2128" s="940"/>
      <c r="AD2128" s="940"/>
      <c r="AE2128" s="871">
        <f>S1MAData!U52</f>
        <v>0</v>
      </c>
      <c r="AF2128" s="871"/>
      <c r="AG2128" s="529"/>
      <c r="AH2128" s="518"/>
      <c r="AJ2128" s="595" t="b">
        <f t="shared" si="42"/>
        <v>0</v>
      </c>
    </row>
    <row r="2129" spans="1:36" hidden="1" x14ac:dyDescent="0.45">
      <c r="B2129" s="514" t="s">
        <v>1454</v>
      </c>
      <c r="C2129" s="530"/>
      <c r="D2129" s="530"/>
      <c r="E2129" s="530"/>
      <c r="F2129" s="530"/>
      <c r="G2129" s="885" t="str">
        <f>IF(S1MAData!N53=0,"",SUBSTITUTE(SUBSTITUTE(S1MAData!N53,"Acquired and Rehabilitated Housing","A/R"),"Newly Constructed Housing","N/C"))</f>
        <v/>
      </c>
      <c r="H2129" s="885"/>
      <c r="I2129" s="583" t="str">
        <f>IF(S1MAData!AM53=0,"",LEFT(S1MAData!AM53,1))</f>
        <v/>
      </c>
      <c r="J2129" s="583" t="str">
        <f>IF(S1MAData!L53=0,"",LEFT(S1MAData!L53,1))</f>
        <v/>
      </c>
      <c r="K2129" s="939">
        <f>S1MAData!O53</f>
        <v>0</v>
      </c>
      <c r="L2129" s="1181"/>
      <c r="M2129" s="940">
        <f>S1MAData!P53</f>
        <v>0</v>
      </c>
      <c r="N2129" s="940"/>
      <c r="O2129" s="940"/>
      <c r="P2129" s="940"/>
      <c r="Q2129" s="940">
        <f>S1MAData!Q53</f>
        <v>0</v>
      </c>
      <c r="R2129" s="940"/>
      <c r="S2129" s="940"/>
      <c r="T2129" s="940"/>
      <c r="U2129" s="940">
        <f>S1MAData!R53</f>
        <v>0</v>
      </c>
      <c r="V2129" s="940"/>
      <c r="W2129" s="940"/>
      <c r="X2129" s="940">
        <f>S1MAData!S53</f>
        <v>0</v>
      </c>
      <c r="Y2129" s="940"/>
      <c r="Z2129" s="940"/>
      <c r="AA2129" s="940">
        <f t="shared" si="41"/>
        <v>0</v>
      </c>
      <c r="AB2129" s="940"/>
      <c r="AC2129" s="940"/>
      <c r="AD2129" s="940"/>
      <c r="AE2129" s="871">
        <f>S1MAData!U53</f>
        <v>0</v>
      </c>
      <c r="AF2129" s="871"/>
      <c r="AG2129" s="529"/>
      <c r="AH2129" s="518"/>
      <c r="AJ2129" s="595" t="b">
        <f t="shared" si="42"/>
        <v>0</v>
      </c>
    </row>
    <row r="2130" spans="1:36" hidden="1" x14ac:dyDescent="0.45">
      <c r="B2130" s="514" t="s">
        <v>1455</v>
      </c>
      <c r="C2130" s="530"/>
      <c r="D2130" s="530"/>
      <c r="E2130" s="530"/>
      <c r="F2130" s="530"/>
      <c r="G2130" s="885" t="str">
        <f>IF(S1MAData!N54=0,"",SUBSTITUTE(SUBSTITUTE(S1MAData!N54,"Acquired and Rehabilitated Housing","A/R"),"Newly Constructed Housing","N/C"))</f>
        <v/>
      </c>
      <c r="H2130" s="885"/>
      <c r="I2130" s="583" t="str">
        <f>IF(S1MAData!AM54=0,"",LEFT(S1MAData!AM54,1))</f>
        <v/>
      </c>
      <c r="J2130" s="583" t="str">
        <f>IF(S1MAData!L54=0,"",LEFT(S1MAData!L54,1))</f>
        <v/>
      </c>
      <c r="K2130" s="939">
        <f>S1MAData!O54</f>
        <v>0</v>
      </c>
      <c r="L2130" s="1181"/>
      <c r="M2130" s="940">
        <f>S1MAData!P54</f>
        <v>0</v>
      </c>
      <c r="N2130" s="940"/>
      <c r="O2130" s="940"/>
      <c r="P2130" s="940"/>
      <c r="Q2130" s="940">
        <f>S1MAData!Q54</f>
        <v>0</v>
      </c>
      <c r="R2130" s="940"/>
      <c r="S2130" s="940"/>
      <c r="T2130" s="940"/>
      <c r="U2130" s="940">
        <f>S1MAData!R54</f>
        <v>0</v>
      </c>
      <c r="V2130" s="940"/>
      <c r="W2130" s="940"/>
      <c r="X2130" s="940">
        <f>S1MAData!S54</f>
        <v>0</v>
      </c>
      <c r="Y2130" s="940"/>
      <c r="Z2130" s="940"/>
      <c r="AA2130" s="940">
        <f t="shared" si="41"/>
        <v>0</v>
      </c>
      <c r="AB2130" s="940"/>
      <c r="AC2130" s="940"/>
      <c r="AD2130" s="940"/>
      <c r="AE2130" s="871">
        <f>S1MAData!U54</f>
        <v>0</v>
      </c>
      <c r="AF2130" s="871"/>
      <c r="AG2130" s="529"/>
      <c r="AH2130" s="518"/>
      <c r="AJ2130" s="595" t="b">
        <f t="shared" si="42"/>
        <v>0</v>
      </c>
    </row>
    <row r="2131" spans="1:36" hidden="1" x14ac:dyDescent="0.45">
      <c r="B2131" s="514" t="s">
        <v>1456</v>
      </c>
      <c r="C2131" s="530"/>
      <c r="D2131" s="530"/>
      <c r="E2131" s="530"/>
      <c r="F2131" s="530"/>
      <c r="G2131" s="885" t="str">
        <f>IF(S1MAData!N55=0,"",SUBSTITUTE(SUBSTITUTE(S1MAData!N55,"Acquired and Rehabilitated Housing","A/R"),"Newly Constructed Housing","N/C"))</f>
        <v/>
      </c>
      <c r="H2131" s="885"/>
      <c r="I2131" s="583" t="str">
        <f>IF(S1MAData!AM55=0,"",LEFT(S1MAData!AM55,1))</f>
        <v/>
      </c>
      <c r="J2131" s="583" t="str">
        <f>IF(S1MAData!L55=0,"",LEFT(S1MAData!L55,1))</f>
        <v/>
      </c>
      <c r="K2131" s="939">
        <f>S1MAData!O55</f>
        <v>0</v>
      </c>
      <c r="L2131" s="1181"/>
      <c r="M2131" s="940">
        <f>S1MAData!P55</f>
        <v>0</v>
      </c>
      <c r="N2131" s="940"/>
      <c r="O2131" s="940"/>
      <c r="P2131" s="940"/>
      <c r="Q2131" s="940">
        <f>S1MAData!Q55</f>
        <v>0</v>
      </c>
      <c r="R2131" s="940"/>
      <c r="S2131" s="940"/>
      <c r="T2131" s="940"/>
      <c r="U2131" s="940">
        <f>S1MAData!R55</f>
        <v>0</v>
      </c>
      <c r="V2131" s="940"/>
      <c r="W2131" s="940"/>
      <c r="X2131" s="940">
        <f>S1MAData!S55</f>
        <v>0</v>
      </c>
      <c r="Y2131" s="940"/>
      <c r="Z2131" s="940"/>
      <c r="AA2131" s="940">
        <f t="shared" si="41"/>
        <v>0</v>
      </c>
      <c r="AB2131" s="940"/>
      <c r="AC2131" s="940"/>
      <c r="AD2131" s="940"/>
      <c r="AE2131" s="871">
        <f>S1MAData!U55</f>
        <v>0</v>
      </c>
      <c r="AF2131" s="871"/>
      <c r="AG2131" s="529"/>
      <c r="AH2131" s="518"/>
      <c r="AJ2131" s="595" t="b">
        <f t="shared" si="42"/>
        <v>0</v>
      </c>
    </row>
    <row r="2132" spans="1:36" hidden="1" x14ac:dyDescent="0.45">
      <c r="B2132" s="514" t="s">
        <v>1457</v>
      </c>
      <c r="C2132" s="530"/>
      <c r="D2132" s="530"/>
      <c r="E2132" s="530"/>
      <c r="F2132" s="530"/>
      <c r="G2132" s="885" t="str">
        <f>IF(S1MAData!N56=0,"",SUBSTITUTE(SUBSTITUTE(S1MAData!N56,"Acquired and Rehabilitated Housing","A/R"),"Newly Constructed Housing","N/C"))</f>
        <v/>
      </c>
      <c r="H2132" s="885"/>
      <c r="I2132" s="583" t="str">
        <f>IF(S1MAData!AM56=0,"",LEFT(S1MAData!AM56,1))</f>
        <v/>
      </c>
      <c r="J2132" s="583" t="str">
        <f>IF(S1MAData!L56=0,"",LEFT(S1MAData!L56,1))</f>
        <v/>
      </c>
      <c r="K2132" s="939">
        <f>S1MAData!O56</f>
        <v>0</v>
      </c>
      <c r="L2132" s="1181"/>
      <c r="M2132" s="940">
        <f>S1MAData!P56</f>
        <v>0</v>
      </c>
      <c r="N2132" s="940"/>
      <c r="O2132" s="940"/>
      <c r="P2132" s="940"/>
      <c r="Q2132" s="940">
        <f>S1MAData!Q56</f>
        <v>0</v>
      </c>
      <c r="R2132" s="940"/>
      <c r="S2132" s="940"/>
      <c r="T2132" s="940"/>
      <c r="U2132" s="940">
        <f>S1MAData!R56</f>
        <v>0</v>
      </c>
      <c r="V2132" s="940"/>
      <c r="W2132" s="940"/>
      <c r="X2132" s="940">
        <f>S1MAData!S56</f>
        <v>0</v>
      </c>
      <c r="Y2132" s="940"/>
      <c r="Z2132" s="940"/>
      <c r="AA2132" s="940">
        <f t="shared" si="41"/>
        <v>0</v>
      </c>
      <c r="AB2132" s="940"/>
      <c r="AC2132" s="940"/>
      <c r="AD2132" s="940"/>
      <c r="AE2132" s="871">
        <f>S1MAData!U56</f>
        <v>0</v>
      </c>
      <c r="AF2132" s="871"/>
      <c r="AG2132" s="529"/>
      <c r="AH2132" s="518"/>
      <c r="AJ2132" s="595" t="b">
        <f t="shared" si="42"/>
        <v>0</v>
      </c>
    </row>
    <row r="2133" spans="1:36" hidden="1" x14ac:dyDescent="0.45">
      <c r="B2133" s="514" t="s">
        <v>1458</v>
      </c>
      <c r="C2133" s="530"/>
      <c r="D2133" s="530"/>
      <c r="E2133" s="530"/>
      <c r="F2133" s="530"/>
      <c r="G2133" s="885" t="str">
        <f>IF(S1MAData!N57=0,"",SUBSTITUTE(SUBSTITUTE(S1MAData!N57,"Acquired and Rehabilitated Housing","A/R"),"Newly Constructed Housing","N/C"))</f>
        <v/>
      </c>
      <c r="H2133" s="885"/>
      <c r="I2133" s="583" t="str">
        <f>IF(S1MAData!AM57=0,"",LEFT(S1MAData!AM57,1))</f>
        <v/>
      </c>
      <c r="J2133" s="583" t="str">
        <f>IF(S1MAData!L57=0,"",LEFT(S1MAData!L57,1))</f>
        <v/>
      </c>
      <c r="K2133" s="939">
        <f>S1MAData!O57</f>
        <v>0</v>
      </c>
      <c r="L2133" s="1181"/>
      <c r="M2133" s="940">
        <f>S1MAData!P57</f>
        <v>0</v>
      </c>
      <c r="N2133" s="940"/>
      <c r="O2133" s="940"/>
      <c r="P2133" s="940"/>
      <c r="Q2133" s="940">
        <f>S1MAData!Q57</f>
        <v>0</v>
      </c>
      <c r="R2133" s="940"/>
      <c r="S2133" s="940"/>
      <c r="T2133" s="940"/>
      <c r="U2133" s="940">
        <f>S1MAData!R57</f>
        <v>0</v>
      </c>
      <c r="V2133" s="940"/>
      <c r="W2133" s="940"/>
      <c r="X2133" s="940">
        <f>S1MAData!S57</f>
        <v>0</v>
      </c>
      <c r="Y2133" s="940"/>
      <c r="Z2133" s="940"/>
      <c r="AA2133" s="940">
        <f t="shared" si="41"/>
        <v>0</v>
      </c>
      <c r="AB2133" s="940"/>
      <c r="AC2133" s="940"/>
      <c r="AD2133" s="940"/>
      <c r="AE2133" s="871">
        <f>S1MAData!U57</f>
        <v>0</v>
      </c>
      <c r="AF2133" s="871"/>
      <c r="AG2133" s="529"/>
      <c r="AH2133" s="518"/>
      <c r="AJ2133" s="595" t="b">
        <f t="shared" si="42"/>
        <v>0</v>
      </c>
    </row>
    <row r="2134" spans="1:36" hidden="1" x14ac:dyDescent="0.45">
      <c r="B2134" s="514" t="s">
        <v>1459</v>
      </c>
      <c r="C2134" s="530"/>
      <c r="D2134" s="530"/>
      <c r="E2134" s="530"/>
      <c r="F2134" s="530"/>
      <c r="G2134" s="885" t="str">
        <f>IF(S1MAData!N58=0,"",SUBSTITUTE(SUBSTITUTE(S1MAData!N58,"Acquired and Rehabilitated Housing","A/R"),"Newly Constructed Housing","N/C"))</f>
        <v/>
      </c>
      <c r="H2134" s="885"/>
      <c r="I2134" s="583" t="str">
        <f>IF(S1MAData!AM58=0,"",LEFT(S1MAData!AM58,1))</f>
        <v/>
      </c>
      <c r="J2134" s="583" t="str">
        <f>IF(S1MAData!L58=0,"",LEFT(S1MAData!L58,1))</f>
        <v/>
      </c>
      <c r="K2134" s="939">
        <f>S1MAData!O58</f>
        <v>0</v>
      </c>
      <c r="L2134" s="1181"/>
      <c r="M2134" s="940">
        <f>S1MAData!P58</f>
        <v>0</v>
      </c>
      <c r="N2134" s="940"/>
      <c r="O2134" s="940"/>
      <c r="P2134" s="940"/>
      <c r="Q2134" s="940">
        <f>S1MAData!Q58</f>
        <v>0</v>
      </c>
      <c r="R2134" s="940"/>
      <c r="S2134" s="940"/>
      <c r="T2134" s="940"/>
      <c r="U2134" s="940">
        <f>S1MAData!R58</f>
        <v>0</v>
      </c>
      <c r="V2134" s="940"/>
      <c r="W2134" s="940"/>
      <c r="X2134" s="940">
        <f>S1MAData!S58</f>
        <v>0</v>
      </c>
      <c r="Y2134" s="940"/>
      <c r="Z2134" s="940"/>
      <c r="AA2134" s="940">
        <f t="shared" si="41"/>
        <v>0</v>
      </c>
      <c r="AB2134" s="940"/>
      <c r="AC2134" s="940"/>
      <c r="AD2134" s="940"/>
      <c r="AE2134" s="871">
        <f>S1MAData!U58</f>
        <v>0</v>
      </c>
      <c r="AF2134" s="871"/>
      <c r="AG2134" s="529"/>
      <c r="AH2134" s="518"/>
      <c r="AJ2134" s="595" t="b">
        <f t="shared" si="42"/>
        <v>0</v>
      </c>
    </row>
    <row r="2135" spans="1:36" hidden="1" x14ac:dyDescent="0.45">
      <c r="A2135" s="518"/>
      <c r="B2135" s="514" t="s">
        <v>1460</v>
      </c>
      <c r="C2135" s="530"/>
      <c r="D2135" s="530"/>
      <c r="E2135" s="530"/>
      <c r="F2135" s="530"/>
      <c r="G2135" s="885" t="str">
        <f>IF(S1MAData!N59=0,"",SUBSTITUTE(SUBSTITUTE(S1MAData!N59,"Acquired and Rehabilitated Housing","A/R"),"Newly Constructed Housing","N/C"))</f>
        <v/>
      </c>
      <c r="H2135" s="885"/>
      <c r="I2135" s="583" t="str">
        <f>IF(S1MAData!AM59=0,"",LEFT(S1MAData!AM59,1))</f>
        <v/>
      </c>
      <c r="J2135" s="583" t="str">
        <f>IF(S1MAData!L59=0,"",LEFT(S1MAData!L59,1))</f>
        <v/>
      </c>
      <c r="K2135" s="939">
        <f>S1MAData!O59</f>
        <v>0</v>
      </c>
      <c r="L2135" s="1181"/>
      <c r="M2135" s="940">
        <f>S1MAData!P59</f>
        <v>0</v>
      </c>
      <c r="N2135" s="940"/>
      <c r="O2135" s="940"/>
      <c r="P2135" s="940"/>
      <c r="Q2135" s="940">
        <f>S1MAData!Q59</f>
        <v>0</v>
      </c>
      <c r="R2135" s="940"/>
      <c r="S2135" s="940"/>
      <c r="T2135" s="940"/>
      <c r="U2135" s="940">
        <f>S1MAData!R59</f>
        <v>0</v>
      </c>
      <c r="V2135" s="940"/>
      <c r="W2135" s="940"/>
      <c r="X2135" s="940">
        <f>S1MAData!S59</f>
        <v>0</v>
      </c>
      <c r="Y2135" s="940"/>
      <c r="Z2135" s="940"/>
      <c r="AA2135" s="940">
        <f t="shared" si="41"/>
        <v>0</v>
      </c>
      <c r="AB2135" s="940"/>
      <c r="AC2135" s="940"/>
      <c r="AD2135" s="940"/>
      <c r="AE2135" s="871">
        <f>S1MAData!U59</f>
        <v>0</v>
      </c>
      <c r="AF2135" s="871"/>
      <c r="AG2135" s="529"/>
      <c r="AH2135" s="518"/>
      <c r="AJ2135" s="595" t="b">
        <f t="shared" si="42"/>
        <v>0</v>
      </c>
    </row>
    <row r="2136" spans="1:36" hidden="1" x14ac:dyDescent="0.45">
      <c r="A2136" s="518"/>
      <c r="B2136" s="514" t="s">
        <v>1461</v>
      </c>
      <c r="C2136" s="530"/>
      <c r="D2136" s="530"/>
      <c r="E2136" s="530"/>
      <c r="F2136" s="530"/>
      <c r="G2136" s="885" t="str">
        <f>IF(S1MAData!N60=0,"",SUBSTITUTE(SUBSTITUTE(S1MAData!N60,"Acquired and Rehabilitated Housing","A/R"),"Newly Constructed Housing","N/C"))</f>
        <v/>
      </c>
      <c r="H2136" s="885"/>
      <c r="I2136" s="583" t="str">
        <f>IF(S1MAData!AM60=0,"",LEFT(S1MAData!AM60,1))</f>
        <v/>
      </c>
      <c r="J2136" s="583" t="str">
        <f>IF(S1MAData!L60=0,"",LEFT(S1MAData!L60,1))</f>
        <v/>
      </c>
      <c r="K2136" s="939">
        <f>S1MAData!O60</f>
        <v>0</v>
      </c>
      <c r="L2136" s="1181"/>
      <c r="M2136" s="940">
        <f>S1MAData!P60</f>
        <v>0</v>
      </c>
      <c r="N2136" s="940"/>
      <c r="O2136" s="940"/>
      <c r="P2136" s="940"/>
      <c r="Q2136" s="940">
        <f>S1MAData!Q60</f>
        <v>0</v>
      </c>
      <c r="R2136" s="940"/>
      <c r="S2136" s="940"/>
      <c r="T2136" s="940"/>
      <c r="U2136" s="940">
        <f>S1MAData!R60</f>
        <v>0</v>
      </c>
      <c r="V2136" s="940"/>
      <c r="W2136" s="940"/>
      <c r="X2136" s="940">
        <f>S1MAData!S60</f>
        <v>0</v>
      </c>
      <c r="Y2136" s="940"/>
      <c r="Z2136" s="940"/>
      <c r="AA2136" s="940">
        <f t="shared" si="41"/>
        <v>0</v>
      </c>
      <c r="AB2136" s="940"/>
      <c r="AC2136" s="940"/>
      <c r="AD2136" s="940"/>
      <c r="AE2136" s="871">
        <f>S1MAData!U60</f>
        <v>0</v>
      </c>
      <c r="AF2136" s="871"/>
      <c r="AG2136" s="529"/>
      <c r="AH2136" s="518"/>
      <c r="AJ2136" s="595" t="b">
        <f t="shared" si="42"/>
        <v>0</v>
      </c>
    </row>
    <row r="2137" spans="1:36" hidden="1" x14ac:dyDescent="0.45">
      <c r="A2137" s="518"/>
      <c r="B2137" s="518"/>
      <c r="C2137" s="518"/>
      <c r="D2137" s="518"/>
      <c r="E2137" s="518"/>
      <c r="F2137" s="518"/>
      <c r="G2137" s="518"/>
      <c r="H2137" s="518"/>
      <c r="I2137" s="518"/>
      <c r="J2137" s="518"/>
      <c r="K2137" s="518"/>
      <c r="L2137" s="518"/>
      <c r="M2137" s="518"/>
      <c r="N2137" s="518"/>
      <c r="O2137" s="518"/>
      <c r="P2137" s="518"/>
      <c r="Q2137" s="518"/>
      <c r="R2137" s="518"/>
      <c r="S2137" s="518"/>
      <c r="T2137" s="518"/>
      <c r="U2137" s="518"/>
      <c r="V2137" s="518"/>
      <c r="W2137" s="518"/>
      <c r="X2137" s="518"/>
      <c r="Y2137" s="518"/>
      <c r="Z2137" s="518"/>
      <c r="AA2137" s="518"/>
      <c r="AB2137" s="518"/>
      <c r="AC2137" s="518"/>
      <c r="AD2137" s="518"/>
      <c r="AE2137" s="518"/>
      <c r="AF2137" s="518"/>
      <c r="AG2137" s="518"/>
      <c r="AH2137" s="518"/>
      <c r="AJ2137" s="595" t="b">
        <f>AJ2072</f>
        <v>0</v>
      </c>
    </row>
    <row r="2138" spans="1:36" hidden="1" x14ac:dyDescent="0.45">
      <c r="A2138" s="518"/>
      <c r="B2138" s="911" t="s">
        <v>173</v>
      </c>
      <c r="C2138" s="912"/>
      <c r="D2138" s="912"/>
      <c r="E2138" s="912"/>
      <c r="F2138" s="912"/>
      <c r="G2138" s="912"/>
      <c r="H2138" s="913">
        <f>S1_MA_UnrestrictedTotalRequested</f>
        <v>0</v>
      </c>
      <c r="I2138" s="914"/>
      <c r="J2138" s="914"/>
      <c r="K2138" s="914"/>
      <c r="L2138" s="914"/>
      <c r="M2138" s="914"/>
      <c r="N2138" s="915"/>
      <c r="O2138" s="518"/>
      <c r="P2138" s="518"/>
      <c r="Q2138" s="518"/>
      <c r="R2138" s="518"/>
      <c r="S2138" s="518"/>
      <c r="T2138" s="518"/>
      <c r="U2138" s="518"/>
      <c r="V2138" s="518"/>
      <c r="W2138" s="518"/>
      <c r="X2138" s="518"/>
      <c r="Y2138" s="518"/>
      <c r="Z2138" s="518"/>
      <c r="AA2138" s="518"/>
      <c r="AB2138" s="518"/>
      <c r="AC2138" s="518"/>
      <c r="AD2138" s="518"/>
      <c r="AE2138" s="518"/>
      <c r="AF2138" s="518"/>
      <c r="AG2138" s="518"/>
      <c r="AH2138" s="518"/>
      <c r="AJ2138" s="595"/>
    </row>
    <row r="2139" spans="1:36" hidden="1" x14ac:dyDescent="0.45">
      <c r="A2139" s="518"/>
      <c r="B2139" s="518"/>
      <c r="C2139" s="518"/>
      <c r="D2139" s="518"/>
      <c r="E2139" s="518"/>
      <c r="F2139" s="518"/>
      <c r="G2139" s="518"/>
      <c r="H2139" s="518"/>
      <c r="I2139" s="518"/>
      <c r="J2139" s="518"/>
      <c r="K2139" s="518"/>
      <c r="L2139" s="518"/>
      <c r="M2139" s="518"/>
      <c r="N2139" s="518"/>
      <c r="O2139" s="518"/>
      <c r="P2139" s="518"/>
      <c r="Q2139" s="518"/>
      <c r="R2139" s="518"/>
      <c r="S2139" s="518"/>
      <c r="T2139" s="518"/>
      <c r="U2139" s="518"/>
      <c r="V2139" s="518"/>
      <c r="W2139" s="518"/>
      <c r="X2139" s="518"/>
      <c r="Y2139" s="518"/>
      <c r="Z2139" s="518"/>
      <c r="AA2139" s="518"/>
      <c r="AB2139" s="518"/>
      <c r="AC2139" s="518"/>
      <c r="AD2139" s="518"/>
      <c r="AE2139" s="518"/>
      <c r="AF2139" s="518"/>
      <c r="AG2139" s="518"/>
      <c r="AH2139" s="518"/>
      <c r="AJ2139" s="595"/>
    </row>
    <row r="2140" spans="1:36" hidden="1" x14ac:dyDescent="0.45">
      <c r="A2140" s="518"/>
      <c r="B2140" s="517" t="s">
        <v>1854</v>
      </c>
      <c r="C2140" s="517"/>
      <c r="D2140" s="517"/>
      <c r="E2140" s="517"/>
      <c r="F2140" s="517"/>
      <c r="G2140" s="517"/>
      <c r="H2140" s="517"/>
      <c r="I2140" s="517"/>
      <c r="J2140" s="517"/>
      <c r="K2140" s="517"/>
      <c r="L2140" s="517"/>
      <c r="M2140" s="517"/>
      <c r="N2140" s="517"/>
      <c r="O2140" s="517"/>
      <c r="P2140" s="517"/>
      <c r="Q2140" s="517"/>
      <c r="R2140" s="517"/>
      <c r="S2140" s="517"/>
      <c r="T2140" s="517"/>
      <c r="U2140" s="517"/>
      <c r="V2140" s="517"/>
      <c r="W2140" s="517"/>
      <c r="X2140" s="517"/>
      <c r="Y2140" s="517"/>
      <c r="Z2140" s="517"/>
      <c r="AA2140" s="517"/>
      <c r="AB2140" s="517"/>
      <c r="AC2140" s="517"/>
      <c r="AD2140" s="517"/>
      <c r="AE2140" s="517"/>
      <c r="AF2140" s="517"/>
      <c r="AG2140" s="517"/>
      <c r="AH2140" s="518"/>
      <c r="AJ2140" s="595"/>
    </row>
    <row r="2141" spans="1:36" hidden="1" x14ac:dyDescent="0.45">
      <c r="A2141" s="518"/>
      <c r="B2141" s="922" t="s">
        <v>174</v>
      </c>
      <c r="C2141" s="922"/>
      <c r="D2141" s="922"/>
      <c r="E2141" s="922"/>
      <c r="F2141" s="922"/>
      <c r="G2141" s="922"/>
      <c r="H2141" s="922"/>
      <c r="I2141" s="922"/>
      <c r="J2141" s="922"/>
      <c r="K2141" s="922"/>
      <c r="L2141" s="922"/>
      <c r="M2141" s="922"/>
      <c r="N2141" s="922"/>
      <c r="O2141" s="878"/>
      <c r="P2141" s="879"/>
      <c r="Q2141" s="880"/>
      <c r="R2141" s="518"/>
      <c r="S2141" s="518"/>
      <c r="T2141" s="518"/>
      <c r="U2141" s="518"/>
      <c r="V2141" s="518"/>
      <c r="W2141" s="518"/>
      <c r="X2141" s="518"/>
      <c r="Y2141" s="518"/>
      <c r="Z2141" s="518"/>
      <c r="AA2141" s="518"/>
      <c r="AB2141" s="518"/>
      <c r="AC2141" s="518"/>
      <c r="AD2141" s="518"/>
      <c r="AE2141" s="518"/>
      <c r="AF2141" s="518"/>
      <c r="AG2141" s="518"/>
      <c r="AH2141" s="518"/>
      <c r="AJ2141" s="595"/>
    </row>
    <row r="2142" spans="1:36" hidden="1" x14ac:dyDescent="0.45">
      <c r="A2142" s="518"/>
      <c r="B2142" s="922" t="s">
        <v>175</v>
      </c>
      <c r="C2142" s="922"/>
      <c r="D2142" s="922"/>
      <c r="E2142" s="922"/>
      <c r="F2142" s="922"/>
      <c r="G2142" s="922"/>
      <c r="H2142" s="922"/>
      <c r="I2142" s="922"/>
      <c r="J2142" s="922"/>
      <c r="K2142" s="922"/>
      <c r="L2142" s="922"/>
      <c r="M2142" s="922"/>
      <c r="N2142" s="922"/>
      <c r="O2142" s="878"/>
      <c r="P2142" s="879"/>
      <c r="Q2142" s="880"/>
      <c r="R2142" s="518"/>
      <c r="S2142" s="518"/>
      <c r="T2142" s="518"/>
      <c r="U2142" s="518"/>
      <c r="V2142" s="518"/>
      <c r="W2142" s="518"/>
      <c r="X2142" s="518"/>
      <c r="Y2142" s="518"/>
      <c r="Z2142" s="518"/>
      <c r="AA2142" s="518"/>
      <c r="AB2142" s="518"/>
      <c r="AC2142" s="518"/>
      <c r="AD2142" s="518"/>
      <c r="AE2142" s="518"/>
      <c r="AF2142" s="518"/>
      <c r="AG2142" s="518"/>
      <c r="AH2142" s="518"/>
      <c r="AJ2142" s="595"/>
    </row>
    <row r="2143" spans="1:36" hidden="1" x14ac:dyDescent="0.45">
      <c r="A2143" s="518"/>
      <c r="B2143" s="922" t="s">
        <v>176</v>
      </c>
      <c r="C2143" s="922"/>
      <c r="D2143" s="922"/>
      <c r="E2143" s="922"/>
      <c r="F2143" s="922"/>
      <c r="G2143" s="922"/>
      <c r="H2143" s="922"/>
      <c r="I2143" s="922"/>
      <c r="J2143" s="922"/>
      <c r="K2143" s="922"/>
      <c r="L2143" s="922"/>
      <c r="M2143" s="922"/>
      <c r="N2143" s="922"/>
      <c r="O2143" s="878"/>
      <c r="P2143" s="879"/>
      <c r="Q2143" s="880"/>
      <c r="R2143" s="518"/>
      <c r="S2143" s="518"/>
      <c r="T2143" s="518"/>
      <c r="U2143" s="518"/>
      <c r="V2143" s="518"/>
      <c r="W2143" s="518"/>
      <c r="X2143" s="518"/>
      <c r="Y2143" s="518"/>
      <c r="Z2143" s="518"/>
      <c r="AA2143" s="518"/>
      <c r="AB2143" s="518"/>
      <c r="AC2143" s="518"/>
      <c r="AD2143" s="518"/>
      <c r="AE2143" s="518"/>
      <c r="AF2143" s="518"/>
      <c r="AG2143" s="518"/>
      <c r="AH2143" s="518"/>
      <c r="AJ2143" s="595"/>
    </row>
    <row r="2144" spans="1:36" hidden="1" x14ac:dyDescent="0.45">
      <c r="A2144" s="518"/>
      <c r="B2144" s="922" t="s">
        <v>177</v>
      </c>
      <c r="C2144" s="922"/>
      <c r="D2144" s="922"/>
      <c r="E2144" s="922"/>
      <c r="F2144" s="922"/>
      <c r="G2144" s="922"/>
      <c r="H2144" s="922"/>
      <c r="I2144" s="922"/>
      <c r="J2144" s="922"/>
      <c r="K2144" s="922"/>
      <c r="L2144" s="922"/>
      <c r="M2144" s="922"/>
      <c r="N2144" s="922"/>
      <c r="O2144" s="878"/>
      <c r="P2144" s="879"/>
      <c r="Q2144" s="880"/>
      <c r="R2144" s="518"/>
      <c r="S2144" s="518"/>
      <c r="T2144" s="518"/>
      <c r="U2144" s="518"/>
      <c r="V2144" s="518"/>
      <c r="W2144" s="518"/>
      <c r="X2144" s="518"/>
      <c r="Y2144" s="518"/>
      <c r="Z2144" s="518"/>
      <c r="AA2144" s="518"/>
      <c r="AB2144" s="518"/>
      <c r="AC2144" s="518"/>
      <c r="AD2144" s="518"/>
      <c r="AE2144" s="518"/>
      <c r="AF2144" s="518"/>
      <c r="AG2144" s="518"/>
      <c r="AH2144" s="518"/>
      <c r="AJ2144" s="595"/>
    </row>
    <row r="2145" spans="1:36" hidden="1" x14ac:dyDescent="0.45">
      <c r="A2145" s="518"/>
      <c r="B2145" s="922" t="s">
        <v>178</v>
      </c>
      <c r="C2145" s="922"/>
      <c r="D2145" s="922"/>
      <c r="E2145" s="922"/>
      <c r="F2145" s="922"/>
      <c r="G2145" s="922"/>
      <c r="H2145" s="922"/>
      <c r="I2145" s="922"/>
      <c r="J2145" s="922"/>
      <c r="K2145" s="922"/>
      <c r="L2145" s="922"/>
      <c r="M2145" s="922"/>
      <c r="N2145" s="922"/>
      <c r="O2145" s="878"/>
      <c r="P2145" s="879"/>
      <c r="Q2145" s="880"/>
      <c r="R2145" s="518"/>
      <c r="S2145" s="518"/>
      <c r="T2145" s="518"/>
      <c r="U2145" s="518"/>
      <c r="V2145" s="518"/>
      <c r="W2145" s="518"/>
      <c r="X2145" s="518"/>
      <c r="Y2145" s="518"/>
      <c r="Z2145" s="518"/>
      <c r="AA2145" s="518"/>
      <c r="AB2145" s="518"/>
      <c r="AC2145" s="518"/>
      <c r="AD2145" s="518"/>
      <c r="AE2145" s="518"/>
      <c r="AF2145" s="518"/>
      <c r="AG2145" s="518"/>
      <c r="AH2145" s="518"/>
      <c r="AJ2145" s="595"/>
    </row>
    <row r="2146" spans="1:36" hidden="1" x14ac:dyDescent="0.45">
      <c r="A2146" s="518"/>
      <c r="B2146" s="922" t="s">
        <v>179</v>
      </c>
      <c r="C2146" s="922"/>
      <c r="D2146" s="922"/>
      <c r="E2146" s="922"/>
      <c r="F2146" s="922"/>
      <c r="G2146" s="922"/>
      <c r="H2146" s="922"/>
      <c r="I2146" s="922"/>
      <c r="J2146" s="922"/>
      <c r="K2146" s="922"/>
      <c r="L2146" s="922"/>
      <c r="M2146" s="922"/>
      <c r="N2146" s="922"/>
      <c r="O2146" s="878"/>
      <c r="P2146" s="879"/>
      <c r="Q2146" s="880"/>
      <c r="R2146" s="518"/>
      <c r="S2146" s="518"/>
      <c r="T2146" s="518"/>
      <c r="U2146" s="518"/>
      <c r="V2146" s="518"/>
      <c r="W2146" s="518"/>
      <c r="X2146" s="518"/>
      <c r="Y2146" s="518"/>
      <c r="Z2146" s="518"/>
      <c r="AA2146" s="518"/>
      <c r="AB2146" s="518"/>
      <c r="AC2146" s="518"/>
      <c r="AD2146" s="518"/>
      <c r="AE2146" s="518"/>
      <c r="AF2146" s="518"/>
      <c r="AG2146" s="518"/>
      <c r="AH2146" s="518"/>
      <c r="AJ2146" s="595"/>
    </row>
    <row r="2147" spans="1:36" hidden="1" x14ac:dyDescent="0.45">
      <c r="A2147" s="518"/>
      <c r="B2147" s="922" t="s">
        <v>180</v>
      </c>
      <c r="C2147" s="922"/>
      <c r="D2147" s="922"/>
      <c r="E2147" s="922"/>
      <c r="F2147" s="922"/>
      <c r="G2147" s="922"/>
      <c r="H2147" s="922"/>
      <c r="I2147" s="922"/>
      <c r="J2147" s="922"/>
      <c r="K2147" s="922"/>
      <c r="L2147" s="922"/>
      <c r="M2147" s="922"/>
      <c r="N2147" s="922"/>
      <c r="O2147" s="878"/>
      <c r="P2147" s="879"/>
      <c r="Q2147" s="880"/>
      <c r="R2147" s="518"/>
      <c r="S2147" s="518"/>
      <c r="T2147" s="518"/>
      <c r="U2147" s="518"/>
      <c r="V2147" s="518"/>
      <c r="W2147" s="518"/>
      <c r="X2147" s="518"/>
      <c r="Y2147" s="518"/>
      <c r="Z2147" s="518"/>
      <c r="AA2147" s="518"/>
      <c r="AB2147" s="518"/>
      <c r="AC2147" s="518"/>
      <c r="AD2147" s="518"/>
      <c r="AE2147" s="518"/>
      <c r="AF2147" s="518"/>
      <c r="AG2147" s="518"/>
      <c r="AH2147" s="518"/>
      <c r="AJ2147" s="595"/>
    </row>
    <row r="2148" spans="1:36" hidden="1" x14ac:dyDescent="0.45">
      <c r="A2148" s="518"/>
      <c r="B2148" s="922" t="s">
        <v>1808</v>
      </c>
      <c r="C2148" s="922"/>
      <c r="D2148" s="922"/>
      <c r="E2148" s="922"/>
      <c r="F2148" s="922"/>
      <c r="G2148" s="922"/>
      <c r="H2148" s="922"/>
      <c r="I2148" s="922"/>
      <c r="J2148" s="922"/>
      <c r="K2148" s="922"/>
      <c r="L2148" s="922"/>
      <c r="M2148" s="922"/>
      <c r="N2148" s="922"/>
      <c r="O2148" s="878">
        <v>0</v>
      </c>
      <c r="P2148" s="879"/>
      <c r="Q2148" s="880"/>
      <c r="R2148" s="518"/>
      <c r="S2148" s="518"/>
      <c r="T2148" s="518"/>
      <c r="U2148" s="518"/>
      <c r="V2148" s="518"/>
      <c r="W2148" s="518"/>
      <c r="X2148" s="518"/>
      <c r="Y2148" s="518"/>
      <c r="Z2148" s="518"/>
      <c r="AA2148" s="518"/>
      <c r="AB2148" s="518"/>
      <c r="AC2148" s="518"/>
      <c r="AD2148" s="518"/>
      <c r="AE2148" s="518"/>
      <c r="AF2148" s="518"/>
      <c r="AG2148" s="518"/>
      <c r="AH2148" s="518"/>
      <c r="AJ2148" s="595"/>
    </row>
    <row r="2149" spans="1:36" hidden="1" x14ac:dyDescent="0.45">
      <c r="A2149" s="518"/>
      <c r="B2149" s="916" t="s">
        <v>181</v>
      </c>
      <c r="C2149" s="916"/>
      <c r="D2149" s="916"/>
      <c r="E2149" s="916"/>
      <c r="F2149" s="916"/>
      <c r="G2149" s="916"/>
      <c r="H2149" s="916"/>
      <c r="I2149" s="916"/>
      <c r="J2149" s="916"/>
      <c r="K2149" s="916"/>
      <c r="L2149" s="916"/>
      <c r="M2149" s="916"/>
      <c r="N2149" s="916"/>
      <c r="O2149" s="927"/>
      <c r="P2149" s="928"/>
      <c r="Q2149" s="929"/>
      <c r="R2149" s="518"/>
      <c r="S2149" s="518"/>
      <c r="T2149" s="518"/>
      <c r="U2149" s="518"/>
      <c r="V2149" s="518"/>
      <c r="W2149" s="518"/>
      <c r="X2149" s="518"/>
      <c r="Y2149" s="518"/>
      <c r="Z2149" s="518"/>
      <c r="AA2149" s="518"/>
      <c r="AB2149" s="518"/>
      <c r="AC2149" s="518"/>
      <c r="AD2149" s="518"/>
      <c r="AE2149" s="518"/>
      <c r="AF2149" s="518"/>
      <c r="AG2149" s="518"/>
      <c r="AH2149" s="518"/>
      <c r="AJ2149" s="595"/>
    </row>
    <row r="2150" spans="1:36" hidden="1" x14ac:dyDescent="0.45">
      <c r="A2150" s="518"/>
      <c r="B2150" s="930" t="s">
        <v>182</v>
      </c>
      <c r="C2150" s="930"/>
      <c r="D2150" s="930"/>
      <c r="E2150" s="930"/>
      <c r="F2150" s="930"/>
      <c r="G2150" s="930"/>
      <c r="H2150" s="930"/>
      <c r="I2150" s="930"/>
      <c r="J2150" s="930"/>
      <c r="K2150" s="930"/>
      <c r="L2150" s="930"/>
      <c r="M2150" s="930"/>
      <c r="N2150" s="930"/>
      <c r="O2150" s="878">
        <f>SUM(O2141:Q2148)-O2149</f>
        <v>0</v>
      </c>
      <c r="P2150" s="879"/>
      <c r="Q2150" s="880"/>
      <c r="R2150" s="518"/>
      <c r="S2150" s="518"/>
      <c r="T2150" s="518"/>
      <c r="U2150" s="518"/>
      <c r="V2150" s="518"/>
      <c r="W2150" s="518"/>
      <c r="X2150" s="518"/>
      <c r="Y2150" s="518"/>
      <c r="Z2150" s="518"/>
      <c r="AA2150" s="518"/>
      <c r="AB2150" s="518"/>
      <c r="AC2150" s="518"/>
      <c r="AD2150" s="518"/>
      <c r="AE2150" s="518"/>
      <c r="AF2150" s="518"/>
      <c r="AG2150" s="518"/>
      <c r="AH2150" s="518"/>
      <c r="AJ2150" s="595"/>
    </row>
    <row r="2151" spans="1:36" hidden="1" x14ac:dyDescent="0.45">
      <c r="A2151" s="518"/>
      <c r="B2151" s="517"/>
      <c r="C2151" s="517"/>
      <c r="D2151" s="517"/>
      <c r="E2151" s="517"/>
      <c r="F2151" s="517"/>
      <c r="G2151" s="517"/>
      <c r="H2151" s="517"/>
      <c r="I2151" s="517"/>
      <c r="J2151" s="517"/>
      <c r="K2151" s="517"/>
      <c r="L2151" s="517"/>
      <c r="M2151" s="517"/>
      <c r="N2151" s="517"/>
      <c r="O2151" s="532"/>
      <c r="P2151" s="532"/>
      <c r="Q2151" s="532"/>
      <c r="R2151" s="518"/>
      <c r="S2151" s="533"/>
      <c r="T2151" s="533"/>
      <c r="U2151" s="533"/>
      <c r="V2151" s="533"/>
      <c r="W2151" s="533"/>
      <c r="X2151" s="533"/>
      <c r="Y2151" s="533"/>
      <c r="Z2151" s="533"/>
      <c r="AA2151" s="533"/>
      <c r="AB2151" s="533"/>
      <c r="AC2151" s="533"/>
      <c r="AD2151" s="533"/>
      <c r="AE2151" s="533"/>
      <c r="AF2151" s="533"/>
      <c r="AG2151" s="533"/>
      <c r="AH2151" s="518"/>
      <c r="AJ2151" s="595"/>
    </row>
    <row r="2152" spans="1:36" ht="200.15" hidden="1" customHeight="1" x14ac:dyDescent="0.45">
      <c r="A2152" s="518"/>
      <c r="B2152" s="1174" t="s">
        <v>183</v>
      </c>
      <c r="C2152" s="1175"/>
      <c r="D2152" s="1175"/>
      <c r="E2152" s="1175"/>
      <c r="F2152" s="1175"/>
      <c r="G2152" s="1175"/>
      <c r="H2152" s="1175"/>
      <c r="I2152" s="1175"/>
      <c r="J2152" s="1175"/>
      <c r="K2152" s="1175"/>
      <c r="L2152" s="1175"/>
      <c r="M2152" s="1175"/>
      <c r="N2152" s="1175"/>
      <c r="O2152" s="1175"/>
      <c r="P2152" s="1175"/>
      <c r="Q2152" s="1175"/>
      <c r="R2152" s="1175"/>
      <c r="S2152" s="1175"/>
      <c r="T2152" s="1175"/>
      <c r="U2152" s="1175"/>
      <c r="V2152" s="1175"/>
      <c r="W2152" s="1175"/>
      <c r="X2152" s="1175"/>
      <c r="Y2152" s="1175"/>
      <c r="Z2152" s="1175"/>
      <c r="AA2152" s="1175"/>
      <c r="AB2152" s="1175"/>
      <c r="AC2152" s="1175"/>
      <c r="AD2152" s="1175"/>
      <c r="AE2152" s="1175"/>
      <c r="AF2152" s="1175"/>
      <c r="AG2152" s="1176"/>
      <c r="AH2152" s="518"/>
      <c r="AJ2152" s="595"/>
    </row>
    <row r="2153" spans="1:36" hidden="1" x14ac:dyDescent="0.45">
      <c r="A2153" s="518"/>
      <c r="B2153" s="518"/>
      <c r="C2153" s="518"/>
      <c r="D2153" s="518"/>
      <c r="E2153" s="518"/>
      <c r="F2153" s="518"/>
      <c r="G2153" s="518"/>
      <c r="H2153" s="518"/>
      <c r="I2153" s="518"/>
      <c r="J2153" s="518"/>
      <c r="K2153" s="518"/>
      <c r="L2153" s="518"/>
      <c r="M2153" s="518"/>
      <c r="N2153" s="518"/>
      <c r="O2153" s="518"/>
      <c r="P2153" s="518"/>
      <c r="Q2153" s="518"/>
      <c r="R2153" s="518"/>
      <c r="S2153" s="518"/>
      <c r="T2153" s="518"/>
      <c r="U2153" s="518"/>
      <c r="V2153" s="518"/>
      <c r="W2153" s="518"/>
      <c r="X2153" s="518"/>
      <c r="Y2153" s="518"/>
      <c r="Z2153" s="518"/>
      <c r="AA2153" s="518"/>
      <c r="AB2153" s="518"/>
      <c r="AC2153" s="518"/>
      <c r="AD2153" s="518"/>
      <c r="AE2153" s="518"/>
      <c r="AF2153" s="518"/>
      <c r="AG2153" s="518"/>
      <c r="AH2153" s="518"/>
      <c r="AJ2153" s="595"/>
    </row>
    <row r="2154" spans="1:36" hidden="1" x14ac:dyDescent="0.45">
      <c r="A2154" s="518"/>
      <c r="B2154" s="518"/>
      <c r="C2154" s="518"/>
      <c r="D2154" s="518"/>
      <c r="E2154" s="518"/>
      <c r="F2154" s="518"/>
      <c r="G2154" s="518"/>
      <c r="H2154" s="518"/>
      <c r="I2154" s="518"/>
      <c r="J2154" s="518"/>
      <c r="K2154" s="518"/>
      <c r="L2154" s="518"/>
      <c r="M2154" s="518"/>
      <c r="N2154" s="518"/>
      <c r="O2154" s="518"/>
      <c r="P2154" s="518"/>
      <c r="Q2154" s="518"/>
      <c r="R2154" s="518"/>
      <c r="S2154" s="518"/>
      <c r="T2154" s="518"/>
      <c r="U2154" s="518"/>
      <c r="V2154" s="518"/>
      <c r="W2154" s="518"/>
      <c r="X2154" s="518"/>
      <c r="Y2154" s="518"/>
      <c r="Z2154" s="518"/>
      <c r="AA2154" s="518"/>
      <c r="AB2154" s="518"/>
      <c r="AC2154" s="518"/>
      <c r="AD2154" s="518"/>
      <c r="AE2154" s="518"/>
      <c r="AF2154" s="518"/>
      <c r="AG2154" s="518"/>
      <c r="AH2154" s="518"/>
      <c r="AJ2154" s="595" t="b">
        <f>AND(AJ$2012,S1_MA_RuralTotalRequested&gt;0)</f>
        <v>0</v>
      </c>
    </row>
    <row r="2155" spans="1:36" hidden="1" x14ac:dyDescent="0.45">
      <c r="A2155" s="518"/>
      <c r="B2155" s="907" t="str">
        <f>B$2013</f>
        <v>Serna First-Time Homebuyer Mortgage Assistance Application</v>
      </c>
      <c r="C2155" s="907"/>
      <c r="D2155" s="907"/>
      <c r="E2155" s="907"/>
      <c r="F2155" s="907"/>
      <c r="G2155" s="907"/>
      <c r="H2155" s="907"/>
      <c r="I2155" s="907"/>
      <c r="J2155" s="907"/>
      <c r="K2155" s="907"/>
      <c r="L2155" s="907"/>
      <c r="M2155" s="907"/>
      <c r="N2155" s="907"/>
      <c r="O2155" s="907"/>
      <c r="P2155" s="907"/>
      <c r="Q2155" s="907"/>
      <c r="R2155" s="907"/>
      <c r="S2155" s="907"/>
      <c r="T2155" s="907"/>
      <c r="U2155" s="907"/>
      <c r="V2155" s="907"/>
      <c r="W2155" s="907"/>
      <c r="X2155" s="907"/>
      <c r="Y2155" s="907"/>
      <c r="Z2155" s="907"/>
      <c r="AA2155" s="907"/>
      <c r="AB2155" s="907"/>
      <c r="AC2155" s="907"/>
      <c r="AD2155" s="907"/>
      <c r="AE2155" s="907"/>
      <c r="AF2155" s="907"/>
      <c r="AG2155" s="907"/>
      <c r="AH2155" s="518"/>
      <c r="AJ2155" s="595"/>
    </row>
    <row r="2156" spans="1:36" hidden="1" x14ac:dyDescent="0.45">
      <c r="A2156" s="518"/>
      <c r="B2156" s="925" t="s">
        <v>1832</v>
      </c>
      <c r="C2156" s="925"/>
      <c r="D2156" s="925"/>
      <c r="E2156" s="925"/>
      <c r="F2156" s="925"/>
      <c r="G2156" s="925"/>
      <c r="H2156" s="925"/>
      <c r="I2156" s="925"/>
      <c r="J2156" s="925"/>
      <c r="K2156" s="925"/>
      <c r="L2156" s="925"/>
      <c r="M2156" s="925"/>
      <c r="N2156" s="925"/>
      <c r="O2156" s="925"/>
      <c r="P2156" s="925"/>
      <c r="Q2156" s="925"/>
      <c r="R2156" s="925"/>
      <c r="S2156" s="925"/>
      <c r="T2156" s="925"/>
      <c r="U2156" s="925"/>
      <c r="V2156" s="925"/>
      <c r="W2156" s="925"/>
      <c r="X2156" s="925"/>
      <c r="Y2156" s="925"/>
      <c r="Z2156" s="925"/>
      <c r="AA2156" s="925"/>
      <c r="AB2156" s="925"/>
      <c r="AC2156" s="925"/>
      <c r="AD2156" s="925"/>
      <c r="AE2156" s="925"/>
      <c r="AF2156" s="925"/>
      <c r="AG2156" s="925"/>
      <c r="AH2156" s="518"/>
      <c r="AJ2156" s="595"/>
    </row>
    <row r="2157" spans="1:36" hidden="1" x14ac:dyDescent="0.45">
      <c r="A2157" s="518"/>
      <c r="B2157" s="544" t="s">
        <v>1862</v>
      </c>
      <c r="C2157" s="532"/>
      <c r="D2157" s="532"/>
      <c r="E2157" s="532"/>
      <c r="F2157" s="532"/>
      <c r="G2157" s="532"/>
      <c r="H2157" s="532"/>
      <c r="I2157" s="532"/>
      <c r="J2157" s="532"/>
      <c r="K2157" s="532"/>
      <c r="L2157" s="532"/>
      <c r="M2157" s="532"/>
      <c r="N2157" s="532"/>
      <c r="O2157" s="532"/>
      <c r="P2157" s="532"/>
      <c r="Q2157" s="532"/>
      <c r="R2157" s="532"/>
      <c r="S2157" s="532"/>
      <c r="T2157" s="532"/>
      <c r="U2157" s="532"/>
      <c r="V2157" s="532"/>
      <c r="W2157" s="532"/>
      <c r="X2157" s="532"/>
      <c r="Y2157" s="532"/>
      <c r="Z2157" s="532"/>
      <c r="AA2157" s="532"/>
      <c r="AB2157" s="532"/>
      <c r="AC2157" s="532"/>
      <c r="AD2157" s="532"/>
      <c r="AE2157" s="532"/>
      <c r="AF2157" s="532"/>
      <c r="AG2157" s="532"/>
      <c r="AH2157" s="518"/>
      <c r="AJ2157" s="595"/>
    </row>
    <row r="2158" spans="1:36" hidden="1" x14ac:dyDescent="0.45">
      <c r="A2158" s="518"/>
      <c r="B2158" s="532" t="s">
        <v>1856</v>
      </c>
      <c r="C2158" s="532"/>
      <c r="D2158" s="532"/>
      <c r="E2158" s="532"/>
      <c r="F2158" s="532"/>
      <c r="G2158" s="532"/>
      <c r="H2158" s="532"/>
      <c r="I2158" s="532"/>
      <c r="J2158" s="532"/>
      <c r="K2158" s="532"/>
      <c r="L2158" s="532"/>
      <c r="M2158" s="532"/>
      <c r="N2158" s="532"/>
      <c r="O2158" s="532"/>
      <c r="P2158" s="532"/>
      <c r="Q2158" s="532"/>
      <c r="R2158" s="532"/>
      <c r="S2158" s="532"/>
      <c r="T2158" s="532"/>
      <c r="U2158" s="532"/>
      <c r="V2158" s="532"/>
      <c r="W2158" s="532"/>
      <c r="X2158" s="532"/>
      <c r="Y2158" s="532"/>
      <c r="Z2158" s="532"/>
      <c r="AA2158" s="532"/>
      <c r="AB2158" s="532"/>
      <c r="AC2158" s="532"/>
      <c r="AD2158" s="532"/>
      <c r="AE2158" s="532"/>
      <c r="AF2158" s="532"/>
      <c r="AG2158" s="532"/>
      <c r="AH2158" s="518"/>
      <c r="AJ2158" s="595"/>
    </row>
    <row r="2159" spans="1:36" hidden="1" x14ac:dyDescent="0.45">
      <c r="A2159" s="518"/>
      <c r="B2159" s="862" t="s">
        <v>108</v>
      </c>
      <c r="C2159" s="863"/>
      <c r="D2159" s="863"/>
      <c r="E2159" s="863"/>
      <c r="F2159" s="892"/>
      <c r="G2159" s="862" t="s">
        <v>1462</v>
      </c>
      <c r="H2159" s="892"/>
      <c r="I2159" s="1249" t="s">
        <v>1485</v>
      </c>
      <c r="J2159" s="1249" t="s">
        <v>1486</v>
      </c>
      <c r="K2159" s="1182" t="s">
        <v>91</v>
      </c>
      <c r="L2159" s="1059"/>
      <c r="M2159" s="1251" t="s">
        <v>109</v>
      </c>
      <c r="N2159" s="1251"/>
      <c r="O2159" s="1251"/>
      <c r="P2159" s="1251"/>
      <c r="Q2159" s="862" t="s">
        <v>110</v>
      </c>
      <c r="R2159" s="863"/>
      <c r="S2159" s="863"/>
      <c r="T2159" s="892"/>
      <c r="U2159" s="862" t="s">
        <v>111</v>
      </c>
      <c r="V2159" s="863"/>
      <c r="W2159" s="863"/>
      <c r="X2159" s="862" t="s">
        <v>1463</v>
      </c>
      <c r="Y2159" s="863"/>
      <c r="Z2159" s="892"/>
      <c r="AA2159" s="1182" t="s">
        <v>113</v>
      </c>
      <c r="AB2159" s="1058"/>
      <c r="AC2159" s="1058"/>
      <c r="AD2159" s="1059"/>
      <c r="AE2159" s="862" t="s">
        <v>114</v>
      </c>
      <c r="AF2159" s="892"/>
      <c r="AG2159" s="529"/>
      <c r="AH2159" s="518"/>
      <c r="AJ2159" s="595"/>
    </row>
    <row r="2160" spans="1:36" hidden="1" x14ac:dyDescent="0.45">
      <c r="A2160" s="518"/>
      <c r="B2160" s="864"/>
      <c r="C2160" s="865"/>
      <c r="D2160" s="865"/>
      <c r="E2160" s="865"/>
      <c r="F2160" s="893"/>
      <c r="G2160" s="864"/>
      <c r="H2160" s="893"/>
      <c r="I2160" s="1250"/>
      <c r="J2160" s="1250"/>
      <c r="K2160" s="1060"/>
      <c r="L2160" s="1062"/>
      <c r="M2160" s="1251"/>
      <c r="N2160" s="1251"/>
      <c r="O2160" s="1251"/>
      <c r="P2160" s="1251"/>
      <c r="Q2160" s="864"/>
      <c r="R2160" s="865"/>
      <c r="S2160" s="865"/>
      <c r="T2160" s="893"/>
      <c r="U2160" s="864"/>
      <c r="V2160" s="865"/>
      <c r="W2160" s="865"/>
      <c r="X2160" s="864"/>
      <c r="Y2160" s="865"/>
      <c r="Z2160" s="893"/>
      <c r="AA2160" s="1060"/>
      <c r="AB2160" s="1061"/>
      <c r="AC2160" s="1061"/>
      <c r="AD2160" s="1062"/>
      <c r="AE2160" s="864"/>
      <c r="AF2160" s="893"/>
      <c r="AG2160" s="529"/>
      <c r="AH2160" s="518"/>
      <c r="AJ2160" s="595"/>
    </row>
    <row r="2161" spans="1:36" hidden="1" x14ac:dyDescent="0.45">
      <c r="A2161" s="518"/>
      <c r="B2161" s="514" t="s">
        <v>1405</v>
      </c>
      <c r="C2161" s="515"/>
      <c r="D2161" s="515"/>
      <c r="E2161" s="515"/>
      <c r="F2161" s="515"/>
      <c r="G2161" s="885" t="str">
        <f>IF(S1MAData!N3=0,"",SUBSTITUTE(SUBSTITUTE(S1MAData!N3,"Acquired and Rehabilitated Housing","A/R"),"Newly Constructed Housing","N/C"))</f>
        <v/>
      </c>
      <c r="H2161" s="885"/>
      <c r="I2161" s="583" t="str">
        <f>IF(S1MAData!AM3=0,"",LEFT(S1MAData!AM3,1))</f>
        <v/>
      </c>
      <c r="J2161" s="583" t="str">
        <f>IF(S1MAData!L3=0,"",LEFT(S1MAData!L3,1))</f>
        <v/>
      </c>
      <c r="K2161" s="939">
        <f>S1MAData!AA3</f>
        <v>0</v>
      </c>
      <c r="L2161" s="1181"/>
      <c r="M2161" s="940">
        <f>S1MAData!AB3</f>
        <v>0</v>
      </c>
      <c r="N2161" s="940"/>
      <c r="O2161" s="940"/>
      <c r="P2161" s="940"/>
      <c r="Q2161" s="940">
        <f>S1MAData!AC3</f>
        <v>0</v>
      </c>
      <c r="R2161" s="940"/>
      <c r="S2161" s="940"/>
      <c r="T2161" s="940"/>
      <c r="U2161" s="940">
        <f>S1MAData!AD3</f>
        <v>0</v>
      </c>
      <c r="V2161" s="940"/>
      <c r="W2161" s="940"/>
      <c r="X2161" s="940">
        <f>S1MAData!AE3</f>
        <v>0</v>
      </c>
      <c r="Y2161" s="940"/>
      <c r="Z2161" s="940"/>
      <c r="AA2161" s="940">
        <f>SUM(Q2161:Z2161)</f>
        <v>0</v>
      </c>
      <c r="AB2161" s="940"/>
      <c r="AC2161" s="940"/>
      <c r="AD2161" s="940"/>
      <c r="AE2161" s="871">
        <f>S1MAData!AG3</f>
        <v>0</v>
      </c>
      <c r="AF2161" s="871"/>
      <c r="AG2161" s="529"/>
      <c r="AH2161" s="518"/>
      <c r="AJ2161" s="595" t="b">
        <f>AND(AJ$2154,AA2161&gt;0)</f>
        <v>0</v>
      </c>
    </row>
    <row r="2162" spans="1:36" hidden="1" x14ac:dyDescent="0.45">
      <c r="A2162" s="518"/>
      <c r="B2162" s="514" t="s">
        <v>1406</v>
      </c>
      <c r="C2162" s="515"/>
      <c r="D2162" s="515"/>
      <c r="E2162" s="515"/>
      <c r="F2162" s="515"/>
      <c r="G2162" s="885" t="str">
        <f>IF(S1MAData!N4=0,"",SUBSTITUTE(SUBSTITUTE(S1MAData!N4,"Acquired and Rehabilitated Housing","A/R"),"Newly Constructed Housing","N/C"))</f>
        <v/>
      </c>
      <c r="H2162" s="885"/>
      <c r="I2162" s="583" t="str">
        <f>IF(S1MAData!AM4=0,"",LEFT(S1MAData!AM4,1))</f>
        <v/>
      </c>
      <c r="J2162" s="583" t="str">
        <f>IF(S1MAData!L4=0,"",LEFT(S1MAData!L4,1))</f>
        <v/>
      </c>
      <c r="K2162" s="939">
        <f>S1MAData!AA4</f>
        <v>0</v>
      </c>
      <c r="L2162" s="1181"/>
      <c r="M2162" s="940">
        <f>S1MAData!AB4</f>
        <v>0</v>
      </c>
      <c r="N2162" s="940"/>
      <c r="O2162" s="940"/>
      <c r="P2162" s="940"/>
      <c r="Q2162" s="940">
        <f>S1MAData!AC4</f>
        <v>0</v>
      </c>
      <c r="R2162" s="940"/>
      <c r="S2162" s="940"/>
      <c r="T2162" s="940"/>
      <c r="U2162" s="940">
        <f>S1MAData!AD4</f>
        <v>0</v>
      </c>
      <c r="V2162" s="940"/>
      <c r="W2162" s="940"/>
      <c r="X2162" s="940">
        <f>S1MAData!AE4</f>
        <v>0</v>
      </c>
      <c r="Y2162" s="940"/>
      <c r="Z2162" s="940"/>
      <c r="AA2162" s="940">
        <f t="shared" ref="AA2162:AA2218" si="43">SUM(Q2162:Z2162)</f>
        <v>0</v>
      </c>
      <c r="AB2162" s="940"/>
      <c r="AC2162" s="940"/>
      <c r="AD2162" s="940"/>
      <c r="AE2162" s="871">
        <f>S1MAData!AG4</f>
        <v>0</v>
      </c>
      <c r="AF2162" s="871"/>
      <c r="AG2162" s="529"/>
      <c r="AH2162" s="518"/>
      <c r="AJ2162" s="595" t="b">
        <f t="shared" ref="AJ2162:AJ2218" si="44">AND(AJ$2154,AA2162&gt;0)</f>
        <v>0</v>
      </c>
    </row>
    <row r="2163" spans="1:36" hidden="1" x14ac:dyDescent="0.45">
      <c r="A2163" s="518"/>
      <c r="B2163" s="514" t="s">
        <v>1407</v>
      </c>
      <c r="C2163" s="515"/>
      <c r="D2163" s="515"/>
      <c r="E2163" s="515"/>
      <c r="F2163" s="515"/>
      <c r="G2163" s="885" t="str">
        <f>IF(S1MAData!N5=0,"",SUBSTITUTE(SUBSTITUTE(S1MAData!N5,"Acquired and Rehabilitated Housing","A/R"),"Newly Constructed Housing","N/C"))</f>
        <v/>
      </c>
      <c r="H2163" s="885"/>
      <c r="I2163" s="583" t="str">
        <f>IF(S1MAData!AM5=0,"",LEFT(S1MAData!AM5,1))</f>
        <v/>
      </c>
      <c r="J2163" s="583" t="str">
        <f>IF(S1MAData!L5=0,"",LEFT(S1MAData!L5,1))</f>
        <v/>
      </c>
      <c r="K2163" s="939">
        <f>S1MAData!AA5</f>
        <v>0</v>
      </c>
      <c r="L2163" s="1181"/>
      <c r="M2163" s="940">
        <f>S1MAData!AB5</f>
        <v>0</v>
      </c>
      <c r="N2163" s="940"/>
      <c r="O2163" s="940"/>
      <c r="P2163" s="940"/>
      <c r="Q2163" s="940">
        <f>S1MAData!AC5</f>
        <v>0</v>
      </c>
      <c r="R2163" s="940"/>
      <c r="S2163" s="940"/>
      <c r="T2163" s="940"/>
      <c r="U2163" s="940">
        <f>S1MAData!AD5</f>
        <v>0</v>
      </c>
      <c r="V2163" s="940"/>
      <c r="W2163" s="940"/>
      <c r="X2163" s="940">
        <f>S1MAData!AE5</f>
        <v>0</v>
      </c>
      <c r="Y2163" s="940"/>
      <c r="Z2163" s="940"/>
      <c r="AA2163" s="940">
        <f t="shared" si="43"/>
        <v>0</v>
      </c>
      <c r="AB2163" s="940"/>
      <c r="AC2163" s="940"/>
      <c r="AD2163" s="940"/>
      <c r="AE2163" s="871">
        <f>S1MAData!AG5</f>
        <v>0</v>
      </c>
      <c r="AF2163" s="871"/>
      <c r="AG2163" s="529"/>
      <c r="AH2163" s="518"/>
      <c r="AJ2163" s="595" t="b">
        <f t="shared" si="44"/>
        <v>0</v>
      </c>
    </row>
    <row r="2164" spans="1:36" hidden="1" x14ac:dyDescent="0.45">
      <c r="A2164" s="518"/>
      <c r="B2164" s="514" t="s">
        <v>1408</v>
      </c>
      <c r="C2164" s="515"/>
      <c r="D2164" s="515"/>
      <c r="E2164" s="515"/>
      <c r="F2164" s="515"/>
      <c r="G2164" s="885" t="str">
        <f>IF(S1MAData!N6=0,"",SUBSTITUTE(SUBSTITUTE(S1MAData!N6,"Acquired and Rehabilitated Housing","A/R"),"Newly Constructed Housing","N/C"))</f>
        <v/>
      </c>
      <c r="H2164" s="885"/>
      <c r="I2164" s="583" t="str">
        <f>IF(S1MAData!AM6=0,"",LEFT(S1MAData!AM6,1))</f>
        <v/>
      </c>
      <c r="J2164" s="583" t="str">
        <f>IF(S1MAData!L6=0,"",LEFT(S1MAData!L6,1))</f>
        <v/>
      </c>
      <c r="K2164" s="939">
        <f>S1MAData!AA6</f>
        <v>0</v>
      </c>
      <c r="L2164" s="1181"/>
      <c r="M2164" s="940">
        <f>S1MAData!AB6</f>
        <v>0</v>
      </c>
      <c r="N2164" s="940"/>
      <c r="O2164" s="940"/>
      <c r="P2164" s="940"/>
      <c r="Q2164" s="940">
        <f>S1MAData!AC6</f>
        <v>0</v>
      </c>
      <c r="R2164" s="940"/>
      <c r="S2164" s="940"/>
      <c r="T2164" s="940"/>
      <c r="U2164" s="940">
        <f>S1MAData!AD6</f>
        <v>0</v>
      </c>
      <c r="V2164" s="940"/>
      <c r="W2164" s="940"/>
      <c r="X2164" s="940">
        <f>S1MAData!AE6</f>
        <v>0</v>
      </c>
      <c r="Y2164" s="940"/>
      <c r="Z2164" s="940"/>
      <c r="AA2164" s="940">
        <f t="shared" si="43"/>
        <v>0</v>
      </c>
      <c r="AB2164" s="940"/>
      <c r="AC2164" s="940"/>
      <c r="AD2164" s="940"/>
      <c r="AE2164" s="871">
        <f>S1MAData!AG6</f>
        <v>0</v>
      </c>
      <c r="AF2164" s="871"/>
      <c r="AG2164" s="529"/>
      <c r="AH2164" s="518"/>
      <c r="AJ2164" s="595" t="b">
        <f t="shared" si="44"/>
        <v>0</v>
      </c>
    </row>
    <row r="2165" spans="1:36" hidden="1" x14ac:dyDescent="0.45">
      <c r="A2165" s="518"/>
      <c r="B2165" s="514" t="s">
        <v>1409</v>
      </c>
      <c r="C2165" s="515"/>
      <c r="D2165" s="515"/>
      <c r="E2165" s="515"/>
      <c r="F2165" s="515"/>
      <c r="G2165" s="885" t="str">
        <f>IF(S1MAData!N7=0,"",SUBSTITUTE(SUBSTITUTE(S1MAData!N7,"Acquired and Rehabilitated Housing","A/R"),"Newly Constructed Housing","N/C"))</f>
        <v/>
      </c>
      <c r="H2165" s="885"/>
      <c r="I2165" s="583" t="str">
        <f>IF(S1MAData!AM7=0,"",LEFT(S1MAData!AM7,1))</f>
        <v/>
      </c>
      <c r="J2165" s="583" t="str">
        <f>IF(S1MAData!L7=0,"",LEFT(S1MAData!L7,1))</f>
        <v/>
      </c>
      <c r="K2165" s="939">
        <f>S1MAData!AA7</f>
        <v>0</v>
      </c>
      <c r="L2165" s="1181"/>
      <c r="M2165" s="940">
        <f>S1MAData!AB7</f>
        <v>0</v>
      </c>
      <c r="N2165" s="940"/>
      <c r="O2165" s="940"/>
      <c r="P2165" s="940"/>
      <c r="Q2165" s="940">
        <f>S1MAData!AC7</f>
        <v>0</v>
      </c>
      <c r="R2165" s="940"/>
      <c r="S2165" s="940"/>
      <c r="T2165" s="940"/>
      <c r="U2165" s="940">
        <f>S1MAData!AD7</f>
        <v>0</v>
      </c>
      <c r="V2165" s="940"/>
      <c r="W2165" s="940"/>
      <c r="X2165" s="940">
        <f>S1MAData!AE7</f>
        <v>0</v>
      </c>
      <c r="Y2165" s="940"/>
      <c r="Z2165" s="940"/>
      <c r="AA2165" s="940">
        <f t="shared" si="43"/>
        <v>0</v>
      </c>
      <c r="AB2165" s="940"/>
      <c r="AC2165" s="940"/>
      <c r="AD2165" s="940"/>
      <c r="AE2165" s="871">
        <f>S1MAData!AG7</f>
        <v>0</v>
      </c>
      <c r="AF2165" s="871"/>
      <c r="AG2165" s="529"/>
      <c r="AH2165" s="518"/>
      <c r="AJ2165" s="595" t="b">
        <f t="shared" si="44"/>
        <v>0</v>
      </c>
    </row>
    <row r="2166" spans="1:36" hidden="1" x14ac:dyDescent="0.45">
      <c r="A2166" s="518"/>
      <c r="B2166" s="514" t="s">
        <v>1410</v>
      </c>
      <c r="C2166" s="515"/>
      <c r="D2166" s="515"/>
      <c r="E2166" s="515"/>
      <c r="F2166" s="515"/>
      <c r="G2166" s="885" t="str">
        <f>IF(S1MAData!N8=0,"",SUBSTITUTE(SUBSTITUTE(S1MAData!N8,"Acquired and Rehabilitated Housing","A/R"),"Newly Constructed Housing","N/C"))</f>
        <v/>
      </c>
      <c r="H2166" s="885"/>
      <c r="I2166" s="583" t="str">
        <f>IF(S1MAData!AM8=0,"",LEFT(S1MAData!AM8,1))</f>
        <v/>
      </c>
      <c r="J2166" s="583" t="str">
        <f>IF(S1MAData!L8=0,"",LEFT(S1MAData!L8,1))</f>
        <v/>
      </c>
      <c r="K2166" s="939">
        <f>S1MAData!AA8</f>
        <v>0</v>
      </c>
      <c r="L2166" s="1181"/>
      <c r="M2166" s="940">
        <f>S1MAData!AB8</f>
        <v>0</v>
      </c>
      <c r="N2166" s="940"/>
      <c r="O2166" s="940"/>
      <c r="P2166" s="940"/>
      <c r="Q2166" s="940">
        <f>S1MAData!AC8</f>
        <v>0</v>
      </c>
      <c r="R2166" s="940"/>
      <c r="S2166" s="940"/>
      <c r="T2166" s="940"/>
      <c r="U2166" s="940">
        <f>S1MAData!AD8</f>
        <v>0</v>
      </c>
      <c r="V2166" s="940"/>
      <c r="W2166" s="940"/>
      <c r="X2166" s="940">
        <f>S1MAData!AE8</f>
        <v>0</v>
      </c>
      <c r="Y2166" s="940"/>
      <c r="Z2166" s="940"/>
      <c r="AA2166" s="940">
        <f t="shared" si="43"/>
        <v>0</v>
      </c>
      <c r="AB2166" s="940"/>
      <c r="AC2166" s="940"/>
      <c r="AD2166" s="940"/>
      <c r="AE2166" s="871">
        <f>S1MAData!AG8</f>
        <v>0</v>
      </c>
      <c r="AF2166" s="871"/>
      <c r="AG2166" s="529"/>
      <c r="AH2166" s="518"/>
      <c r="AJ2166" s="595" t="b">
        <f t="shared" si="44"/>
        <v>0</v>
      </c>
    </row>
    <row r="2167" spans="1:36" hidden="1" x14ac:dyDescent="0.45">
      <c r="A2167" s="518"/>
      <c r="B2167" s="514" t="s">
        <v>1411</v>
      </c>
      <c r="C2167" s="515"/>
      <c r="D2167" s="515"/>
      <c r="E2167" s="515"/>
      <c r="F2167" s="515"/>
      <c r="G2167" s="885" t="str">
        <f>IF(S1MAData!N9=0,"",SUBSTITUTE(SUBSTITUTE(S1MAData!N9,"Acquired and Rehabilitated Housing","A/R"),"Newly Constructed Housing","N/C"))</f>
        <v/>
      </c>
      <c r="H2167" s="885"/>
      <c r="I2167" s="583" t="str">
        <f>IF(S1MAData!AM9=0,"",LEFT(S1MAData!AM9,1))</f>
        <v/>
      </c>
      <c r="J2167" s="583" t="str">
        <f>IF(S1MAData!L9=0,"",LEFT(S1MAData!L9,1))</f>
        <v/>
      </c>
      <c r="K2167" s="939">
        <f>S1MAData!AA9</f>
        <v>0</v>
      </c>
      <c r="L2167" s="1181"/>
      <c r="M2167" s="940">
        <f>S1MAData!AB9</f>
        <v>0</v>
      </c>
      <c r="N2167" s="940"/>
      <c r="O2167" s="940"/>
      <c r="P2167" s="940"/>
      <c r="Q2167" s="940">
        <f>S1MAData!AC9</f>
        <v>0</v>
      </c>
      <c r="R2167" s="940"/>
      <c r="S2167" s="940"/>
      <c r="T2167" s="940"/>
      <c r="U2167" s="940">
        <f>S1MAData!AD9</f>
        <v>0</v>
      </c>
      <c r="V2167" s="940"/>
      <c r="W2167" s="940"/>
      <c r="X2167" s="940">
        <f>S1MAData!AE9</f>
        <v>0</v>
      </c>
      <c r="Y2167" s="940"/>
      <c r="Z2167" s="940"/>
      <c r="AA2167" s="940">
        <f t="shared" si="43"/>
        <v>0</v>
      </c>
      <c r="AB2167" s="940"/>
      <c r="AC2167" s="940"/>
      <c r="AD2167" s="940"/>
      <c r="AE2167" s="871">
        <f>S1MAData!AG9</f>
        <v>0</v>
      </c>
      <c r="AF2167" s="871"/>
      <c r="AG2167" s="529"/>
      <c r="AH2167" s="518"/>
      <c r="AJ2167" s="595" t="b">
        <f t="shared" si="44"/>
        <v>0</v>
      </c>
    </row>
    <row r="2168" spans="1:36" hidden="1" x14ac:dyDescent="0.45">
      <c r="A2168" s="518"/>
      <c r="B2168" s="514" t="s">
        <v>1412</v>
      </c>
      <c r="C2168" s="515"/>
      <c r="D2168" s="515"/>
      <c r="E2168" s="515"/>
      <c r="F2168" s="515"/>
      <c r="G2168" s="885" t="str">
        <f>IF(S1MAData!N10=0,"",SUBSTITUTE(SUBSTITUTE(S1MAData!N10,"Acquired and Rehabilitated Housing","A/R"),"Newly Constructed Housing","N/C"))</f>
        <v/>
      </c>
      <c r="H2168" s="885"/>
      <c r="I2168" s="583" t="str">
        <f>IF(S1MAData!AM10=0,"",LEFT(S1MAData!AM10,1))</f>
        <v/>
      </c>
      <c r="J2168" s="583" t="str">
        <f>IF(S1MAData!L10=0,"",LEFT(S1MAData!L10,1))</f>
        <v/>
      </c>
      <c r="K2168" s="939">
        <f>S1MAData!AA10</f>
        <v>0</v>
      </c>
      <c r="L2168" s="1181"/>
      <c r="M2168" s="940">
        <f>S1MAData!AB10</f>
        <v>0</v>
      </c>
      <c r="N2168" s="940"/>
      <c r="O2168" s="940"/>
      <c r="P2168" s="940"/>
      <c r="Q2168" s="940">
        <f>S1MAData!AC10</f>
        <v>0</v>
      </c>
      <c r="R2168" s="940"/>
      <c r="S2168" s="940"/>
      <c r="T2168" s="940"/>
      <c r="U2168" s="940">
        <f>S1MAData!AD10</f>
        <v>0</v>
      </c>
      <c r="V2168" s="940"/>
      <c r="W2168" s="940"/>
      <c r="X2168" s="940">
        <f>S1MAData!AE10</f>
        <v>0</v>
      </c>
      <c r="Y2168" s="940"/>
      <c r="Z2168" s="940"/>
      <c r="AA2168" s="940">
        <f t="shared" si="43"/>
        <v>0</v>
      </c>
      <c r="AB2168" s="940"/>
      <c r="AC2168" s="940"/>
      <c r="AD2168" s="940"/>
      <c r="AE2168" s="871">
        <f>S1MAData!AG10</f>
        <v>0</v>
      </c>
      <c r="AF2168" s="871"/>
      <c r="AG2168" s="529"/>
      <c r="AH2168" s="518"/>
      <c r="AJ2168" s="595" t="b">
        <f t="shared" si="44"/>
        <v>0</v>
      </c>
    </row>
    <row r="2169" spans="1:36" hidden="1" x14ac:dyDescent="0.45">
      <c r="A2169" s="518"/>
      <c r="B2169" s="514" t="s">
        <v>1413</v>
      </c>
      <c r="C2169" s="515"/>
      <c r="D2169" s="515"/>
      <c r="E2169" s="515"/>
      <c r="F2169" s="515"/>
      <c r="G2169" s="885" t="str">
        <f>IF(S1MAData!N11=0,"",SUBSTITUTE(SUBSTITUTE(S1MAData!N11,"Acquired and Rehabilitated Housing","A/R"),"Newly Constructed Housing","N/C"))</f>
        <v/>
      </c>
      <c r="H2169" s="885"/>
      <c r="I2169" s="583" t="str">
        <f>IF(S1MAData!AM11=0,"",LEFT(S1MAData!AM11,1))</f>
        <v/>
      </c>
      <c r="J2169" s="583" t="str">
        <f>IF(S1MAData!L11=0,"",LEFT(S1MAData!L11,1))</f>
        <v/>
      </c>
      <c r="K2169" s="939">
        <f>S1MAData!AA11</f>
        <v>0</v>
      </c>
      <c r="L2169" s="1181"/>
      <c r="M2169" s="940">
        <f>S1MAData!AB11</f>
        <v>0</v>
      </c>
      <c r="N2169" s="940"/>
      <c r="O2169" s="940"/>
      <c r="P2169" s="940"/>
      <c r="Q2169" s="940">
        <f>S1MAData!AC11</f>
        <v>0</v>
      </c>
      <c r="R2169" s="940"/>
      <c r="S2169" s="940"/>
      <c r="T2169" s="940"/>
      <c r="U2169" s="940">
        <f>S1MAData!AD11</f>
        <v>0</v>
      </c>
      <c r="V2169" s="940"/>
      <c r="W2169" s="940"/>
      <c r="X2169" s="940">
        <f>S1MAData!AE11</f>
        <v>0</v>
      </c>
      <c r="Y2169" s="940"/>
      <c r="Z2169" s="940"/>
      <c r="AA2169" s="940">
        <f t="shared" si="43"/>
        <v>0</v>
      </c>
      <c r="AB2169" s="940"/>
      <c r="AC2169" s="940"/>
      <c r="AD2169" s="940"/>
      <c r="AE2169" s="871">
        <f>S1MAData!AG11</f>
        <v>0</v>
      </c>
      <c r="AF2169" s="871"/>
      <c r="AG2169" s="529"/>
      <c r="AH2169" s="518"/>
      <c r="AJ2169" s="595" t="b">
        <f t="shared" si="44"/>
        <v>0</v>
      </c>
    </row>
    <row r="2170" spans="1:36" hidden="1" x14ac:dyDescent="0.45">
      <c r="A2170" s="518"/>
      <c r="B2170" s="514" t="s">
        <v>1414</v>
      </c>
      <c r="C2170" s="515"/>
      <c r="D2170" s="515"/>
      <c r="E2170" s="515"/>
      <c r="F2170" s="515"/>
      <c r="G2170" s="885" t="str">
        <f>IF(S1MAData!N12=0,"",SUBSTITUTE(SUBSTITUTE(S1MAData!N12,"Acquired and Rehabilitated Housing","A/R"),"Newly Constructed Housing","N/C"))</f>
        <v/>
      </c>
      <c r="H2170" s="885"/>
      <c r="I2170" s="583" t="str">
        <f>IF(S1MAData!AM12=0,"",LEFT(S1MAData!AM12,1))</f>
        <v/>
      </c>
      <c r="J2170" s="583" t="str">
        <f>IF(S1MAData!L12=0,"",LEFT(S1MAData!L12,1))</f>
        <v/>
      </c>
      <c r="K2170" s="939">
        <f>S1MAData!AA12</f>
        <v>0</v>
      </c>
      <c r="L2170" s="1181"/>
      <c r="M2170" s="940">
        <f>S1MAData!AB12</f>
        <v>0</v>
      </c>
      <c r="N2170" s="940"/>
      <c r="O2170" s="940"/>
      <c r="P2170" s="940"/>
      <c r="Q2170" s="940">
        <f>S1MAData!AC12</f>
        <v>0</v>
      </c>
      <c r="R2170" s="940"/>
      <c r="S2170" s="940"/>
      <c r="T2170" s="940"/>
      <c r="U2170" s="940">
        <f>S1MAData!AD12</f>
        <v>0</v>
      </c>
      <c r="V2170" s="940"/>
      <c r="W2170" s="940"/>
      <c r="X2170" s="940">
        <f>S1MAData!AE12</f>
        <v>0</v>
      </c>
      <c r="Y2170" s="940"/>
      <c r="Z2170" s="940"/>
      <c r="AA2170" s="940">
        <f t="shared" si="43"/>
        <v>0</v>
      </c>
      <c r="AB2170" s="940"/>
      <c r="AC2170" s="940"/>
      <c r="AD2170" s="940"/>
      <c r="AE2170" s="871">
        <f>S1MAData!AG12</f>
        <v>0</v>
      </c>
      <c r="AF2170" s="871"/>
      <c r="AG2170" s="529"/>
      <c r="AH2170" s="518"/>
      <c r="AJ2170" s="595" t="b">
        <f t="shared" si="44"/>
        <v>0</v>
      </c>
    </row>
    <row r="2171" spans="1:36" hidden="1" x14ac:dyDescent="0.45">
      <c r="A2171" s="518"/>
      <c r="B2171" s="514" t="s">
        <v>1415</v>
      </c>
      <c r="C2171" s="515"/>
      <c r="D2171" s="515"/>
      <c r="E2171" s="515"/>
      <c r="F2171" s="515"/>
      <c r="G2171" s="885" t="str">
        <f>IF(S1MAData!N13=0,"",SUBSTITUTE(SUBSTITUTE(S1MAData!N13,"Acquired and Rehabilitated Housing","A/R"),"Newly Constructed Housing","N/C"))</f>
        <v/>
      </c>
      <c r="H2171" s="885"/>
      <c r="I2171" s="583" t="str">
        <f>IF(S1MAData!AM13=0,"",LEFT(S1MAData!AM13,1))</f>
        <v/>
      </c>
      <c r="J2171" s="583" t="str">
        <f>IF(S1MAData!L13=0,"",LEFT(S1MAData!L13,1))</f>
        <v/>
      </c>
      <c r="K2171" s="939">
        <f>S1MAData!AA13</f>
        <v>0</v>
      </c>
      <c r="L2171" s="1181"/>
      <c r="M2171" s="940">
        <f>S1MAData!AB13</f>
        <v>0</v>
      </c>
      <c r="N2171" s="940"/>
      <c r="O2171" s="940"/>
      <c r="P2171" s="940"/>
      <c r="Q2171" s="940">
        <f>S1MAData!AC13</f>
        <v>0</v>
      </c>
      <c r="R2171" s="940"/>
      <c r="S2171" s="940"/>
      <c r="T2171" s="940"/>
      <c r="U2171" s="940">
        <f>S1MAData!AD13</f>
        <v>0</v>
      </c>
      <c r="V2171" s="940"/>
      <c r="W2171" s="940"/>
      <c r="X2171" s="940">
        <f>S1MAData!AE13</f>
        <v>0</v>
      </c>
      <c r="Y2171" s="940"/>
      <c r="Z2171" s="940"/>
      <c r="AA2171" s="940">
        <f t="shared" si="43"/>
        <v>0</v>
      </c>
      <c r="AB2171" s="940"/>
      <c r="AC2171" s="940"/>
      <c r="AD2171" s="940"/>
      <c r="AE2171" s="871">
        <f>S1MAData!AG13</f>
        <v>0</v>
      </c>
      <c r="AF2171" s="871"/>
      <c r="AG2171" s="529"/>
      <c r="AH2171" s="518"/>
      <c r="AJ2171" s="595" t="b">
        <f t="shared" si="44"/>
        <v>0</v>
      </c>
    </row>
    <row r="2172" spans="1:36" hidden="1" x14ac:dyDescent="0.45">
      <c r="A2172" s="518"/>
      <c r="B2172" s="514" t="s">
        <v>1416</v>
      </c>
      <c r="C2172" s="515"/>
      <c r="D2172" s="515"/>
      <c r="E2172" s="515"/>
      <c r="F2172" s="515"/>
      <c r="G2172" s="885" t="str">
        <f>IF(S1MAData!N14=0,"",SUBSTITUTE(SUBSTITUTE(S1MAData!N14,"Acquired and Rehabilitated Housing","A/R"),"Newly Constructed Housing","N/C"))</f>
        <v/>
      </c>
      <c r="H2172" s="885"/>
      <c r="I2172" s="583" t="str">
        <f>IF(S1MAData!AM14=0,"",LEFT(S1MAData!AM14,1))</f>
        <v/>
      </c>
      <c r="J2172" s="583" t="str">
        <f>IF(S1MAData!L14=0,"",LEFT(S1MAData!L14,1))</f>
        <v/>
      </c>
      <c r="K2172" s="939">
        <f>S1MAData!AA14</f>
        <v>0</v>
      </c>
      <c r="L2172" s="1181"/>
      <c r="M2172" s="940">
        <f>S1MAData!AB14</f>
        <v>0</v>
      </c>
      <c r="N2172" s="940"/>
      <c r="O2172" s="940"/>
      <c r="P2172" s="940"/>
      <c r="Q2172" s="940">
        <f>S1MAData!AC14</f>
        <v>0</v>
      </c>
      <c r="R2172" s="940"/>
      <c r="S2172" s="940"/>
      <c r="T2172" s="940"/>
      <c r="U2172" s="940">
        <f>S1MAData!AD14</f>
        <v>0</v>
      </c>
      <c r="V2172" s="940"/>
      <c r="W2172" s="940"/>
      <c r="X2172" s="940">
        <f>S1MAData!AE14</f>
        <v>0</v>
      </c>
      <c r="Y2172" s="940"/>
      <c r="Z2172" s="940"/>
      <c r="AA2172" s="940">
        <f t="shared" si="43"/>
        <v>0</v>
      </c>
      <c r="AB2172" s="940"/>
      <c r="AC2172" s="940"/>
      <c r="AD2172" s="940"/>
      <c r="AE2172" s="871">
        <f>S1MAData!AG14</f>
        <v>0</v>
      </c>
      <c r="AF2172" s="871"/>
      <c r="AG2172" s="529"/>
      <c r="AH2172" s="518"/>
      <c r="AJ2172" s="595" t="b">
        <f t="shared" si="44"/>
        <v>0</v>
      </c>
    </row>
    <row r="2173" spans="1:36" hidden="1" x14ac:dyDescent="0.45">
      <c r="A2173" s="518"/>
      <c r="B2173" s="514" t="s">
        <v>1417</v>
      </c>
      <c r="C2173" s="515"/>
      <c r="D2173" s="515"/>
      <c r="E2173" s="515"/>
      <c r="F2173" s="515"/>
      <c r="G2173" s="885" t="str">
        <f>IF(S1MAData!N15=0,"",SUBSTITUTE(SUBSTITUTE(S1MAData!N15,"Acquired and Rehabilitated Housing","A/R"),"Newly Constructed Housing","N/C"))</f>
        <v/>
      </c>
      <c r="H2173" s="885"/>
      <c r="I2173" s="583" t="str">
        <f>IF(S1MAData!AM15=0,"",LEFT(S1MAData!AM15,1))</f>
        <v/>
      </c>
      <c r="J2173" s="583" t="str">
        <f>IF(S1MAData!L15=0,"",LEFT(S1MAData!L15,1))</f>
        <v/>
      </c>
      <c r="K2173" s="939">
        <f>S1MAData!AA15</f>
        <v>0</v>
      </c>
      <c r="L2173" s="1181"/>
      <c r="M2173" s="940">
        <f>S1MAData!AB15</f>
        <v>0</v>
      </c>
      <c r="N2173" s="940"/>
      <c r="O2173" s="940"/>
      <c r="P2173" s="940"/>
      <c r="Q2173" s="940">
        <f>S1MAData!AC15</f>
        <v>0</v>
      </c>
      <c r="R2173" s="940"/>
      <c r="S2173" s="940"/>
      <c r="T2173" s="940"/>
      <c r="U2173" s="940">
        <f>S1MAData!AD15</f>
        <v>0</v>
      </c>
      <c r="V2173" s="940"/>
      <c r="W2173" s="940"/>
      <c r="X2173" s="940">
        <f>S1MAData!AE15</f>
        <v>0</v>
      </c>
      <c r="Y2173" s="940"/>
      <c r="Z2173" s="940"/>
      <c r="AA2173" s="940">
        <f t="shared" si="43"/>
        <v>0</v>
      </c>
      <c r="AB2173" s="940"/>
      <c r="AC2173" s="940"/>
      <c r="AD2173" s="940"/>
      <c r="AE2173" s="871">
        <f>S1MAData!AG15</f>
        <v>0</v>
      </c>
      <c r="AF2173" s="871"/>
      <c r="AG2173" s="529"/>
      <c r="AH2173" s="518"/>
      <c r="AJ2173" s="595" t="b">
        <f t="shared" si="44"/>
        <v>0</v>
      </c>
    </row>
    <row r="2174" spans="1:36" hidden="1" x14ac:dyDescent="0.45">
      <c r="A2174" s="518"/>
      <c r="B2174" s="514" t="s">
        <v>1418</v>
      </c>
      <c r="C2174" s="515"/>
      <c r="D2174" s="515"/>
      <c r="E2174" s="515"/>
      <c r="F2174" s="515"/>
      <c r="G2174" s="885" t="str">
        <f>IF(S1MAData!N16=0,"",SUBSTITUTE(SUBSTITUTE(S1MAData!N16,"Acquired and Rehabilitated Housing","A/R"),"Newly Constructed Housing","N/C"))</f>
        <v/>
      </c>
      <c r="H2174" s="885"/>
      <c r="I2174" s="583" t="str">
        <f>IF(S1MAData!AM16=0,"",LEFT(S1MAData!AM16,1))</f>
        <v/>
      </c>
      <c r="J2174" s="583" t="str">
        <f>IF(S1MAData!L16=0,"",LEFT(S1MAData!L16,1))</f>
        <v/>
      </c>
      <c r="K2174" s="939">
        <f>S1MAData!AA16</f>
        <v>0</v>
      </c>
      <c r="L2174" s="1181"/>
      <c r="M2174" s="940">
        <f>S1MAData!AB16</f>
        <v>0</v>
      </c>
      <c r="N2174" s="940"/>
      <c r="O2174" s="940"/>
      <c r="P2174" s="940"/>
      <c r="Q2174" s="940">
        <f>S1MAData!AC16</f>
        <v>0</v>
      </c>
      <c r="R2174" s="940"/>
      <c r="S2174" s="940"/>
      <c r="T2174" s="940"/>
      <c r="U2174" s="940">
        <f>S1MAData!AD16</f>
        <v>0</v>
      </c>
      <c r="V2174" s="940"/>
      <c r="W2174" s="940"/>
      <c r="X2174" s="940">
        <f>S1MAData!AE16</f>
        <v>0</v>
      </c>
      <c r="Y2174" s="940"/>
      <c r="Z2174" s="940"/>
      <c r="AA2174" s="940">
        <f t="shared" si="43"/>
        <v>0</v>
      </c>
      <c r="AB2174" s="940"/>
      <c r="AC2174" s="940"/>
      <c r="AD2174" s="940"/>
      <c r="AE2174" s="871">
        <f>S1MAData!AG16</f>
        <v>0</v>
      </c>
      <c r="AF2174" s="871"/>
      <c r="AG2174" s="529"/>
      <c r="AH2174" s="518"/>
      <c r="AJ2174" s="595" t="b">
        <f t="shared" si="44"/>
        <v>0</v>
      </c>
    </row>
    <row r="2175" spans="1:36" hidden="1" x14ac:dyDescent="0.45">
      <c r="A2175" s="518"/>
      <c r="B2175" s="514" t="s">
        <v>1419</v>
      </c>
      <c r="C2175" s="515"/>
      <c r="D2175" s="515"/>
      <c r="E2175" s="515"/>
      <c r="F2175" s="515"/>
      <c r="G2175" s="885" t="str">
        <f>IF(S1MAData!N17=0,"",SUBSTITUTE(SUBSTITUTE(S1MAData!N17,"Acquired and Rehabilitated Housing","A/R"),"Newly Constructed Housing","N/C"))</f>
        <v/>
      </c>
      <c r="H2175" s="885"/>
      <c r="I2175" s="583" t="str">
        <f>IF(S1MAData!AM17=0,"",LEFT(S1MAData!AM17,1))</f>
        <v/>
      </c>
      <c r="J2175" s="583" t="str">
        <f>IF(S1MAData!L17=0,"",LEFT(S1MAData!L17,1))</f>
        <v/>
      </c>
      <c r="K2175" s="939">
        <f>S1MAData!AA17</f>
        <v>0</v>
      </c>
      <c r="L2175" s="1181"/>
      <c r="M2175" s="940">
        <f>S1MAData!AB17</f>
        <v>0</v>
      </c>
      <c r="N2175" s="940"/>
      <c r="O2175" s="940"/>
      <c r="P2175" s="940"/>
      <c r="Q2175" s="940">
        <f>S1MAData!AC17</f>
        <v>0</v>
      </c>
      <c r="R2175" s="940"/>
      <c r="S2175" s="940"/>
      <c r="T2175" s="940"/>
      <c r="U2175" s="940">
        <f>S1MAData!AD17</f>
        <v>0</v>
      </c>
      <c r="V2175" s="940"/>
      <c r="W2175" s="940"/>
      <c r="X2175" s="940">
        <f>S1MAData!AE17</f>
        <v>0</v>
      </c>
      <c r="Y2175" s="940"/>
      <c r="Z2175" s="940"/>
      <c r="AA2175" s="940">
        <f t="shared" si="43"/>
        <v>0</v>
      </c>
      <c r="AB2175" s="940"/>
      <c r="AC2175" s="940"/>
      <c r="AD2175" s="940"/>
      <c r="AE2175" s="871">
        <f>S1MAData!AG17</f>
        <v>0</v>
      </c>
      <c r="AF2175" s="871"/>
      <c r="AG2175" s="529"/>
      <c r="AH2175" s="518"/>
      <c r="AJ2175" s="595" t="b">
        <f t="shared" si="44"/>
        <v>0</v>
      </c>
    </row>
    <row r="2176" spans="1:36" hidden="1" x14ac:dyDescent="0.45">
      <c r="A2176" s="518"/>
      <c r="B2176" s="514" t="s">
        <v>1420</v>
      </c>
      <c r="C2176" s="515"/>
      <c r="D2176" s="515"/>
      <c r="E2176" s="515"/>
      <c r="F2176" s="515"/>
      <c r="G2176" s="885" t="str">
        <f>IF(S1MAData!N18=0,"",SUBSTITUTE(SUBSTITUTE(S1MAData!N18,"Acquired and Rehabilitated Housing","A/R"),"Newly Constructed Housing","N/C"))</f>
        <v/>
      </c>
      <c r="H2176" s="885"/>
      <c r="I2176" s="583" t="str">
        <f>IF(S1MAData!AM18=0,"",LEFT(S1MAData!AM18,1))</f>
        <v/>
      </c>
      <c r="J2176" s="583" t="str">
        <f>IF(S1MAData!L18=0,"",LEFT(S1MAData!L18,1))</f>
        <v/>
      </c>
      <c r="K2176" s="939">
        <f>S1MAData!AA18</f>
        <v>0</v>
      </c>
      <c r="L2176" s="1181"/>
      <c r="M2176" s="940">
        <f>S1MAData!AB18</f>
        <v>0</v>
      </c>
      <c r="N2176" s="940"/>
      <c r="O2176" s="940"/>
      <c r="P2176" s="940"/>
      <c r="Q2176" s="940">
        <f>S1MAData!AC18</f>
        <v>0</v>
      </c>
      <c r="R2176" s="940"/>
      <c r="S2176" s="940"/>
      <c r="T2176" s="940"/>
      <c r="U2176" s="940">
        <f>S1MAData!AD18</f>
        <v>0</v>
      </c>
      <c r="V2176" s="940"/>
      <c r="W2176" s="940"/>
      <c r="X2176" s="940">
        <f>S1MAData!AE18</f>
        <v>0</v>
      </c>
      <c r="Y2176" s="940"/>
      <c r="Z2176" s="940"/>
      <c r="AA2176" s="940">
        <f t="shared" si="43"/>
        <v>0</v>
      </c>
      <c r="AB2176" s="940"/>
      <c r="AC2176" s="940"/>
      <c r="AD2176" s="940"/>
      <c r="AE2176" s="871">
        <f>S1MAData!AG18</f>
        <v>0</v>
      </c>
      <c r="AF2176" s="871"/>
      <c r="AG2176" s="529"/>
      <c r="AH2176" s="518"/>
      <c r="AJ2176" s="595" t="b">
        <f t="shared" si="44"/>
        <v>0</v>
      </c>
    </row>
    <row r="2177" spans="1:36" hidden="1" x14ac:dyDescent="0.45">
      <c r="A2177" s="518"/>
      <c r="B2177" s="514" t="s">
        <v>1421</v>
      </c>
      <c r="C2177" s="515"/>
      <c r="D2177" s="515"/>
      <c r="E2177" s="515"/>
      <c r="F2177" s="515"/>
      <c r="G2177" s="885" t="str">
        <f>IF(S1MAData!N19=0,"",SUBSTITUTE(SUBSTITUTE(S1MAData!N19,"Acquired and Rehabilitated Housing","A/R"),"Newly Constructed Housing","N/C"))</f>
        <v/>
      </c>
      <c r="H2177" s="885"/>
      <c r="I2177" s="583" t="str">
        <f>IF(S1MAData!AM19=0,"",LEFT(S1MAData!AM19,1))</f>
        <v/>
      </c>
      <c r="J2177" s="583" t="str">
        <f>IF(S1MAData!L19=0,"",LEFT(S1MAData!L19,1))</f>
        <v/>
      </c>
      <c r="K2177" s="939">
        <f>S1MAData!AA19</f>
        <v>0</v>
      </c>
      <c r="L2177" s="1181"/>
      <c r="M2177" s="940">
        <f>S1MAData!AB19</f>
        <v>0</v>
      </c>
      <c r="N2177" s="940"/>
      <c r="O2177" s="940"/>
      <c r="P2177" s="940"/>
      <c r="Q2177" s="940">
        <f>S1MAData!AC19</f>
        <v>0</v>
      </c>
      <c r="R2177" s="940"/>
      <c r="S2177" s="940"/>
      <c r="T2177" s="940"/>
      <c r="U2177" s="940">
        <f>S1MAData!AD19</f>
        <v>0</v>
      </c>
      <c r="V2177" s="940"/>
      <c r="W2177" s="940"/>
      <c r="X2177" s="940">
        <f>S1MAData!AE19</f>
        <v>0</v>
      </c>
      <c r="Y2177" s="940"/>
      <c r="Z2177" s="940"/>
      <c r="AA2177" s="940">
        <f t="shared" si="43"/>
        <v>0</v>
      </c>
      <c r="AB2177" s="940"/>
      <c r="AC2177" s="940"/>
      <c r="AD2177" s="940"/>
      <c r="AE2177" s="871">
        <f>S1MAData!AG19</f>
        <v>0</v>
      </c>
      <c r="AF2177" s="871"/>
      <c r="AG2177" s="529"/>
      <c r="AH2177" s="518"/>
      <c r="AJ2177" s="595" t="b">
        <f t="shared" si="44"/>
        <v>0</v>
      </c>
    </row>
    <row r="2178" spans="1:36" hidden="1" x14ac:dyDescent="0.45">
      <c r="A2178" s="518"/>
      <c r="B2178" s="514" t="s">
        <v>1422</v>
      </c>
      <c r="C2178" s="515"/>
      <c r="D2178" s="515"/>
      <c r="E2178" s="515"/>
      <c r="F2178" s="515"/>
      <c r="G2178" s="885" t="str">
        <f>IF(S1MAData!N20=0,"",SUBSTITUTE(SUBSTITUTE(S1MAData!N20,"Acquired and Rehabilitated Housing","A/R"),"Newly Constructed Housing","N/C"))</f>
        <v/>
      </c>
      <c r="H2178" s="885"/>
      <c r="I2178" s="583" t="str">
        <f>IF(S1MAData!AM20=0,"",LEFT(S1MAData!AM20,1))</f>
        <v/>
      </c>
      <c r="J2178" s="583" t="str">
        <f>IF(S1MAData!L20=0,"",LEFT(S1MAData!L20,1))</f>
        <v/>
      </c>
      <c r="K2178" s="939">
        <f>S1MAData!AA20</f>
        <v>0</v>
      </c>
      <c r="L2178" s="1181"/>
      <c r="M2178" s="940">
        <f>S1MAData!AB20</f>
        <v>0</v>
      </c>
      <c r="N2178" s="940"/>
      <c r="O2178" s="940"/>
      <c r="P2178" s="940"/>
      <c r="Q2178" s="940">
        <f>S1MAData!AC20</f>
        <v>0</v>
      </c>
      <c r="R2178" s="940"/>
      <c r="S2178" s="940"/>
      <c r="T2178" s="940"/>
      <c r="U2178" s="940">
        <f>S1MAData!AD20</f>
        <v>0</v>
      </c>
      <c r="V2178" s="940"/>
      <c r="W2178" s="940"/>
      <c r="X2178" s="940">
        <f>S1MAData!AE20</f>
        <v>0</v>
      </c>
      <c r="Y2178" s="940"/>
      <c r="Z2178" s="940"/>
      <c r="AA2178" s="940">
        <f t="shared" si="43"/>
        <v>0</v>
      </c>
      <c r="AB2178" s="940"/>
      <c r="AC2178" s="940"/>
      <c r="AD2178" s="940"/>
      <c r="AE2178" s="871">
        <f>S1MAData!AG20</f>
        <v>0</v>
      </c>
      <c r="AF2178" s="871"/>
      <c r="AG2178" s="529"/>
      <c r="AH2178" s="518"/>
      <c r="AJ2178" s="595" t="b">
        <f t="shared" si="44"/>
        <v>0</v>
      </c>
    </row>
    <row r="2179" spans="1:36" hidden="1" x14ac:dyDescent="0.45">
      <c r="A2179" s="518"/>
      <c r="B2179" s="514" t="s">
        <v>1423</v>
      </c>
      <c r="C2179" s="515"/>
      <c r="D2179" s="515"/>
      <c r="E2179" s="515"/>
      <c r="F2179" s="515"/>
      <c r="G2179" s="885" t="str">
        <f>IF(S1MAData!N21=0,"",SUBSTITUTE(SUBSTITUTE(S1MAData!N21,"Acquired and Rehabilitated Housing","A/R"),"Newly Constructed Housing","N/C"))</f>
        <v/>
      </c>
      <c r="H2179" s="885"/>
      <c r="I2179" s="583" t="str">
        <f>IF(S1MAData!AM21=0,"",LEFT(S1MAData!AM21,1))</f>
        <v/>
      </c>
      <c r="J2179" s="583" t="str">
        <f>IF(S1MAData!L21=0,"",LEFT(S1MAData!L21,1))</f>
        <v/>
      </c>
      <c r="K2179" s="939">
        <f>S1MAData!AA21</f>
        <v>0</v>
      </c>
      <c r="L2179" s="1181"/>
      <c r="M2179" s="940">
        <f>S1MAData!AB21</f>
        <v>0</v>
      </c>
      <c r="N2179" s="940"/>
      <c r="O2179" s="940"/>
      <c r="P2179" s="940"/>
      <c r="Q2179" s="940">
        <f>S1MAData!AC21</f>
        <v>0</v>
      </c>
      <c r="R2179" s="940"/>
      <c r="S2179" s="940"/>
      <c r="T2179" s="940"/>
      <c r="U2179" s="940">
        <f>S1MAData!AD21</f>
        <v>0</v>
      </c>
      <c r="V2179" s="940"/>
      <c r="W2179" s="940"/>
      <c r="X2179" s="940">
        <f>S1MAData!AE21</f>
        <v>0</v>
      </c>
      <c r="Y2179" s="940"/>
      <c r="Z2179" s="940"/>
      <c r="AA2179" s="940">
        <f t="shared" si="43"/>
        <v>0</v>
      </c>
      <c r="AB2179" s="940"/>
      <c r="AC2179" s="940"/>
      <c r="AD2179" s="940"/>
      <c r="AE2179" s="871">
        <f>S1MAData!AG21</f>
        <v>0</v>
      </c>
      <c r="AF2179" s="871"/>
      <c r="AG2179" s="529"/>
      <c r="AH2179" s="518"/>
      <c r="AJ2179" s="595" t="b">
        <f t="shared" si="44"/>
        <v>0</v>
      </c>
    </row>
    <row r="2180" spans="1:36" hidden="1" x14ac:dyDescent="0.45">
      <c r="A2180" s="518"/>
      <c r="B2180" s="514" t="s">
        <v>1424</v>
      </c>
      <c r="C2180" s="515"/>
      <c r="D2180" s="515"/>
      <c r="E2180" s="515"/>
      <c r="F2180" s="515"/>
      <c r="G2180" s="885" t="str">
        <f>IF(S1MAData!N22=0,"",SUBSTITUTE(SUBSTITUTE(S1MAData!N22,"Acquired and Rehabilitated Housing","A/R"),"Newly Constructed Housing","N/C"))</f>
        <v/>
      </c>
      <c r="H2180" s="885"/>
      <c r="I2180" s="583" t="str">
        <f>IF(S1MAData!AM22=0,"",LEFT(S1MAData!AM22,1))</f>
        <v/>
      </c>
      <c r="J2180" s="583" t="str">
        <f>IF(S1MAData!L22=0,"",LEFT(S1MAData!L22,1))</f>
        <v/>
      </c>
      <c r="K2180" s="939">
        <f>S1MAData!AA22</f>
        <v>0</v>
      </c>
      <c r="L2180" s="1181"/>
      <c r="M2180" s="940">
        <f>S1MAData!AB22</f>
        <v>0</v>
      </c>
      <c r="N2180" s="940"/>
      <c r="O2180" s="940"/>
      <c r="P2180" s="940"/>
      <c r="Q2180" s="940">
        <f>S1MAData!AC22</f>
        <v>0</v>
      </c>
      <c r="R2180" s="940"/>
      <c r="S2180" s="940"/>
      <c r="T2180" s="940"/>
      <c r="U2180" s="940">
        <f>S1MAData!AD22</f>
        <v>0</v>
      </c>
      <c r="V2180" s="940"/>
      <c r="W2180" s="940"/>
      <c r="X2180" s="940">
        <f>S1MAData!AE22</f>
        <v>0</v>
      </c>
      <c r="Y2180" s="940"/>
      <c r="Z2180" s="940"/>
      <c r="AA2180" s="940">
        <f t="shared" si="43"/>
        <v>0</v>
      </c>
      <c r="AB2180" s="940"/>
      <c r="AC2180" s="940"/>
      <c r="AD2180" s="940"/>
      <c r="AE2180" s="871">
        <f>S1MAData!AG22</f>
        <v>0</v>
      </c>
      <c r="AF2180" s="871"/>
      <c r="AG2180" s="529"/>
      <c r="AH2180" s="518"/>
      <c r="AJ2180" s="595" t="b">
        <f t="shared" si="44"/>
        <v>0</v>
      </c>
    </row>
    <row r="2181" spans="1:36" hidden="1" x14ac:dyDescent="0.45">
      <c r="A2181" s="518"/>
      <c r="B2181" s="514" t="s">
        <v>1425</v>
      </c>
      <c r="C2181" s="515"/>
      <c r="D2181" s="515"/>
      <c r="E2181" s="515"/>
      <c r="F2181" s="515"/>
      <c r="G2181" s="885" t="str">
        <f>IF(S1MAData!N23=0,"",SUBSTITUTE(SUBSTITUTE(S1MAData!N23,"Acquired and Rehabilitated Housing","A/R"),"Newly Constructed Housing","N/C"))</f>
        <v/>
      </c>
      <c r="H2181" s="885"/>
      <c r="I2181" s="583" t="str">
        <f>IF(S1MAData!AM23=0,"",LEFT(S1MAData!AM23,1))</f>
        <v/>
      </c>
      <c r="J2181" s="583" t="str">
        <f>IF(S1MAData!L23=0,"",LEFT(S1MAData!L23,1))</f>
        <v/>
      </c>
      <c r="K2181" s="939">
        <f>S1MAData!AA23</f>
        <v>0</v>
      </c>
      <c r="L2181" s="1181"/>
      <c r="M2181" s="940">
        <f>S1MAData!AB23</f>
        <v>0</v>
      </c>
      <c r="N2181" s="940"/>
      <c r="O2181" s="940"/>
      <c r="P2181" s="940"/>
      <c r="Q2181" s="940">
        <f>S1MAData!AC23</f>
        <v>0</v>
      </c>
      <c r="R2181" s="940"/>
      <c r="S2181" s="940"/>
      <c r="T2181" s="940"/>
      <c r="U2181" s="940">
        <f>S1MAData!AD23</f>
        <v>0</v>
      </c>
      <c r="V2181" s="940"/>
      <c r="W2181" s="940"/>
      <c r="X2181" s="940">
        <f>S1MAData!AE23</f>
        <v>0</v>
      </c>
      <c r="Y2181" s="940"/>
      <c r="Z2181" s="940"/>
      <c r="AA2181" s="940">
        <f t="shared" si="43"/>
        <v>0</v>
      </c>
      <c r="AB2181" s="940"/>
      <c r="AC2181" s="940"/>
      <c r="AD2181" s="940"/>
      <c r="AE2181" s="871">
        <f>S1MAData!AG23</f>
        <v>0</v>
      </c>
      <c r="AF2181" s="871"/>
      <c r="AG2181" s="529"/>
      <c r="AH2181" s="518"/>
      <c r="AJ2181" s="595" t="b">
        <f t="shared" si="44"/>
        <v>0</v>
      </c>
    </row>
    <row r="2182" spans="1:36" hidden="1" x14ac:dyDescent="0.45">
      <c r="A2182" s="518"/>
      <c r="B2182" s="514" t="s">
        <v>1426</v>
      </c>
      <c r="C2182" s="515"/>
      <c r="D2182" s="515"/>
      <c r="E2182" s="515"/>
      <c r="F2182" s="515"/>
      <c r="G2182" s="885" t="str">
        <f>IF(S1MAData!N24=0,"",SUBSTITUTE(SUBSTITUTE(S1MAData!N24,"Acquired and Rehabilitated Housing","A/R"),"Newly Constructed Housing","N/C"))</f>
        <v/>
      </c>
      <c r="H2182" s="885"/>
      <c r="I2182" s="583" t="str">
        <f>IF(S1MAData!AM24=0,"",LEFT(S1MAData!AM24,1))</f>
        <v/>
      </c>
      <c r="J2182" s="583" t="str">
        <f>IF(S1MAData!L24=0,"",LEFT(S1MAData!L24,1))</f>
        <v/>
      </c>
      <c r="K2182" s="939">
        <f>S1MAData!AA24</f>
        <v>0</v>
      </c>
      <c r="L2182" s="1181"/>
      <c r="M2182" s="940">
        <f>S1MAData!AB24</f>
        <v>0</v>
      </c>
      <c r="N2182" s="940"/>
      <c r="O2182" s="940"/>
      <c r="P2182" s="940"/>
      <c r="Q2182" s="940">
        <f>S1MAData!AC24</f>
        <v>0</v>
      </c>
      <c r="R2182" s="940"/>
      <c r="S2182" s="940"/>
      <c r="T2182" s="940"/>
      <c r="U2182" s="940">
        <f>S1MAData!AD24</f>
        <v>0</v>
      </c>
      <c r="V2182" s="940"/>
      <c r="W2182" s="940"/>
      <c r="X2182" s="940">
        <f>S1MAData!AE24</f>
        <v>0</v>
      </c>
      <c r="Y2182" s="940"/>
      <c r="Z2182" s="940"/>
      <c r="AA2182" s="940">
        <f t="shared" si="43"/>
        <v>0</v>
      </c>
      <c r="AB2182" s="940"/>
      <c r="AC2182" s="940"/>
      <c r="AD2182" s="940"/>
      <c r="AE2182" s="871">
        <f>S1MAData!AG24</f>
        <v>0</v>
      </c>
      <c r="AF2182" s="871"/>
      <c r="AG2182" s="529"/>
      <c r="AH2182" s="518"/>
      <c r="AJ2182" s="595" t="b">
        <f t="shared" si="44"/>
        <v>0</v>
      </c>
    </row>
    <row r="2183" spans="1:36" hidden="1" x14ac:dyDescent="0.45">
      <c r="A2183" s="518"/>
      <c r="B2183" s="514" t="s">
        <v>1427</v>
      </c>
      <c r="C2183" s="515"/>
      <c r="D2183" s="515"/>
      <c r="E2183" s="515"/>
      <c r="F2183" s="515"/>
      <c r="G2183" s="885" t="str">
        <f>IF(S1MAData!N25=0,"",SUBSTITUTE(SUBSTITUTE(S1MAData!N25,"Acquired and Rehabilitated Housing","A/R"),"Newly Constructed Housing","N/C"))</f>
        <v/>
      </c>
      <c r="H2183" s="885"/>
      <c r="I2183" s="583" t="str">
        <f>IF(S1MAData!AM25=0,"",LEFT(S1MAData!AM25,1))</f>
        <v/>
      </c>
      <c r="J2183" s="583" t="str">
        <f>IF(S1MAData!L25=0,"",LEFT(S1MAData!L25,1))</f>
        <v/>
      </c>
      <c r="K2183" s="939">
        <f>S1MAData!AA25</f>
        <v>0</v>
      </c>
      <c r="L2183" s="1181"/>
      <c r="M2183" s="940">
        <f>S1MAData!AB25</f>
        <v>0</v>
      </c>
      <c r="N2183" s="940"/>
      <c r="O2183" s="940"/>
      <c r="P2183" s="940"/>
      <c r="Q2183" s="940">
        <f>S1MAData!AC25</f>
        <v>0</v>
      </c>
      <c r="R2183" s="940"/>
      <c r="S2183" s="940"/>
      <c r="T2183" s="940"/>
      <c r="U2183" s="940">
        <f>S1MAData!AD25</f>
        <v>0</v>
      </c>
      <c r="V2183" s="940"/>
      <c r="W2183" s="940"/>
      <c r="X2183" s="940">
        <f>S1MAData!AE25</f>
        <v>0</v>
      </c>
      <c r="Y2183" s="940"/>
      <c r="Z2183" s="940"/>
      <c r="AA2183" s="940">
        <f t="shared" si="43"/>
        <v>0</v>
      </c>
      <c r="AB2183" s="940"/>
      <c r="AC2183" s="940"/>
      <c r="AD2183" s="940"/>
      <c r="AE2183" s="871">
        <f>S1MAData!AG25</f>
        <v>0</v>
      </c>
      <c r="AF2183" s="871"/>
      <c r="AG2183" s="529"/>
      <c r="AH2183" s="518"/>
      <c r="AJ2183" s="595" t="b">
        <f t="shared" si="44"/>
        <v>0</v>
      </c>
    </row>
    <row r="2184" spans="1:36" hidden="1" x14ac:dyDescent="0.45">
      <c r="A2184" s="518"/>
      <c r="B2184" s="514" t="s">
        <v>1428</v>
      </c>
      <c r="C2184" s="515"/>
      <c r="D2184" s="515"/>
      <c r="E2184" s="515"/>
      <c r="F2184" s="515"/>
      <c r="G2184" s="885" t="str">
        <f>IF(S1MAData!N26=0,"",SUBSTITUTE(SUBSTITUTE(S1MAData!N26,"Acquired and Rehabilitated Housing","A/R"),"Newly Constructed Housing","N/C"))</f>
        <v/>
      </c>
      <c r="H2184" s="885"/>
      <c r="I2184" s="583" t="str">
        <f>IF(S1MAData!AM26=0,"",LEFT(S1MAData!AM26,1))</f>
        <v/>
      </c>
      <c r="J2184" s="583" t="str">
        <f>IF(S1MAData!L26=0,"",LEFT(S1MAData!L26,1))</f>
        <v/>
      </c>
      <c r="K2184" s="939">
        <f>S1MAData!AA26</f>
        <v>0</v>
      </c>
      <c r="L2184" s="1181"/>
      <c r="M2184" s="940">
        <f>S1MAData!AB26</f>
        <v>0</v>
      </c>
      <c r="N2184" s="940"/>
      <c r="O2184" s="940"/>
      <c r="P2184" s="940"/>
      <c r="Q2184" s="940">
        <f>S1MAData!AC26</f>
        <v>0</v>
      </c>
      <c r="R2184" s="940"/>
      <c r="S2184" s="940"/>
      <c r="T2184" s="940"/>
      <c r="U2184" s="940">
        <f>S1MAData!AD26</f>
        <v>0</v>
      </c>
      <c r="V2184" s="940"/>
      <c r="W2184" s="940"/>
      <c r="X2184" s="940">
        <f>S1MAData!AE26</f>
        <v>0</v>
      </c>
      <c r="Y2184" s="940"/>
      <c r="Z2184" s="940"/>
      <c r="AA2184" s="940">
        <f t="shared" si="43"/>
        <v>0</v>
      </c>
      <c r="AB2184" s="940"/>
      <c r="AC2184" s="940"/>
      <c r="AD2184" s="940"/>
      <c r="AE2184" s="871">
        <f>S1MAData!AG26</f>
        <v>0</v>
      </c>
      <c r="AF2184" s="871"/>
      <c r="AG2184" s="529"/>
      <c r="AH2184" s="518"/>
      <c r="AJ2184" s="595" t="b">
        <f t="shared" si="44"/>
        <v>0</v>
      </c>
    </row>
    <row r="2185" spans="1:36" hidden="1" x14ac:dyDescent="0.45">
      <c r="A2185" s="518"/>
      <c r="B2185" s="514" t="s">
        <v>1429</v>
      </c>
      <c r="C2185" s="515"/>
      <c r="D2185" s="515"/>
      <c r="E2185" s="515"/>
      <c r="F2185" s="515"/>
      <c r="G2185" s="885" t="str">
        <f>IF(S1MAData!N27=0,"",SUBSTITUTE(SUBSTITUTE(S1MAData!N27,"Acquired and Rehabilitated Housing","A/R"),"Newly Constructed Housing","N/C"))</f>
        <v/>
      </c>
      <c r="H2185" s="885"/>
      <c r="I2185" s="583" t="str">
        <f>IF(S1MAData!AM27=0,"",LEFT(S1MAData!AM27,1))</f>
        <v/>
      </c>
      <c r="J2185" s="583" t="str">
        <f>IF(S1MAData!L27=0,"",LEFT(S1MAData!L27,1))</f>
        <v/>
      </c>
      <c r="K2185" s="939">
        <f>S1MAData!AA27</f>
        <v>0</v>
      </c>
      <c r="L2185" s="1181"/>
      <c r="M2185" s="940">
        <f>S1MAData!AB27</f>
        <v>0</v>
      </c>
      <c r="N2185" s="940"/>
      <c r="O2185" s="940"/>
      <c r="P2185" s="940"/>
      <c r="Q2185" s="940">
        <f>S1MAData!AC27</f>
        <v>0</v>
      </c>
      <c r="R2185" s="940"/>
      <c r="S2185" s="940"/>
      <c r="T2185" s="940"/>
      <c r="U2185" s="940">
        <f>S1MAData!AD27</f>
        <v>0</v>
      </c>
      <c r="V2185" s="940"/>
      <c r="W2185" s="940"/>
      <c r="X2185" s="940">
        <f>S1MAData!AE27</f>
        <v>0</v>
      </c>
      <c r="Y2185" s="940"/>
      <c r="Z2185" s="940"/>
      <c r="AA2185" s="940">
        <f t="shared" si="43"/>
        <v>0</v>
      </c>
      <c r="AB2185" s="940"/>
      <c r="AC2185" s="940"/>
      <c r="AD2185" s="940"/>
      <c r="AE2185" s="871">
        <f>S1MAData!AG27</f>
        <v>0</v>
      </c>
      <c r="AF2185" s="871"/>
      <c r="AG2185" s="529"/>
      <c r="AH2185" s="518"/>
      <c r="AJ2185" s="595" t="b">
        <f t="shared" si="44"/>
        <v>0</v>
      </c>
    </row>
    <row r="2186" spans="1:36" hidden="1" x14ac:dyDescent="0.45">
      <c r="A2186" s="518"/>
      <c r="B2186" s="514" t="s">
        <v>1430</v>
      </c>
      <c r="C2186" s="515"/>
      <c r="D2186" s="515"/>
      <c r="E2186" s="515"/>
      <c r="F2186" s="515"/>
      <c r="G2186" s="885" t="str">
        <f>IF(S1MAData!N28=0,"",SUBSTITUTE(SUBSTITUTE(S1MAData!N28,"Acquired and Rehabilitated Housing","A/R"),"Newly Constructed Housing","N/C"))</f>
        <v/>
      </c>
      <c r="H2186" s="885"/>
      <c r="I2186" s="583" t="str">
        <f>IF(S1MAData!AM28=0,"",LEFT(S1MAData!AM28,1))</f>
        <v/>
      </c>
      <c r="J2186" s="583" t="str">
        <f>IF(S1MAData!L28=0,"",LEFT(S1MAData!L28,1))</f>
        <v/>
      </c>
      <c r="K2186" s="939">
        <f>S1MAData!AA28</f>
        <v>0</v>
      </c>
      <c r="L2186" s="1181"/>
      <c r="M2186" s="940">
        <f>S1MAData!AB28</f>
        <v>0</v>
      </c>
      <c r="N2186" s="940"/>
      <c r="O2186" s="940"/>
      <c r="P2186" s="940"/>
      <c r="Q2186" s="940">
        <f>S1MAData!AC28</f>
        <v>0</v>
      </c>
      <c r="R2186" s="940"/>
      <c r="S2186" s="940"/>
      <c r="T2186" s="940"/>
      <c r="U2186" s="940">
        <f>S1MAData!AD28</f>
        <v>0</v>
      </c>
      <c r="V2186" s="940"/>
      <c r="W2186" s="940"/>
      <c r="X2186" s="940">
        <f>S1MAData!AE28</f>
        <v>0</v>
      </c>
      <c r="Y2186" s="940"/>
      <c r="Z2186" s="940"/>
      <c r="AA2186" s="940">
        <f t="shared" si="43"/>
        <v>0</v>
      </c>
      <c r="AB2186" s="940"/>
      <c r="AC2186" s="940"/>
      <c r="AD2186" s="940"/>
      <c r="AE2186" s="871">
        <f>S1MAData!AG28</f>
        <v>0</v>
      </c>
      <c r="AF2186" s="871"/>
      <c r="AG2186" s="529"/>
      <c r="AH2186" s="518"/>
      <c r="AJ2186" s="595" t="b">
        <f t="shared" si="44"/>
        <v>0</v>
      </c>
    </row>
    <row r="2187" spans="1:36" hidden="1" x14ac:dyDescent="0.45">
      <c r="A2187" s="518"/>
      <c r="B2187" s="514" t="s">
        <v>1431</v>
      </c>
      <c r="C2187" s="515"/>
      <c r="D2187" s="515"/>
      <c r="E2187" s="515"/>
      <c r="F2187" s="515"/>
      <c r="G2187" s="885" t="str">
        <f>IF(S1MAData!N29=0,"",SUBSTITUTE(SUBSTITUTE(S1MAData!N29,"Acquired and Rehabilitated Housing","A/R"),"Newly Constructed Housing","N/C"))</f>
        <v/>
      </c>
      <c r="H2187" s="885"/>
      <c r="I2187" s="583" t="str">
        <f>IF(S1MAData!AM29=0,"",LEFT(S1MAData!AM29,1))</f>
        <v/>
      </c>
      <c r="J2187" s="583" t="str">
        <f>IF(S1MAData!L29=0,"",LEFT(S1MAData!L29,1))</f>
        <v/>
      </c>
      <c r="K2187" s="939">
        <f>S1MAData!AA29</f>
        <v>0</v>
      </c>
      <c r="L2187" s="1181"/>
      <c r="M2187" s="940">
        <f>S1MAData!AB29</f>
        <v>0</v>
      </c>
      <c r="N2187" s="940"/>
      <c r="O2187" s="940"/>
      <c r="P2187" s="940"/>
      <c r="Q2187" s="940">
        <f>S1MAData!AC29</f>
        <v>0</v>
      </c>
      <c r="R2187" s="940"/>
      <c r="S2187" s="940"/>
      <c r="T2187" s="940"/>
      <c r="U2187" s="940">
        <f>S1MAData!AD29</f>
        <v>0</v>
      </c>
      <c r="V2187" s="940"/>
      <c r="W2187" s="940"/>
      <c r="X2187" s="940">
        <f>S1MAData!AE29</f>
        <v>0</v>
      </c>
      <c r="Y2187" s="940"/>
      <c r="Z2187" s="940"/>
      <c r="AA2187" s="940">
        <f t="shared" si="43"/>
        <v>0</v>
      </c>
      <c r="AB2187" s="940"/>
      <c r="AC2187" s="940"/>
      <c r="AD2187" s="940"/>
      <c r="AE2187" s="871">
        <f>S1MAData!AG29</f>
        <v>0</v>
      </c>
      <c r="AF2187" s="871"/>
      <c r="AG2187" s="529"/>
      <c r="AH2187" s="518"/>
      <c r="AJ2187" s="595" t="b">
        <f t="shared" si="44"/>
        <v>0</v>
      </c>
    </row>
    <row r="2188" spans="1:36" hidden="1" x14ac:dyDescent="0.45">
      <c r="A2188" s="518"/>
      <c r="B2188" s="514" t="s">
        <v>1432</v>
      </c>
      <c r="C2188" s="515"/>
      <c r="D2188" s="515"/>
      <c r="E2188" s="515"/>
      <c r="F2188" s="515"/>
      <c r="G2188" s="885" t="str">
        <f>IF(S1MAData!N30=0,"",SUBSTITUTE(SUBSTITUTE(S1MAData!N30,"Acquired and Rehabilitated Housing","A/R"),"Newly Constructed Housing","N/C"))</f>
        <v/>
      </c>
      <c r="H2188" s="885"/>
      <c r="I2188" s="583" t="str">
        <f>IF(S1MAData!AM30=0,"",LEFT(S1MAData!AM30,1))</f>
        <v/>
      </c>
      <c r="J2188" s="583" t="str">
        <f>IF(S1MAData!L30=0,"",LEFT(S1MAData!L30,1))</f>
        <v/>
      </c>
      <c r="K2188" s="939">
        <f>S1MAData!AA30</f>
        <v>0</v>
      </c>
      <c r="L2188" s="1181"/>
      <c r="M2188" s="940">
        <f>S1MAData!AB30</f>
        <v>0</v>
      </c>
      <c r="N2188" s="940"/>
      <c r="O2188" s="940"/>
      <c r="P2188" s="940"/>
      <c r="Q2188" s="940">
        <f>S1MAData!AC30</f>
        <v>0</v>
      </c>
      <c r="R2188" s="940"/>
      <c r="S2188" s="940"/>
      <c r="T2188" s="940"/>
      <c r="U2188" s="940">
        <f>S1MAData!AD30</f>
        <v>0</v>
      </c>
      <c r="V2188" s="940"/>
      <c r="W2188" s="940"/>
      <c r="X2188" s="940">
        <f>S1MAData!AE30</f>
        <v>0</v>
      </c>
      <c r="Y2188" s="940"/>
      <c r="Z2188" s="940"/>
      <c r="AA2188" s="940">
        <f t="shared" si="43"/>
        <v>0</v>
      </c>
      <c r="AB2188" s="940"/>
      <c r="AC2188" s="940"/>
      <c r="AD2188" s="940"/>
      <c r="AE2188" s="871">
        <f>S1MAData!AG30</f>
        <v>0</v>
      </c>
      <c r="AF2188" s="871"/>
      <c r="AG2188" s="529"/>
      <c r="AH2188" s="518"/>
      <c r="AJ2188" s="595" t="b">
        <f t="shared" si="44"/>
        <v>0</v>
      </c>
    </row>
    <row r="2189" spans="1:36" hidden="1" x14ac:dyDescent="0.45">
      <c r="A2189" s="518"/>
      <c r="B2189" s="514" t="s">
        <v>1433</v>
      </c>
      <c r="C2189" s="515"/>
      <c r="D2189" s="515"/>
      <c r="E2189" s="515"/>
      <c r="F2189" s="515"/>
      <c r="G2189" s="885" t="str">
        <f>IF(S1MAData!N31=0,"",SUBSTITUTE(SUBSTITUTE(S1MAData!N31,"Acquired and Rehabilitated Housing","A/R"),"Newly Constructed Housing","N/C"))</f>
        <v/>
      </c>
      <c r="H2189" s="885"/>
      <c r="I2189" s="583" t="str">
        <f>IF(S1MAData!AM31=0,"",LEFT(S1MAData!AM31,1))</f>
        <v/>
      </c>
      <c r="J2189" s="583" t="str">
        <f>IF(S1MAData!L31=0,"",LEFT(S1MAData!L31,1))</f>
        <v/>
      </c>
      <c r="K2189" s="939">
        <f>S1MAData!AA31</f>
        <v>0</v>
      </c>
      <c r="L2189" s="1181"/>
      <c r="M2189" s="940">
        <f>S1MAData!AB31</f>
        <v>0</v>
      </c>
      <c r="N2189" s="940"/>
      <c r="O2189" s="940"/>
      <c r="P2189" s="940"/>
      <c r="Q2189" s="940">
        <f>S1MAData!AC31</f>
        <v>0</v>
      </c>
      <c r="R2189" s="940"/>
      <c r="S2189" s="940"/>
      <c r="T2189" s="940"/>
      <c r="U2189" s="940">
        <f>S1MAData!AD31</f>
        <v>0</v>
      </c>
      <c r="V2189" s="940"/>
      <c r="W2189" s="940"/>
      <c r="X2189" s="940">
        <f>S1MAData!AE31</f>
        <v>0</v>
      </c>
      <c r="Y2189" s="940"/>
      <c r="Z2189" s="940"/>
      <c r="AA2189" s="940">
        <f t="shared" si="43"/>
        <v>0</v>
      </c>
      <c r="AB2189" s="940"/>
      <c r="AC2189" s="940"/>
      <c r="AD2189" s="940"/>
      <c r="AE2189" s="871">
        <f>S1MAData!AG31</f>
        <v>0</v>
      </c>
      <c r="AF2189" s="871"/>
      <c r="AG2189" s="529"/>
      <c r="AH2189" s="518"/>
      <c r="AJ2189" s="595" t="b">
        <f t="shared" si="44"/>
        <v>0</v>
      </c>
    </row>
    <row r="2190" spans="1:36" hidden="1" x14ac:dyDescent="0.45">
      <c r="A2190" s="518"/>
      <c r="B2190" s="514" t="s">
        <v>1434</v>
      </c>
      <c r="C2190" s="515"/>
      <c r="D2190" s="515"/>
      <c r="E2190" s="515"/>
      <c r="F2190" s="515"/>
      <c r="G2190" s="885" t="str">
        <f>IF(S1MAData!N32=0,"",SUBSTITUTE(SUBSTITUTE(S1MAData!N32,"Acquired and Rehabilitated Housing","A/R"),"Newly Constructed Housing","N/C"))</f>
        <v/>
      </c>
      <c r="H2190" s="885"/>
      <c r="I2190" s="583" t="str">
        <f>IF(S1MAData!AM32=0,"",LEFT(S1MAData!AM32,1))</f>
        <v/>
      </c>
      <c r="J2190" s="583" t="str">
        <f>IF(S1MAData!L32=0,"",LEFT(S1MAData!L32,1))</f>
        <v/>
      </c>
      <c r="K2190" s="939">
        <f>S1MAData!AA32</f>
        <v>0</v>
      </c>
      <c r="L2190" s="1181"/>
      <c r="M2190" s="940">
        <f>S1MAData!AB32</f>
        <v>0</v>
      </c>
      <c r="N2190" s="940"/>
      <c r="O2190" s="940"/>
      <c r="P2190" s="940"/>
      <c r="Q2190" s="940">
        <f>S1MAData!AC32</f>
        <v>0</v>
      </c>
      <c r="R2190" s="940"/>
      <c r="S2190" s="940"/>
      <c r="T2190" s="940"/>
      <c r="U2190" s="940">
        <f>S1MAData!AD32</f>
        <v>0</v>
      </c>
      <c r="V2190" s="940"/>
      <c r="W2190" s="940"/>
      <c r="X2190" s="940">
        <f>S1MAData!AE32</f>
        <v>0</v>
      </c>
      <c r="Y2190" s="940"/>
      <c r="Z2190" s="940"/>
      <c r="AA2190" s="940">
        <f t="shared" si="43"/>
        <v>0</v>
      </c>
      <c r="AB2190" s="940"/>
      <c r="AC2190" s="940"/>
      <c r="AD2190" s="940"/>
      <c r="AE2190" s="871">
        <f>S1MAData!AG32</f>
        <v>0</v>
      </c>
      <c r="AF2190" s="871"/>
      <c r="AG2190" s="529"/>
      <c r="AH2190" s="518"/>
      <c r="AJ2190" s="595" t="b">
        <f t="shared" si="44"/>
        <v>0</v>
      </c>
    </row>
    <row r="2191" spans="1:36" hidden="1" x14ac:dyDescent="0.45">
      <c r="A2191" s="518"/>
      <c r="B2191" s="514" t="s">
        <v>1435</v>
      </c>
      <c r="C2191" s="515"/>
      <c r="D2191" s="515"/>
      <c r="E2191" s="515"/>
      <c r="F2191" s="515"/>
      <c r="G2191" s="885" t="str">
        <f>IF(S1MAData!N33=0,"",SUBSTITUTE(SUBSTITUTE(S1MAData!N33,"Acquired and Rehabilitated Housing","A/R"),"Newly Constructed Housing","N/C"))</f>
        <v/>
      </c>
      <c r="H2191" s="885"/>
      <c r="I2191" s="583" t="str">
        <f>IF(S1MAData!AM33=0,"",LEFT(S1MAData!AM33,1))</f>
        <v/>
      </c>
      <c r="J2191" s="583" t="str">
        <f>IF(S1MAData!L33=0,"",LEFT(S1MAData!L33,1))</f>
        <v/>
      </c>
      <c r="K2191" s="939">
        <f>S1MAData!AA33</f>
        <v>0</v>
      </c>
      <c r="L2191" s="1181"/>
      <c r="M2191" s="940">
        <f>S1MAData!AB33</f>
        <v>0</v>
      </c>
      <c r="N2191" s="940"/>
      <c r="O2191" s="940"/>
      <c r="P2191" s="940"/>
      <c r="Q2191" s="940">
        <f>S1MAData!AC33</f>
        <v>0</v>
      </c>
      <c r="R2191" s="940"/>
      <c r="S2191" s="940"/>
      <c r="T2191" s="940"/>
      <c r="U2191" s="940">
        <f>S1MAData!AD33</f>
        <v>0</v>
      </c>
      <c r="V2191" s="940"/>
      <c r="W2191" s="940"/>
      <c r="X2191" s="940">
        <f>S1MAData!AE33</f>
        <v>0</v>
      </c>
      <c r="Y2191" s="940"/>
      <c r="Z2191" s="940"/>
      <c r="AA2191" s="940">
        <f t="shared" si="43"/>
        <v>0</v>
      </c>
      <c r="AB2191" s="940"/>
      <c r="AC2191" s="940"/>
      <c r="AD2191" s="940"/>
      <c r="AE2191" s="871">
        <f>S1MAData!AG33</f>
        <v>0</v>
      </c>
      <c r="AF2191" s="871"/>
      <c r="AG2191" s="529"/>
      <c r="AH2191" s="518"/>
      <c r="AJ2191" s="595" t="b">
        <f t="shared" si="44"/>
        <v>0</v>
      </c>
    </row>
    <row r="2192" spans="1:36" hidden="1" x14ac:dyDescent="0.45">
      <c r="A2192" s="518"/>
      <c r="B2192" s="514" t="s">
        <v>1436</v>
      </c>
      <c r="C2192" s="515"/>
      <c r="D2192" s="515"/>
      <c r="E2192" s="515"/>
      <c r="F2192" s="515"/>
      <c r="G2192" s="885" t="str">
        <f>IF(S1MAData!N34=0,"",SUBSTITUTE(SUBSTITUTE(S1MAData!N34,"Acquired and Rehabilitated Housing","A/R"),"Newly Constructed Housing","N/C"))</f>
        <v/>
      </c>
      <c r="H2192" s="885"/>
      <c r="I2192" s="583" t="str">
        <f>IF(S1MAData!AM34=0,"",LEFT(S1MAData!AM34,1))</f>
        <v/>
      </c>
      <c r="J2192" s="583" t="str">
        <f>IF(S1MAData!L34=0,"",LEFT(S1MAData!L34,1))</f>
        <v/>
      </c>
      <c r="K2192" s="939">
        <f>S1MAData!AA34</f>
        <v>0</v>
      </c>
      <c r="L2192" s="1181"/>
      <c r="M2192" s="940">
        <f>S1MAData!AB34</f>
        <v>0</v>
      </c>
      <c r="N2192" s="940"/>
      <c r="O2192" s="940"/>
      <c r="P2192" s="940"/>
      <c r="Q2192" s="940">
        <f>S1MAData!AC34</f>
        <v>0</v>
      </c>
      <c r="R2192" s="940"/>
      <c r="S2192" s="940"/>
      <c r="T2192" s="940"/>
      <c r="U2192" s="940">
        <f>S1MAData!AD34</f>
        <v>0</v>
      </c>
      <c r="V2192" s="940"/>
      <c r="W2192" s="940"/>
      <c r="X2192" s="940">
        <f>S1MAData!AE34</f>
        <v>0</v>
      </c>
      <c r="Y2192" s="940"/>
      <c r="Z2192" s="940"/>
      <c r="AA2192" s="940">
        <f t="shared" si="43"/>
        <v>0</v>
      </c>
      <c r="AB2192" s="940"/>
      <c r="AC2192" s="940"/>
      <c r="AD2192" s="940"/>
      <c r="AE2192" s="871">
        <f>S1MAData!AG34</f>
        <v>0</v>
      </c>
      <c r="AF2192" s="871"/>
      <c r="AG2192" s="529"/>
      <c r="AH2192" s="518"/>
      <c r="AJ2192" s="595" t="b">
        <f t="shared" si="44"/>
        <v>0</v>
      </c>
    </row>
    <row r="2193" spans="1:36" hidden="1" x14ac:dyDescent="0.45">
      <c r="A2193" s="518"/>
      <c r="B2193" s="514" t="s">
        <v>1437</v>
      </c>
      <c r="C2193" s="515"/>
      <c r="D2193" s="515"/>
      <c r="E2193" s="515"/>
      <c r="F2193" s="515"/>
      <c r="G2193" s="885" t="str">
        <f>IF(S1MAData!N35=0,"",SUBSTITUTE(SUBSTITUTE(S1MAData!N35,"Acquired and Rehabilitated Housing","A/R"),"Newly Constructed Housing","N/C"))</f>
        <v/>
      </c>
      <c r="H2193" s="885"/>
      <c r="I2193" s="583" t="str">
        <f>IF(S1MAData!AM35=0,"",LEFT(S1MAData!AM35,1))</f>
        <v/>
      </c>
      <c r="J2193" s="583" t="str">
        <f>IF(S1MAData!L35=0,"",LEFT(S1MAData!L35,1))</f>
        <v/>
      </c>
      <c r="K2193" s="939">
        <f>S1MAData!AA35</f>
        <v>0</v>
      </c>
      <c r="L2193" s="1181"/>
      <c r="M2193" s="940">
        <f>S1MAData!AB35</f>
        <v>0</v>
      </c>
      <c r="N2193" s="940"/>
      <c r="O2193" s="940"/>
      <c r="P2193" s="940"/>
      <c r="Q2193" s="940">
        <f>S1MAData!AC35</f>
        <v>0</v>
      </c>
      <c r="R2193" s="940"/>
      <c r="S2193" s="940"/>
      <c r="T2193" s="940"/>
      <c r="U2193" s="940">
        <f>S1MAData!AD35</f>
        <v>0</v>
      </c>
      <c r="V2193" s="940"/>
      <c r="W2193" s="940"/>
      <c r="X2193" s="940">
        <f>S1MAData!AE35</f>
        <v>0</v>
      </c>
      <c r="Y2193" s="940"/>
      <c r="Z2193" s="940"/>
      <c r="AA2193" s="940">
        <f t="shared" si="43"/>
        <v>0</v>
      </c>
      <c r="AB2193" s="940"/>
      <c r="AC2193" s="940"/>
      <c r="AD2193" s="940"/>
      <c r="AE2193" s="871">
        <f>S1MAData!AG35</f>
        <v>0</v>
      </c>
      <c r="AF2193" s="871"/>
      <c r="AG2193" s="529"/>
      <c r="AH2193" s="518"/>
      <c r="AJ2193" s="595" t="b">
        <f t="shared" si="44"/>
        <v>0</v>
      </c>
    </row>
    <row r="2194" spans="1:36" hidden="1" x14ac:dyDescent="0.45">
      <c r="A2194" s="518"/>
      <c r="B2194" s="514" t="s">
        <v>1438</v>
      </c>
      <c r="C2194" s="515"/>
      <c r="D2194" s="515"/>
      <c r="E2194" s="515"/>
      <c r="F2194" s="515"/>
      <c r="G2194" s="885" t="str">
        <f>IF(S1MAData!N36=0,"",SUBSTITUTE(SUBSTITUTE(S1MAData!N36,"Acquired and Rehabilitated Housing","A/R"),"Newly Constructed Housing","N/C"))</f>
        <v/>
      </c>
      <c r="H2194" s="885"/>
      <c r="I2194" s="583" t="str">
        <f>IF(S1MAData!AM36=0,"",LEFT(S1MAData!AM36,1))</f>
        <v/>
      </c>
      <c r="J2194" s="583" t="str">
        <f>IF(S1MAData!L36=0,"",LEFT(S1MAData!L36,1))</f>
        <v/>
      </c>
      <c r="K2194" s="939">
        <f>S1MAData!AA36</f>
        <v>0</v>
      </c>
      <c r="L2194" s="1181"/>
      <c r="M2194" s="940">
        <f>S1MAData!AB36</f>
        <v>0</v>
      </c>
      <c r="N2194" s="940"/>
      <c r="O2194" s="940"/>
      <c r="P2194" s="940"/>
      <c r="Q2194" s="940">
        <f>S1MAData!AC36</f>
        <v>0</v>
      </c>
      <c r="R2194" s="940"/>
      <c r="S2194" s="940"/>
      <c r="T2194" s="940"/>
      <c r="U2194" s="940">
        <f>S1MAData!AD36</f>
        <v>0</v>
      </c>
      <c r="V2194" s="940"/>
      <c r="W2194" s="940"/>
      <c r="X2194" s="940">
        <f>S1MAData!AE36</f>
        <v>0</v>
      </c>
      <c r="Y2194" s="940"/>
      <c r="Z2194" s="940"/>
      <c r="AA2194" s="940">
        <f t="shared" si="43"/>
        <v>0</v>
      </c>
      <c r="AB2194" s="940"/>
      <c r="AC2194" s="940"/>
      <c r="AD2194" s="940"/>
      <c r="AE2194" s="871">
        <f>S1MAData!AG36</f>
        <v>0</v>
      </c>
      <c r="AF2194" s="871"/>
      <c r="AG2194" s="529"/>
      <c r="AH2194" s="518"/>
      <c r="AJ2194" s="595" t="b">
        <f t="shared" si="44"/>
        <v>0</v>
      </c>
    </row>
    <row r="2195" spans="1:36" hidden="1" x14ac:dyDescent="0.45">
      <c r="A2195" s="518"/>
      <c r="B2195" s="514" t="s">
        <v>1439</v>
      </c>
      <c r="C2195" s="515"/>
      <c r="D2195" s="515"/>
      <c r="E2195" s="515"/>
      <c r="F2195" s="515"/>
      <c r="G2195" s="885" t="str">
        <f>IF(S1MAData!N37=0,"",SUBSTITUTE(SUBSTITUTE(S1MAData!N37,"Acquired and Rehabilitated Housing","A/R"),"Newly Constructed Housing","N/C"))</f>
        <v/>
      </c>
      <c r="H2195" s="885"/>
      <c r="I2195" s="583" t="str">
        <f>IF(S1MAData!AM37=0,"",LEFT(S1MAData!AM37,1))</f>
        <v/>
      </c>
      <c r="J2195" s="583" t="str">
        <f>IF(S1MAData!L37=0,"",LEFT(S1MAData!L37,1))</f>
        <v/>
      </c>
      <c r="K2195" s="939">
        <f>S1MAData!AA37</f>
        <v>0</v>
      </c>
      <c r="L2195" s="1181"/>
      <c r="M2195" s="940">
        <f>S1MAData!AB37</f>
        <v>0</v>
      </c>
      <c r="N2195" s="940"/>
      <c r="O2195" s="940"/>
      <c r="P2195" s="940"/>
      <c r="Q2195" s="940">
        <f>S1MAData!AC37</f>
        <v>0</v>
      </c>
      <c r="R2195" s="940"/>
      <c r="S2195" s="940"/>
      <c r="T2195" s="940"/>
      <c r="U2195" s="940">
        <f>S1MAData!AD37</f>
        <v>0</v>
      </c>
      <c r="V2195" s="940"/>
      <c r="W2195" s="940"/>
      <c r="X2195" s="940">
        <f>S1MAData!AE37</f>
        <v>0</v>
      </c>
      <c r="Y2195" s="940"/>
      <c r="Z2195" s="940"/>
      <c r="AA2195" s="940">
        <f t="shared" si="43"/>
        <v>0</v>
      </c>
      <c r="AB2195" s="940"/>
      <c r="AC2195" s="940"/>
      <c r="AD2195" s="940"/>
      <c r="AE2195" s="871">
        <f>S1MAData!AG37</f>
        <v>0</v>
      </c>
      <c r="AF2195" s="871"/>
      <c r="AG2195" s="529"/>
      <c r="AH2195" s="518"/>
      <c r="AJ2195" s="595" t="b">
        <f t="shared" si="44"/>
        <v>0</v>
      </c>
    </row>
    <row r="2196" spans="1:36" hidden="1" x14ac:dyDescent="0.45">
      <c r="A2196" s="518"/>
      <c r="B2196" s="514" t="s">
        <v>1440</v>
      </c>
      <c r="C2196" s="515"/>
      <c r="D2196" s="515"/>
      <c r="E2196" s="515"/>
      <c r="F2196" s="515"/>
      <c r="G2196" s="885" t="str">
        <f>IF(S1MAData!N38=0,"",SUBSTITUTE(SUBSTITUTE(S1MAData!N38,"Acquired and Rehabilitated Housing","A/R"),"Newly Constructed Housing","N/C"))</f>
        <v/>
      </c>
      <c r="H2196" s="885"/>
      <c r="I2196" s="583" t="str">
        <f>IF(S1MAData!AM38=0,"",LEFT(S1MAData!AM38,1))</f>
        <v/>
      </c>
      <c r="J2196" s="583" t="str">
        <f>IF(S1MAData!L38=0,"",LEFT(S1MAData!L38,1))</f>
        <v/>
      </c>
      <c r="K2196" s="939">
        <f>S1MAData!AA38</f>
        <v>0</v>
      </c>
      <c r="L2196" s="1181"/>
      <c r="M2196" s="940">
        <f>S1MAData!AB38</f>
        <v>0</v>
      </c>
      <c r="N2196" s="940"/>
      <c r="O2196" s="940"/>
      <c r="P2196" s="940"/>
      <c r="Q2196" s="940">
        <f>S1MAData!AC38</f>
        <v>0</v>
      </c>
      <c r="R2196" s="940"/>
      <c r="S2196" s="940"/>
      <c r="T2196" s="940"/>
      <c r="U2196" s="940">
        <f>S1MAData!AD38</f>
        <v>0</v>
      </c>
      <c r="V2196" s="940"/>
      <c r="W2196" s="940"/>
      <c r="X2196" s="940">
        <f>S1MAData!AE38</f>
        <v>0</v>
      </c>
      <c r="Y2196" s="940"/>
      <c r="Z2196" s="940"/>
      <c r="AA2196" s="940">
        <f t="shared" si="43"/>
        <v>0</v>
      </c>
      <c r="AB2196" s="940"/>
      <c r="AC2196" s="940"/>
      <c r="AD2196" s="940"/>
      <c r="AE2196" s="871">
        <f>S1MAData!AG38</f>
        <v>0</v>
      </c>
      <c r="AF2196" s="871"/>
      <c r="AG2196" s="529"/>
      <c r="AH2196" s="518"/>
      <c r="AJ2196" s="595" t="b">
        <f t="shared" si="44"/>
        <v>0</v>
      </c>
    </row>
    <row r="2197" spans="1:36" hidden="1" x14ac:dyDescent="0.45">
      <c r="A2197" s="518"/>
      <c r="B2197" s="514" t="s">
        <v>1441</v>
      </c>
      <c r="C2197" s="515"/>
      <c r="D2197" s="515"/>
      <c r="E2197" s="515"/>
      <c r="F2197" s="515"/>
      <c r="G2197" s="885" t="str">
        <f>IF(S1MAData!N39=0,"",SUBSTITUTE(SUBSTITUTE(S1MAData!N39,"Acquired and Rehabilitated Housing","A/R"),"Newly Constructed Housing","N/C"))</f>
        <v/>
      </c>
      <c r="H2197" s="885"/>
      <c r="I2197" s="583" t="str">
        <f>IF(S1MAData!AM39=0,"",LEFT(S1MAData!AM39,1))</f>
        <v/>
      </c>
      <c r="J2197" s="583" t="str">
        <f>IF(S1MAData!L39=0,"",LEFT(S1MAData!L39,1))</f>
        <v/>
      </c>
      <c r="K2197" s="939">
        <f>S1MAData!AA39</f>
        <v>0</v>
      </c>
      <c r="L2197" s="1181"/>
      <c r="M2197" s="940">
        <f>S1MAData!AB39</f>
        <v>0</v>
      </c>
      <c r="N2197" s="940"/>
      <c r="O2197" s="940"/>
      <c r="P2197" s="940"/>
      <c r="Q2197" s="940">
        <f>S1MAData!AC39</f>
        <v>0</v>
      </c>
      <c r="R2197" s="940"/>
      <c r="S2197" s="940"/>
      <c r="T2197" s="940"/>
      <c r="U2197" s="940">
        <f>S1MAData!AD39</f>
        <v>0</v>
      </c>
      <c r="V2197" s="940"/>
      <c r="W2197" s="940"/>
      <c r="X2197" s="940">
        <f>S1MAData!AE39</f>
        <v>0</v>
      </c>
      <c r="Y2197" s="940"/>
      <c r="Z2197" s="940"/>
      <c r="AA2197" s="940">
        <f t="shared" si="43"/>
        <v>0</v>
      </c>
      <c r="AB2197" s="940"/>
      <c r="AC2197" s="940"/>
      <c r="AD2197" s="940"/>
      <c r="AE2197" s="871">
        <f>S1MAData!AG39</f>
        <v>0</v>
      </c>
      <c r="AF2197" s="871"/>
      <c r="AG2197" s="529"/>
      <c r="AH2197" s="518"/>
      <c r="AJ2197" s="595" t="b">
        <f t="shared" si="44"/>
        <v>0</v>
      </c>
    </row>
    <row r="2198" spans="1:36" hidden="1" x14ac:dyDescent="0.45">
      <c r="A2198" s="518"/>
      <c r="B2198" s="514" t="s">
        <v>152</v>
      </c>
      <c r="C2198" s="515"/>
      <c r="D2198" s="515"/>
      <c r="E2198" s="515"/>
      <c r="F2198" s="515"/>
      <c r="G2198" s="885" t="str">
        <f>IF(S1MAData!N40=0,"",SUBSTITUTE(SUBSTITUTE(S1MAData!N40,"Acquired and Rehabilitated Housing","A/R"),"Newly Constructed Housing","N/C"))</f>
        <v/>
      </c>
      <c r="H2198" s="885"/>
      <c r="I2198" s="583" t="str">
        <f>IF(S1MAData!AM40=0,"",LEFT(S1MAData!AM40,1))</f>
        <v/>
      </c>
      <c r="J2198" s="583" t="str">
        <f>IF(S1MAData!L40=0,"",LEFT(S1MAData!L40,1))</f>
        <v/>
      </c>
      <c r="K2198" s="939">
        <f>S1MAData!AA40</f>
        <v>0</v>
      </c>
      <c r="L2198" s="1181"/>
      <c r="M2198" s="940">
        <f>S1MAData!AB40</f>
        <v>0</v>
      </c>
      <c r="N2198" s="940"/>
      <c r="O2198" s="940"/>
      <c r="P2198" s="940"/>
      <c r="Q2198" s="940">
        <f>S1MAData!AC40</f>
        <v>0</v>
      </c>
      <c r="R2198" s="940"/>
      <c r="S2198" s="940"/>
      <c r="T2198" s="940"/>
      <c r="U2198" s="940">
        <f>S1MAData!AD40</f>
        <v>0</v>
      </c>
      <c r="V2198" s="940"/>
      <c r="W2198" s="940"/>
      <c r="X2198" s="940">
        <f>S1MAData!AE40</f>
        <v>0</v>
      </c>
      <c r="Y2198" s="940"/>
      <c r="Z2198" s="940"/>
      <c r="AA2198" s="940">
        <f t="shared" si="43"/>
        <v>0</v>
      </c>
      <c r="AB2198" s="940"/>
      <c r="AC2198" s="940"/>
      <c r="AD2198" s="940"/>
      <c r="AE2198" s="871">
        <f>S1MAData!AG40</f>
        <v>0</v>
      </c>
      <c r="AF2198" s="871"/>
      <c r="AG2198" s="529"/>
      <c r="AH2198" s="518"/>
      <c r="AJ2198" s="595" t="b">
        <f t="shared" si="44"/>
        <v>0</v>
      </c>
    </row>
    <row r="2199" spans="1:36" hidden="1" x14ac:dyDescent="0.45">
      <c r="A2199" s="518"/>
      <c r="B2199" s="514" t="s">
        <v>1442</v>
      </c>
      <c r="C2199" s="515"/>
      <c r="D2199" s="515"/>
      <c r="E2199" s="515"/>
      <c r="F2199" s="515"/>
      <c r="G2199" s="885" t="str">
        <f>IF(S1MAData!N41=0,"",SUBSTITUTE(SUBSTITUTE(S1MAData!N41,"Acquired and Rehabilitated Housing","A/R"),"Newly Constructed Housing","N/C"))</f>
        <v/>
      </c>
      <c r="H2199" s="885"/>
      <c r="I2199" s="583" t="str">
        <f>IF(S1MAData!AM41=0,"",LEFT(S1MAData!AM41,1))</f>
        <v/>
      </c>
      <c r="J2199" s="583" t="str">
        <f>IF(S1MAData!L41=0,"",LEFT(S1MAData!L41,1))</f>
        <v/>
      </c>
      <c r="K2199" s="939">
        <f>S1MAData!AA41</f>
        <v>0</v>
      </c>
      <c r="L2199" s="1181"/>
      <c r="M2199" s="940">
        <f>S1MAData!AB41</f>
        <v>0</v>
      </c>
      <c r="N2199" s="940"/>
      <c r="O2199" s="940"/>
      <c r="P2199" s="940"/>
      <c r="Q2199" s="940">
        <f>S1MAData!AC41</f>
        <v>0</v>
      </c>
      <c r="R2199" s="940"/>
      <c r="S2199" s="940"/>
      <c r="T2199" s="940"/>
      <c r="U2199" s="940">
        <f>S1MAData!AD41</f>
        <v>0</v>
      </c>
      <c r="V2199" s="940"/>
      <c r="W2199" s="940"/>
      <c r="X2199" s="940">
        <f>S1MAData!AE41</f>
        <v>0</v>
      </c>
      <c r="Y2199" s="940"/>
      <c r="Z2199" s="940"/>
      <c r="AA2199" s="940">
        <f t="shared" si="43"/>
        <v>0</v>
      </c>
      <c r="AB2199" s="940"/>
      <c r="AC2199" s="940"/>
      <c r="AD2199" s="940"/>
      <c r="AE2199" s="871">
        <f>S1MAData!AG41</f>
        <v>0</v>
      </c>
      <c r="AF2199" s="871"/>
      <c r="AG2199" s="529"/>
      <c r="AH2199" s="518"/>
      <c r="AJ2199" s="595" t="b">
        <f t="shared" si="44"/>
        <v>0</v>
      </c>
    </row>
    <row r="2200" spans="1:36" hidden="1" x14ac:dyDescent="0.45">
      <c r="A2200" s="518"/>
      <c r="B2200" s="514" t="s">
        <v>1443</v>
      </c>
      <c r="C2200" s="515"/>
      <c r="D2200" s="515"/>
      <c r="E2200" s="515"/>
      <c r="F2200" s="515"/>
      <c r="G2200" s="885" t="str">
        <f>IF(S1MAData!N42=0,"",SUBSTITUTE(SUBSTITUTE(S1MAData!N42,"Acquired and Rehabilitated Housing","A/R"),"Newly Constructed Housing","N/C"))</f>
        <v/>
      </c>
      <c r="H2200" s="885"/>
      <c r="I2200" s="583" t="str">
        <f>IF(S1MAData!AM42=0,"",LEFT(S1MAData!AM42,1))</f>
        <v/>
      </c>
      <c r="J2200" s="583" t="str">
        <f>IF(S1MAData!L42=0,"",LEFT(S1MAData!L42,1))</f>
        <v/>
      </c>
      <c r="K2200" s="939">
        <f>S1MAData!AA42</f>
        <v>0</v>
      </c>
      <c r="L2200" s="1181"/>
      <c r="M2200" s="940">
        <f>S1MAData!AB42</f>
        <v>0</v>
      </c>
      <c r="N2200" s="940"/>
      <c r="O2200" s="940"/>
      <c r="P2200" s="940"/>
      <c r="Q2200" s="940">
        <f>S1MAData!AC42</f>
        <v>0</v>
      </c>
      <c r="R2200" s="940"/>
      <c r="S2200" s="940"/>
      <c r="T2200" s="940"/>
      <c r="U2200" s="940">
        <f>S1MAData!AD42</f>
        <v>0</v>
      </c>
      <c r="V2200" s="940"/>
      <c r="W2200" s="940"/>
      <c r="X2200" s="940">
        <f>S1MAData!AE42</f>
        <v>0</v>
      </c>
      <c r="Y2200" s="940"/>
      <c r="Z2200" s="940"/>
      <c r="AA2200" s="940">
        <f t="shared" si="43"/>
        <v>0</v>
      </c>
      <c r="AB2200" s="940"/>
      <c r="AC2200" s="940"/>
      <c r="AD2200" s="940"/>
      <c r="AE2200" s="871">
        <f>S1MAData!AG42</f>
        <v>0</v>
      </c>
      <c r="AF2200" s="871"/>
      <c r="AG2200" s="529"/>
      <c r="AH2200" s="518"/>
      <c r="AJ2200" s="595" t="b">
        <f t="shared" si="44"/>
        <v>0</v>
      </c>
    </row>
    <row r="2201" spans="1:36" hidden="1" x14ac:dyDescent="0.45">
      <c r="A2201" s="518"/>
      <c r="B2201" s="514" t="s">
        <v>1444</v>
      </c>
      <c r="C2201" s="515"/>
      <c r="D2201" s="515"/>
      <c r="E2201" s="515"/>
      <c r="F2201" s="515"/>
      <c r="G2201" s="885" t="str">
        <f>IF(S1MAData!N43=0,"",SUBSTITUTE(SUBSTITUTE(S1MAData!N43,"Acquired and Rehabilitated Housing","A/R"),"Newly Constructed Housing","N/C"))</f>
        <v/>
      </c>
      <c r="H2201" s="885"/>
      <c r="I2201" s="583" t="str">
        <f>IF(S1MAData!AM43=0,"",LEFT(S1MAData!AM43,1))</f>
        <v/>
      </c>
      <c r="J2201" s="583" t="str">
        <f>IF(S1MAData!L43=0,"",LEFT(S1MAData!L43,1))</f>
        <v/>
      </c>
      <c r="K2201" s="939">
        <f>S1MAData!AA43</f>
        <v>0</v>
      </c>
      <c r="L2201" s="1181"/>
      <c r="M2201" s="940">
        <f>S1MAData!AB43</f>
        <v>0</v>
      </c>
      <c r="N2201" s="940"/>
      <c r="O2201" s="940"/>
      <c r="P2201" s="940"/>
      <c r="Q2201" s="940">
        <f>S1MAData!AC43</f>
        <v>0</v>
      </c>
      <c r="R2201" s="940"/>
      <c r="S2201" s="940"/>
      <c r="T2201" s="940"/>
      <c r="U2201" s="940">
        <f>S1MAData!AD43</f>
        <v>0</v>
      </c>
      <c r="V2201" s="940"/>
      <c r="W2201" s="940"/>
      <c r="X2201" s="940">
        <f>S1MAData!AE43</f>
        <v>0</v>
      </c>
      <c r="Y2201" s="940"/>
      <c r="Z2201" s="940"/>
      <c r="AA2201" s="940">
        <f t="shared" si="43"/>
        <v>0</v>
      </c>
      <c r="AB2201" s="940"/>
      <c r="AC2201" s="940"/>
      <c r="AD2201" s="940"/>
      <c r="AE2201" s="871">
        <f>S1MAData!AG43</f>
        <v>0</v>
      </c>
      <c r="AF2201" s="871"/>
      <c r="AG2201" s="529"/>
      <c r="AH2201" s="518"/>
      <c r="AJ2201" s="595" t="b">
        <f t="shared" si="44"/>
        <v>0</v>
      </c>
    </row>
    <row r="2202" spans="1:36" hidden="1" x14ac:dyDescent="0.45">
      <c r="A2202" s="518"/>
      <c r="B2202" s="514" t="s">
        <v>1445</v>
      </c>
      <c r="C2202" s="515"/>
      <c r="D2202" s="515"/>
      <c r="E2202" s="515"/>
      <c r="F2202" s="515"/>
      <c r="G2202" s="885" t="str">
        <f>IF(S1MAData!N44=0,"",SUBSTITUTE(SUBSTITUTE(S1MAData!N44,"Acquired and Rehabilitated Housing","A/R"),"Newly Constructed Housing","N/C"))</f>
        <v/>
      </c>
      <c r="H2202" s="885"/>
      <c r="I2202" s="583" t="str">
        <f>IF(S1MAData!AM44=0,"",LEFT(S1MAData!AM44,1))</f>
        <v/>
      </c>
      <c r="J2202" s="583" t="str">
        <f>IF(S1MAData!L44=0,"",LEFT(S1MAData!L44,1))</f>
        <v/>
      </c>
      <c r="K2202" s="939">
        <f>S1MAData!AA44</f>
        <v>0</v>
      </c>
      <c r="L2202" s="1181"/>
      <c r="M2202" s="940">
        <f>S1MAData!AB44</f>
        <v>0</v>
      </c>
      <c r="N2202" s="940"/>
      <c r="O2202" s="940"/>
      <c r="P2202" s="940"/>
      <c r="Q2202" s="940">
        <f>S1MAData!AC44</f>
        <v>0</v>
      </c>
      <c r="R2202" s="940"/>
      <c r="S2202" s="940"/>
      <c r="T2202" s="940"/>
      <c r="U2202" s="940">
        <f>S1MAData!AD44</f>
        <v>0</v>
      </c>
      <c r="V2202" s="940"/>
      <c r="W2202" s="940"/>
      <c r="X2202" s="940">
        <f>S1MAData!AE44</f>
        <v>0</v>
      </c>
      <c r="Y2202" s="940"/>
      <c r="Z2202" s="940"/>
      <c r="AA2202" s="940">
        <f t="shared" si="43"/>
        <v>0</v>
      </c>
      <c r="AB2202" s="940"/>
      <c r="AC2202" s="940"/>
      <c r="AD2202" s="940"/>
      <c r="AE2202" s="871">
        <f>S1MAData!AG44</f>
        <v>0</v>
      </c>
      <c r="AF2202" s="871"/>
      <c r="AG2202" s="529"/>
      <c r="AH2202" s="518"/>
      <c r="AJ2202" s="595" t="b">
        <f t="shared" si="44"/>
        <v>0</v>
      </c>
    </row>
    <row r="2203" spans="1:36" hidden="1" x14ac:dyDescent="0.45">
      <c r="A2203" s="518"/>
      <c r="B2203" s="514" t="s">
        <v>1446</v>
      </c>
      <c r="C2203" s="515"/>
      <c r="D2203" s="515"/>
      <c r="E2203" s="515"/>
      <c r="F2203" s="515"/>
      <c r="G2203" s="885" t="str">
        <f>IF(S1MAData!N45=0,"",SUBSTITUTE(SUBSTITUTE(S1MAData!N45,"Acquired and Rehabilitated Housing","A/R"),"Newly Constructed Housing","N/C"))</f>
        <v/>
      </c>
      <c r="H2203" s="885"/>
      <c r="I2203" s="583" t="str">
        <f>IF(S1MAData!AM45=0,"",LEFT(S1MAData!AM45,1))</f>
        <v/>
      </c>
      <c r="J2203" s="583" t="str">
        <f>IF(S1MAData!L45=0,"",LEFT(S1MAData!L45,1))</f>
        <v/>
      </c>
      <c r="K2203" s="939">
        <f>S1MAData!AA45</f>
        <v>0</v>
      </c>
      <c r="L2203" s="1181"/>
      <c r="M2203" s="940">
        <f>S1MAData!AB45</f>
        <v>0</v>
      </c>
      <c r="N2203" s="940"/>
      <c r="O2203" s="940"/>
      <c r="P2203" s="940"/>
      <c r="Q2203" s="940">
        <f>S1MAData!AC45</f>
        <v>0</v>
      </c>
      <c r="R2203" s="940"/>
      <c r="S2203" s="940"/>
      <c r="T2203" s="940"/>
      <c r="U2203" s="940">
        <f>S1MAData!AD45</f>
        <v>0</v>
      </c>
      <c r="V2203" s="940"/>
      <c r="W2203" s="940"/>
      <c r="X2203" s="940">
        <f>S1MAData!AE45</f>
        <v>0</v>
      </c>
      <c r="Y2203" s="940"/>
      <c r="Z2203" s="940"/>
      <c r="AA2203" s="940">
        <f t="shared" si="43"/>
        <v>0</v>
      </c>
      <c r="AB2203" s="940"/>
      <c r="AC2203" s="940"/>
      <c r="AD2203" s="940"/>
      <c r="AE2203" s="871">
        <f>S1MAData!AG45</f>
        <v>0</v>
      </c>
      <c r="AF2203" s="871"/>
      <c r="AG2203" s="529"/>
      <c r="AH2203" s="518"/>
      <c r="AJ2203" s="595" t="b">
        <f t="shared" si="44"/>
        <v>0</v>
      </c>
    </row>
    <row r="2204" spans="1:36" hidden="1" x14ac:dyDescent="0.45">
      <c r="B2204" s="514" t="s">
        <v>1447</v>
      </c>
      <c r="C2204" s="515"/>
      <c r="D2204" s="515"/>
      <c r="E2204" s="515"/>
      <c r="F2204" s="515"/>
      <c r="G2204" s="885" t="str">
        <f>IF(S1MAData!N46=0,"",SUBSTITUTE(SUBSTITUTE(S1MAData!N46,"Acquired and Rehabilitated Housing","A/R"),"Newly Constructed Housing","N/C"))</f>
        <v/>
      </c>
      <c r="H2204" s="885"/>
      <c r="I2204" s="583" t="str">
        <f>IF(S1MAData!AM46=0,"",LEFT(S1MAData!AM46,1))</f>
        <v/>
      </c>
      <c r="J2204" s="583" t="str">
        <f>IF(S1MAData!L46=0,"",LEFT(S1MAData!L46,1))</f>
        <v/>
      </c>
      <c r="K2204" s="939">
        <f>S1MAData!AA46</f>
        <v>0</v>
      </c>
      <c r="L2204" s="1181"/>
      <c r="M2204" s="940">
        <f>S1MAData!AB46</f>
        <v>0</v>
      </c>
      <c r="N2204" s="940"/>
      <c r="O2204" s="940"/>
      <c r="P2204" s="940"/>
      <c r="Q2204" s="940">
        <f>S1MAData!AC46</f>
        <v>0</v>
      </c>
      <c r="R2204" s="940"/>
      <c r="S2204" s="940"/>
      <c r="T2204" s="940"/>
      <c r="U2204" s="940">
        <f>S1MAData!AD46</f>
        <v>0</v>
      </c>
      <c r="V2204" s="940"/>
      <c r="W2204" s="940"/>
      <c r="X2204" s="940">
        <f>S1MAData!AE46</f>
        <v>0</v>
      </c>
      <c r="Y2204" s="940"/>
      <c r="Z2204" s="940"/>
      <c r="AA2204" s="940">
        <f t="shared" si="43"/>
        <v>0</v>
      </c>
      <c r="AB2204" s="940"/>
      <c r="AC2204" s="940"/>
      <c r="AD2204" s="940"/>
      <c r="AE2204" s="871">
        <f>S1MAData!AG46</f>
        <v>0</v>
      </c>
      <c r="AF2204" s="871"/>
      <c r="AG2204" s="529"/>
      <c r="AH2204" s="518"/>
      <c r="AJ2204" s="595" t="b">
        <f t="shared" si="44"/>
        <v>0</v>
      </c>
    </row>
    <row r="2205" spans="1:36" hidden="1" x14ac:dyDescent="0.45">
      <c r="B2205" s="514" t="s">
        <v>1448</v>
      </c>
      <c r="C2205" s="515"/>
      <c r="D2205" s="515"/>
      <c r="E2205" s="515"/>
      <c r="F2205" s="515"/>
      <c r="G2205" s="885" t="str">
        <f>IF(S1MAData!N47=0,"",SUBSTITUTE(SUBSTITUTE(S1MAData!N47,"Acquired and Rehabilitated Housing","A/R"),"Newly Constructed Housing","N/C"))</f>
        <v/>
      </c>
      <c r="H2205" s="885"/>
      <c r="I2205" s="583" t="str">
        <f>IF(S1MAData!AM47=0,"",LEFT(S1MAData!AM47,1))</f>
        <v/>
      </c>
      <c r="J2205" s="583" t="str">
        <f>IF(S1MAData!L47=0,"",LEFT(S1MAData!L47,1))</f>
        <v/>
      </c>
      <c r="K2205" s="939">
        <f>S1MAData!AA47</f>
        <v>0</v>
      </c>
      <c r="L2205" s="1181"/>
      <c r="M2205" s="940">
        <f>S1MAData!AB47</f>
        <v>0</v>
      </c>
      <c r="N2205" s="940"/>
      <c r="O2205" s="940"/>
      <c r="P2205" s="940"/>
      <c r="Q2205" s="940">
        <f>S1MAData!AC47</f>
        <v>0</v>
      </c>
      <c r="R2205" s="940"/>
      <c r="S2205" s="940"/>
      <c r="T2205" s="940"/>
      <c r="U2205" s="940">
        <f>S1MAData!AD47</f>
        <v>0</v>
      </c>
      <c r="V2205" s="940"/>
      <c r="W2205" s="940"/>
      <c r="X2205" s="940">
        <f>S1MAData!AE47</f>
        <v>0</v>
      </c>
      <c r="Y2205" s="940"/>
      <c r="Z2205" s="940"/>
      <c r="AA2205" s="940">
        <f t="shared" si="43"/>
        <v>0</v>
      </c>
      <c r="AB2205" s="940"/>
      <c r="AC2205" s="940"/>
      <c r="AD2205" s="940"/>
      <c r="AE2205" s="871">
        <f>S1MAData!AG47</f>
        <v>0</v>
      </c>
      <c r="AF2205" s="871"/>
      <c r="AG2205" s="529"/>
      <c r="AH2205" s="518"/>
      <c r="AJ2205" s="595" t="b">
        <f t="shared" si="44"/>
        <v>0</v>
      </c>
    </row>
    <row r="2206" spans="1:36" hidden="1" x14ac:dyDescent="0.45">
      <c r="B2206" s="514" t="s">
        <v>1449</v>
      </c>
      <c r="C2206" s="515"/>
      <c r="D2206" s="515"/>
      <c r="E2206" s="515"/>
      <c r="F2206" s="515"/>
      <c r="G2206" s="885" t="str">
        <f>IF(S1MAData!N48=0,"",SUBSTITUTE(SUBSTITUTE(S1MAData!N48,"Acquired and Rehabilitated Housing","A/R"),"Newly Constructed Housing","N/C"))</f>
        <v/>
      </c>
      <c r="H2206" s="885"/>
      <c r="I2206" s="583" t="str">
        <f>IF(S1MAData!AM48=0,"",LEFT(S1MAData!AM48,1))</f>
        <v/>
      </c>
      <c r="J2206" s="583" t="str">
        <f>IF(S1MAData!L48=0,"",LEFT(S1MAData!L48,1))</f>
        <v/>
      </c>
      <c r="K2206" s="939">
        <f>S1MAData!AA48</f>
        <v>0</v>
      </c>
      <c r="L2206" s="1181"/>
      <c r="M2206" s="940">
        <f>S1MAData!AB48</f>
        <v>0</v>
      </c>
      <c r="N2206" s="940"/>
      <c r="O2206" s="940"/>
      <c r="P2206" s="940"/>
      <c r="Q2206" s="940">
        <f>S1MAData!AC48</f>
        <v>0</v>
      </c>
      <c r="R2206" s="940"/>
      <c r="S2206" s="940"/>
      <c r="T2206" s="940"/>
      <c r="U2206" s="940">
        <f>S1MAData!AD48</f>
        <v>0</v>
      </c>
      <c r="V2206" s="940"/>
      <c r="W2206" s="940"/>
      <c r="X2206" s="940">
        <f>S1MAData!AE48</f>
        <v>0</v>
      </c>
      <c r="Y2206" s="940"/>
      <c r="Z2206" s="940"/>
      <c r="AA2206" s="940">
        <f t="shared" si="43"/>
        <v>0</v>
      </c>
      <c r="AB2206" s="940"/>
      <c r="AC2206" s="940"/>
      <c r="AD2206" s="940"/>
      <c r="AE2206" s="871">
        <f>S1MAData!AG48</f>
        <v>0</v>
      </c>
      <c r="AF2206" s="871"/>
      <c r="AG2206" s="529"/>
      <c r="AH2206" s="518"/>
      <c r="AJ2206" s="595" t="b">
        <f t="shared" si="44"/>
        <v>0</v>
      </c>
    </row>
    <row r="2207" spans="1:36" hidden="1" x14ac:dyDescent="0.45">
      <c r="B2207" s="514" t="s">
        <v>1450</v>
      </c>
      <c r="C2207" s="515"/>
      <c r="D2207" s="515"/>
      <c r="E2207" s="515"/>
      <c r="F2207" s="515"/>
      <c r="G2207" s="885" t="str">
        <f>IF(S1MAData!N49=0,"",SUBSTITUTE(SUBSTITUTE(S1MAData!N49,"Acquired and Rehabilitated Housing","A/R"),"Newly Constructed Housing","N/C"))</f>
        <v/>
      </c>
      <c r="H2207" s="885"/>
      <c r="I2207" s="583" t="str">
        <f>IF(S1MAData!AM49=0,"",LEFT(S1MAData!AM49,1))</f>
        <v/>
      </c>
      <c r="J2207" s="583" t="str">
        <f>IF(S1MAData!L49=0,"",LEFT(S1MAData!L49,1))</f>
        <v/>
      </c>
      <c r="K2207" s="939">
        <f>S1MAData!AA49</f>
        <v>0</v>
      </c>
      <c r="L2207" s="1181"/>
      <c r="M2207" s="940">
        <f>S1MAData!AB49</f>
        <v>0</v>
      </c>
      <c r="N2207" s="940"/>
      <c r="O2207" s="940"/>
      <c r="P2207" s="940"/>
      <c r="Q2207" s="940">
        <f>S1MAData!AC49</f>
        <v>0</v>
      </c>
      <c r="R2207" s="940"/>
      <c r="S2207" s="940"/>
      <c r="T2207" s="940"/>
      <c r="U2207" s="940">
        <f>S1MAData!AD49</f>
        <v>0</v>
      </c>
      <c r="V2207" s="940"/>
      <c r="W2207" s="940"/>
      <c r="X2207" s="940">
        <f>S1MAData!AE49</f>
        <v>0</v>
      </c>
      <c r="Y2207" s="940"/>
      <c r="Z2207" s="940"/>
      <c r="AA2207" s="940">
        <f t="shared" si="43"/>
        <v>0</v>
      </c>
      <c r="AB2207" s="940"/>
      <c r="AC2207" s="940"/>
      <c r="AD2207" s="940"/>
      <c r="AE2207" s="871">
        <f>S1MAData!AG49</f>
        <v>0</v>
      </c>
      <c r="AF2207" s="871"/>
      <c r="AG2207" s="529"/>
      <c r="AH2207" s="518"/>
      <c r="AJ2207" s="595" t="b">
        <f t="shared" si="44"/>
        <v>0</v>
      </c>
    </row>
    <row r="2208" spans="1:36" hidden="1" x14ac:dyDescent="0.45">
      <c r="B2208" s="514" t="s">
        <v>1451</v>
      </c>
      <c r="C2208" s="515"/>
      <c r="D2208" s="515"/>
      <c r="E2208" s="515"/>
      <c r="F2208" s="515"/>
      <c r="G2208" s="885" t="str">
        <f>IF(S1MAData!N50=0,"",SUBSTITUTE(SUBSTITUTE(S1MAData!N50,"Acquired and Rehabilitated Housing","A/R"),"Newly Constructed Housing","N/C"))</f>
        <v/>
      </c>
      <c r="H2208" s="885"/>
      <c r="I2208" s="583" t="str">
        <f>IF(S1MAData!AM50=0,"",LEFT(S1MAData!AM50,1))</f>
        <v/>
      </c>
      <c r="J2208" s="583" t="str">
        <f>IF(S1MAData!L50=0,"",LEFT(S1MAData!L50,1))</f>
        <v/>
      </c>
      <c r="K2208" s="939">
        <f>S1MAData!AA50</f>
        <v>0</v>
      </c>
      <c r="L2208" s="1181"/>
      <c r="M2208" s="940">
        <f>S1MAData!AB50</f>
        <v>0</v>
      </c>
      <c r="N2208" s="940"/>
      <c r="O2208" s="940"/>
      <c r="P2208" s="940"/>
      <c r="Q2208" s="940">
        <f>S1MAData!AC50</f>
        <v>0</v>
      </c>
      <c r="R2208" s="940"/>
      <c r="S2208" s="940"/>
      <c r="T2208" s="940"/>
      <c r="U2208" s="940">
        <f>S1MAData!AD50</f>
        <v>0</v>
      </c>
      <c r="V2208" s="940"/>
      <c r="W2208" s="940"/>
      <c r="X2208" s="940">
        <f>S1MAData!AE50</f>
        <v>0</v>
      </c>
      <c r="Y2208" s="940"/>
      <c r="Z2208" s="940"/>
      <c r="AA2208" s="940">
        <f t="shared" si="43"/>
        <v>0</v>
      </c>
      <c r="AB2208" s="940"/>
      <c r="AC2208" s="940"/>
      <c r="AD2208" s="940"/>
      <c r="AE2208" s="871">
        <f>S1MAData!AG50</f>
        <v>0</v>
      </c>
      <c r="AF2208" s="871"/>
      <c r="AG2208" s="529"/>
      <c r="AH2208" s="518"/>
      <c r="AJ2208" s="595" t="b">
        <f t="shared" si="44"/>
        <v>0</v>
      </c>
    </row>
    <row r="2209" spans="1:36" hidden="1" x14ac:dyDescent="0.45">
      <c r="B2209" s="514" t="s">
        <v>1452</v>
      </c>
      <c r="C2209" s="515"/>
      <c r="D2209" s="515"/>
      <c r="E2209" s="515"/>
      <c r="F2209" s="515"/>
      <c r="G2209" s="885" t="str">
        <f>IF(S1MAData!N51=0,"",SUBSTITUTE(SUBSTITUTE(S1MAData!N51,"Acquired and Rehabilitated Housing","A/R"),"Newly Constructed Housing","N/C"))</f>
        <v/>
      </c>
      <c r="H2209" s="885"/>
      <c r="I2209" s="583" t="str">
        <f>IF(S1MAData!AM51=0,"",LEFT(S1MAData!AM51,1))</f>
        <v/>
      </c>
      <c r="J2209" s="583" t="str">
        <f>IF(S1MAData!L51=0,"",LEFT(S1MAData!L51,1))</f>
        <v/>
      </c>
      <c r="K2209" s="939">
        <f>S1MAData!AA51</f>
        <v>0</v>
      </c>
      <c r="L2209" s="1181"/>
      <c r="M2209" s="940">
        <f>S1MAData!AB51</f>
        <v>0</v>
      </c>
      <c r="N2209" s="940"/>
      <c r="O2209" s="940"/>
      <c r="P2209" s="940"/>
      <c r="Q2209" s="940">
        <f>S1MAData!AC51</f>
        <v>0</v>
      </c>
      <c r="R2209" s="940"/>
      <c r="S2209" s="940"/>
      <c r="T2209" s="940"/>
      <c r="U2209" s="940">
        <f>S1MAData!AD51</f>
        <v>0</v>
      </c>
      <c r="V2209" s="940"/>
      <c r="W2209" s="940"/>
      <c r="X2209" s="940">
        <f>S1MAData!AE51</f>
        <v>0</v>
      </c>
      <c r="Y2209" s="940"/>
      <c r="Z2209" s="940"/>
      <c r="AA2209" s="940">
        <f t="shared" si="43"/>
        <v>0</v>
      </c>
      <c r="AB2209" s="940"/>
      <c r="AC2209" s="940"/>
      <c r="AD2209" s="940"/>
      <c r="AE2209" s="871">
        <f>S1MAData!AG51</f>
        <v>0</v>
      </c>
      <c r="AF2209" s="871"/>
      <c r="AG2209" s="529"/>
      <c r="AH2209" s="518"/>
      <c r="AJ2209" s="595" t="b">
        <f t="shared" si="44"/>
        <v>0</v>
      </c>
    </row>
    <row r="2210" spans="1:36" hidden="1" x14ac:dyDescent="0.45">
      <c r="B2210" s="514" t="s">
        <v>1453</v>
      </c>
      <c r="C2210" s="515"/>
      <c r="D2210" s="515"/>
      <c r="E2210" s="515"/>
      <c r="F2210" s="515"/>
      <c r="G2210" s="885" t="str">
        <f>IF(S1MAData!N52=0,"",SUBSTITUTE(SUBSTITUTE(S1MAData!N52,"Acquired and Rehabilitated Housing","A/R"),"Newly Constructed Housing","N/C"))</f>
        <v/>
      </c>
      <c r="H2210" s="885"/>
      <c r="I2210" s="583" t="str">
        <f>IF(S1MAData!AM52=0,"",LEFT(S1MAData!AM52,1))</f>
        <v/>
      </c>
      <c r="J2210" s="583" t="str">
        <f>IF(S1MAData!L52=0,"",LEFT(S1MAData!L52,1))</f>
        <v/>
      </c>
      <c r="K2210" s="939">
        <f>S1MAData!AA52</f>
        <v>0</v>
      </c>
      <c r="L2210" s="1181"/>
      <c r="M2210" s="940">
        <f>S1MAData!AB52</f>
        <v>0</v>
      </c>
      <c r="N2210" s="940"/>
      <c r="O2210" s="940"/>
      <c r="P2210" s="940"/>
      <c r="Q2210" s="940">
        <f>S1MAData!AC52</f>
        <v>0</v>
      </c>
      <c r="R2210" s="940"/>
      <c r="S2210" s="940"/>
      <c r="T2210" s="940"/>
      <c r="U2210" s="940">
        <f>S1MAData!AD52</f>
        <v>0</v>
      </c>
      <c r="V2210" s="940"/>
      <c r="W2210" s="940"/>
      <c r="X2210" s="940">
        <f>S1MAData!AE52</f>
        <v>0</v>
      </c>
      <c r="Y2210" s="940"/>
      <c r="Z2210" s="940"/>
      <c r="AA2210" s="940">
        <f t="shared" si="43"/>
        <v>0</v>
      </c>
      <c r="AB2210" s="940"/>
      <c r="AC2210" s="940"/>
      <c r="AD2210" s="940"/>
      <c r="AE2210" s="871">
        <f>S1MAData!AG52</f>
        <v>0</v>
      </c>
      <c r="AF2210" s="871"/>
      <c r="AG2210" s="529"/>
      <c r="AH2210" s="518"/>
      <c r="AJ2210" s="595" t="b">
        <f t="shared" si="44"/>
        <v>0</v>
      </c>
    </row>
    <row r="2211" spans="1:36" hidden="1" x14ac:dyDescent="0.45">
      <c r="B2211" s="514" t="s">
        <v>1454</v>
      </c>
      <c r="C2211" s="515"/>
      <c r="D2211" s="515"/>
      <c r="E2211" s="515"/>
      <c r="F2211" s="515"/>
      <c r="G2211" s="885" t="str">
        <f>IF(S1MAData!N53=0,"",SUBSTITUTE(SUBSTITUTE(S1MAData!N53,"Acquired and Rehabilitated Housing","A/R"),"Newly Constructed Housing","N/C"))</f>
        <v/>
      </c>
      <c r="H2211" s="885"/>
      <c r="I2211" s="583" t="str">
        <f>IF(S1MAData!AM53=0,"",LEFT(S1MAData!AM53,1))</f>
        <v/>
      </c>
      <c r="J2211" s="583" t="str">
        <f>IF(S1MAData!L53=0,"",LEFT(S1MAData!L53,1))</f>
        <v/>
      </c>
      <c r="K2211" s="939">
        <f>S1MAData!AA53</f>
        <v>0</v>
      </c>
      <c r="L2211" s="1181"/>
      <c r="M2211" s="940">
        <f>S1MAData!AB53</f>
        <v>0</v>
      </c>
      <c r="N2211" s="940"/>
      <c r="O2211" s="940"/>
      <c r="P2211" s="940"/>
      <c r="Q2211" s="940">
        <f>S1MAData!AC53</f>
        <v>0</v>
      </c>
      <c r="R2211" s="940"/>
      <c r="S2211" s="940"/>
      <c r="T2211" s="940"/>
      <c r="U2211" s="940">
        <f>S1MAData!AD53</f>
        <v>0</v>
      </c>
      <c r="V2211" s="940"/>
      <c r="W2211" s="940"/>
      <c r="X2211" s="940">
        <f>S1MAData!AE53</f>
        <v>0</v>
      </c>
      <c r="Y2211" s="940"/>
      <c r="Z2211" s="940"/>
      <c r="AA2211" s="940">
        <f t="shared" si="43"/>
        <v>0</v>
      </c>
      <c r="AB2211" s="940"/>
      <c r="AC2211" s="940"/>
      <c r="AD2211" s="940"/>
      <c r="AE2211" s="871">
        <f>S1MAData!AG53</f>
        <v>0</v>
      </c>
      <c r="AF2211" s="871"/>
      <c r="AG2211" s="529"/>
      <c r="AH2211" s="518"/>
      <c r="AJ2211" s="595" t="b">
        <f t="shared" si="44"/>
        <v>0</v>
      </c>
    </row>
    <row r="2212" spans="1:36" hidden="1" x14ac:dyDescent="0.45">
      <c r="B2212" s="514" t="s">
        <v>1455</v>
      </c>
      <c r="C2212" s="515"/>
      <c r="D2212" s="515"/>
      <c r="E2212" s="515"/>
      <c r="F2212" s="515"/>
      <c r="G2212" s="885" t="str">
        <f>IF(S1MAData!N54=0,"",SUBSTITUTE(SUBSTITUTE(S1MAData!N54,"Acquired and Rehabilitated Housing","A/R"),"Newly Constructed Housing","N/C"))</f>
        <v/>
      </c>
      <c r="H2212" s="885"/>
      <c r="I2212" s="583" t="str">
        <f>IF(S1MAData!AM54=0,"",LEFT(S1MAData!AM54,1))</f>
        <v/>
      </c>
      <c r="J2212" s="583" t="str">
        <f>IF(S1MAData!L54=0,"",LEFT(S1MAData!L54,1))</f>
        <v/>
      </c>
      <c r="K2212" s="939">
        <f>S1MAData!AA54</f>
        <v>0</v>
      </c>
      <c r="L2212" s="1181"/>
      <c r="M2212" s="940">
        <f>S1MAData!AB54</f>
        <v>0</v>
      </c>
      <c r="N2212" s="940"/>
      <c r="O2212" s="940"/>
      <c r="P2212" s="940"/>
      <c r="Q2212" s="940">
        <f>S1MAData!AC54</f>
        <v>0</v>
      </c>
      <c r="R2212" s="940"/>
      <c r="S2212" s="940"/>
      <c r="T2212" s="940"/>
      <c r="U2212" s="940">
        <f>S1MAData!AD54</f>
        <v>0</v>
      </c>
      <c r="V2212" s="940"/>
      <c r="W2212" s="940"/>
      <c r="X2212" s="940">
        <f>S1MAData!AE54</f>
        <v>0</v>
      </c>
      <c r="Y2212" s="940"/>
      <c r="Z2212" s="940"/>
      <c r="AA2212" s="940">
        <f t="shared" si="43"/>
        <v>0</v>
      </c>
      <c r="AB2212" s="940"/>
      <c r="AC2212" s="940"/>
      <c r="AD2212" s="940"/>
      <c r="AE2212" s="871">
        <f>S1MAData!AG54</f>
        <v>0</v>
      </c>
      <c r="AF2212" s="871"/>
      <c r="AG2212" s="529"/>
      <c r="AH2212" s="518"/>
      <c r="AJ2212" s="595" t="b">
        <f t="shared" si="44"/>
        <v>0</v>
      </c>
    </row>
    <row r="2213" spans="1:36" hidden="1" x14ac:dyDescent="0.45">
      <c r="B2213" s="514" t="s">
        <v>1456</v>
      </c>
      <c r="C2213" s="515"/>
      <c r="D2213" s="515"/>
      <c r="E2213" s="515"/>
      <c r="F2213" s="515"/>
      <c r="G2213" s="885" t="str">
        <f>IF(S1MAData!N55=0,"",SUBSTITUTE(SUBSTITUTE(S1MAData!N55,"Acquired and Rehabilitated Housing","A/R"),"Newly Constructed Housing","N/C"))</f>
        <v/>
      </c>
      <c r="H2213" s="885"/>
      <c r="I2213" s="583" t="str">
        <f>IF(S1MAData!AM55=0,"",LEFT(S1MAData!AM55,1))</f>
        <v/>
      </c>
      <c r="J2213" s="583" t="str">
        <f>IF(S1MAData!L55=0,"",LEFT(S1MAData!L55,1))</f>
        <v/>
      </c>
      <c r="K2213" s="939">
        <f>S1MAData!AA55</f>
        <v>0</v>
      </c>
      <c r="L2213" s="1181"/>
      <c r="M2213" s="940">
        <f>S1MAData!AB55</f>
        <v>0</v>
      </c>
      <c r="N2213" s="940"/>
      <c r="O2213" s="940"/>
      <c r="P2213" s="940"/>
      <c r="Q2213" s="940">
        <f>S1MAData!AC55</f>
        <v>0</v>
      </c>
      <c r="R2213" s="940"/>
      <c r="S2213" s="940"/>
      <c r="T2213" s="940"/>
      <c r="U2213" s="940">
        <f>S1MAData!AD55</f>
        <v>0</v>
      </c>
      <c r="V2213" s="940"/>
      <c r="W2213" s="940"/>
      <c r="X2213" s="940">
        <f>S1MAData!AE55</f>
        <v>0</v>
      </c>
      <c r="Y2213" s="940"/>
      <c r="Z2213" s="940"/>
      <c r="AA2213" s="940">
        <f t="shared" si="43"/>
        <v>0</v>
      </c>
      <c r="AB2213" s="940"/>
      <c r="AC2213" s="940"/>
      <c r="AD2213" s="940"/>
      <c r="AE2213" s="871">
        <f>S1MAData!AG55</f>
        <v>0</v>
      </c>
      <c r="AF2213" s="871"/>
      <c r="AG2213" s="529"/>
      <c r="AH2213" s="518"/>
      <c r="AJ2213" s="595" t="b">
        <f t="shared" si="44"/>
        <v>0</v>
      </c>
    </row>
    <row r="2214" spans="1:36" hidden="1" x14ac:dyDescent="0.45">
      <c r="B2214" s="514" t="s">
        <v>1457</v>
      </c>
      <c r="C2214" s="515"/>
      <c r="D2214" s="515"/>
      <c r="E2214" s="515"/>
      <c r="F2214" s="515"/>
      <c r="G2214" s="885" t="str">
        <f>IF(S1MAData!N56=0,"",SUBSTITUTE(SUBSTITUTE(S1MAData!N56,"Acquired and Rehabilitated Housing","A/R"),"Newly Constructed Housing","N/C"))</f>
        <v/>
      </c>
      <c r="H2214" s="885"/>
      <c r="I2214" s="583" t="str">
        <f>IF(S1MAData!AM56=0,"",LEFT(S1MAData!AM56,1))</f>
        <v/>
      </c>
      <c r="J2214" s="583" t="str">
        <f>IF(S1MAData!L56=0,"",LEFT(S1MAData!L56,1))</f>
        <v/>
      </c>
      <c r="K2214" s="939">
        <f>S1MAData!AA56</f>
        <v>0</v>
      </c>
      <c r="L2214" s="1181"/>
      <c r="M2214" s="940">
        <f>S1MAData!AB56</f>
        <v>0</v>
      </c>
      <c r="N2214" s="940"/>
      <c r="O2214" s="940"/>
      <c r="P2214" s="940"/>
      <c r="Q2214" s="940">
        <f>S1MAData!AC56</f>
        <v>0</v>
      </c>
      <c r="R2214" s="940"/>
      <c r="S2214" s="940"/>
      <c r="T2214" s="940"/>
      <c r="U2214" s="940">
        <f>S1MAData!AD56</f>
        <v>0</v>
      </c>
      <c r="V2214" s="940"/>
      <c r="W2214" s="940"/>
      <c r="X2214" s="940">
        <f>S1MAData!AE56</f>
        <v>0</v>
      </c>
      <c r="Y2214" s="940"/>
      <c r="Z2214" s="940"/>
      <c r="AA2214" s="940">
        <f t="shared" si="43"/>
        <v>0</v>
      </c>
      <c r="AB2214" s="940"/>
      <c r="AC2214" s="940"/>
      <c r="AD2214" s="940"/>
      <c r="AE2214" s="871">
        <f>S1MAData!AG56</f>
        <v>0</v>
      </c>
      <c r="AF2214" s="871"/>
      <c r="AG2214" s="529"/>
      <c r="AH2214" s="518"/>
      <c r="AJ2214" s="595" t="b">
        <f t="shared" si="44"/>
        <v>0</v>
      </c>
    </row>
    <row r="2215" spans="1:36" hidden="1" x14ac:dyDescent="0.45">
      <c r="B2215" s="514" t="s">
        <v>1458</v>
      </c>
      <c r="C2215" s="515"/>
      <c r="D2215" s="515"/>
      <c r="E2215" s="515"/>
      <c r="F2215" s="515"/>
      <c r="G2215" s="885" t="str">
        <f>IF(S1MAData!N57=0,"",SUBSTITUTE(SUBSTITUTE(S1MAData!N57,"Acquired and Rehabilitated Housing","A/R"),"Newly Constructed Housing","N/C"))</f>
        <v/>
      </c>
      <c r="H2215" s="885"/>
      <c r="I2215" s="583" t="str">
        <f>IF(S1MAData!AM57=0,"",LEFT(S1MAData!AM57,1))</f>
        <v/>
      </c>
      <c r="J2215" s="583" t="str">
        <f>IF(S1MAData!L57=0,"",LEFT(S1MAData!L57,1))</f>
        <v/>
      </c>
      <c r="K2215" s="939">
        <f>S1MAData!AA57</f>
        <v>0</v>
      </c>
      <c r="L2215" s="1181"/>
      <c r="M2215" s="940">
        <f>S1MAData!AB57</f>
        <v>0</v>
      </c>
      <c r="N2215" s="940"/>
      <c r="O2215" s="940"/>
      <c r="P2215" s="940"/>
      <c r="Q2215" s="940">
        <f>S1MAData!AC57</f>
        <v>0</v>
      </c>
      <c r="R2215" s="940"/>
      <c r="S2215" s="940"/>
      <c r="T2215" s="940"/>
      <c r="U2215" s="940">
        <f>S1MAData!AD57</f>
        <v>0</v>
      </c>
      <c r="V2215" s="940"/>
      <c r="W2215" s="940"/>
      <c r="X2215" s="940">
        <f>S1MAData!AE57</f>
        <v>0</v>
      </c>
      <c r="Y2215" s="940"/>
      <c r="Z2215" s="940"/>
      <c r="AA2215" s="940">
        <f t="shared" si="43"/>
        <v>0</v>
      </c>
      <c r="AB2215" s="940"/>
      <c r="AC2215" s="940"/>
      <c r="AD2215" s="940"/>
      <c r="AE2215" s="871">
        <f>S1MAData!AG57</f>
        <v>0</v>
      </c>
      <c r="AF2215" s="871"/>
      <c r="AG2215" s="529"/>
      <c r="AH2215" s="518"/>
      <c r="AJ2215" s="595" t="b">
        <f t="shared" si="44"/>
        <v>0</v>
      </c>
    </row>
    <row r="2216" spans="1:36" hidden="1" x14ac:dyDescent="0.45">
      <c r="B2216" s="514" t="s">
        <v>1459</v>
      </c>
      <c r="C2216" s="515"/>
      <c r="D2216" s="515"/>
      <c r="E2216" s="515"/>
      <c r="F2216" s="515"/>
      <c r="G2216" s="885" t="str">
        <f>IF(S1MAData!N58=0,"",SUBSTITUTE(SUBSTITUTE(S1MAData!N58,"Acquired and Rehabilitated Housing","A/R"),"Newly Constructed Housing","N/C"))</f>
        <v/>
      </c>
      <c r="H2216" s="885"/>
      <c r="I2216" s="583" t="str">
        <f>IF(S1MAData!AM58=0,"",LEFT(S1MAData!AM58,1))</f>
        <v/>
      </c>
      <c r="J2216" s="583" t="str">
        <f>IF(S1MAData!L58=0,"",LEFT(S1MAData!L58,1))</f>
        <v/>
      </c>
      <c r="K2216" s="939">
        <f>S1MAData!AA58</f>
        <v>0</v>
      </c>
      <c r="L2216" s="1181"/>
      <c r="M2216" s="940">
        <f>S1MAData!AB58</f>
        <v>0</v>
      </c>
      <c r="N2216" s="940"/>
      <c r="O2216" s="940"/>
      <c r="P2216" s="940"/>
      <c r="Q2216" s="940">
        <f>S1MAData!AC58</f>
        <v>0</v>
      </c>
      <c r="R2216" s="940"/>
      <c r="S2216" s="940"/>
      <c r="T2216" s="940"/>
      <c r="U2216" s="940">
        <f>S1MAData!AD58</f>
        <v>0</v>
      </c>
      <c r="V2216" s="940"/>
      <c r="W2216" s="940"/>
      <c r="X2216" s="940">
        <f>S1MAData!AE58</f>
        <v>0</v>
      </c>
      <c r="Y2216" s="940"/>
      <c r="Z2216" s="940"/>
      <c r="AA2216" s="940">
        <f t="shared" si="43"/>
        <v>0</v>
      </c>
      <c r="AB2216" s="940"/>
      <c r="AC2216" s="940"/>
      <c r="AD2216" s="940"/>
      <c r="AE2216" s="871">
        <f>S1MAData!AG58</f>
        <v>0</v>
      </c>
      <c r="AF2216" s="871"/>
      <c r="AG2216" s="529"/>
      <c r="AH2216" s="518"/>
      <c r="AJ2216" s="595" t="b">
        <f t="shared" si="44"/>
        <v>0</v>
      </c>
    </row>
    <row r="2217" spans="1:36" hidden="1" x14ac:dyDescent="0.45">
      <c r="A2217" s="518"/>
      <c r="B2217" s="514" t="s">
        <v>1460</v>
      </c>
      <c r="C2217" s="515"/>
      <c r="D2217" s="515"/>
      <c r="E2217" s="515"/>
      <c r="F2217" s="515"/>
      <c r="G2217" s="885" t="str">
        <f>IF(S1MAData!N59=0,"",SUBSTITUTE(SUBSTITUTE(S1MAData!N59,"Acquired and Rehabilitated Housing","A/R"),"Newly Constructed Housing","N/C"))</f>
        <v/>
      </c>
      <c r="H2217" s="885"/>
      <c r="I2217" s="583" t="str">
        <f>IF(S1MAData!AM59=0,"",LEFT(S1MAData!AM59,1))</f>
        <v/>
      </c>
      <c r="J2217" s="583" t="str">
        <f>IF(S1MAData!L59=0,"",LEFT(S1MAData!L59,1))</f>
        <v/>
      </c>
      <c r="K2217" s="939">
        <f>S1MAData!AA59</f>
        <v>0</v>
      </c>
      <c r="L2217" s="1181"/>
      <c r="M2217" s="940">
        <f>S1MAData!AB59</f>
        <v>0</v>
      </c>
      <c r="N2217" s="940"/>
      <c r="O2217" s="940"/>
      <c r="P2217" s="940"/>
      <c r="Q2217" s="940">
        <f>S1MAData!AC59</f>
        <v>0</v>
      </c>
      <c r="R2217" s="940"/>
      <c r="S2217" s="940"/>
      <c r="T2217" s="940"/>
      <c r="U2217" s="940">
        <f>S1MAData!AD59</f>
        <v>0</v>
      </c>
      <c r="V2217" s="940"/>
      <c r="W2217" s="940"/>
      <c r="X2217" s="940">
        <f>S1MAData!AE59</f>
        <v>0</v>
      </c>
      <c r="Y2217" s="940"/>
      <c r="Z2217" s="940"/>
      <c r="AA2217" s="940">
        <f t="shared" si="43"/>
        <v>0</v>
      </c>
      <c r="AB2217" s="940"/>
      <c r="AC2217" s="940"/>
      <c r="AD2217" s="940"/>
      <c r="AE2217" s="871">
        <f>S1MAData!AG59</f>
        <v>0</v>
      </c>
      <c r="AF2217" s="871"/>
      <c r="AG2217" s="529"/>
      <c r="AH2217" s="518"/>
      <c r="AJ2217" s="595" t="b">
        <f t="shared" si="44"/>
        <v>0</v>
      </c>
    </row>
    <row r="2218" spans="1:36" hidden="1" x14ac:dyDescent="0.45">
      <c r="A2218" s="518"/>
      <c r="B2218" s="514" t="s">
        <v>1461</v>
      </c>
      <c r="C2218" s="515"/>
      <c r="D2218" s="515"/>
      <c r="E2218" s="515"/>
      <c r="F2218" s="515"/>
      <c r="G2218" s="885" t="str">
        <f>IF(S1MAData!N60=0,"",SUBSTITUTE(SUBSTITUTE(S1MAData!N60,"Acquired and Rehabilitated Housing","A/R"),"Newly Constructed Housing","N/C"))</f>
        <v/>
      </c>
      <c r="H2218" s="885"/>
      <c r="I2218" s="583" t="str">
        <f>IF(S1MAData!AM60=0,"",LEFT(S1MAData!AM60,1))</f>
        <v/>
      </c>
      <c r="J2218" s="583" t="str">
        <f>IF(S1MAData!L60=0,"",LEFT(S1MAData!L60,1))</f>
        <v/>
      </c>
      <c r="K2218" s="939">
        <f>S1MAData!AA60</f>
        <v>0</v>
      </c>
      <c r="L2218" s="1181"/>
      <c r="M2218" s="940">
        <f>S1MAData!AB60</f>
        <v>0</v>
      </c>
      <c r="N2218" s="940"/>
      <c r="O2218" s="940"/>
      <c r="P2218" s="940"/>
      <c r="Q2218" s="940">
        <f>S1MAData!AC60</f>
        <v>0</v>
      </c>
      <c r="R2218" s="940"/>
      <c r="S2218" s="940"/>
      <c r="T2218" s="940"/>
      <c r="U2218" s="940">
        <f>S1MAData!AD60</f>
        <v>0</v>
      </c>
      <c r="V2218" s="940"/>
      <c r="W2218" s="940"/>
      <c r="X2218" s="940">
        <f>S1MAData!AE60</f>
        <v>0</v>
      </c>
      <c r="Y2218" s="940"/>
      <c r="Z2218" s="940"/>
      <c r="AA2218" s="940">
        <f t="shared" si="43"/>
        <v>0</v>
      </c>
      <c r="AB2218" s="940"/>
      <c r="AC2218" s="940"/>
      <c r="AD2218" s="940"/>
      <c r="AE2218" s="871">
        <f>S1MAData!AG60</f>
        <v>0</v>
      </c>
      <c r="AF2218" s="871"/>
      <c r="AG2218" s="529"/>
      <c r="AH2218" s="518"/>
      <c r="AJ2218" s="595" t="b">
        <f t="shared" si="44"/>
        <v>0</v>
      </c>
    </row>
    <row r="2219" spans="1:36" hidden="1" x14ac:dyDescent="0.45">
      <c r="A2219" s="518"/>
      <c r="B2219" s="518"/>
      <c r="C2219" s="518"/>
      <c r="D2219" s="518"/>
      <c r="E2219" s="518"/>
      <c r="F2219" s="518"/>
      <c r="G2219" s="518"/>
      <c r="H2219" s="518"/>
      <c r="I2219" s="518"/>
      <c r="J2219" s="518"/>
      <c r="K2219" s="518"/>
      <c r="L2219" s="518"/>
      <c r="M2219" s="518"/>
      <c r="N2219" s="518"/>
      <c r="O2219" s="518"/>
      <c r="P2219" s="518"/>
      <c r="Q2219" s="518"/>
      <c r="R2219" s="518"/>
      <c r="S2219" s="518"/>
      <c r="T2219" s="518"/>
      <c r="U2219" s="518"/>
      <c r="V2219" s="518"/>
      <c r="W2219" s="518"/>
      <c r="X2219" s="518"/>
      <c r="Y2219" s="518"/>
      <c r="Z2219" s="518"/>
      <c r="AA2219" s="518"/>
      <c r="AB2219" s="518"/>
      <c r="AC2219" s="518"/>
      <c r="AD2219" s="518"/>
      <c r="AE2219" s="518"/>
      <c r="AF2219" s="518"/>
      <c r="AG2219" s="518"/>
      <c r="AH2219" s="518"/>
      <c r="AJ2219" s="595" t="b">
        <f>AJ2154</f>
        <v>0</v>
      </c>
    </row>
    <row r="2220" spans="1:36" hidden="1" x14ac:dyDescent="0.45">
      <c r="A2220" s="518"/>
      <c r="B2220" s="911" t="s">
        <v>173</v>
      </c>
      <c r="C2220" s="912"/>
      <c r="D2220" s="912"/>
      <c r="E2220" s="912"/>
      <c r="F2220" s="912"/>
      <c r="G2220" s="912"/>
      <c r="H2220" s="913">
        <f>S1_MA_RuralTotalRequested</f>
        <v>0</v>
      </c>
      <c r="I2220" s="914"/>
      <c r="J2220" s="914"/>
      <c r="K2220" s="914"/>
      <c r="L2220" s="914"/>
      <c r="M2220" s="914"/>
      <c r="N2220" s="915"/>
      <c r="O2220" s="518"/>
      <c r="P2220" s="518"/>
      <c r="Q2220" s="518"/>
      <c r="R2220" s="518"/>
      <c r="S2220" s="518"/>
      <c r="T2220" s="518"/>
      <c r="U2220" s="518"/>
      <c r="V2220" s="518"/>
      <c r="W2220" s="518"/>
      <c r="X2220" s="518"/>
      <c r="Y2220" s="518"/>
      <c r="Z2220" s="518"/>
      <c r="AA2220" s="518"/>
      <c r="AB2220" s="518"/>
      <c r="AC2220" s="518"/>
      <c r="AD2220" s="518"/>
      <c r="AE2220" s="518"/>
      <c r="AF2220" s="518"/>
      <c r="AG2220" s="518"/>
      <c r="AH2220" s="518"/>
      <c r="AJ2220" s="595"/>
    </row>
    <row r="2221" spans="1:36" hidden="1" x14ac:dyDescent="0.45">
      <c r="A2221" s="518"/>
      <c r="B2221" s="518"/>
      <c r="C2221" s="518"/>
      <c r="D2221" s="518"/>
      <c r="E2221" s="518"/>
      <c r="F2221" s="518"/>
      <c r="G2221" s="518"/>
      <c r="H2221" s="518"/>
      <c r="I2221" s="518"/>
      <c r="J2221" s="518"/>
      <c r="K2221" s="518"/>
      <c r="L2221" s="518"/>
      <c r="M2221" s="518"/>
      <c r="N2221" s="518"/>
      <c r="O2221" s="518"/>
      <c r="P2221" s="518"/>
      <c r="Q2221" s="518"/>
      <c r="R2221" s="518"/>
      <c r="S2221" s="518"/>
      <c r="T2221" s="518"/>
      <c r="U2221" s="518"/>
      <c r="V2221" s="518"/>
      <c r="W2221" s="518"/>
      <c r="X2221" s="518"/>
      <c r="Y2221" s="518"/>
      <c r="Z2221" s="518"/>
      <c r="AA2221" s="518"/>
      <c r="AB2221" s="518"/>
      <c r="AC2221" s="518"/>
      <c r="AD2221" s="518"/>
      <c r="AE2221" s="518"/>
      <c r="AF2221" s="518"/>
      <c r="AG2221" s="518"/>
      <c r="AH2221" s="518"/>
      <c r="AJ2221" s="595"/>
    </row>
    <row r="2222" spans="1:36" hidden="1" x14ac:dyDescent="0.45">
      <c r="A2222" s="518"/>
      <c r="B2222" s="518" t="s">
        <v>1854</v>
      </c>
      <c r="C2222" s="518"/>
      <c r="D2222" s="518"/>
      <c r="E2222" s="518"/>
      <c r="F2222" s="518"/>
      <c r="G2222" s="518"/>
      <c r="H2222" s="518"/>
      <c r="I2222" s="518"/>
      <c r="J2222" s="518"/>
      <c r="K2222" s="518"/>
      <c r="L2222" s="518"/>
      <c r="M2222" s="518"/>
      <c r="N2222" s="518"/>
      <c r="O2222" s="518"/>
      <c r="P2222" s="518"/>
      <c r="Q2222" s="518"/>
      <c r="R2222" s="518"/>
      <c r="S2222" s="518"/>
      <c r="T2222" s="518"/>
      <c r="U2222" s="518"/>
      <c r="V2222" s="518"/>
      <c r="W2222" s="518"/>
      <c r="X2222" s="518"/>
      <c r="Y2222" s="518"/>
      <c r="Z2222" s="518"/>
      <c r="AA2222" s="518"/>
      <c r="AB2222" s="518"/>
      <c r="AC2222" s="518"/>
      <c r="AD2222" s="518"/>
      <c r="AE2222" s="518"/>
      <c r="AF2222" s="518"/>
      <c r="AG2222" s="518"/>
      <c r="AH2222" s="518"/>
      <c r="AJ2222" s="595"/>
    </row>
    <row r="2223" spans="1:36" hidden="1" x14ac:dyDescent="0.45">
      <c r="A2223" s="518"/>
      <c r="B2223" s="877" t="s">
        <v>174</v>
      </c>
      <c r="C2223" s="877"/>
      <c r="D2223" s="877"/>
      <c r="E2223" s="877"/>
      <c r="F2223" s="877"/>
      <c r="G2223" s="877"/>
      <c r="H2223" s="877"/>
      <c r="I2223" s="877"/>
      <c r="J2223" s="877"/>
      <c r="K2223" s="877"/>
      <c r="L2223" s="877"/>
      <c r="M2223" s="877"/>
      <c r="N2223" s="877"/>
      <c r="O2223" s="878"/>
      <c r="P2223" s="879"/>
      <c r="Q2223" s="880"/>
      <c r="R2223" s="518"/>
      <c r="S2223" s="518"/>
      <c r="T2223" s="518"/>
      <c r="U2223" s="518"/>
      <c r="V2223" s="518"/>
      <c r="W2223" s="518"/>
      <c r="X2223" s="518"/>
      <c r="Y2223" s="518"/>
      <c r="Z2223" s="518"/>
      <c r="AA2223" s="518"/>
      <c r="AB2223" s="518"/>
      <c r="AC2223" s="518"/>
      <c r="AD2223" s="518"/>
      <c r="AE2223" s="518"/>
      <c r="AF2223" s="518"/>
      <c r="AG2223" s="518"/>
      <c r="AH2223" s="518"/>
      <c r="AJ2223" s="595"/>
    </row>
    <row r="2224" spans="1:36" hidden="1" x14ac:dyDescent="0.45">
      <c r="A2224" s="518"/>
      <c r="B2224" s="877" t="s">
        <v>175</v>
      </c>
      <c r="C2224" s="877"/>
      <c r="D2224" s="877"/>
      <c r="E2224" s="877"/>
      <c r="F2224" s="877"/>
      <c r="G2224" s="877"/>
      <c r="H2224" s="877"/>
      <c r="I2224" s="877"/>
      <c r="J2224" s="877"/>
      <c r="K2224" s="877"/>
      <c r="L2224" s="877"/>
      <c r="M2224" s="877"/>
      <c r="N2224" s="877"/>
      <c r="O2224" s="878"/>
      <c r="P2224" s="879"/>
      <c r="Q2224" s="880"/>
      <c r="R2224" s="518"/>
      <c r="S2224" s="518"/>
      <c r="T2224" s="518"/>
      <c r="U2224" s="518"/>
      <c r="V2224" s="518"/>
      <c r="W2224" s="518"/>
      <c r="X2224" s="518"/>
      <c r="Y2224" s="518"/>
      <c r="Z2224" s="518"/>
      <c r="AA2224" s="518"/>
      <c r="AB2224" s="518"/>
      <c r="AC2224" s="518"/>
      <c r="AD2224" s="518"/>
      <c r="AE2224" s="518"/>
      <c r="AF2224" s="518"/>
      <c r="AG2224" s="518"/>
      <c r="AH2224" s="518"/>
      <c r="AJ2224" s="595"/>
    </row>
    <row r="2225" spans="1:37" hidden="1" x14ac:dyDescent="0.45">
      <c r="A2225" s="518"/>
      <c r="B2225" s="877" t="s">
        <v>176</v>
      </c>
      <c r="C2225" s="877"/>
      <c r="D2225" s="877"/>
      <c r="E2225" s="877"/>
      <c r="F2225" s="877"/>
      <c r="G2225" s="877"/>
      <c r="H2225" s="877"/>
      <c r="I2225" s="877"/>
      <c r="J2225" s="877"/>
      <c r="K2225" s="877"/>
      <c r="L2225" s="877"/>
      <c r="M2225" s="877"/>
      <c r="N2225" s="877"/>
      <c r="O2225" s="878"/>
      <c r="P2225" s="879"/>
      <c r="Q2225" s="880"/>
      <c r="R2225" s="518"/>
      <c r="S2225" s="518"/>
      <c r="T2225" s="518"/>
      <c r="U2225" s="518"/>
      <c r="V2225" s="518"/>
      <c r="W2225" s="518"/>
      <c r="X2225" s="518"/>
      <c r="Y2225" s="518"/>
      <c r="Z2225" s="518"/>
      <c r="AA2225" s="518"/>
      <c r="AB2225" s="518"/>
      <c r="AC2225" s="518"/>
      <c r="AD2225" s="518"/>
      <c r="AE2225" s="518"/>
      <c r="AF2225" s="518"/>
      <c r="AG2225" s="518"/>
      <c r="AH2225" s="518"/>
      <c r="AJ2225" s="595"/>
    </row>
    <row r="2226" spans="1:37" hidden="1" x14ac:dyDescent="0.45">
      <c r="A2226" s="518"/>
      <c r="B2226" s="877" t="s">
        <v>177</v>
      </c>
      <c r="C2226" s="877"/>
      <c r="D2226" s="877"/>
      <c r="E2226" s="877"/>
      <c r="F2226" s="877"/>
      <c r="G2226" s="877"/>
      <c r="H2226" s="877"/>
      <c r="I2226" s="877"/>
      <c r="J2226" s="877"/>
      <c r="K2226" s="877"/>
      <c r="L2226" s="877"/>
      <c r="M2226" s="877"/>
      <c r="N2226" s="877"/>
      <c r="O2226" s="878"/>
      <c r="P2226" s="879"/>
      <c r="Q2226" s="880"/>
      <c r="R2226" s="518"/>
      <c r="S2226" s="518"/>
      <c r="T2226" s="518"/>
      <c r="U2226" s="518"/>
      <c r="V2226" s="518"/>
      <c r="W2226" s="518"/>
      <c r="X2226" s="518"/>
      <c r="Y2226" s="518"/>
      <c r="Z2226" s="518"/>
      <c r="AA2226" s="518"/>
      <c r="AB2226" s="518"/>
      <c r="AC2226" s="518"/>
      <c r="AD2226" s="518"/>
      <c r="AE2226" s="518"/>
      <c r="AF2226" s="518"/>
      <c r="AG2226" s="518"/>
      <c r="AH2226" s="518"/>
      <c r="AJ2226" s="595"/>
    </row>
    <row r="2227" spans="1:37" hidden="1" x14ac:dyDescent="0.45">
      <c r="A2227" s="518"/>
      <c r="B2227" s="877" t="s">
        <v>178</v>
      </c>
      <c r="C2227" s="877"/>
      <c r="D2227" s="877"/>
      <c r="E2227" s="877"/>
      <c r="F2227" s="877"/>
      <c r="G2227" s="877"/>
      <c r="H2227" s="877"/>
      <c r="I2227" s="877"/>
      <c r="J2227" s="877"/>
      <c r="K2227" s="877"/>
      <c r="L2227" s="877"/>
      <c r="M2227" s="877"/>
      <c r="N2227" s="877"/>
      <c r="O2227" s="878"/>
      <c r="P2227" s="879"/>
      <c r="Q2227" s="880"/>
      <c r="R2227" s="518"/>
      <c r="S2227" s="518"/>
      <c r="T2227" s="518"/>
      <c r="U2227" s="518"/>
      <c r="V2227" s="518"/>
      <c r="W2227" s="518"/>
      <c r="X2227" s="518"/>
      <c r="Y2227" s="518"/>
      <c r="Z2227" s="518"/>
      <c r="AA2227" s="518"/>
      <c r="AB2227" s="518"/>
      <c r="AC2227" s="518"/>
      <c r="AD2227" s="518"/>
      <c r="AE2227" s="518"/>
      <c r="AF2227" s="518"/>
      <c r="AG2227" s="518"/>
      <c r="AH2227" s="518"/>
      <c r="AJ2227" s="595"/>
    </row>
    <row r="2228" spans="1:37" hidden="1" x14ac:dyDescent="0.45">
      <c r="A2228" s="518"/>
      <c r="B2228" s="877" t="s">
        <v>179</v>
      </c>
      <c r="C2228" s="877"/>
      <c r="D2228" s="877"/>
      <c r="E2228" s="877"/>
      <c r="F2228" s="877"/>
      <c r="G2228" s="877"/>
      <c r="H2228" s="877"/>
      <c r="I2228" s="877"/>
      <c r="J2228" s="877"/>
      <c r="K2228" s="877"/>
      <c r="L2228" s="877"/>
      <c r="M2228" s="877"/>
      <c r="N2228" s="877"/>
      <c r="O2228" s="878"/>
      <c r="P2228" s="879"/>
      <c r="Q2228" s="880"/>
      <c r="R2228" s="518"/>
      <c r="S2228" s="518"/>
      <c r="T2228" s="518"/>
      <c r="U2228" s="518"/>
      <c r="V2228" s="518"/>
      <c r="W2228" s="518"/>
      <c r="X2228" s="518"/>
      <c r="Y2228" s="518"/>
      <c r="Z2228" s="518"/>
      <c r="AA2228" s="518"/>
      <c r="AB2228" s="518"/>
      <c r="AC2228" s="518"/>
      <c r="AD2228" s="518"/>
      <c r="AE2228" s="518"/>
      <c r="AF2228" s="518"/>
      <c r="AG2228" s="518"/>
      <c r="AH2228" s="518"/>
      <c r="AJ2228" s="595"/>
    </row>
    <row r="2229" spans="1:37" hidden="1" x14ac:dyDescent="0.45">
      <c r="A2229" s="518"/>
      <c r="B2229" s="877" t="s">
        <v>180</v>
      </c>
      <c r="C2229" s="877"/>
      <c r="D2229" s="877"/>
      <c r="E2229" s="877"/>
      <c r="F2229" s="877"/>
      <c r="G2229" s="877"/>
      <c r="H2229" s="877"/>
      <c r="I2229" s="877"/>
      <c r="J2229" s="877"/>
      <c r="K2229" s="877"/>
      <c r="L2229" s="877"/>
      <c r="M2229" s="877"/>
      <c r="N2229" s="877"/>
      <c r="O2229" s="878"/>
      <c r="P2229" s="879"/>
      <c r="Q2229" s="880"/>
      <c r="R2229" s="518"/>
      <c r="S2229" s="518"/>
      <c r="T2229" s="518"/>
      <c r="U2229" s="518"/>
      <c r="V2229" s="518"/>
      <c r="W2229" s="518"/>
      <c r="X2229" s="518"/>
      <c r="Y2229" s="518"/>
      <c r="Z2229" s="518"/>
      <c r="AA2229" s="518"/>
      <c r="AB2229" s="518"/>
      <c r="AC2229" s="518"/>
      <c r="AD2229" s="518"/>
      <c r="AE2229" s="518"/>
      <c r="AF2229" s="518"/>
      <c r="AG2229" s="518"/>
      <c r="AH2229" s="518"/>
      <c r="AJ2229" s="595"/>
    </row>
    <row r="2230" spans="1:37" hidden="1" x14ac:dyDescent="0.45">
      <c r="A2230" s="518"/>
      <c r="B2230" s="877" t="s">
        <v>1808</v>
      </c>
      <c r="C2230" s="877"/>
      <c r="D2230" s="877"/>
      <c r="E2230" s="877"/>
      <c r="F2230" s="877"/>
      <c r="G2230" s="877"/>
      <c r="H2230" s="877"/>
      <c r="I2230" s="877"/>
      <c r="J2230" s="877"/>
      <c r="K2230" s="877"/>
      <c r="L2230" s="877"/>
      <c r="M2230" s="877"/>
      <c r="N2230" s="877"/>
      <c r="O2230" s="878"/>
      <c r="P2230" s="879"/>
      <c r="Q2230" s="880"/>
      <c r="R2230" s="518"/>
      <c r="S2230" s="518"/>
      <c r="T2230" s="518"/>
      <c r="U2230" s="518"/>
      <c r="V2230" s="518"/>
      <c r="W2230" s="518"/>
      <c r="X2230" s="518"/>
      <c r="Y2230" s="518"/>
      <c r="Z2230" s="518"/>
      <c r="AA2230" s="518"/>
      <c r="AB2230" s="518"/>
      <c r="AC2230" s="518"/>
      <c r="AD2230" s="518"/>
      <c r="AE2230" s="518"/>
      <c r="AF2230" s="518"/>
      <c r="AG2230" s="518"/>
      <c r="AH2230" s="518"/>
      <c r="AJ2230" s="595"/>
    </row>
    <row r="2231" spans="1:37" hidden="1" x14ac:dyDescent="0.45">
      <c r="A2231" s="518"/>
      <c r="B2231" s="1225" t="s">
        <v>181</v>
      </c>
      <c r="C2231" s="1225"/>
      <c r="D2231" s="1225"/>
      <c r="E2231" s="1225"/>
      <c r="F2231" s="1225"/>
      <c r="G2231" s="1225"/>
      <c r="H2231" s="1225"/>
      <c r="I2231" s="1225"/>
      <c r="J2231" s="1225"/>
      <c r="K2231" s="1225"/>
      <c r="L2231" s="1225"/>
      <c r="M2231" s="1225"/>
      <c r="N2231" s="1225"/>
      <c r="O2231" s="927"/>
      <c r="P2231" s="928"/>
      <c r="Q2231" s="929"/>
      <c r="R2231" s="518"/>
      <c r="S2231" s="518"/>
      <c r="T2231" s="518"/>
      <c r="U2231" s="518"/>
      <c r="V2231" s="518"/>
      <c r="W2231" s="518"/>
      <c r="X2231" s="518"/>
      <c r="Y2231" s="518"/>
      <c r="Z2231" s="518"/>
      <c r="AA2231" s="518"/>
      <c r="AB2231" s="518"/>
      <c r="AC2231" s="518"/>
      <c r="AD2231" s="518"/>
      <c r="AE2231" s="518"/>
      <c r="AF2231" s="518"/>
      <c r="AG2231" s="518"/>
      <c r="AH2231" s="518"/>
      <c r="AJ2231" s="595"/>
    </row>
    <row r="2232" spans="1:37" hidden="1" x14ac:dyDescent="0.45">
      <c r="A2232" s="518"/>
      <c r="B2232" s="1226" t="s">
        <v>182</v>
      </c>
      <c r="C2232" s="1226"/>
      <c r="D2232" s="1226"/>
      <c r="E2232" s="1226"/>
      <c r="F2232" s="1226"/>
      <c r="G2232" s="1226"/>
      <c r="H2232" s="1226"/>
      <c r="I2232" s="1226"/>
      <c r="J2232" s="1226"/>
      <c r="K2232" s="1226"/>
      <c r="L2232" s="1226"/>
      <c r="M2232" s="1226"/>
      <c r="N2232" s="1226"/>
      <c r="O2232" s="878">
        <f>SUM(O2223:Q2229)-O2231</f>
        <v>0</v>
      </c>
      <c r="P2232" s="879"/>
      <c r="Q2232" s="880"/>
      <c r="R2232" s="518"/>
      <c r="S2232" s="518"/>
      <c r="T2232" s="518"/>
      <c r="U2232" s="518"/>
      <c r="V2232" s="518"/>
      <c r="W2232" s="518"/>
      <c r="X2232" s="518"/>
      <c r="Y2232" s="518"/>
      <c r="Z2232" s="518"/>
      <c r="AA2232" s="518"/>
      <c r="AB2232" s="518"/>
      <c r="AC2232" s="518"/>
      <c r="AD2232" s="518"/>
      <c r="AE2232" s="518"/>
      <c r="AF2232" s="518"/>
      <c r="AG2232" s="518"/>
      <c r="AH2232" s="518"/>
      <c r="AJ2232" s="595"/>
    </row>
    <row r="2233" spans="1:37" hidden="1" x14ac:dyDescent="0.45">
      <c r="A2233" s="518"/>
      <c r="B2233" s="517"/>
      <c r="C2233" s="517"/>
      <c r="D2233" s="517"/>
      <c r="E2233" s="517"/>
      <c r="F2233" s="517"/>
      <c r="G2233" s="517"/>
      <c r="H2233" s="517"/>
      <c r="I2233" s="517"/>
      <c r="J2233" s="517"/>
      <c r="K2233" s="517"/>
      <c r="L2233" s="517"/>
      <c r="M2233" s="517"/>
      <c r="N2233" s="517"/>
      <c r="O2233" s="532"/>
      <c r="P2233" s="532"/>
      <c r="Q2233" s="532"/>
      <c r="R2233" s="518"/>
      <c r="S2233" s="533"/>
      <c r="T2233" s="533"/>
      <c r="U2233" s="533"/>
      <c r="V2233" s="533"/>
      <c r="W2233" s="533"/>
      <c r="X2233" s="533"/>
      <c r="Y2233" s="533"/>
      <c r="Z2233" s="533"/>
      <c r="AA2233" s="533"/>
      <c r="AB2233" s="533"/>
      <c r="AC2233" s="533"/>
      <c r="AD2233" s="533"/>
      <c r="AE2233" s="533"/>
      <c r="AF2233" s="533"/>
      <c r="AG2233" s="533"/>
      <c r="AH2233" s="518"/>
      <c r="AJ2233" s="595"/>
    </row>
    <row r="2234" spans="1:37" ht="200.15" hidden="1" customHeight="1" x14ac:dyDescent="0.45">
      <c r="A2234" s="518"/>
      <c r="B2234" s="926" t="s">
        <v>183</v>
      </c>
      <c r="C2234" s="926"/>
      <c r="D2234" s="926"/>
      <c r="E2234" s="926"/>
      <c r="F2234" s="926"/>
      <c r="G2234" s="926"/>
      <c r="H2234" s="926"/>
      <c r="I2234" s="926"/>
      <c r="J2234" s="926"/>
      <c r="K2234" s="926"/>
      <c r="L2234" s="926"/>
      <c r="M2234" s="926"/>
      <c r="N2234" s="926"/>
      <c r="O2234" s="926"/>
      <c r="P2234" s="926"/>
      <c r="Q2234" s="926"/>
      <c r="R2234" s="926"/>
      <c r="S2234" s="926"/>
      <c r="T2234" s="926"/>
      <c r="U2234" s="926"/>
      <c r="V2234" s="926"/>
      <c r="W2234" s="926"/>
      <c r="X2234" s="926"/>
      <c r="Y2234" s="926"/>
      <c r="Z2234" s="926"/>
      <c r="AA2234" s="926"/>
      <c r="AB2234" s="926"/>
      <c r="AC2234" s="926"/>
      <c r="AD2234" s="926"/>
      <c r="AE2234" s="926"/>
      <c r="AF2234" s="926"/>
      <c r="AG2234" s="926"/>
      <c r="AH2234" s="518"/>
      <c r="AJ2234" s="595"/>
    </row>
    <row r="2235" spans="1:37" hidden="1" x14ac:dyDescent="0.45">
      <c r="A2235" s="518"/>
      <c r="B2235" s="518"/>
      <c r="C2235" s="518"/>
      <c r="D2235" s="518"/>
      <c r="E2235" s="518"/>
      <c r="F2235" s="518"/>
      <c r="G2235" s="518"/>
      <c r="H2235" s="518"/>
      <c r="I2235" s="518"/>
      <c r="J2235" s="518"/>
      <c r="K2235" s="518"/>
      <c r="L2235" s="518"/>
      <c r="M2235" s="518"/>
      <c r="N2235" s="518"/>
      <c r="O2235" s="518"/>
      <c r="P2235" s="518"/>
      <c r="Q2235" s="518"/>
      <c r="R2235" s="518"/>
      <c r="S2235" s="518"/>
      <c r="T2235" s="518"/>
      <c r="U2235" s="518"/>
      <c r="V2235" s="518"/>
      <c r="W2235" s="518"/>
      <c r="X2235" s="518"/>
      <c r="Y2235" s="518"/>
      <c r="Z2235" s="518"/>
      <c r="AA2235" s="518"/>
      <c r="AB2235" s="518"/>
      <c r="AC2235" s="518"/>
      <c r="AD2235" s="518"/>
      <c r="AE2235" s="518"/>
      <c r="AF2235" s="518"/>
      <c r="AG2235" s="518"/>
      <c r="AH2235" s="518"/>
      <c r="AJ2235" s="595"/>
    </row>
    <row r="2236" spans="1:37" hidden="1" x14ac:dyDescent="0.45">
      <c r="A2236" s="518"/>
      <c r="B2236" s="518"/>
      <c r="C2236" s="518"/>
      <c r="D2236" s="518"/>
      <c r="E2236" s="518"/>
      <c r="F2236" s="518"/>
      <c r="G2236" s="518"/>
      <c r="H2236" s="518"/>
      <c r="I2236" s="518"/>
      <c r="J2236" s="518"/>
      <c r="K2236" s="518"/>
      <c r="L2236" s="518"/>
      <c r="M2236" s="518"/>
      <c r="N2236" s="518"/>
      <c r="O2236" s="518"/>
      <c r="P2236" s="518"/>
      <c r="Q2236" s="518"/>
      <c r="R2236" s="518"/>
      <c r="S2236" s="518"/>
      <c r="T2236" s="518"/>
      <c r="U2236" s="518"/>
      <c r="V2236" s="518"/>
      <c r="W2236" s="518"/>
      <c r="X2236" s="518"/>
      <c r="Y2236" s="518"/>
      <c r="Z2236" s="518"/>
      <c r="AA2236" s="518"/>
      <c r="AB2236" s="518"/>
      <c r="AC2236" s="518"/>
      <c r="AD2236" s="518"/>
      <c r="AE2236" s="518"/>
      <c r="AF2236" s="518"/>
      <c r="AG2236" s="518"/>
      <c r="AH2236" s="518"/>
      <c r="AJ2236" s="595" t="b">
        <f>AND(
APP_ApplyingForSerna="Yes",
S1_ER_EligibleApplicant,
S1_AMH_CompletionStatus="Final/Complete")</f>
        <v>0</v>
      </c>
      <c r="AK2236" s="462" t="str">
        <f>B2237</f>
        <v>Serna Acquisition of Manufactured Housing Application</v>
      </c>
    </row>
    <row r="2237" spans="1:37" hidden="1" x14ac:dyDescent="0.45">
      <c r="A2237" s="518"/>
      <c r="B2237" s="907" t="s">
        <v>1816</v>
      </c>
      <c r="C2237" s="907"/>
      <c r="D2237" s="907"/>
      <c r="E2237" s="907"/>
      <c r="F2237" s="907"/>
      <c r="G2237" s="907"/>
      <c r="H2237" s="907"/>
      <c r="I2237" s="907"/>
      <c r="J2237" s="907"/>
      <c r="K2237" s="907"/>
      <c r="L2237" s="907"/>
      <c r="M2237" s="907"/>
      <c r="N2237" s="907"/>
      <c r="O2237" s="907"/>
      <c r="P2237" s="907"/>
      <c r="Q2237" s="907"/>
      <c r="R2237" s="907"/>
      <c r="S2237" s="907"/>
      <c r="T2237" s="907"/>
      <c r="U2237" s="907"/>
      <c r="V2237" s="907"/>
      <c r="W2237" s="907"/>
      <c r="X2237" s="907"/>
      <c r="Y2237" s="907"/>
      <c r="Z2237" s="907"/>
      <c r="AA2237" s="907"/>
      <c r="AB2237" s="907"/>
      <c r="AC2237" s="907"/>
      <c r="AD2237" s="907"/>
      <c r="AE2237" s="907"/>
      <c r="AF2237" s="907"/>
      <c r="AG2237" s="907"/>
      <c r="AH2237" s="518"/>
      <c r="AJ2237" s="595"/>
    </row>
    <row r="2238" spans="1:37" hidden="1" x14ac:dyDescent="0.45">
      <c r="A2238" s="518"/>
      <c r="B2238" s="517"/>
      <c r="C2238" s="517"/>
      <c r="D2238" s="517"/>
      <c r="E2238" s="517"/>
      <c r="F2238" s="517"/>
      <c r="G2238" s="517"/>
      <c r="H2238" s="517"/>
      <c r="I2238" s="517"/>
      <c r="J2238" s="517"/>
      <c r="K2238" s="517"/>
      <c r="L2238" s="517"/>
      <c r="M2238" s="517"/>
      <c r="N2238" s="517"/>
      <c r="O2238" s="517"/>
      <c r="P2238" s="517"/>
      <c r="Q2238" s="517"/>
      <c r="R2238" s="517"/>
      <c r="S2238" s="517"/>
      <c r="T2238" s="517"/>
      <c r="U2238" s="517"/>
      <c r="V2238" s="517"/>
      <c r="W2238" s="517"/>
      <c r="X2238" s="517"/>
      <c r="Y2238" s="517"/>
      <c r="Z2238" s="517"/>
      <c r="AA2238" s="517"/>
      <c r="AB2238" s="517"/>
      <c r="AC2238" s="517"/>
      <c r="AD2238" s="517"/>
      <c r="AE2238" s="517"/>
      <c r="AF2238" s="517"/>
      <c r="AG2238" s="517"/>
      <c r="AH2238" s="518"/>
      <c r="AJ2238" s="595"/>
    </row>
    <row r="2239" spans="1:37" hidden="1" x14ac:dyDescent="0.45">
      <c r="A2239" s="518"/>
      <c r="B2239" s="907" t="s">
        <v>88</v>
      </c>
      <c r="C2239" s="907"/>
      <c r="D2239" s="907"/>
      <c r="E2239" s="907"/>
      <c r="F2239" s="907"/>
      <c r="G2239" s="907"/>
      <c r="H2239" s="907"/>
      <c r="I2239" s="1214"/>
      <c r="J2239" s="1215"/>
      <c r="K2239" s="1215"/>
      <c r="L2239" s="1215"/>
      <c r="M2239" s="1215"/>
      <c r="N2239" s="1215"/>
      <c r="O2239" s="1216"/>
      <c r="P2239" s="517"/>
      <c r="Q2239" s="517"/>
      <c r="R2239" s="517"/>
      <c r="S2239" s="517"/>
      <c r="T2239" s="517"/>
      <c r="U2239" s="517"/>
      <c r="V2239" s="517"/>
      <c r="W2239" s="517"/>
      <c r="X2239" s="517"/>
      <c r="Y2239" s="517"/>
      <c r="Z2239" s="517"/>
      <c r="AA2239" s="517"/>
      <c r="AB2239" s="517"/>
      <c r="AC2239" s="517"/>
      <c r="AD2239" s="517"/>
      <c r="AE2239" s="517"/>
      <c r="AF2239" s="1180"/>
      <c r="AG2239" s="1180"/>
      <c r="AH2239" s="518"/>
      <c r="AJ2239" s="595"/>
    </row>
    <row r="2240" spans="1:37" hidden="1" x14ac:dyDescent="0.45">
      <c r="A2240" s="518"/>
      <c r="B2240" s="518"/>
      <c r="C2240" s="518"/>
      <c r="D2240" s="518"/>
      <c r="E2240" s="518"/>
      <c r="F2240" s="518"/>
      <c r="G2240" s="518"/>
      <c r="H2240" s="518"/>
      <c r="I2240" s="518"/>
      <c r="J2240" s="518"/>
      <c r="K2240" s="518"/>
      <c r="L2240" s="518"/>
      <c r="M2240" s="518"/>
      <c r="N2240" s="518"/>
      <c r="O2240" s="518"/>
      <c r="P2240" s="518"/>
      <c r="Q2240" s="518"/>
      <c r="R2240" s="518"/>
      <c r="S2240" s="518"/>
      <c r="T2240" s="518"/>
      <c r="U2240" s="518"/>
      <c r="V2240" s="518"/>
      <c r="W2240" s="518"/>
      <c r="X2240" s="518"/>
      <c r="Y2240" s="518"/>
      <c r="Z2240" s="518"/>
      <c r="AA2240" s="518"/>
      <c r="AB2240" s="518"/>
      <c r="AC2240" s="518"/>
      <c r="AD2240" s="518"/>
      <c r="AE2240" s="518"/>
      <c r="AF2240" s="518"/>
      <c r="AG2240" s="518"/>
      <c r="AH2240" s="518"/>
      <c r="AJ2240" s="595"/>
    </row>
    <row r="2241" spans="1:36" hidden="1" x14ac:dyDescent="0.45">
      <c r="A2241" s="518"/>
      <c r="B2241" s="1124" t="s">
        <v>1812</v>
      </c>
      <c r="C2241" s="1125"/>
      <c r="D2241" s="1125"/>
      <c r="E2241" s="1125"/>
      <c r="F2241" s="1125"/>
      <c r="G2241" s="1125"/>
      <c r="H2241" s="1125"/>
      <c r="I2241" s="1125"/>
      <c r="J2241" s="1125"/>
      <c r="K2241" s="1125"/>
      <c r="L2241" s="1125"/>
      <c r="M2241" s="1125"/>
      <c r="N2241" s="1125"/>
      <c r="O2241" s="1125"/>
      <c r="P2241" s="1125"/>
      <c r="Q2241" s="1125"/>
      <c r="R2241" s="1125"/>
      <c r="S2241" s="1125"/>
      <c r="T2241" s="1125"/>
      <c r="U2241" s="1125"/>
      <c r="V2241" s="1125"/>
      <c r="W2241" s="1125"/>
      <c r="X2241" s="1125"/>
      <c r="Y2241" s="1125"/>
      <c r="Z2241" s="1125"/>
      <c r="AA2241" s="1125"/>
      <c r="AB2241" s="1125"/>
      <c r="AC2241" s="1125"/>
      <c r="AD2241" s="1125"/>
      <c r="AE2241" s="573"/>
      <c r="AF2241" s="1123"/>
      <c r="AG2241" s="1123"/>
      <c r="AH2241" s="518"/>
      <c r="AJ2241" s="595"/>
    </row>
    <row r="2242" spans="1:36" hidden="1" x14ac:dyDescent="0.45">
      <c r="A2242" s="518"/>
      <c r="B2242" s="518"/>
      <c r="C2242" s="518"/>
      <c r="D2242" s="518"/>
      <c r="E2242" s="518"/>
      <c r="F2242" s="518"/>
      <c r="G2242" s="518"/>
      <c r="H2242" s="518"/>
      <c r="I2242" s="518"/>
      <c r="J2242" s="518"/>
      <c r="K2242" s="518"/>
      <c r="L2242" s="518"/>
      <c r="M2242" s="518"/>
      <c r="N2242" s="518"/>
      <c r="O2242" s="518"/>
      <c r="P2242" s="518"/>
      <c r="Q2242" s="518"/>
      <c r="R2242" s="518"/>
      <c r="S2242" s="518"/>
      <c r="T2242" s="518"/>
      <c r="U2242" s="518"/>
      <c r="V2242" s="518"/>
      <c r="W2242" s="518"/>
      <c r="X2242" s="518"/>
      <c r="Y2242" s="518"/>
      <c r="Z2242" s="518"/>
      <c r="AA2242" s="518"/>
      <c r="AB2242" s="518"/>
      <c r="AC2242" s="518"/>
      <c r="AD2242" s="518"/>
      <c r="AE2242" s="518"/>
      <c r="AF2242" s="518"/>
      <c r="AG2242" s="518"/>
      <c r="AH2242" s="518"/>
      <c r="AJ2242" s="595"/>
    </row>
    <row r="2243" spans="1:36" hidden="1" x14ac:dyDescent="0.45">
      <c r="A2243" s="518"/>
      <c r="B2243" s="1137" t="s">
        <v>90</v>
      </c>
      <c r="C2243" s="1138"/>
      <c r="D2243" s="1138"/>
      <c r="E2243" s="1138"/>
      <c r="F2243" s="1138"/>
      <c r="G2243" s="1138"/>
      <c r="H2243" s="1138"/>
      <c r="I2243" s="1138"/>
      <c r="J2243" s="1138"/>
      <c r="K2243" s="1138"/>
      <c r="L2243" s="1138"/>
      <c r="M2243" s="1138"/>
      <c r="N2243" s="1138"/>
      <c r="O2243" s="1138"/>
      <c r="P2243" s="1138"/>
      <c r="Q2243" s="1138"/>
      <c r="R2243" s="1138"/>
      <c r="S2243" s="1138"/>
      <c r="T2243" s="1138"/>
      <c r="U2243" s="1139"/>
      <c r="V2243" s="1143" t="s">
        <v>91</v>
      </c>
      <c r="W2243" s="1143"/>
      <c r="X2243" s="1143"/>
      <c r="Y2243" s="1143" t="s">
        <v>92</v>
      </c>
      <c r="Z2243" s="1143"/>
      <c r="AA2243" s="1143"/>
      <c r="AB2243" s="1143" t="s">
        <v>93</v>
      </c>
      <c r="AC2243" s="1143"/>
      <c r="AD2243" s="1143"/>
      <c r="AE2243" s="1143" t="s">
        <v>94</v>
      </c>
      <c r="AF2243" s="1143"/>
      <c r="AG2243" s="1143"/>
      <c r="AH2243" s="518"/>
      <c r="AJ2243" s="595"/>
    </row>
    <row r="2244" spans="1:36" hidden="1" x14ac:dyDescent="0.45">
      <c r="A2244" s="518"/>
      <c r="B2244" s="1140"/>
      <c r="C2244" s="1141"/>
      <c r="D2244" s="1141"/>
      <c r="E2244" s="1141"/>
      <c r="F2244" s="1141"/>
      <c r="G2244" s="1141"/>
      <c r="H2244" s="1141"/>
      <c r="I2244" s="1141"/>
      <c r="J2244" s="1141"/>
      <c r="K2244" s="1141"/>
      <c r="L2244" s="1141"/>
      <c r="M2244" s="1141"/>
      <c r="N2244" s="1141"/>
      <c r="O2244" s="1141"/>
      <c r="P2244" s="1141"/>
      <c r="Q2244" s="1141"/>
      <c r="R2244" s="1141"/>
      <c r="S2244" s="1141"/>
      <c r="T2244" s="1141"/>
      <c r="U2244" s="1142"/>
      <c r="V2244" s="1143"/>
      <c r="W2244" s="1143"/>
      <c r="X2244" s="1143"/>
      <c r="Y2244" s="1143"/>
      <c r="Z2244" s="1143"/>
      <c r="AA2244" s="1143"/>
      <c r="AB2244" s="1143"/>
      <c r="AC2244" s="1143"/>
      <c r="AD2244" s="1143"/>
      <c r="AE2244" s="1143"/>
      <c r="AF2244" s="1143"/>
      <c r="AG2244" s="1143"/>
      <c r="AH2244" s="518"/>
      <c r="AJ2244" s="595"/>
    </row>
    <row r="2245" spans="1:36" hidden="1" x14ac:dyDescent="0.45">
      <c r="A2245" s="518"/>
      <c r="B2245" s="1150"/>
      <c r="C2245" s="1151"/>
      <c r="D2245" s="1151"/>
      <c r="E2245" s="1151"/>
      <c r="F2245" s="1151"/>
      <c r="G2245" s="1151"/>
      <c r="H2245" s="1151"/>
      <c r="I2245" s="1151"/>
      <c r="J2245" s="1151"/>
      <c r="K2245" s="1151"/>
      <c r="L2245" s="1151"/>
      <c r="M2245" s="1151"/>
      <c r="N2245" s="1151"/>
      <c r="O2245" s="1151"/>
      <c r="P2245" s="1151"/>
      <c r="Q2245" s="1151"/>
      <c r="R2245" s="1151"/>
      <c r="S2245" s="1151"/>
      <c r="T2245" s="1151"/>
      <c r="U2245" s="1152"/>
      <c r="V2245" s="894"/>
      <c r="W2245" s="895"/>
      <c r="X2245" s="896"/>
      <c r="Y2245" s="1201"/>
      <c r="Z2245" s="1202"/>
      <c r="AA2245" s="1203"/>
      <c r="AB2245" s="1201"/>
      <c r="AC2245" s="1202"/>
      <c r="AD2245" s="1203"/>
      <c r="AE2245" s="1207" cm="1">
        <f t="array" ref="AE2245">wwDateDiff(S1_AMH_PreviousProgramStart1,S1_AMH_PreviousProgramEnd1)</f>
        <v>0</v>
      </c>
      <c r="AF2245" s="1208"/>
      <c r="AG2245" s="1209"/>
      <c r="AH2245" s="518"/>
      <c r="AJ2245" s="595"/>
    </row>
    <row r="2246" spans="1:36" hidden="1" x14ac:dyDescent="0.45">
      <c r="A2246" s="518"/>
      <c r="B2246" s="1153"/>
      <c r="C2246" s="1154"/>
      <c r="D2246" s="1154"/>
      <c r="E2246" s="1154"/>
      <c r="F2246" s="1154"/>
      <c r="G2246" s="1154"/>
      <c r="H2246" s="1154"/>
      <c r="I2246" s="1154"/>
      <c r="J2246" s="1154"/>
      <c r="K2246" s="1154"/>
      <c r="L2246" s="1154"/>
      <c r="M2246" s="1154"/>
      <c r="N2246" s="1154"/>
      <c r="O2246" s="1154"/>
      <c r="P2246" s="1154"/>
      <c r="Q2246" s="1154"/>
      <c r="R2246" s="1154"/>
      <c r="S2246" s="1154"/>
      <c r="T2246" s="1154"/>
      <c r="U2246" s="1155"/>
      <c r="V2246" s="897"/>
      <c r="W2246" s="898"/>
      <c r="X2246" s="899"/>
      <c r="Y2246" s="1204"/>
      <c r="Z2246" s="1205"/>
      <c r="AA2246" s="1206"/>
      <c r="AB2246" s="1204"/>
      <c r="AC2246" s="1205"/>
      <c r="AD2246" s="1206"/>
      <c r="AE2246" s="1210"/>
      <c r="AF2246" s="1211"/>
      <c r="AG2246" s="1212"/>
      <c r="AH2246" s="518"/>
      <c r="AJ2246" s="595"/>
    </row>
    <row r="2247" spans="1:36" hidden="1" x14ac:dyDescent="0.45">
      <c r="A2247" s="518"/>
      <c r="B2247" s="1150"/>
      <c r="C2247" s="1151"/>
      <c r="D2247" s="1151"/>
      <c r="E2247" s="1151"/>
      <c r="F2247" s="1151"/>
      <c r="G2247" s="1151"/>
      <c r="H2247" s="1151"/>
      <c r="I2247" s="1151"/>
      <c r="J2247" s="1151"/>
      <c r="K2247" s="1151"/>
      <c r="L2247" s="1151"/>
      <c r="M2247" s="1151"/>
      <c r="N2247" s="1151"/>
      <c r="O2247" s="1151"/>
      <c r="P2247" s="1151"/>
      <c r="Q2247" s="1151"/>
      <c r="R2247" s="1151"/>
      <c r="S2247" s="1151"/>
      <c r="T2247" s="1151"/>
      <c r="U2247" s="1152"/>
      <c r="V2247" s="894"/>
      <c r="W2247" s="895"/>
      <c r="X2247" s="896"/>
      <c r="Y2247" s="1201"/>
      <c r="Z2247" s="1202"/>
      <c r="AA2247" s="1203"/>
      <c r="AB2247" s="1201"/>
      <c r="AC2247" s="1202"/>
      <c r="AD2247" s="1203"/>
      <c r="AE2247" s="1207" cm="1">
        <f t="array" ref="AE2247">wwDateDiff(S1_AMH_PreviousProgramStart2,S1_AMH_PreviousProgramEnd2)</f>
        <v>0</v>
      </c>
      <c r="AF2247" s="1208"/>
      <c r="AG2247" s="1209"/>
      <c r="AH2247" s="518"/>
      <c r="AJ2247" s="595"/>
    </row>
    <row r="2248" spans="1:36" hidden="1" x14ac:dyDescent="0.45">
      <c r="A2248" s="518"/>
      <c r="B2248" s="1153"/>
      <c r="C2248" s="1154"/>
      <c r="D2248" s="1154"/>
      <c r="E2248" s="1154"/>
      <c r="F2248" s="1154"/>
      <c r="G2248" s="1154"/>
      <c r="H2248" s="1154"/>
      <c r="I2248" s="1154"/>
      <c r="J2248" s="1154"/>
      <c r="K2248" s="1154"/>
      <c r="L2248" s="1154"/>
      <c r="M2248" s="1154"/>
      <c r="N2248" s="1154"/>
      <c r="O2248" s="1154"/>
      <c r="P2248" s="1154"/>
      <c r="Q2248" s="1154"/>
      <c r="R2248" s="1154"/>
      <c r="S2248" s="1154"/>
      <c r="T2248" s="1154"/>
      <c r="U2248" s="1155"/>
      <c r="V2248" s="897"/>
      <c r="W2248" s="898"/>
      <c r="X2248" s="899"/>
      <c r="Y2248" s="1204"/>
      <c r="Z2248" s="1205"/>
      <c r="AA2248" s="1206"/>
      <c r="AB2248" s="1204"/>
      <c r="AC2248" s="1205"/>
      <c r="AD2248" s="1206"/>
      <c r="AE2248" s="1210"/>
      <c r="AF2248" s="1211"/>
      <c r="AG2248" s="1212"/>
      <c r="AH2248" s="518"/>
      <c r="AJ2248" s="595"/>
    </row>
    <row r="2249" spans="1:36" hidden="1" x14ac:dyDescent="0.45">
      <c r="A2249" s="518"/>
      <c r="B2249" s="1150"/>
      <c r="C2249" s="1151"/>
      <c r="D2249" s="1151"/>
      <c r="E2249" s="1151"/>
      <c r="F2249" s="1151"/>
      <c r="G2249" s="1151"/>
      <c r="H2249" s="1151"/>
      <c r="I2249" s="1151"/>
      <c r="J2249" s="1151"/>
      <c r="K2249" s="1151"/>
      <c r="L2249" s="1151"/>
      <c r="M2249" s="1151"/>
      <c r="N2249" s="1151"/>
      <c r="O2249" s="1151"/>
      <c r="P2249" s="1151"/>
      <c r="Q2249" s="1151"/>
      <c r="R2249" s="1151"/>
      <c r="S2249" s="1151"/>
      <c r="T2249" s="1151"/>
      <c r="U2249" s="1152"/>
      <c r="V2249" s="894"/>
      <c r="W2249" s="895"/>
      <c r="X2249" s="896"/>
      <c r="Y2249" s="1201"/>
      <c r="Z2249" s="1202"/>
      <c r="AA2249" s="1203"/>
      <c r="AB2249" s="1201"/>
      <c r="AC2249" s="1202"/>
      <c r="AD2249" s="1203"/>
      <c r="AE2249" s="1207" cm="1">
        <f t="array" ref="AE2249">wwDateDiff(S1_AMH_PreviousProgramStart3,S1_AMH_PreviousProgramEnd3)</f>
        <v>0</v>
      </c>
      <c r="AF2249" s="1208"/>
      <c r="AG2249" s="1209"/>
      <c r="AH2249" s="518"/>
      <c r="AJ2249" s="595"/>
    </row>
    <row r="2250" spans="1:36" hidden="1" x14ac:dyDescent="0.45">
      <c r="A2250" s="518"/>
      <c r="B2250" s="1153"/>
      <c r="C2250" s="1154"/>
      <c r="D2250" s="1154"/>
      <c r="E2250" s="1154"/>
      <c r="F2250" s="1154"/>
      <c r="G2250" s="1154"/>
      <c r="H2250" s="1154"/>
      <c r="I2250" s="1154"/>
      <c r="J2250" s="1154"/>
      <c r="K2250" s="1154"/>
      <c r="L2250" s="1154"/>
      <c r="M2250" s="1154"/>
      <c r="N2250" s="1154"/>
      <c r="O2250" s="1154"/>
      <c r="P2250" s="1154"/>
      <c r="Q2250" s="1154"/>
      <c r="R2250" s="1154"/>
      <c r="S2250" s="1154"/>
      <c r="T2250" s="1154"/>
      <c r="U2250" s="1155"/>
      <c r="V2250" s="897"/>
      <c r="W2250" s="898"/>
      <c r="X2250" s="899"/>
      <c r="Y2250" s="1204"/>
      <c r="Z2250" s="1205"/>
      <c r="AA2250" s="1206"/>
      <c r="AB2250" s="1204"/>
      <c r="AC2250" s="1205"/>
      <c r="AD2250" s="1206"/>
      <c r="AE2250" s="1210"/>
      <c r="AF2250" s="1211"/>
      <c r="AG2250" s="1212"/>
      <c r="AH2250" s="518"/>
      <c r="AJ2250" s="595"/>
    </row>
    <row r="2251" spans="1:36" hidden="1" x14ac:dyDescent="0.45">
      <c r="A2251" s="518"/>
      <c r="B2251" s="1150"/>
      <c r="C2251" s="1151"/>
      <c r="D2251" s="1151"/>
      <c r="E2251" s="1151"/>
      <c r="F2251" s="1151"/>
      <c r="G2251" s="1151"/>
      <c r="H2251" s="1151"/>
      <c r="I2251" s="1151"/>
      <c r="J2251" s="1151"/>
      <c r="K2251" s="1151"/>
      <c r="L2251" s="1151"/>
      <c r="M2251" s="1151"/>
      <c r="N2251" s="1151"/>
      <c r="O2251" s="1151"/>
      <c r="P2251" s="1151"/>
      <c r="Q2251" s="1151"/>
      <c r="R2251" s="1151"/>
      <c r="S2251" s="1151"/>
      <c r="T2251" s="1151"/>
      <c r="U2251" s="1152"/>
      <c r="V2251" s="894"/>
      <c r="W2251" s="895"/>
      <c r="X2251" s="896"/>
      <c r="Y2251" s="1201"/>
      <c r="Z2251" s="1202"/>
      <c r="AA2251" s="1203"/>
      <c r="AB2251" s="1201"/>
      <c r="AC2251" s="1202"/>
      <c r="AD2251" s="1203"/>
      <c r="AE2251" s="1207" cm="1">
        <f t="array" ref="AE2251">wwDateDiff(S1_AMH_PreviousProgramStart4,S1_AMH_PreviousProgramEnd4)</f>
        <v>0</v>
      </c>
      <c r="AF2251" s="1208"/>
      <c r="AG2251" s="1209"/>
      <c r="AH2251" s="518"/>
      <c r="AJ2251" s="595"/>
    </row>
    <row r="2252" spans="1:36" hidden="1" x14ac:dyDescent="0.45">
      <c r="A2252" s="518"/>
      <c r="B2252" s="1153"/>
      <c r="C2252" s="1154"/>
      <c r="D2252" s="1154"/>
      <c r="E2252" s="1154"/>
      <c r="F2252" s="1154"/>
      <c r="G2252" s="1154"/>
      <c r="H2252" s="1154"/>
      <c r="I2252" s="1154"/>
      <c r="J2252" s="1154"/>
      <c r="K2252" s="1154"/>
      <c r="L2252" s="1154"/>
      <c r="M2252" s="1154"/>
      <c r="N2252" s="1154"/>
      <c r="O2252" s="1154"/>
      <c r="P2252" s="1154"/>
      <c r="Q2252" s="1154"/>
      <c r="R2252" s="1154"/>
      <c r="S2252" s="1154"/>
      <c r="T2252" s="1154"/>
      <c r="U2252" s="1155"/>
      <c r="V2252" s="897"/>
      <c r="W2252" s="898"/>
      <c r="X2252" s="899"/>
      <c r="Y2252" s="1204"/>
      <c r="Z2252" s="1205"/>
      <c r="AA2252" s="1206"/>
      <c r="AB2252" s="1204"/>
      <c r="AC2252" s="1205"/>
      <c r="AD2252" s="1206"/>
      <c r="AE2252" s="1210"/>
      <c r="AF2252" s="1211"/>
      <c r="AG2252" s="1212"/>
      <c r="AH2252" s="518"/>
      <c r="AJ2252" s="595"/>
    </row>
    <row r="2253" spans="1:36" hidden="1" x14ac:dyDescent="0.45">
      <c r="A2253" s="518"/>
      <c r="B2253" s="1150"/>
      <c r="C2253" s="1151"/>
      <c r="D2253" s="1151"/>
      <c r="E2253" s="1151"/>
      <c r="F2253" s="1151"/>
      <c r="G2253" s="1151"/>
      <c r="H2253" s="1151"/>
      <c r="I2253" s="1151"/>
      <c r="J2253" s="1151"/>
      <c r="K2253" s="1151"/>
      <c r="L2253" s="1151"/>
      <c r="M2253" s="1151"/>
      <c r="N2253" s="1151"/>
      <c r="O2253" s="1151"/>
      <c r="P2253" s="1151"/>
      <c r="Q2253" s="1151"/>
      <c r="R2253" s="1151"/>
      <c r="S2253" s="1151"/>
      <c r="T2253" s="1151"/>
      <c r="U2253" s="1152"/>
      <c r="V2253" s="894"/>
      <c r="W2253" s="895"/>
      <c r="X2253" s="896"/>
      <c r="Y2253" s="1201"/>
      <c r="Z2253" s="1202"/>
      <c r="AA2253" s="1203"/>
      <c r="AB2253" s="1201"/>
      <c r="AC2253" s="1202"/>
      <c r="AD2253" s="1203"/>
      <c r="AE2253" s="1207" cm="1">
        <f t="array" ref="AE2253">wwDateDiff(S1_AMH_PreviousProgramStart5,S1_AMH_PreviousProgramEnd5)</f>
        <v>0</v>
      </c>
      <c r="AF2253" s="1208"/>
      <c r="AG2253" s="1209"/>
      <c r="AH2253" s="518"/>
      <c r="AJ2253" s="595"/>
    </row>
    <row r="2254" spans="1:36" hidden="1" x14ac:dyDescent="0.45">
      <c r="A2254" s="518"/>
      <c r="B2254" s="1153"/>
      <c r="C2254" s="1154"/>
      <c r="D2254" s="1154"/>
      <c r="E2254" s="1154"/>
      <c r="F2254" s="1154"/>
      <c r="G2254" s="1154"/>
      <c r="H2254" s="1154"/>
      <c r="I2254" s="1154"/>
      <c r="J2254" s="1154"/>
      <c r="K2254" s="1154"/>
      <c r="L2254" s="1154"/>
      <c r="M2254" s="1154"/>
      <c r="N2254" s="1154"/>
      <c r="O2254" s="1154"/>
      <c r="P2254" s="1154"/>
      <c r="Q2254" s="1154"/>
      <c r="R2254" s="1154"/>
      <c r="S2254" s="1154"/>
      <c r="T2254" s="1154"/>
      <c r="U2254" s="1155"/>
      <c r="V2254" s="897"/>
      <c r="W2254" s="898"/>
      <c r="X2254" s="899"/>
      <c r="Y2254" s="1204"/>
      <c r="Z2254" s="1205"/>
      <c r="AA2254" s="1206"/>
      <c r="AB2254" s="1204"/>
      <c r="AC2254" s="1205"/>
      <c r="AD2254" s="1206"/>
      <c r="AE2254" s="1210"/>
      <c r="AF2254" s="1211"/>
      <c r="AG2254" s="1212"/>
      <c r="AH2254" s="518"/>
      <c r="AJ2254" s="595"/>
    </row>
    <row r="2255" spans="1:36" hidden="1" x14ac:dyDescent="0.45">
      <c r="A2255" s="518"/>
      <c r="B2255" s="518"/>
      <c r="C2255" s="518"/>
      <c r="D2255" s="518"/>
      <c r="E2255" s="518"/>
      <c r="F2255" s="518"/>
      <c r="G2255" s="518"/>
      <c r="H2255" s="518"/>
      <c r="I2255" s="518"/>
      <c r="J2255" s="518"/>
      <c r="K2255" s="518"/>
      <c r="L2255" s="518"/>
      <c r="M2255" s="518"/>
      <c r="N2255" s="518"/>
      <c r="O2255" s="518"/>
      <c r="P2255" s="518"/>
      <c r="Q2255" s="518"/>
      <c r="R2255" s="518"/>
      <c r="S2255" s="518"/>
      <c r="T2255" s="518"/>
      <c r="U2255" s="518"/>
      <c r="V2255" s="518"/>
      <c r="W2255" s="518"/>
      <c r="X2255" s="518"/>
      <c r="Y2255" s="518"/>
      <c r="Z2255" s="518"/>
      <c r="AA2255" s="518"/>
      <c r="AB2255" s="518"/>
      <c r="AC2255" s="518"/>
      <c r="AD2255" s="518"/>
      <c r="AE2255" s="518"/>
      <c r="AF2255" s="518"/>
      <c r="AG2255" s="518"/>
      <c r="AH2255" s="518"/>
      <c r="AJ2255" s="595"/>
    </row>
    <row r="2256" spans="1:36" hidden="1" x14ac:dyDescent="0.45">
      <c r="A2256" s="518"/>
      <c r="B2256" s="1121" t="s">
        <v>1813</v>
      </c>
      <c r="C2256" s="1122"/>
      <c r="D2256" s="1122"/>
      <c r="E2256" s="1122"/>
      <c r="F2256" s="1122"/>
      <c r="G2256" s="1122"/>
      <c r="H2256" s="1122"/>
      <c r="I2256" s="1122"/>
      <c r="J2256" s="1122"/>
      <c r="K2256" s="1122"/>
      <c r="L2256" s="1122"/>
      <c r="M2256" s="1122"/>
      <c r="N2256" s="1122"/>
      <c r="O2256" s="1122"/>
      <c r="P2256" s="1122"/>
      <c r="Q2256" s="1122"/>
      <c r="R2256" s="1122"/>
      <c r="S2256" s="1122"/>
      <c r="T2256" s="1122"/>
      <c r="U2256" s="1122"/>
      <c r="V2256" s="1122"/>
      <c r="W2256" s="1122"/>
      <c r="X2256" s="1122"/>
      <c r="Y2256" s="1122"/>
      <c r="Z2256" s="1122"/>
      <c r="AA2256" s="1122"/>
      <c r="AB2256" s="1122"/>
      <c r="AC2256" s="1122"/>
      <c r="AD2256" s="1122"/>
      <c r="AE2256" s="528"/>
      <c r="AF2256" s="1123"/>
      <c r="AG2256" s="1123"/>
      <c r="AH2256" s="518"/>
      <c r="AJ2256" s="595"/>
    </row>
    <row r="2257" spans="1:36" hidden="1" x14ac:dyDescent="0.45">
      <c r="A2257" s="518"/>
      <c r="B2257" s="1121" t="s">
        <v>1814</v>
      </c>
      <c r="C2257" s="1122"/>
      <c r="D2257" s="1122"/>
      <c r="E2257" s="1122"/>
      <c r="F2257" s="1122"/>
      <c r="G2257" s="1122"/>
      <c r="H2257" s="1122"/>
      <c r="I2257" s="1122"/>
      <c r="J2257" s="1122"/>
      <c r="K2257" s="1122"/>
      <c r="L2257" s="1122"/>
      <c r="M2257" s="1122"/>
      <c r="N2257" s="1122"/>
      <c r="O2257" s="1122"/>
      <c r="P2257" s="1122"/>
      <c r="Q2257" s="1122"/>
      <c r="R2257" s="1122"/>
      <c r="S2257" s="1122"/>
      <c r="T2257" s="1122"/>
      <c r="U2257" s="1122"/>
      <c r="V2257" s="1122"/>
      <c r="W2257" s="1122"/>
      <c r="X2257" s="1122"/>
      <c r="Y2257" s="1122"/>
      <c r="Z2257" s="1122"/>
      <c r="AA2257" s="1122"/>
      <c r="AB2257" s="1122"/>
      <c r="AC2257" s="1122"/>
      <c r="AD2257" s="1122"/>
      <c r="AE2257" s="528"/>
      <c r="AF2257" s="1123"/>
      <c r="AG2257" s="1123"/>
      <c r="AH2257" s="518"/>
      <c r="AJ2257" s="595"/>
    </row>
    <row r="2258" spans="1:36" hidden="1" x14ac:dyDescent="0.45">
      <c r="A2258" s="518"/>
      <c r="B2258" s="1124" t="s">
        <v>1815</v>
      </c>
      <c r="C2258" s="1125"/>
      <c r="D2258" s="1125"/>
      <c r="E2258" s="1125"/>
      <c r="F2258" s="1125"/>
      <c r="G2258" s="1125"/>
      <c r="H2258" s="1125"/>
      <c r="I2258" s="1125"/>
      <c r="J2258" s="1125"/>
      <c r="K2258" s="1125"/>
      <c r="L2258" s="1125"/>
      <c r="M2258" s="1125"/>
      <c r="N2258" s="1125"/>
      <c r="O2258" s="1125"/>
      <c r="P2258" s="1125"/>
      <c r="Q2258" s="1125"/>
      <c r="R2258" s="1125"/>
      <c r="S2258" s="1125"/>
      <c r="T2258" s="1125"/>
      <c r="U2258" s="1125"/>
      <c r="V2258" s="1125"/>
      <c r="W2258" s="1125"/>
      <c r="X2258" s="1125"/>
      <c r="Y2258" s="1125"/>
      <c r="Z2258" s="1125"/>
      <c r="AA2258" s="1125"/>
      <c r="AB2258" s="1125"/>
      <c r="AC2258" s="1125"/>
      <c r="AD2258" s="1125"/>
      <c r="AE2258" s="573"/>
      <c r="AF2258" s="1123"/>
      <c r="AG2258" s="1123"/>
      <c r="AH2258" s="518"/>
      <c r="AJ2258" s="595"/>
    </row>
    <row r="2259" spans="1:36" hidden="1" x14ac:dyDescent="0.45">
      <c r="A2259" s="518"/>
      <c r="B2259" s="518"/>
      <c r="C2259" s="518"/>
      <c r="D2259" s="518"/>
      <c r="E2259" s="518"/>
      <c r="F2259" s="518"/>
      <c r="G2259" s="518"/>
      <c r="H2259" s="518"/>
      <c r="I2259" s="518"/>
      <c r="J2259" s="518"/>
      <c r="K2259" s="518"/>
      <c r="L2259" s="518"/>
      <c r="M2259" s="518"/>
      <c r="N2259" s="518"/>
      <c r="O2259" s="518"/>
      <c r="P2259" s="518"/>
      <c r="Q2259" s="518"/>
      <c r="R2259" s="518"/>
      <c r="S2259" s="518"/>
      <c r="T2259" s="518"/>
      <c r="U2259" s="518"/>
      <c r="V2259" s="518"/>
      <c r="W2259" s="518"/>
      <c r="X2259" s="518"/>
      <c r="Y2259" s="518"/>
      <c r="Z2259" s="518"/>
      <c r="AA2259" s="518"/>
      <c r="AB2259" s="518"/>
      <c r="AC2259" s="518"/>
      <c r="AD2259" s="518"/>
      <c r="AE2259" s="518"/>
      <c r="AF2259" s="518"/>
      <c r="AG2259" s="518"/>
      <c r="AH2259" s="518"/>
      <c r="AJ2259" s="595"/>
    </row>
    <row r="2260" spans="1:36" hidden="1" x14ac:dyDescent="0.45">
      <c r="A2260" s="518"/>
      <c r="B2260" s="518"/>
      <c r="C2260" s="518"/>
      <c r="D2260" s="518"/>
      <c r="E2260" s="518"/>
      <c r="F2260" s="518"/>
      <c r="G2260" s="518"/>
      <c r="H2260" s="518"/>
      <c r="I2260" s="518"/>
      <c r="J2260" s="518"/>
      <c r="K2260" s="518"/>
      <c r="L2260" s="518"/>
      <c r="M2260" s="518"/>
      <c r="N2260" s="518"/>
      <c r="O2260" s="518"/>
      <c r="P2260" s="518"/>
      <c r="Q2260" s="518"/>
      <c r="R2260" s="518"/>
      <c r="S2260" s="518"/>
      <c r="T2260" s="518"/>
      <c r="U2260" s="518"/>
      <c r="V2260" s="518"/>
      <c r="W2260" s="518"/>
      <c r="X2260" s="518"/>
      <c r="Y2260" s="518"/>
      <c r="Z2260" s="518"/>
      <c r="AA2260" s="518"/>
      <c r="AB2260" s="518"/>
      <c r="AC2260" s="518"/>
      <c r="AD2260" s="518"/>
      <c r="AE2260" s="518"/>
      <c r="AF2260" s="518"/>
      <c r="AG2260" s="518"/>
      <c r="AH2260" s="518"/>
      <c r="AJ2260" s="595"/>
    </row>
    <row r="2261" spans="1:36" hidden="1" x14ac:dyDescent="0.45">
      <c r="A2261" s="518"/>
      <c r="B2261" s="907" t="s">
        <v>25</v>
      </c>
      <c r="C2261" s="907"/>
      <c r="D2261" s="907"/>
      <c r="E2261" s="907"/>
      <c r="F2261" s="907"/>
      <c r="G2261" s="907"/>
      <c r="H2261" s="907"/>
      <c r="I2261" s="907"/>
      <c r="J2261" s="907"/>
      <c r="K2261" s="907"/>
      <c r="L2261" s="907"/>
      <c r="M2261" s="907"/>
      <c r="N2261" s="907"/>
      <c r="O2261" s="907"/>
      <c r="P2261" s="907"/>
      <c r="Q2261" s="907"/>
      <c r="R2261" s="907"/>
      <c r="S2261" s="907"/>
      <c r="T2261" s="907"/>
      <c r="U2261" s="907"/>
      <c r="V2261" s="907"/>
      <c r="W2261" s="907"/>
      <c r="X2261" s="907"/>
      <c r="Y2261" s="907"/>
      <c r="Z2261" s="907"/>
      <c r="AA2261" s="907"/>
      <c r="AB2261" s="907"/>
      <c r="AC2261" s="907"/>
      <c r="AD2261" s="907"/>
      <c r="AE2261" s="907"/>
      <c r="AF2261" s="907"/>
      <c r="AG2261" s="907"/>
      <c r="AH2261" s="518"/>
      <c r="AJ2261" s="595"/>
    </row>
    <row r="2262" spans="1:36" hidden="1" x14ac:dyDescent="0.45">
      <c r="A2262" s="518"/>
      <c r="B2262" s="907" t="s">
        <v>1816</v>
      </c>
      <c r="C2262" s="907"/>
      <c r="D2262" s="907"/>
      <c r="E2262" s="907"/>
      <c r="F2262" s="907"/>
      <c r="G2262" s="907"/>
      <c r="H2262" s="907"/>
      <c r="I2262" s="907"/>
      <c r="J2262" s="907"/>
      <c r="K2262" s="907"/>
      <c r="L2262" s="907"/>
      <c r="M2262" s="907"/>
      <c r="N2262" s="907"/>
      <c r="O2262" s="907"/>
      <c r="P2262" s="907"/>
      <c r="Q2262" s="907"/>
      <c r="R2262" s="907"/>
      <c r="S2262" s="907"/>
      <c r="T2262" s="907"/>
      <c r="U2262" s="907"/>
      <c r="V2262" s="907"/>
      <c r="W2262" s="907"/>
      <c r="X2262" s="907"/>
      <c r="Y2262" s="907"/>
      <c r="Z2262" s="907"/>
      <c r="AA2262" s="907"/>
      <c r="AB2262" s="907"/>
      <c r="AC2262" s="907"/>
      <c r="AD2262" s="907"/>
      <c r="AE2262" s="907"/>
      <c r="AF2262" s="907"/>
      <c r="AG2262" s="907"/>
      <c r="AH2262" s="518"/>
      <c r="AJ2262" s="595"/>
    </row>
    <row r="2263" spans="1:36" hidden="1" x14ac:dyDescent="0.45">
      <c r="A2263" s="518"/>
      <c r="B2263" s="518"/>
      <c r="C2263" s="518"/>
      <c r="D2263" s="518"/>
      <c r="E2263" s="518"/>
      <c r="F2263" s="518"/>
      <c r="G2263" s="518"/>
      <c r="H2263" s="518"/>
      <c r="I2263" s="518"/>
      <c r="J2263" s="518"/>
      <c r="K2263" s="518"/>
      <c r="L2263" s="518"/>
      <c r="M2263" s="518"/>
      <c r="N2263" s="518"/>
      <c r="O2263" s="518"/>
      <c r="P2263" s="518"/>
      <c r="Q2263" s="518"/>
      <c r="R2263" s="518"/>
      <c r="S2263" s="518"/>
      <c r="T2263" s="518"/>
      <c r="U2263" s="518"/>
      <c r="V2263" s="518"/>
      <c r="W2263" s="518"/>
      <c r="X2263" s="518"/>
      <c r="Y2263" s="518"/>
      <c r="Z2263" s="518"/>
      <c r="AA2263" s="518"/>
      <c r="AB2263" s="518"/>
      <c r="AC2263" s="518"/>
      <c r="AD2263" s="518"/>
      <c r="AE2263" s="518"/>
      <c r="AF2263" s="518"/>
      <c r="AG2263" s="518"/>
      <c r="AH2263" s="518"/>
      <c r="AJ2263" s="595"/>
    </row>
    <row r="2264" spans="1:36" hidden="1" x14ac:dyDescent="0.45">
      <c r="A2264" s="518"/>
      <c r="B2264" s="907" t="s">
        <v>100</v>
      </c>
      <c r="C2264" s="907"/>
      <c r="D2264" s="907"/>
      <c r="E2264" s="907"/>
      <c r="F2264" s="907"/>
      <c r="G2264" s="907"/>
      <c r="H2264" s="907"/>
      <c r="I2264" s="907"/>
      <c r="J2264" s="907"/>
      <c r="K2264" s="907"/>
      <c r="L2264" s="907"/>
      <c r="M2264" s="907"/>
      <c r="N2264" s="907"/>
      <c r="O2264" s="907"/>
      <c r="P2264" s="907"/>
      <c r="Q2264" s="907"/>
      <c r="R2264" s="907"/>
      <c r="S2264" s="907"/>
      <c r="T2264" s="907"/>
      <c r="U2264" s="907"/>
      <c r="V2264" s="907"/>
      <c r="W2264" s="907"/>
      <c r="X2264" s="907"/>
      <c r="Y2264" s="907"/>
      <c r="Z2264" s="907"/>
      <c r="AA2264" s="907"/>
      <c r="AB2264" s="907"/>
      <c r="AC2264" s="907"/>
      <c r="AD2264" s="907"/>
      <c r="AE2264" s="907"/>
      <c r="AF2264" s="907"/>
      <c r="AG2264" s="907"/>
      <c r="AH2264" s="518"/>
      <c r="AJ2264" s="595"/>
    </row>
    <row r="2265" spans="1:36" hidden="1" x14ac:dyDescent="0.45">
      <c r="A2265" s="518"/>
      <c r="B2265" s="1150"/>
      <c r="C2265" s="1151"/>
      <c r="D2265" s="1151"/>
      <c r="E2265" s="1151"/>
      <c r="F2265" s="1151"/>
      <c r="G2265" s="1151"/>
      <c r="H2265" s="1151"/>
      <c r="I2265" s="1151"/>
      <c r="J2265" s="1151"/>
      <c r="K2265" s="1151"/>
      <c r="L2265" s="1151"/>
      <c r="M2265" s="1151"/>
      <c r="N2265" s="1151"/>
      <c r="O2265" s="1151"/>
      <c r="P2265" s="1151"/>
      <c r="Q2265" s="1151"/>
      <c r="R2265" s="1151"/>
      <c r="S2265" s="1151"/>
      <c r="T2265" s="1151"/>
      <c r="U2265" s="1151"/>
      <c r="V2265" s="1151"/>
      <c r="W2265" s="1151"/>
      <c r="X2265" s="1151"/>
      <c r="Y2265" s="1151"/>
      <c r="Z2265" s="1151"/>
      <c r="AA2265" s="1151"/>
      <c r="AB2265" s="1151"/>
      <c r="AC2265" s="1151"/>
      <c r="AD2265" s="1151"/>
      <c r="AE2265" s="1151"/>
      <c r="AF2265" s="1151"/>
      <c r="AG2265" s="1152"/>
      <c r="AH2265" s="518"/>
      <c r="AJ2265" s="595"/>
    </row>
    <row r="2266" spans="1:36" hidden="1" x14ac:dyDescent="0.45">
      <c r="A2266" s="518"/>
      <c r="B2266" s="1245"/>
      <c r="C2266" s="1246"/>
      <c r="D2266" s="1246"/>
      <c r="E2266" s="1246"/>
      <c r="F2266" s="1246"/>
      <c r="G2266" s="1246"/>
      <c r="H2266" s="1246"/>
      <c r="I2266" s="1246"/>
      <c r="J2266" s="1246"/>
      <c r="K2266" s="1246"/>
      <c r="L2266" s="1246"/>
      <c r="M2266" s="1246"/>
      <c r="N2266" s="1246"/>
      <c r="O2266" s="1246"/>
      <c r="P2266" s="1246"/>
      <c r="Q2266" s="1246"/>
      <c r="R2266" s="1246"/>
      <c r="S2266" s="1246"/>
      <c r="T2266" s="1246"/>
      <c r="U2266" s="1246"/>
      <c r="V2266" s="1246"/>
      <c r="W2266" s="1246"/>
      <c r="X2266" s="1246"/>
      <c r="Y2266" s="1246"/>
      <c r="Z2266" s="1246"/>
      <c r="AA2266" s="1246"/>
      <c r="AB2266" s="1246"/>
      <c r="AC2266" s="1246"/>
      <c r="AD2266" s="1246"/>
      <c r="AE2266" s="1246"/>
      <c r="AF2266" s="1246"/>
      <c r="AG2266" s="1247"/>
      <c r="AH2266" s="518"/>
      <c r="AJ2266" s="595"/>
    </row>
    <row r="2267" spans="1:36" hidden="1" x14ac:dyDescent="0.45">
      <c r="A2267" s="518"/>
      <c r="B2267" s="1245"/>
      <c r="C2267" s="1246"/>
      <c r="D2267" s="1246"/>
      <c r="E2267" s="1246"/>
      <c r="F2267" s="1246"/>
      <c r="G2267" s="1246"/>
      <c r="H2267" s="1246"/>
      <c r="I2267" s="1246"/>
      <c r="J2267" s="1246"/>
      <c r="K2267" s="1246"/>
      <c r="L2267" s="1246"/>
      <c r="M2267" s="1246"/>
      <c r="N2267" s="1246"/>
      <c r="O2267" s="1246"/>
      <c r="P2267" s="1246"/>
      <c r="Q2267" s="1246"/>
      <c r="R2267" s="1246"/>
      <c r="S2267" s="1246"/>
      <c r="T2267" s="1246"/>
      <c r="U2267" s="1246"/>
      <c r="V2267" s="1246"/>
      <c r="W2267" s="1246"/>
      <c r="X2267" s="1246"/>
      <c r="Y2267" s="1246"/>
      <c r="Z2267" s="1246"/>
      <c r="AA2267" s="1246"/>
      <c r="AB2267" s="1246"/>
      <c r="AC2267" s="1246"/>
      <c r="AD2267" s="1246"/>
      <c r="AE2267" s="1246"/>
      <c r="AF2267" s="1246"/>
      <c r="AG2267" s="1247"/>
      <c r="AH2267" s="518"/>
      <c r="AJ2267" s="595"/>
    </row>
    <row r="2268" spans="1:36" hidden="1" x14ac:dyDescent="0.45">
      <c r="A2268" s="518"/>
      <c r="B2268" s="1245"/>
      <c r="C2268" s="1246"/>
      <c r="D2268" s="1246"/>
      <c r="E2268" s="1246"/>
      <c r="F2268" s="1246"/>
      <c r="G2268" s="1246"/>
      <c r="H2268" s="1246"/>
      <c r="I2268" s="1246"/>
      <c r="J2268" s="1246"/>
      <c r="K2268" s="1246"/>
      <c r="L2268" s="1246"/>
      <c r="M2268" s="1246"/>
      <c r="N2268" s="1246"/>
      <c r="O2268" s="1246"/>
      <c r="P2268" s="1246"/>
      <c r="Q2268" s="1246"/>
      <c r="R2268" s="1246"/>
      <c r="S2268" s="1246"/>
      <c r="T2268" s="1246"/>
      <c r="U2268" s="1246"/>
      <c r="V2268" s="1246"/>
      <c r="W2268" s="1246"/>
      <c r="X2268" s="1246"/>
      <c r="Y2268" s="1246"/>
      <c r="Z2268" s="1246"/>
      <c r="AA2268" s="1246"/>
      <c r="AB2268" s="1246"/>
      <c r="AC2268" s="1246"/>
      <c r="AD2268" s="1246"/>
      <c r="AE2268" s="1246"/>
      <c r="AF2268" s="1246"/>
      <c r="AG2268" s="1247"/>
      <c r="AH2268" s="518"/>
      <c r="AJ2268" s="595"/>
    </row>
    <row r="2269" spans="1:36" hidden="1" x14ac:dyDescent="0.45">
      <c r="A2269" s="518"/>
      <c r="B2269" s="1245"/>
      <c r="C2269" s="1246"/>
      <c r="D2269" s="1246"/>
      <c r="E2269" s="1246"/>
      <c r="F2269" s="1246"/>
      <c r="G2269" s="1246"/>
      <c r="H2269" s="1246"/>
      <c r="I2269" s="1246"/>
      <c r="J2269" s="1246"/>
      <c r="K2269" s="1246"/>
      <c r="L2269" s="1246"/>
      <c r="M2269" s="1246"/>
      <c r="N2269" s="1246"/>
      <c r="O2269" s="1246"/>
      <c r="P2269" s="1246"/>
      <c r="Q2269" s="1246"/>
      <c r="R2269" s="1246"/>
      <c r="S2269" s="1246"/>
      <c r="T2269" s="1246"/>
      <c r="U2269" s="1246"/>
      <c r="V2269" s="1246"/>
      <c r="W2269" s="1246"/>
      <c r="X2269" s="1246"/>
      <c r="Y2269" s="1246"/>
      <c r="Z2269" s="1246"/>
      <c r="AA2269" s="1246"/>
      <c r="AB2269" s="1246"/>
      <c r="AC2269" s="1246"/>
      <c r="AD2269" s="1246"/>
      <c r="AE2269" s="1246"/>
      <c r="AF2269" s="1246"/>
      <c r="AG2269" s="1247"/>
      <c r="AH2269" s="518"/>
      <c r="AJ2269" s="595"/>
    </row>
    <row r="2270" spans="1:36" hidden="1" x14ac:dyDescent="0.45">
      <c r="A2270" s="518"/>
      <c r="B2270" s="1245"/>
      <c r="C2270" s="1246"/>
      <c r="D2270" s="1246"/>
      <c r="E2270" s="1246"/>
      <c r="F2270" s="1246"/>
      <c r="G2270" s="1246"/>
      <c r="H2270" s="1246"/>
      <c r="I2270" s="1246"/>
      <c r="J2270" s="1246"/>
      <c r="K2270" s="1246"/>
      <c r="L2270" s="1246"/>
      <c r="M2270" s="1246"/>
      <c r="N2270" s="1246"/>
      <c r="O2270" s="1246"/>
      <c r="P2270" s="1246"/>
      <c r="Q2270" s="1246"/>
      <c r="R2270" s="1246"/>
      <c r="S2270" s="1246"/>
      <c r="T2270" s="1246"/>
      <c r="U2270" s="1246"/>
      <c r="V2270" s="1246"/>
      <c r="W2270" s="1246"/>
      <c r="X2270" s="1246"/>
      <c r="Y2270" s="1246"/>
      <c r="Z2270" s="1246"/>
      <c r="AA2270" s="1246"/>
      <c r="AB2270" s="1246"/>
      <c r="AC2270" s="1246"/>
      <c r="AD2270" s="1246"/>
      <c r="AE2270" s="1246"/>
      <c r="AF2270" s="1246"/>
      <c r="AG2270" s="1247"/>
      <c r="AH2270" s="518"/>
      <c r="AJ2270" s="595"/>
    </row>
    <row r="2271" spans="1:36" hidden="1" x14ac:dyDescent="0.45">
      <c r="A2271" s="518"/>
      <c r="B2271" s="1245"/>
      <c r="C2271" s="1246"/>
      <c r="D2271" s="1246"/>
      <c r="E2271" s="1246"/>
      <c r="F2271" s="1246"/>
      <c r="G2271" s="1246"/>
      <c r="H2271" s="1246"/>
      <c r="I2271" s="1246"/>
      <c r="J2271" s="1246"/>
      <c r="K2271" s="1246"/>
      <c r="L2271" s="1246"/>
      <c r="M2271" s="1246"/>
      <c r="N2271" s="1246"/>
      <c r="O2271" s="1246"/>
      <c r="P2271" s="1246"/>
      <c r="Q2271" s="1246"/>
      <c r="R2271" s="1246"/>
      <c r="S2271" s="1246"/>
      <c r="T2271" s="1246"/>
      <c r="U2271" s="1246"/>
      <c r="V2271" s="1246"/>
      <c r="W2271" s="1246"/>
      <c r="X2271" s="1246"/>
      <c r="Y2271" s="1246"/>
      <c r="Z2271" s="1246"/>
      <c r="AA2271" s="1246"/>
      <c r="AB2271" s="1246"/>
      <c r="AC2271" s="1246"/>
      <c r="AD2271" s="1246"/>
      <c r="AE2271" s="1246"/>
      <c r="AF2271" s="1246"/>
      <c r="AG2271" s="1247"/>
      <c r="AH2271" s="518"/>
      <c r="AJ2271" s="595"/>
    </row>
    <row r="2272" spans="1:36" hidden="1" x14ac:dyDescent="0.45">
      <c r="A2272" s="518"/>
      <c r="B2272" s="1245"/>
      <c r="C2272" s="1246"/>
      <c r="D2272" s="1246"/>
      <c r="E2272" s="1246"/>
      <c r="F2272" s="1246"/>
      <c r="G2272" s="1246"/>
      <c r="H2272" s="1246"/>
      <c r="I2272" s="1246"/>
      <c r="J2272" s="1246"/>
      <c r="K2272" s="1246"/>
      <c r="L2272" s="1246"/>
      <c r="M2272" s="1246"/>
      <c r="N2272" s="1246"/>
      <c r="O2272" s="1246"/>
      <c r="P2272" s="1246"/>
      <c r="Q2272" s="1246"/>
      <c r="R2272" s="1246"/>
      <c r="S2272" s="1246"/>
      <c r="T2272" s="1246"/>
      <c r="U2272" s="1246"/>
      <c r="V2272" s="1246"/>
      <c r="W2272" s="1246"/>
      <c r="X2272" s="1246"/>
      <c r="Y2272" s="1246"/>
      <c r="Z2272" s="1246"/>
      <c r="AA2272" s="1246"/>
      <c r="AB2272" s="1246"/>
      <c r="AC2272" s="1246"/>
      <c r="AD2272" s="1246"/>
      <c r="AE2272" s="1246"/>
      <c r="AF2272" s="1246"/>
      <c r="AG2272" s="1247"/>
      <c r="AH2272" s="518"/>
      <c r="AJ2272" s="595"/>
    </row>
    <row r="2273" spans="1:36" hidden="1" x14ac:dyDescent="0.45">
      <c r="A2273" s="518"/>
      <c r="B2273" s="1245"/>
      <c r="C2273" s="1246"/>
      <c r="D2273" s="1246"/>
      <c r="E2273" s="1246"/>
      <c r="F2273" s="1246"/>
      <c r="G2273" s="1246"/>
      <c r="H2273" s="1246"/>
      <c r="I2273" s="1246"/>
      <c r="J2273" s="1246"/>
      <c r="K2273" s="1246"/>
      <c r="L2273" s="1246"/>
      <c r="M2273" s="1246"/>
      <c r="N2273" s="1246"/>
      <c r="O2273" s="1246"/>
      <c r="P2273" s="1246"/>
      <c r="Q2273" s="1246"/>
      <c r="R2273" s="1246"/>
      <c r="S2273" s="1246"/>
      <c r="T2273" s="1246"/>
      <c r="U2273" s="1246"/>
      <c r="V2273" s="1246"/>
      <c r="W2273" s="1246"/>
      <c r="X2273" s="1246"/>
      <c r="Y2273" s="1246"/>
      <c r="Z2273" s="1246"/>
      <c r="AA2273" s="1246"/>
      <c r="AB2273" s="1246"/>
      <c r="AC2273" s="1246"/>
      <c r="AD2273" s="1246"/>
      <c r="AE2273" s="1246"/>
      <c r="AF2273" s="1246"/>
      <c r="AG2273" s="1247"/>
      <c r="AH2273" s="518"/>
      <c r="AJ2273" s="595"/>
    </row>
    <row r="2274" spans="1:36" hidden="1" x14ac:dyDescent="0.45">
      <c r="A2274" s="518"/>
      <c r="B2274" s="1245"/>
      <c r="C2274" s="1246"/>
      <c r="D2274" s="1246"/>
      <c r="E2274" s="1246"/>
      <c r="F2274" s="1246"/>
      <c r="G2274" s="1246"/>
      <c r="H2274" s="1246"/>
      <c r="I2274" s="1246"/>
      <c r="J2274" s="1246"/>
      <c r="K2274" s="1246"/>
      <c r="L2274" s="1246"/>
      <c r="M2274" s="1246"/>
      <c r="N2274" s="1246"/>
      <c r="O2274" s="1246"/>
      <c r="P2274" s="1246"/>
      <c r="Q2274" s="1246"/>
      <c r="R2274" s="1246"/>
      <c r="S2274" s="1246"/>
      <c r="T2274" s="1246"/>
      <c r="U2274" s="1246"/>
      <c r="V2274" s="1246"/>
      <c r="W2274" s="1246"/>
      <c r="X2274" s="1246"/>
      <c r="Y2274" s="1246"/>
      <c r="Z2274" s="1246"/>
      <c r="AA2274" s="1246"/>
      <c r="AB2274" s="1246"/>
      <c r="AC2274" s="1246"/>
      <c r="AD2274" s="1246"/>
      <c r="AE2274" s="1246"/>
      <c r="AF2274" s="1246"/>
      <c r="AG2274" s="1247"/>
      <c r="AH2274" s="518"/>
      <c r="AJ2274" s="595"/>
    </row>
    <row r="2275" spans="1:36" hidden="1" x14ac:dyDescent="0.45">
      <c r="A2275" s="518"/>
      <c r="B2275" s="1245"/>
      <c r="C2275" s="1246"/>
      <c r="D2275" s="1246"/>
      <c r="E2275" s="1246"/>
      <c r="F2275" s="1246"/>
      <c r="G2275" s="1246"/>
      <c r="H2275" s="1246"/>
      <c r="I2275" s="1246"/>
      <c r="J2275" s="1246"/>
      <c r="K2275" s="1246"/>
      <c r="L2275" s="1246"/>
      <c r="M2275" s="1246"/>
      <c r="N2275" s="1246"/>
      <c r="O2275" s="1246"/>
      <c r="P2275" s="1246"/>
      <c r="Q2275" s="1246"/>
      <c r="R2275" s="1246"/>
      <c r="S2275" s="1246"/>
      <c r="T2275" s="1246"/>
      <c r="U2275" s="1246"/>
      <c r="V2275" s="1246"/>
      <c r="W2275" s="1246"/>
      <c r="X2275" s="1246"/>
      <c r="Y2275" s="1246"/>
      <c r="Z2275" s="1246"/>
      <c r="AA2275" s="1246"/>
      <c r="AB2275" s="1246"/>
      <c r="AC2275" s="1246"/>
      <c r="AD2275" s="1246"/>
      <c r="AE2275" s="1246"/>
      <c r="AF2275" s="1246"/>
      <c r="AG2275" s="1247"/>
      <c r="AH2275" s="518"/>
      <c r="AJ2275" s="595"/>
    </row>
    <row r="2276" spans="1:36" hidden="1" x14ac:dyDescent="0.45">
      <c r="A2276" s="518"/>
      <c r="B2276" s="1245"/>
      <c r="C2276" s="1246"/>
      <c r="D2276" s="1246"/>
      <c r="E2276" s="1246"/>
      <c r="F2276" s="1246"/>
      <c r="G2276" s="1246"/>
      <c r="H2276" s="1246"/>
      <c r="I2276" s="1246"/>
      <c r="J2276" s="1246"/>
      <c r="K2276" s="1246"/>
      <c r="L2276" s="1246"/>
      <c r="M2276" s="1246"/>
      <c r="N2276" s="1246"/>
      <c r="O2276" s="1246"/>
      <c r="P2276" s="1246"/>
      <c r="Q2276" s="1246"/>
      <c r="R2276" s="1246"/>
      <c r="S2276" s="1246"/>
      <c r="T2276" s="1246"/>
      <c r="U2276" s="1246"/>
      <c r="V2276" s="1246"/>
      <c r="W2276" s="1246"/>
      <c r="X2276" s="1246"/>
      <c r="Y2276" s="1246"/>
      <c r="Z2276" s="1246"/>
      <c r="AA2276" s="1246"/>
      <c r="AB2276" s="1246"/>
      <c r="AC2276" s="1246"/>
      <c r="AD2276" s="1246"/>
      <c r="AE2276" s="1246"/>
      <c r="AF2276" s="1246"/>
      <c r="AG2276" s="1247"/>
      <c r="AH2276" s="518"/>
      <c r="AJ2276" s="595"/>
    </row>
    <row r="2277" spans="1:36" hidden="1" x14ac:dyDescent="0.45">
      <c r="A2277" s="518"/>
      <c r="B2277" s="1245"/>
      <c r="C2277" s="1246"/>
      <c r="D2277" s="1246"/>
      <c r="E2277" s="1246"/>
      <c r="F2277" s="1246"/>
      <c r="G2277" s="1246"/>
      <c r="H2277" s="1246"/>
      <c r="I2277" s="1246"/>
      <c r="J2277" s="1246"/>
      <c r="K2277" s="1246"/>
      <c r="L2277" s="1246"/>
      <c r="M2277" s="1246"/>
      <c r="N2277" s="1246"/>
      <c r="O2277" s="1246"/>
      <c r="P2277" s="1246"/>
      <c r="Q2277" s="1246"/>
      <c r="R2277" s="1246"/>
      <c r="S2277" s="1246"/>
      <c r="T2277" s="1246"/>
      <c r="U2277" s="1246"/>
      <c r="V2277" s="1246"/>
      <c r="W2277" s="1246"/>
      <c r="X2277" s="1246"/>
      <c r="Y2277" s="1246"/>
      <c r="Z2277" s="1246"/>
      <c r="AA2277" s="1246"/>
      <c r="AB2277" s="1246"/>
      <c r="AC2277" s="1246"/>
      <c r="AD2277" s="1246"/>
      <c r="AE2277" s="1246"/>
      <c r="AF2277" s="1246"/>
      <c r="AG2277" s="1247"/>
      <c r="AH2277" s="518"/>
      <c r="AJ2277" s="595"/>
    </row>
    <row r="2278" spans="1:36" hidden="1" x14ac:dyDescent="0.45">
      <c r="A2278" s="518"/>
      <c r="B2278" s="1245"/>
      <c r="C2278" s="1246"/>
      <c r="D2278" s="1246"/>
      <c r="E2278" s="1246"/>
      <c r="F2278" s="1246"/>
      <c r="G2278" s="1246"/>
      <c r="H2278" s="1246"/>
      <c r="I2278" s="1246"/>
      <c r="J2278" s="1246"/>
      <c r="K2278" s="1246"/>
      <c r="L2278" s="1246"/>
      <c r="M2278" s="1246"/>
      <c r="N2278" s="1246"/>
      <c r="O2278" s="1246"/>
      <c r="P2278" s="1246"/>
      <c r="Q2278" s="1246"/>
      <c r="R2278" s="1246"/>
      <c r="S2278" s="1246"/>
      <c r="T2278" s="1246"/>
      <c r="U2278" s="1246"/>
      <c r="V2278" s="1246"/>
      <c r="W2278" s="1246"/>
      <c r="X2278" s="1246"/>
      <c r="Y2278" s="1246"/>
      <c r="Z2278" s="1246"/>
      <c r="AA2278" s="1246"/>
      <c r="AB2278" s="1246"/>
      <c r="AC2278" s="1246"/>
      <c r="AD2278" s="1246"/>
      <c r="AE2278" s="1246"/>
      <c r="AF2278" s="1246"/>
      <c r="AG2278" s="1247"/>
      <c r="AH2278" s="518"/>
      <c r="AJ2278" s="595"/>
    </row>
    <row r="2279" spans="1:36" hidden="1" x14ac:dyDescent="0.45">
      <c r="A2279" s="518"/>
      <c r="B2279" s="1245"/>
      <c r="C2279" s="1246"/>
      <c r="D2279" s="1246"/>
      <c r="E2279" s="1246"/>
      <c r="F2279" s="1246"/>
      <c r="G2279" s="1246"/>
      <c r="H2279" s="1246"/>
      <c r="I2279" s="1246"/>
      <c r="J2279" s="1246"/>
      <c r="K2279" s="1246"/>
      <c r="L2279" s="1246"/>
      <c r="M2279" s="1246"/>
      <c r="N2279" s="1246"/>
      <c r="O2279" s="1246"/>
      <c r="P2279" s="1246"/>
      <c r="Q2279" s="1246"/>
      <c r="R2279" s="1246"/>
      <c r="S2279" s="1246"/>
      <c r="T2279" s="1246"/>
      <c r="U2279" s="1246"/>
      <c r="V2279" s="1246"/>
      <c r="W2279" s="1246"/>
      <c r="X2279" s="1246"/>
      <c r="Y2279" s="1246"/>
      <c r="Z2279" s="1246"/>
      <c r="AA2279" s="1246"/>
      <c r="AB2279" s="1246"/>
      <c r="AC2279" s="1246"/>
      <c r="AD2279" s="1246"/>
      <c r="AE2279" s="1246"/>
      <c r="AF2279" s="1246"/>
      <c r="AG2279" s="1247"/>
      <c r="AH2279" s="518"/>
      <c r="AJ2279" s="595"/>
    </row>
    <row r="2280" spans="1:36" hidden="1" x14ac:dyDescent="0.45">
      <c r="A2280" s="518"/>
      <c r="B2280" s="1245"/>
      <c r="C2280" s="1246"/>
      <c r="D2280" s="1246"/>
      <c r="E2280" s="1246"/>
      <c r="F2280" s="1246"/>
      <c r="G2280" s="1246"/>
      <c r="H2280" s="1246"/>
      <c r="I2280" s="1246"/>
      <c r="J2280" s="1246"/>
      <c r="K2280" s="1246"/>
      <c r="L2280" s="1246"/>
      <c r="M2280" s="1246"/>
      <c r="N2280" s="1246"/>
      <c r="O2280" s="1246"/>
      <c r="P2280" s="1246"/>
      <c r="Q2280" s="1246"/>
      <c r="R2280" s="1246"/>
      <c r="S2280" s="1246"/>
      <c r="T2280" s="1246"/>
      <c r="U2280" s="1246"/>
      <c r="V2280" s="1246"/>
      <c r="W2280" s="1246"/>
      <c r="X2280" s="1246"/>
      <c r="Y2280" s="1246"/>
      <c r="Z2280" s="1246"/>
      <c r="AA2280" s="1246"/>
      <c r="AB2280" s="1246"/>
      <c r="AC2280" s="1246"/>
      <c r="AD2280" s="1246"/>
      <c r="AE2280" s="1246"/>
      <c r="AF2280" s="1246"/>
      <c r="AG2280" s="1247"/>
      <c r="AH2280" s="518"/>
      <c r="AJ2280" s="595"/>
    </row>
    <row r="2281" spans="1:36" hidden="1" x14ac:dyDescent="0.45">
      <c r="A2281" s="518"/>
      <c r="B2281" s="1245"/>
      <c r="C2281" s="1246"/>
      <c r="D2281" s="1246"/>
      <c r="E2281" s="1246"/>
      <c r="F2281" s="1246"/>
      <c r="G2281" s="1246"/>
      <c r="H2281" s="1246"/>
      <c r="I2281" s="1246"/>
      <c r="J2281" s="1246"/>
      <c r="K2281" s="1246"/>
      <c r="L2281" s="1246"/>
      <c r="M2281" s="1246"/>
      <c r="N2281" s="1246"/>
      <c r="O2281" s="1246"/>
      <c r="P2281" s="1246"/>
      <c r="Q2281" s="1246"/>
      <c r="R2281" s="1246"/>
      <c r="S2281" s="1246"/>
      <c r="T2281" s="1246"/>
      <c r="U2281" s="1246"/>
      <c r="V2281" s="1246"/>
      <c r="W2281" s="1246"/>
      <c r="X2281" s="1246"/>
      <c r="Y2281" s="1246"/>
      <c r="Z2281" s="1246"/>
      <c r="AA2281" s="1246"/>
      <c r="AB2281" s="1246"/>
      <c r="AC2281" s="1246"/>
      <c r="AD2281" s="1246"/>
      <c r="AE2281" s="1246"/>
      <c r="AF2281" s="1246"/>
      <c r="AG2281" s="1247"/>
      <c r="AH2281" s="518"/>
      <c r="AJ2281" s="595"/>
    </row>
    <row r="2282" spans="1:36" hidden="1" x14ac:dyDescent="0.45">
      <c r="A2282" s="518"/>
      <c r="B2282" s="1245"/>
      <c r="C2282" s="1246"/>
      <c r="D2282" s="1246"/>
      <c r="E2282" s="1246"/>
      <c r="F2282" s="1246"/>
      <c r="G2282" s="1246"/>
      <c r="H2282" s="1246"/>
      <c r="I2282" s="1246"/>
      <c r="J2282" s="1246"/>
      <c r="K2282" s="1246"/>
      <c r="L2282" s="1246"/>
      <c r="M2282" s="1246"/>
      <c r="N2282" s="1246"/>
      <c r="O2282" s="1246"/>
      <c r="P2282" s="1246"/>
      <c r="Q2282" s="1246"/>
      <c r="R2282" s="1246"/>
      <c r="S2282" s="1246"/>
      <c r="T2282" s="1246"/>
      <c r="U2282" s="1246"/>
      <c r="V2282" s="1246"/>
      <c r="W2282" s="1246"/>
      <c r="X2282" s="1246"/>
      <c r="Y2282" s="1246"/>
      <c r="Z2282" s="1246"/>
      <c r="AA2282" s="1246"/>
      <c r="AB2282" s="1246"/>
      <c r="AC2282" s="1246"/>
      <c r="AD2282" s="1246"/>
      <c r="AE2282" s="1246"/>
      <c r="AF2282" s="1246"/>
      <c r="AG2282" s="1247"/>
      <c r="AH2282" s="518"/>
      <c r="AJ2282" s="595"/>
    </row>
    <row r="2283" spans="1:36" hidden="1" x14ac:dyDescent="0.45">
      <c r="A2283" s="518"/>
      <c r="B2283" s="1245"/>
      <c r="C2283" s="1246"/>
      <c r="D2283" s="1246"/>
      <c r="E2283" s="1246"/>
      <c r="F2283" s="1246"/>
      <c r="G2283" s="1246"/>
      <c r="H2283" s="1246"/>
      <c r="I2283" s="1246"/>
      <c r="J2283" s="1246"/>
      <c r="K2283" s="1246"/>
      <c r="L2283" s="1246"/>
      <c r="M2283" s="1246"/>
      <c r="N2283" s="1246"/>
      <c r="O2283" s="1246"/>
      <c r="P2283" s="1246"/>
      <c r="Q2283" s="1246"/>
      <c r="R2283" s="1246"/>
      <c r="S2283" s="1246"/>
      <c r="T2283" s="1246"/>
      <c r="U2283" s="1246"/>
      <c r="V2283" s="1246"/>
      <c r="W2283" s="1246"/>
      <c r="X2283" s="1246"/>
      <c r="Y2283" s="1246"/>
      <c r="Z2283" s="1246"/>
      <c r="AA2283" s="1246"/>
      <c r="AB2283" s="1246"/>
      <c r="AC2283" s="1246"/>
      <c r="AD2283" s="1246"/>
      <c r="AE2283" s="1246"/>
      <c r="AF2283" s="1246"/>
      <c r="AG2283" s="1247"/>
      <c r="AH2283" s="518"/>
      <c r="AJ2283" s="595"/>
    </row>
    <row r="2284" spans="1:36" hidden="1" x14ac:dyDescent="0.45">
      <c r="A2284" s="518"/>
      <c r="B2284" s="1245"/>
      <c r="C2284" s="1246"/>
      <c r="D2284" s="1246"/>
      <c r="E2284" s="1246"/>
      <c r="F2284" s="1246"/>
      <c r="G2284" s="1246"/>
      <c r="H2284" s="1246"/>
      <c r="I2284" s="1246"/>
      <c r="J2284" s="1246"/>
      <c r="K2284" s="1246"/>
      <c r="L2284" s="1246"/>
      <c r="M2284" s="1246"/>
      <c r="N2284" s="1246"/>
      <c r="O2284" s="1246"/>
      <c r="P2284" s="1246"/>
      <c r="Q2284" s="1246"/>
      <c r="R2284" s="1246"/>
      <c r="S2284" s="1246"/>
      <c r="T2284" s="1246"/>
      <c r="U2284" s="1246"/>
      <c r="V2284" s="1246"/>
      <c r="W2284" s="1246"/>
      <c r="X2284" s="1246"/>
      <c r="Y2284" s="1246"/>
      <c r="Z2284" s="1246"/>
      <c r="AA2284" s="1246"/>
      <c r="AB2284" s="1246"/>
      <c r="AC2284" s="1246"/>
      <c r="AD2284" s="1246"/>
      <c r="AE2284" s="1246"/>
      <c r="AF2284" s="1246"/>
      <c r="AG2284" s="1247"/>
      <c r="AH2284" s="518"/>
      <c r="AJ2284" s="595"/>
    </row>
    <row r="2285" spans="1:36" hidden="1" x14ac:dyDescent="0.45">
      <c r="A2285" s="518"/>
      <c r="B2285" s="1245"/>
      <c r="C2285" s="1246"/>
      <c r="D2285" s="1246"/>
      <c r="E2285" s="1246"/>
      <c r="F2285" s="1246"/>
      <c r="G2285" s="1246"/>
      <c r="H2285" s="1246"/>
      <c r="I2285" s="1246"/>
      <c r="J2285" s="1246"/>
      <c r="K2285" s="1246"/>
      <c r="L2285" s="1246"/>
      <c r="M2285" s="1246"/>
      <c r="N2285" s="1246"/>
      <c r="O2285" s="1246"/>
      <c r="P2285" s="1246"/>
      <c r="Q2285" s="1246"/>
      <c r="R2285" s="1246"/>
      <c r="S2285" s="1246"/>
      <c r="T2285" s="1246"/>
      <c r="U2285" s="1246"/>
      <c r="V2285" s="1246"/>
      <c r="W2285" s="1246"/>
      <c r="X2285" s="1246"/>
      <c r="Y2285" s="1246"/>
      <c r="Z2285" s="1246"/>
      <c r="AA2285" s="1246"/>
      <c r="AB2285" s="1246"/>
      <c r="AC2285" s="1246"/>
      <c r="AD2285" s="1246"/>
      <c r="AE2285" s="1246"/>
      <c r="AF2285" s="1246"/>
      <c r="AG2285" s="1247"/>
      <c r="AH2285" s="518"/>
      <c r="AJ2285" s="595"/>
    </row>
    <row r="2286" spans="1:36" hidden="1" x14ac:dyDescent="0.45">
      <c r="A2286" s="518"/>
      <c r="B2286" s="1245"/>
      <c r="C2286" s="1246"/>
      <c r="D2286" s="1246"/>
      <c r="E2286" s="1246"/>
      <c r="F2286" s="1246"/>
      <c r="G2286" s="1246"/>
      <c r="H2286" s="1246"/>
      <c r="I2286" s="1246"/>
      <c r="J2286" s="1246"/>
      <c r="K2286" s="1246"/>
      <c r="L2286" s="1246"/>
      <c r="M2286" s="1246"/>
      <c r="N2286" s="1246"/>
      <c r="O2286" s="1246"/>
      <c r="P2286" s="1246"/>
      <c r="Q2286" s="1246"/>
      <c r="R2286" s="1246"/>
      <c r="S2286" s="1246"/>
      <c r="T2286" s="1246"/>
      <c r="U2286" s="1246"/>
      <c r="V2286" s="1246"/>
      <c r="W2286" s="1246"/>
      <c r="X2286" s="1246"/>
      <c r="Y2286" s="1246"/>
      <c r="Z2286" s="1246"/>
      <c r="AA2286" s="1246"/>
      <c r="AB2286" s="1246"/>
      <c r="AC2286" s="1246"/>
      <c r="AD2286" s="1246"/>
      <c r="AE2286" s="1246"/>
      <c r="AF2286" s="1246"/>
      <c r="AG2286" s="1247"/>
      <c r="AH2286" s="518"/>
      <c r="AJ2286" s="595"/>
    </row>
    <row r="2287" spans="1:36" hidden="1" x14ac:dyDescent="0.45">
      <c r="A2287" s="518"/>
      <c r="B2287" s="1245"/>
      <c r="C2287" s="1246"/>
      <c r="D2287" s="1246"/>
      <c r="E2287" s="1246"/>
      <c r="F2287" s="1246"/>
      <c r="G2287" s="1246"/>
      <c r="H2287" s="1246"/>
      <c r="I2287" s="1246"/>
      <c r="J2287" s="1246"/>
      <c r="K2287" s="1246"/>
      <c r="L2287" s="1246"/>
      <c r="M2287" s="1246"/>
      <c r="N2287" s="1246"/>
      <c r="O2287" s="1246"/>
      <c r="P2287" s="1246"/>
      <c r="Q2287" s="1246"/>
      <c r="R2287" s="1246"/>
      <c r="S2287" s="1246"/>
      <c r="T2287" s="1246"/>
      <c r="U2287" s="1246"/>
      <c r="V2287" s="1246"/>
      <c r="W2287" s="1246"/>
      <c r="X2287" s="1246"/>
      <c r="Y2287" s="1246"/>
      <c r="Z2287" s="1246"/>
      <c r="AA2287" s="1246"/>
      <c r="AB2287" s="1246"/>
      <c r="AC2287" s="1246"/>
      <c r="AD2287" s="1246"/>
      <c r="AE2287" s="1246"/>
      <c r="AF2287" s="1246"/>
      <c r="AG2287" s="1247"/>
      <c r="AH2287" s="518"/>
      <c r="AJ2287" s="595"/>
    </row>
    <row r="2288" spans="1:36" hidden="1" x14ac:dyDescent="0.45">
      <c r="A2288" s="518"/>
      <c r="B2288" s="1245"/>
      <c r="C2288" s="1246"/>
      <c r="D2288" s="1246"/>
      <c r="E2288" s="1246"/>
      <c r="F2288" s="1246"/>
      <c r="G2288" s="1246"/>
      <c r="H2288" s="1246"/>
      <c r="I2288" s="1246"/>
      <c r="J2288" s="1246"/>
      <c r="K2288" s="1246"/>
      <c r="L2288" s="1246"/>
      <c r="M2288" s="1246"/>
      <c r="N2288" s="1246"/>
      <c r="O2288" s="1246"/>
      <c r="P2288" s="1246"/>
      <c r="Q2288" s="1246"/>
      <c r="R2288" s="1246"/>
      <c r="S2288" s="1246"/>
      <c r="T2288" s="1246"/>
      <c r="U2288" s="1246"/>
      <c r="V2288" s="1246"/>
      <c r="W2288" s="1246"/>
      <c r="X2288" s="1246"/>
      <c r="Y2288" s="1246"/>
      <c r="Z2288" s="1246"/>
      <c r="AA2288" s="1246"/>
      <c r="AB2288" s="1246"/>
      <c r="AC2288" s="1246"/>
      <c r="AD2288" s="1246"/>
      <c r="AE2288" s="1246"/>
      <c r="AF2288" s="1246"/>
      <c r="AG2288" s="1247"/>
      <c r="AH2288" s="518"/>
      <c r="AJ2288" s="595"/>
    </row>
    <row r="2289" spans="1:36" hidden="1" x14ac:dyDescent="0.45">
      <c r="A2289" s="518"/>
      <c r="B2289" s="1245"/>
      <c r="C2289" s="1246"/>
      <c r="D2289" s="1246"/>
      <c r="E2289" s="1246"/>
      <c r="F2289" s="1246"/>
      <c r="G2289" s="1246"/>
      <c r="H2289" s="1246"/>
      <c r="I2289" s="1246"/>
      <c r="J2289" s="1246"/>
      <c r="K2289" s="1246"/>
      <c r="L2289" s="1246"/>
      <c r="M2289" s="1246"/>
      <c r="N2289" s="1246"/>
      <c r="O2289" s="1246"/>
      <c r="P2289" s="1246"/>
      <c r="Q2289" s="1246"/>
      <c r="R2289" s="1246"/>
      <c r="S2289" s="1246"/>
      <c r="T2289" s="1246"/>
      <c r="U2289" s="1246"/>
      <c r="V2289" s="1246"/>
      <c r="W2289" s="1246"/>
      <c r="X2289" s="1246"/>
      <c r="Y2289" s="1246"/>
      <c r="Z2289" s="1246"/>
      <c r="AA2289" s="1246"/>
      <c r="AB2289" s="1246"/>
      <c r="AC2289" s="1246"/>
      <c r="AD2289" s="1246"/>
      <c r="AE2289" s="1246"/>
      <c r="AF2289" s="1246"/>
      <c r="AG2289" s="1247"/>
      <c r="AH2289" s="518"/>
      <c r="AJ2289" s="595"/>
    </row>
    <row r="2290" spans="1:36" hidden="1" x14ac:dyDescent="0.45">
      <c r="A2290" s="518"/>
      <c r="B2290" s="1245"/>
      <c r="C2290" s="1246"/>
      <c r="D2290" s="1246"/>
      <c r="E2290" s="1246"/>
      <c r="F2290" s="1246"/>
      <c r="G2290" s="1246"/>
      <c r="H2290" s="1246"/>
      <c r="I2290" s="1246"/>
      <c r="J2290" s="1246"/>
      <c r="K2290" s="1246"/>
      <c r="L2290" s="1246"/>
      <c r="M2290" s="1246"/>
      <c r="N2290" s="1246"/>
      <c r="O2290" s="1246"/>
      <c r="P2290" s="1246"/>
      <c r="Q2290" s="1246"/>
      <c r="R2290" s="1246"/>
      <c r="S2290" s="1246"/>
      <c r="T2290" s="1246"/>
      <c r="U2290" s="1246"/>
      <c r="V2290" s="1246"/>
      <c r="W2290" s="1246"/>
      <c r="X2290" s="1246"/>
      <c r="Y2290" s="1246"/>
      <c r="Z2290" s="1246"/>
      <c r="AA2290" s="1246"/>
      <c r="AB2290" s="1246"/>
      <c r="AC2290" s="1246"/>
      <c r="AD2290" s="1246"/>
      <c r="AE2290" s="1246"/>
      <c r="AF2290" s="1246"/>
      <c r="AG2290" s="1247"/>
      <c r="AH2290" s="518"/>
      <c r="AJ2290" s="595"/>
    </row>
    <row r="2291" spans="1:36" hidden="1" x14ac:dyDescent="0.45">
      <c r="A2291" s="518"/>
      <c r="B2291" s="1245"/>
      <c r="C2291" s="1246"/>
      <c r="D2291" s="1246"/>
      <c r="E2291" s="1246"/>
      <c r="F2291" s="1246"/>
      <c r="G2291" s="1246"/>
      <c r="H2291" s="1246"/>
      <c r="I2291" s="1246"/>
      <c r="J2291" s="1246"/>
      <c r="K2291" s="1246"/>
      <c r="L2291" s="1246"/>
      <c r="M2291" s="1246"/>
      <c r="N2291" s="1246"/>
      <c r="O2291" s="1246"/>
      <c r="P2291" s="1246"/>
      <c r="Q2291" s="1246"/>
      <c r="R2291" s="1246"/>
      <c r="S2291" s="1246"/>
      <c r="T2291" s="1246"/>
      <c r="U2291" s="1246"/>
      <c r="V2291" s="1246"/>
      <c r="W2291" s="1246"/>
      <c r="X2291" s="1246"/>
      <c r="Y2291" s="1246"/>
      <c r="Z2291" s="1246"/>
      <c r="AA2291" s="1246"/>
      <c r="AB2291" s="1246"/>
      <c r="AC2291" s="1246"/>
      <c r="AD2291" s="1246"/>
      <c r="AE2291" s="1246"/>
      <c r="AF2291" s="1246"/>
      <c r="AG2291" s="1247"/>
      <c r="AH2291" s="518"/>
      <c r="AJ2291" s="595"/>
    </row>
    <row r="2292" spans="1:36" hidden="1" x14ac:dyDescent="0.45">
      <c r="A2292" s="518"/>
      <c r="B2292" s="1245"/>
      <c r="C2292" s="1246"/>
      <c r="D2292" s="1246"/>
      <c r="E2292" s="1246"/>
      <c r="F2292" s="1246"/>
      <c r="G2292" s="1246"/>
      <c r="H2292" s="1246"/>
      <c r="I2292" s="1246"/>
      <c r="J2292" s="1246"/>
      <c r="K2292" s="1246"/>
      <c r="L2292" s="1246"/>
      <c r="M2292" s="1246"/>
      <c r="N2292" s="1246"/>
      <c r="O2292" s="1246"/>
      <c r="P2292" s="1246"/>
      <c r="Q2292" s="1246"/>
      <c r="R2292" s="1246"/>
      <c r="S2292" s="1246"/>
      <c r="T2292" s="1246"/>
      <c r="U2292" s="1246"/>
      <c r="V2292" s="1246"/>
      <c r="W2292" s="1246"/>
      <c r="X2292" s="1246"/>
      <c r="Y2292" s="1246"/>
      <c r="Z2292" s="1246"/>
      <c r="AA2292" s="1246"/>
      <c r="AB2292" s="1246"/>
      <c r="AC2292" s="1246"/>
      <c r="AD2292" s="1246"/>
      <c r="AE2292" s="1246"/>
      <c r="AF2292" s="1246"/>
      <c r="AG2292" s="1247"/>
      <c r="AH2292" s="518"/>
      <c r="AJ2292" s="595"/>
    </row>
    <row r="2293" spans="1:36" hidden="1" x14ac:dyDescent="0.45">
      <c r="A2293" s="518"/>
      <c r="B2293" s="1245"/>
      <c r="C2293" s="1246"/>
      <c r="D2293" s="1246"/>
      <c r="E2293" s="1246"/>
      <c r="F2293" s="1246"/>
      <c r="G2293" s="1246"/>
      <c r="H2293" s="1246"/>
      <c r="I2293" s="1246"/>
      <c r="J2293" s="1246"/>
      <c r="K2293" s="1246"/>
      <c r="L2293" s="1246"/>
      <c r="M2293" s="1246"/>
      <c r="N2293" s="1246"/>
      <c r="O2293" s="1246"/>
      <c r="P2293" s="1246"/>
      <c r="Q2293" s="1246"/>
      <c r="R2293" s="1246"/>
      <c r="S2293" s="1246"/>
      <c r="T2293" s="1246"/>
      <c r="U2293" s="1246"/>
      <c r="V2293" s="1246"/>
      <c r="W2293" s="1246"/>
      <c r="X2293" s="1246"/>
      <c r="Y2293" s="1246"/>
      <c r="Z2293" s="1246"/>
      <c r="AA2293" s="1246"/>
      <c r="AB2293" s="1246"/>
      <c r="AC2293" s="1246"/>
      <c r="AD2293" s="1246"/>
      <c r="AE2293" s="1246"/>
      <c r="AF2293" s="1246"/>
      <c r="AG2293" s="1247"/>
      <c r="AH2293" s="518"/>
      <c r="AJ2293" s="595"/>
    </row>
    <row r="2294" spans="1:36" hidden="1" x14ac:dyDescent="0.45">
      <c r="A2294" s="518"/>
      <c r="B2294" s="1245"/>
      <c r="C2294" s="1246"/>
      <c r="D2294" s="1246"/>
      <c r="E2294" s="1246"/>
      <c r="F2294" s="1246"/>
      <c r="G2294" s="1246"/>
      <c r="H2294" s="1246"/>
      <c r="I2294" s="1246"/>
      <c r="J2294" s="1246"/>
      <c r="K2294" s="1246"/>
      <c r="L2294" s="1246"/>
      <c r="M2294" s="1246"/>
      <c r="N2294" s="1246"/>
      <c r="O2294" s="1246"/>
      <c r="P2294" s="1246"/>
      <c r="Q2294" s="1246"/>
      <c r="R2294" s="1246"/>
      <c r="S2294" s="1246"/>
      <c r="T2294" s="1246"/>
      <c r="U2294" s="1246"/>
      <c r="V2294" s="1246"/>
      <c r="W2294" s="1246"/>
      <c r="X2294" s="1246"/>
      <c r="Y2294" s="1246"/>
      <c r="Z2294" s="1246"/>
      <c r="AA2294" s="1246"/>
      <c r="AB2294" s="1246"/>
      <c r="AC2294" s="1246"/>
      <c r="AD2294" s="1246"/>
      <c r="AE2294" s="1246"/>
      <c r="AF2294" s="1246"/>
      <c r="AG2294" s="1247"/>
      <c r="AH2294" s="518"/>
      <c r="AJ2294" s="595"/>
    </row>
    <row r="2295" spans="1:36" hidden="1" x14ac:dyDescent="0.45">
      <c r="A2295" s="518"/>
      <c r="B2295" s="1245"/>
      <c r="C2295" s="1246"/>
      <c r="D2295" s="1246"/>
      <c r="E2295" s="1246"/>
      <c r="F2295" s="1246"/>
      <c r="G2295" s="1246"/>
      <c r="H2295" s="1246"/>
      <c r="I2295" s="1246"/>
      <c r="J2295" s="1246"/>
      <c r="K2295" s="1246"/>
      <c r="L2295" s="1246"/>
      <c r="M2295" s="1246"/>
      <c r="N2295" s="1246"/>
      <c r="O2295" s="1246"/>
      <c r="P2295" s="1246"/>
      <c r="Q2295" s="1246"/>
      <c r="R2295" s="1246"/>
      <c r="S2295" s="1246"/>
      <c r="T2295" s="1246"/>
      <c r="U2295" s="1246"/>
      <c r="V2295" s="1246"/>
      <c r="W2295" s="1246"/>
      <c r="X2295" s="1246"/>
      <c r="Y2295" s="1246"/>
      <c r="Z2295" s="1246"/>
      <c r="AA2295" s="1246"/>
      <c r="AB2295" s="1246"/>
      <c r="AC2295" s="1246"/>
      <c r="AD2295" s="1246"/>
      <c r="AE2295" s="1246"/>
      <c r="AF2295" s="1246"/>
      <c r="AG2295" s="1247"/>
      <c r="AH2295" s="518"/>
      <c r="AJ2295" s="595"/>
    </row>
    <row r="2296" spans="1:36" hidden="1" x14ac:dyDescent="0.45">
      <c r="A2296" s="518"/>
      <c r="B2296" s="1245"/>
      <c r="C2296" s="1246"/>
      <c r="D2296" s="1246"/>
      <c r="E2296" s="1246"/>
      <c r="F2296" s="1246"/>
      <c r="G2296" s="1246"/>
      <c r="H2296" s="1246"/>
      <c r="I2296" s="1246"/>
      <c r="J2296" s="1246"/>
      <c r="K2296" s="1246"/>
      <c r="L2296" s="1246"/>
      <c r="M2296" s="1246"/>
      <c r="N2296" s="1246"/>
      <c r="O2296" s="1246"/>
      <c r="P2296" s="1246"/>
      <c r="Q2296" s="1246"/>
      <c r="R2296" s="1246"/>
      <c r="S2296" s="1246"/>
      <c r="T2296" s="1246"/>
      <c r="U2296" s="1246"/>
      <c r="V2296" s="1246"/>
      <c r="W2296" s="1246"/>
      <c r="X2296" s="1246"/>
      <c r="Y2296" s="1246"/>
      <c r="Z2296" s="1246"/>
      <c r="AA2296" s="1246"/>
      <c r="AB2296" s="1246"/>
      <c r="AC2296" s="1246"/>
      <c r="AD2296" s="1246"/>
      <c r="AE2296" s="1246"/>
      <c r="AF2296" s="1246"/>
      <c r="AG2296" s="1247"/>
      <c r="AH2296" s="518"/>
      <c r="AJ2296" s="595"/>
    </row>
    <row r="2297" spans="1:36" hidden="1" x14ac:dyDescent="0.45">
      <c r="A2297" s="518"/>
      <c r="B2297" s="1245"/>
      <c r="C2297" s="1246"/>
      <c r="D2297" s="1246"/>
      <c r="E2297" s="1246"/>
      <c r="F2297" s="1246"/>
      <c r="G2297" s="1246"/>
      <c r="H2297" s="1246"/>
      <c r="I2297" s="1246"/>
      <c r="J2297" s="1246"/>
      <c r="K2297" s="1246"/>
      <c r="L2297" s="1246"/>
      <c r="M2297" s="1246"/>
      <c r="N2297" s="1246"/>
      <c r="O2297" s="1246"/>
      <c r="P2297" s="1246"/>
      <c r="Q2297" s="1246"/>
      <c r="R2297" s="1246"/>
      <c r="S2297" s="1246"/>
      <c r="T2297" s="1246"/>
      <c r="U2297" s="1246"/>
      <c r="V2297" s="1246"/>
      <c r="W2297" s="1246"/>
      <c r="X2297" s="1246"/>
      <c r="Y2297" s="1246"/>
      <c r="Z2297" s="1246"/>
      <c r="AA2297" s="1246"/>
      <c r="AB2297" s="1246"/>
      <c r="AC2297" s="1246"/>
      <c r="AD2297" s="1246"/>
      <c r="AE2297" s="1246"/>
      <c r="AF2297" s="1246"/>
      <c r="AG2297" s="1247"/>
      <c r="AH2297" s="518"/>
      <c r="AJ2297" s="595"/>
    </row>
    <row r="2298" spans="1:36" hidden="1" x14ac:dyDescent="0.45">
      <c r="A2298" s="518"/>
      <c r="B2298" s="1245"/>
      <c r="C2298" s="1246"/>
      <c r="D2298" s="1246"/>
      <c r="E2298" s="1246"/>
      <c r="F2298" s="1246"/>
      <c r="G2298" s="1246"/>
      <c r="H2298" s="1246"/>
      <c r="I2298" s="1246"/>
      <c r="J2298" s="1246"/>
      <c r="K2298" s="1246"/>
      <c r="L2298" s="1246"/>
      <c r="M2298" s="1246"/>
      <c r="N2298" s="1246"/>
      <c r="O2298" s="1246"/>
      <c r="P2298" s="1246"/>
      <c r="Q2298" s="1246"/>
      <c r="R2298" s="1246"/>
      <c r="S2298" s="1246"/>
      <c r="T2298" s="1246"/>
      <c r="U2298" s="1246"/>
      <c r="V2298" s="1246"/>
      <c r="W2298" s="1246"/>
      <c r="X2298" s="1246"/>
      <c r="Y2298" s="1246"/>
      <c r="Z2298" s="1246"/>
      <c r="AA2298" s="1246"/>
      <c r="AB2298" s="1246"/>
      <c r="AC2298" s="1246"/>
      <c r="AD2298" s="1246"/>
      <c r="AE2298" s="1246"/>
      <c r="AF2298" s="1246"/>
      <c r="AG2298" s="1247"/>
      <c r="AH2298" s="518"/>
      <c r="AJ2298" s="595"/>
    </row>
    <row r="2299" spans="1:36" hidden="1" x14ac:dyDescent="0.45">
      <c r="A2299" s="518"/>
      <c r="B2299" s="1245"/>
      <c r="C2299" s="1246"/>
      <c r="D2299" s="1246"/>
      <c r="E2299" s="1246"/>
      <c r="F2299" s="1246"/>
      <c r="G2299" s="1246"/>
      <c r="H2299" s="1246"/>
      <c r="I2299" s="1246"/>
      <c r="J2299" s="1246"/>
      <c r="K2299" s="1246"/>
      <c r="L2299" s="1246"/>
      <c r="M2299" s="1246"/>
      <c r="N2299" s="1246"/>
      <c r="O2299" s="1246"/>
      <c r="P2299" s="1246"/>
      <c r="Q2299" s="1246"/>
      <c r="R2299" s="1246"/>
      <c r="S2299" s="1246"/>
      <c r="T2299" s="1246"/>
      <c r="U2299" s="1246"/>
      <c r="V2299" s="1246"/>
      <c r="W2299" s="1246"/>
      <c r="X2299" s="1246"/>
      <c r="Y2299" s="1246"/>
      <c r="Z2299" s="1246"/>
      <c r="AA2299" s="1246"/>
      <c r="AB2299" s="1246"/>
      <c r="AC2299" s="1246"/>
      <c r="AD2299" s="1246"/>
      <c r="AE2299" s="1246"/>
      <c r="AF2299" s="1246"/>
      <c r="AG2299" s="1247"/>
      <c r="AH2299" s="518"/>
      <c r="AJ2299" s="595"/>
    </row>
    <row r="2300" spans="1:36" hidden="1" x14ac:dyDescent="0.45">
      <c r="A2300" s="518"/>
      <c r="B2300" s="1245"/>
      <c r="C2300" s="1246"/>
      <c r="D2300" s="1246"/>
      <c r="E2300" s="1246"/>
      <c r="F2300" s="1246"/>
      <c r="G2300" s="1246"/>
      <c r="H2300" s="1246"/>
      <c r="I2300" s="1246"/>
      <c r="J2300" s="1246"/>
      <c r="K2300" s="1246"/>
      <c r="L2300" s="1246"/>
      <c r="M2300" s="1246"/>
      <c r="N2300" s="1246"/>
      <c r="O2300" s="1246"/>
      <c r="P2300" s="1246"/>
      <c r="Q2300" s="1246"/>
      <c r="R2300" s="1246"/>
      <c r="S2300" s="1246"/>
      <c r="T2300" s="1246"/>
      <c r="U2300" s="1246"/>
      <c r="V2300" s="1246"/>
      <c r="W2300" s="1246"/>
      <c r="X2300" s="1246"/>
      <c r="Y2300" s="1246"/>
      <c r="Z2300" s="1246"/>
      <c r="AA2300" s="1246"/>
      <c r="AB2300" s="1246"/>
      <c r="AC2300" s="1246"/>
      <c r="AD2300" s="1246"/>
      <c r="AE2300" s="1246"/>
      <c r="AF2300" s="1246"/>
      <c r="AG2300" s="1247"/>
      <c r="AH2300" s="518"/>
      <c r="AJ2300" s="595"/>
    </row>
    <row r="2301" spans="1:36" hidden="1" x14ac:dyDescent="0.45">
      <c r="A2301" s="518"/>
      <c r="B2301" s="1245"/>
      <c r="C2301" s="1246"/>
      <c r="D2301" s="1246"/>
      <c r="E2301" s="1246"/>
      <c r="F2301" s="1246"/>
      <c r="G2301" s="1246"/>
      <c r="H2301" s="1246"/>
      <c r="I2301" s="1246"/>
      <c r="J2301" s="1246"/>
      <c r="K2301" s="1246"/>
      <c r="L2301" s="1246"/>
      <c r="M2301" s="1246"/>
      <c r="N2301" s="1246"/>
      <c r="O2301" s="1246"/>
      <c r="P2301" s="1246"/>
      <c r="Q2301" s="1246"/>
      <c r="R2301" s="1246"/>
      <c r="S2301" s="1246"/>
      <c r="T2301" s="1246"/>
      <c r="U2301" s="1246"/>
      <c r="V2301" s="1246"/>
      <c r="W2301" s="1246"/>
      <c r="X2301" s="1246"/>
      <c r="Y2301" s="1246"/>
      <c r="Z2301" s="1246"/>
      <c r="AA2301" s="1246"/>
      <c r="AB2301" s="1246"/>
      <c r="AC2301" s="1246"/>
      <c r="AD2301" s="1246"/>
      <c r="AE2301" s="1246"/>
      <c r="AF2301" s="1246"/>
      <c r="AG2301" s="1247"/>
      <c r="AH2301" s="518"/>
      <c r="AJ2301" s="595"/>
    </row>
    <row r="2302" spans="1:36" hidden="1" x14ac:dyDescent="0.45">
      <c r="A2302" s="518"/>
      <c r="B2302" s="1245"/>
      <c r="C2302" s="1246"/>
      <c r="D2302" s="1246"/>
      <c r="E2302" s="1246"/>
      <c r="F2302" s="1246"/>
      <c r="G2302" s="1246"/>
      <c r="H2302" s="1246"/>
      <c r="I2302" s="1246"/>
      <c r="J2302" s="1246"/>
      <c r="K2302" s="1246"/>
      <c r="L2302" s="1246"/>
      <c r="M2302" s="1246"/>
      <c r="N2302" s="1246"/>
      <c r="O2302" s="1246"/>
      <c r="P2302" s="1246"/>
      <c r="Q2302" s="1246"/>
      <c r="R2302" s="1246"/>
      <c r="S2302" s="1246"/>
      <c r="T2302" s="1246"/>
      <c r="U2302" s="1246"/>
      <c r="V2302" s="1246"/>
      <c r="W2302" s="1246"/>
      <c r="X2302" s="1246"/>
      <c r="Y2302" s="1246"/>
      <c r="Z2302" s="1246"/>
      <c r="AA2302" s="1246"/>
      <c r="AB2302" s="1246"/>
      <c r="AC2302" s="1246"/>
      <c r="AD2302" s="1246"/>
      <c r="AE2302" s="1246"/>
      <c r="AF2302" s="1246"/>
      <c r="AG2302" s="1247"/>
      <c r="AH2302" s="518"/>
      <c r="AJ2302" s="595"/>
    </row>
    <row r="2303" spans="1:36" hidden="1" x14ac:dyDescent="0.45">
      <c r="A2303" s="518"/>
      <c r="B2303" s="1153"/>
      <c r="C2303" s="1154"/>
      <c r="D2303" s="1154"/>
      <c r="E2303" s="1154"/>
      <c r="F2303" s="1154"/>
      <c r="G2303" s="1154"/>
      <c r="H2303" s="1154"/>
      <c r="I2303" s="1154"/>
      <c r="J2303" s="1154"/>
      <c r="K2303" s="1154"/>
      <c r="L2303" s="1154"/>
      <c r="M2303" s="1154"/>
      <c r="N2303" s="1154"/>
      <c r="O2303" s="1154"/>
      <c r="P2303" s="1154"/>
      <c r="Q2303" s="1154"/>
      <c r="R2303" s="1154"/>
      <c r="S2303" s="1154"/>
      <c r="T2303" s="1154"/>
      <c r="U2303" s="1154"/>
      <c r="V2303" s="1154"/>
      <c r="W2303" s="1154"/>
      <c r="X2303" s="1154"/>
      <c r="Y2303" s="1154"/>
      <c r="Z2303" s="1154"/>
      <c r="AA2303" s="1154"/>
      <c r="AB2303" s="1154"/>
      <c r="AC2303" s="1154"/>
      <c r="AD2303" s="1154"/>
      <c r="AE2303" s="1154"/>
      <c r="AF2303" s="1154"/>
      <c r="AG2303" s="1155"/>
      <c r="AH2303" s="518"/>
      <c r="AJ2303" s="595"/>
    </row>
    <row r="2304" spans="1:36" hidden="1" x14ac:dyDescent="0.45">
      <c r="A2304" s="518"/>
      <c r="B2304" s="518"/>
      <c r="C2304" s="518"/>
      <c r="D2304" s="518"/>
      <c r="E2304" s="518"/>
      <c r="F2304" s="518"/>
      <c r="G2304" s="518"/>
      <c r="H2304" s="518"/>
      <c r="I2304" s="518"/>
      <c r="J2304" s="518"/>
      <c r="K2304" s="518"/>
      <c r="L2304" s="518"/>
      <c r="M2304" s="518"/>
      <c r="N2304" s="518"/>
      <c r="O2304" s="518"/>
      <c r="P2304" s="518"/>
      <c r="Q2304" s="518"/>
      <c r="R2304" s="518"/>
      <c r="S2304" s="518"/>
      <c r="T2304" s="518"/>
      <c r="U2304" s="518"/>
      <c r="V2304" s="518"/>
      <c r="W2304" s="518"/>
      <c r="X2304" s="518"/>
      <c r="Y2304" s="518"/>
      <c r="Z2304" s="518"/>
      <c r="AA2304" s="518"/>
      <c r="AB2304" s="518"/>
      <c r="AC2304" s="518"/>
      <c r="AD2304" s="518"/>
      <c r="AE2304" s="518"/>
      <c r="AF2304" s="518"/>
      <c r="AG2304" s="518"/>
      <c r="AH2304" s="518"/>
      <c r="AJ2304" s="595"/>
    </row>
    <row r="2305" spans="1:36" hidden="1" x14ac:dyDescent="0.45">
      <c r="A2305" s="518"/>
      <c r="B2305" s="518"/>
      <c r="C2305" s="518"/>
      <c r="D2305" s="518"/>
      <c r="E2305" s="518"/>
      <c r="F2305" s="518"/>
      <c r="G2305" s="518"/>
      <c r="H2305" s="518"/>
      <c r="I2305" s="518"/>
      <c r="J2305" s="518"/>
      <c r="K2305" s="518"/>
      <c r="L2305" s="518"/>
      <c r="M2305" s="518"/>
      <c r="N2305" s="518"/>
      <c r="O2305" s="518"/>
      <c r="P2305" s="518"/>
      <c r="Q2305" s="518"/>
      <c r="R2305" s="518"/>
      <c r="S2305" s="518"/>
      <c r="T2305" s="518"/>
      <c r="U2305" s="518"/>
      <c r="V2305" s="518"/>
      <c r="W2305" s="518"/>
      <c r="X2305" s="518"/>
      <c r="Y2305" s="518"/>
      <c r="Z2305" s="518"/>
      <c r="AA2305" s="518"/>
      <c r="AB2305" s="518"/>
      <c r="AC2305" s="518"/>
      <c r="AD2305" s="518"/>
      <c r="AE2305" s="518"/>
      <c r="AF2305" s="518"/>
      <c r="AG2305" s="518"/>
      <c r="AH2305" s="518"/>
      <c r="AJ2305" s="595"/>
    </row>
    <row r="2306" spans="1:36" hidden="1" x14ac:dyDescent="0.45">
      <c r="A2306" s="518"/>
      <c r="B2306" s="907" t="s">
        <v>25</v>
      </c>
      <c r="C2306" s="907"/>
      <c r="D2306" s="907"/>
      <c r="E2306" s="907"/>
      <c r="F2306" s="907"/>
      <c r="G2306" s="907"/>
      <c r="H2306" s="907"/>
      <c r="I2306" s="907"/>
      <c r="J2306" s="907"/>
      <c r="K2306" s="907"/>
      <c r="L2306" s="907"/>
      <c r="M2306" s="907"/>
      <c r="N2306" s="907"/>
      <c r="O2306" s="907"/>
      <c r="P2306" s="907"/>
      <c r="Q2306" s="907"/>
      <c r="R2306" s="907"/>
      <c r="S2306" s="907"/>
      <c r="T2306" s="907"/>
      <c r="U2306" s="907"/>
      <c r="V2306" s="907"/>
      <c r="W2306" s="907"/>
      <c r="X2306" s="907"/>
      <c r="Y2306" s="907"/>
      <c r="Z2306" s="907"/>
      <c r="AA2306" s="907"/>
      <c r="AB2306" s="907"/>
      <c r="AC2306" s="907"/>
      <c r="AD2306" s="907"/>
      <c r="AE2306" s="907"/>
      <c r="AF2306" s="907"/>
      <c r="AG2306" s="907"/>
      <c r="AH2306" s="518"/>
      <c r="AJ2306" s="595"/>
    </row>
    <row r="2307" spans="1:36" hidden="1" x14ac:dyDescent="0.45">
      <c r="A2307" s="518"/>
      <c r="B2307" s="907" t="s">
        <v>1816</v>
      </c>
      <c r="C2307" s="907"/>
      <c r="D2307" s="907"/>
      <c r="E2307" s="907"/>
      <c r="F2307" s="907"/>
      <c r="G2307" s="907"/>
      <c r="H2307" s="907"/>
      <c r="I2307" s="907"/>
      <c r="J2307" s="907"/>
      <c r="K2307" s="907"/>
      <c r="L2307" s="907"/>
      <c r="M2307" s="907"/>
      <c r="N2307" s="907"/>
      <c r="O2307" s="907"/>
      <c r="P2307" s="907"/>
      <c r="Q2307" s="907"/>
      <c r="R2307" s="907"/>
      <c r="S2307" s="907"/>
      <c r="T2307" s="907"/>
      <c r="U2307" s="907"/>
      <c r="V2307" s="907"/>
      <c r="W2307" s="907"/>
      <c r="X2307" s="907"/>
      <c r="Y2307" s="907"/>
      <c r="Z2307" s="907"/>
      <c r="AA2307" s="907"/>
      <c r="AB2307" s="907"/>
      <c r="AC2307" s="907"/>
      <c r="AD2307" s="907"/>
      <c r="AE2307" s="907"/>
      <c r="AF2307" s="907"/>
      <c r="AG2307" s="907"/>
      <c r="AH2307" s="518"/>
      <c r="AJ2307" s="595"/>
    </row>
    <row r="2308" spans="1:36" hidden="1" x14ac:dyDescent="0.45">
      <c r="A2308" s="518"/>
      <c r="B2308" s="518"/>
      <c r="C2308" s="518"/>
      <c r="D2308" s="518"/>
      <c r="E2308" s="518"/>
      <c r="F2308" s="518"/>
      <c r="G2308" s="518"/>
      <c r="H2308" s="518"/>
      <c r="I2308" s="518"/>
      <c r="J2308" s="518"/>
      <c r="K2308" s="518"/>
      <c r="L2308" s="518"/>
      <c r="M2308" s="518"/>
      <c r="N2308" s="518"/>
      <c r="O2308" s="518"/>
      <c r="P2308" s="518"/>
      <c r="Q2308" s="518"/>
      <c r="R2308" s="518"/>
      <c r="S2308" s="518"/>
      <c r="T2308" s="518"/>
      <c r="U2308" s="518"/>
      <c r="V2308" s="518"/>
      <c r="W2308" s="518"/>
      <c r="X2308" s="518"/>
      <c r="Y2308" s="518"/>
      <c r="Z2308" s="518"/>
      <c r="AA2308" s="518"/>
      <c r="AB2308" s="518"/>
      <c r="AC2308" s="518"/>
      <c r="AD2308" s="518"/>
      <c r="AE2308" s="518"/>
      <c r="AF2308" s="518"/>
      <c r="AG2308" s="518"/>
      <c r="AH2308" s="518"/>
      <c r="AJ2308" s="595"/>
    </row>
    <row r="2309" spans="1:36" hidden="1" x14ac:dyDescent="0.45">
      <c r="A2309" s="518"/>
      <c r="B2309" s="907" t="s">
        <v>101</v>
      </c>
      <c r="C2309" s="907"/>
      <c r="D2309" s="907"/>
      <c r="E2309" s="907"/>
      <c r="F2309" s="907"/>
      <c r="G2309" s="907"/>
      <c r="H2309" s="907"/>
      <c r="I2309" s="907"/>
      <c r="J2309" s="907"/>
      <c r="K2309" s="907"/>
      <c r="L2309" s="907"/>
      <c r="M2309" s="907"/>
      <c r="N2309" s="907"/>
      <c r="O2309" s="907"/>
      <c r="P2309" s="907"/>
      <c r="Q2309" s="907"/>
      <c r="R2309" s="907"/>
      <c r="S2309" s="907"/>
      <c r="T2309" s="907"/>
      <c r="U2309" s="907"/>
      <c r="V2309" s="907"/>
      <c r="W2309" s="907"/>
      <c r="X2309" s="907"/>
      <c r="Y2309" s="907"/>
      <c r="Z2309" s="907"/>
      <c r="AA2309" s="907"/>
      <c r="AB2309" s="907"/>
      <c r="AC2309" s="907"/>
      <c r="AD2309" s="907"/>
      <c r="AE2309" s="907"/>
      <c r="AF2309" s="907"/>
      <c r="AG2309" s="907"/>
      <c r="AH2309" s="518"/>
      <c r="AJ2309" s="595"/>
    </row>
    <row r="2310" spans="1:36" hidden="1" x14ac:dyDescent="0.45">
      <c r="A2310" s="518"/>
      <c r="B2310" s="1150"/>
      <c r="C2310" s="1151"/>
      <c r="D2310" s="1151"/>
      <c r="E2310" s="1151"/>
      <c r="F2310" s="1151"/>
      <c r="G2310" s="1151"/>
      <c r="H2310" s="1151"/>
      <c r="I2310" s="1151"/>
      <c r="J2310" s="1151"/>
      <c r="K2310" s="1151"/>
      <c r="L2310" s="1151"/>
      <c r="M2310" s="1151"/>
      <c r="N2310" s="1151"/>
      <c r="O2310" s="1151"/>
      <c r="P2310" s="1151"/>
      <c r="Q2310" s="1151"/>
      <c r="R2310" s="1151"/>
      <c r="S2310" s="1151"/>
      <c r="T2310" s="1151"/>
      <c r="U2310" s="1151"/>
      <c r="V2310" s="1151"/>
      <c r="W2310" s="1151"/>
      <c r="X2310" s="1151"/>
      <c r="Y2310" s="1151"/>
      <c r="Z2310" s="1151"/>
      <c r="AA2310" s="1151"/>
      <c r="AB2310" s="1151"/>
      <c r="AC2310" s="1151"/>
      <c r="AD2310" s="1151"/>
      <c r="AE2310" s="1151"/>
      <c r="AF2310" s="1151"/>
      <c r="AG2310" s="1152"/>
      <c r="AH2310" s="518"/>
      <c r="AJ2310" s="595"/>
    </row>
    <row r="2311" spans="1:36" hidden="1" x14ac:dyDescent="0.45">
      <c r="A2311" s="518"/>
      <c r="B2311" s="1245"/>
      <c r="C2311" s="1246"/>
      <c r="D2311" s="1246"/>
      <c r="E2311" s="1246"/>
      <c r="F2311" s="1246"/>
      <c r="G2311" s="1246"/>
      <c r="H2311" s="1246"/>
      <c r="I2311" s="1246"/>
      <c r="J2311" s="1246"/>
      <c r="K2311" s="1246"/>
      <c r="L2311" s="1246"/>
      <c r="M2311" s="1246"/>
      <c r="N2311" s="1246"/>
      <c r="O2311" s="1246"/>
      <c r="P2311" s="1246"/>
      <c r="Q2311" s="1246"/>
      <c r="R2311" s="1246"/>
      <c r="S2311" s="1246"/>
      <c r="T2311" s="1246"/>
      <c r="U2311" s="1246"/>
      <c r="V2311" s="1246"/>
      <c r="W2311" s="1246"/>
      <c r="X2311" s="1246"/>
      <c r="Y2311" s="1246"/>
      <c r="Z2311" s="1246"/>
      <c r="AA2311" s="1246"/>
      <c r="AB2311" s="1246"/>
      <c r="AC2311" s="1246"/>
      <c r="AD2311" s="1246"/>
      <c r="AE2311" s="1246"/>
      <c r="AF2311" s="1246"/>
      <c r="AG2311" s="1247"/>
      <c r="AH2311" s="518"/>
      <c r="AJ2311" s="595"/>
    </row>
    <row r="2312" spans="1:36" hidden="1" x14ac:dyDescent="0.45">
      <c r="A2312" s="518"/>
      <c r="B2312" s="1245"/>
      <c r="C2312" s="1246"/>
      <c r="D2312" s="1246"/>
      <c r="E2312" s="1246"/>
      <c r="F2312" s="1246"/>
      <c r="G2312" s="1246"/>
      <c r="H2312" s="1246"/>
      <c r="I2312" s="1246"/>
      <c r="J2312" s="1246"/>
      <c r="K2312" s="1246"/>
      <c r="L2312" s="1246"/>
      <c r="M2312" s="1246"/>
      <c r="N2312" s="1246"/>
      <c r="O2312" s="1246"/>
      <c r="P2312" s="1246"/>
      <c r="Q2312" s="1246"/>
      <c r="R2312" s="1246"/>
      <c r="S2312" s="1246"/>
      <c r="T2312" s="1246"/>
      <c r="U2312" s="1246"/>
      <c r="V2312" s="1246"/>
      <c r="W2312" s="1246"/>
      <c r="X2312" s="1246"/>
      <c r="Y2312" s="1246"/>
      <c r="Z2312" s="1246"/>
      <c r="AA2312" s="1246"/>
      <c r="AB2312" s="1246"/>
      <c r="AC2312" s="1246"/>
      <c r="AD2312" s="1246"/>
      <c r="AE2312" s="1246"/>
      <c r="AF2312" s="1246"/>
      <c r="AG2312" s="1247"/>
      <c r="AH2312" s="518"/>
      <c r="AJ2312" s="595"/>
    </row>
    <row r="2313" spans="1:36" hidden="1" x14ac:dyDescent="0.45">
      <c r="A2313" s="518"/>
      <c r="B2313" s="1245"/>
      <c r="C2313" s="1246"/>
      <c r="D2313" s="1246"/>
      <c r="E2313" s="1246"/>
      <c r="F2313" s="1246"/>
      <c r="G2313" s="1246"/>
      <c r="H2313" s="1246"/>
      <c r="I2313" s="1246"/>
      <c r="J2313" s="1246"/>
      <c r="K2313" s="1246"/>
      <c r="L2313" s="1246"/>
      <c r="M2313" s="1246"/>
      <c r="N2313" s="1246"/>
      <c r="O2313" s="1246"/>
      <c r="P2313" s="1246"/>
      <c r="Q2313" s="1246"/>
      <c r="R2313" s="1246"/>
      <c r="S2313" s="1246"/>
      <c r="T2313" s="1246"/>
      <c r="U2313" s="1246"/>
      <c r="V2313" s="1246"/>
      <c r="W2313" s="1246"/>
      <c r="X2313" s="1246"/>
      <c r="Y2313" s="1246"/>
      <c r="Z2313" s="1246"/>
      <c r="AA2313" s="1246"/>
      <c r="AB2313" s="1246"/>
      <c r="AC2313" s="1246"/>
      <c r="AD2313" s="1246"/>
      <c r="AE2313" s="1246"/>
      <c r="AF2313" s="1246"/>
      <c r="AG2313" s="1247"/>
      <c r="AH2313" s="518"/>
      <c r="AJ2313" s="595"/>
    </row>
    <row r="2314" spans="1:36" hidden="1" x14ac:dyDescent="0.45">
      <c r="A2314" s="518"/>
      <c r="B2314" s="1245"/>
      <c r="C2314" s="1246"/>
      <c r="D2314" s="1246"/>
      <c r="E2314" s="1246"/>
      <c r="F2314" s="1246"/>
      <c r="G2314" s="1246"/>
      <c r="H2314" s="1246"/>
      <c r="I2314" s="1246"/>
      <c r="J2314" s="1246"/>
      <c r="K2314" s="1246"/>
      <c r="L2314" s="1246"/>
      <c r="M2314" s="1246"/>
      <c r="N2314" s="1246"/>
      <c r="O2314" s="1246"/>
      <c r="P2314" s="1246"/>
      <c r="Q2314" s="1246"/>
      <c r="R2314" s="1246"/>
      <c r="S2314" s="1246"/>
      <c r="T2314" s="1246"/>
      <c r="U2314" s="1246"/>
      <c r="V2314" s="1246"/>
      <c r="W2314" s="1246"/>
      <c r="X2314" s="1246"/>
      <c r="Y2314" s="1246"/>
      <c r="Z2314" s="1246"/>
      <c r="AA2314" s="1246"/>
      <c r="AB2314" s="1246"/>
      <c r="AC2314" s="1246"/>
      <c r="AD2314" s="1246"/>
      <c r="AE2314" s="1246"/>
      <c r="AF2314" s="1246"/>
      <c r="AG2314" s="1247"/>
      <c r="AH2314" s="518"/>
      <c r="AJ2314" s="595"/>
    </row>
    <row r="2315" spans="1:36" hidden="1" x14ac:dyDescent="0.45">
      <c r="A2315" s="518"/>
      <c r="B2315" s="1245"/>
      <c r="C2315" s="1246"/>
      <c r="D2315" s="1246"/>
      <c r="E2315" s="1246"/>
      <c r="F2315" s="1246"/>
      <c r="G2315" s="1246"/>
      <c r="H2315" s="1246"/>
      <c r="I2315" s="1246"/>
      <c r="J2315" s="1246"/>
      <c r="K2315" s="1246"/>
      <c r="L2315" s="1246"/>
      <c r="M2315" s="1246"/>
      <c r="N2315" s="1246"/>
      <c r="O2315" s="1246"/>
      <c r="P2315" s="1246"/>
      <c r="Q2315" s="1246"/>
      <c r="R2315" s="1246"/>
      <c r="S2315" s="1246"/>
      <c r="T2315" s="1246"/>
      <c r="U2315" s="1246"/>
      <c r="V2315" s="1246"/>
      <c r="W2315" s="1246"/>
      <c r="X2315" s="1246"/>
      <c r="Y2315" s="1246"/>
      <c r="Z2315" s="1246"/>
      <c r="AA2315" s="1246"/>
      <c r="AB2315" s="1246"/>
      <c r="AC2315" s="1246"/>
      <c r="AD2315" s="1246"/>
      <c r="AE2315" s="1246"/>
      <c r="AF2315" s="1246"/>
      <c r="AG2315" s="1247"/>
      <c r="AH2315" s="518"/>
      <c r="AJ2315" s="595"/>
    </row>
    <row r="2316" spans="1:36" hidden="1" x14ac:dyDescent="0.45">
      <c r="A2316" s="518"/>
      <c r="B2316" s="1245"/>
      <c r="C2316" s="1246"/>
      <c r="D2316" s="1246"/>
      <c r="E2316" s="1246"/>
      <c r="F2316" s="1246"/>
      <c r="G2316" s="1246"/>
      <c r="H2316" s="1246"/>
      <c r="I2316" s="1246"/>
      <c r="J2316" s="1246"/>
      <c r="K2316" s="1246"/>
      <c r="L2316" s="1246"/>
      <c r="M2316" s="1246"/>
      <c r="N2316" s="1246"/>
      <c r="O2316" s="1246"/>
      <c r="P2316" s="1246"/>
      <c r="Q2316" s="1246"/>
      <c r="R2316" s="1246"/>
      <c r="S2316" s="1246"/>
      <c r="T2316" s="1246"/>
      <c r="U2316" s="1246"/>
      <c r="V2316" s="1246"/>
      <c r="W2316" s="1246"/>
      <c r="X2316" s="1246"/>
      <c r="Y2316" s="1246"/>
      <c r="Z2316" s="1246"/>
      <c r="AA2316" s="1246"/>
      <c r="AB2316" s="1246"/>
      <c r="AC2316" s="1246"/>
      <c r="AD2316" s="1246"/>
      <c r="AE2316" s="1246"/>
      <c r="AF2316" s="1246"/>
      <c r="AG2316" s="1247"/>
      <c r="AH2316" s="518"/>
      <c r="AJ2316" s="595"/>
    </row>
    <row r="2317" spans="1:36" hidden="1" x14ac:dyDescent="0.45">
      <c r="A2317" s="518"/>
      <c r="B2317" s="1245"/>
      <c r="C2317" s="1246"/>
      <c r="D2317" s="1246"/>
      <c r="E2317" s="1246"/>
      <c r="F2317" s="1246"/>
      <c r="G2317" s="1246"/>
      <c r="H2317" s="1246"/>
      <c r="I2317" s="1246"/>
      <c r="J2317" s="1246"/>
      <c r="K2317" s="1246"/>
      <c r="L2317" s="1246"/>
      <c r="M2317" s="1246"/>
      <c r="N2317" s="1246"/>
      <c r="O2317" s="1246"/>
      <c r="P2317" s="1246"/>
      <c r="Q2317" s="1246"/>
      <c r="R2317" s="1246"/>
      <c r="S2317" s="1246"/>
      <c r="T2317" s="1246"/>
      <c r="U2317" s="1246"/>
      <c r="V2317" s="1246"/>
      <c r="W2317" s="1246"/>
      <c r="X2317" s="1246"/>
      <c r="Y2317" s="1246"/>
      <c r="Z2317" s="1246"/>
      <c r="AA2317" s="1246"/>
      <c r="AB2317" s="1246"/>
      <c r="AC2317" s="1246"/>
      <c r="AD2317" s="1246"/>
      <c r="AE2317" s="1246"/>
      <c r="AF2317" s="1246"/>
      <c r="AG2317" s="1247"/>
      <c r="AH2317" s="518"/>
      <c r="AJ2317" s="595"/>
    </row>
    <row r="2318" spans="1:36" hidden="1" x14ac:dyDescent="0.45">
      <c r="A2318" s="518"/>
      <c r="B2318" s="1245"/>
      <c r="C2318" s="1246"/>
      <c r="D2318" s="1246"/>
      <c r="E2318" s="1246"/>
      <c r="F2318" s="1246"/>
      <c r="G2318" s="1246"/>
      <c r="H2318" s="1246"/>
      <c r="I2318" s="1246"/>
      <c r="J2318" s="1246"/>
      <c r="K2318" s="1246"/>
      <c r="L2318" s="1246"/>
      <c r="M2318" s="1246"/>
      <c r="N2318" s="1246"/>
      <c r="O2318" s="1246"/>
      <c r="P2318" s="1246"/>
      <c r="Q2318" s="1246"/>
      <c r="R2318" s="1246"/>
      <c r="S2318" s="1246"/>
      <c r="T2318" s="1246"/>
      <c r="U2318" s="1246"/>
      <c r="V2318" s="1246"/>
      <c r="W2318" s="1246"/>
      <c r="X2318" s="1246"/>
      <c r="Y2318" s="1246"/>
      <c r="Z2318" s="1246"/>
      <c r="AA2318" s="1246"/>
      <c r="AB2318" s="1246"/>
      <c r="AC2318" s="1246"/>
      <c r="AD2318" s="1246"/>
      <c r="AE2318" s="1246"/>
      <c r="AF2318" s="1246"/>
      <c r="AG2318" s="1247"/>
      <c r="AH2318" s="518"/>
      <c r="AJ2318" s="595"/>
    </row>
    <row r="2319" spans="1:36" hidden="1" x14ac:dyDescent="0.45">
      <c r="A2319" s="518"/>
      <c r="B2319" s="1245"/>
      <c r="C2319" s="1246"/>
      <c r="D2319" s="1246"/>
      <c r="E2319" s="1246"/>
      <c r="F2319" s="1246"/>
      <c r="G2319" s="1246"/>
      <c r="H2319" s="1246"/>
      <c r="I2319" s="1246"/>
      <c r="J2319" s="1246"/>
      <c r="K2319" s="1246"/>
      <c r="L2319" s="1246"/>
      <c r="M2319" s="1246"/>
      <c r="N2319" s="1246"/>
      <c r="O2319" s="1246"/>
      <c r="P2319" s="1246"/>
      <c r="Q2319" s="1246"/>
      <c r="R2319" s="1246"/>
      <c r="S2319" s="1246"/>
      <c r="T2319" s="1246"/>
      <c r="U2319" s="1246"/>
      <c r="V2319" s="1246"/>
      <c r="W2319" s="1246"/>
      <c r="X2319" s="1246"/>
      <c r="Y2319" s="1246"/>
      <c r="Z2319" s="1246"/>
      <c r="AA2319" s="1246"/>
      <c r="AB2319" s="1246"/>
      <c r="AC2319" s="1246"/>
      <c r="AD2319" s="1246"/>
      <c r="AE2319" s="1246"/>
      <c r="AF2319" s="1246"/>
      <c r="AG2319" s="1247"/>
      <c r="AH2319" s="518"/>
      <c r="AJ2319" s="595"/>
    </row>
    <row r="2320" spans="1:36" hidden="1" x14ac:dyDescent="0.45">
      <c r="A2320" s="518"/>
      <c r="B2320" s="1245"/>
      <c r="C2320" s="1246"/>
      <c r="D2320" s="1246"/>
      <c r="E2320" s="1246"/>
      <c r="F2320" s="1246"/>
      <c r="G2320" s="1246"/>
      <c r="H2320" s="1246"/>
      <c r="I2320" s="1246"/>
      <c r="J2320" s="1246"/>
      <c r="K2320" s="1246"/>
      <c r="L2320" s="1246"/>
      <c r="M2320" s="1246"/>
      <c r="N2320" s="1246"/>
      <c r="O2320" s="1246"/>
      <c r="P2320" s="1246"/>
      <c r="Q2320" s="1246"/>
      <c r="R2320" s="1246"/>
      <c r="S2320" s="1246"/>
      <c r="T2320" s="1246"/>
      <c r="U2320" s="1246"/>
      <c r="V2320" s="1246"/>
      <c r="W2320" s="1246"/>
      <c r="X2320" s="1246"/>
      <c r="Y2320" s="1246"/>
      <c r="Z2320" s="1246"/>
      <c r="AA2320" s="1246"/>
      <c r="AB2320" s="1246"/>
      <c r="AC2320" s="1246"/>
      <c r="AD2320" s="1246"/>
      <c r="AE2320" s="1246"/>
      <c r="AF2320" s="1246"/>
      <c r="AG2320" s="1247"/>
      <c r="AH2320" s="518"/>
      <c r="AJ2320" s="595"/>
    </row>
    <row r="2321" spans="1:36" hidden="1" x14ac:dyDescent="0.45">
      <c r="A2321" s="518"/>
      <c r="B2321" s="1245"/>
      <c r="C2321" s="1246"/>
      <c r="D2321" s="1246"/>
      <c r="E2321" s="1246"/>
      <c r="F2321" s="1246"/>
      <c r="G2321" s="1246"/>
      <c r="H2321" s="1246"/>
      <c r="I2321" s="1246"/>
      <c r="J2321" s="1246"/>
      <c r="K2321" s="1246"/>
      <c r="L2321" s="1246"/>
      <c r="M2321" s="1246"/>
      <c r="N2321" s="1246"/>
      <c r="O2321" s="1246"/>
      <c r="P2321" s="1246"/>
      <c r="Q2321" s="1246"/>
      <c r="R2321" s="1246"/>
      <c r="S2321" s="1246"/>
      <c r="T2321" s="1246"/>
      <c r="U2321" s="1246"/>
      <c r="V2321" s="1246"/>
      <c r="W2321" s="1246"/>
      <c r="X2321" s="1246"/>
      <c r="Y2321" s="1246"/>
      <c r="Z2321" s="1246"/>
      <c r="AA2321" s="1246"/>
      <c r="AB2321" s="1246"/>
      <c r="AC2321" s="1246"/>
      <c r="AD2321" s="1246"/>
      <c r="AE2321" s="1246"/>
      <c r="AF2321" s="1246"/>
      <c r="AG2321" s="1247"/>
      <c r="AH2321" s="518"/>
      <c r="AJ2321" s="595"/>
    </row>
    <row r="2322" spans="1:36" hidden="1" x14ac:dyDescent="0.45">
      <c r="A2322" s="518"/>
      <c r="B2322" s="1245"/>
      <c r="C2322" s="1246"/>
      <c r="D2322" s="1246"/>
      <c r="E2322" s="1246"/>
      <c r="F2322" s="1246"/>
      <c r="G2322" s="1246"/>
      <c r="H2322" s="1246"/>
      <c r="I2322" s="1246"/>
      <c r="J2322" s="1246"/>
      <c r="K2322" s="1246"/>
      <c r="L2322" s="1246"/>
      <c r="M2322" s="1246"/>
      <c r="N2322" s="1246"/>
      <c r="O2322" s="1246"/>
      <c r="P2322" s="1246"/>
      <c r="Q2322" s="1246"/>
      <c r="R2322" s="1246"/>
      <c r="S2322" s="1246"/>
      <c r="T2322" s="1246"/>
      <c r="U2322" s="1246"/>
      <c r="V2322" s="1246"/>
      <c r="W2322" s="1246"/>
      <c r="X2322" s="1246"/>
      <c r="Y2322" s="1246"/>
      <c r="Z2322" s="1246"/>
      <c r="AA2322" s="1246"/>
      <c r="AB2322" s="1246"/>
      <c r="AC2322" s="1246"/>
      <c r="AD2322" s="1246"/>
      <c r="AE2322" s="1246"/>
      <c r="AF2322" s="1246"/>
      <c r="AG2322" s="1247"/>
      <c r="AH2322" s="518"/>
      <c r="AJ2322" s="595"/>
    </row>
    <row r="2323" spans="1:36" hidden="1" x14ac:dyDescent="0.45">
      <c r="A2323" s="518"/>
      <c r="B2323" s="1245"/>
      <c r="C2323" s="1246"/>
      <c r="D2323" s="1246"/>
      <c r="E2323" s="1246"/>
      <c r="F2323" s="1246"/>
      <c r="G2323" s="1246"/>
      <c r="H2323" s="1246"/>
      <c r="I2323" s="1246"/>
      <c r="J2323" s="1246"/>
      <c r="K2323" s="1246"/>
      <c r="L2323" s="1246"/>
      <c r="M2323" s="1246"/>
      <c r="N2323" s="1246"/>
      <c r="O2323" s="1246"/>
      <c r="P2323" s="1246"/>
      <c r="Q2323" s="1246"/>
      <c r="R2323" s="1246"/>
      <c r="S2323" s="1246"/>
      <c r="T2323" s="1246"/>
      <c r="U2323" s="1246"/>
      <c r="V2323" s="1246"/>
      <c r="W2323" s="1246"/>
      <c r="X2323" s="1246"/>
      <c r="Y2323" s="1246"/>
      <c r="Z2323" s="1246"/>
      <c r="AA2323" s="1246"/>
      <c r="AB2323" s="1246"/>
      <c r="AC2323" s="1246"/>
      <c r="AD2323" s="1246"/>
      <c r="AE2323" s="1246"/>
      <c r="AF2323" s="1246"/>
      <c r="AG2323" s="1247"/>
      <c r="AH2323" s="518"/>
      <c r="AJ2323" s="595"/>
    </row>
    <row r="2324" spans="1:36" hidden="1" x14ac:dyDescent="0.45">
      <c r="A2324" s="518"/>
      <c r="B2324" s="1245"/>
      <c r="C2324" s="1246"/>
      <c r="D2324" s="1246"/>
      <c r="E2324" s="1246"/>
      <c r="F2324" s="1246"/>
      <c r="G2324" s="1246"/>
      <c r="H2324" s="1246"/>
      <c r="I2324" s="1246"/>
      <c r="J2324" s="1246"/>
      <c r="K2324" s="1246"/>
      <c r="L2324" s="1246"/>
      <c r="M2324" s="1246"/>
      <c r="N2324" s="1246"/>
      <c r="O2324" s="1246"/>
      <c r="P2324" s="1246"/>
      <c r="Q2324" s="1246"/>
      <c r="R2324" s="1246"/>
      <c r="S2324" s="1246"/>
      <c r="T2324" s="1246"/>
      <c r="U2324" s="1246"/>
      <c r="V2324" s="1246"/>
      <c r="W2324" s="1246"/>
      <c r="X2324" s="1246"/>
      <c r="Y2324" s="1246"/>
      <c r="Z2324" s="1246"/>
      <c r="AA2324" s="1246"/>
      <c r="AB2324" s="1246"/>
      <c r="AC2324" s="1246"/>
      <c r="AD2324" s="1246"/>
      <c r="AE2324" s="1246"/>
      <c r="AF2324" s="1246"/>
      <c r="AG2324" s="1247"/>
      <c r="AH2324" s="518"/>
      <c r="AJ2324" s="595"/>
    </row>
    <row r="2325" spans="1:36" hidden="1" x14ac:dyDescent="0.45">
      <c r="A2325" s="518"/>
      <c r="B2325" s="1245"/>
      <c r="C2325" s="1246"/>
      <c r="D2325" s="1246"/>
      <c r="E2325" s="1246"/>
      <c r="F2325" s="1246"/>
      <c r="G2325" s="1246"/>
      <c r="H2325" s="1246"/>
      <c r="I2325" s="1246"/>
      <c r="J2325" s="1246"/>
      <c r="K2325" s="1246"/>
      <c r="L2325" s="1246"/>
      <c r="M2325" s="1246"/>
      <c r="N2325" s="1246"/>
      <c r="O2325" s="1246"/>
      <c r="P2325" s="1246"/>
      <c r="Q2325" s="1246"/>
      <c r="R2325" s="1246"/>
      <c r="S2325" s="1246"/>
      <c r="T2325" s="1246"/>
      <c r="U2325" s="1246"/>
      <c r="V2325" s="1246"/>
      <c r="W2325" s="1246"/>
      <c r="X2325" s="1246"/>
      <c r="Y2325" s="1246"/>
      <c r="Z2325" s="1246"/>
      <c r="AA2325" s="1246"/>
      <c r="AB2325" s="1246"/>
      <c r="AC2325" s="1246"/>
      <c r="AD2325" s="1246"/>
      <c r="AE2325" s="1246"/>
      <c r="AF2325" s="1246"/>
      <c r="AG2325" s="1247"/>
      <c r="AH2325" s="518"/>
      <c r="AJ2325" s="595"/>
    </row>
    <row r="2326" spans="1:36" hidden="1" x14ac:dyDescent="0.45">
      <c r="A2326" s="518"/>
      <c r="B2326" s="1245"/>
      <c r="C2326" s="1246"/>
      <c r="D2326" s="1246"/>
      <c r="E2326" s="1246"/>
      <c r="F2326" s="1246"/>
      <c r="G2326" s="1246"/>
      <c r="H2326" s="1246"/>
      <c r="I2326" s="1246"/>
      <c r="J2326" s="1246"/>
      <c r="K2326" s="1246"/>
      <c r="L2326" s="1246"/>
      <c r="M2326" s="1246"/>
      <c r="N2326" s="1246"/>
      <c r="O2326" s="1246"/>
      <c r="P2326" s="1246"/>
      <c r="Q2326" s="1246"/>
      <c r="R2326" s="1246"/>
      <c r="S2326" s="1246"/>
      <c r="T2326" s="1246"/>
      <c r="U2326" s="1246"/>
      <c r="V2326" s="1246"/>
      <c r="W2326" s="1246"/>
      <c r="X2326" s="1246"/>
      <c r="Y2326" s="1246"/>
      <c r="Z2326" s="1246"/>
      <c r="AA2326" s="1246"/>
      <c r="AB2326" s="1246"/>
      <c r="AC2326" s="1246"/>
      <c r="AD2326" s="1246"/>
      <c r="AE2326" s="1246"/>
      <c r="AF2326" s="1246"/>
      <c r="AG2326" s="1247"/>
      <c r="AH2326" s="518"/>
      <c r="AJ2326" s="595"/>
    </row>
    <row r="2327" spans="1:36" hidden="1" x14ac:dyDescent="0.45">
      <c r="A2327" s="518"/>
      <c r="B2327" s="1245"/>
      <c r="C2327" s="1246"/>
      <c r="D2327" s="1246"/>
      <c r="E2327" s="1246"/>
      <c r="F2327" s="1246"/>
      <c r="G2327" s="1246"/>
      <c r="H2327" s="1246"/>
      <c r="I2327" s="1246"/>
      <c r="J2327" s="1246"/>
      <c r="K2327" s="1246"/>
      <c r="L2327" s="1246"/>
      <c r="M2327" s="1246"/>
      <c r="N2327" s="1246"/>
      <c r="O2327" s="1246"/>
      <c r="P2327" s="1246"/>
      <c r="Q2327" s="1246"/>
      <c r="R2327" s="1246"/>
      <c r="S2327" s="1246"/>
      <c r="T2327" s="1246"/>
      <c r="U2327" s="1246"/>
      <c r="V2327" s="1246"/>
      <c r="W2327" s="1246"/>
      <c r="X2327" s="1246"/>
      <c r="Y2327" s="1246"/>
      <c r="Z2327" s="1246"/>
      <c r="AA2327" s="1246"/>
      <c r="AB2327" s="1246"/>
      <c r="AC2327" s="1246"/>
      <c r="AD2327" s="1246"/>
      <c r="AE2327" s="1246"/>
      <c r="AF2327" s="1246"/>
      <c r="AG2327" s="1247"/>
      <c r="AH2327" s="518"/>
      <c r="AJ2327" s="595"/>
    </row>
    <row r="2328" spans="1:36" hidden="1" x14ac:dyDescent="0.45">
      <c r="A2328" s="518"/>
      <c r="B2328" s="1245"/>
      <c r="C2328" s="1246"/>
      <c r="D2328" s="1246"/>
      <c r="E2328" s="1246"/>
      <c r="F2328" s="1246"/>
      <c r="G2328" s="1246"/>
      <c r="H2328" s="1246"/>
      <c r="I2328" s="1246"/>
      <c r="J2328" s="1246"/>
      <c r="K2328" s="1246"/>
      <c r="L2328" s="1246"/>
      <c r="M2328" s="1246"/>
      <c r="N2328" s="1246"/>
      <c r="O2328" s="1246"/>
      <c r="P2328" s="1246"/>
      <c r="Q2328" s="1246"/>
      <c r="R2328" s="1246"/>
      <c r="S2328" s="1246"/>
      <c r="T2328" s="1246"/>
      <c r="U2328" s="1246"/>
      <c r="V2328" s="1246"/>
      <c r="W2328" s="1246"/>
      <c r="X2328" s="1246"/>
      <c r="Y2328" s="1246"/>
      <c r="Z2328" s="1246"/>
      <c r="AA2328" s="1246"/>
      <c r="AB2328" s="1246"/>
      <c r="AC2328" s="1246"/>
      <c r="AD2328" s="1246"/>
      <c r="AE2328" s="1246"/>
      <c r="AF2328" s="1246"/>
      <c r="AG2328" s="1247"/>
      <c r="AH2328" s="518"/>
      <c r="AJ2328" s="595"/>
    </row>
    <row r="2329" spans="1:36" hidden="1" x14ac:dyDescent="0.45">
      <c r="A2329" s="518"/>
      <c r="B2329" s="1245"/>
      <c r="C2329" s="1246"/>
      <c r="D2329" s="1246"/>
      <c r="E2329" s="1246"/>
      <c r="F2329" s="1246"/>
      <c r="G2329" s="1246"/>
      <c r="H2329" s="1246"/>
      <c r="I2329" s="1246"/>
      <c r="J2329" s="1246"/>
      <c r="K2329" s="1246"/>
      <c r="L2329" s="1246"/>
      <c r="M2329" s="1246"/>
      <c r="N2329" s="1246"/>
      <c r="O2329" s="1246"/>
      <c r="P2329" s="1246"/>
      <c r="Q2329" s="1246"/>
      <c r="R2329" s="1246"/>
      <c r="S2329" s="1246"/>
      <c r="T2329" s="1246"/>
      <c r="U2329" s="1246"/>
      <c r="V2329" s="1246"/>
      <c r="W2329" s="1246"/>
      <c r="X2329" s="1246"/>
      <c r="Y2329" s="1246"/>
      <c r="Z2329" s="1246"/>
      <c r="AA2329" s="1246"/>
      <c r="AB2329" s="1246"/>
      <c r="AC2329" s="1246"/>
      <c r="AD2329" s="1246"/>
      <c r="AE2329" s="1246"/>
      <c r="AF2329" s="1246"/>
      <c r="AG2329" s="1247"/>
      <c r="AH2329" s="518"/>
      <c r="AJ2329" s="595"/>
    </row>
    <row r="2330" spans="1:36" hidden="1" x14ac:dyDescent="0.45">
      <c r="A2330" s="518"/>
      <c r="B2330" s="1245"/>
      <c r="C2330" s="1246"/>
      <c r="D2330" s="1246"/>
      <c r="E2330" s="1246"/>
      <c r="F2330" s="1246"/>
      <c r="G2330" s="1246"/>
      <c r="H2330" s="1246"/>
      <c r="I2330" s="1246"/>
      <c r="J2330" s="1246"/>
      <c r="K2330" s="1246"/>
      <c r="L2330" s="1246"/>
      <c r="M2330" s="1246"/>
      <c r="N2330" s="1246"/>
      <c r="O2330" s="1246"/>
      <c r="P2330" s="1246"/>
      <c r="Q2330" s="1246"/>
      <c r="R2330" s="1246"/>
      <c r="S2330" s="1246"/>
      <c r="T2330" s="1246"/>
      <c r="U2330" s="1246"/>
      <c r="V2330" s="1246"/>
      <c r="W2330" s="1246"/>
      <c r="X2330" s="1246"/>
      <c r="Y2330" s="1246"/>
      <c r="Z2330" s="1246"/>
      <c r="AA2330" s="1246"/>
      <c r="AB2330" s="1246"/>
      <c r="AC2330" s="1246"/>
      <c r="AD2330" s="1246"/>
      <c r="AE2330" s="1246"/>
      <c r="AF2330" s="1246"/>
      <c r="AG2330" s="1247"/>
      <c r="AH2330" s="518"/>
      <c r="AJ2330" s="595"/>
    </row>
    <row r="2331" spans="1:36" hidden="1" x14ac:dyDescent="0.45">
      <c r="A2331" s="518"/>
      <c r="B2331" s="1245"/>
      <c r="C2331" s="1246"/>
      <c r="D2331" s="1246"/>
      <c r="E2331" s="1246"/>
      <c r="F2331" s="1246"/>
      <c r="G2331" s="1246"/>
      <c r="H2331" s="1246"/>
      <c r="I2331" s="1246"/>
      <c r="J2331" s="1246"/>
      <c r="K2331" s="1246"/>
      <c r="L2331" s="1246"/>
      <c r="M2331" s="1246"/>
      <c r="N2331" s="1246"/>
      <c r="O2331" s="1246"/>
      <c r="P2331" s="1246"/>
      <c r="Q2331" s="1246"/>
      <c r="R2331" s="1246"/>
      <c r="S2331" s="1246"/>
      <c r="T2331" s="1246"/>
      <c r="U2331" s="1246"/>
      <c r="V2331" s="1246"/>
      <c r="W2331" s="1246"/>
      <c r="X2331" s="1246"/>
      <c r="Y2331" s="1246"/>
      <c r="Z2331" s="1246"/>
      <c r="AA2331" s="1246"/>
      <c r="AB2331" s="1246"/>
      <c r="AC2331" s="1246"/>
      <c r="AD2331" s="1246"/>
      <c r="AE2331" s="1246"/>
      <c r="AF2331" s="1246"/>
      <c r="AG2331" s="1247"/>
      <c r="AH2331" s="518"/>
      <c r="AJ2331" s="595"/>
    </row>
    <row r="2332" spans="1:36" hidden="1" x14ac:dyDescent="0.45">
      <c r="A2332" s="518"/>
      <c r="B2332" s="1245"/>
      <c r="C2332" s="1246"/>
      <c r="D2332" s="1246"/>
      <c r="E2332" s="1246"/>
      <c r="F2332" s="1246"/>
      <c r="G2332" s="1246"/>
      <c r="H2332" s="1246"/>
      <c r="I2332" s="1246"/>
      <c r="J2332" s="1246"/>
      <c r="K2332" s="1246"/>
      <c r="L2332" s="1246"/>
      <c r="M2332" s="1246"/>
      <c r="N2332" s="1246"/>
      <c r="O2332" s="1246"/>
      <c r="P2332" s="1246"/>
      <c r="Q2332" s="1246"/>
      <c r="R2332" s="1246"/>
      <c r="S2332" s="1246"/>
      <c r="T2332" s="1246"/>
      <c r="U2332" s="1246"/>
      <c r="V2332" s="1246"/>
      <c r="W2332" s="1246"/>
      <c r="X2332" s="1246"/>
      <c r="Y2332" s="1246"/>
      <c r="Z2332" s="1246"/>
      <c r="AA2332" s="1246"/>
      <c r="AB2332" s="1246"/>
      <c r="AC2332" s="1246"/>
      <c r="AD2332" s="1246"/>
      <c r="AE2332" s="1246"/>
      <c r="AF2332" s="1246"/>
      <c r="AG2332" s="1247"/>
      <c r="AH2332" s="518"/>
      <c r="AJ2332" s="595"/>
    </row>
    <row r="2333" spans="1:36" hidden="1" x14ac:dyDescent="0.45">
      <c r="A2333" s="518"/>
      <c r="B2333" s="1245"/>
      <c r="C2333" s="1246"/>
      <c r="D2333" s="1246"/>
      <c r="E2333" s="1246"/>
      <c r="F2333" s="1246"/>
      <c r="G2333" s="1246"/>
      <c r="H2333" s="1246"/>
      <c r="I2333" s="1246"/>
      <c r="J2333" s="1246"/>
      <c r="K2333" s="1246"/>
      <c r="L2333" s="1246"/>
      <c r="M2333" s="1246"/>
      <c r="N2333" s="1246"/>
      <c r="O2333" s="1246"/>
      <c r="P2333" s="1246"/>
      <c r="Q2333" s="1246"/>
      <c r="R2333" s="1246"/>
      <c r="S2333" s="1246"/>
      <c r="T2333" s="1246"/>
      <c r="U2333" s="1246"/>
      <c r="V2333" s="1246"/>
      <c r="W2333" s="1246"/>
      <c r="X2333" s="1246"/>
      <c r="Y2333" s="1246"/>
      <c r="Z2333" s="1246"/>
      <c r="AA2333" s="1246"/>
      <c r="AB2333" s="1246"/>
      <c r="AC2333" s="1246"/>
      <c r="AD2333" s="1246"/>
      <c r="AE2333" s="1246"/>
      <c r="AF2333" s="1246"/>
      <c r="AG2333" s="1247"/>
      <c r="AH2333" s="518"/>
      <c r="AJ2333" s="595"/>
    </row>
    <row r="2334" spans="1:36" hidden="1" x14ac:dyDescent="0.45">
      <c r="A2334" s="518"/>
      <c r="B2334" s="1245"/>
      <c r="C2334" s="1246"/>
      <c r="D2334" s="1246"/>
      <c r="E2334" s="1246"/>
      <c r="F2334" s="1246"/>
      <c r="G2334" s="1246"/>
      <c r="H2334" s="1246"/>
      <c r="I2334" s="1246"/>
      <c r="J2334" s="1246"/>
      <c r="K2334" s="1246"/>
      <c r="L2334" s="1246"/>
      <c r="M2334" s="1246"/>
      <c r="N2334" s="1246"/>
      <c r="O2334" s="1246"/>
      <c r="P2334" s="1246"/>
      <c r="Q2334" s="1246"/>
      <c r="R2334" s="1246"/>
      <c r="S2334" s="1246"/>
      <c r="T2334" s="1246"/>
      <c r="U2334" s="1246"/>
      <c r="V2334" s="1246"/>
      <c r="W2334" s="1246"/>
      <c r="X2334" s="1246"/>
      <c r="Y2334" s="1246"/>
      <c r="Z2334" s="1246"/>
      <c r="AA2334" s="1246"/>
      <c r="AB2334" s="1246"/>
      <c r="AC2334" s="1246"/>
      <c r="AD2334" s="1246"/>
      <c r="AE2334" s="1246"/>
      <c r="AF2334" s="1246"/>
      <c r="AG2334" s="1247"/>
      <c r="AH2334" s="518"/>
      <c r="AJ2334" s="595"/>
    </row>
    <row r="2335" spans="1:36" hidden="1" x14ac:dyDescent="0.45">
      <c r="A2335" s="518"/>
      <c r="B2335" s="1245"/>
      <c r="C2335" s="1246"/>
      <c r="D2335" s="1246"/>
      <c r="E2335" s="1246"/>
      <c r="F2335" s="1246"/>
      <c r="G2335" s="1246"/>
      <c r="H2335" s="1246"/>
      <c r="I2335" s="1246"/>
      <c r="J2335" s="1246"/>
      <c r="K2335" s="1246"/>
      <c r="L2335" s="1246"/>
      <c r="M2335" s="1246"/>
      <c r="N2335" s="1246"/>
      <c r="O2335" s="1246"/>
      <c r="P2335" s="1246"/>
      <c r="Q2335" s="1246"/>
      <c r="R2335" s="1246"/>
      <c r="S2335" s="1246"/>
      <c r="T2335" s="1246"/>
      <c r="U2335" s="1246"/>
      <c r="V2335" s="1246"/>
      <c r="W2335" s="1246"/>
      <c r="X2335" s="1246"/>
      <c r="Y2335" s="1246"/>
      <c r="Z2335" s="1246"/>
      <c r="AA2335" s="1246"/>
      <c r="AB2335" s="1246"/>
      <c r="AC2335" s="1246"/>
      <c r="AD2335" s="1246"/>
      <c r="AE2335" s="1246"/>
      <c r="AF2335" s="1246"/>
      <c r="AG2335" s="1247"/>
      <c r="AH2335" s="518"/>
      <c r="AJ2335" s="595"/>
    </row>
    <row r="2336" spans="1:36" hidden="1" x14ac:dyDescent="0.45">
      <c r="A2336" s="518"/>
      <c r="B2336" s="1245"/>
      <c r="C2336" s="1246"/>
      <c r="D2336" s="1246"/>
      <c r="E2336" s="1246"/>
      <c r="F2336" s="1246"/>
      <c r="G2336" s="1246"/>
      <c r="H2336" s="1246"/>
      <c r="I2336" s="1246"/>
      <c r="J2336" s="1246"/>
      <c r="K2336" s="1246"/>
      <c r="L2336" s="1246"/>
      <c r="M2336" s="1246"/>
      <c r="N2336" s="1246"/>
      <c r="O2336" s="1246"/>
      <c r="P2336" s="1246"/>
      <c r="Q2336" s="1246"/>
      <c r="R2336" s="1246"/>
      <c r="S2336" s="1246"/>
      <c r="T2336" s="1246"/>
      <c r="U2336" s="1246"/>
      <c r="V2336" s="1246"/>
      <c r="W2336" s="1246"/>
      <c r="X2336" s="1246"/>
      <c r="Y2336" s="1246"/>
      <c r="Z2336" s="1246"/>
      <c r="AA2336" s="1246"/>
      <c r="AB2336" s="1246"/>
      <c r="AC2336" s="1246"/>
      <c r="AD2336" s="1246"/>
      <c r="AE2336" s="1246"/>
      <c r="AF2336" s="1246"/>
      <c r="AG2336" s="1247"/>
      <c r="AH2336" s="518"/>
      <c r="AJ2336" s="595"/>
    </row>
    <row r="2337" spans="1:36" hidden="1" x14ac:dyDescent="0.45">
      <c r="A2337" s="518"/>
      <c r="B2337" s="1245"/>
      <c r="C2337" s="1246"/>
      <c r="D2337" s="1246"/>
      <c r="E2337" s="1246"/>
      <c r="F2337" s="1246"/>
      <c r="G2337" s="1246"/>
      <c r="H2337" s="1246"/>
      <c r="I2337" s="1246"/>
      <c r="J2337" s="1246"/>
      <c r="K2337" s="1246"/>
      <c r="L2337" s="1246"/>
      <c r="M2337" s="1246"/>
      <c r="N2337" s="1246"/>
      <c r="O2337" s="1246"/>
      <c r="P2337" s="1246"/>
      <c r="Q2337" s="1246"/>
      <c r="R2337" s="1246"/>
      <c r="S2337" s="1246"/>
      <c r="T2337" s="1246"/>
      <c r="U2337" s="1246"/>
      <c r="V2337" s="1246"/>
      <c r="W2337" s="1246"/>
      <c r="X2337" s="1246"/>
      <c r="Y2337" s="1246"/>
      <c r="Z2337" s="1246"/>
      <c r="AA2337" s="1246"/>
      <c r="AB2337" s="1246"/>
      <c r="AC2337" s="1246"/>
      <c r="AD2337" s="1246"/>
      <c r="AE2337" s="1246"/>
      <c r="AF2337" s="1246"/>
      <c r="AG2337" s="1247"/>
      <c r="AH2337" s="518"/>
      <c r="AJ2337" s="595"/>
    </row>
    <row r="2338" spans="1:36" hidden="1" x14ac:dyDescent="0.45">
      <c r="A2338" s="518"/>
      <c r="B2338" s="1245"/>
      <c r="C2338" s="1246"/>
      <c r="D2338" s="1246"/>
      <c r="E2338" s="1246"/>
      <c r="F2338" s="1246"/>
      <c r="G2338" s="1246"/>
      <c r="H2338" s="1246"/>
      <c r="I2338" s="1246"/>
      <c r="J2338" s="1246"/>
      <c r="K2338" s="1246"/>
      <c r="L2338" s="1246"/>
      <c r="M2338" s="1246"/>
      <c r="N2338" s="1246"/>
      <c r="O2338" s="1246"/>
      <c r="P2338" s="1246"/>
      <c r="Q2338" s="1246"/>
      <c r="R2338" s="1246"/>
      <c r="S2338" s="1246"/>
      <c r="T2338" s="1246"/>
      <c r="U2338" s="1246"/>
      <c r="V2338" s="1246"/>
      <c r="W2338" s="1246"/>
      <c r="X2338" s="1246"/>
      <c r="Y2338" s="1246"/>
      <c r="Z2338" s="1246"/>
      <c r="AA2338" s="1246"/>
      <c r="AB2338" s="1246"/>
      <c r="AC2338" s="1246"/>
      <c r="AD2338" s="1246"/>
      <c r="AE2338" s="1246"/>
      <c r="AF2338" s="1246"/>
      <c r="AG2338" s="1247"/>
      <c r="AH2338" s="518"/>
      <c r="AJ2338" s="595"/>
    </row>
    <row r="2339" spans="1:36" hidden="1" x14ac:dyDescent="0.45">
      <c r="A2339" s="518"/>
      <c r="B2339" s="1245"/>
      <c r="C2339" s="1246"/>
      <c r="D2339" s="1246"/>
      <c r="E2339" s="1246"/>
      <c r="F2339" s="1246"/>
      <c r="G2339" s="1246"/>
      <c r="H2339" s="1246"/>
      <c r="I2339" s="1246"/>
      <c r="J2339" s="1246"/>
      <c r="K2339" s="1246"/>
      <c r="L2339" s="1246"/>
      <c r="M2339" s="1246"/>
      <c r="N2339" s="1246"/>
      <c r="O2339" s="1246"/>
      <c r="P2339" s="1246"/>
      <c r="Q2339" s="1246"/>
      <c r="R2339" s="1246"/>
      <c r="S2339" s="1246"/>
      <c r="T2339" s="1246"/>
      <c r="U2339" s="1246"/>
      <c r="V2339" s="1246"/>
      <c r="W2339" s="1246"/>
      <c r="X2339" s="1246"/>
      <c r="Y2339" s="1246"/>
      <c r="Z2339" s="1246"/>
      <c r="AA2339" s="1246"/>
      <c r="AB2339" s="1246"/>
      <c r="AC2339" s="1246"/>
      <c r="AD2339" s="1246"/>
      <c r="AE2339" s="1246"/>
      <c r="AF2339" s="1246"/>
      <c r="AG2339" s="1247"/>
      <c r="AH2339" s="518"/>
      <c r="AJ2339" s="595"/>
    </row>
    <row r="2340" spans="1:36" hidden="1" x14ac:dyDescent="0.45">
      <c r="A2340" s="518"/>
      <c r="B2340" s="1245"/>
      <c r="C2340" s="1246"/>
      <c r="D2340" s="1246"/>
      <c r="E2340" s="1246"/>
      <c r="F2340" s="1246"/>
      <c r="G2340" s="1246"/>
      <c r="H2340" s="1246"/>
      <c r="I2340" s="1246"/>
      <c r="J2340" s="1246"/>
      <c r="K2340" s="1246"/>
      <c r="L2340" s="1246"/>
      <c r="M2340" s="1246"/>
      <c r="N2340" s="1246"/>
      <c r="O2340" s="1246"/>
      <c r="P2340" s="1246"/>
      <c r="Q2340" s="1246"/>
      <c r="R2340" s="1246"/>
      <c r="S2340" s="1246"/>
      <c r="T2340" s="1246"/>
      <c r="U2340" s="1246"/>
      <c r="V2340" s="1246"/>
      <c r="W2340" s="1246"/>
      <c r="X2340" s="1246"/>
      <c r="Y2340" s="1246"/>
      <c r="Z2340" s="1246"/>
      <c r="AA2340" s="1246"/>
      <c r="AB2340" s="1246"/>
      <c r="AC2340" s="1246"/>
      <c r="AD2340" s="1246"/>
      <c r="AE2340" s="1246"/>
      <c r="AF2340" s="1246"/>
      <c r="AG2340" s="1247"/>
      <c r="AH2340" s="518"/>
      <c r="AJ2340" s="595"/>
    </row>
    <row r="2341" spans="1:36" hidden="1" x14ac:dyDescent="0.45">
      <c r="A2341" s="518"/>
      <c r="B2341" s="1245"/>
      <c r="C2341" s="1246"/>
      <c r="D2341" s="1246"/>
      <c r="E2341" s="1246"/>
      <c r="F2341" s="1246"/>
      <c r="G2341" s="1246"/>
      <c r="H2341" s="1246"/>
      <c r="I2341" s="1246"/>
      <c r="J2341" s="1246"/>
      <c r="K2341" s="1246"/>
      <c r="L2341" s="1246"/>
      <c r="M2341" s="1246"/>
      <c r="N2341" s="1246"/>
      <c r="O2341" s="1246"/>
      <c r="P2341" s="1246"/>
      <c r="Q2341" s="1246"/>
      <c r="R2341" s="1246"/>
      <c r="S2341" s="1246"/>
      <c r="T2341" s="1246"/>
      <c r="U2341" s="1246"/>
      <c r="V2341" s="1246"/>
      <c r="W2341" s="1246"/>
      <c r="X2341" s="1246"/>
      <c r="Y2341" s="1246"/>
      <c r="Z2341" s="1246"/>
      <c r="AA2341" s="1246"/>
      <c r="AB2341" s="1246"/>
      <c r="AC2341" s="1246"/>
      <c r="AD2341" s="1246"/>
      <c r="AE2341" s="1246"/>
      <c r="AF2341" s="1246"/>
      <c r="AG2341" s="1247"/>
      <c r="AH2341" s="518"/>
      <c r="AJ2341" s="595"/>
    </row>
    <row r="2342" spans="1:36" hidden="1" x14ac:dyDescent="0.45">
      <c r="A2342" s="518"/>
      <c r="B2342" s="1245"/>
      <c r="C2342" s="1246"/>
      <c r="D2342" s="1246"/>
      <c r="E2342" s="1246"/>
      <c r="F2342" s="1246"/>
      <c r="G2342" s="1246"/>
      <c r="H2342" s="1246"/>
      <c r="I2342" s="1246"/>
      <c r="J2342" s="1246"/>
      <c r="K2342" s="1246"/>
      <c r="L2342" s="1246"/>
      <c r="M2342" s="1246"/>
      <c r="N2342" s="1246"/>
      <c r="O2342" s="1246"/>
      <c r="P2342" s="1246"/>
      <c r="Q2342" s="1246"/>
      <c r="R2342" s="1246"/>
      <c r="S2342" s="1246"/>
      <c r="T2342" s="1246"/>
      <c r="U2342" s="1246"/>
      <c r="V2342" s="1246"/>
      <c r="W2342" s="1246"/>
      <c r="X2342" s="1246"/>
      <c r="Y2342" s="1246"/>
      <c r="Z2342" s="1246"/>
      <c r="AA2342" s="1246"/>
      <c r="AB2342" s="1246"/>
      <c r="AC2342" s="1246"/>
      <c r="AD2342" s="1246"/>
      <c r="AE2342" s="1246"/>
      <c r="AF2342" s="1246"/>
      <c r="AG2342" s="1247"/>
      <c r="AH2342" s="518"/>
      <c r="AJ2342" s="595"/>
    </row>
    <row r="2343" spans="1:36" hidden="1" x14ac:dyDescent="0.45">
      <c r="A2343" s="518"/>
      <c r="B2343" s="1245"/>
      <c r="C2343" s="1246"/>
      <c r="D2343" s="1246"/>
      <c r="E2343" s="1246"/>
      <c r="F2343" s="1246"/>
      <c r="G2343" s="1246"/>
      <c r="H2343" s="1246"/>
      <c r="I2343" s="1246"/>
      <c r="J2343" s="1246"/>
      <c r="K2343" s="1246"/>
      <c r="L2343" s="1246"/>
      <c r="M2343" s="1246"/>
      <c r="N2343" s="1246"/>
      <c r="O2343" s="1246"/>
      <c r="P2343" s="1246"/>
      <c r="Q2343" s="1246"/>
      <c r="R2343" s="1246"/>
      <c r="S2343" s="1246"/>
      <c r="T2343" s="1246"/>
      <c r="U2343" s="1246"/>
      <c r="V2343" s="1246"/>
      <c r="W2343" s="1246"/>
      <c r="X2343" s="1246"/>
      <c r="Y2343" s="1246"/>
      <c r="Z2343" s="1246"/>
      <c r="AA2343" s="1246"/>
      <c r="AB2343" s="1246"/>
      <c r="AC2343" s="1246"/>
      <c r="AD2343" s="1246"/>
      <c r="AE2343" s="1246"/>
      <c r="AF2343" s="1246"/>
      <c r="AG2343" s="1247"/>
      <c r="AH2343" s="518"/>
      <c r="AJ2343" s="595"/>
    </row>
    <row r="2344" spans="1:36" hidden="1" x14ac:dyDescent="0.45">
      <c r="A2344" s="518"/>
      <c r="B2344" s="1245"/>
      <c r="C2344" s="1246"/>
      <c r="D2344" s="1246"/>
      <c r="E2344" s="1246"/>
      <c r="F2344" s="1246"/>
      <c r="G2344" s="1246"/>
      <c r="H2344" s="1246"/>
      <c r="I2344" s="1246"/>
      <c r="J2344" s="1246"/>
      <c r="K2344" s="1246"/>
      <c r="L2344" s="1246"/>
      <c r="M2344" s="1246"/>
      <c r="N2344" s="1246"/>
      <c r="O2344" s="1246"/>
      <c r="P2344" s="1246"/>
      <c r="Q2344" s="1246"/>
      <c r="R2344" s="1246"/>
      <c r="S2344" s="1246"/>
      <c r="T2344" s="1246"/>
      <c r="U2344" s="1246"/>
      <c r="V2344" s="1246"/>
      <c r="W2344" s="1246"/>
      <c r="X2344" s="1246"/>
      <c r="Y2344" s="1246"/>
      <c r="Z2344" s="1246"/>
      <c r="AA2344" s="1246"/>
      <c r="AB2344" s="1246"/>
      <c r="AC2344" s="1246"/>
      <c r="AD2344" s="1246"/>
      <c r="AE2344" s="1246"/>
      <c r="AF2344" s="1246"/>
      <c r="AG2344" s="1247"/>
      <c r="AH2344" s="518"/>
      <c r="AJ2344" s="595"/>
    </row>
    <row r="2345" spans="1:36" hidden="1" x14ac:dyDescent="0.45">
      <c r="A2345" s="518"/>
      <c r="B2345" s="1245"/>
      <c r="C2345" s="1246"/>
      <c r="D2345" s="1246"/>
      <c r="E2345" s="1246"/>
      <c r="F2345" s="1246"/>
      <c r="G2345" s="1246"/>
      <c r="H2345" s="1246"/>
      <c r="I2345" s="1246"/>
      <c r="J2345" s="1246"/>
      <c r="K2345" s="1246"/>
      <c r="L2345" s="1246"/>
      <c r="M2345" s="1246"/>
      <c r="N2345" s="1246"/>
      <c r="O2345" s="1246"/>
      <c r="P2345" s="1246"/>
      <c r="Q2345" s="1246"/>
      <c r="R2345" s="1246"/>
      <c r="S2345" s="1246"/>
      <c r="T2345" s="1246"/>
      <c r="U2345" s="1246"/>
      <c r="V2345" s="1246"/>
      <c r="W2345" s="1246"/>
      <c r="X2345" s="1246"/>
      <c r="Y2345" s="1246"/>
      <c r="Z2345" s="1246"/>
      <c r="AA2345" s="1246"/>
      <c r="AB2345" s="1246"/>
      <c r="AC2345" s="1246"/>
      <c r="AD2345" s="1246"/>
      <c r="AE2345" s="1246"/>
      <c r="AF2345" s="1246"/>
      <c r="AG2345" s="1247"/>
      <c r="AH2345" s="518"/>
      <c r="AJ2345" s="595"/>
    </row>
    <row r="2346" spans="1:36" hidden="1" x14ac:dyDescent="0.45">
      <c r="A2346" s="518"/>
      <c r="B2346" s="1245"/>
      <c r="C2346" s="1246"/>
      <c r="D2346" s="1246"/>
      <c r="E2346" s="1246"/>
      <c r="F2346" s="1246"/>
      <c r="G2346" s="1246"/>
      <c r="H2346" s="1246"/>
      <c r="I2346" s="1246"/>
      <c r="J2346" s="1246"/>
      <c r="K2346" s="1246"/>
      <c r="L2346" s="1246"/>
      <c r="M2346" s="1246"/>
      <c r="N2346" s="1246"/>
      <c r="O2346" s="1246"/>
      <c r="P2346" s="1246"/>
      <c r="Q2346" s="1246"/>
      <c r="R2346" s="1246"/>
      <c r="S2346" s="1246"/>
      <c r="T2346" s="1246"/>
      <c r="U2346" s="1246"/>
      <c r="V2346" s="1246"/>
      <c r="W2346" s="1246"/>
      <c r="X2346" s="1246"/>
      <c r="Y2346" s="1246"/>
      <c r="Z2346" s="1246"/>
      <c r="AA2346" s="1246"/>
      <c r="AB2346" s="1246"/>
      <c r="AC2346" s="1246"/>
      <c r="AD2346" s="1246"/>
      <c r="AE2346" s="1246"/>
      <c r="AF2346" s="1246"/>
      <c r="AG2346" s="1247"/>
      <c r="AH2346" s="518"/>
      <c r="AJ2346" s="595"/>
    </row>
    <row r="2347" spans="1:36" hidden="1" x14ac:dyDescent="0.45">
      <c r="A2347" s="518"/>
      <c r="B2347" s="1245"/>
      <c r="C2347" s="1246"/>
      <c r="D2347" s="1246"/>
      <c r="E2347" s="1246"/>
      <c r="F2347" s="1246"/>
      <c r="G2347" s="1246"/>
      <c r="H2347" s="1246"/>
      <c r="I2347" s="1246"/>
      <c r="J2347" s="1246"/>
      <c r="K2347" s="1246"/>
      <c r="L2347" s="1246"/>
      <c r="M2347" s="1246"/>
      <c r="N2347" s="1246"/>
      <c r="O2347" s="1246"/>
      <c r="P2347" s="1246"/>
      <c r="Q2347" s="1246"/>
      <c r="R2347" s="1246"/>
      <c r="S2347" s="1246"/>
      <c r="T2347" s="1246"/>
      <c r="U2347" s="1246"/>
      <c r="V2347" s="1246"/>
      <c r="W2347" s="1246"/>
      <c r="X2347" s="1246"/>
      <c r="Y2347" s="1246"/>
      <c r="Z2347" s="1246"/>
      <c r="AA2347" s="1246"/>
      <c r="AB2347" s="1246"/>
      <c r="AC2347" s="1246"/>
      <c r="AD2347" s="1246"/>
      <c r="AE2347" s="1246"/>
      <c r="AF2347" s="1246"/>
      <c r="AG2347" s="1247"/>
      <c r="AH2347" s="518"/>
      <c r="AJ2347" s="595"/>
    </row>
    <row r="2348" spans="1:36" hidden="1" x14ac:dyDescent="0.45">
      <c r="A2348" s="518"/>
      <c r="B2348" s="1153"/>
      <c r="C2348" s="1154"/>
      <c r="D2348" s="1154"/>
      <c r="E2348" s="1154"/>
      <c r="F2348" s="1154"/>
      <c r="G2348" s="1154"/>
      <c r="H2348" s="1154"/>
      <c r="I2348" s="1154"/>
      <c r="J2348" s="1154"/>
      <c r="K2348" s="1154"/>
      <c r="L2348" s="1154"/>
      <c r="M2348" s="1154"/>
      <c r="N2348" s="1154"/>
      <c r="O2348" s="1154"/>
      <c r="P2348" s="1154"/>
      <c r="Q2348" s="1154"/>
      <c r="R2348" s="1154"/>
      <c r="S2348" s="1154"/>
      <c r="T2348" s="1154"/>
      <c r="U2348" s="1154"/>
      <c r="V2348" s="1154"/>
      <c r="W2348" s="1154"/>
      <c r="X2348" s="1154"/>
      <c r="Y2348" s="1154"/>
      <c r="Z2348" s="1154"/>
      <c r="AA2348" s="1154"/>
      <c r="AB2348" s="1154"/>
      <c r="AC2348" s="1154"/>
      <c r="AD2348" s="1154"/>
      <c r="AE2348" s="1154"/>
      <c r="AF2348" s="1154"/>
      <c r="AG2348" s="1155"/>
      <c r="AH2348" s="518"/>
      <c r="AJ2348" s="595"/>
    </row>
    <row r="2349" spans="1:36" hidden="1" x14ac:dyDescent="0.45">
      <c r="A2349" s="518"/>
      <c r="B2349" s="517"/>
      <c r="C2349" s="517"/>
      <c r="D2349" s="517"/>
      <c r="E2349" s="517"/>
      <c r="F2349" s="517"/>
      <c r="G2349" s="517"/>
      <c r="H2349" s="517"/>
      <c r="I2349" s="517"/>
      <c r="J2349" s="517"/>
      <c r="K2349" s="517"/>
      <c r="L2349" s="517"/>
      <c r="M2349" s="517"/>
      <c r="N2349" s="517"/>
      <c r="O2349" s="517"/>
      <c r="P2349" s="517"/>
      <c r="Q2349" s="517"/>
      <c r="R2349" s="517"/>
      <c r="S2349" s="517"/>
      <c r="T2349" s="517"/>
      <c r="U2349" s="517"/>
      <c r="V2349" s="517"/>
      <c r="W2349" s="517"/>
      <c r="X2349" s="517"/>
      <c r="Y2349" s="517"/>
      <c r="Z2349" s="517"/>
      <c r="AA2349" s="517"/>
      <c r="AB2349" s="517"/>
      <c r="AC2349" s="517"/>
      <c r="AD2349" s="517"/>
      <c r="AE2349" s="517"/>
      <c r="AF2349" s="517"/>
      <c r="AG2349" s="517"/>
      <c r="AH2349" s="518"/>
      <c r="AJ2349" s="595"/>
    </row>
    <row r="2350" spans="1:36" hidden="1" x14ac:dyDescent="0.45">
      <c r="A2350" s="518"/>
      <c r="B2350" s="518"/>
      <c r="C2350" s="518"/>
      <c r="D2350" s="518"/>
      <c r="E2350" s="518"/>
      <c r="F2350" s="518"/>
      <c r="G2350" s="518"/>
      <c r="H2350" s="518"/>
      <c r="I2350" s="518"/>
      <c r="J2350" s="518"/>
      <c r="K2350" s="518"/>
      <c r="L2350" s="518"/>
      <c r="M2350" s="518"/>
      <c r="N2350" s="518"/>
      <c r="O2350" s="518"/>
      <c r="P2350" s="518"/>
      <c r="Q2350" s="518"/>
      <c r="R2350" s="518"/>
      <c r="S2350" s="518"/>
      <c r="T2350" s="518"/>
      <c r="U2350" s="518"/>
      <c r="V2350" s="518"/>
      <c r="W2350" s="518"/>
      <c r="X2350" s="518"/>
      <c r="Y2350" s="518"/>
      <c r="Z2350" s="518"/>
      <c r="AA2350" s="518"/>
      <c r="AB2350" s="518"/>
      <c r="AC2350" s="518"/>
      <c r="AD2350" s="518"/>
      <c r="AE2350" s="518"/>
      <c r="AF2350" s="518"/>
      <c r="AG2350" s="518"/>
      <c r="AH2350" s="518"/>
      <c r="AJ2350" s="595"/>
    </row>
    <row r="2351" spans="1:36" hidden="1" x14ac:dyDescent="0.45">
      <c r="A2351" s="518"/>
      <c r="B2351" s="907" t="s">
        <v>25</v>
      </c>
      <c r="C2351" s="907"/>
      <c r="D2351" s="907"/>
      <c r="E2351" s="907"/>
      <c r="F2351" s="907"/>
      <c r="G2351" s="907"/>
      <c r="H2351" s="907"/>
      <c r="I2351" s="907"/>
      <c r="J2351" s="907"/>
      <c r="K2351" s="907"/>
      <c r="L2351" s="907"/>
      <c r="M2351" s="907"/>
      <c r="N2351" s="907"/>
      <c r="O2351" s="907"/>
      <c r="P2351" s="907"/>
      <c r="Q2351" s="907"/>
      <c r="R2351" s="907"/>
      <c r="S2351" s="907"/>
      <c r="T2351" s="907"/>
      <c r="U2351" s="907"/>
      <c r="V2351" s="907"/>
      <c r="W2351" s="907"/>
      <c r="X2351" s="907"/>
      <c r="Y2351" s="907"/>
      <c r="Z2351" s="907"/>
      <c r="AA2351" s="907"/>
      <c r="AB2351" s="907"/>
      <c r="AC2351" s="907"/>
      <c r="AD2351" s="907"/>
      <c r="AE2351" s="907"/>
      <c r="AF2351" s="907"/>
      <c r="AG2351" s="907"/>
      <c r="AH2351" s="518"/>
      <c r="AJ2351" s="595"/>
    </row>
    <row r="2352" spans="1:36" hidden="1" x14ac:dyDescent="0.45">
      <c r="A2352" s="518"/>
      <c r="B2352" s="907" t="s">
        <v>1816</v>
      </c>
      <c r="C2352" s="907"/>
      <c r="D2352" s="907"/>
      <c r="E2352" s="907"/>
      <c r="F2352" s="907"/>
      <c r="G2352" s="907"/>
      <c r="H2352" s="907"/>
      <c r="I2352" s="907"/>
      <c r="J2352" s="907"/>
      <c r="K2352" s="907"/>
      <c r="L2352" s="907"/>
      <c r="M2352" s="907"/>
      <c r="N2352" s="907"/>
      <c r="O2352" s="907"/>
      <c r="P2352" s="907"/>
      <c r="Q2352" s="907"/>
      <c r="R2352" s="907"/>
      <c r="S2352" s="907"/>
      <c r="T2352" s="907"/>
      <c r="U2352" s="907"/>
      <c r="V2352" s="907"/>
      <c r="W2352" s="907"/>
      <c r="X2352" s="907"/>
      <c r="Y2352" s="907"/>
      <c r="Z2352" s="907"/>
      <c r="AA2352" s="907"/>
      <c r="AB2352" s="907"/>
      <c r="AC2352" s="907"/>
      <c r="AD2352" s="907"/>
      <c r="AE2352" s="907"/>
      <c r="AF2352" s="907"/>
      <c r="AG2352" s="907"/>
      <c r="AH2352" s="518"/>
      <c r="AJ2352" s="595"/>
    </row>
    <row r="2353" spans="1:36" hidden="1" x14ac:dyDescent="0.45">
      <c r="A2353" s="518"/>
      <c r="B2353" s="518"/>
      <c r="C2353" s="518"/>
      <c r="D2353" s="518"/>
      <c r="E2353" s="518"/>
      <c r="F2353" s="518"/>
      <c r="G2353" s="518"/>
      <c r="H2353" s="518"/>
      <c r="I2353" s="518"/>
      <c r="J2353" s="518"/>
      <c r="K2353" s="518"/>
      <c r="L2353" s="518"/>
      <c r="M2353" s="518"/>
      <c r="N2353" s="518"/>
      <c r="O2353" s="518"/>
      <c r="P2353" s="518"/>
      <c r="Q2353" s="518"/>
      <c r="R2353" s="518"/>
      <c r="S2353" s="518"/>
      <c r="T2353" s="518"/>
      <c r="U2353" s="518"/>
      <c r="V2353" s="518"/>
      <c r="W2353" s="518"/>
      <c r="X2353" s="518"/>
      <c r="Y2353" s="518"/>
      <c r="Z2353" s="518"/>
      <c r="AA2353" s="518"/>
      <c r="AB2353" s="518"/>
      <c r="AC2353" s="518"/>
      <c r="AD2353" s="518"/>
      <c r="AE2353" s="518"/>
      <c r="AF2353" s="518"/>
      <c r="AG2353" s="518"/>
      <c r="AH2353" s="518"/>
      <c r="AJ2353" s="595"/>
    </row>
    <row r="2354" spans="1:36" hidden="1" x14ac:dyDescent="0.45">
      <c r="A2354" s="518"/>
      <c r="B2354" s="907" t="s">
        <v>1806</v>
      </c>
      <c r="C2354" s="907"/>
      <c r="D2354" s="907"/>
      <c r="E2354" s="907"/>
      <c r="F2354" s="907"/>
      <c r="G2354" s="907"/>
      <c r="H2354" s="907"/>
      <c r="I2354" s="907"/>
      <c r="J2354" s="907"/>
      <c r="K2354" s="907"/>
      <c r="L2354" s="907"/>
      <c r="M2354" s="907"/>
      <c r="N2354" s="907"/>
      <c r="O2354" s="907"/>
      <c r="P2354" s="907"/>
      <c r="Q2354" s="907"/>
      <c r="R2354" s="907"/>
      <c r="S2354" s="907"/>
      <c r="T2354" s="907"/>
      <c r="U2354" s="907"/>
      <c r="V2354" s="907"/>
      <c r="W2354" s="907"/>
      <c r="X2354" s="907"/>
      <c r="Y2354" s="907"/>
      <c r="Z2354" s="907"/>
      <c r="AA2354" s="907"/>
      <c r="AB2354" s="907"/>
      <c r="AC2354" s="907"/>
      <c r="AD2354" s="907"/>
      <c r="AE2354" s="907"/>
      <c r="AF2354" s="907"/>
      <c r="AG2354" s="907"/>
      <c r="AH2354" s="518"/>
      <c r="AJ2354" s="595"/>
    </row>
    <row r="2355" spans="1:36" hidden="1" x14ac:dyDescent="0.45">
      <c r="A2355" s="518"/>
      <c r="B2355" s="1150"/>
      <c r="C2355" s="1151"/>
      <c r="D2355" s="1151"/>
      <c r="E2355" s="1151"/>
      <c r="F2355" s="1151"/>
      <c r="G2355" s="1151"/>
      <c r="H2355" s="1151"/>
      <c r="I2355" s="1151"/>
      <c r="J2355" s="1151"/>
      <c r="K2355" s="1151"/>
      <c r="L2355" s="1151"/>
      <c r="M2355" s="1151"/>
      <c r="N2355" s="1151"/>
      <c r="O2355" s="1151"/>
      <c r="P2355" s="1151"/>
      <c r="Q2355" s="1151"/>
      <c r="R2355" s="1151"/>
      <c r="S2355" s="1151"/>
      <c r="T2355" s="1151"/>
      <c r="U2355" s="1151"/>
      <c r="V2355" s="1151"/>
      <c r="W2355" s="1151"/>
      <c r="X2355" s="1151"/>
      <c r="Y2355" s="1151"/>
      <c r="Z2355" s="1151"/>
      <c r="AA2355" s="1151"/>
      <c r="AB2355" s="1151"/>
      <c r="AC2355" s="1151"/>
      <c r="AD2355" s="1151"/>
      <c r="AE2355" s="1151"/>
      <c r="AF2355" s="1151"/>
      <c r="AG2355" s="1152"/>
      <c r="AH2355" s="518"/>
      <c r="AJ2355" s="595"/>
    </row>
    <row r="2356" spans="1:36" hidden="1" x14ac:dyDescent="0.45">
      <c r="A2356" s="518"/>
      <c r="B2356" s="1245"/>
      <c r="C2356" s="1246"/>
      <c r="D2356" s="1246"/>
      <c r="E2356" s="1246"/>
      <c r="F2356" s="1246"/>
      <c r="G2356" s="1246"/>
      <c r="H2356" s="1246"/>
      <c r="I2356" s="1246"/>
      <c r="J2356" s="1246"/>
      <c r="K2356" s="1246"/>
      <c r="L2356" s="1246"/>
      <c r="M2356" s="1246"/>
      <c r="N2356" s="1246"/>
      <c r="O2356" s="1246"/>
      <c r="P2356" s="1246"/>
      <c r="Q2356" s="1246"/>
      <c r="R2356" s="1246"/>
      <c r="S2356" s="1246"/>
      <c r="T2356" s="1246"/>
      <c r="U2356" s="1246"/>
      <c r="V2356" s="1246"/>
      <c r="W2356" s="1246"/>
      <c r="X2356" s="1246"/>
      <c r="Y2356" s="1246"/>
      <c r="Z2356" s="1246"/>
      <c r="AA2356" s="1246"/>
      <c r="AB2356" s="1246"/>
      <c r="AC2356" s="1246"/>
      <c r="AD2356" s="1246"/>
      <c r="AE2356" s="1246"/>
      <c r="AF2356" s="1246"/>
      <c r="AG2356" s="1247"/>
      <c r="AH2356" s="518"/>
      <c r="AJ2356" s="595"/>
    </row>
    <row r="2357" spans="1:36" hidden="1" x14ac:dyDescent="0.45">
      <c r="A2357" s="518"/>
      <c r="B2357" s="1245"/>
      <c r="C2357" s="1246"/>
      <c r="D2357" s="1246"/>
      <c r="E2357" s="1246"/>
      <c r="F2357" s="1246"/>
      <c r="G2357" s="1246"/>
      <c r="H2357" s="1246"/>
      <c r="I2357" s="1246"/>
      <c r="J2357" s="1246"/>
      <c r="K2357" s="1246"/>
      <c r="L2357" s="1246"/>
      <c r="M2357" s="1246"/>
      <c r="N2357" s="1246"/>
      <c r="O2357" s="1246"/>
      <c r="P2357" s="1246"/>
      <c r="Q2357" s="1246"/>
      <c r="R2357" s="1246"/>
      <c r="S2357" s="1246"/>
      <c r="T2357" s="1246"/>
      <c r="U2357" s="1246"/>
      <c r="V2357" s="1246"/>
      <c r="W2357" s="1246"/>
      <c r="X2357" s="1246"/>
      <c r="Y2357" s="1246"/>
      <c r="Z2357" s="1246"/>
      <c r="AA2357" s="1246"/>
      <c r="AB2357" s="1246"/>
      <c r="AC2357" s="1246"/>
      <c r="AD2357" s="1246"/>
      <c r="AE2357" s="1246"/>
      <c r="AF2357" s="1246"/>
      <c r="AG2357" s="1247"/>
      <c r="AH2357" s="518"/>
      <c r="AJ2357" s="595"/>
    </row>
    <row r="2358" spans="1:36" hidden="1" x14ac:dyDescent="0.45">
      <c r="A2358" s="518"/>
      <c r="B2358" s="1245"/>
      <c r="C2358" s="1246"/>
      <c r="D2358" s="1246"/>
      <c r="E2358" s="1246"/>
      <c r="F2358" s="1246"/>
      <c r="G2358" s="1246"/>
      <c r="H2358" s="1246"/>
      <c r="I2358" s="1246"/>
      <c r="J2358" s="1246"/>
      <c r="K2358" s="1246"/>
      <c r="L2358" s="1246"/>
      <c r="M2358" s="1246"/>
      <c r="N2358" s="1246"/>
      <c r="O2358" s="1246"/>
      <c r="P2358" s="1246"/>
      <c r="Q2358" s="1246"/>
      <c r="R2358" s="1246"/>
      <c r="S2358" s="1246"/>
      <c r="T2358" s="1246"/>
      <c r="U2358" s="1246"/>
      <c r="V2358" s="1246"/>
      <c r="W2358" s="1246"/>
      <c r="X2358" s="1246"/>
      <c r="Y2358" s="1246"/>
      <c r="Z2358" s="1246"/>
      <c r="AA2358" s="1246"/>
      <c r="AB2358" s="1246"/>
      <c r="AC2358" s="1246"/>
      <c r="AD2358" s="1246"/>
      <c r="AE2358" s="1246"/>
      <c r="AF2358" s="1246"/>
      <c r="AG2358" s="1247"/>
      <c r="AH2358" s="518"/>
      <c r="AJ2358" s="595"/>
    </row>
    <row r="2359" spans="1:36" hidden="1" x14ac:dyDescent="0.45">
      <c r="A2359" s="518"/>
      <c r="B2359" s="1245"/>
      <c r="C2359" s="1246"/>
      <c r="D2359" s="1246"/>
      <c r="E2359" s="1246"/>
      <c r="F2359" s="1246"/>
      <c r="G2359" s="1246"/>
      <c r="H2359" s="1246"/>
      <c r="I2359" s="1246"/>
      <c r="J2359" s="1246"/>
      <c r="K2359" s="1246"/>
      <c r="L2359" s="1246"/>
      <c r="M2359" s="1246"/>
      <c r="N2359" s="1246"/>
      <c r="O2359" s="1246"/>
      <c r="P2359" s="1246"/>
      <c r="Q2359" s="1246"/>
      <c r="R2359" s="1246"/>
      <c r="S2359" s="1246"/>
      <c r="T2359" s="1246"/>
      <c r="U2359" s="1246"/>
      <c r="V2359" s="1246"/>
      <c r="W2359" s="1246"/>
      <c r="X2359" s="1246"/>
      <c r="Y2359" s="1246"/>
      <c r="Z2359" s="1246"/>
      <c r="AA2359" s="1246"/>
      <c r="AB2359" s="1246"/>
      <c r="AC2359" s="1246"/>
      <c r="AD2359" s="1246"/>
      <c r="AE2359" s="1246"/>
      <c r="AF2359" s="1246"/>
      <c r="AG2359" s="1247"/>
      <c r="AH2359" s="518"/>
      <c r="AJ2359" s="595"/>
    </row>
    <row r="2360" spans="1:36" hidden="1" x14ac:dyDescent="0.45">
      <c r="A2360" s="518"/>
      <c r="B2360" s="1245"/>
      <c r="C2360" s="1246"/>
      <c r="D2360" s="1246"/>
      <c r="E2360" s="1246"/>
      <c r="F2360" s="1246"/>
      <c r="G2360" s="1246"/>
      <c r="H2360" s="1246"/>
      <c r="I2360" s="1246"/>
      <c r="J2360" s="1246"/>
      <c r="K2360" s="1246"/>
      <c r="L2360" s="1246"/>
      <c r="M2360" s="1246"/>
      <c r="N2360" s="1246"/>
      <c r="O2360" s="1246"/>
      <c r="P2360" s="1246"/>
      <c r="Q2360" s="1246"/>
      <c r="R2360" s="1246"/>
      <c r="S2360" s="1246"/>
      <c r="T2360" s="1246"/>
      <c r="U2360" s="1246"/>
      <c r="V2360" s="1246"/>
      <c r="W2360" s="1246"/>
      <c r="X2360" s="1246"/>
      <c r="Y2360" s="1246"/>
      <c r="Z2360" s="1246"/>
      <c r="AA2360" s="1246"/>
      <c r="AB2360" s="1246"/>
      <c r="AC2360" s="1246"/>
      <c r="AD2360" s="1246"/>
      <c r="AE2360" s="1246"/>
      <c r="AF2360" s="1246"/>
      <c r="AG2360" s="1247"/>
      <c r="AH2360" s="518"/>
      <c r="AJ2360" s="595"/>
    </row>
    <row r="2361" spans="1:36" hidden="1" x14ac:dyDescent="0.45">
      <c r="A2361" s="518"/>
      <c r="B2361" s="1245"/>
      <c r="C2361" s="1246"/>
      <c r="D2361" s="1246"/>
      <c r="E2361" s="1246"/>
      <c r="F2361" s="1246"/>
      <c r="G2361" s="1246"/>
      <c r="H2361" s="1246"/>
      <c r="I2361" s="1246"/>
      <c r="J2361" s="1246"/>
      <c r="K2361" s="1246"/>
      <c r="L2361" s="1246"/>
      <c r="M2361" s="1246"/>
      <c r="N2361" s="1246"/>
      <c r="O2361" s="1246"/>
      <c r="P2361" s="1246"/>
      <c r="Q2361" s="1246"/>
      <c r="R2361" s="1246"/>
      <c r="S2361" s="1246"/>
      <c r="T2361" s="1246"/>
      <c r="U2361" s="1246"/>
      <c r="V2361" s="1246"/>
      <c r="W2361" s="1246"/>
      <c r="X2361" s="1246"/>
      <c r="Y2361" s="1246"/>
      <c r="Z2361" s="1246"/>
      <c r="AA2361" s="1246"/>
      <c r="AB2361" s="1246"/>
      <c r="AC2361" s="1246"/>
      <c r="AD2361" s="1246"/>
      <c r="AE2361" s="1246"/>
      <c r="AF2361" s="1246"/>
      <c r="AG2361" s="1247"/>
      <c r="AH2361" s="518"/>
      <c r="AJ2361" s="595"/>
    </row>
    <row r="2362" spans="1:36" hidden="1" x14ac:dyDescent="0.45">
      <c r="A2362" s="518"/>
      <c r="B2362" s="1245"/>
      <c r="C2362" s="1246"/>
      <c r="D2362" s="1246"/>
      <c r="E2362" s="1246"/>
      <c r="F2362" s="1246"/>
      <c r="G2362" s="1246"/>
      <c r="H2362" s="1246"/>
      <c r="I2362" s="1246"/>
      <c r="J2362" s="1246"/>
      <c r="K2362" s="1246"/>
      <c r="L2362" s="1246"/>
      <c r="M2362" s="1246"/>
      <c r="N2362" s="1246"/>
      <c r="O2362" s="1246"/>
      <c r="P2362" s="1246"/>
      <c r="Q2362" s="1246"/>
      <c r="R2362" s="1246"/>
      <c r="S2362" s="1246"/>
      <c r="T2362" s="1246"/>
      <c r="U2362" s="1246"/>
      <c r="V2362" s="1246"/>
      <c r="W2362" s="1246"/>
      <c r="X2362" s="1246"/>
      <c r="Y2362" s="1246"/>
      <c r="Z2362" s="1246"/>
      <c r="AA2362" s="1246"/>
      <c r="AB2362" s="1246"/>
      <c r="AC2362" s="1246"/>
      <c r="AD2362" s="1246"/>
      <c r="AE2362" s="1246"/>
      <c r="AF2362" s="1246"/>
      <c r="AG2362" s="1247"/>
      <c r="AH2362" s="518"/>
      <c r="AJ2362" s="595"/>
    </row>
    <row r="2363" spans="1:36" hidden="1" x14ac:dyDescent="0.45">
      <c r="A2363" s="518"/>
      <c r="B2363" s="1245"/>
      <c r="C2363" s="1246"/>
      <c r="D2363" s="1246"/>
      <c r="E2363" s="1246"/>
      <c r="F2363" s="1246"/>
      <c r="G2363" s="1246"/>
      <c r="H2363" s="1246"/>
      <c r="I2363" s="1246"/>
      <c r="J2363" s="1246"/>
      <c r="K2363" s="1246"/>
      <c r="L2363" s="1246"/>
      <c r="M2363" s="1246"/>
      <c r="N2363" s="1246"/>
      <c r="O2363" s="1246"/>
      <c r="P2363" s="1246"/>
      <c r="Q2363" s="1246"/>
      <c r="R2363" s="1246"/>
      <c r="S2363" s="1246"/>
      <c r="T2363" s="1246"/>
      <c r="U2363" s="1246"/>
      <c r="V2363" s="1246"/>
      <c r="W2363" s="1246"/>
      <c r="X2363" s="1246"/>
      <c r="Y2363" s="1246"/>
      <c r="Z2363" s="1246"/>
      <c r="AA2363" s="1246"/>
      <c r="AB2363" s="1246"/>
      <c r="AC2363" s="1246"/>
      <c r="AD2363" s="1246"/>
      <c r="AE2363" s="1246"/>
      <c r="AF2363" s="1246"/>
      <c r="AG2363" s="1247"/>
      <c r="AH2363" s="518"/>
      <c r="AJ2363" s="595"/>
    </row>
    <row r="2364" spans="1:36" hidden="1" x14ac:dyDescent="0.45">
      <c r="A2364" s="518"/>
      <c r="B2364" s="1245"/>
      <c r="C2364" s="1246"/>
      <c r="D2364" s="1246"/>
      <c r="E2364" s="1246"/>
      <c r="F2364" s="1246"/>
      <c r="G2364" s="1246"/>
      <c r="H2364" s="1246"/>
      <c r="I2364" s="1246"/>
      <c r="J2364" s="1246"/>
      <c r="K2364" s="1246"/>
      <c r="L2364" s="1246"/>
      <c r="M2364" s="1246"/>
      <c r="N2364" s="1246"/>
      <c r="O2364" s="1246"/>
      <c r="P2364" s="1246"/>
      <c r="Q2364" s="1246"/>
      <c r="R2364" s="1246"/>
      <c r="S2364" s="1246"/>
      <c r="T2364" s="1246"/>
      <c r="U2364" s="1246"/>
      <c r="V2364" s="1246"/>
      <c r="W2364" s="1246"/>
      <c r="X2364" s="1246"/>
      <c r="Y2364" s="1246"/>
      <c r="Z2364" s="1246"/>
      <c r="AA2364" s="1246"/>
      <c r="AB2364" s="1246"/>
      <c r="AC2364" s="1246"/>
      <c r="AD2364" s="1246"/>
      <c r="AE2364" s="1246"/>
      <c r="AF2364" s="1246"/>
      <c r="AG2364" s="1247"/>
      <c r="AH2364" s="518"/>
      <c r="AJ2364" s="595"/>
    </row>
    <row r="2365" spans="1:36" hidden="1" x14ac:dyDescent="0.45">
      <c r="A2365" s="518"/>
      <c r="B2365" s="1245"/>
      <c r="C2365" s="1246"/>
      <c r="D2365" s="1246"/>
      <c r="E2365" s="1246"/>
      <c r="F2365" s="1246"/>
      <c r="G2365" s="1246"/>
      <c r="H2365" s="1246"/>
      <c r="I2365" s="1246"/>
      <c r="J2365" s="1246"/>
      <c r="K2365" s="1246"/>
      <c r="L2365" s="1246"/>
      <c r="M2365" s="1246"/>
      <c r="N2365" s="1246"/>
      <c r="O2365" s="1246"/>
      <c r="P2365" s="1246"/>
      <c r="Q2365" s="1246"/>
      <c r="R2365" s="1246"/>
      <c r="S2365" s="1246"/>
      <c r="T2365" s="1246"/>
      <c r="U2365" s="1246"/>
      <c r="V2365" s="1246"/>
      <c r="W2365" s="1246"/>
      <c r="X2365" s="1246"/>
      <c r="Y2365" s="1246"/>
      <c r="Z2365" s="1246"/>
      <c r="AA2365" s="1246"/>
      <c r="AB2365" s="1246"/>
      <c r="AC2365" s="1246"/>
      <c r="AD2365" s="1246"/>
      <c r="AE2365" s="1246"/>
      <c r="AF2365" s="1246"/>
      <c r="AG2365" s="1247"/>
      <c r="AH2365" s="518"/>
      <c r="AJ2365" s="595"/>
    </row>
    <row r="2366" spans="1:36" hidden="1" x14ac:dyDescent="0.45">
      <c r="A2366" s="518"/>
      <c r="B2366" s="1245"/>
      <c r="C2366" s="1246"/>
      <c r="D2366" s="1246"/>
      <c r="E2366" s="1246"/>
      <c r="F2366" s="1246"/>
      <c r="G2366" s="1246"/>
      <c r="H2366" s="1246"/>
      <c r="I2366" s="1246"/>
      <c r="J2366" s="1246"/>
      <c r="K2366" s="1246"/>
      <c r="L2366" s="1246"/>
      <c r="M2366" s="1246"/>
      <c r="N2366" s="1246"/>
      <c r="O2366" s="1246"/>
      <c r="P2366" s="1246"/>
      <c r="Q2366" s="1246"/>
      <c r="R2366" s="1246"/>
      <c r="S2366" s="1246"/>
      <c r="T2366" s="1246"/>
      <c r="U2366" s="1246"/>
      <c r="V2366" s="1246"/>
      <c r="W2366" s="1246"/>
      <c r="X2366" s="1246"/>
      <c r="Y2366" s="1246"/>
      <c r="Z2366" s="1246"/>
      <c r="AA2366" s="1246"/>
      <c r="AB2366" s="1246"/>
      <c r="AC2366" s="1246"/>
      <c r="AD2366" s="1246"/>
      <c r="AE2366" s="1246"/>
      <c r="AF2366" s="1246"/>
      <c r="AG2366" s="1247"/>
      <c r="AH2366" s="518"/>
      <c r="AJ2366" s="595"/>
    </row>
    <row r="2367" spans="1:36" hidden="1" x14ac:dyDescent="0.45">
      <c r="A2367" s="518"/>
      <c r="B2367" s="1245"/>
      <c r="C2367" s="1246"/>
      <c r="D2367" s="1246"/>
      <c r="E2367" s="1246"/>
      <c r="F2367" s="1246"/>
      <c r="G2367" s="1246"/>
      <c r="H2367" s="1246"/>
      <c r="I2367" s="1246"/>
      <c r="J2367" s="1246"/>
      <c r="K2367" s="1246"/>
      <c r="L2367" s="1246"/>
      <c r="M2367" s="1246"/>
      <c r="N2367" s="1246"/>
      <c r="O2367" s="1246"/>
      <c r="P2367" s="1246"/>
      <c r="Q2367" s="1246"/>
      <c r="R2367" s="1246"/>
      <c r="S2367" s="1246"/>
      <c r="T2367" s="1246"/>
      <c r="U2367" s="1246"/>
      <c r="V2367" s="1246"/>
      <c r="W2367" s="1246"/>
      <c r="X2367" s="1246"/>
      <c r="Y2367" s="1246"/>
      <c r="Z2367" s="1246"/>
      <c r="AA2367" s="1246"/>
      <c r="AB2367" s="1246"/>
      <c r="AC2367" s="1246"/>
      <c r="AD2367" s="1246"/>
      <c r="AE2367" s="1246"/>
      <c r="AF2367" s="1246"/>
      <c r="AG2367" s="1247"/>
      <c r="AH2367" s="518"/>
      <c r="AJ2367" s="595"/>
    </row>
    <row r="2368" spans="1:36" hidden="1" x14ac:dyDescent="0.45">
      <c r="A2368" s="518"/>
      <c r="B2368" s="1245"/>
      <c r="C2368" s="1246"/>
      <c r="D2368" s="1246"/>
      <c r="E2368" s="1246"/>
      <c r="F2368" s="1246"/>
      <c r="G2368" s="1246"/>
      <c r="H2368" s="1246"/>
      <c r="I2368" s="1246"/>
      <c r="J2368" s="1246"/>
      <c r="K2368" s="1246"/>
      <c r="L2368" s="1246"/>
      <c r="M2368" s="1246"/>
      <c r="N2368" s="1246"/>
      <c r="O2368" s="1246"/>
      <c r="P2368" s="1246"/>
      <c r="Q2368" s="1246"/>
      <c r="R2368" s="1246"/>
      <c r="S2368" s="1246"/>
      <c r="T2368" s="1246"/>
      <c r="U2368" s="1246"/>
      <c r="V2368" s="1246"/>
      <c r="W2368" s="1246"/>
      <c r="X2368" s="1246"/>
      <c r="Y2368" s="1246"/>
      <c r="Z2368" s="1246"/>
      <c r="AA2368" s="1246"/>
      <c r="AB2368" s="1246"/>
      <c r="AC2368" s="1246"/>
      <c r="AD2368" s="1246"/>
      <c r="AE2368" s="1246"/>
      <c r="AF2368" s="1246"/>
      <c r="AG2368" s="1247"/>
      <c r="AH2368" s="518"/>
      <c r="AJ2368" s="595"/>
    </row>
    <row r="2369" spans="1:36" hidden="1" x14ac:dyDescent="0.45">
      <c r="A2369" s="518"/>
      <c r="B2369" s="1245"/>
      <c r="C2369" s="1246"/>
      <c r="D2369" s="1246"/>
      <c r="E2369" s="1246"/>
      <c r="F2369" s="1246"/>
      <c r="G2369" s="1246"/>
      <c r="H2369" s="1246"/>
      <c r="I2369" s="1246"/>
      <c r="J2369" s="1246"/>
      <c r="K2369" s="1246"/>
      <c r="L2369" s="1246"/>
      <c r="M2369" s="1246"/>
      <c r="N2369" s="1246"/>
      <c r="O2369" s="1246"/>
      <c r="P2369" s="1246"/>
      <c r="Q2369" s="1246"/>
      <c r="R2369" s="1246"/>
      <c r="S2369" s="1246"/>
      <c r="T2369" s="1246"/>
      <c r="U2369" s="1246"/>
      <c r="V2369" s="1246"/>
      <c r="W2369" s="1246"/>
      <c r="X2369" s="1246"/>
      <c r="Y2369" s="1246"/>
      <c r="Z2369" s="1246"/>
      <c r="AA2369" s="1246"/>
      <c r="AB2369" s="1246"/>
      <c r="AC2369" s="1246"/>
      <c r="AD2369" s="1246"/>
      <c r="AE2369" s="1246"/>
      <c r="AF2369" s="1246"/>
      <c r="AG2369" s="1247"/>
      <c r="AH2369" s="518"/>
      <c r="AJ2369" s="595"/>
    </row>
    <row r="2370" spans="1:36" hidden="1" x14ac:dyDescent="0.45">
      <c r="A2370" s="518"/>
      <c r="B2370" s="1245"/>
      <c r="C2370" s="1246"/>
      <c r="D2370" s="1246"/>
      <c r="E2370" s="1246"/>
      <c r="F2370" s="1246"/>
      <c r="G2370" s="1246"/>
      <c r="H2370" s="1246"/>
      <c r="I2370" s="1246"/>
      <c r="J2370" s="1246"/>
      <c r="K2370" s="1246"/>
      <c r="L2370" s="1246"/>
      <c r="M2370" s="1246"/>
      <c r="N2370" s="1246"/>
      <c r="O2370" s="1246"/>
      <c r="P2370" s="1246"/>
      <c r="Q2370" s="1246"/>
      <c r="R2370" s="1246"/>
      <c r="S2370" s="1246"/>
      <c r="T2370" s="1246"/>
      <c r="U2370" s="1246"/>
      <c r="V2370" s="1246"/>
      <c r="W2370" s="1246"/>
      <c r="X2370" s="1246"/>
      <c r="Y2370" s="1246"/>
      <c r="Z2370" s="1246"/>
      <c r="AA2370" s="1246"/>
      <c r="AB2370" s="1246"/>
      <c r="AC2370" s="1246"/>
      <c r="AD2370" s="1246"/>
      <c r="AE2370" s="1246"/>
      <c r="AF2370" s="1246"/>
      <c r="AG2370" s="1247"/>
      <c r="AH2370" s="518"/>
      <c r="AJ2370" s="595"/>
    </row>
    <row r="2371" spans="1:36" hidden="1" x14ac:dyDescent="0.45">
      <c r="A2371" s="518"/>
      <c r="B2371" s="1245"/>
      <c r="C2371" s="1246"/>
      <c r="D2371" s="1246"/>
      <c r="E2371" s="1246"/>
      <c r="F2371" s="1246"/>
      <c r="G2371" s="1246"/>
      <c r="H2371" s="1246"/>
      <c r="I2371" s="1246"/>
      <c r="J2371" s="1246"/>
      <c r="K2371" s="1246"/>
      <c r="L2371" s="1246"/>
      <c r="M2371" s="1246"/>
      <c r="N2371" s="1246"/>
      <c r="O2371" s="1246"/>
      <c r="P2371" s="1246"/>
      <c r="Q2371" s="1246"/>
      <c r="R2371" s="1246"/>
      <c r="S2371" s="1246"/>
      <c r="T2371" s="1246"/>
      <c r="U2371" s="1246"/>
      <c r="V2371" s="1246"/>
      <c r="W2371" s="1246"/>
      <c r="X2371" s="1246"/>
      <c r="Y2371" s="1246"/>
      <c r="Z2371" s="1246"/>
      <c r="AA2371" s="1246"/>
      <c r="AB2371" s="1246"/>
      <c r="AC2371" s="1246"/>
      <c r="AD2371" s="1246"/>
      <c r="AE2371" s="1246"/>
      <c r="AF2371" s="1246"/>
      <c r="AG2371" s="1247"/>
      <c r="AH2371" s="518"/>
      <c r="AJ2371" s="595"/>
    </row>
    <row r="2372" spans="1:36" hidden="1" x14ac:dyDescent="0.45">
      <c r="A2372" s="518"/>
      <c r="B2372" s="1245"/>
      <c r="C2372" s="1246"/>
      <c r="D2372" s="1246"/>
      <c r="E2372" s="1246"/>
      <c r="F2372" s="1246"/>
      <c r="G2372" s="1246"/>
      <c r="H2372" s="1246"/>
      <c r="I2372" s="1246"/>
      <c r="J2372" s="1246"/>
      <c r="K2372" s="1246"/>
      <c r="L2372" s="1246"/>
      <c r="M2372" s="1246"/>
      <c r="N2372" s="1246"/>
      <c r="O2372" s="1246"/>
      <c r="P2372" s="1246"/>
      <c r="Q2372" s="1246"/>
      <c r="R2372" s="1246"/>
      <c r="S2372" s="1246"/>
      <c r="T2372" s="1246"/>
      <c r="U2372" s="1246"/>
      <c r="V2372" s="1246"/>
      <c r="W2372" s="1246"/>
      <c r="X2372" s="1246"/>
      <c r="Y2372" s="1246"/>
      <c r="Z2372" s="1246"/>
      <c r="AA2372" s="1246"/>
      <c r="AB2372" s="1246"/>
      <c r="AC2372" s="1246"/>
      <c r="AD2372" s="1246"/>
      <c r="AE2372" s="1246"/>
      <c r="AF2372" s="1246"/>
      <c r="AG2372" s="1247"/>
      <c r="AH2372" s="518"/>
      <c r="AJ2372" s="595"/>
    </row>
    <row r="2373" spans="1:36" hidden="1" x14ac:dyDescent="0.45">
      <c r="A2373" s="518"/>
      <c r="B2373" s="1245"/>
      <c r="C2373" s="1246"/>
      <c r="D2373" s="1246"/>
      <c r="E2373" s="1246"/>
      <c r="F2373" s="1246"/>
      <c r="G2373" s="1246"/>
      <c r="H2373" s="1246"/>
      <c r="I2373" s="1246"/>
      <c r="J2373" s="1246"/>
      <c r="K2373" s="1246"/>
      <c r="L2373" s="1246"/>
      <c r="M2373" s="1246"/>
      <c r="N2373" s="1246"/>
      <c r="O2373" s="1246"/>
      <c r="P2373" s="1246"/>
      <c r="Q2373" s="1246"/>
      <c r="R2373" s="1246"/>
      <c r="S2373" s="1246"/>
      <c r="T2373" s="1246"/>
      <c r="U2373" s="1246"/>
      <c r="V2373" s="1246"/>
      <c r="W2373" s="1246"/>
      <c r="X2373" s="1246"/>
      <c r="Y2373" s="1246"/>
      <c r="Z2373" s="1246"/>
      <c r="AA2373" s="1246"/>
      <c r="AB2373" s="1246"/>
      <c r="AC2373" s="1246"/>
      <c r="AD2373" s="1246"/>
      <c r="AE2373" s="1246"/>
      <c r="AF2373" s="1246"/>
      <c r="AG2373" s="1247"/>
      <c r="AH2373" s="518"/>
      <c r="AJ2373" s="595"/>
    </row>
    <row r="2374" spans="1:36" hidden="1" x14ac:dyDescent="0.45">
      <c r="A2374" s="518"/>
      <c r="B2374" s="1245"/>
      <c r="C2374" s="1246"/>
      <c r="D2374" s="1246"/>
      <c r="E2374" s="1246"/>
      <c r="F2374" s="1246"/>
      <c r="G2374" s="1246"/>
      <c r="H2374" s="1246"/>
      <c r="I2374" s="1246"/>
      <c r="J2374" s="1246"/>
      <c r="K2374" s="1246"/>
      <c r="L2374" s="1246"/>
      <c r="M2374" s="1246"/>
      <c r="N2374" s="1246"/>
      <c r="O2374" s="1246"/>
      <c r="P2374" s="1246"/>
      <c r="Q2374" s="1246"/>
      <c r="R2374" s="1246"/>
      <c r="S2374" s="1246"/>
      <c r="T2374" s="1246"/>
      <c r="U2374" s="1246"/>
      <c r="V2374" s="1246"/>
      <c r="W2374" s="1246"/>
      <c r="X2374" s="1246"/>
      <c r="Y2374" s="1246"/>
      <c r="Z2374" s="1246"/>
      <c r="AA2374" s="1246"/>
      <c r="AB2374" s="1246"/>
      <c r="AC2374" s="1246"/>
      <c r="AD2374" s="1246"/>
      <c r="AE2374" s="1246"/>
      <c r="AF2374" s="1246"/>
      <c r="AG2374" s="1247"/>
      <c r="AH2374" s="518"/>
      <c r="AJ2374" s="595"/>
    </row>
    <row r="2375" spans="1:36" hidden="1" x14ac:dyDescent="0.45">
      <c r="A2375" s="518"/>
      <c r="B2375" s="1245"/>
      <c r="C2375" s="1246"/>
      <c r="D2375" s="1246"/>
      <c r="E2375" s="1246"/>
      <c r="F2375" s="1246"/>
      <c r="G2375" s="1246"/>
      <c r="H2375" s="1246"/>
      <c r="I2375" s="1246"/>
      <c r="J2375" s="1246"/>
      <c r="K2375" s="1246"/>
      <c r="L2375" s="1246"/>
      <c r="M2375" s="1246"/>
      <c r="N2375" s="1246"/>
      <c r="O2375" s="1246"/>
      <c r="P2375" s="1246"/>
      <c r="Q2375" s="1246"/>
      <c r="R2375" s="1246"/>
      <c r="S2375" s="1246"/>
      <c r="T2375" s="1246"/>
      <c r="U2375" s="1246"/>
      <c r="V2375" s="1246"/>
      <c r="W2375" s="1246"/>
      <c r="X2375" s="1246"/>
      <c r="Y2375" s="1246"/>
      <c r="Z2375" s="1246"/>
      <c r="AA2375" s="1246"/>
      <c r="AB2375" s="1246"/>
      <c r="AC2375" s="1246"/>
      <c r="AD2375" s="1246"/>
      <c r="AE2375" s="1246"/>
      <c r="AF2375" s="1246"/>
      <c r="AG2375" s="1247"/>
      <c r="AH2375" s="518"/>
      <c r="AJ2375" s="595"/>
    </row>
    <row r="2376" spans="1:36" hidden="1" x14ac:dyDescent="0.45">
      <c r="A2376" s="518"/>
      <c r="B2376" s="1245"/>
      <c r="C2376" s="1246"/>
      <c r="D2376" s="1246"/>
      <c r="E2376" s="1246"/>
      <c r="F2376" s="1246"/>
      <c r="G2376" s="1246"/>
      <c r="H2376" s="1246"/>
      <c r="I2376" s="1246"/>
      <c r="J2376" s="1246"/>
      <c r="K2376" s="1246"/>
      <c r="L2376" s="1246"/>
      <c r="M2376" s="1246"/>
      <c r="N2376" s="1246"/>
      <c r="O2376" s="1246"/>
      <c r="P2376" s="1246"/>
      <c r="Q2376" s="1246"/>
      <c r="R2376" s="1246"/>
      <c r="S2376" s="1246"/>
      <c r="T2376" s="1246"/>
      <c r="U2376" s="1246"/>
      <c r="V2376" s="1246"/>
      <c r="W2376" s="1246"/>
      <c r="X2376" s="1246"/>
      <c r="Y2376" s="1246"/>
      <c r="Z2376" s="1246"/>
      <c r="AA2376" s="1246"/>
      <c r="AB2376" s="1246"/>
      <c r="AC2376" s="1246"/>
      <c r="AD2376" s="1246"/>
      <c r="AE2376" s="1246"/>
      <c r="AF2376" s="1246"/>
      <c r="AG2376" s="1247"/>
      <c r="AH2376" s="518"/>
      <c r="AJ2376" s="595"/>
    </row>
    <row r="2377" spans="1:36" hidden="1" x14ac:dyDescent="0.45">
      <c r="A2377" s="518"/>
      <c r="B2377" s="1245"/>
      <c r="C2377" s="1246"/>
      <c r="D2377" s="1246"/>
      <c r="E2377" s="1246"/>
      <c r="F2377" s="1246"/>
      <c r="G2377" s="1246"/>
      <c r="H2377" s="1246"/>
      <c r="I2377" s="1246"/>
      <c r="J2377" s="1246"/>
      <c r="K2377" s="1246"/>
      <c r="L2377" s="1246"/>
      <c r="M2377" s="1246"/>
      <c r="N2377" s="1246"/>
      <c r="O2377" s="1246"/>
      <c r="P2377" s="1246"/>
      <c r="Q2377" s="1246"/>
      <c r="R2377" s="1246"/>
      <c r="S2377" s="1246"/>
      <c r="T2377" s="1246"/>
      <c r="U2377" s="1246"/>
      <c r="V2377" s="1246"/>
      <c r="W2377" s="1246"/>
      <c r="X2377" s="1246"/>
      <c r="Y2377" s="1246"/>
      <c r="Z2377" s="1246"/>
      <c r="AA2377" s="1246"/>
      <c r="AB2377" s="1246"/>
      <c r="AC2377" s="1246"/>
      <c r="AD2377" s="1246"/>
      <c r="AE2377" s="1246"/>
      <c r="AF2377" s="1246"/>
      <c r="AG2377" s="1247"/>
      <c r="AH2377" s="518"/>
      <c r="AJ2377" s="595"/>
    </row>
    <row r="2378" spans="1:36" hidden="1" x14ac:dyDescent="0.45">
      <c r="A2378" s="518"/>
      <c r="B2378" s="1245"/>
      <c r="C2378" s="1246"/>
      <c r="D2378" s="1246"/>
      <c r="E2378" s="1246"/>
      <c r="F2378" s="1246"/>
      <c r="G2378" s="1246"/>
      <c r="H2378" s="1246"/>
      <c r="I2378" s="1246"/>
      <c r="J2378" s="1246"/>
      <c r="K2378" s="1246"/>
      <c r="L2378" s="1246"/>
      <c r="M2378" s="1246"/>
      <c r="N2378" s="1246"/>
      <c r="O2378" s="1246"/>
      <c r="P2378" s="1246"/>
      <c r="Q2378" s="1246"/>
      <c r="R2378" s="1246"/>
      <c r="S2378" s="1246"/>
      <c r="T2378" s="1246"/>
      <c r="U2378" s="1246"/>
      <c r="V2378" s="1246"/>
      <c r="W2378" s="1246"/>
      <c r="X2378" s="1246"/>
      <c r="Y2378" s="1246"/>
      <c r="Z2378" s="1246"/>
      <c r="AA2378" s="1246"/>
      <c r="AB2378" s="1246"/>
      <c r="AC2378" s="1246"/>
      <c r="AD2378" s="1246"/>
      <c r="AE2378" s="1246"/>
      <c r="AF2378" s="1246"/>
      <c r="AG2378" s="1247"/>
      <c r="AH2378" s="518"/>
      <c r="AJ2378" s="595"/>
    </row>
    <row r="2379" spans="1:36" hidden="1" x14ac:dyDescent="0.45">
      <c r="A2379" s="518"/>
      <c r="B2379" s="1245"/>
      <c r="C2379" s="1246"/>
      <c r="D2379" s="1246"/>
      <c r="E2379" s="1246"/>
      <c r="F2379" s="1246"/>
      <c r="G2379" s="1246"/>
      <c r="H2379" s="1246"/>
      <c r="I2379" s="1246"/>
      <c r="J2379" s="1246"/>
      <c r="K2379" s="1246"/>
      <c r="L2379" s="1246"/>
      <c r="M2379" s="1246"/>
      <c r="N2379" s="1246"/>
      <c r="O2379" s="1246"/>
      <c r="P2379" s="1246"/>
      <c r="Q2379" s="1246"/>
      <c r="R2379" s="1246"/>
      <c r="S2379" s="1246"/>
      <c r="T2379" s="1246"/>
      <c r="U2379" s="1246"/>
      <c r="V2379" s="1246"/>
      <c r="W2379" s="1246"/>
      <c r="X2379" s="1246"/>
      <c r="Y2379" s="1246"/>
      <c r="Z2379" s="1246"/>
      <c r="AA2379" s="1246"/>
      <c r="AB2379" s="1246"/>
      <c r="AC2379" s="1246"/>
      <c r="AD2379" s="1246"/>
      <c r="AE2379" s="1246"/>
      <c r="AF2379" s="1246"/>
      <c r="AG2379" s="1247"/>
      <c r="AH2379" s="518"/>
      <c r="AJ2379" s="595"/>
    </row>
    <row r="2380" spans="1:36" hidden="1" x14ac:dyDescent="0.45">
      <c r="A2380" s="518"/>
      <c r="B2380" s="1245"/>
      <c r="C2380" s="1246"/>
      <c r="D2380" s="1246"/>
      <c r="E2380" s="1246"/>
      <c r="F2380" s="1246"/>
      <c r="G2380" s="1246"/>
      <c r="H2380" s="1246"/>
      <c r="I2380" s="1246"/>
      <c r="J2380" s="1246"/>
      <c r="K2380" s="1246"/>
      <c r="L2380" s="1246"/>
      <c r="M2380" s="1246"/>
      <c r="N2380" s="1246"/>
      <c r="O2380" s="1246"/>
      <c r="P2380" s="1246"/>
      <c r="Q2380" s="1246"/>
      <c r="R2380" s="1246"/>
      <c r="S2380" s="1246"/>
      <c r="T2380" s="1246"/>
      <c r="U2380" s="1246"/>
      <c r="V2380" s="1246"/>
      <c r="W2380" s="1246"/>
      <c r="X2380" s="1246"/>
      <c r="Y2380" s="1246"/>
      <c r="Z2380" s="1246"/>
      <c r="AA2380" s="1246"/>
      <c r="AB2380" s="1246"/>
      <c r="AC2380" s="1246"/>
      <c r="AD2380" s="1246"/>
      <c r="AE2380" s="1246"/>
      <c r="AF2380" s="1246"/>
      <c r="AG2380" s="1247"/>
      <c r="AH2380" s="518"/>
      <c r="AJ2380" s="595"/>
    </row>
    <row r="2381" spans="1:36" hidden="1" x14ac:dyDescent="0.45">
      <c r="A2381" s="518"/>
      <c r="B2381" s="1245"/>
      <c r="C2381" s="1246"/>
      <c r="D2381" s="1246"/>
      <c r="E2381" s="1246"/>
      <c r="F2381" s="1246"/>
      <c r="G2381" s="1246"/>
      <c r="H2381" s="1246"/>
      <c r="I2381" s="1246"/>
      <c r="J2381" s="1246"/>
      <c r="K2381" s="1246"/>
      <c r="L2381" s="1246"/>
      <c r="M2381" s="1246"/>
      <c r="N2381" s="1246"/>
      <c r="O2381" s="1246"/>
      <c r="P2381" s="1246"/>
      <c r="Q2381" s="1246"/>
      <c r="R2381" s="1246"/>
      <c r="S2381" s="1246"/>
      <c r="T2381" s="1246"/>
      <c r="U2381" s="1246"/>
      <c r="V2381" s="1246"/>
      <c r="W2381" s="1246"/>
      <c r="X2381" s="1246"/>
      <c r="Y2381" s="1246"/>
      <c r="Z2381" s="1246"/>
      <c r="AA2381" s="1246"/>
      <c r="AB2381" s="1246"/>
      <c r="AC2381" s="1246"/>
      <c r="AD2381" s="1246"/>
      <c r="AE2381" s="1246"/>
      <c r="AF2381" s="1246"/>
      <c r="AG2381" s="1247"/>
      <c r="AH2381" s="518"/>
      <c r="AJ2381" s="595"/>
    </row>
    <row r="2382" spans="1:36" hidden="1" x14ac:dyDescent="0.45">
      <c r="A2382" s="518"/>
      <c r="B2382" s="1245"/>
      <c r="C2382" s="1246"/>
      <c r="D2382" s="1246"/>
      <c r="E2382" s="1246"/>
      <c r="F2382" s="1246"/>
      <c r="G2382" s="1246"/>
      <c r="H2382" s="1246"/>
      <c r="I2382" s="1246"/>
      <c r="J2382" s="1246"/>
      <c r="K2382" s="1246"/>
      <c r="L2382" s="1246"/>
      <c r="M2382" s="1246"/>
      <c r="N2382" s="1246"/>
      <c r="O2382" s="1246"/>
      <c r="P2382" s="1246"/>
      <c r="Q2382" s="1246"/>
      <c r="R2382" s="1246"/>
      <c r="S2382" s="1246"/>
      <c r="T2382" s="1246"/>
      <c r="U2382" s="1246"/>
      <c r="V2382" s="1246"/>
      <c r="W2382" s="1246"/>
      <c r="X2382" s="1246"/>
      <c r="Y2382" s="1246"/>
      <c r="Z2382" s="1246"/>
      <c r="AA2382" s="1246"/>
      <c r="AB2382" s="1246"/>
      <c r="AC2382" s="1246"/>
      <c r="AD2382" s="1246"/>
      <c r="AE2382" s="1246"/>
      <c r="AF2382" s="1246"/>
      <c r="AG2382" s="1247"/>
      <c r="AH2382" s="518"/>
      <c r="AJ2382" s="595"/>
    </row>
    <row r="2383" spans="1:36" hidden="1" x14ac:dyDescent="0.45">
      <c r="A2383" s="518"/>
      <c r="B2383" s="1245"/>
      <c r="C2383" s="1246"/>
      <c r="D2383" s="1246"/>
      <c r="E2383" s="1246"/>
      <c r="F2383" s="1246"/>
      <c r="G2383" s="1246"/>
      <c r="H2383" s="1246"/>
      <c r="I2383" s="1246"/>
      <c r="J2383" s="1246"/>
      <c r="K2383" s="1246"/>
      <c r="L2383" s="1246"/>
      <c r="M2383" s="1246"/>
      <c r="N2383" s="1246"/>
      <c r="O2383" s="1246"/>
      <c r="P2383" s="1246"/>
      <c r="Q2383" s="1246"/>
      <c r="R2383" s="1246"/>
      <c r="S2383" s="1246"/>
      <c r="T2383" s="1246"/>
      <c r="U2383" s="1246"/>
      <c r="V2383" s="1246"/>
      <c r="W2383" s="1246"/>
      <c r="X2383" s="1246"/>
      <c r="Y2383" s="1246"/>
      <c r="Z2383" s="1246"/>
      <c r="AA2383" s="1246"/>
      <c r="AB2383" s="1246"/>
      <c r="AC2383" s="1246"/>
      <c r="AD2383" s="1246"/>
      <c r="AE2383" s="1246"/>
      <c r="AF2383" s="1246"/>
      <c r="AG2383" s="1247"/>
      <c r="AH2383" s="518"/>
      <c r="AJ2383" s="595"/>
    </row>
    <row r="2384" spans="1:36" hidden="1" x14ac:dyDescent="0.45">
      <c r="A2384" s="518"/>
      <c r="B2384" s="1245"/>
      <c r="C2384" s="1246"/>
      <c r="D2384" s="1246"/>
      <c r="E2384" s="1246"/>
      <c r="F2384" s="1246"/>
      <c r="G2384" s="1246"/>
      <c r="H2384" s="1246"/>
      <c r="I2384" s="1246"/>
      <c r="J2384" s="1246"/>
      <c r="K2384" s="1246"/>
      <c r="L2384" s="1246"/>
      <c r="M2384" s="1246"/>
      <c r="N2384" s="1246"/>
      <c r="O2384" s="1246"/>
      <c r="P2384" s="1246"/>
      <c r="Q2384" s="1246"/>
      <c r="R2384" s="1246"/>
      <c r="S2384" s="1246"/>
      <c r="T2384" s="1246"/>
      <c r="U2384" s="1246"/>
      <c r="V2384" s="1246"/>
      <c r="W2384" s="1246"/>
      <c r="X2384" s="1246"/>
      <c r="Y2384" s="1246"/>
      <c r="Z2384" s="1246"/>
      <c r="AA2384" s="1246"/>
      <c r="AB2384" s="1246"/>
      <c r="AC2384" s="1246"/>
      <c r="AD2384" s="1246"/>
      <c r="AE2384" s="1246"/>
      <c r="AF2384" s="1246"/>
      <c r="AG2384" s="1247"/>
      <c r="AH2384" s="518"/>
      <c r="AJ2384" s="595"/>
    </row>
    <row r="2385" spans="1:36" hidden="1" x14ac:dyDescent="0.45">
      <c r="A2385" s="518"/>
      <c r="B2385" s="1245"/>
      <c r="C2385" s="1246"/>
      <c r="D2385" s="1246"/>
      <c r="E2385" s="1246"/>
      <c r="F2385" s="1246"/>
      <c r="G2385" s="1246"/>
      <c r="H2385" s="1246"/>
      <c r="I2385" s="1246"/>
      <c r="J2385" s="1246"/>
      <c r="K2385" s="1246"/>
      <c r="L2385" s="1246"/>
      <c r="M2385" s="1246"/>
      <c r="N2385" s="1246"/>
      <c r="O2385" s="1246"/>
      <c r="P2385" s="1246"/>
      <c r="Q2385" s="1246"/>
      <c r="R2385" s="1246"/>
      <c r="S2385" s="1246"/>
      <c r="T2385" s="1246"/>
      <c r="U2385" s="1246"/>
      <c r="V2385" s="1246"/>
      <c r="W2385" s="1246"/>
      <c r="X2385" s="1246"/>
      <c r="Y2385" s="1246"/>
      <c r="Z2385" s="1246"/>
      <c r="AA2385" s="1246"/>
      <c r="AB2385" s="1246"/>
      <c r="AC2385" s="1246"/>
      <c r="AD2385" s="1246"/>
      <c r="AE2385" s="1246"/>
      <c r="AF2385" s="1246"/>
      <c r="AG2385" s="1247"/>
      <c r="AH2385" s="518"/>
      <c r="AJ2385" s="595"/>
    </row>
    <row r="2386" spans="1:36" hidden="1" x14ac:dyDescent="0.45">
      <c r="A2386" s="518"/>
      <c r="B2386" s="1245"/>
      <c r="C2386" s="1246"/>
      <c r="D2386" s="1246"/>
      <c r="E2386" s="1246"/>
      <c r="F2386" s="1246"/>
      <c r="G2386" s="1246"/>
      <c r="H2386" s="1246"/>
      <c r="I2386" s="1246"/>
      <c r="J2386" s="1246"/>
      <c r="K2386" s="1246"/>
      <c r="L2386" s="1246"/>
      <c r="M2386" s="1246"/>
      <c r="N2386" s="1246"/>
      <c r="O2386" s="1246"/>
      <c r="P2386" s="1246"/>
      <c r="Q2386" s="1246"/>
      <c r="R2386" s="1246"/>
      <c r="S2386" s="1246"/>
      <c r="T2386" s="1246"/>
      <c r="U2386" s="1246"/>
      <c r="V2386" s="1246"/>
      <c r="W2386" s="1246"/>
      <c r="X2386" s="1246"/>
      <c r="Y2386" s="1246"/>
      <c r="Z2386" s="1246"/>
      <c r="AA2386" s="1246"/>
      <c r="AB2386" s="1246"/>
      <c r="AC2386" s="1246"/>
      <c r="AD2386" s="1246"/>
      <c r="AE2386" s="1246"/>
      <c r="AF2386" s="1246"/>
      <c r="AG2386" s="1247"/>
      <c r="AH2386" s="518"/>
      <c r="AJ2386" s="595"/>
    </row>
    <row r="2387" spans="1:36" hidden="1" x14ac:dyDescent="0.45">
      <c r="A2387" s="518"/>
      <c r="B2387" s="1245"/>
      <c r="C2387" s="1246"/>
      <c r="D2387" s="1246"/>
      <c r="E2387" s="1246"/>
      <c r="F2387" s="1246"/>
      <c r="G2387" s="1246"/>
      <c r="H2387" s="1246"/>
      <c r="I2387" s="1246"/>
      <c r="J2387" s="1246"/>
      <c r="K2387" s="1246"/>
      <c r="L2387" s="1246"/>
      <c r="M2387" s="1246"/>
      <c r="N2387" s="1246"/>
      <c r="O2387" s="1246"/>
      <c r="P2387" s="1246"/>
      <c r="Q2387" s="1246"/>
      <c r="R2387" s="1246"/>
      <c r="S2387" s="1246"/>
      <c r="T2387" s="1246"/>
      <c r="U2387" s="1246"/>
      <c r="V2387" s="1246"/>
      <c r="W2387" s="1246"/>
      <c r="X2387" s="1246"/>
      <c r="Y2387" s="1246"/>
      <c r="Z2387" s="1246"/>
      <c r="AA2387" s="1246"/>
      <c r="AB2387" s="1246"/>
      <c r="AC2387" s="1246"/>
      <c r="AD2387" s="1246"/>
      <c r="AE2387" s="1246"/>
      <c r="AF2387" s="1246"/>
      <c r="AG2387" s="1247"/>
      <c r="AH2387" s="518"/>
      <c r="AJ2387" s="595"/>
    </row>
    <row r="2388" spans="1:36" hidden="1" x14ac:dyDescent="0.45">
      <c r="A2388" s="518"/>
      <c r="B2388" s="1245"/>
      <c r="C2388" s="1246"/>
      <c r="D2388" s="1246"/>
      <c r="E2388" s="1246"/>
      <c r="F2388" s="1246"/>
      <c r="G2388" s="1246"/>
      <c r="H2388" s="1246"/>
      <c r="I2388" s="1246"/>
      <c r="J2388" s="1246"/>
      <c r="K2388" s="1246"/>
      <c r="L2388" s="1246"/>
      <c r="M2388" s="1246"/>
      <c r="N2388" s="1246"/>
      <c r="O2388" s="1246"/>
      <c r="P2388" s="1246"/>
      <c r="Q2388" s="1246"/>
      <c r="R2388" s="1246"/>
      <c r="S2388" s="1246"/>
      <c r="T2388" s="1246"/>
      <c r="U2388" s="1246"/>
      <c r="V2388" s="1246"/>
      <c r="W2388" s="1246"/>
      <c r="X2388" s="1246"/>
      <c r="Y2388" s="1246"/>
      <c r="Z2388" s="1246"/>
      <c r="AA2388" s="1246"/>
      <c r="AB2388" s="1246"/>
      <c r="AC2388" s="1246"/>
      <c r="AD2388" s="1246"/>
      <c r="AE2388" s="1246"/>
      <c r="AF2388" s="1246"/>
      <c r="AG2388" s="1247"/>
      <c r="AH2388" s="518"/>
      <c r="AJ2388" s="595"/>
    </row>
    <row r="2389" spans="1:36" hidden="1" x14ac:dyDescent="0.45">
      <c r="A2389" s="518"/>
      <c r="B2389" s="1245"/>
      <c r="C2389" s="1246"/>
      <c r="D2389" s="1246"/>
      <c r="E2389" s="1246"/>
      <c r="F2389" s="1246"/>
      <c r="G2389" s="1246"/>
      <c r="H2389" s="1246"/>
      <c r="I2389" s="1246"/>
      <c r="J2389" s="1246"/>
      <c r="K2389" s="1246"/>
      <c r="L2389" s="1246"/>
      <c r="M2389" s="1246"/>
      <c r="N2389" s="1246"/>
      <c r="O2389" s="1246"/>
      <c r="P2389" s="1246"/>
      <c r="Q2389" s="1246"/>
      <c r="R2389" s="1246"/>
      <c r="S2389" s="1246"/>
      <c r="T2389" s="1246"/>
      <c r="U2389" s="1246"/>
      <c r="V2389" s="1246"/>
      <c r="W2389" s="1246"/>
      <c r="X2389" s="1246"/>
      <c r="Y2389" s="1246"/>
      <c r="Z2389" s="1246"/>
      <c r="AA2389" s="1246"/>
      <c r="AB2389" s="1246"/>
      <c r="AC2389" s="1246"/>
      <c r="AD2389" s="1246"/>
      <c r="AE2389" s="1246"/>
      <c r="AF2389" s="1246"/>
      <c r="AG2389" s="1247"/>
      <c r="AH2389" s="518"/>
      <c r="AJ2389" s="595"/>
    </row>
    <row r="2390" spans="1:36" hidden="1" x14ac:dyDescent="0.45">
      <c r="A2390" s="518"/>
      <c r="B2390" s="1245"/>
      <c r="C2390" s="1246"/>
      <c r="D2390" s="1246"/>
      <c r="E2390" s="1246"/>
      <c r="F2390" s="1246"/>
      <c r="G2390" s="1246"/>
      <c r="H2390" s="1246"/>
      <c r="I2390" s="1246"/>
      <c r="J2390" s="1246"/>
      <c r="K2390" s="1246"/>
      <c r="L2390" s="1246"/>
      <c r="M2390" s="1246"/>
      <c r="N2390" s="1246"/>
      <c r="O2390" s="1246"/>
      <c r="P2390" s="1246"/>
      <c r="Q2390" s="1246"/>
      <c r="R2390" s="1246"/>
      <c r="S2390" s="1246"/>
      <c r="T2390" s="1246"/>
      <c r="U2390" s="1246"/>
      <c r="V2390" s="1246"/>
      <c r="W2390" s="1246"/>
      <c r="X2390" s="1246"/>
      <c r="Y2390" s="1246"/>
      <c r="Z2390" s="1246"/>
      <c r="AA2390" s="1246"/>
      <c r="AB2390" s="1246"/>
      <c r="AC2390" s="1246"/>
      <c r="AD2390" s="1246"/>
      <c r="AE2390" s="1246"/>
      <c r="AF2390" s="1246"/>
      <c r="AG2390" s="1247"/>
      <c r="AH2390" s="518"/>
      <c r="AJ2390" s="595"/>
    </row>
    <row r="2391" spans="1:36" hidden="1" x14ac:dyDescent="0.45">
      <c r="A2391" s="518"/>
      <c r="B2391" s="1245"/>
      <c r="C2391" s="1246"/>
      <c r="D2391" s="1246"/>
      <c r="E2391" s="1246"/>
      <c r="F2391" s="1246"/>
      <c r="G2391" s="1246"/>
      <c r="H2391" s="1246"/>
      <c r="I2391" s="1246"/>
      <c r="J2391" s="1246"/>
      <c r="K2391" s="1246"/>
      <c r="L2391" s="1246"/>
      <c r="M2391" s="1246"/>
      <c r="N2391" s="1246"/>
      <c r="O2391" s="1246"/>
      <c r="P2391" s="1246"/>
      <c r="Q2391" s="1246"/>
      <c r="R2391" s="1246"/>
      <c r="S2391" s="1246"/>
      <c r="T2391" s="1246"/>
      <c r="U2391" s="1246"/>
      <c r="V2391" s="1246"/>
      <c r="W2391" s="1246"/>
      <c r="X2391" s="1246"/>
      <c r="Y2391" s="1246"/>
      <c r="Z2391" s="1246"/>
      <c r="AA2391" s="1246"/>
      <c r="AB2391" s="1246"/>
      <c r="AC2391" s="1246"/>
      <c r="AD2391" s="1246"/>
      <c r="AE2391" s="1246"/>
      <c r="AF2391" s="1246"/>
      <c r="AG2391" s="1247"/>
      <c r="AH2391" s="518"/>
      <c r="AJ2391" s="595"/>
    </row>
    <row r="2392" spans="1:36" hidden="1" x14ac:dyDescent="0.45">
      <c r="A2392" s="518"/>
      <c r="B2392" s="1245"/>
      <c r="C2392" s="1246"/>
      <c r="D2392" s="1246"/>
      <c r="E2392" s="1246"/>
      <c r="F2392" s="1246"/>
      <c r="G2392" s="1246"/>
      <c r="H2392" s="1246"/>
      <c r="I2392" s="1246"/>
      <c r="J2392" s="1246"/>
      <c r="K2392" s="1246"/>
      <c r="L2392" s="1246"/>
      <c r="M2392" s="1246"/>
      <c r="N2392" s="1246"/>
      <c r="O2392" s="1246"/>
      <c r="P2392" s="1246"/>
      <c r="Q2392" s="1246"/>
      <c r="R2392" s="1246"/>
      <c r="S2392" s="1246"/>
      <c r="T2392" s="1246"/>
      <c r="U2392" s="1246"/>
      <c r="V2392" s="1246"/>
      <c r="W2392" s="1246"/>
      <c r="X2392" s="1246"/>
      <c r="Y2392" s="1246"/>
      <c r="Z2392" s="1246"/>
      <c r="AA2392" s="1246"/>
      <c r="AB2392" s="1246"/>
      <c r="AC2392" s="1246"/>
      <c r="AD2392" s="1246"/>
      <c r="AE2392" s="1246"/>
      <c r="AF2392" s="1246"/>
      <c r="AG2392" s="1247"/>
      <c r="AH2392" s="518"/>
      <c r="AJ2392" s="595"/>
    </row>
    <row r="2393" spans="1:36" hidden="1" x14ac:dyDescent="0.45">
      <c r="A2393" s="518"/>
      <c r="B2393" s="1153"/>
      <c r="C2393" s="1154"/>
      <c r="D2393" s="1154"/>
      <c r="E2393" s="1154"/>
      <c r="F2393" s="1154"/>
      <c r="G2393" s="1154"/>
      <c r="H2393" s="1154"/>
      <c r="I2393" s="1154"/>
      <c r="J2393" s="1154"/>
      <c r="K2393" s="1154"/>
      <c r="L2393" s="1154"/>
      <c r="M2393" s="1154"/>
      <c r="N2393" s="1154"/>
      <c r="O2393" s="1154"/>
      <c r="P2393" s="1154"/>
      <c r="Q2393" s="1154"/>
      <c r="R2393" s="1154"/>
      <c r="S2393" s="1154"/>
      <c r="T2393" s="1154"/>
      <c r="U2393" s="1154"/>
      <c r="V2393" s="1154"/>
      <c r="W2393" s="1154"/>
      <c r="X2393" s="1154"/>
      <c r="Y2393" s="1154"/>
      <c r="Z2393" s="1154"/>
      <c r="AA2393" s="1154"/>
      <c r="AB2393" s="1154"/>
      <c r="AC2393" s="1154"/>
      <c r="AD2393" s="1154"/>
      <c r="AE2393" s="1154"/>
      <c r="AF2393" s="1154"/>
      <c r="AG2393" s="1155"/>
      <c r="AH2393" s="518"/>
      <c r="AJ2393" s="595"/>
    </row>
    <row r="2394" spans="1:36" hidden="1" x14ac:dyDescent="0.45">
      <c r="A2394" s="518"/>
      <c r="B2394" s="517"/>
      <c r="C2394" s="517"/>
      <c r="D2394" s="517"/>
      <c r="E2394" s="517"/>
      <c r="F2394" s="517"/>
      <c r="G2394" s="517"/>
      <c r="H2394" s="517"/>
      <c r="I2394" s="517"/>
      <c r="J2394" s="517"/>
      <c r="K2394" s="517"/>
      <c r="L2394" s="517"/>
      <c r="M2394" s="517"/>
      <c r="N2394" s="517"/>
      <c r="O2394" s="517"/>
      <c r="P2394" s="517"/>
      <c r="Q2394" s="517"/>
      <c r="R2394" s="517"/>
      <c r="S2394" s="517"/>
      <c r="T2394" s="517"/>
      <c r="U2394" s="517"/>
      <c r="V2394" s="517"/>
      <c r="W2394" s="517"/>
      <c r="X2394" s="517"/>
      <c r="Y2394" s="517"/>
      <c r="Z2394" s="517"/>
      <c r="AA2394" s="517"/>
      <c r="AB2394" s="517"/>
      <c r="AC2394" s="517"/>
      <c r="AD2394" s="517"/>
      <c r="AE2394" s="517"/>
      <c r="AF2394" s="517"/>
      <c r="AG2394" s="517"/>
      <c r="AH2394" s="518"/>
      <c r="AJ2394" s="595"/>
    </row>
    <row r="2395" spans="1:36" hidden="1" x14ac:dyDescent="0.45">
      <c r="A2395" s="518"/>
      <c r="B2395" s="518"/>
      <c r="C2395" s="518"/>
      <c r="D2395" s="518"/>
      <c r="E2395" s="518"/>
      <c r="F2395" s="518"/>
      <c r="G2395" s="518"/>
      <c r="H2395" s="518"/>
      <c r="I2395" s="518"/>
      <c r="J2395" s="518"/>
      <c r="K2395" s="518"/>
      <c r="L2395" s="518"/>
      <c r="M2395" s="518"/>
      <c r="N2395" s="518"/>
      <c r="O2395" s="518"/>
      <c r="P2395" s="518"/>
      <c r="Q2395" s="518"/>
      <c r="R2395" s="518"/>
      <c r="S2395" s="518"/>
      <c r="T2395" s="518"/>
      <c r="U2395" s="518"/>
      <c r="V2395" s="518"/>
      <c r="W2395" s="518"/>
      <c r="X2395" s="518"/>
      <c r="Y2395" s="518"/>
      <c r="Z2395" s="518"/>
      <c r="AA2395" s="518"/>
      <c r="AB2395" s="518"/>
      <c r="AC2395" s="518"/>
      <c r="AD2395" s="518"/>
      <c r="AE2395" s="518"/>
      <c r="AF2395" s="518"/>
      <c r="AG2395" s="518"/>
      <c r="AH2395" s="518"/>
      <c r="AJ2395" s="595" t="b">
        <f>AND(AJ2236,S1_AMH_UnrestrictedTotalRequested&gt;0)</f>
        <v>0</v>
      </c>
    </row>
    <row r="2396" spans="1:36" hidden="1" x14ac:dyDescent="0.45">
      <c r="A2396" s="518"/>
      <c r="B2396" s="923" t="s">
        <v>1863</v>
      </c>
      <c r="C2396" s="923"/>
      <c r="D2396" s="923"/>
      <c r="E2396" s="923"/>
      <c r="F2396" s="923"/>
      <c r="G2396" s="923"/>
      <c r="H2396" s="923"/>
      <c r="I2396" s="923"/>
      <c r="J2396" s="923"/>
      <c r="K2396" s="923"/>
      <c r="L2396" s="923"/>
      <c r="M2396" s="923"/>
      <c r="N2396" s="923"/>
      <c r="O2396" s="923"/>
      <c r="P2396" s="923"/>
      <c r="Q2396" s="923"/>
      <c r="R2396" s="923"/>
      <c r="S2396" s="923"/>
      <c r="T2396" s="923"/>
      <c r="U2396" s="923"/>
      <c r="V2396" s="923"/>
      <c r="W2396" s="923"/>
      <c r="X2396" s="923"/>
      <c r="Y2396" s="923"/>
      <c r="Z2396" s="923"/>
      <c r="AA2396" s="923"/>
      <c r="AB2396" s="923"/>
      <c r="AC2396" s="923"/>
      <c r="AD2396" s="923"/>
      <c r="AE2396" s="923"/>
      <c r="AF2396" s="923"/>
      <c r="AG2396" s="923"/>
      <c r="AH2396" s="518"/>
      <c r="AJ2396" s="595"/>
    </row>
    <row r="2397" spans="1:36" hidden="1" x14ac:dyDescent="0.45">
      <c r="A2397" s="518"/>
      <c r="B2397" s="925" t="s">
        <v>1820</v>
      </c>
      <c r="C2397" s="925"/>
      <c r="D2397" s="925"/>
      <c r="E2397" s="925"/>
      <c r="F2397" s="925"/>
      <c r="G2397" s="925"/>
      <c r="H2397" s="925"/>
      <c r="I2397" s="925"/>
      <c r="J2397" s="925"/>
      <c r="K2397" s="925"/>
      <c r="L2397" s="925"/>
      <c r="M2397" s="925"/>
      <c r="N2397" s="925"/>
      <c r="O2397" s="925"/>
      <c r="P2397" s="925"/>
      <c r="Q2397" s="925"/>
      <c r="R2397" s="925"/>
      <c r="S2397" s="925"/>
      <c r="T2397" s="925"/>
      <c r="U2397" s="925"/>
      <c r="V2397" s="925"/>
      <c r="W2397" s="925"/>
      <c r="X2397" s="925"/>
      <c r="Y2397" s="925"/>
      <c r="Z2397" s="925"/>
      <c r="AA2397" s="925"/>
      <c r="AB2397" s="925"/>
      <c r="AC2397" s="925"/>
      <c r="AD2397" s="925"/>
      <c r="AE2397" s="925"/>
      <c r="AF2397" s="925"/>
      <c r="AG2397" s="925"/>
      <c r="AH2397" s="518"/>
      <c r="AJ2397" s="595"/>
    </row>
    <row r="2398" spans="1:36" hidden="1" x14ac:dyDescent="0.45">
      <c r="A2398" s="518"/>
      <c r="B2398" s="1103" t="s">
        <v>1819</v>
      </c>
      <c r="C2398" s="1103"/>
      <c r="D2398" s="1103"/>
      <c r="E2398" s="1103"/>
      <c r="F2398" s="1103"/>
      <c r="G2398" s="1103"/>
      <c r="H2398" s="1103"/>
      <c r="I2398" s="1103"/>
      <c r="J2398" s="1103"/>
      <c r="K2398" s="1103"/>
      <c r="L2398" s="1103"/>
      <c r="M2398" s="1103"/>
      <c r="N2398" s="1103"/>
      <c r="O2398" s="1103"/>
      <c r="P2398" s="1103"/>
      <c r="Q2398" s="1103"/>
      <c r="R2398" s="1103"/>
      <c r="S2398" s="1103"/>
      <c r="T2398" s="1103"/>
      <c r="U2398" s="1103"/>
      <c r="V2398" s="1103"/>
      <c r="W2398" s="1103"/>
      <c r="X2398" s="1103"/>
      <c r="Y2398" s="1103"/>
      <c r="Z2398" s="1103"/>
      <c r="AA2398" s="1103"/>
      <c r="AB2398" s="1103"/>
      <c r="AC2398" s="1103"/>
      <c r="AD2398" s="1103"/>
      <c r="AE2398" s="1103"/>
      <c r="AF2398" s="1103"/>
      <c r="AG2398" s="1103"/>
      <c r="AH2398" s="518"/>
      <c r="AJ2398" s="595"/>
    </row>
    <row r="2399" spans="1:36" hidden="1" x14ac:dyDescent="0.45">
      <c r="A2399" s="518"/>
      <c r="B2399" s="923" t="s">
        <v>1856</v>
      </c>
      <c r="C2399" s="923"/>
      <c r="D2399" s="923"/>
      <c r="E2399" s="923"/>
      <c r="F2399" s="923"/>
      <c r="G2399" s="923"/>
      <c r="H2399" s="923"/>
      <c r="I2399" s="923"/>
      <c r="J2399" s="923"/>
      <c r="K2399" s="923"/>
      <c r="L2399" s="923"/>
      <c r="M2399" s="923"/>
      <c r="N2399" s="923"/>
      <c r="O2399" s="923"/>
      <c r="P2399" s="923"/>
      <c r="Q2399" s="923"/>
      <c r="R2399" s="923"/>
      <c r="S2399" s="923"/>
      <c r="T2399" s="923"/>
      <c r="U2399" s="923"/>
      <c r="V2399" s="923"/>
      <c r="W2399" s="923"/>
      <c r="X2399" s="923"/>
      <c r="Y2399" s="923"/>
      <c r="Z2399" s="923"/>
      <c r="AA2399" s="923"/>
      <c r="AB2399" s="923"/>
      <c r="AC2399" s="923"/>
      <c r="AD2399" s="923"/>
      <c r="AE2399" s="923"/>
      <c r="AF2399" s="923"/>
      <c r="AG2399" s="923"/>
      <c r="AH2399" s="518"/>
      <c r="AJ2399" s="595"/>
    </row>
    <row r="2400" spans="1:36" hidden="1" x14ac:dyDescent="0.45">
      <c r="A2400" s="518"/>
      <c r="B2400" s="862" t="s">
        <v>108</v>
      </c>
      <c r="C2400" s="863"/>
      <c r="D2400" s="863"/>
      <c r="E2400" s="863"/>
      <c r="F2400" s="892"/>
      <c r="G2400" s="862" t="s">
        <v>1485</v>
      </c>
      <c r="H2400" s="892"/>
      <c r="I2400" s="862" t="s">
        <v>1827</v>
      </c>
      <c r="J2400" s="892"/>
      <c r="K2400" s="862" t="s">
        <v>1818</v>
      </c>
      <c r="L2400" s="892"/>
      <c r="M2400" s="1182" t="s">
        <v>91</v>
      </c>
      <c r="N2400" s="1059"/>
      <c r="O2400" s="862" t="s">
        <v>110</v>
      </c>
      <c r="P2400" s="863"/>
      <c r="Q2400" s="863"/>
      <c r="R2400" s="892"/>
      <c r="S2400" s="862" t="s">
        <v>111</v>
      </c>
      <c r="T2400" s="863"/>
      <c r="U2400" s="863"/>
      <c r="V2400" s="892"/>
      <c r="W2400" s="1182" t="s">
        <v>113</v>
      </c>
      <c r="X2400" s="1058"/>
      <c r="Y2400" s="1058"/>
      <c r="Z2400" s="1059"/>
      <c r="AA2400" s="862" t="s">
        <v>114</v>
      </c>
      <c r="AB2400" s="892"/>
      <c r="AC2400" s="518"/>
      <c r="AD2400" s="518"/>
      <c r="AE2400" s="518"/>
      <c r="AF2400" s="518"/>
      <c r="AG2400" s="529"/>
      <c r="AH2400" s="518"/>
      <c r="AJ2400" s="595"/>
    </row>
    <row r="2401" spans="1:36" hidden="1" x14ac:dyDescent="0.45">
      <c r="A2401" s="518"/>
      <c r="B2401" s="864"/>
      <c r="C2401" s="865"/>
      <c r="D2401" s="865"/>
      <c r="E2401" s="865"/>
      <c r="F2401" s="893"/>
      <c r="G2401" s="864"/>
      <c r="H2401" s="893"/>
      <c r="I2401" s="864"/>
      <c r="J2401" s="893"/>
      <c r="K2401" s="864"/>
      <c r="L2401" s="893"/>
      <c r="M2401" s="1060"/>
      <c r="N2401" s="1062"/>
      <c r="O2401" s="864"/>
      <c r="P2401" s="865"/>
      <c r="Q2401" s="865"/>
      <c r="R2401" s="893"/>
      <c r="S2401" s="864"/>
      <c r="T2401" s="865"/>
      <c r="U2401" s="865"/>
      <c r="V2401" s="893"/>
      <c r="W2401" s="1060"/>
      <c r="X2401" s="1061"/>
      <c r="Y2401" s="1061"/>
      <c r="Z2401" s="1062"/>
      <c r="AA2401" s="864"/>
      <c r="AB2401" s="893"/>
      <c r="AC2401" s="518"/>
      <c r="AD2401" s="518"/>
      <c r="AE2401" s="518"/>
      <c r="AF2401" s="518"/>
      <c r="AG2401" s="529"/>
      <c r="AH2401" s="518"/>
      <c r="AJ2401" s="595"/>
    </row>
    <row r="2402" spans="1:36" hidden="1" x14ac:dyDescent="0.45">
      <c r="A2402" s="518"/>
      <c r="B2402" s="514" t="s">
        <v>1405</v>
      </c>
      <c r="C2402" s="530"/>
      <c r="D2402" s="530"/>
      <c r="E2402" s="530"/>
      <c r="F2402" s="530"/>
      <c r="G2402" s="885" t="str">
        <f>LEFT(S1AMHData!AG3,1)</f>
        <v/>
      </c>
      <c r="H2402" s="885"/>
      <c r="I2402" s="885" t="str">
        <f>LEFT(S1AMHData!L3,1)</f>
        <v/>
      </c>
      <c r="J2402" s="885"/>
      <c r="K2402" s="885" t="str">
        <f>LEFT(S1AMHData!N3,1)</f>
        <v/>
      </c>
      <c r="L2402" s="885"/>
      <c r="M2402" s="1240">
        <f>S1AMHData!O3</f>
        <v>0</v>
      </c>
      <c r="N2402" s="885"/>
      <c r="O2402" s="940">
        <f>S1AMHData!P3</f>
        <v>0</v>
      </c>
      <c r="P2402" s="940"/>
      <c r="Q2402" s="940"/>
      <c r="R2402" s="940"/>
      <c r="S2402" s="940">
        <f>S1AMHData!Q3</f>
        <v>0</v>
      </c>
      <c r="T2402" s="940"/>
      <c r="U2402" s="940"/>
      <c r="V2402" s="940"/>
      <c r="W2402" s="940">
        <f>SUM(O2402:U2402)</f>
        <v>0</v>
      </c>
      <c r="X2402" s="940"/>
      <c r="Y2402" s="940"/>
      <c r="Z2402" s="940"/>
      <c r="AA2402" s="871">
        <f>S1AMHData!S3</f>
        <v>0</v>
      </c>
      <c r="AB2402" s="871"/>
      <c r="AC2402" s="518"/>
      <c r="AD2402" s="518"/>
      <c r="AE2402" s="518"/>
      <c r="AF2402" s="518"/>
      <c r="AG2402" s="529"/>
      <c r="AH2402" s="518"/>
      <c r="AJ2402" s="595" t="b">
        <f>IF(AND(AJ$2395,W2402&gt;0),TRUE,FALSE)</f>
        <v>0</v>
      </c>
    </row>
    <row r="2403" spans="1:36" hidden="1" x14ac:dyDescent="0.45">
      <c r="A2403" s="518"/>
      <c r="B2403" s="514" t="s">
        <v>1406</v>
      </c>
      <c r="C2403" s="530"/>
      <c r="D2403" s="530"/>
      <c r="E2403" s="530"/>
      <c r="F2403" s="530"/>
      <c r="G2403" s="885" t="str">
        <f>LEFT(S1AMHData!AG4,1)</f>
        <v/>
      </c>
      <c r="H2403" s="885"/>
      <c r="I2403" s="885" t="str">
        <f>LEFT(S1AMHData!L4,1)</f>
        <v/>
      </c>
      <c r="J2403" s="885"/>
      <c r="K2403" s="885" t="str">
        <f>LEFT(S1AMHData!N4,1)</f>
        <v/>
      </c>
      <c r="L2403" s="885"/>
      <c r="M2403" s="1240">
        <f>S1AMHData!O4</f>
        <v>0</v>
      </c>
      <c r="N2403" s="885"/>
      <c r="O2403" s="940">
        <f>S1AMHData!P4</f>
        <v>0</v>
      </c>
      <c r="P2403" s="940"/>
      <c r="Q2403" s="940"/>
      <c r="R2403" s="940"/>
      <c r="S2403" s="940">
        <f>S1AMHData!Q4</f>
        <v>0</v>
      </c>
      <c r="T2403" s="940"/>
      <c r="U2403" s="940"/>
      <c r="V2403" s="940"/>
      <c r="W2403" s="940">
        <f t="shared" ref="W2403:W2459" si="45">SUM(O2403:U2403)</f>
        <v>0</v>
      </c>
      <c r="X2403" s="940"/>
      <c r="Y2403" s="940"/>
      <c r="Z2403" s="940"/>
      <c r="AA2403" s="871">
        <f>S1AMHData!S4</f>
        <v>0</v>
      </c>
      <c r="AB2403" s="871"/>
      <c r="AC2403" s="518"/>
      <c r="AD2403" s="518"/>
      <c r="AE2403" s="518"/>
      <c r="AF2403" s="518"/>
      <c r="AG2403" s="529"/>
      <c r="AH2403" s="518"/>
      <c r="AJ2403" s="595" t="b">
        <v>0</v>
      </c>
    </row>
    <row r="2404" spans="1:36" hidden="1" x14ac:dyDescent="0.45">
      <c r="A2404" s="518"/>
      <c r="B2404" s="514" t="s">
        <v>1407</v>
      </c>
      <c r="C2404" s="530"/>
      <c r="D2404" s="530"/>
      <c r="E2404" s="530"/>
      <c r="F2404" s="530"/>
      <c r="G2404" s="885" t="str">
        <f>LEFT(S1AMHData!AG5,1)</f>
        <v/>
      </c>
      <c r="H2404" s="885"/>
      <c r="I2404" s="885" t="str">
        <f>LEFT(S1AMHData!L5,1)</f>
        <v/>
      </c>
      <c r="J2404" s="885"/>
      <c r="K2404" s="885" t="str">
        <f>LEFT(S1AMHData!N5,1)</f>
        <v/>
      </c>
      <c r="L2404" s="885"/>
      <c r="M2404" s="1240">
        <f>S1AMHData!O5</f>
        <v>0</v>
      </c>
      <c r="N2404" s="885"/>
      <c r="O2404" s="940">
        <f>S1AMHData!P5</f>
        <v>0</v>
      </c>
      <c r="P2404" s="940"/>
      <c r="Q2404" s="940"/>
      <c r="R2404" s="940"/>
      <c r="S2404" s="940">
        <f>S1AMHData!Q5</f>
        <v>0</v>
      </c>
      <c r="T2404" s="940"/>
      <c r="U2404" s="940"/>
      <c r="V2404" s="940"/>
      <c r="W2404" s="940">
        <f t="shared" si="45"/>
        <v>0</v>
      </c>
      <c r="X2404" s="940"/>
      <c r="Y2404" s="940"/>
      <c r="Z2404" s="940"/>
      <c r="AA2404" s="871">
        <f>S1AMHData!S5</f>
        <v>0</v>
      </c>
      <c r="AB2404" s="871"/>
      <c r="AC2404" s="518"/>
      <c r="AD2404" s="518"/>
      <c r="AE2404" s="518"/>
      <c r="AF2404" s="518"/>
      <c r="AG2404" s="529"/>
      <c r="AH2404" s="518"/>
      <c r="AJ2404" s="595" t="b">
        <v>0</v>
      </c>
    </row>
    <row r="2405" spans="1:36" hidden="1" x14ac:dyDescent="0.45">
      <c r="A2405" s="518"/>
      <c r="B2405" s="514" t="s">
        <v>1408</v>
      </c>
      <c r="C2405" s="530"/>
      <c r="D2405" s="530"/>
      <c r="E2405" s="530"/>
      <c r="F2405" s="530"/>
      <c r="G2405" s="885" t="str">
        <f>LEFT(S1AMHData!AG6,1)</f>
        <v/>
      </c>
      <c r="H2405" s="885"/>
      <c r="I2405" s="885" t="str">
        <f>LEFT(S1AMHData!L6,1)</f>
        <v/>
      </c>
      <c r="J2405" s="885"/>
      <c r="K2405" s="885" t="str">
        <f>LEFT(S1AMHData!N6,1)</f>
        <v/>
      </c>
      <c r="L2405" s="885"/>
      <c r="M2405" s="1240">
        <f>S1AMHData!O6</f>
        <v>0</v>
      </c>
      <c r="N2405" s="885"/>
      <c r="O2405" s="940">
        <f>S1AMHData!P6</f>
        <v>0</v>
      </c>
      <c r="P2405" s="940"/>
      <c r="Q2405" s="940"/>
      <c r="R2405" s="940"/>
      <c r="S2405" s="940">
        <f>S1AMHData!Q6</f>
        <v>0</v>
      </c>
      <c r="T2405" s="940"/>
      <c r="U2405" s="940"/>
      <c r="V2405" s="940"/>
      <c r="W2405" s="940">
        <f t="shared" si="45"/>
        <v>0</v>
      </c>
      <c r="X2405" s="940"/>
      <c r="Y2405" s="940"/>
      <c r="Z2405" s="940"/>
      <c r="AA2405" s="871">
        <f>S1AMHData!S6</f>
        <v>0</v>
      </c>
      <c r="AB2405" s="871"/>
      <c r="AC2405" s="518"/>
      <c r="AD2405" s="518"/>
      <c r="AE2405" s="518"/>
      <c r="AF2405" s="518"/>
      <c r="AG2405" s="529"/>
      <c r="AH2405" s="518"/>
      <c r="AJ2405" s="595" t="b">
        <v>0</v>
      </c>
    </row>
    <row r="2406" spans="1:36" hidden="1" x14ac:dyDescent="0.45">
      <c r="A2406" s="518"/>
      <c r="B2406" s="514" t="s">
        <v>1409</v>
      </c>
      <c r="C2406" s="530"/>
      <c r="D2406" s="530"/>
      <c r="E2406" s="530"/>
      <c r="F2406" s="530"/>
      <c r="G2406" s="885" t="str">
        <f>LEFT(S1AMHData!AG7,1)</f>
        <v/>
      </c>
      <c r="H2406" s="885"/>
      <c r="I2406" s="885" t="str">
        <f>LEFT(S1AMHData!L7,1)</f>
        <v/>
      </c>
      <c r="J2406" s="885"/>
      <c r="K2406" s="885" t="str">
        <f>LEFT(S1AMHData!N7,1)</f>
        <v/>
      </c>
      <c r="L2406" s="885"/>
      <c r="M2406" s="1240">
        <f>S1AMHData!O7</f>
        <v>0</v>
      </c>
      <c r="N2406" s="885"/>
      <c r="O2406" s="940">
        <f>S1AMHData!P7</f>
        <v>0</v>
      </c>
      <c r="P2406" s="940"/>
      <c r="Q2406" s="940"/>
      <c r="R2406" s="940"/>
      <c r="S2406" s="940">
        <f>S1AMHData!Q7</f>
        <v>0</v>
      </c>
      <c r="T2406" s="940"/>
      <c r="U2406" s="940"/>
      <c r="V2406" s="940"/>
      <c r="W2406" s="940">
        <f t="shared" si="45"/>
        <v>0</v>
      </c>
      <c r="X2406" s="940"/>
      <c r="Y2406" s="940"/>
      <c r="Z2406" s="940"/>
      <c r="AA2406" s="871">
        <f>S1AMHData!S7</f>
        <v>0</v>
      </c>
      <c r="AB2406" s="871"/>
      <c r="AC2406" s="518"/>
      <c r="AD2406" s="518"/>
      <c r="AE2406" s="518"/>
      <c r="AF2406" s="518"/>
      <c r="AG2406" s="529"/>
      <c r="AH2406" s="518"/>
      <c r="AJ2406" s="595" t="b">
        <v>0</v>
      </c>
    </row>
    <row r="2407" spans="1:36" hidden="1" x14ac:dyDescent="0.45">
      <c r="A2407" s="518"/>
      <c r="B2407" s="514" t="s">
        <v>1410</v>
      </c>
      <c r="C2407" s="530"/>
      <c r="D2407" s="530"/>
      <c r="E2407" s="530"/>
      <c r="F2407" s="530"/>
      <c r="G2407" s="885" t="str">
        <f>LEFT(S1AMHData!AG8,1)</f>
        <v/>
      </c>
      <c r="H2407" s="885"/>
      <c r="I2407" s="885" t="str">
        <f>LEFT(S1AMHData!L8,1)</f>
        <v/>
      </c>
      <c r="J2407" s="885"/>
      <c r="K2407" s="885" t="str">
        <f>LEFT(S1AMHData!N8,1)</f>
        <v/>
      </c>
      <c r="L2407" s="885"/>
      <c r="M2407" s="1240">
        <f>S1AMHData!O8</f>
        <v>0</v>
      </c>
      <c r="N2407" s="885"/>
      <c r="O2407" s="940">
        <f>S1AMHData!P8</f>
        <v>0</v>
      </c>
      <c r="P2407" s="940"/>
      <c r="Q2407" s="940"/>
      <c r="R2407" s="940"/>
      <c r="S2407" s="940">
        <f>S1AMHData!Q8</f>
        <v>0</v>
      </c>
      <c r="T2407" s="940"/>
      <c r="U2407" s="940"/>
      <c r="V2407" s="940"/>
      <c r="W2407" s="940">
        <f t="shared" si="45"/>
        <v>0</v>
      </c>
      <c r="X2407" s="940"/>
      <c r="Y2407" s="940"/>
      <c r="Z2407" s="940"/>
      <c r="AA2407" s="871">
        <f>S1AMHData!S8</f>
        <v>0</v>
      </c>
      <c r="AB2407" s="871"/>
      <c r="AC2407" s="518"/>
      <c r="AD2407" s="518"/>
      <c r="AE2407" s="518"/>
      <c r="AF2407" s="518"/>
      <c r="AG2407" s="529"/>
      <c r="AH2407" s="518"/>
      <c r="AJ2407" s="595" t="b">
        <v>0</v>
      </c>
    </row>
    <row r="2408" spans="1:36" hidden="1" x14ac:dyDescent="0.45">
      <c r="A2408" s="518"/>
      <c r="B2408" s="514" t="s">
        <v>1411</v>
      </c>
      <c r="C2408" s="530"/>
      <c r="D2408" s="530"/>
      <c r="E2408" s="530"/>
      <c r="F2408" s="530"/>
      <c r="G2408" s="885" t="str">
        <f>LEFT(S1AMHData!AG9,1)</f>
        <v/>
      </c>
      <c r="H2408" s="885"/>
      <c r="I2408" s="885" t="str">
        <f>LEFT(S1AMHData!L9,1)</f>
        <v/>
      </c>
      <c r="J2408" s="885"/>
      <c r="K2408" s="885" t="str">
        <f>LEFT(S1AMHData!N9,1)</f>
        <v/>
      </c>
      <c r="L2408" s="885"/>
      <c r="M2408" s="1240">
        <f>S1AMHData!O9</f>
        <v>0</v>
      </c>
      <c r="N2408" s="885"/>
      <c r="O2408" s="940">
        <f>S1AMHData!P9</f>
        <v>0</v>
      </c>
      <c r="P2408" s="940"/>
      <c r="Q2408" s="940"/>
      <c r="R2408" s="940"/>
      <c r="S2408" s="940">
        <f>S1AMHData!Q9</f>
        <v>0</v>
      </c>
      <c r="T2408" s="940"/>
      <c r="U2408" s="940"/>
      <c r="V2408" s="940"/>
      <c r="W2408" s="940">
        <f t="shared" si="45"/>
        <v>0</v>
      </c>
      <c r="X2408" s="940"/>
      <c r="Y2408" s="940"/>
      <c r="Z2408" s="940"/>
      <c r="AA2408" s="871">
        <f>S1AMHData!S9</f>
        <v>0</v>
      </c>
      <c r="AB2408" s="871"/>
      <c r="AC2408" s="518"/>
      <c r="AD2408" s="518"/>
      <c r="AE2408" s="518"/>
      <c r="AF2408" s="518"/>
      <c r="AG2408" s="529"/>
      <c r="AH2408" s="518"/>
      <c r="AJ2408" s="595" t="b">
        <v>0</v>
      </c>
    </row>
    <row r="2409" spans="1:36" hidden="1" x14ac:dyDescent="0.45">
      <c r="A2409" s="518"/>
      <c r="B2409" s="514" t="s">
        <v>1412</v>
      </c>
      <c r="C2409" s="530"/>
      <c r="D2409" s="530"/>
      <c r="E2409" s="530"/>
      <c r="F2409" s="530"/>
      <c r="G2409" s="885" t="str">
        <f>LEFT(S1AMHData!AG10,1)</f>
        <v/>
      </c>
      <c r="H2409" s="885"/>
      <c r="I2409" s="885" t="str">
        <f>LEFT(S1AMHData!L10,1)</f>
        <v/>
      </c>
      <c r="J2409" s="885"/>
      <c r="K2409" s="885" t="str">
        <f>LEFT(S1AMHData!N10,1)</f>
        <v/>
      </c>
      <c r="L2409" s="885"/>
      <c r="M2409" s="1240">
        <f>S1AMHData!O10</f>
        <v>0</v>
      </c>
      <c r="N2409" s="885"/>
      <c r="O2409" s="940">
        <f>S1AMHData!P10</f>
        <v>0</v>
      </c>
      <c r="P2409" s="940"/>
      <c r="Q2409" s="940"/>
      <c r="R2409" s="940"/>
      <c r="S2409" s="940">
        <f>S1AMHData!Q10</f>
        <v>0</v>
      </c>
      <c r="T2409" s="940"/>
      <c r="U2409" s="940"/>
      <c r="V2409" s="940"/>
      <c r="W2409" s="940">
        <f t="shared" si="45"/>
        <v>0</v>
      </c>
      <c r="X2409" s="940"/>
      <c r="Y2409" s="940"/>
      <c r="Z2409" s="940"/>
      <c r="AA2409" s="871">
        <f>S1AMHData!S10</f>
        <v>0</v>
      </c>
      <c r="AB2409" s="871"/>
      <c r="AC2409" s="518"/>
      <c r="AD2409" s="518"/>
      <c r="AE2409" s="518"/>
      <c r="AF2409" s="518"/>
      <c r="AG2409" s="529"/>
      <c r="AH2409" s="518"/>
      <c r="AJ2409" s="595" t="b">
        <v>0</v>
      </c>
    </row>
    <row r="2410" spans="1:36" hidden="1" x14ac:dyDescent="0.45">
      <c r="A2410" s="518"/>
      <c r="B2410" s="514" t="s">
        <v>1413</v>
      </c>
      <c r="C2410" s="530"/>
      <c r="D2410" s="530"/>
      <c r="E2410" s="530"/>
      <c r="F2410" s="530"/>
      <c r="G2410" s="885" t="str">
        <f>LEFT(S1AMHData!AG11,1)</f>
        <v/>
      </c>
      <c r="H2410" s="885"/>
      <c r="I2410" s="885" t="str">
        <f>LEFT(S1AMHData!L11,1)</f>
        <v/>
      </c>
      <c r="J2410" s="885"/>
      <c r="K2410" s="885" t="str">
        <f>LEFT(S1AMHData!N11,1)</f>
        <v/>
      </c>
      <c r="L2410" s="885"/>
      <c r="M2410" s="1240">
        <f>S1AMHData!O11</f>
        <v>0</v>
      </c>
      <c r="N2410" s="885"/>
      <c r="O2410" s="940">
        <f>S1AMHData!P11</f>
        <v>0</v>
      </c>
      <c r="P2410" s="940"/>
      <c r="Q2410" s="940"/>
      <c r="R2410" s="940"/>
      <c r="S2410" s="940">
        <f>S1AMHData!Q11</f>
        <v>0</v>
      </c>
      <c r="T2410" s="940"/>
      <c r="U2410" s="940"/>
      <c r="V2410" s="940"/>
      <c r="W2410" s="940">
        <f t="shared" si="45"/>
        <v>0</v>
      </c>
      <c r="X2410" s="940"/>
      <c r="Y2410" s="940"/>
      <c r="Z2410" s="940"/>
      <c r="AA2410" s="871">
        <f>S1AMHData!S11</f>
        <v>0</v>
      </c>
      <c r="AB2410" s="871"/>
      <c r="AC2410" s="518"/>
      <c r="AD2410" s="518"/>
      <c r="AE2410" s="518"/>
      <c r="AF2410" s="518"/>
      <c r="AG2410" s="529"/>
      <c r="AH2410" s="518"/>
      <c r="AJ2410" s="595" t="b">
        <v>0</v>
      </c>
    </row>
    <row r="2411" spans="1:36" hidden="1" x14ac:dyDescent="0.45">
      <c r="A2411" s="518"/>
      <c r="B2411" s="514" t="s">
        <v>1414</v>
      </c>
      <c r="C2411" s="530"/>
      <c r="D2411" s="530"/>
      <c r="E2411" s="530"/>
      <c r="F2411" s="530"/>
      <c r="G2411" s="885" t="str">
        <f>LEFT(S1AMHData!AG12,1)</f>
        <v/>
      </c>
      <c r="H2411" s="885"/>
      <c r="I2411" s="885" t="str">
        <f>LEFT(S1AMHData!L12,1)</f>
        <v/>
      </c>
      <c r="J2411" s="885"/>
      <c r="K2411" s="885" t="str">
        <f>LEFT(S1AMHData!N12,1)</f>
        <v/>
      </c>
      <c r="L2411" s="885"/>
      <c r="M2411" s="1240">
        <f>S1AMHData!O12</f>
        <v>0</v>
      </c>
      <c r="N2411" s="885"/>
      <c r="O2411" s="940">
        <f>S1AMHData!P12</f>
        <v>0</v>
      </c>
      <c r="P2411" s="940"/>
      <c r="Q2411" s="940"/>
      <c r="R2411" s="940"/>
      <c r="S2411" s="940">
        <f>S1AMHData!Q12</f>
        <v>0</v>
      </c>
      <c r="T2411" s="940"/>
      <c r="U2411" s="940"/>
      <c r="V2411" s="940"/>
      <c r="W2411" s="940">
        <f t="shared" si="45"/>
        <v>0</v>
      </c>
      <c r="X2411" s="940"/>
      <c r="Y2411" s="940"/>
      <c r="Z2411" s="940"/>
      <c r="AA2411" s="871">
        <f>S1AMHData!S12</f>
        <v>0</v>
      </c>
      <c r="AB2411" s="871"/>
      <c r="AC2411" s="518"/>
      <c r="AD2411" s="518"/>
      <c r="AE2411" s="518"/>
      <c r="AF2411" s="518"/>
      <c r="AG2411" s="529"/>
      <c r="AH2411" s="518"/>
      <c r="AJ2411" s="595" t="b">
        <v>0</v>
      </c>
    </row>
    <row r="2412" spans="1:36" hidden="1" x14ac:dyDescent="0.45">
      <c r="A2412" s="518"/>
      <c r="B2412" s="514" t="s">
        <v>1415</v>
      </c>
      <c r="C2412" s="530"/>
      <c r="D2412" s="530"/>
      <c r="E2412" s="530"/>
      <c r="F2412" s="530"/>
      <c r="G2412" s="885" t="str">
        <f>LEFT(S1AMHData!AG13,1)</f>
        <v/>
      </c>
      <c r="H2412" s="885"/>
      <c r="I2412" s="885" t="str">
        <f>LEFT(S1AMHData!L13,1)</f>
        <v/>
      </c>
      <c r="J2412" s="885"/>
      <c r="K2412" s="885" t="str">
        <f>LEFT(S1AMHData!N13,1)</f>
        <v/>
      </c>
      <c r="L2412" s="885"/>
      <c r="M2412" s="1240">
        <f>S1AMHData!O13</f>
        <v>0</v>
      </c>
      <c r="N2412" s="885"/>
      <c r="O2412" s="940">
        <f>S1AMHData!P13</f>
        <v>0</v>
      </c>
      <c r="P2412" s="940"/>
      <c r="Q2412" s="940"/>
      <c r="R2412" s="940"/>
      <c r="S2412" s="940">
        <f>S1AMHData!Q13</f>
        <v>0</v>
      </c>
      <c r="T2412" s="940"/>
      <c r="U2412" s="940"/>
      <c r="V2412" s="940"/>
      <c r="W2412" s="940">
        <f t="shared" si="45"/>
        <v>0</v>
      </c>
      <c r="X2412" s="940"/>
      <c r="Y2412" s="940"/>
      <c r="Z2412" s="940"/>
      <c r="AA2412" s="871">
        <f>S1AMHData!S13</f>
        <v>0</v>
      </c>
      <c r="AB2412" s="871"/>
      <c r="AC2412" s="518"/>
      <c r="AD2412" s="518"/>
      <c r="AE2412" s="518"/>
      <c r="AF2412" s="518"/>
      <c r="AG2412" s="529"/>
      <c r="AH2412" s="518"/>
      <c r="AJ2412" s="595" t="b">
        <v>0</v>
      </c>
    </row>
    <row r="2413" spans="1:36" hidden="1" x14ac:dyDescent="0.45">
      <c r="A2413" s="518"/>
      <c r="B2413" s="514" t="s">
        <v>1416</v>
      </c>
      <c r="C2413" s="530"/>
      <c r="D2413" s="530"/>
      <c r="E2413" s="530"/>
      <c r="F2413" s="530"/>
      <c r="G2413" s="885" t="str">
        <f>LEFT(S1AMHData!AG14,1)</f>
        <v/>
      </c>
      <c r="H2413" s="885"/>
      <c r="I2413" s="885" t="str">
        <f>LEFT(S1AMHData!L14,1)</f>
        <v/>
      </c>
      <c r="J2413" s="885"/>
      <c r="K2413" s="885" t="str">
        <f>LEFT(S1AMHData!N14,1)</f>
        <v/>
      </c>
      <c r="L2413" s="885"/>
      <c r="M2413" s="1240">
        <f>S1AMHData!O14</f>
        <v>0</v>
      </c>
      <c r="N2413" s="885"/>
      <c r="O2413" s="940">
        <f>S1AMHData!P14</f>
        <v>0</v>
      </c>
      <c r="P2413" s="940"/>
      <c r="Q2413" s="940"/>
      <c r="R2413" s="940"/>
      <c r="S2413" s="940">
        <f>S1AMHData!Q14</f>
        <v>0</v>
      </c>
      <c r="T2413" s="940"/>
      <c r="U2413" s="940"/>
      <c r="V2413" s="940"/>
      <c r="W2413" s="940">
        <f t="shared" si="45"/>
        <v>0</v>
      </c>
      <c r="X2413" s="940"/>
      <c r="Y2413" s="940"/>
      <c r="Z2413" s="940"/>
      <c r="AA2413" s="871">
        <f>S1AMHData!S14</f>
        <v>0</v>
      </c>
      <c r="AB2413" s="871"/>
      <c r="AC2413" s="518"/>
      <c r="AD2413" s="518"/>
      <c r="AE2413" s="518"/>
      <c r="AF2413" s="518"/>
      <c r="AG2413" s="529"/>
      <c r="AH2413" s="518"/>
      <c r="AJ2413" s="595" t="b">
        <v>0</v>
      </c>
    </row>
    <row r="2414" spans="1:36" hidden="1" x14ac:dyDescent="0.45">
      <c r="A2414" s="518"/>
      <c r="B2414" s="514" t="s">
        <v>1417</v>
      </c>
      <c r="C2414" s="530"/>
      <c r="D2414" s="530"/>
      <c r="E2414" s="530"/>
      <c r="F2414" s="530"/>
      <c r="G2414" s="885" t="str">
        <f>LEFT(S1AMHData!AG15,1)</f>
        <v/>
      </c>
      <c r="H2414" s="885"/>
      <c r="I2414" s="885" t="str">
        <f>LEFT(S1AMHData!L15,1)</f>
        <v/>
      </c>
      <c r="J2414" s="885"/>
      <c r="K2414" s="885" t="str">
        <f>LEFT(S1AMHData!N15,1)</f>
        <v/>
      </c>
      <c r="L2414" s="885"/>
      <c r="M2414" s="1240">
        <f>S1AMHData!O15</f>
        <v>0</v>
      </c>
      <c r="N2414" s="885"/>
      <c r="O2414" s="940">
        <f>S1AMHData!P15</f>
        <v>0</v>
      </c>
      <c r="P2414" s="940"/>
      <c r="Q2414" s="940"/>
      <c r="R2414" s="940"/>
      <c r="S2414" s="940">
        <f>S1AMHData!Q15</f>
        <v>0</v>
      </c>
      <c r="T2414" s="940"/>
      <c r="U2414" s="940"/>
      <c r="V2414" s="940"/>
      <c r="W2414" s="940">
        <f t="shared" si="45"/>
        <v>0</v>
      </c>
      <c r="X2414" s="940"/>
      <c r="Y2414" s="940"/>
      <c r="Z2414" s="940"/>
      <c r="AA2414" s="871">
        <f>S1AMHData!S15</f>
        <v>0</v>
      </c>
      <c r="AB2414" s="871"/>
      <c r="AC2414" s="518"/>
      <c r="AD2414" s="518"/>
      <c r="AE2414" s="518"/>
      <c r="AF2414" s="518"/>
      <c r="AG2414" s="529"/>
      <c r="AH2414" s="518"/>
      <c r="AJ2414" s="595" t="b">
        <v>0</v>
      </c>
    </row>
    <row r="2415" spans="1:36" hidden="1" x14ac:dyDescent="0.45">
      <c r="A2415" s="518"/>
      <c r="B2415" s="514" t="s">
        <v>1418</v>
      </c>
      <c r="C2415" s="530"/>
      <c r="D2415" s="530"/>
      <c r="E2415" s="530"/>
      <c r="F2415" s="530"/>
      <c r="G2415" s="885" t="str">
        <f>LEFT(S1AMHData!AG16,1)</f>
        <v/>
      </c>
      <c r="H2415" s="885"/>
      <c r="I2415" s="885" t="str">
        <f>LEFT(S1AMHData!L16,1)</f>
        <v/>
      </c>
      <c r="J2415" s="885"/>
      <c r="K2415" s="885" t="str">
        <f>LEFT(S1AMHData!N16,1)</f>
        <v/>
      </c>
      <c r="L2415" s="885"/>
      <c r="M2415" s="1240">
        <f>S1AMHData!O16</f>
        <v>0</v>
      </c>
      <c r="N2415" s="885"/>
      <c r="O2415" s="940">
        <f>S1AMHData!P16</f>
        <v>0</v>
      </c>
      <c r="P2415" s="940"/>
      <c r="Q2415" s="940"/>
      <c r="R2415" s="940"/>
      <c r="S2415" s="940">
        <f>S1AMHData!Q16</f>
        <v>0</v>
      </c>
      <c r="T2415" s="940"/>
      <c r="U2415" s="940"/>
      <c r="V2415" s="940"/>
      <c r="W2415" s="940">
        <f t="shared" si="45"/>
        <v>0</v>
      </c>
      <c r="X2415" s="940"/>
      <c r="Y2415" s="940"/>
      <c r="Z2415" s="940"/>
      <c r="AA2415" s="871">
        <f>S1AMHData!S16</f>
        <v>0</v>
      </c>
      <c r="AB2415" s="871"/>
      <c r="AC2415" s="518"/>
      <c r="AD2415" s="518"/>
      <c r="AE2415" s="518"/>
      <c r="AF2415" s="518"/>
      <c r="AG2415" s="529"/>
      <c r="AH2415" s="518"/>
      <c r="AJ2415" s="595" t="b">
        <v>0</v>
      </c>
    </row>
    <row r="2416" spans="1:36" hidden="1" x14ac:dyDescent="0.45">
      <c r="A2416" s="518"/>
      <c r="B2416" s="514" t="s">
        <v>1419</v>
      </c>
      <c r="C2416" s="530"/>
      <c r="D2416" s="530"/>
      <c r="E2416" s="530"/>
      <c r="F2416" s="530"/>
      <c r="G2416" s="885" t="str">
        <f>LEFT(S1AMHData!AG17,1)</f>
        <v/>
      </c>
      <c r="H2416" s="885"/>
      <c r="I2416" s="885" t="str">
        <f>LEFT(S1AMHData!L17,1)</f>
        <v/>
      </c>
      <c r="J2416" s="885"/>
      <c r="K2416" s="885" t="str">
        <f>LEFT(S1AMHData!N17,1)</f>
        <v/>
      </c>
      <c r="L2416" s="885"/>
      <c r="M2416" s="1240">
        <f>S1AMHData!O17</f>
        <v>0</v>
      </c>
      <c r="N2416" s="885"/>
      <c r="O2416" s="940">
        <f>S1AMHData!P17</f>
        <v>0</v>
      </c>
      <c r="P2416" s="940"/>
      <c r="Q2416" s="940"/>
      <c r="R2416" s="940"/>
      <c r="S2416" s="940">
        <f>S1AMHData!Q17</f>
        <v>0</v>
      </c>
      <c r="T2416" s="940"/>
      <c r="U2416" s="940"/>
      <c r="V2416" s="940"/>
      <c r="W2416" s="940">
        <f t="shared" si="45"/>
        <v>0</v>
      </c>
      <c r="X2416" s="940"/>
      <c r="Y2416" s="940"/>
      <c r="Z2416" s="940"/>
      <c r="AA2416" s="871">
        <f>S1AMHData!S17</f>
        <v>0</v>
      </c>
      <c r="AB2416" s="871"/>
      <c r="AC2416" s="518"/>
      <c r="AD2416" s="518"/>
      <c r="AE2416" s="518"/>
      <c r="AF2416" s="518"/>
      <c r="AG2416" s="529"/>
      <c r="AH2416" s="518"/>
      <c r="AJ2416" s="595" t="b">
        <v>0</v>
      </c>
    </row>
    <row r="2417" spans="1:36" hidden="1" x14ac:dyDescent="0.45">
      <c r="A2417" s="518"/>
      <c r="B2417" s="514" t="s">
        <v>1420</v>
      </c>
      <c r="C2417" s="530"/>
      <c r="D2417" s="530"/>
      <c r="E2417" s="530"/>
      <c r="F2417" s="530"/>
      <c r="G2417" s="885" t="str">
        <f>LEFT(S1AMHData!AG18,1)</f>
        <v/>
      </c>
      <c r="H2417" s="885"/>
      <c r="I2417" s="885" t="str">
        <f>LEFT(S1AMHData!L18,1)</f>
        <v/>
      </c>
      <c r="J2417" s="885"/>
      <c r="K2417" s="885" t="str">
        <f>LEFT(S1AMHData!N18,1)</f>
        <v/>
      </c>
      <c r="L2417" s="885"/>
      <c r="M2417" s="1240">
        <f>S1AMHData!O18</f>
        <v>0</v>
      </c>
      <c r="N2417" s="885"/>
      <c r="O2417" s="940">
        <f>S1AMHData!P18</f>
        <v>0</v>
      </c>
      <c r="P2417" s="940"/>
      <c r="Q2417" s="940"/>
      <c r="R2417" s="940"/>
      <c r="S2417" s="940">
        <f>S1AMHData!Q18</f>
        <v>0</v>
      </c>
      <c r="T2417" s="940"/>
      <c r="U2417" s="940"/>
      <c r="V2417" s="940"/>
      <c r="W2417" s="940">
        <f t="shared" si="45"/>
        <v>0</v>
      </c>
      <c r="X2417" s="940"/>
      <c r="Y2417" s="940"/>
      <c r="Z2417" s="940"/>
      <c r="AA2417" s="871">
        <f>S1AMHData!S18</f>
        <v>0</v>
      </c>
      <c r="AB2417" s="871"/>
      <c r="AC2417" s="518"/>
      <c r="AD2417" s="518"/>
      <c r="AE2417" s="518"/>
      <c r="AF2417" s="518"/>
      <c r="AG2417" s="529"/>
      <c r="AH2417" s="518"/>
      <c r="AJ2417" s="595" t="b">
        <v>0</v>
      </c>
    </row>
    <row r="2418" spans="1:36" hidden="1" x14ac:dyDescent="0.45">
      <c r="A2418" s="518"/>
      <c r="B2418" s="514" t="s">
        <v>1421</v>
      </c>
      <c r="C2418" s="530"/>
      <c r="D2418" s="530"/>
      <c r="E2418" s="530"/>
      <c r="F2418" s="530"/>
      <c r="G2418" s="885" t="str">
        <f>LEFT(S1AMHData!AG19,1)</f>
        <v/>
      </c>
      <c r="H2418" s="885"/>
      <c r="I2418" s="885" t="str">
        <f>LEFT(S1AMHData!L19,1)</f>
        <v/>
      </c>
      <c r="J2418" s="885"/>
      <c r="K2418" s="885" t="str">
        <f>LEFT(S1AMHData!N19,1)</f>
        <v/>
      </c>
      <c r="L2418" s="885"/>
      <c r="M2418" s="1240">
        <f>S1AMHData!O19</f>
        <v>0</v>
      </c>
      <c r="N2418" s="885"/>
      <c r="O2418" s="940">
        <f>S1AMHData!P19</f>
        <v>0</v>
      </c>
      <c r="P2418" s="940"/>
      <c r="Q2418" s="940"/>
      <c r="R2418" s="940"/>
      <c r="S2418" s="940">
        <f>S1AMHData!Q19</f>
        <v>0</v>
      </c>
      <c r="T2418" s="940"/>
      <c r="U2418" s="940"/>
      <c r="V2418" s="940"/>
      <c r="W2418" s="940">
        <f t="shared" si="45"/>
        <v>0</v>
      </c>
      <c r="X2418" s="940"/>
      <c r="Y2418" s="940"/>
      <c r="Z2418" s="940"/>
      <c r="AA2418" s="871">
        <f>S1AMHData!S19</f>
        <v>0</v>
      </c>
      <c r="AB2418" s="871"/>
      <c r="AC2418" s="518"/>
      <c r="AD2418" s="518"/>
      <c r="AE2418" s="518"/>
      <c r="AF2418" s="518"/>
      <c r="AG2418" s="529"/>
      <c r="AH2418" s="518"/>
      <c r="AJ2418" s="595" t="b">
        <v>0</v>
      </c>
    </row>
    <row r="2419" spans="1:36" hidden="1" x14ac:dyDescent="0.45">
      <c r="A2419" s="518"/>
      <c r="B2419" s="514" t="s">
        <v>1422</v>
      </c>
      <c r="C2419" s="530"/>
      <c r="D2419" s="530"/>
      <c r="E2419" s="530"/>
      <c r="F2419" s="530"/>
      <c r="G2419" s="885" t="str">
        <f>LEFT(S1AMHData!AG20,1)</f>
        <v/>
      </c>
      <c r="H2419" s="885"/>
      <c r="I2419" s="885" t="str">
        <f>LEFT(S1AMHData!L20,1)</f>
        <v/>
      </c>
      <c r="J2419" s="885"/>
      <c r="K2419" s="885" t="str">
        <f>LEFT(S1AMHData!N20,1)</f>
        <v/>
      </c>
      <c r="L2419" s="885"/>
      <c r="M2419" s="1240">
        <f>S1AMHData!O20</f>
        <v>0</v>
      </c>
      <c r="N2419" s="885"/>
      <c r="O2419" s="940">
        <f>S1AMHData!P20</f>
        <v>0</v>
      </c>
      <c r="P2419" s="940"/>
      <c r="Q2419" s="940"/>
      <c r="R2419" s="940"/>
      <c r="S2419" s="940">
        <f>S1AMHData!Q20</f>
        <v>0</v>
      </c>
      <c r="T2419" s="940"/>
      <c r="U2419" s="940"/>
      <c r="V2419" s="940"/>
      <c r="W2419" s="940">
        <f t="shared" si="45"/>
        <v>0</v>
      </c>
      <c r="X2419" s="940"/>
      <c r="Y2419" s="940"/>
      <c r="Z2419" s="940"/>
      <c r="AA2419" s="871">
        <f>S1AMHData!S20</f>
        <v>0</v>
      </c>
      <c r="AB2419" s="871"/>
      <c r="AC2419" s="518"/>
      <c r="AD2419" s="518"/>
      <c r="AE2419" s="518"/>
      <c r="AF2419" s="518"/>
      <c r="AG2419" s="529"/>
      <c r="AH2419" s="518"/>
      <c r="AJ2419" s="595" t="b">
        <v>0</v>
      </c>
    </row>
    <row r="2420" spans="1:36" hidden="1" x14ac:dyDescent="0.45">
      <c r="A2420" s="518"/>
      <c r="B2420" s="514" t="s">
        <v>1423</v>
      </c>
      <c r="C2420" s="530"/>
      <c r="D2420" s="530"/>
      <c r="E2420" s="530"/>
      <c r="F2420" s="530"/>
      <c r="G2420" s="885" t="str">
        <f>LEFT(S1AMHData!AG21,1)</f>
        <v/>
      </c>
      <c r="H2420" s="885"/>
      <c r="I2420" s="885" t="str">
        <f>LEFT(S1AMHData!L21,1)</f>
        <v/>
      </c>
      <c r="J2420" s="885"/>
      <c r="K2420" s="885" t="str">
        <f>LEFT(S1AMHData!N21,1)</f>
        <v/>
      </c>
      <c r="L2420" s="885"/>
      <c r="M2420" s="1240">
        <f>S1AMHData!O21</f>
        <v>0</v>
      </c>
      <c r="N2420" s="885"/>
      <c r="O2420" s="940">
        <f>S1AMHData!P21</f>
        <v>0</v>
      </c>
      <c r="P2420" s="940"/>
      <c r="Q2420" s="940"/>
      <c r="R2420" s="940"/>
      <c r="S2420" s="940">
        <f>S1AMHData!Q21</f>
        <v>0</v>
      </c>
      <c r="T2420" s="940"/>
      <c r="U2420" s="940"/>
      <c r="V2420" s="940"/>
      <c r="W2420" s="940">
        <f t="shared" si="45"/>
        <v>0</v>
      </c>
      <c r="X2420" s="940"/>
      <c r="Y2420" s="940"/>
      <c r="Z2420" s="940"/>
      <c r="AA2420" s="871">
        <f>S1AMHData!S21</f>
        <v>0</v>
      </c>
      <c r="AB2420" s="871"/>
      <c r="AC2420" s="518"/>
      <c r="AD2420" s="518"/>
      <c r="AE2420" s="518"/>
      <c r="AF2420" s="518"/>
      <c r="AG2420" s="529"/>
      <c r="AH2420" s="518"/>
      <c r="AJ2420" s="595" t="b">
        <v>0</v>
      </c>
    </row>
    <row r="2421" spans="1:36" hidden="1" x14ac:dyDescent="0.45">
      <c r="A2421" s="518"/>
      <c r="B2421" s="514" t="s">
        <v>1424</v>
      </c>
      <c r="C2421" s="530"/>
      <c r="D2421" s="530"/>
      <c r="E2421" s="530"/>
      <c r="F2421" s="530"/>
      <c r="G2421" s="885" t="str">
        <f>LEFT(S1AMHData!AG22,1)</f>
        <v/>
      </c>
      <c r="H2421" s="885"/>
      <c r="I2421" s="885" t="str">
        <f>LEFT(S1AMHData!L22,1)</f>
        <v/>
      </c>
      <c r="J2421" s="885"/>
      <c r="K2421" s="885" t="str">
        <f>LEFT(S1AMHData!N22,1)</f>
        <v/>
      </c>
      <c r="L2421" s="885"/>
      <c r="M2421" s="1240">
        <f>S1AMHData!O22</f>
        <v>0</v>
      </c>
      <c r="N2421" s="885"/>
      <c r="O2421" s="940">
        <f>S1AMHData!P22</f>
        <v>0</v>
      </c>
      <c r="P2421" s="940"/>
      <c r="Q2421" s="940"/>
      <c r="R2421" s="940"/>
      <c r="S2421" s="940">
        <f>S1AMHData!Q22</f>
        <v>0</v>
      </c>
      <c r="T2421" s="940"/>
      <c r="U2421" s="940"/>
      <c r="V2421" s="940"/>
      <c r="W2421" s="940">
        <f t="shared" si="45"/>
        <v>0</v>
      </c>
      <c r="X2421" s="940"/>
      <c r="Y2421" s="940"/>
      <c r="Z2421" s="940"/>
      <c r="AA2421" s="871">
        <f>S1AMHData!S22</f>
        <v>0</v>
      </c>
      <c r="AB2421" s="871"/>
      <c r="AC2421" s="518"/>
      <c r="AD2421" s="518"/>
      <c r="AE2421" s="518"/>
      <c r="AF2421" s="518"/>
      <c r="AG2421" s="529"/>
      <c r="AH2421" s="518"/>
      <c r="AJ2421" s="595" t="b">
        <v>0</v>
      </c>
    </row>
    <row r="2422" spans="1:36" hidden="1" x14ac:dyDescent="0.45">
      <c r="A2422" s="518"/>
      <c r="B2422" s="514" t="s">
        <v>1425</v>
      </c>
      <c r="C2422" s="530"/>
      <c r="D2422" s="530"/>
      <c r="E2422" s="530"/>
      <c r="F2422" s="530"/>
      <c r="G2422" s="885" t="str">
        <f>LEFT(S1AMHData!AG23,1)</f>
        <v/>
      </c>
      <c r="H2422" s="885"/>
      <c r="I2422" s="885" t="str">
        <f>LEFT(S1AMHData!L23,1)</f>
        <v/>
      </c>
      <c r="J2422" s="885"/>
      <c r="K2422" s="885" t="str">
        <f>LEFT(S1AMHData!N23,1)</f>
        <v/>
      </c>
      <c r="L2422" s="885"/>
      <c r="M2422" s="1240">
        <f>S1AMHData!O23</f>
        <v>0</v>
      </c>
      <c r="N2422" s="885"/>
      <c r="O2422" s="940">
        <f>S1AMHData!P23</f>
        <v>0</v>
      </c>
      <c r="P2422" s="940"/>
      <c r="Q2422" s="940"/>
      <c r="R2422" s="940"/>
      <c r="S2422" s="940">
        <f>S1AMHData!Q23</f>
        <v>0</v>
      </c>
      <c r="T2422" s="940"/>
      <c r="U2422" s="940"/>
      <c r="V2422" s="940"/>
      <c r="W2422" s="940">
        <f t="shared" si="45"/>
        <v>0</v>
      </c>
      <c r="X2422" s="940"/>
      <c r="Y2422" s="940"/>
      <c r="Z2422" s="940"/>
      <c r="AA2422" s="871">
        <f>S1AMHData!S23</f>
        <v>0</v>
      </c>
      <c r="AB2422" s="871"/>
      <c r="AC2422" s="518"/>
      <c r="AD2422" s="518"/>
      <c r="AE2422" s="518"/>
      <c r="AF2422" s="518"/>
      <c r="AG2422" s="529"/>
      <c r="AH2422" s="518"/>
      <c r="AJ2422" s="595" t="b">
        <v>0</v>
      </c>
    </row>
    <row r="2423" spans="1:36" hidden="1" x14ac:dyDescent="0.45">
      <c r="A2423" s="518"/>
      <c r="B2423" s="514" t="s">
        <v>1426</v>
      </c>
      <c r="C2423" s="530"/>
      <c r="D2423" s="530"/>
      <c r="E2423" s="530"/>
      <c r="F2423" s="530"/>
      <c r="G2423" s="885" t="str">
        <f>LEFT(S1AMHData!AG24,1)</f>
        <v/>
      </c>
      <c r="H2423" s="885"/>
      <c r="I2423" s="885" t="str">
        <f>LEFT(S1AMHData!L24,1)</f>
        <v/>
      </c>
      <c r="J2423" s="885"/>
      <c r="K2423" s="885" t="str">
        <f>LEFT(S1AMHData!N24,1)</f>
        <v/>
      </c>
      <c r="L2423" s="885"/>
      <c r="M2423" s="1240">
        <f>S1AMHData!O24</f>
        <v>0</v>
      </c>
      <c r="N2423" s="885"/>
      <c r="O2423" s="940">
        <f>S1AMHData!P24</f>
        <v>0</v>
      </c>
      <c r="P2423" s="940"/>
      <c r="Q2423" s="940"/>
      <c r="R2423" s="940"/>
      <c r="S2423" s="940">
        <f>S1AMHData!Q24</f>
        <v>0</v>
      </c>
      <c r="T2423" s="940"/>
      <c r="U2423" s="940"/>
      <c r="V2423" s="940"/>
      <c r="W2423" s="940">
        <f t="shared" si="45"/>
        <v>0</v>
      </c>
      <c r="X2423" s="940"/>
      <c r="Y2423" s="940"/>
      <c r="Z2423" s="940"/>
      <c r="AA2423" s="871">
        <f>S1AMHData!S24</f>
        <v>0</v>
      </c>
      <c r="AB2423" s="871"/>
      <c r="AC2423" s="518"/>
      <c r="AD2423" s="518"/>
      <c r="AE2423" s="518"/>
      <c r="AF2423" s="518"/>
      <c r="AG2423" s="529"/>
      <c r="AH2423" s="518"/>
      <c r="AJ2423" s="595" t="b">
        <v>0</v>
      </c>
    </row>
    <row r="2424" spans="1:36" hidden="1" x14ac:dyDescent="0.45">
      <c r="A2424" s="518"/>
      <c r="B2424" s="514" t="s">
        <v>1427</v>
      </c>
      <c r="C2424" s="530"/>
      <c r="D2424" s="530"/>
      <c r="E2424" s="530"/>
      <c r="F2424" s="530"/>
      <c r="G2424" s="885" t="str">
        <f>LEFT(S1AMHData!AG25,1)</f>
        <v/>
      </c>
      <c r="H2424" s="885"/>
      <c r="I2424" s="885" t="str">
        <f>LEFT(S1AMHData!L25,1)</f>
        <v/>
      </c>
      <c r="J2424" s="885"/>
      <c r="K2424" s="885" t="str">
        <f>LEFT(S1AMHData!N25,1)</f>
        <v/>
      </c>
      <c r="L2424" s="885"/>
      <c r="M2424" s="1240">
        <f>S1AMHData!O25</f>
        <v>0</v>
      </c>
      <c r="N2424" s="885"/>
      <c r="O2424" s="940">
        <f>S1AMHData!P25</f>
        <v>0</v>
      </c>
      <c r="P2424" s="940"/>
      <c r="Q2424" s="940"/>
      <c r="R2424" s="940"/>
      <c r="S2424" s="940">
        <f>S1AMHData!Q25</f>
        <v>0</v>
      </c>
      <c r="T2424" s="940"/>
      <c r="U2424" s="940"/>
      <c r="V2424" s="940"/>
      <c r="W2424" s="940">
        <f t="shared" si="45"/>
        <v>0</v>
      </c>
      <c r="X2424" s="940"/>
      <c r="Y2424" s="940"/>
      <c r="Z2424" s="940"/>
      <c r="AA2424" s="871">
        <f>S1AMHData!S25</f>
        <v>0</v>
      </c>
      <c r="AB2424" s="871"/>
      <c r="AC2424" s="518"/>
      <c r="AD2424" s="518"/>
      <c r="AE2424" s="518"/>
      <c r="AF2424" s="518"/>
      <c r="AG2424" s="529"/>
      <c r="AH2424" s="518"/>
      <c r="AJ2424" s="595" t="b">
        <v>0</v>
      </c>
    </row>
    <row r="2425" spans="1:36" hidden="1" x14ac:dyDescent="0.45">
      <c r="A2425" s="518"/>
      <c r="B2425" s="514" t="s">
        <v>1428</v>
      </c>
      <c r="C2425" s="530"/>
      <c r="D2425" s="530"/>
      <c r="E2425" s="530"/>
      <c r="F2425" s="530"/>
      <c r="G2425" s="885" t="str">
        <f>LEFT(S1AMHData!AG26,1)</f>
        <v/>
      </c>
      <c r="H2425" s="885"/>
      <c r="I2425" s="885" t="str">
        <f>LEFT(S1AMHData!L26,1)</f>
        <v/>
      </c>
      <c r="J2425" s="885"/>
      <c r="K2425" s="885" t="str">
        <f>LEFT(S1AMHData!N26,1)</f>
        <v/>
      </c>
      <c r="L2425" s="885"/>
      <c r="M2425" s="1240">
        <f>S1AMHData!O26</f>
        <v>0</v>
      </c>
      <c r="N2425" s="885"/>
      <c r="O2425" s="940">
        <f>S1AMHData!P26</f>
        <v>0</v>
      </c>
      <c r="P2425" s="940"/>
      <c r="Q2425" s="940"/>
      <c r="R2425" s="940"/>
      <c r="S2425" s="940">
        <f>S1AMHData!Q26</f>
        <v>0</v>
      </c>
      <c r="T2425" s="940"/>
      <c r="U2425" s="940"/>
      <c r="V2425" s="940"/>
      <c r="W2425" s="940">
        <f t="shared" si="45"/>
        <v>0</v>
      </c>
      <c r="X2425" s="940"/>
      <c r="Y2425" s="940"/>
      <c r="Z2425" s="940"/>
      <c r="AA2425" s="871">
        <f>S1AMHData!S26</f>
        <v>0</v>
      </c>
      <c r="AB2425" s="871"/>
      <c r="AC2425" s="518"/>
      <c r="AD2425" s="518"/>
      <c r="AE2425" s="518"/>
      <c r="AF2425" s="518"/>
      <c r="AG2425" s="529"/>
      <c r="AH2425" s="518"/>
      <c r="AJ2425" s="595" t="b">
        <v>0</v>
      </c>
    </row>
    <row r="2426" spans="1:36" hidden="1" x14ac:dyDescent="0.45">
      <c r="A2426" s="518"/>
      <c r="B2426" s="514" t="s">
        <v>1429</v>
      </c>
      <c r="C2426" s="530"/>
      <c r="D2426" s="530"/>
      <c r="E2426" s="530"/>
      <c r="F2426" s="530"/>
      <c r="G2426" s="885" t="str">
        <f>LEFT(S1AMHData!AG27,1)</f>
        <v/>
      </c>
      <c r="H2426" s="885"/>
      <c r="I2426" s="885" t="str">
        <f>LEFT(S1AMHData!L27,1)</f>
        <v/>
      </c>
      <c r="J2426" s="885"/>
      <c r="K2426" s="885" t="str">
        <f>LEFT(S1AMHData!N27,1)</f>
        <v/>
      </c>
      <c r="L2426" s="885"/>
      <c r="M2426" s="1240">
        <f>S1AMHData!O27</f>
        <v>0</v>
      </c>
      <c r="N2426" s="885"/>
      <c r="O2426" s="940">
        <f>S1AMHData!P27</f>
        <v>0</v>
      </c>
      <c r="P2426" s="940"/>
      <c r="Q2426" s="940"/>
      <c r="R2426" s="940"/>
      <c r="S2426" s="940">
        <f>S1AMHData!Q27</f>
        <v>0</v>
      </c>
      <c r="T2426" s="940"/>
      <c r="U2426" s="940"/>
      <c r="V2426" s="940"/>
      <c r="W2426" s="940">
        <f t="shared" si="45"/>
        <v>0</v>
      </c>
      <c r="X2426" s="940"/>
      <c r="Y2426" s="940"/>
      <c r="Z2426" s="940"/>
      <c r="AA2426" s="871">
        <f>S1AMHData!S27</f>
        <v>0</v>
      </c>
      <c r="AB2426" s="871"/>
      <c r="AC2426" s="518"/>
      <c r="AD2426" s="518"/>
      <c r="AE2426" s="518"/>
      <c r="AF2426" s="518"/>
      <c r="AG2426" s="529"/>
      <c r="AH2426" s="518"/>
      <c r="AJ2426" s="595" t="b">
        <v>0</v>
      </c>
    </row>
    <row r="2427" spans="1:36" hidden="1" x14ac:dyDescent="0.45">
      <c r="A2427" s="518"/>
      <c r="B2427" s="514" t="s">
        <v>1430</v>
      </c>
      <c r="C2427" s="530"/>
      <c r="D2427" s="530"/>
      <c r="E2427" s="530"/>
      <c r="F2427" s="530"/>
      <c r="G2427" s="885" t="str">
        <f>LEFT(S1AMHData!AG28,1)</f>
        <v/>
      </c>
      <c r="H2427" s="885"/>
      <c r="I2427" s="885" t="str">
        <f>LEFT(S1AMHData!L28,1)</f>
        <v/>
      </c>
      <c r="J2427" s="885"/>
      <c r="K2427" s="885" t="str">
        <f>LEFT(S1AMHData!N28,1)</f>
        <v/>
      </c>
      <c r="L2427" s="885"/>
      <c r="M2427" s="1240">
        <f>S1AMHData!O28</f>
        <v>0</v>
      </c>
      <c r="N2427" s="885"/>
      <c r="O2427" s="940">
        <f>S1AMHData!P28</f>
        <v>0</v>
      </c>
      <c r="P2427" s="940"/>
      <c r="Q2427" s="940"/>
      <c r="R2427" s="940"/>
      <c r="S2427" s="940">
        <f>S1AMHData!Q28</f>
        <v>0</v>
      </c>
      <c r="T2427" s="940"/>
      <c r="U2427" s="940"/>
      <c r="V2427" s="940"/>
      <c r="W2427" s="940">
        <f t="shared" si="45"/>
        <v>0</v>
      </c>
      <c r="X2427" s="940"/>
      <c r="Y2427" s="940"/>
      <c r="Z2427" s="940"/>
      <c r="AA2427" s="871">
        <f>S1AMHData!S28</f>
        <v>0</v>
      </c>
      <c r="AB2427" s="871"/>
      <c r="AC2427" s="518"/>
      <c r="AD2427" s="518"/>
      <c r="AE2427" s="518"/>
      <c r="AF2427" s="518"/>
      <c r="AG2427" s="529"/>
      <c r="AH2427" s="518"/>
      <c r="AJ2427" s="595" t="b">
        <v>0</v>
      </c>
    </row>
    <row r="2428" spans="1:36" hidden="1" x14ac:dyDescent="0.45">
      <c r="A2428" s="518"/>
      <c r="B2428" s="514" t="s">
        <v>1431</v>
      </c>
      <c r="C2428" s="530"/>
      <c r="D2428" s="530"/>
      <c r="E2428" s="530"/>
      <c r="F2428" s="530"/>
      <c r="G2428" s="885" t="str">
        <f>LEFT(S1AMHData!AG29,1)</f>
        <v/>
      </c>
      <c r="H2428" s="885"/>
      <c r="I2428" s="885" t="str">
        <f>LEFT(S1AMHData!L29,1)</f>
        <v/>
      </c>
      <c r="J2428" s="885"/>
      <c r="K2428" s="885" t="str">
        <f>LEFT(S1AMHData!N29,1)</f>
        <v/>
      </c>
      <c r="L2428" s="885"/>
      <c r="M2428" s="1240">
        <f>S1AMHData!O29</f>
        <v>0</v>
      </c>
      <c r="N2428" s="885"/>
      <c r="O2428" s="940">
        <f>S1AMHData!P29</f>
        <v>0</v>
      </c>
      <c r="P2428" s="940"/>
      <c r="Q2428" s="940"/>
      <c r="R2428" s="940"/>
      <c r="S2428" s="940">
        <f>S1AMHData!Q29</f>
        <v>0</v>
      </c>
      <c r="T2428" s="940"/>
      <c r="U2428" s="940"/>
      <c r="V2428" s="940"/>
      <c r="W2428" s="940">
        <f t="shared" si="45"/>
        <v>0</v>
      </c>
      <c r="X2428" s="940"/>
      <c r="Y2428" s="940"/>
      <c r="Z2428" s="940"/>
      <c r="AA2428" s="871">
        <f>S1AMHData!S29</f>
        <v>0</v>
      </c>
      <c r="AB2428" s="871"/>
      <c r="AC2428" s="518"/>
      <c r="AD2428" s="518"/>
      <c r="AE2428" s="518"/>
      <c r="AF2428" s="518"/>
      <c r="AG2428" s="529"/>
      <c r="AH2428" s="518"/>
      <c r="AJ2428" s="595" t="b">
        <v>0</v>
      </c>
    </row>
    <row r="2429" spans="1:36" hidden="1" x14ac:dyDescent="0.45">
      <c r="A2429" s="518"/>
      <c r="B2429" s="514" t="s">
        <v>1432</v>
      </c>
      <c r="C2429" s="530"/>
      <c r="D2429" s="530"/>
      <c r="E2429" s="530"/>
      <c r="F2429" s="530"/>
      <c r="G2429" s="885" t="str">
        <f>LEFT(S1AMHData!AG30,1)</f>
        <v/>
      </c>
      <c r="H2429" s="885"/>
      <c r="I2429" s="885" t="str">
        <f>LEFT(S1AMHData!L30,1)</f>
        <v/>
      </c>
      <c r="J2429" s="885"/>
      <c r="K2429" s="885" t="str">
        <f>LEFT(S1AMHData!N30,1)</f>
        <v/>
      </c>
      <c r="L2429" s="885"/>
      <c r="M2429" s="1240">
        <f>S1AMHData!O30</f>
        <v>0</v>
      </c>
      <c r="N2429" s="885"/>
      <c r="O2429" s="940">
        <f>S1AMHData!P30</f>
        <v>0</v>
      </c>
      <c r="P2429" s="940"/>
      <c r="Q2429" s="940"/>
      <c r="R2429" s="940"/>
      <c r="S2429" s="940">
        <f>S1AMHData!Q30</f>
        <v>0</v>
      </c>
      <c r="T2429" s="940"/>
      <c r="U2429" s="940"/>
      <c r="V2429" s="940"/>
      <c r="W2429" s="940">
        <f t="shared" si="45"/>
        <v>0</v>
      </c>
      <c r="X2429" s="940"/>
      <c r="Y2429" s="940"/>
      <c r="Z2429" s="940"/>
      <c r="AA2429" s="871">
        <f>S1AMHData!S30</f>
        <v>0</v>
      </c>
      <c r="AB2429" s="871"/>
      <c r="AC2429" s="518"/>
      <c r="AD2429" s="518"/>
      <c r="AE2429" s="518"/>
      <c r="AF2429" s="518"/>
      <c r="AG2429" s="529"/>
      <c r="AH2429" s="518"/>
      <c r="AJ2429" s="595" t="b">
        <v>0</v>
      </c>
    </row>
    <row r="2430" spans="1:36" hidden="1" x14ac:dyDescent="0.45">
      <c r="A2430" s="518"/>
      <c r="B2430" s="514" t="s">
        <v>1433</v>
      </c>
      <c r="C2430" s="530"/>
      <c r="D2430" s="530"/>
      <c r="E2430" s="530"/>
      <c r="F2430" s="530"/>
      <c r="G2430" s="885" t="str">
        <f>LEFT(S1AMHData!AG31,1)</f>
        <v/>
      </c>
      <c r="H2430" s="885"/>
      <c r="I2430" s="885" t="str">
        <f>LEFT(S1AMHData!L31,1)</f>
        <v/>
      </c>
      <c r="J2430" s="885"/>
      <c r="K2430" s="885" t="str">
        <f>LEFT(S1AMHData!N31,1)</f>
        <v/>
      </c>
      <c r="L2430" s="885"/>
      <c r="M2430" s="1240">
        <f>S1AMHData!O31</f>
        <v>0</v>
      </c>
      <c r="N2430" s="885"/>
      <c r="O2430" s="940">
        <f>S1AMHData!P31</f>
        <v>0</v>
      </c>
      <c r="P2430" s="940"/>
      <c r="Q2430" s="940"/>
      <c r="R2430" s="940"/>
      <c r="S2430" s="940">
        <f>S1AMHData!Q31</f>
        <v>0</v>
      </c>
      <c r="T2430" s="940"/>
      <c r="U2430" s="940"/>
      <c r="V2430" s="940"/>
      <c r="W2430" s="940">
        <f t="shared" si="45"/>
        <v>0</v>
      </c>
      <c r="X2430" s="940"/>
      <c r="Y2430" s="940"/>
      <c r="Z2430" s="940"/>
      <c r="AA2430" s="871">
        <f>S1AMHData!S31</f>
        <v>0</v>
      </c>
      <c r="AB2430" s="871"/>
      <c r="AC2430" s="518"/>
      <c r="AD2430" s="518"/>
      <c r="AE2430" s="518"/>
      <c r="AF2430" s="518"/>
      <c r="AG2430" s="529"/>
      <c r="AH2430" s="518"/>
      <c r="AJ2430" s="595" t="b">
        <v>0</v>
      </c>
    </row>
    <row r="2431" spans="1:36" hidden="1" x14ac:dyDescent="0.45">
      <c r="A2431" s="518"/>
      <c r="B2431" s="514" t="s">
        <v>1434</v>
      </c>
      <c r="C2431" s="530"/>
      <c r="D2431" s="530"/>
      <c r="E2431" s="530"/>
      <c r="F2431" s="530"/>
      <c r="G2431" s="885" t="str">
        <f>LEFT(S1AMHData!AG32,1)</f>
        <v/>
      </c>
      <c r="H2431" s="885"/>
      <c r="I2431" s="885" t="str">
        <f>LEFT(S1AMHData!L32,1)</f>
        <v/>
      </c>
      <c r="J2431" s="885"/>
      <c r="K2431" s="885" t="str">
        <f>LEFT(S1AMHData!N32,1)</f>
        <v/>
      </c>
      <c r="L2431" s="885"/>
      <c r="M2431" s="1240">
        <f>S1AMHData!O32</f>
        <v>0</v>
      </c>
      <c r="N2431" s="885"/>
      <c r="O2431" s="940">
        <f>S1AMHData!P32</f>
        <v>0</v>
      </c>
      <c r="P2431" s="940"/>
      <c r="Q2431" s="940"/>
      <c r="R2431" s="940"/>
      <c r="S2431" s="940">
        <f>S1AMHData!Q32</f>
        <v>0</v>
      </c>
      <c r="T2431" s="940"/>
      <c r="U2431" s="940"/>
      <c r="V2431" s="940"/>
      <c r="W2431" s="940">
        <f t="shared" si="45"/>
        <v>0</v>
      </c>
      <c r="X2431" s="940"/>
      <c r="Y2431" s="940"/>
      <c r="Z2431" s="940"/>
      <c r="AA2431" s="871">
        <f>S1AMHData!S32</f>
        <v>0</v>
      </c>
      <c r="AB2431" s="871"/>
      <c r="AC2431" s="518"/>
      <c r="AD2431" s="518"/>
      <c r="AE2431" s="518"/>
      <c r="AF2431" s="518"/>
      <c r="AG2431" s="529"/>
      <c r="AH2431" s="518"/>
      <c r="AJ2431" s="595" t="b">
        <v>0</v>
      </c>
    </row>
    <row r="2432" spans="1:36" hidden="1" x14ac:dyDescent="0.45">
      <c r="A2432" s="518"/>
      <c r="B2432" s="514" t="s">
        <v>1435</v>
      </c>
      <c r="C2432" s="530"/>
      <c r="D2432" s="530"/>
      <c r="E2432" s="530"/>
      <c r="F2432" s="530"/>
      <c r="G2432" s="885" t="str">
        <f>LEFT(S1AMHData!AG33,1)</f>
        <v/>
      </c>
      <c r="H2432" s="885"/>
      <c r="I2432" s="885" t="str">
        <f>LEFT(S1AMHData!L33,1)</f>
        <v/>
      </c>
      <c r="J2432" s="885"/>
      <c r="K2432" s="885" t="str">
        <f>LEFT(S1AMHData!N33,1)</f>
        <v/>
      </c>
      <c r="L2432" s="885"/>
      <c r="M2432" s="1240">
        <f>S1AMHData!O33</f>
        <v>0</v>
      </c>
      <c r="N2432" s="885"/>
      <c r="O2432" s="940">
        <f>S1AMHData!P33</f>
        <v>0</v>
      </c>
      <c r="P2432" s="940"/>
      <c r="Q2432" s="940"/>
      <c r="R2432" s="940"/>
      <c r="S2432" s="940">
        <f>S1AMHData!Q33</f>
        <v>0</v>
      </c>
      <c r="T2432" s="940"/>
      <c r="U2432" s="940"/>
      <c r="V2432" s="940"/>
      <c r="W2432" s="940">
        <f t="shared" si="45"/>
        <v>0</v>
      </c>
      <c r="X2432" s="940"/>
      <c r="Y2432" s="940"/>
      <c r="Z2432" s="940"/>
      <c r="AA2432" s="871">
        <f>S1AMHData!S33</f>
        <v>0</v>
      </c>
      <c r="AB2432" s="871"/>
      <c r="AC2432" s="518"/>
      <c r="AD2432" s="518"/>
      <c r="AE2432" s="518"/>
      <c r="AF2432" s="518"/>
      <c r="AG2432" s="529"/>
      <c r="AH2432" s="518"/>
      <c r="AJ2432" s="595" t="b">
        <v>0</v>
      </c>
    </row>
    <row r="2433" spans="1:36" hidden="1" x14ac:dyDescent="0.45">
      <c r="A2433" s="518"/>
      <c r="B2433" s="514" t="s">
        <v>1436</v>
      </c>
      <c r="C2433" s="530"/>
      <c r="D2433" s="530"/>
      <c r="E2433" s="530"/>
      <c r="F2433" s="530"/>
      <c r="G2433" s="885" t="str">
        <f>LEFT(S1AMHData!AG34,1)</f>
        <v/>
      </c>
      <c r="H2433" s="885"/>
      <c r="I2433" s="885" t="str">
        <f>LEFT(S1AMHData!L34,1)</f>
        <v/>
      </c>
      <c r="J2433" s="885"/>
      <c r="K2433" s="885" t="str">
        <f>LEFT(S1AMHData!N34,1)</f>
        <v/>
      </c>
      <c r="L2433" s="885"/>
      <c r="M2433" s="1240">
        <f>S1AMHData!O34</f>
        <v>0</v>
      </c>
      <c r="N2433" s="885"/>
      <c r="O2433" s="940">
        <f>S1AMHData!P34</f>
        <v>0</v>
      </c>
      <c r="P2433" s="940"/>
      <c r="Q2433" s="940"/>
      <c r="R2433" s="940"/>
      <c r="S2433" s="940">
        <f>S1AMHData!Q34</f>
        <v>0</v>
      </c>
      <c r="T2433" s="940"/>
      <c r="U2433" s="940"/>
      <c r="V2433" s="940"/>
      <c r="W2433" s="940">
        <f t="shared" si="45"/>
        <v>0</v>
      </c>
      <c r="X2433" s="940"/>
      <c r="Y2433" s="940"/>
      <c r="Z2433" s="940"/>
      <c r="AA2433" s="871">
        <f>S1AMHData!S34</f>
        <v>0</v>
      </c>
      <c r="AB2433" s="871"/>
      <c r="AC2433" s="518"/>
      <c r="AD2433" s="518"/>
      <c r="AE2433" s="518"/>
      <c r="AF2433" s="518"/>
      <c r="AG2433" s="529"/>
      <c r="AH2433" s="518"/>
      <c r="AJ2433" s="595" t="b">
        <v>0</v>
      </c>
    </row>
    <row r="2434" spans="1:36" hidden="1" x14ac:dyDescent="0.45">
      <c r="A2434" s="518"/>
      <c r="B2434" s="514" t="s">
        <v>1437</v>
      </c>
      <c r="C2434" s="530"/>
      <c r="D2434" s="530"/>
      <c r="E2434" s="530"/>
      <c r="F2434" s="530"/>
      <c r="G2434" s="885" t="str">
        <f>LEFT(S1AMHData!AG35,1)</f>
        <v/>
      </c>
      <c r="H2434" s="885"/>
      <c r="I2434" s="885" t="str">
        <f>LEFT(S1AMHData!L35,1)</f>
        <v/>
      </c>
      <c r="J2434" s="885"/>
      <c r="K2434" s="885" t="str">
        <f>LEFT(S1AMHData!N35,1)</f>
        <v/>
      </c>
      <c r="L2434" s="885"/>
      <c r="M2434" s="1240">
        <f>S1AMHData!O35</f>
        <v>0</v>
      </c>
      <c r="N2434" s="885"/>
      <c r="O2434" s="940">
        <f>S1AMHData!P35</f>
        <v>0</v>
      </c>
      <c r="P2434" s="940"/>
      <c r="Q2434" s="940"/>
      <c r="R2434" s="940"/>
      <c r="S2434" s="940">
        <f>S1AMHData!Q35</f>
        <v>0</v>
      </c>
      <c r="T2434" s="940"/>
      <c r="U2434" s="940"/>
      <c r="V2434" s="940"/>
      <c r="W2434" s="940">
        <f t="shared" si="45"/>
        <v>0</v>
      </c>
      <c r="X2434" s="940"/>
      <c r="Y2434" s="940"/>
      <c r="Z2434" s="940"/>
      <c r="AA2434" s="871">
        <f>S1AMHData!S35</f>
        <v>0</v>
      </c>
      <c r="AB2434" s="871"/>
      <c r="AC2434" s="518"/>
      <c r="AD2434" s="518"/>
      <c r="AE2434" s="518"/>
      <c r="AF2434" s="518"/>
      <c r="AG2434" s="529"/>
      <c r="AH2434" s="518"/>
      <c r="AJ2434" s="595" t="b">
        <v>0</v>
      </c>
    </row>
    <row r="2435" spans="1:36" hidden="1" x14ac:dyDescent="0.45">
      <c r="A2435" s="518"/>
      <c r="B2435" s="514" t="s">
        <v>1438</v>
      </c>
      <c r="C2435" s="530"/>
      <c r="D2435" s="530"/>
      <c r="E2435" s="530"/>
      <c r="F2435" s="530"/>
      <c r="G2435" s="885" t="str">
        <f>LEFT(S1AMHData!AG36,1)</f>
        <v/>
      </c>
      <c r="H2435" s="885"/>
      <c r="I2435" s="885" t="str">
        <f>LEFT(S1AMHData!L36,1)</f>
        <v/>
      </c>
      <c r="J2435" s="885"/>
      <c r="K2435" s="885" t="str">
        <f>LEFT(S1AMHData!N36,1)</f>
        <v/>
      </c>
      <c r="L2435" s="885"/>
      <c r="M2435" s="1240">
        <f>S1AMHData!O36</f>
        <v>0</v>
      </c>
      <c r="N2435" s="885"/>
      <c r="O2435" s="940">
        <f>S1AMHData!P36</f>
        <v>0</v>
      </c>
      <c r="P2435" s="940"/>
      <c r="Q2435" s="940"/>
      <c r="R2435" s="940"/>
      <c r="S2435" s="940">
        <f>S1AMHData!Q36</f>
        <v>0</v>
      </c>
      <c r="T2435" s="940"/>
      <c r="U2435" s="940"/>
      <c r="V2435" s="940"/>
      <c r="W2435" s="940">
        <f t="shared" si="45"/>
        <v>0</v>
      </c>
      <c r="X2435" s="940"/>
      <c r="Y2435" s="940"/>
      <c r="Z2435" s="940"/>
      <c r="AA2435" s="871">
        <f>S1AMHData!S36</f>
        <v>0</v>
      </c>
      <c r="AB2435" s="871"/>
      <c r="AC2435" s="518"/>
      <c r="AD2435" s="518"/>
      <c r="AE2435" s="518"/>
      <c r="AF2435" s="518"/>
      <c r="AG2435" s="529"/>
      <c r="AH2435" s="518"/>
      <c r="AJ2435" s="595" t="b">
        <v>0</v>
      </c>
    </row>
    <row r="2436" spans="1:36" hidden="1" x14ac:dyDescent="0.45">
      <c r="A2436" s="518"/>
      <c r="B2436" s="514" t="s">
        <v>1439</v>
      </c>
      <c r="C2436" s="530"/>
      <c r="D2436" s="530"/>
      <c r="E2436" s="530"/>
      <c r="F2436" s="530"/>
      <c r="G2436" s="885" t="str">
        <f>LEFT(S1AMHData!AG37,1)</f>
        <v/>
      </c>
      <c r="H2436" s="885"/>
      <c r="I2436" s="885" t="str">
        <f>LEFT(S1AMHData!L37,1)</f>
        <v/>
      </c>
      <c r="J2436" s="885"/>
      <c r="K2436" s="885" t="str">
        <f>LEFT(S1AMHData!N37,1)</f>
        <v/>
      </c>
      <c r="L2436" s="885"/>
      <c r="M2436" s="1240">
        <f>S1AMHData!O37</f>
        <v>0</v>
      </c>
      <c r="N2436" s="885"/>
      <c r="O2436" s="940">
        <f>S1AMHData!P37</f>
        <v>0</v>
      </c>
      <c r="P2436" s="940"/>
      <c r="Q2436" s="940"/>
      <c r="R2436" s="940"/>
      <c r="S2436" s="940">
        <f>S1AMHData!Q37</f>
        <v>0</v>
      </c>
      <c r="T2436" s="940"/>
      <c r="U2436" s="940"/>
      <c r="V2436" s="940"/>
      <c r="W2436" s="940">
        <f t="shared" si="45"/>
        <v>0</v>
      </c>
      <c r="X2436" s="940"/>
      <c r="Y2436" s="940"/>
      <c r="Z2436" s="940"/>
      <c r="AA2436" s="871">
        <f>S1AMHData!S37</f>
        <v>0</v>
      </c>
      <c r="AB2436" s="871"/>
      <c r="AC2436" s="518"/>
      <c r="AD2436" s="518"/>
      <c r="AE2436" s="518"/>
      <c r="AF2436" s="518"/>
      <c r="AG2436" s="529"/>
      <c r="AH2436" s="518"/>
      <c r="AJ2436" s="595" t="b">
        <v>0</v>
      </c>
    </row>
    <row r="2437" spans="1:36" hidden="1" x14ac:dyDescent="0.45">
      <c r="A2437" s="518"/>
      <c r="B2437" s="514" t="s">
        <v>1440</v>
      </c>
      <c r="C2437" s="530"/>
      <c r="D2437" s="530"/>
      <c r="E2437" s="530"/>
      <c r="F2437" s="530"/>
      <c r="G2437" s="885" t="str">
        <f>LEFT(S1AMHData!AG38,1)</f>
        <v/>
      </c>
      <c r="H2437" s="885"/>
      <c r="I2437" s="885" t="str">
        <f>LEFT(S1AMHData!L38,1)</f>
        <v/>
      </c>
      <c r="J2437" s="885"/>
      <c r="K2437" s="885" t="str">
        <f>LEFT(S1AMHData!N38,1)</f>
        <v/>
      </c>
      <c r="L2437" s="885"/>
      <c r="M2437" s="1240">
        <f>S1AMHData!O38</f>
        <v>0</v>
      </c>
      <c r="N2437" s="885"/>
      <c r="O2437" s="940">
        <f>S1AMHData!P38</f>
        <v>0</v>
      </c>
      <c r="P2437" s="940"/>
      <c r="Q2437" s="940"/>
      <c r="R2437" s="940"/>
      <c r="S2437" s="940">
        <f>S1AMHData!Q38</f>
        <v>0</v>
      </c>
      <c r="T2437" s="940"/>
      <c r="U2437" s="940"/>
      <c r="V2437" s="940"/>
      <c r="W2437" s="940">
        <f t="shared" si="45"/>
        <v>0</v>
      </c>
      <c r="X2437" s="940"/>
      <c r="Y2437" s="940"/>
      <c r="Z2437" s="940"/>
      <c r="AA2437" s="871">
        <f>S1AMHData!S38</f>
        <v>0</v>
      </c>
      <c r="AB2437" s="871"/>
      <c r="AC2437" s="518"/>
      <c r="AD2437" s="518"/>
      <c r="AE2437" s="518"/>
      <c r="AF2437" s="518"/>
      <c r="AG2437" s="529"/>
      <c r="AH2437" s="518"/>
      <c r="AJ2437" s="595" t="b">
        <v>0</v>
      </c>
    </row>
    <row r="2438" spans="1:36" hidden="1" x14ac:dyDescent="0.45">
      <c r="A2438" s="518"/>
      <c r="B2438" s="514" t="s">
        <v>1441</v>
      </c>
      <c r="C2438" s="530"/>
      <c r="D2438" s="530"/>
      <c r="E2438" s="530"/>
      <c r="F2438" s="530"/>
      <c r="G2438" s="885" t="str">
        <f>LEFT(S1AMHData!AG39,1)</f>
        <v/>
      </c>
      <c r="H2438" s="885"/>
      <c r="I2438" s="885" t="str">
        <f>LEFT(S1AMHData!L39,1)</f>
        <v/>
      </c>
      <c r="J2438" s="885"/>
      <c r="K2438" s="885" t="str">
        <f>LEFT(S1AMHData!N39,1)</f>
        <v/>
      </c>
      <c r="L2438" s="885"/>
      <c r="M2438" s="1240">
        <f>S1AMHData!O39</f>
        <v>0</v>
      </c>
      <c r="N2438" s="885"/>
      <c r="O2438" s="940">
        <f>S1AMHData!P39</f>
        <v>0</v>
      </c>
      <c r="P2438" s="940"/>
      <c r="Q2438" s="940"/>
      <c r="R2438" s="940"/>
      <c r="S2438" s="940">
        <f>S1AMHData!Q39</f>
        <v>0</v>
      </c>
      <c r="T2438" s="940"/>
      <c r="U2438" s="940"/>
      <c r="V2438" s="940"/>
      <c r="W2438" s="940">
        <f t="shared" si="45"/>
        <v>0</v>
      </c>
      <c r="X2438" s="940"/>
      <c r="Y2438" s="940"/>
      <c r="Z2438" s="940"/>
      <c r="AA2438" s="871">
        <f>S1AMHData!S39</f>
        <v>0</v>
      </c>
      <c r="AB2438" s="871"/>
      <c r="AC2438" s="518"/>
      <c r="AD2438" s="518"/>
      <c r="AE2438" s="518"/>
      <c r="AF2438" s="518"/>
      <c r="AG2438" s="529"/>
      <c r="AH2438" s="518"/>
      <c r="AJ2438" s="595" t="b">
        <v>0</v>
      </c>
    </row>
    <row r="2439" spans="1:36" hidden="1" x14ac:dyDescent="0.45">
      <c r="A2439" s="518"/>
      <c r="B2439" s="514" t="s">
        <v>152</v>
      </c>
      <c r="C2439" s="530"/>
      <c r="D2439" s="530"/>
      <c r="E2439" s="530"/>
      <c r="F2439" s="530"/>
      <c r="G2439" s="885" t="str">
        <f>LEFT(S1AMHData!AG40,1)</f>
        <v/>
      </c>
      <c r="H2439" s="885"/>
      <c r="I2439" s="885" t="str">
        <f>LEFT(S1AMHData!L40,1)</f>
        <v/>
      </c>
      <c r="J2439" s="885"/>
      <c r="K2439" s="885" t="str">
        <f>LEFT(S1AMHData!N40,1)</f>
        <v/>
      </c>
      <c r="L2439" s="885"/>
      <c r="M2439" s="1240">
        <f>S1AMHData!O40</f>
        <v>0</v>
      </c>
      <c r="N2439" s="885"/>
      <c r="O2439" s="940">
        <f>S1AMHData!P40</f>
        <v>0</v>
      </c>
      <c r="P2439" s="940"/>
      <c r="Q2439" s="940"/>
      <c r="R2439" s="940"/>
      <c r="S2439" s="940">
        <f>S1AMHData!Q40</f>
        <v>0</v>
      </c>
      <c r="T2439" s="940"/>
      <c r="U2439" s="940"/>
      <c r="V2439" s="940"/>
      <c r="W2439" s="940">
        <f t="shared" si="45"/>
        <v>0</v>
      </c>
      <c r="X2439" s="940"/>
      <c r="Y2439" s="940"/>
      <c r="Z2439" s="940"/>
      <c r="AA2439" s="871">
        <f>S1AMHData!S40</f>
        <v>0</v>
      </c>
      <c r="AB2439" s="871"/>
      <c r="AC2439" s="518"/>
      <c r="AD2439" s="518"/>
      <c r="AE2439" s="518"/>
      <c r="AF2439" s="518"/>
      <c r="AG2439" s="529"/>
      <c r="AH2439" s="518"/>
      <c r="AJ2439" s="595" t="b">
        <v>0</v>
      </c>
    </row>
    <row r="2440" spans="1:36" hidden="1" x14ac:dyDescent="0.45">
      <c r="A2440" s="518"/>
      <c r="B2440" s="514" t="s">
        <v>1442</v>
      </c>
      <c r="C2440" s="530"/>
      <c r="D2440" s="530"/>
      <c r="E2440" s="530"/>
      <c r="F2440" s="530"/>
      <c r="G2440" s="885" t="str">
        <f>LEFT(S1AMHData!AG41,1)</f>
        <v/>
      </c>
      <c r="H2440" s="885"/>
      <c r="I2440" s="885" t="str">
        <f>LEFT(S1AMHData!L41,1)</f>
        <v/>
      </c>
      <c r="J2440" s="885"/>
      <c r="K2440" s="885" t="str">
        <f>LEFT(S1AMHData!N41,1)</f>
        <v/>
      </c>
      <c r="L2440" s="885"/>
      <c r="M2440" s="1240">
        <f>S1AMHData!O41</f>
        <v>0</v>
      </c>
      <c r="N2440" s="885"/>
      <c r="O2440" s="940">
        <f>S1AMHData!P41</f>
        <v>0</v>
      </c>
      <c r="P2440" s="940"/>
      <c r="Q2440" s="940"/>
      <c r="R2440" s="940"/>
      <c r="S2440" s="940">
        <f>S1AMHData!Q41</f>
        <v>0</v>
      </c>
      <c r="T2440" s="940"/>
      <c r="U2440" s="940"/>
      <c r="V2440" s="940"/>
      <c r="W2440" s="940">
        <f t="shared" si="45"/>
        <v>0</v>
      </c>
      <c r="X2440" s="940"/>
      <c r="Y2440" s="940"/>
      <c r="Z2440" s="940"/>
      <c r="AA2440" s="871">
        <f>S1AMHData!S41</f>
        <v>0</v>
      </c>
      <c r="AB2440" s="871"/>
      <c r="AC2440" s="518"/>
      <c r="AD2440" s="518"/>
      <c r="AE2440" s="518"/>
      <c r="AF2440" s="518"/>
      <c r="AG2440" s="529"/>
      <c r="AH2440" s="518"/>
      <c r="AJ2440" s="595" t="b">
        <v>0</v>
      </c>
    </row>
    <row r="2441" spans="1:36" hidden="1" x14ac:dyDescent="0.45">
      <c r="A2441" s="518"/>
      <c r="B2441" s="514" t="s">
        <v>1443</v>
      </c>
      <c r="C2441" s="530"/>
      <c r="D2441" s="530"/>
      <c r="E2441" s="530"/>
      <c r="F2441" s="530"/>
      <c r="G2441" s="885" t="str">
        <f>LEFT(S1AMHData!AG42,1)</f>
        <v/>
      </c>
      <c r="H2441" s="885"/>
      <c r="I2441" s="885" t="str">
        <f>LEFT(S1AMHData!L42,1)</f>
        <v/>
      </c>
      <c r="J2441" s="885"/>
      <c r="K2441" s="885" t="str">
        <f>LEFT(S1AMHData!N42,1)</f>
        <v/>
      </c>
      <c r="L2441" s="885"/>
      <c r="M2441" s="1240">
        <f>S1AMHData!O42</f>
        <v>0</v>
      </c>
      <c r="N2441" s="885"/>
      <c r="O2441" s="940">
        <f>S1AMHData!P42</f>
        <v>0</v>
      </c>
      <c r="P2441" s="940"/>
      <c r="Q2441" s="940"/>
      <c r="R2441" s="940"/>
      <c r="S2441" s="940">
        <f>S1AMHData!Q42</f>
        <v>0</v>
      </c>
      <c r="T2441" s="940"/>
      <c r="U2441" s="940"/>
      <c r="V2441" s="940"/>
      <c r="W2441" s="940">
        <f t="shared" si="45"/>
        <v>0</v>
      </c>
      <c r="X2441" s="940"/>
      <c r="Y2441" s="940"/>
      <c r="Z2441" s="940"/>
      <c r="AA2441" s="871">
        <f>S1AMHData!S42</f>
        <v>0</v>
      </c>
      <c r="AB2441" s="871"/>
      <c r="AC2441" s="518"/>
      <c r="AD2441" s="518"/>
      <c r="AE2441" s="518"/>
      <c r="AF2441" s="518"/>
      <c r="AG2441" s="529"/>
      <c r="AH2441" s="518"/>
      <c r="AJ2441" s="595" t="b">
        <v>0</v>
      </c>
    </row>
    <row r="2442" spans="1:36" hidden="1" x14ac:dyDescent="0.45">
      <c r="A2442" s="518"/>
      <c r="B2442" s="514" t="s">
        <v>1444</v>
      </c>
      <c r="C2442" s="530"/>
      <c r="D2442" s="530"/>
      <c r="E2442" s="530"/>
      <c r="F2442" s="530"/>
      <c r="G2442" s="885" t="str">
        <f>LEFT(S1AMHData!AG43,1)</f>
        <v/>
      </c>
      <c r="H2442" s="885"/>
      <c r="I2442" s="885" t="str">
        <f>LEFT(S1AMHData!L43,1)</f>
        <v/>
      </c>
      <c r="J2442" s="885"/>
      <c r="K2442" s="885" t="str">
        <f>LEFT(S1AMHData!N43,1)</f>
        <v/>
      </c>
      <c r="L2442" s="885"/>
      <c r="M2442" s="1240">
        <f>S1AMHData!O43</f>
        <v>0</v>
      </c>
      <c r="N2442" s="885"/>
      <c r="O2442" s="940">
        <f>S1AMHData!P43</f>
        <v>0</v>
      </c>
      <c r="P2442" s="940"/>
      <c r="Q2442" s="940"/>
      <c r="R2442" s="940"/>
      <c r="S2442" s="940">
        <f>S1AMHData!Q43</f>
        <v>0</v>
      </c>
      <c r="T2442" s="940"/>
      <c r="U2442" s="940"/>
      <c r="V2442" s="940"/>
      <c r="W2442" s="940">
        <f t="shared" si="45"/>
        <v>0</v>
      </c>
      <c r="X2442" s="940"/>
      <c r="Y2442" s="940"/>
      <c r="Z2442" s="940"/>
      <c r="AA2442" s="871">
        <f>S1AMHData!S43</f>
        <v>0</v>
      </c>
      <c r="AB2442" s="871"/>
      <c r="AC2442" s="518"/>
      <c r="AD2442" s="518"/>
      <c r="AE2442" s="518"/>
      <c r="AF2442" s="518"/>
      <c r="AG2442" s="529"/>
      <c r="AH2442" s="518"/>
      <c r="AJ2442" s="595" t="b">
        <v>0</v>
      </c>
    </row>
    <row r="2443" spans="1:36" hidden="1" x14ac:dyDescent="0.45">
      <c r="A2443" s="518"/>
      <c r="B2443" s="514" t="s">
        <v>1445</v>
      </c>
      <c r="C2443" s="530"/>
      <c r="D2443" s="530"/>
      <c r="E2443" s="530"/>
      <c r="F2443" s="530"/>
      <c r="G2443" s="885" t="str">
        <f>LEFT(S1AMHData!AG44,1)</f>
        <v/>
      </c>
      <c r="H2443" s="885"/>
      <c r="I2443" s="885" t="str">
        <f>LEFT(S1AMHData!L44,1)</f>
        <v/>
      </c>
      <c r="J2443" s="885"/>
      <c r="K2443" s="885" t="str">
        <f>LEFT(S1AMHData!N44,1)</f>
        <v/>
      </c>
      <c r="L2443" s="885"/>
      <c r="M2443" s="1240">
        <f>S1AMHData!O44</f>
        <v>0</v>
      </c>
      <c r="N2443" s="885"/>
      <c r="O2443" s="940">
        <f>S1AMHData!P44</f>
        <v>0</v>
      </c>
      <c r="P2443" s="940"/>
      <c r="Q2443" s="940"/>
      <c r="R2443" s="940"/>
      <c r="S2443" s="940">
        <f>S1AMHData!Q44</f>
        <v>0</v>
      </c>
      <c r="T2443" s="940"/>
      <c r="U2443" s="940"/>
      <c r="V2443" s="940"/>
      <c r="W2443" s="940">
        <f t="shared" si="45"/>
        <v>0</v>
      </c>
      <c r="X2443" s="940"/>
      <c r="Y2443" s="940"/>
      <c r="Z2443" s="940"/>
      <c r="AA2443" s="871">
        <f>S1AMHData!S44</f>
        <v>0</v>
      </c>
      <c r="AB2443" s="871"/>
      <c r="AC2443" s="518"/>
      <c r="AD2443" s="518"/>
      <c r="AE2443" s="518"/>
      <c r="AF2443" s="518"/>
      <c r="AG2443" s="529"/>
      <c r="AH2443" s="518"/>
      <c r="AJ2443" s="595" t="b">
        <v>0</v>
      </c>
    </row>
    <row r="2444" spans="1:36" hidden="1" x14ac:dyDescent="0.45">
      <c r="A2444" s="518"/>
      <c r="B2444" s="514" t="s">
        <v>1446</v>
      </c>
      <c r="C2444" s="530"/>
      <c r="D2444" s="530"/>
      <c r="E2444" s="530"/>
      <c r="F2444" s="530"/>
      <c r="G2444" s="885" t="str">
        <f>LEFT(S1AMHData!AG45,1)</f>
        <v/>
      </c>
      <c r="H2444" s="885"/>
      <c r="I2444" s="885" t="str">
        <f>LEFT(S1AMHData!L45,1)</f>
        <v/>
      </c>
      <c r="J2444" s="885"/>
      <c r="K2444" s="885" t="str">
        <f>LEFT(S1AMHData!N45,1)</f>
        <v/>
      </c>
      <c r="L2444" s="885"/>
      <c r="M2444" s="1240">
        <f>S1AMHData!O45</f>
        <v>0</v>
      </c>
      <c r="N2444" s="885"/>
      <c r="O2444" s="940">
        <f>S1AMHData!P45</f>
        <v>0</v>
      </c>
      <c r="P2444" s="940"/>
      <c r="Q2444" s="940"/>
      <c r="R2444" s="940"/>
      <c r="S2444" s="940">
        <f>S1AMHData!Q45</f>
        <v>0</v>
      </c>
      <c r="T2444" s="940"/>
      <c r="U2444" s="940"/>
      <c r="V2444" s="940"/>
      <c r="W2444" s="940">
        <f t="shared" si="45"/>
        <v>0</v>
      </c>
      <c r="X2444" s="940"/>
      <c r="Y2444" s="940"/>
      <c r="Z2444" s="940"/>
      <c r="AA2444" s="871">
        <f>S1AMHData!S45</f>
        <v>0</v>
      </c>
      <c r="AB2444" s="871"/>
      <c r="AC2444" s="518"/>
      <c r="AD2444" s="518"/>
      <c r="AE2444" s="518"/>
      <c r="AF2444" s="518"/>
      <c r="AG2444" s="529"/>
      <c r="AH2444" s="518"/>
      <c r="AJ2444" s="595" t="b">
        <v>0</v>
      </c>
    </row>
    <row r="2445" spans="1:36" hidden="1" x14ac:dyDescent="0.45">
      <c r="B2445" s="514" t="s">
        <v>1447</v>
      </c>
      <c r="C2445" s="530"/>
      <c r="D2445" s="530"/>
      <c r="E2445" s="530"/>
      <c r="F2445" s="530"/>
      <c r="G2445" s="885" t="str">
        <f>LEFT(S1AMHData!AG46,1)</f>
        <v/>
      </c>
      <c r="H2445" s="885"/>
      <c r="I2445" s="885" t="str">
        <f>LEFT(S1AMHData!L46,1)</f>
        <v/>
      </c>
      <c r="J2445" s="885"/>
      <c r="K2445" s="885" t="str">
        <f>LEFT(S1AMHData!N46,1)</f>
        <v/>
      </c>
      <c r="L2445" s="885"/>
      <c r="M2445" s="1240">
        <f>S1AMHData!O46</f>
        <v>0</v>
      </c>
      <c r="N2445" s="885"/>
      <c r="O2445" s="940">
        <f>S1AMHData!P46</f>
        <v>0</v>
      </c>
      <c r="P2445" s="940"/>
      <c r="Q2445" s="940"/>
      <c r="R2445" s="940"/>
      <c r="S2445" s="940">
        <f>S1AMHData!Q46</f>
        <v>0</v>
      </c>
      <c r="T2445" s="940"/>
      <c r="U2445" s="940"/>
      <c r="V2445" s="940"/>
      <c r="W2445" s="940">
        <f t="shared" si="45"/>
        <v>0</v>
      </c>
      <c r="X2445" s="940"/>
      <c r="Y2445" s="940"/>
      <c r="Z2445" s="940"/>
      <c r="AA2445" s="871">
        <f>S1AMHData!S46</f>
        <v>0</v>
      </c>
      <c r="AB2445" s="871"/>
      <c r="AC2445" s="518"/>
      <c r="AD2445" s="518"/>
      <c r="AE2445" s="518"/>
      <c r="AF2445" s="518"/>
      <c r="AG2445" s="529"/>
      <c r="AH2445" s="518"/>
      <c r="AJ2445" s="595" t="b">
        <v>0</v>
      </c>
    </row>
    <row r="2446" spans="1:36" hidden="1" x14ac:dyDescent="0.45">
      <c r="B2446" s="514" t="s">
        <v>1448</v>
      </c>
      <c r="C2446" s="530"/>
      <c r="D2446" s="530"/>
      <c r="E2446" s="530"/>
      <c r="F2446" s="530"/>
      <c r="G2446" s="885" t="str">
        <f>LEFT(S1AMHData!AG47,1)</f>
        <v/>
      </c>
      <c r="H2446" s="885"/>
      <c r="I2446" s="885" t="str">
        <f>LEFT(S1AMHData!L47,1)</f>
        <v/>
      </c>
      <c r="J2446" s="885"/>
      <c r="K2446" s="885" t="str">
        <f>LEFT(S1AMHData!N47,1)</f>
        <v/>
      </c>
      <c r="L2446" s="885"/>
      <c r="M2446" s="1240">
        <f>S1AMHData!O47</f>
        <v>0</v>
      </c>
      <c r="N2446" s="885"/>
      <c r="O2446" s="940">
        <f>S1AMHData!P47</f>
        <v>0</v>
      </c>
      <c r="P2446" s="940"/>
      <c r="Q2446" s="940"/>
      <c r="R2446" s="940"/>
      <c r="S2446" s="940">
        <f>S1AMHData!Q47</f>
        <v>0</v>
      </c>
      <c r="T2446" s="940"/>
      <c r="U2446" s="940"/>
      <c r="V2446" s="940"/>
      <c r="W2446" s="940">
        <f t="shared" si="45"/>
        <v>0</v>
      </c>
      <c r="X2446" s="940"/>
      <c r="Y2446" s="940"/>
      <c r="Z2446" s="940"/>
      <c r="AA2446" s="871">
        <f>S1AMHData!S47</f>
        <v>0</v>
      </c>
      <c r="AB2446" s="871"/>
      <c r="AC2446" s="518"/>
      <c r="AD2446" s="518"/>
      <c r="AE2446" s="518"/>
      <c r="AF2446" s="518"/>
      <c r="AG2446" s="529"/>
      <c r="AH2446" s="518"/>
      <c r="AJ2446" s="595" t="b">
        <v>0</v>
      </c>
    </row>
    <row r="2447" spans="1:36" hidden="1" x14ac:dyDescent="0.45">
      <c r="B2447" s="514" t="s">
        <v>1449</v>
      </c>
      <c r="C2447" s="530"/>
      <c r="D2447" s="530"/>
      <c r="E2447" s="530"/>
      <c r="F2447" s="530"/>
      <c r="G2447" s="885" t="str">
        <f>LEFT(S1AMHData!AG48,1)</f>
        <v/>
      </c>
      <c r="H2447" s="885"/>
      <c r="I2447" s="885" t="str">
        <f>LEFT(S1AMHData!L48,1)</f>
        <v/>
      </c>
      <c r="J2447" s="885"/>
      <c r="K2447" s="885" t="str">
        <f>LEFT(S1AMHData!N48,1)</f>
        <v/>
      </c>
      <c r="L2447" s="885"/>
      <c r="M2447" s="1240">
        <f>S1AMHData!O48</f>
        <v>0</v>
      </c>
      <c r="N2447" s="885"/>
      <c r="O2447" s="940">
        <f>S1AMHData!P48</f>
        <v>0</v>
      </c>
      <c r="P2447" s="940"/>
      <c r="Q2447" s="940"/>
      <c r="R2447" s="940"/>
      <c r="S2447" s="940">
        <f>S1AMHData!Q48</f>
        <v>0</v>
      </c>
      <c r="T2447" s="940"/>
      <c r="U2447" s="940"/>
      <c r="V2447" s="940"/>
      <c r="W2447" s="940">
        <f t="shared" si="45"/>
        <v>0</v>
      </c>
      <c r="X2447" s="940"/>
      <c r="Y2447" s="940"/>
      <c r="Z2447" s="940"/>
      <c r="AA2447" s="871">
        <f>S1AMHData!S48</f>
        <v>0</v>
      </c>
      <c r="AB2447" s="871"/>
      <c r="AC2447" s="518"/>
      <c r="AD2447" s="518"/>
      <c r="AE2447" s="518"/>
      <c r="AF2447" s="518"/>
      <c r="AG2447" s="529"/>
      <c r="AH2447" s="518"/>
      <c r="AJ2447" s="595" t="b">
        <v>0</v>
      </c>
    </row>
    <row r="2448" spans="1:36" hidden="1" x14ac:dyDescent="0.45">
      <c r="B2448" s="514" t="s">
        <v>1450</v>
      </c>
      <c r="C2448" s="530"/>
      <c r="D2448" s="530"/>
      <c r="E2448" s="530"/>
      <c r="F2448" s="530"/>
      <c r="G2448" s="885" t="str">
        <f>LEFT(S1AMHData!AG49,1)</f>
        <v/>
      </c>
      <c r="H2448" s="885"/>
      <c r="I2448" s="885" t="str">
        <f>LEFT(S1AMHData!L49,1)</f>
        <v/>
      </c>
      <c r="J2448" s="885"/>
      <c r="K2448" s="885" t="str">
        <f>LEFT(S1AMHData!N49,1)</f>
        <v/>
      </c>
      <c r="L2448" s="885"/>
      <c r="M2448" s="1240">
        <f>S1AMHData!O49</f>
        <v>0</v>
      </c>
      <c r="N2448" s="885"/>
      <c r="O2448" s="940">
        <f>S1AMHData!P49</f>
        <v>0</v>
      </c>
      <c r="P2448" s="940"/>
      <c r="Q2448" s="940"/>
      <c r="R2448" s="940"/>
      <c r="S2448" s="940">
        <f>S1AMHData!Q49</f>
        <v>0</v>
      </c>
      <c r="T2448" s="940"/>
      <c r="U2448" s="940"/>
      <c r="V2448" s="940"/>
      <c r="W2448" s="940">
        <f t="shared" si="45"/>
        <v>0</v>
      </c>
      <c r="X2448" s="940"/>
      <c r="Y2448" s="940"/>
      <c r="Z2448" s="940"/>
      <c r="AA2448" s="871">
        <f>S1AMHData!S49</f>
        <v>0</v>
      </c>
      <c r="AB2448" s="871"/>
      <c r="AC2448" s="518"/>
      <c r="AD2448" s="518"/>
      <c r="AE2448" s="518"/>
      <c r="AF2448" s="518"/>
      <c r="AG2448" s="529"/>
      <c r="AH2448" s="518"/>
      <c r="AJ2448" s="595" t="b">
        <v>0</v>
      </c>
    </row>
    <row r="2449" spans="1:36" hidden="1" x14ac:dyDescent="0.45">
      <c r="B2449" s="514" t="s">
        <v>1451</v>
      </c>
      <c r="C2449" s="530"/>
      <c r="D2449" s="530"/>
      <c r="E2449" s="530"/>
      <c r="F2449" s="530"/>
      <c r="G2449" s="885" t="str">
        <f>LEFT(S1AMHData!AG50,1)</f>
        <v/>
      </c>
      <c r="H2449" s="885"/>
      <c r="I2449" s="885" t="str">
        <f>LEFT(S1AMHData!L50,1)</f>
        <v/>
      </c>
      <c r="J2449" s="885"/>
      <c r="K2449" s="885" t="str">
        <f>LEFT(S1AMHData!N50,1)</f>
        <v/>
      </c>
      <c r="L2449" s="885"/>
      <c r="M2449" s="1240">
        <f>S1AMHData!O50</f>
        <v>0</v>
      </c>
      <c r="N2449" s="885"/>
      <c r="O2449" s="940">
        <f>S1AMHData!P50</f>
        <v>0</v>
      </c>
      <c r="P2449" s="940"/>
      <c r="Q2449" s="940"/>
      <c r="R2449" s="940"/>
      <c r="S2449" s="940">
        <f>S1AMHData!Q50</f>
        <v>0</v>
      </c>
      <c r="T2449" s="940"/>
      <c r="U2449" s="940"/>
      <c r="V2449" s="940"/>
      <c r="W2449" s="940">
        <f t="shared" si="45"/>
        <v>0</v>
      </c>
      <c r="X2449" s="940"/>
      <c r="Y2449" s="940"/>
      <c r="Z2449" s="940"/>
      <c r="AA2449" s="871">
        <f>S1AMHData!S50</f>
        <v>0</v>
      </c>
      <c r="AB2449" s="871"/>
      <c r="AC2449" s="518"/>
      <c r="AD2449" s="518"/>
      <c r="AE2449" s="518"/>
      <c r="AF2449" s="518"/>
      <c r="AG2449" s="529"/>
      <c r="AH2449" s="518"/>
      <c r="AJ2449" s="595" t="b">
        <v>0</v>
      </c>
    </row>
    <row r="2450" spans="1:36" hidden="1" x14ac:dyDescent="0.45">
      <c r="B2450" s="514" t="s">
        <v>1452</v>
      </c>
      <c r="C2450" s="530"/>
      <c r="D2450" s="530"/>
      <c r="E2450" s="530"/>
      <c r="F2450" s="530"/>
      <c r="G2450" s="885" t="str">
        <f>LEFT(S1AMHData!AG51,1)</f>
        <v/>
      </c>
      <c r="H2450" s="885"/>
      <c r="I2450" s="885" t="str">
        <f>LEFT(S1AMHData!L51,1)</f>
        <v/>
      </c>
      <c r="J2450" s="885"/>
      <c r="K2450" s="885" t="str">
        <f>LEFT(S1AMHData!N51,1)</f>
        <v/>
      </c>
      <c r="L2450" s="885"/>
      <c r="M2450" s="1240">
        <f>S1AMHData!O51</f>
        <v>0</v>
      </c>
      <c r="N2450" s="885"/>
      <c r="O2450" s="940">
        <f>S1AMHData!P51</f>
        <v>0</v>
      </c>
      <c r="P2450" s="940"/>
      <c r="Q2450" s="940"/>
      <c r="R2450" s="940"/>
      <c r="S2450" s="940">
        <f>S1AMHData!Q51</f>
        <v>0</v>
      </c>
      <c r="T2450" s="940"/>
      <c r="U2450" s="940"/>
      <c r="V2450" s="940"/>
      <c r="W2450" s="940">
        <f t="shared" si="45"/>
        <v>0</v>
      </c>
      <c r="X2450" s="940"/>
      <c r="Y2450" s="940"/>
      <c r="Z2450" s="940"/>
      <c r="AA2450" s="871">
        <f>S1AMHData!S51</f>
        <v>0</v>
      </c>
      <c r="AB2450" s="871"/>
      <c r="AC2450" s="518"/>
      <c r="AD2450" s="518"/>
      <c r="AE2450" s="518"/>
      <c r="AF2450" s="518"/>
      <c r="AG2450" s="529"/>
      <c r="AH2450" s="518"/>
      <c r="AJ2450" s="595" t="b">
        <v>0</v>
      </c>
    </row>
    <row r="2451" spans="1:36" hidden="1" x14ac:dyDescent="0.45">
      <c r="B2451" s="514" t="s">
        <v>1453</v>
      </c>
      <c r="C2451" s="530"/>
      <c r="D2451" s="530"/>
      <c r="E2451" s="530"/>
      <c r="F2451" s="530"/>
      <c r="G2451" s="885" t="str">
        <f>LEFT(S1AMHData!AG52,1)</f>
        <v/>
      </c>
      <c r="H2451" s="885"/>
      <c r="I2451" s="885" t="str">
        <f>LEFT(S1AMHData!L52,1)</f>
        <v/>
      </c>
      <c r="J2451" s="885"/>
      <c r="K2451" s="885" t="str">
        <f>LEFT(S1AMHData!N52,1)</f>
        <v/>
      </c>
      <c r="L2451" s="885"/>
      <c r="M2451" s="1240">
        <f>S1AMHData!O52</f>
        <v>0</v>
      </c>
      <c r="N2451" s="885"/>
      <c r="O2451" s="940">
        <f>S1AMHData!P52</f>
        <v>0</v>
      </c>
      <c r="P2451" s="940"/>
      <c r="Q2451" s="940"/>
      <c r="R2451" s="940"/>
      <c r="S2451" s="940">
        <f>S1AMHData!Q52</f>
        <v>0</v>
      </c>
      <c r="T2451" s="940"/>
      <c r="U2451" s="940"/>
      <c r="V2451" s="940"/>
      <c r="W2451" s="940">
        <f t="shared" si="45"/>
        <v>0</v>
      </c>
      <c r="X2451" s="940"/>
      <c r="Y2451" s="940"/>
      <c r="Z2451" s="940"/>
      <c r="AA2451" s="871">
        <f>S1AMHData!S52</f>
        <v>0</v>
      </c>
      <c r="AB2451" s="871"/>
      <c r="AC2451" s="518"/>
      <c r="AD2451" s="518"/>
      <c r="AE2451" s="518"/>
      <c r="AF2451" s="518"/>
      <c r="AG2451" s="529"/>
      <c r="AH2451" s="518"/>
      <c r="AJ2451" s="595" t="b">
        <v>0</v>
      </c>
    </row>
    <row r="2452" spans="1:36" hidden="1" x14ac:dyDescent="0.45">
      <c r="B2452" s="514" t="s">
        <v>1454</v>
      </c>
      <c r="C2452" s="530"/>
      <c r="D2452" s="530"/>
      <c r="E2452" s="530"/>
      <c r="F2452" s="530"/>
      <c r="G2452" s="885" t="str">
        <f>LEFT(S1AMHData!AG53,1)</f>
        <v/>
      </c>
      <c r="H2452" s="885"/>
      <c r="I2452" s="885" t="str">
        <f>LEFT(S1AMHData!L53,1)</f>
        <v/>
      </c>
      <c r="J2452" s="885"/>
      <c r="K2452" s="885" t="str">
        <f>LEFT(S1AMHData!N53,1)</f>
        <v/>
      </c>
      <c r="L2452" s="885"/>
      <c r="M2452" s="1240">
        <f>S1AMHData!O53</f>
        <v>0</v>
      </c>
      <c r="N2452" s="885"/>
      <c r="O2452" s="940">
        <f>S1AMHData!P53</f>
        <v>0</v>
      </c>
      <c r="P2452" s="940"/>
      <c r="Q2452" s="940"/>
      <c r="R2452" s="940"/>
      <c r="S2452" s="940">
        <f>S1AMHData!Q53</f>
        <v>0</v>
      </c>
      <c r="T2452" s="940"/>
      <c r="U2452" s="940"/>
      <c r="V2452" s="940"/>
      <c r="W2452" s="940">
        <f t="shared" si="45"/>
        <v>0</v>
      </c>
      <c r="X2452" s="940"/>
      <c r="Y2452" s="940"/>
      <c r="Z2452" s="940"/>
      <c r="AA2452" s="871">
        <f>S1AMHData!S53</f>
        <v>0</v>
      </c>
      <c r="AB2452" s="871"/>
      <c r="AC2452" s="518"/>
      <c r="AD2452" s="518"/>
      <c r="AE2452" s="518"/>
      <c r="AF2452" s="518"/>
      <c r="AG2452" s="529"/>
      <c r="AH2452" s="518"/>
      <c r="AJ2452" s="595" t="b">
        <v>0</v>
      </c>
    </row>
    <row r="2453" spans="1:36" hidden="1" x14ac:dyDescent="0.45">
      <c r="B2453" s="514" t="s">
        <v>1455</v>
      </c>
      <c r="C2453" s="530"/>
      <c r="D2453" s="530"/>
      <c r="E2453" s="530"/>
      <c r="F2453" s="530"/>
      <c r="G2453" s="885" t="str">
        <f>LEFT(S1AMHData!AG54,1)</f>
        <v/>
      </c>
      <c r="H2453" s="885"/>
      <c r="I2453" s="885" t="str">
        <f>LEFT(S1AMHData!L54,1)</f>
        <v/>
      </c>
      <c r="J2453" s="885"/>
      <c r="K2453" s="885" t="str">
        <f>LEFT(S1AMHData!N54,1)</f>
        <v/>
      </c>
      <c r="L2453" s="885"/>
      <c r="M2453" s="1240">
        <f>S1AMHData!O54</f>
        <v>0</v>
      </c>
      <c r="N2453" s="885"/>
      <c r="O2453" s="940">
        <f>S1AMHData!P54</f>
        <v>0</v>
      </c>
      <c r="P2453" s="940"/>
      <c r="Q2453" s="940"/>
      <c r="R2453" s="940"/>
      <c r="S2453" s="940">
        <f>S1AMHData!Q54</f>
        <v>0</v>
      </c>
      <c r="T2453" s="940"/>
      <c r="U2453" s="940"/>
      <c r="V2453" s="940"/>
      <c r="W2453" s="940">
        <f t="shared" si="45"/>
        <v>0</v>
      </c>
      <c r="X2453" s="940"/>
      <c r="Y2453" s="940"/>
      <c r="Z2453" s="940"/>
      <c r="AA2453" s="871">
        <f>S1AMHData!S54</f>
        <v>0</v>
      </c>
      <c r="AB2453" s="871"/>
      <c r="AC2453" s="518"/>
      <c r="AD2453" s="518"/>
      <c r="AE2453" s="518"/>
      <c r="AF2453" s="518"/>
      <c r="AG2453" s="529"/>
      <c r="AH2453" s="518"/>
      <c r="AJ2453" s="595" t="b">
        <v>0</v>
      </c>
    </row>
    <row r="2454" spans="1:36" hidden="1" x14ac:dyDescent="0.45">
      <c r="B2454" s="514" t="s">
        <v>1456</v>
      </c>
      <c r="C2454" s="530"/>
      <c r="D2454" s="530"/>
      <c r="E2454" s="530"/>
      <c r="F2454" s="530"/>
      <c r="G2454" s="885" t="str">
        <f>LEFT(S1AMHData!AG55,1)</f>
        <v/>
      </c>
      <c r="H2454" s="885"/>
      <c r="I2454" s="885" t="str">
        <f>LEFT(S1AMHData!L55,1)</f>
        <v/>
      </c>
      <c r="J2454" s="885"/>
      <c r="K2454" s="885" t="str">
        <f>LEFT(S1AMHData!N55,1)</f>
        <v/>
      </c>
      <c r="L2454" s="885"/>
      <c r="M2454" s="1240">
        <f>S1AMHData!O55</f>
        <v>0</v>
      </c>
      <c r="N2454" s="885"/>
      <c r="O2454" s="940">
        <f>S1AMHData!P55</f>
        <v>0</v>
      </c>
      <c r="P2454" s="940"/>
      <c r="Q2454" s="940"/>
      <c r="R2454" s="940"/>
      <c r="S2454" s="940">
        <f>S1AMHData!Q55</f>
        <v>0</v>
      </c>
      <c r="T2454" s="940"/>
      <c r="U2454" s="940"/>
      <c r="V2454" s="940"/>
      <c r="W2454" s="940">
        <f t="shared" si="45"/>
        <v>0</v>
      </c>
      <c r="X2454" s="940"/>
      <c r="Y2454" s="940"/>
      <c r="Z2454" s="940"/>
      <c r="AA2454" s="871">
        <f>S1AMHData!S55</f>
        <v>0</v>
      </c>
      <c r="AB2454" s="871"/>
      <c r="AC2454" s="518"/>
      <c r="AD2454" s="518"/>
      <c r="AE2454" s="518"/>
      <c r="AF2454" s="518"/>
      <c r="AG2454" s="529"/>
      <c r="AH2454" s="518"/>
      <c r="AJ2454" s="595" t="b">
        <v>0</v>
      </c>
    </row>
    <row r="2455" spans="1:36" hidden="1" x14ac:dyDescent="0.45">
      <c r="B2455" s="514" t="s">
        <v>1457</v>
      </c>
      <c r="C2455" s="530"/>
      <c r="D2455" s="530"/>
      <c r="E2455" s="530"/>
      <c r="F2455" s="530"/>
      <c r="G2455" s="885" t="str">
        <f>LEFT(S1AMHData!AG56,1)</f>
        <v/>
      </c>
      <c r="H2455" s="885"/>
      <c r="I2455" s="885" t="str">
        <f>LEFT(S1AMHData!L56,1)</f>
        <v/>
      </c>
      <c r="J2455" s="885"/>
      <c r="K2455" s="885" t="str">
        <f>LEFT(S1AMHData!N56,1)</f>
        <v/>
      </c>
      <c r="L2455" s="885"/>
      <c r="M2455" s="1240">
        <f>S1AMHData!O56</f>
        <v>0</v>
      </c>
      <c r="N2455" s="885"/>
      <c r="O2455" s="940">
        <f>S1AMHData!P56</f>
        <v>0</v>
      </c>
      <c r="P2455" s="940"/>
      <c r="Q2455" s="940"/>
      <c r="R2455" s="940"/>
      <c r="S2455" s="940">
        <f>S1AMHData!Q56</f>
        <v>0</v>
      </c>
      <c r="T2455" s="940"/>
      <c r="U2455" s="940"/>
      <c r="V2455" s="940"/>
      <c r="W2455" s="940">
        <f t="shared" si="45"/>
        <v>0</v>
      </c>
      <c r="X2455" s="940"/>
      <c r="Y2455" s="940"/>
      <c r="Z2455" s="940"/>
      <c r="AA2455" s="871">
        <f>S1AMHData!S56</f>
        <v>0</v>
      </c>
      <c r="AB2455" s="871"/>
      <c r="AC2455" s="518"/>
      <c r="AD2455" s="518"/>
      <c r="AE2455" s="518"/>
      <c r="AF2455" s="518"/>
      <c r="AG2455" s="529"/>
      <c r="AH2455" s="518"/>
      <c r="AJ2455" s="595" t="b">
        <v>0</v>
      </c>
    </row>
    <row r="2456" spans="1:36" hidden="1" x14ac:dyDescent="0.45">
      <c r="B2456" s="514" t="s">
        <v>1458</v>
      </c>
      <c r="C2456" s="530"/>
      <c r="D2456" s="530"/>
      <c r="E2456" s="530"/>
      <c r="F2456" s="530"/>
      <c r="G2456" s="885" t="str">
        <f>LEFT(S1AMHData!AG57,1)</f>
        <v/>
      </c>
      <c r="H2456" s="885"/>
      <c r="I2456" s="885" t="str">
        <f>LEFT(S1AMHData!L57,1)</f>
        <v/>
      </c>
      <c r="J2456" s="885"/>
      <c r="K2456" s="885" t="str">
        <f>LEFT(S1AMHData!N57,1)</f>
        <v/>
      </c>
      <c r="L2456" s="885"/>
      <c r="M2456" s="1240">
        <f>S1AMHData!O57</f>
        <v>0</v>
      </c>
      <c r="N2456" s="885"/>
      <c r="O2456" s="940">
        <f>S1AMHData!P57</f>
        <v>0</v>
      </c>
      <c r="P2456" s="940"/>
      <c r="Q2456" s="940"/>
      <c r="R2456" s="940"/>
      <c r="S2456" s="940">
        <f>S1AMHData!Q57</f>
        <v>0</v>
      </c>
      <c r="T2456" s="940"/>
      <c r="U2456" s="940"/>
      <c r="V2456" s="940"/>
      <c r="W2456" s="940">
        <f t="shared" si="45"/>
        <v>0</v>
      </c>
      <c r="X2456" s="940"/>
      <c r="Y2456" s="940"/>
      <c r="Z2456" s="940"/>
      <c r="AA2456" s="871">
        <f>S1AMHData!S57</f>
        <v>0</v>
      </c>
      <c r="AB2456" s="871"/>
      <c r="AC2456" s="518"/>
      <c r="AD2456" s="518"/>
      <c r="AE2456" s="518"/>
      <c r="AF2456" s="518"/>
      <c r="AG2456" s="529"/>
      <c r="AH2456" s="518"/>
      <c r="AJ2456" s="595" t="b">
        <v>0</v>
      </c>
    </row>
    <row r="2457" spans="1:36" hidden="1" x14ac:dyDescent="0.45">
      <c r="B2457" s="514" t="s">
        <v>1459</v>
      </c>
      <c r="C2457" s="530"/>
      <c r="D2457" s="530"/>
      <c r="E2457" s="530"/>
      <c r="F2457" s="530"/>
      <c r="G2457" s="885" t="str">
        <f>LEFT(S1AMHData!AG58,1)</f>
        <v/>
      </c>
      <c r="H2457" s="885"/>
      <c r="I2457" s="885" t="str">
        <f>LEFT(S1AMHData!L58,1)</f>
        <v/>
      </c>
      <c r="J2457" s="885"/>
      <c r="K2457" s="885" t="str">
        <f>LEFT(S1AMHData!N58,1)</f>
        <v/>
      </c>
      <c r="L2457" s="885"/>
      <c r="M2457" s="1240">
        <f>S1AMHData!O58</f>
        <v>0</v>
      </c>
      <c r="N2457" s="885"/>
      <c r="O2457" s="940">
        <f>S1AMHData!P58</f>
        <v>0</v>
      </c>
      <c r="P2457" s="940"/>
      <c r="Q2457" s="940"/>
      <c r="R2457" s="940"/>
      <c r="S2457" s="940">
        <f>S1AMHData!Q58</f>
        <v>0</v>
      </c>
      <c r="T2457" s="940"/>
      <c r="U2457" s="940"/>
      <c r="V2457" s="940"/>
      <c r="W2457" s="940">
        <f t="shared" si="45"/>
        <v>0</v>
      </c>
      <c r="X2457" s="940"/>
      <c r="Y2457" s="940"/>
      <c r="Z2457" s="940"/>
      <c r="AA2457" s="871">
        <f>S1AMHData!S58</f>
        <v>0</v>
      </c>
      <c r="AB2457" s="871"/>
      <c r="AC2457" s="518"/>
      <c r="AD2457" s="518"/>
      <c r="AE2457" s="518"/>
      <c r="AF2457" s="518"/>
      <c r="AG2457" s="529"/>
      <c r="AH2457" s="518"/>
      <c r="AJ2457" s="595" t="b">
        <v>0</v>
      </c>
    </row>
    <row r="2458" spans="1:36" hidden="1" x14ac:dyDescent="0.45">
      <c r="A2458" s="518"/>
      <c r="B2458" s="514" t="s">
        <v>1460</v>
      </c>
      <c r="C2458" s="530"/>
      <c r="D2458" s="530"/>
      <c r="E2458" s="530"/>
      <c r="F2458" s="530"/>
      <c r="G2458" s="885" t="str">
        <f>LEFT(S1AMHData!AG59,1)</f>
        <v/>
      </c>
      <c r="H2458" s="885"/>
      <c r="I2458" s="885" t="str">
        <f>LEFT(S1AMHData!L59,1)</f>
        <v/>
      </c>
      <c r="J2458" s="885"/>
      <c r="K2458" s="885" t="str">
        <f>LEFT(S1AMHData!N59,1)</f>
        <v/>
      </c>
      <c r="L2458" s="885"/>
      <c r="M2458" s="1240">
        <f>S1AMHData!O59</f>
        <v>0</v>
      </c>
      <c r="N2458" s="885"/>
      <c r="O2458" s="940">
        <f>S1AMHData!P59</f>
        <v>0</v>
      </c>
      <c r="P2458" s="940"/>
      <c r="Q2458" s="940"/>
      <c r="R2458" s="940"/>
      <c r="S2458" s="940">
        <f>S1AMHData!Q59</f>
        <v>0</v>
      </c>
      <c r="T2458" s="940"/>
      <c r="U2458" s="940"/>
      <c r="V2458" s="940"/>
      <c r="W2458" s="940">
        <f t="shared" si="45"/>
        <v>0</v>
      </c>
      <c r="X2458" s="940"/>
      <c r="Y2458" s="940"/>
      <c r="Z2458" s="940"/>
      <c r="AA2458" s="871">
        <f>S1AMHData!S59</f>
        <v>0</v>
      </c>
      <c r="AB2458" s="871"/>
      <c r="AC2458" s="518"/>
      <c r="AD2458" s="518"/>
      <c r="AE2458" s="518"/>
      <c r="AF2458" s="518"/>
      <c r="AG2458" s="529"/>
      <c r="AH2458" s="518"/>
      <c r="AJ2458" s="595" t="b">
        <v>0</v>
      </c>
    </row>
    <row r="2459" spans="1:36" hidden="1" x14ac:dyDescent="0.45">
      <c r="A2459" s="518"/>
      <c r="B2459" s="514" t="s">
        <v>1461</v>
      </c>
      <c r="C2459" s="530"/>
      <c r="D2459" s="530"/>
      <c r="E2459" s="530"/>
      <c r="F2459" s="530"/>
      <c r="G2459" s="885" t="str">
        <f>LEFT(S1AMHData!AG60,1)</f>
        <v/>
      </c>
      <c r="H2459" s="885"/>
      <c r="I2459" s="885" t="str">
        <f>LEFT(S1AMHData!L60,1)</f>
        <v/>
      </c>
      <c r="J2459" s="885"/>
      <c r="K2459" s="885" t="str">
        <f>LEFT(S1AMHData!N60,1)</f>
        <v/>
      </c>
      <c r="L2459" s="885"/>
      <c r="M2459" s="1240">
        <f>S1AMHData!O60</f>
        <v>0</v>
      </c>
      <c r="N2459" s="885"/>
      <c r="O2459" s="940">
        <f>S1AMHData!P60</f>
        <v>0</v>
      </c>
      <c r="P2459" s="940"/>
      <c r="Q2459" s="940"/>
      <c r="R2459" s="940"/>
      <c r="S2459" s="940">
        <f>S1AMHData!Q60</f>
        <v>0</v>
      </c>
      <c r="T2459" s="940"/>
      <c r="U2459" s="940"/>
      <c r="V2459" s="940"/>
      <c r="W2459" s="940">
        <f t="shared" si="45"/>
        <v>0</v>
      </c>
      <c r="X2459" s="940"/>
      <c r="Y2459" s="940"/>
      <c r="Z2459" s="940"/>
      <c r="AA2459" s="871">
        <f>S1AMHData!S60</f>
        <v>0</v>
      </c>
      <c r="AB2459" s="871"/>
      <c r="AC2459" s="518"/>
      <c r="AD2459" s="518"/>
      <c r="AE2459" s="518"/>
      <c r="AF2459" s="518"/>
      <c r="AG2459" s="529"/>
      <c r="AH2459" s="518"/>
      <c r="AJ2459" s="595" t="b">
        <v>0</v>
      </c>
    </row>
    <row r="2460" spans="1:36" hidden="1" x14ac:dyDescent="0.45">
      <c r="A2460" s="518"/>
      <c r="B2460" s="518"/>
      <c r="C2460" s="518"/>
      <c r="D2460" s="518"/>
      <c r="E2460" s="518"/>
      <c r="F2460" s="518"/>
      <c r="G2460" s="518"/>
      <c r="H2460" s="518"/>
      <c r="I2460" s="518"/>
      <c r="J2460" s="518"/>
      <c r="K2460" s="518"/>
      <c r="L2460" s="518"/>
      <c r="M2460" s="518"/>
      <c r="N2460" s="518"/>
      <c r="O2460" s="518"/>
      <c r="P2460" s="518"/>
      <c r="Q2460" s="518"/>
      <c r="R2460" s="518"/>
      <c r="S2460" s="518"/>
      <c r="T2460" s="518"/>
      <c r="U2460" s="518"/>
      <c r="V2460" s="518"/>
      <c r="W2460" s="518"/>
      <c r="X2460" s="518"/>
      <c r="Y2460" s="518"/>
      <c r="Z2460" s="518"/>
      <c r="AA2460" s="518"/>
      <c r="AB2460" s="518"/>
      <c r="AC2460" s="518"/>
      <c r="AD2460" s="518"/>
      <c r="AE2460" s="518"/>
      <c r="AF2460" s="518"/>
      <c r="AG2460" s="518"/>
      <c r="AH2460" s="518"/>
      <c r="AJ2460" s="595" t="b">
        <f>AJ2395</f>
        <v>0</v>
      </c>
    </row>
    <row r="2461" spans="1:36" hidden="1" x14ac:dyDescent="0.45">
      <c r="A2461" s="518"/>
      <c r="B2461" s="917" t="s">
        <v>173</v>
      </c>
      <c r="C2461" s="918"/>
      <c r="D2461" s="918"/>
      <c r="E2461" s="918"/>
      <c r="F2461" s="918"/>
      <c r="G2461" s="918"/>
      <c r="H2461" s="919" cm="1">
        <f t="array" ref="H2461">S1_AMH_UnrestrictedTotalRequested</f>
        <v>0</v>
      </c>
      <c r="I2461" s="920"/>
      <c r="J2461" s="920"/>
      <c r="K2461" s="920"/>
      <c r="L2461" s="920"/>
      <c r="M2461" s="920"/>
      <c r="N2461" s="921"/>
      <c r="O2461" s="518"/>
      <c r="P2461" s="518"/>
      <c r="Q2461" s="518"/>
      <c r="R2461" s="518"/>
      <c r="S2461" s="518"/>
      <c r="T2461" s="518"/>
      <c r="U2461" s="518"/>
      <c r="V2461" s="518"/>
      <c r="W2461" s="518"/>
      <c r="X2461" s="518"/>
      <c r="Y2461" s="518"/>
      <c r="Z2461" s="518"/>
      <c r="AA2461" s="518"/>
      <c r="AB2461" s="518"/>
      <c r="AC2461" s="518"/>
      <c r="AD2461" s="518"/>
      <c r="AE2461" s="518"/>
      <c r="AF2461" s="518"/>
      <c r="AG2461" s="518"/>
      <c r="AH2461" s="518"/>
      <c r="AJ2461" s="595"/>
    </row>
    <row r="2462" spans="1:36" hidden="1" x14ac:dyDescent="0.45">
      <c r="A2462" s="518"/>
      <c r="B2462" s="518"/>
      <c r="C2462" s="518"/>
      <c r="D2462" s="518"/>
      <c r="E2462" s="518"/>
      <c r="F2462" s="518"/>
      <c r="G2462" s="518"/>
      <c r="H2462" s="518"/>
      <c r="I2462" s="518"/>
      <c r="J2462" s="518"/>
      <c r="K2462" s="518"/>
      <c r="L2462" s="518"/>
      <c r="M2462" s="518"/>
      <c r="N2462" s="518"/>
      <c r="O2462" s="518"/>
      <c r="P2462" s="518"/>
      <c r="Q2462" s="518"/>
      <c r="R2462" s="518"/>
      <c r="S2462" s="518"/>
      <c r="T2462" s="518"/>
      <c r="U2462" s="518"/>
      <c r="V2462" s="518"/>
      <c r="W2462" s="518"/>
      <c r="X2462" s="518"/>
      <c r="Y2462" s="518"/>
      <c r="Z2462" s="518"/>
      <c r="AA2462" s="518"/>
      <c r="AB2462" s="518"/>
      <c r="AC2462" s="518"/>
      <c r="AD2462" s="518"/>
      <c r="AE2462" s="518"/>
      <c r="AF2462" s="518"/>
      <c r="AG2462" s="518"/>
      <c r="AH2462" s="518"/>
      <c r="AJ2462" s="595"/>
    </row>
    <row r="2463" spans="1:36" hidden="1" x14ac:dyDescent="0.45">
      <c r="A2463" s="518"/>
      <c r="B2463" s="579" t="s">
        <v>1854</v>
      </c>
      <c r="C2463" s="517"/>
      <c r="D2463" s="517"/>
      <c r="E2463" s="517"/>
      <c r="F2463" s="517"/>
      <c r="G2463" s="517"/>
      <c r="H2463" s="517"/>
      <c r="I2463" s="517"/>
      <c r="J2463" s="517"/>
      <c r="K2463" s="517"/>
      <c r="L2463" s="517"/>
      <c r="M2463" s="517"/>
      <c r="N2463" s="517"/>
      <c r="O2463" s="517"/>
      <c r="P2463" s="517"/>
      <c r="Q2463" s="517"/>
      <c r="R2463" s="517"/>
      <c r="S2463" s="517"/>
      <c r="T2463" s="517"/>
      <c r="U2463" s="517"/>
      <c r="V2463" s="517"/>
      <c r="W2463" s="517"/>
      <c r="X2463" s="517"/>
      <c r="Y2463" s="517"/>
      <c r="Z2463" s="517"/>
      <c r="AA2463" s="517"/>
      <c r="AB2463" s="517"/>
      <c r="AC2463" s="517"/>
      <c r="AD2463" s="517"/>
      <c r="AE2463" s="517"/>
      <c r="AF2463" s="517"/>
      <c r="AG2463" s="517"/>
      <c r="AH2463" s="518"/>
      <c r="AJ2463" s="595"/>
    </row>
    <row r="2464" spans="1:36" hidden="1" x14ac:dyDescent="0.45">
      <c r="A2464" s="518"/>
      <c r="B2464" s="922" t="s">
        <v>174</v>
      </c>
      <c r="C2464" s="922"/>
      <c r="D2464" s="922"/>
      <c r="E2464" s="922"/>
      <c r="F2464" s="922"/>
      <c r="G2464" s="922"/>
      <c r="H2464" s="922"/>
      <c r="I2464" s="922"/>
      <c r="J2464" s="922"/>
      <c r="K2464" s="922"/>
      <c r="L2464" s="922"/>
      <c r="M2464" s="922"/>
      <c r="N2464" s="922"/>
      <c r="O2464" s="878"/>
      <c r="P2464" s="879"/>
      <c r="Q2464" s="880"/>
      <c r="R2464" s="518"/>
      <c r="S2464" s="518"/>
      <c r="T2464" s="518"/>
      <c r="U2464" s="518"/>
      <c r="V2464" s="518"/>
      <c r="W2464" s="518"/>
      <c r="X2464" s="518"/>
      <c r="Y2464" s="518"/>
      <c r="Z2464" s="518"/>
      <c r="AA2464" s="518"/>
      <c r="AB2464" s="518"/>
      <c r="AC2464" s="518"/>
      <c r="AD2464" s="518"/>
      <c r="AE2464" s="518"/>
      <c r="AF2464" s="518"/>
      <c r="AG2464" s="518"/>
      <c r="AH2464" s="518"/>
      <c r="AJ2464" s="595"/>
    </row>
    <row r="2465" spans="1:36" hidden="1" x14ac:dyDescent="0.45">
      <c r="A2465" s="518"/>
      <c r="B2465" s="922" t="s">
        <v>175</v>
      </c>
      <c r="C2465" s="922"/>
      <c r="D2465" s="922"/>
      <c r="E2465" s="922"/>
      <c r="F2465" s="922"/>
      <c r="G2465" s="922"/>
      <c r="H2465" s="922"/>
      <c r="I2465" s="922"/>
      <c r="J2465" s="922"/>
      <c r="K2465" s="922"/>
      <c r="L2465" s="922"/>
      <c r="M2465" s="922"/>
      <c r="N2465" s="922"/>
      <c r="O2465" s="878"/>
      <c r="P2465" s="879"/>
      <c r="Q2465" s="880"/>
      <c r="R2465" s="518"/>
      <c r="S2465" s="518"/>
      <c r="T2465" s="518"/>
      <c r="U2465" s="518"/>
      <c r="V2465" s="518"/>
      <c r="W2465" s="518"/>
      <c r="X2465" s="518"/>
      <c r="Y2465" s="518"/>
      <c r="Z2465" s="518"/>
      <c r="AA2465" s="518"/>
      <c r="AB2465" s="518"/>
      <c r="AC2465" s="518"/>
      <c r="AD2465" s="518"/>
      <c r="AE2465" s="518"/>
      <c r="AF2465" s="518"/>
      <c r="AG2465" s="518"/>
      <c r="AH2465" s="518"/>
      <c r="AJ2465" s="595"/>
    </row>
    <row r="2466" spans="1:36" hidden="1" x14ac:dyDescent="0.45">
      <c r="A2466" s="518"/>
      <c r="B2466" s="922" t="s">
        <v>176</v>
      </c>
      <c r="C2466" s="922"/>
      <c r="D2466" s="922"/>
      <c r="E2466" s="922"/>
      <c r="F2466" s="922"/>
      <c r="G2466" s="922"/>
      <c r="H2466" s="922"/>
      <c r="I2466" s="922"/>
      <c r="J2466" s="922"/>
      <c r="K2466" s="922"/>
      <c r="L2466" s="922"/>
      <c r="M2466" s="922"/>
      <c r="N2466" s="922"/>
      <c r="O2466" s="878"/>
      <c r="P2466" s="879"/>
      <c r="Q2466" s="880"/>
      <c r="R2466" s="518"/>
      <c r="S2466" s="518"/>
      <c r="T2466" s="518"/>
      <c r="U2466" s="518"/>
      <c r="V2466" s="518"/>
      <c r="W2466" s="518"/>
      <c r="X2466" s="518"/>
      <c r="Y2466" s="518"/>
      <c r="Z2466" s="518"/>
      <c r="AA2466" s="518"/>
      <c r="AB2466" s="518"/>
      <c r="AC2466" s="518"/>
      <c r="AD2466" s="518"/>
      <c r="AE2466" s="518"/>
      <c r="AF2466" s="518"/>
      <c r="AG2466" s="518"/>
      <c r="AH2466" s="518"/>
      <c r="AJ2466" s="595"/>
    </row>
    <row r="2467" spans="1:36" hidden="1" x14ac:dyDescent="0.45">
      <c r="A2467" s="518"/>
      <c r="B2467" s="922" t="s">
        <v>177</v>
      </c>
      <c r="C2467" s="922"/>
      <c r="D2467" s="922"/>
      <c r="E2467" s="922"/>
      <c r="F2467" s="922"/>
      <c r="G2467" s="922"/>
      <c r="H2467" s="922"/>
      <c r="I2467" s="922"/>
      <c r="J2467" s="922"/>
      <c r="K2467" s="922"/>
      <c r="L2467" s="922"/>
      <c r="M2467" s="922"/>
      <c r="N2467" s="922"/>
      <c r="O2467" s="878"/>
      <c r="P2467" s="879"/>
      <c r="Q2467" s="880"/>
      <c r="R2467" s="518"/>
      <c r="S2467" s="518"/>
      <c r="T2467" s="518"/>
      <c r="U2467" s="518"/>
      <c r="V2467" s="518"/>
      <c r="W2467" s="518"/>
      <c r="X2467" s="518"/>
      <c r="Y2467" s="518"/>
      <c r="Z2467" s="518"/>
      <c r="AA2467" s="518"/>
      <c r="AB2467" s="518"/>
      <c r="AC2467" s="518"/>
      <c r="AD2467" s="518"/>
      <c r="AE2467" s="518"/>
      <c r="AF2467" s="518"/>
      <c r="AG2467" s="518"/>
      <c r="AH2467" s="518"/>
      <c r="AJ2467" s="595"/>
    </row>
    <row r="2468" spans="1:36" hidden="1" x14ac:dyDescent="0.45">
      <c r="A2468" s="518"/>
      <c r="B2468" s="1241" t="s">
        <v>178</v>
      </c>
      <c r="C2468" s="1241"/>
      <c r="D2468" s="1241"/>
      <c r="E2468" s="1241"/>
      <c r="F2468" s="1241"/>
      <c r="G2468" s="1241"/>
      <c r="H2468" s="1241"/>
      <c r="I2468" s="1241"/>
      <c r="J2468" s="1241"/>
      <c r="K2468" s="1241"/>
      <c r="L2468" s="1241"/>
      <c r="M2468" s="1241"/>
      <c r="N2468" s="1241"/>
      <c r="O2468" s="1242" t="s">
        <v>195</v>
      </c>
      <c r="P2468" s="1243"/>
      <c r="Q2468" s="1244"/>
      <c r="R2468" s="518"/>
      <c r="S2468" s="518"/>
      <c r="T2468" s="518"/>
      <c r="U2468" s="518"/>
      <c r="V2468" s="518"/>
      <c r="W2468" s="518"/>
      <c r="X2468" s="518"/>
      <c r="Y2468" s="518"/>
      <c r="Z2468" s="518"/>
      <c r="AA2468" s="518"/>
      <c r="AB2468" s="518"/>
      <c r="AC2468" s="518"/>
      <c r="AD2468" s="518"/>
      <c r="AE2468" s="518"/>
      <c r="AF2468" s="518"/>
      <c r="AG2468" s="518"/>
      <c r="AH2468" s="518"/>
      <c r="AJ2468" s="595"/>
    </row>
    <row r="2469" spans="1:36" hidden="1" x14ac:dyDescent="0.45">
      <c r="A2469" s="518"/>
      <c r="B2469" s="922" t="s">
        <v>179</v>
      </c>
      <c r="C2469" s="922"/>
      <c r="D2469" s="922"/>
      <c r="E2469" s="922"/>
      <c r="F2469" s="922"/>
      <c r="G2469" s="922"/>
      <c r="H2469" s="922"/>
      <c r="I2469" s="922"/>
      <c r="J2469" s="922"/>
      <c r="K2469" s="922"/>
      <c r="L2469" s="922"/>
      <c r="M2469" s="922"/>
      <c r="N2469" s="922"/>
      <c r="O2469" s="878"/>
      <c r="P2469" s="879"/>
      <c r="Q2469" s="880"/>
      <c r="R2469" s="518"/>
      <c r="S2469" s="518"/>
      <c r="T2469" s="518"/>
      <c r="U2469" s="518"/>
      <c r="V2469" s="518"/>
      <c r="W2469" s="518"/>
      <c r="X2469" s="518"/>
      <c r="Y2469" s="518"/>
      <c r="Z2469" s="518"/>
      <c r="AA2469" s="518"/>
      <c r="AB2469" s="518"/>
      <c r="AC2469" s="518"/>
      <c r="AD2469" s="518"/>
      <c r="AE2469" s="518"/>
      <c r="AF2469" s="518"/>
      <c r="AG2469" s="518"/>
      <c r="AH2469" s="518"/>
      <c r="AJ2469" s="595"/>
    </row>
    <row r="2470" spans="1:36" hidden="1" x14ac:dyDescent="0.45">
      <c r="A2470" s="518"/>
      <c r="B2470" s="922" t="s">
        <v>180</v>
      </c>
      <c r="C2470" s="922"/>
      <c r="D2470" s="922"/>
      <c r="E2470" s="922"/>
      <c r="F2470" s="922"/>
      <c r="G2470" s="922"/>
      <c r="H2470" s="922"/>
      <c r="I2470" s="922"/>
      <c r="J2470" s="922"/>
      <c r="K2470" s="922"/>
      <c r="L2470" s="922"/>
      <c r="M2470" s="922"/>
      <c r="N2470" s="922"/>
      <c r="O2470" s="878"/>
      <c r="P2470" s="879"/>
      <c r="Q2470" s="880"/>
      <c r="R2470" s="518"/>
      <c r="S2470" s="518"/>
      <c r="T2470" s="518"/>
      <c r="U2470" s="518"/>
      <c r="V2470" s="518"/>
      <c r="W2470" s="518"/>
      <c r="X2470" s="518"/>
      <c r="Y2470" s="518"/>
      <c r="Z2470" s="518"/>
      <c r="AA2470" s="518"/>
      <c r="AB2470" s="518"/>
      <c r="AC2470" s="518"/>
      <c r="AD2470" s="518"/>
      <c r="AE2470" s="518"/>
      <c r="AF2470" s="518"/>
      <c r="AG2470" s="518"/>
      <c r="AH2470" s="518"/>
      <c r="AJ2470" s="595"/>
    </row>
    <row r="2471" spans="1:36" hidden="1" x14ac:dyDescent="0.45">
      <c r="A2471" s="518"/>
      <c r="B2471" s="922" t="s">
        <v>1808</v>
      </c>
      <c r="C2471" s="922"/>
      <c r="D2471" s="922"/>
      <c r="E2471" s="922"/>
      <c r="F2471" s="922"/>
      <c r="G2471" s="922"/>
      <c r="H2471" s="922"/>
      <c r="I2471" s="922"/>
      <c r="J2471" s="922"/>
      <c r="K2471" s="922"/>
      <c r="L2471" s="922"/>
      <c r="M2471" s="922"/>
      <c r="N2471" s="922"/>
      <c r="O2471" s="878"/>
      <c r="P2471" s="879"/>
      <c r="Q2471" s="880"/>
      <c r="R2471" s="518"/>
      <c r="S2471" s="518"/>
      <c r="T2471" s="518"/>
      <c r="U2471" s="518"/>
      <c r="V2471" s="518"/>
      <c r="W2471" s="518"/>
      <c r="X2471" s="518"/>
      <c r="Y2471" s="518"/>
      <c r="Z2471" s="518"/>
      <c r="AA2471" s="518"/>
      <c r="AB2471" s="518"/>
      <c r="AC2471" s="518"/>
      <c r="AD2471" s="518"/>
      <c r="AE2471" s="518"/>
      <c r="AF2471" s="518"/>
      <c r="AG2471" s="518"/>
      <c r="AH2471" s="518"/>
      <c r="AJ2471" s="595"/>
    </row>
    <row r="2472" spans="1:36" hidden="1" x14ac:dyDescent="0.45">
      <c r="A2472" s="518"/>
      <c r="B2472" s="916" t="s">
        <v>181</v>
      </c>
      <c r="C2472" s="916"/>
      <c r="D2472" s="916"/>
      <c r="E2472" s="916"/>
      <c r="F2472" s="916"/>
      <c r="G2472" s="916"/>
      <c r="H2472" s="916"/>
      <c r="I2472" s="916"/>
      <c r="J2472" s="916"/>
      <c r="K2472" s="916"/>
      <c r="L2472" s="916"/>
      <c r="M2472" s="916"/>
      <c r="N2472" s="916"/>
      <c r="O2472" s="927"/>
      <c r="P2472" s="928"/>
      <c r="Q2472" s="929"/>
      <c r="R2472" s="518"/>
      <c r="S2472" s="518"/>
      <c r="T2472" s="518"/>
      <c r="U2472" s="518"/>
      <c r="V2472" s="518"/>
      <c r="W2472" s="518"/>
      <c r="X2472" s="518"/>
      <c r="Y2472" s="518"/>
      <c r="Z2472" s="518"/>
      <c r="AA2472" s="518"/>
      <c r="AB2472" s="518"/>
      <c r="AC2472" s="518"/>
      <c r="AD2472" s="518"/>
      <c r="AE2472" s="518"/>
      <c r="AF2472" s="518"/>
      <c r="AG2472" s="518"/>
      <c r="AH2472" s="518"/>
      <c r="AJ2472" s="595"/>
    </row>
    <row r="2473" spans="1:36" hidden="1" x14ac:dyDescent="0.45">
      <c r="A2473" s="518"/>
      <c r="B2473" s="930" t="s">
        <v>182</v>
      </c>
      <c r="C2473" s="930"/>
      <c r="D2473" s="930"/>
      <c r="E2473" s="930"/>
      <c r="F2473" s="930"/>
      <c r="G2473" s="930"/>
      <c r="H2473" s="930"/>
      <c r="I2473" s="930"/>
      <c r="J2473" s="930"/>
      <c r="K2473" s="930"/>
      <c r="L2473" s="930"/>
      <c r="M2473" s="930"/>
      <c r="N2473" s="930"/>
      <c r="O2473" s="878">
        <f>SUM(O2464:Q2471)-O2472</f>
        <v>0</v>
      </c>
      <c r="P2473" s="879"/>
      <c r="Q2473" s="880"/>
      <c r="R2473" s="518"/>
      <c r="S2473" s="518"/>
      <c r="T2473" s="518"/>
      <c r="U2473" s="518"/>
      <c r="V2473" s="518"/>
      <c r="W2473" s="518"/>
      <c r="X2473" s="518"/>
      <c r="Y2473" s="518"/>
      <c r="Z2473" s="518"/>
      <c r="AA2473" s="518"/>
      <c r="AB2473" s="518"/>
      <c r="AC2473" s="518"/>
      <c r="AD2473" s="518"/>
      <c r="AE2473" s="518"/>
      <c r="AF2473" s="518"/>
      <c r="AG2473" s="518"/>
      <c r="AH2473" s="518"/>
      <c r="AJ2473" s="595"/>
    </row>
    <row r="2474" spans="1:36" hidden="1" x14ac:dyDescent="0.45">
      <c r="A2474" s="518"/>
      <c r="B2474" s="517"/>
      <c r="C2474" s="517"/>
      <c r="D2474" s="517"/>
      <c r="E2474" s="517"/>
      <c r="F2474" s="517"/>
      <c r="G2474" s="517"/>
      <c r="H2474" s="517"/>
      <c r="I2474" s="517"/>
      <c r="J2474" s="517"/>
      <c r="K2474" s="517"/>
      <c r="L2474" s="517"/>
      <c r="M2474" s="517"/>
      <c r="N2474" s="517"/>
      <c r="O2474" s="532"/>
      <c r="P2474" s="532"/>
      <c r="Q2474" s="532"/>
      <c r="R2474" s="518"/>
      <c r="S2474" s="533"/>
      <c r="T2474" s="533"/>
      <c r="U2474" s="533"/>
      <c r="V2474" s="533"/>
      <c r="W2474" s="533"/>
      <c r="X2474" s="533"/>
      <c r="Y2474" s="533"/>
      <c r="Z2474" s="533"/>
      <c r="AA2474" s="533"/>
      <c r="AB2474" s="533"/>
      <c r="AC2474" s="533"/>
      <c r="AD2474" s="533"/>
      <c r="AE2474" s="533"/>
      <c r="AF2474" s="533"/>
      <c r="AG2474" s="533"/>
      <c r="AH2474" s="518"/>
      <c r="AJ2474" s="595"/>
    </row>
    <row r="2475" spans="1:36" ht="200.15" hidden="1" customHeight="1" x14ac:dyDescent="0.45">
      <c r="A2475" s="518"/>
      <c r="B2475" s="926" t="s">
        <v>183</v>
      </c>
      <c r="C2475" s="926"/>
      <c r="D2475" s="926"/>
      <c r="E2475" s="926"/>
      <c r="F2475" s="926"/>
      <c r="G2475" s="926"/>
      <c r="H2475" s="926"/>
      <c r="I2475" s="926"/>
      <c r="J2475" s="926"/>
      <c r="K2475" s="926"/>
      <c r="L2475" s="926"/>
      <c r="M2475" s="926"/>
      <c r="N2475" s="926"/>
      <c r="O2475" s="926"/>
      <c r="P2475" s="926"/>
      <c r="Q2475" s="926"/>
      <c r="R2475" s="926"/>
      <c r="S2475" s="926"/>
      <c r="T2475" s="926"/>
      <c r="U2475" s="926"/>
      <c r="V2475" s="926"/>
      <c r="W2475" s="926"/>
      <c r="X2475" s="926"/>
      <c r="Y2475" s="926"/>
      <c r="Z2475" s="926"/>
      <c r="AA2475" s="926"/>
      <c r="AB2475" s="926"/>
      <c r="AC2475" s="926"/>
      <c r="AD2475" s="926"/>
      <c r="AE2475" s="926"/>
      <c r="AF2475" s="926"/>
      <c r="AG2475" s="926"/>
      <c r="AH2475" s="518"/>
      <c r="AJ2475" s="595"/>
    </row>
    <row r="2476" spans="1:36" hidden="1" x14ac:dyDescent="0.45">
      <c r="A2476" s="518"/>
      <c r="B2476" s="518"/>
      <c r="C2476" s="518"/>
      <c r="D2476" s="518"/>
      <c r="E2476" s="518"/>
      <c r="F2476" s="518"/>
      <c r="G2476" s="518"/>
      <c r="H2476" s="518"/>
      <c r="I2476" s="518"/>
      <c r="J2476" s="518"/>
      <c r="K2476" s="518"/>
      <c r="L2476" s="518"/>
      <c r="M2476" s="518"/>
      <c r="N2476" s="518"/>
      <c r="O2476" s="518"/>
      <c r="P2476" s="518"/>
      <c r="Q2476" s="518"/>
      <c r="R2476" s="518"/>
      <c r="S2476" s="518"/>
      <c r="T2476" s="518"/>
      <c r="U2476" s="518"/>
      <c r="V2476" s="518"/>
      <c r="W2476" s="518"/>
      <c r="X2476" s="518"/>
      <c r="Y2476" s="518"/>
      <c r="Z2476" s="518"/>
      <c r="AA2476" s="518"/>
      <c r="AB2476" s="518"/>
      <c r="AC2476" s="518"/>
      <c r="AD2476" s="518"/>
      <c r="AE2476" s="518"/>
      <c r="AF2476" s="518"/>
      <c r="AG2476" s="518"/>
      <c r="AH2476" s="518"/>
      <c r="AJ2476" s="595"/>
    </row>
    <row r="2477" spans="1:36" hidden="1" x14ac:dyDescent="0.45">
      <c r="A2477" s="518"/>
      <c r="B2477" s="518"/>
      <c r="C2477" s="518"/>
      <c r="D2477" s="518"/>
      <c r="E2477" s="518"/>
      <c r="F2477" s="518"/>
      <c r="G2477" s="518"/>
      <c r="H2477" s="518"/>
      <c r="I2477" s="518"/>
      <c r="J2477" s="518"/>
      <c r="K2477" s="518"/>
      <c r="L2477" s="518"/>
      <c r="M2477" s="518"/>
      <c r="N2477" s="518"/>
      <c r="O2477" s="518"/>
      <c r="P2477" s="518"/>
      <c r="Q2477" s="518"/>
      <c r="R2477" s="518"/>
      <c r="S2477" s="518"/>
      <c r="T2477" s="518"/>
      <c r="U2477" s="518"/>
      <c r="V2477" s="518"/>
      <c r="W2477" s="518"/>
      <c r="X2477" s="518"/>
      <c r="Y2477" s="518"/>
      <c r="Z2477" s="518"/>
      <c r="AA2477" s="518"/>
      <c r="AB2477" s="518"/>
      <c r="AC2477" s="518"/>
      <c r="AD2477" s="518"/>
      <c r="AE2477" s="518"/>
      <c r="AF2477" s="518"/>
      <c r="AG2477" s="518"/>
      <c r="AH2477" s="518"/>
      <c r="AJ2477" s="595" t="b">
        <f>AND(AJ$2236,S1_AMH_RuralTotalRequested&gt;0)</f>
        <v>0</v>
      </c>
    </row>
    <row r="2478" spans="1:36" hidden="1" x14ac:dyDescent="0.45">
      <c r="A2478" s="518"/>
      <c r="B2478" s="923" t="s">
        <v>1817</v>
      </c>
      <c r="C2478" s="923"/>
      <c r="D2478" s="923"/>
      <c r="E2478" s="923"/>
      <c r="F2478" s="923"/>
      <c r="G2478" s="923"/>
      <c r="H2478" s="923"/>
      <c r="I2478" s="923"/>
      <c r="J2478" s="923"/>
      <c r="K2478" s="923"/>
      <c r="L2478" s="923"/>
      <c r="M2478" s="923"/>
      <c r="N2478" s="923"/>
      <c r="O2478" s="923"/>
      <c r="P2478" s="923"/>
      <c r="Q2478" s="923"/>
      <c r="R2478" s="923"/>
      <c r="S2478" s="923"/>
      <c r="T2478" s="923"/>
      <c r="U2478" s="923"/>
      <c r="V2478" s="923"/>
      <c r="W2478" s="923"/>
      <c r="X2478" s="923"/>
      <c r="Y2478" s="923"/>
      <c r="Z2478" s="923"/>
      <c r="AA2478" s="923"/>
      <c r="AB2478" s="923"/>
      <c r="AC2478" s="923"/>
      <c r="AD2478" s="923"/>
      <c r="AE2478" s="923"/>
      <c r="AF2478" s="923"/>
      <c r="AG2478" s="923"/>
      <c r="AH2478" s="518"/>
      <c r="AJ2478" s="595"/>
    </row>
    <row r="2479" spans="1:36" hidden="1" x14ac:dyDescent="0.45">
      <c r="A2479" s="518"/>
      <c r="B2479" s="925" t="s">
        <v>1820</v>
      </c>
      <c r="C2479" s="925"/>
      <c r="D2479" s="925"/>
      <c r="E2479" s="925"/>
      <c r="F2479" s="925"/>
      <c r="G2479" s="925"/>
      <c r="H2479" s="925"/>
      <c r="I2479" s="925"/>
      <c r="J2479" s="925"/>
      <c r="K2479" s="925"/>
      <c r="L2479" s="925"/>
      <c r="M2479" s="925"/>
      <c r="N2479" s="925"/>
      <c r="O2479" s="925"/>
      <c r="P2479" s="925"/>
      <c r="Q2479" s="925"/>
      <c r="R2479" s="925"/>
      <c r="S2479" s="925"/>
      <c r="T2479" s="925"/>
      <c r="U2479" s="925"/>
      <c r="V2479" s="925"/>
      <c r="W2479" s="925"/>
      <c r="X2479" s="925"/>
      <c r="Y2479" s="925"/>
      <c r="Z2479" s="925"/>
      <c r="AA2479" s="925"/>
      <c r="AB2479" s="925"/>
      <c r="AC2479" s="925"/>
      <c r="AD2479" s="925"/>
      <c r="AE2479" s="925"/>
      <c r="AF2479" s="925"/>
      <c r="AG2479" s="925"/>
      <c r="AH2479" s="518"/>
      <c r="AJ2479" s="595"/>
    </row>
    <row r="2480" spans="1:36" hidden="1" x14ac:dyDescent="0.45">
      <c r="A2480" s="518"/>
      <c r="B2480" s="1103" t="s">
        <v>1819</v>
      </c>
      <c r="C2480" s="1103"/>
      <c r="D2480" s="1103"/>
      <c r="E2480" s="1103"/>
      <c r="F2480" s="1103"/>
      <c r="G2480" s="1103"/>
      <c r="H2480" s="1103"/>
      <c r="I2480" s="1103"/>
      <c r="J2480" s="1103"/>
      <c r="K2480" s="1103"/>
      <c r="L2480" s="1103"/>
      <c r="M2480" s="1103"/>
      <c r="N2480" s="1103"/>
      <c r="O2480" s="1103"/>
      <c r="P2480" s="1103"/>
      <c r="Q2480" s="1103"/>
      <c r="R2480" s="1103"/>
      <c r="S2480" s="1103"/>
      <c r="T2480" s="1103"/>
      <c r="U2480" s="1103"/>
      <c r="V2480" s="1103"/>
      <c r="W2480" s="1103"/>
      <c r="X2480" s="1103"/>
      <c r="Y2480" s="1103"/>
      <c r="Z2480" s="1103"/>
      <c r="AA2480" s="1103"/>
      <c r="AB2480" s="1103"/>
      <c r="AC2480" s="1103"/>
      <c r="AD2480" s="1103"/>
      <c r="AE2480" s="1103"/>
      <c r="AF2480" s="1103"/>
      <c r="AG2480" s="1103"/>
      <c r="AH2480" s="518"/>
      <c r="AJ2480" s="595"/>
    </row>
    <row r="2481" spans="1:36" hidden="1" x14ac:dyDescent="0.45">
      <c r="A2481" s="518"/>
      <c r="B2481" s="923" t="s">
        <v>1856</v>
      </c>
      <c r="C2481" s="923"/>
      <c r="D2481" s="923"/>
      <c r="E2481" s="923"/>
      <c r="F2481" s="923"/>
      <c r="G2481" s="923"/>
      <c r="H2481" s="923"/>
      <c r="I2481" s="923"/>
      <c r="J2481" s="923"/>
      <c r="K2481" s="923"/>
      <c r="L2481" s="923"/>
      <c r="M2481" s="923"/>
      <c r="N2481" s="923"/>
      <c r="O2481" s="923"/>
      <c r="P2481" s="923"/>
      <c r="Q2481" s="923"/>
      <c r="R2481" s="923"/>
      <c r="S2481" s="923"/>
      <c r="T2481" s="923"/>
      <c r="U2481" s="923"/>
      <c r="V2481" s="923"/>
      <c r="W2481" s="923"/>
      <c r="X2481" s="923"/>
      <c r="Y2481" s="923"/>
      <c r="Z2481" s="923"/>
      <c r="AA2481" s="923"/>
      <c r="AB2481" s="923"/>
      <c r="AC2481" s="923"/>
      <c r="AD2481" s="923"/>
      <c r="AE2481" s="923"/>
      <c r="AF2481" s="923"/>
      <c r="AG2481" s="923"/>
      <c r="AH2481" s="518"/>
      <c r="AJ2481" s="595"/>
    </row>
    <row r="2482" spans="1:36" hidden="1" x14ac:dyDescent="0.45">
      <c r="A2482" s="518"/>
      <c r="B2482" s="862" t="s">
        <v>108</v>
      </c>
      <c r="C2482" s="863"/>
      <c r="D2482" s="863"/>
      <c r="E2482" s="863"/>
      <c r="F2482" s="892"/>
      <c r="G2482" s="862" t="s">
        <v>1485</v>
      </c>
      <c r="H2482" s="892"/>
      <c r="I2482" s="862" t="s">
        <v>1827</v>
      </c>
      <c r="J2482" s="892"/>
      <c r="K2482" s="862" t="s">
        <v>1818</v>
      </c>
      <c r="L2482" s="892"/>
      <c r="M2482" s="1182" t="s">
        <v>91</v>
      </c>
      <c r="N2482" s="1059"/>
      <c r="O2482" s="862" t="s">
        <v>110</v>
      </c>
      <c r="P2482" s="863"/>
      <c r="Q2482" s="863"/>
      <c r="R2482" s="892"/>
      <c r="S2482" s="862" t="s">
        <v>111</v>
      </c>
      <c r="T2482" s="863"/>
      <c r="U2482" s="863"/>
      <c r="V2482" s="892"/>
      <c r="W2482" s="1182" t="s">
        <v>113</v>
      </c>
      <c r="X2482" s="1058"/>
      <c r="Y2482" s="1058"/>
      <c r="Z2482" s="1059"/>
      <c r="AA2482" s="862" t="s">
        <v>114</v>
      </c>
      <c r="AB2482" s="892"/>
      <c r="AC2482" s="518"/>
      <c r="AD2482" s="518"/>
      <c r="AE2482" s="518"/>
      <c r="AF2482" s="518"/>
      <c r="AG2482" s="529"/>
      <c r="AH2482" s="518"/>
      <c r="AJ2482" s="595"/>
    </row>
    <row r="2483" spans="1:36" hidden="1" x14ac:dyDescent="0.45">
      <c r="A2483" s="518"/>
      <c r="B2483" s="864"/>
      <c r="C2483" s="865"/>
      <c r="D2483" s="865"/>
      <c r="E2483" s="865"/>
      <c r="F2483" s="893"/>
      <c r="G2483" s="864"/>
      <c r="H2483" s="893"/>
      <c r="I2483" s="864"/>
      <c r="J2483" s="893"/>
      <c r="K2483" s="864"/>
      <c r="L2483" s="893"/>
      <c r="M2483" s="1060"/>
      <c r="N2483" s="1062"/>
      <c r="O2483" s="864"/>
      <c r="P2483" s="865"/>
      <c r="Q2483" s="865"/>
      <c r="R2483" s="893"/>
      <c r="S2483" s="864"/>
      <c r="T2483" s="865"/>
      <c r="U2483" s="865"/>
      <c r="V2483" s="893"/>
      <c r="W2483" s="1060"/>
      <c r="X2483" s="1061"/>
      <c r="Y2483" s="1061"/>
      <c r="Z2483" s="1062"/>
      <c r="AA2483" s="864"/>
      <c r="AB2483" s="893"/>
      <c r="AC2483" s="518"/>
      <c r="AD2483" s="518"/>
      <c r="AE2483" s="518"/>
      <c r="AF2483" s="518"/>
      <c r="AG2483" s="529"/>
      <c r="AH2483" s="518"/>
      <c r="AJ2483" s="595"/>
    </row>
    <row r="2484" spans="1:36" hidden="1" x14ac:dyDescent="0.45">
      <c r="A2484" s="518"/>
      <c r="B2484" s="514" t="s">
        <v>1405</v>
      </c>
      <c r="C2484" s="530"/>
      <c r="D2484" s="530"/>
      <c r="E2484" s="530"/>
      <c r="F2484" s="530"/>
      <c r="G2484" s="885" t="str">
        <f>LEFT(S1AMHData!AG3,1)</f>
        <v/>
      </c>
      <c r="H2484" s="885"/>
      <c r="I2484" s="885" t="str">
        <f>LEFT(S1AMHData!L3,1)</f>
        <v/>
      </c>
      <c r="J2484" s="885"/>
      <c r="K2484" s="885" t="str">
        <f>LEFT(S1AMHData!N3,1)</f>
        <v/>
      </c>
      <c r="L2484" s="885"/>
      <c r="M2484" s="1240">
        <f>S1AMHData!X3</f>
        <v>0</v>
      </c>
      <c r="N2484" s="885"/>
      <c r="O2484" s="940">
        <f>S1AMHData!Y3</f>
        <v>0</v>
      </c>
      <c r="P2484" s="940"/>
      <c r="Q2484" s="940"/>
      <c r="R2484" s="940"/>
      <c r="S2484" s="940">
        <f>S1AMHData!Z3</f>
        <v>0</v>
      </c>
      <c r="T2484" s="940"/>
      <c r="U2484" s="940"/>
      <c r="V2484" s="940"/>
      <c r="W2484" s="940">
        <f>SUM(O2484:V2484)</f>
        <v>0</v>
      </c>
      <c r="X2484" s="940"/>
      <c r="Y2484" s="940"/>
      <c r="Z2484" s="940"/>
      <c r="AA2484" s="871">
        <f>S1AMHData!AB3</f>
        <v>0</v>
      </c>
      <c r="AB2484" s="871"/>
      <c r="AC2484" s="518"/>
      <c r="AD2484" s="518"/>
      <c r="AE2484" s="518"/>
      <c r="AF2484" s="518"/>
      <c r="AG2484" s="529"/>
      <c r="AH2484" s="518"/>
      <c r="AJ2484" s="595" t="b">
        <f>IF(AND(AJ$2477,W2484&gt;0),TRUE,FALSE)</f>
        <v>0</v>
      </c>
    </row>
    <row r="2485" spans="1:36" hidden="1" x14ac:dyDescent="0.45">
      <c r="A2485" s="518"/>
      <c r="B2485" s="514" t="s">
        <v>1406</v>
      </c>
      <c r="C2485" s="530"/>
      <c r="D2485" s="530"/>
      <c r="E2485" s="530"/>
      <c r="F2485" s="530"/>
      <c r="G2485" s="885" t="str">
        <f>LEFT(S1AMHData!AG4,1)</f>
        <v/>
      </c>
      <c r="H2485" s="885"/>
      <c r="I2485" s="885" t="str">
        <f>LEFT(S1AMHData!L4,1)</f>
        <v/>
      </c>
      <c r="J2485" s="885"/>
      <c r="K2485" s="885" t="str">
        <f>LEFT(S1AMHData!N4,1)</f>
        <v/>
      </c>
      <c r="L2485" s="885"/>
      <c r="M2485" s="1240">
        <f>S1AMHData!X4</f>
        <v>0</v>
      </c>
      <c r="N2485" s="885"/>
      <c r="O2485" s="940">
        <f>S1AMHData!Y4</f>
        <v>0</v>
      </c>
      <c r="P2485" s="940"/>
      <c r="Q2485" s="940"/>
      <c r="R2485" s="940"/>
      <c r="S2485" s="940">
        <f>S1AMHData!Z4</f>
        <v>0</v>
      </c>
      <c r="T2485" s="940"/>
      <c r="U2485" s="940"/>
      <c r="V2485" s="940"/>
      <c r="W2485" s="940">
        <f t="shared" ref="W2485:W2541" si="46">SUM(O2485:V2485)</f>
        <v>0</v>
      </c>
      <c r="X2485" s="940"/>
      <c r="Y2485" s="940"/>
      <c r="Z2485" s="940"/>
      <c r="AA2485" s="871">
        <f>S1AMHData!AB4</f>
        <v>0</v>
      </c>
      <c r="AB2485" s="871"/>
      <c r="AC2485" s="518"/>
      <c r="AD2485" s="518"/>
      <c r="AE2485" s="518"/>
      <c r="AF2485" s="518"/>
      <c r="AG2485" s="529"/>
      <c r="AH2485" s="518"/>
      <c r="AJ2485" s="595" t="b">
        <f t="shared" ref="AJ2485:AJ2541" si="47">IF(AND(AJ$2477,W2485&gt;0),TRUE,FALSE)</f>
        <v>0</v>
      </c>
    </row>
    <row r="2486" spans="1:36" hidden="1" x14ac:dyDescent="0.45">
      <c r="A2486" s="518"/>
      <c r="B2486" s="514" t="s">
        <v>1407</v>
      </c>
      <c r="C2486" s="530"/>
      <c r="D2486" s="530"/>
      <c r="E2486" s="530"/>
      <c r="F2486" s="530"/>
      <c r="G2486" s="885" t="str">
        <f>LEFT(S1AMHData!AG5,1)</f>
        <v/>
      </c>
      <c r="H2486" s="885"/>
      <c r="I2486" s="885" t="str">
        <f>LEFT(S1AMHData!L5,1)</f>
        <v/>
      </c>
      <c r="J2486" s="885"/>
      <c r="K2486" s="885" t="str">
        <f>LEFT(S1AMHData!N5,1)</f>
        <v/>
      </c>
      <c r="L2486" s="885"/>
      <c r="M2486" s="1240">
        <f>S1AMHData!X5</f>
        <v>0</v>
      </c>
      <c r="N2486" s="885"/>
      <c r="O2486" s="940">
        <f>S1AMHData!Y5</f>
        <v>0</v>
      </c>
      <c r="P2486" s="940"/>
      <c r="Q2486" s="940"/>
      <c r="R2486" s="940"/>
      <c r="S2486" s="940">
        <f>S1AMHData!Z5</f>
        <v>0</v>
      </c>
      <c r="T2486" s="940"/>
      <c r="U2486" s="940"/>
      <c r="V2486" s="940"/>
      <c r="W2486" s="940">
        <f t="shared" si="46"/>
        <v>0</v>
      </c>
      <c r="X2486" s="940"/>
      <c r="Y2486" s="940"/>
      <c r="Z2486" s="940"/>
      <c r="AA2486" s="871">
        <f>S1AMHData!AB5</f>
        <v>0</v>
      </c>
      <c r="AB2486" s="871"/>
      <c r="AC2486" s="518"/>
      <c r="AD2486" s="518"/>
      <c r="AE2486" s="518"/>
      <c r="AF2486" s="518"/>
      <c r="AG2486" s="529"/>
      <c r="AH2486" s="518"/>
      <c r="AJ2486" s="595" t="b">
        <f t="shared" si="47"/>
        <v>0</v>
      </c>
    </row>
    <row r="2487" spans="1:36" hidden="1" x14ac:dyDescent="0.45">
      <c r="A2487" s="518"/>
      <c r="B2487" s="514" t="s">
        <v>1408</v>
      </c>
      <c r="C2487" s="530"/>
      <c r="D2487" s="530"/>
      <c r="E2487" s="530"/>
      <c r="F2487" s="530"/>
      <c r="G2487" s="885" t="str">
        <f>LEFT(S1AMHData!AG6,1)</f>
        <v/>
      </c>
      <c r="H2487" s="885"/>
      <c r="I2487" s="885" t="str">
        <f>LEFT(S1AMHData!L6,1)</f>
        <v/>
      </c>
      <c r="J2487" s="885"/>
      <c r="K2487" s="885" t="str">
        <f>LEFT(S1AMHData!N6,1)</f>
        <v/>
      </c>
      <c r="L2487" s="885"/>
      <c r="M2487" s="1240">
        <f>S1AMHData!X6</f>
        <v>0</v>
      </c>
      <c r="N2487" s="885"/>
      <c r="O2487" s="940">
        <f>S1AMHData!Y6</f>
        <v>0</v>
      </c>
      <c r="P2487" s="940"/>
      <c r="Q2487" s="940"/>
      <c r="R2487" s="940"/>
      <c r="S2487" s="940">
        <f>S1AMHData!Z6</f>
        <v>0</v>
      </c>
      <c r="T2487" s="940"/>
      <c r="U2487" s="940"/>
      <c r="V2487" s="940"/>
      <c r="W2487" s="940">
        <f t="shared" si="46"/>
        <v>0</v>
      </c>
      <c r="X2487" s="940"/>
      <c r="Y2487" s="940"/>
      <c r="Z2487" s="940"/>
      <c r="AA2487" s="871">
        <f>S1AMHData!AB6</f>
        <v>0</v>
      </c>
      <c r="AB2487" s="871"/>
      <c r="AC2487" s="518"/>
      <c r="AD2487" s="518"/>
      <c r="AE2487" s="518"/>
      <c r="AF2487" s="518"/>
      <c r="AG2487" s="529"/>
      <c r="AH2487" s="518"/>
      <c r="AJ2487" s="595" t="b">
        <f t="shared" si="47"/>
        <v>0</v>
      </c>
    </row>
    <row r="2488" spans="1:36" hidden="1" x14ac:dyDescent="0.45">
      <c r="A2488" s="518"/>
      <c r="B2488" s="514" t="s">
        <v>1409</v>
      </c>
      <c r="C2488" s="530"/>
      <c r="D2488" s="530"/>
      <c r="E2488" s="530"/>
      <c r="F2488" s="530"/>
      <c r="G2488" s="885" t="str">
        <f>LEFT(S1AMHData!AG7,1)</f>
        <v/>
      </c>
      <c r="H2488" s="885"/>
      <c r="I2488" s="885" t="str">
        <f>LEFT(S1AMHData!L7,1)</f>
        <v/>
      </c>
      <c r="J2488" s="885"/>
      <c r="K2488" s="885" t="str">
        <f>LEFT(S1AMHData!N7,1)</f>
        <v/>
      </c>
      <c r="L2488" s="885"/>
      <c r="M2488" s="1240">
        <f>S1AMHData!X7</f>
        <v>0</v>
      </c>
      <c r="N2488" s="885"/>
      <c r="O2488" s="940">
        <f>S1AMHData!Y7</f>
        <v>0</v>
      </c>
      <c r="P2488" s="940"/>
      <c r="Q2488" s="940"/>
      <c r="R2488" s="940"/>
      <c r="S2488" s="940">
        <f>S1AMHData!Z7</f>
        <v>0</v>
      </c>
      <c r="T2488" s="940"/>
      <c r="U2488" s="940"/>
      <c r="V2488" s="940"/>
      <c r="W2488" s="940">
        <f t="shared" si="46"/>
        <v>0</v>
      </c>
      <c r="X2488" s="940"/>
      <c r="Y2488" s="940"/>
      <c r="Z2488" s="940"/>
      <c r="AA2488" s="871">
        <f>S1AMHData!AB7</f>
        <v>0</v>
      </c>
      <c r="AB2488" s="871"/>
      <c r="AC2488" s="518"/>
      <c r="AD2488" s="518"/>
      <c r="AE2488" s="518"/>
      <c r="AF2488" s="518"/>
      <c r="AG2488" s="529"/>
      <c r="AH2488" s="518"/>
      <c r="AJ2488" s="595" t="b">
        <f t="shared" si="47"/>
        <v>0</v>
      </c>
    </row>
    <row r="2489" spans="1:36" hidden="1" x14ac:dyDescent="0.45">
      <c r="A2489" s="518"/>
      <c r="B2489" s="514" t="s">
        <v>1410</v>
      </c>
      <c r="C2489" s="530"/>
      <c r="D2489" s="530"/>
      <c r="E2489" s="530"/>
      <c r="F2489" s="530"/>
      <c r="G2489" s="885" t="str">
        <f>LEFT(S1AMHData!AG8,1)</f>
        <v/>
      </c>
      <c r="H2489" s="885"/>
      <c r="I2489" s="885" t="str">
        <f>LEFT(S1AMHData!L8,1)</f>
        <v/>
      </c>
      <c r="J2489" s="885"/>
      <c r="K2489" s="885" t="str">
        <f>LEFT(S1AMHData!N8,1)</f>
        <v/>
      </c>
      <c r="L2489" s="885"/>
      <c r="M2489" s="1240">
        <f>S1AMHData!X8</f>
        <v>0</v>
      </c>
      <c r="N2489" s="885"/>
      <c r="O2489" s="940">
        <f>S1AMHData!Y8</f>
        <v>0</v>
      </c>
      <c r="P2489" s="940"/>
      <c r="Q2489" s="940"/>
      <c r="R2489" s="940"/>
      <c r="S2489" s="940">
        <f>S1AMHData!Z8</f>
        <v>0</v>
      </c>
      <c r="T2489" s="940"/>
      <c r="U2489" s="940"/>
      <c r="V2489" s="940"/>
      <c r="W2489" s="940">
        <f t="shared" si="46"/>
        <v>0</v>
      </c>
      <c r="X2489" s="940"/>
      <c r="Y2489" s="940"/>
      <c r="Z2489" s="940"/>
      <c r="AA2489" s="871">
        <f>S1AMHData!AB8</f>
        <v>0</v>
      </c>
      <c r="AB2489" s="871"/>
      <c r="AC2489" s="518"/>
      <c r="AD2489" s="518"/>
      <c r="AE2489" s="518"/>
      <c r="AF2489" s="518"/>
      <c r="AG2489" s="529"/>
      <c r="AH2489" s="518"/>
      <c r="AJ2489" s="595" t="b">
        <f t="shared" si="47"/>
        <v>0</v>
      </c>
    </row>
    <row r="2490" spans="1:36" hidden="1" x14ac:dyDescent="0.45">
      <c r="A2490" s="518"/>
      <c r="B2490" s="514" t="s">
        <v>1411</v>
      </c>
      <c r="C2490" s="530"/>
      <c r="D2490" s="530"/>
      <c r="E2490" s="530"/>
      <c r="F2490" s="530"/>
      <c r="G2490" s="885" t="str">
        <f>LEFT(S1AMHData!AG9,1)</f>
        <v/>
      </c>
      <c r="H2490" s="885"/>
      <c r="I2490" s="885" t="str">
        <f>LEFT(S1AMHData!L9,1)</f>
        <v/>
      </c>
      <c r="J2490" s="885"/>
      <c r="K2490" s="885" t="str">
        <f>LEFT(S1AMHData!N9,1)</f>
        <v/>
      </c>
      <c r="L2490" s="885"/>
      <c r="M2490" s="1240">
        <f>S1AMHData!X9</f>
        <v>0</v>
      </c>
      <c r="N2490" s="885"/>
      <c r="O2490" s="940">
        <f>S1AMHData!Y9</f>
        <v>0</v>
      </c>
      <c r="P2490" s="940"/>
      <c r="Q2490" s="940"/>
      <c r="R2490" s="940"/>
      <c r="S2490" s="940">
        <f>S1AMHData!Z9</f>
        <v>0</v>
      </c>
      <c r="T2490" s="940"/>
      <c r="U2490" s="940"/>
      <c r="V2490" s="940"/>
      <c r="W2490" s="940">
        <f t="shared" si="46"/>
        <v>0</v>
      </c>
      <c r="X2490" s="940"/>
      <c r="Y2490" s="940"/>
      <c r="Z2490" s="940"/>
      <c r="AA2490" s="871">
        <f>S1AMHData!AB9</f>
        <v>0</v>
      </c>
      <c r="AB2490" s="871"/>
      <c r="AC2490" s="518"/>
      <c r="AD2490" s="518"/>
      <c r="AE2490" s="518"/>
      <c r="AF2490" s="518"/>
      <c r="AG2490" s="529"/>
      <c r="AH2490" s="518"/>
      <c r="AJ2490" s="595" t="b">
        <f t="shared" si="47"/>
        <v>0</v>
      </c>
    </row>
    <row r="2491" spans="1:36" hidden="1" x14ac:dyDescent="0.45">
      <c r="A2491" s="518"/>
      <c r="B2491" s="514" t="s">
        <v>1412</v>
      </c>
      <c r="C2491" s="530"/>
      <c r="D2491" s="530"/>
      <c r="E2491" s="530"/>
      <c r="F2491" s="530"/>
      <c r="G2491" s="885" t="str">
        <f>LEFT(S1AMHData!AG10,1)</f>
        <v/>
      </c>
      <c r="H2491" s="885"/>
      <c r="I2491" s="885" t="str">
        <f>LEFT(S1AMHData!L10,1)</f>
        <v/>
      </c>
      <c r="J2491" s="885"/>
      <c r="K2491" s="885" t="str">
        <f>LEFT(S1AMHData!N10,1)</f>
        <v/>
      </c>
      <c r="L2491" s="885"/>
      <c r="M2491" s="1240">
        <f>S1AMHData!X10</f>
        <v>0</v>
      </c>
      <c r="N2491" s="885"/>
      <c r="O2491" s="940">
        <f>S1AMHData!Y10</f>
        <v>0</v>
      </c>
      <c r="P2491" s="940"/>
      <c r="Q2491" s="940"/>
      <c r="R2491" s="940"/>
      <c r="S2491" s="940">
        <f>S1AMHData!Z10</f>
        <v>0</v>
      </c>
      <c r="T2491" s="940"/>
      <c r="U2491" s="940"/>
      <c r="V2491" s="940"/>
      <c r="W2491" s="940">
        <f t="shared" si="46"/>
        <v>0</v>
      </c>
      <c r="X2491" s="940"/>
      <c r="Y2491" s="940"/>
      <c r="Z2491" s="940"/>
      <c r="AA2491" s="871">
        <f>S1AMHData!AB10</f>
        <v>0</v>
      </c>
      <c r="AB2491" s="871"/>
      <c r="AC2491" s="518"/>
      <c r="AD2491" s="518"/>
      <c r="AE2491" s="518"/>
      <c r="AF2491" s="518"/>
      <c r="AG2491" s="529"/>
      <c r="AH2491" s="518"/>
      <c r="AJ2491" s="595" t="b">
        <f t="shared" si="47"/>
        <v>0</v>
      </c>
    </row>
    <row r="2492" spans="1:36" hidden="1" x14ac:dyDescent="0.45">
      <c r="A2492" s="518"/>
      <c r="B2492" s="514" t="s">
        <v>1413</v>
      </c>
      <c r="C2492" s="530"/>
      <c r="D2492" s="530"/>
      <c r="E2492" s="530"/>
      <c r="F2492" s="530"/>
      <c r="G2492" s="885" t="str">
        <f>LEFT(S1AMHData!AG11,1)</f>
        <v/>
      </c>
      <c r="H2492" s="885"/>
      <c r="I2492" s="885" t="str">
        <f>LEFT(S1AMHData!L11,1)</f>
        <v/>
      </c>
      <c r="J2492" s="885"/>
      <c r="K2492" s="885" t="str">
        <f>LEFT(S1AMHData!N11,1)</f>
        <v/>
      </c>
      <c r="L2492" s="885"/>
      <c r="M2492" s="1240">
        <f>S1AMHData!X11</f>
        <v>0</v>
      </c>
      <c r="N2492" s="885"/>
      <c r="O2492" s="940">
        <f>S1AMHData!Y11</f>
        <v>0</v>
      </c>
      <c r="P2492" s="940"/>
      <c r="Q2492" s="940"/>
      <c r="R2492" s="940"/>
      <c r="S2492" s="940">
        <f>S1AMHData!Z11</f>
        <v>0</v>
      </c>
      <c r="T2492" s="940"/>
      <c r="U2492" s="940"/>
      <c r="V2492" s="940"/>
      <c r="W2492" s="940">
        <f t="shared" si="46"/>
        <v>0</v>
      </c>
      <c r="X2492" s="940"/>
      <c r="Y2492" s="940"/>
      <c r="Z2492" s="940"/>
      <c r="AA2492" s="871">
        <f>S1AMHData!AB11</f>
        <v>0</v>
      </c>
      <c r="AB2492" s="871"/>
      <c r="AC2492" s="518"/>
      <c r="AD2492" s="518"/>
      <c r="AE2492" s="518"/>
      <c r="AF2492" s="518"/>
      <c r="AG2492" s="529"/>
      <c r="AH2492" s="518"/>
      <c r="AJ2492" s="595" t="b">
        <f t="shared" si="47"/>
        <v>0</v>
      </c>
    </row>
    <row r="2493" spans="1:36" hidden="1" x14ac:dyDescent="0.45">
      <c r="A2493" s="518"/>
      <c r="B2493" s="514" t="s">
        <v>1414</v>
      </c>
      <c r="C2493" s="530"/>
      <c r="D2493" s="530"/>
      <c r="E2493" s="530"/>
      <c r="F2493" s="530"/>
      <c r="G2493" s="885" t="str">
        <f>LEFT(S1AMHData!AG12,1)</f>
        <v/>
      </c>
      <c r="H2493" s="885"/>
      <c r="I2493" s="885" t="str">
        <f>LEFT(S1AMHData!L12,1)</f>
        <v/>
      </c>
      <c r="J2493" s="885"/>
      <c r="K2493" s="885" t="str">
        <f>LEFT(S1AMHData!N12,1)</f>
        <v/>
      </c>
      <c r="L2493" s="885"/>
      <c r="M2493" s="1240">
        <f>S1AMHData!X12</f>
        <v>0</v>
      </c>
      <c r="N2493" s="885"/>
      <c r="O2493" s="940">
        <f>S1AMHData!Y12</f>
        <v>0</v>
      </c>
      <c r="P2493" s="940"/>
      <c r="Q2493" s="940"/>
      <c r="R2493" s="940"/>
      <c r="S2493" s="940">
        <f>S1AMHData!Z12</f>
        <v>0</v>
      </c>
      <c r="T2493" s="940"/>
      <c r="U2493" s="940"/>
      <c r="V2493" s="940"/>
      <c r="W2493" s="940">
        <f t="shared" si="46"/>
        <v>0</v>
      </c>
      <c r="X2493" s="940"/>
      <c r="Y2493" s="940"/>
      <c r="Z2493" s="940"/>
      <c r="AA2493" s="871">
        <f>S1AMHData!AB12</f>
        <v>0</v>
      </c>
      <c r="AB2493" s="871"/>
      <c r="AC2493" s="518"/>
      <c r="AD2493" s="518"/>
      <c r="AE2493" s="518"/>
      <c r="AF2493" s="518"/>
      <c r="AG2493" s="529"/>
      <c r="AH2493" s="518"/>
      <c r="AJ2493" s="595" t="b">
        <f t="shared" si="47"/>
        <v>0</v>
      </c>
    </row>
    <row r="2494" spans="1:36" hidden="1" x14ac:dyDescent="0.45">
      <c r="A2494" s="518"/>
      <c r="B2494" s="514" t="s">
        <v>1415</v>
      </c>
      <c r="C2494" s="530"/>
      <c r="D2494" s="530"/>
      <c r="E2494" s="530"/>
      <c r="F2494" s="530"/>
      <c r="G2494" s="885" t="str">
        <f>LEFT(S1AMHData!AG13,1)</f>
        <v/>
      </c>
      <c r="H2494" s="885"/>
      <c r="I2494" s="885" t="str">
        <f>LEFT(S1AMHData!L13,1)</f>
        <v/>
      </c>
      <c r="J2494" s="885"/>
      <c r="K2494" s="885" t="str">
        <f>LEFT(S1AMHData!N13,1)</f>
        <v/>
      </c>
      <c r="L2494" s="885"/>
      <c r="M2494" s="1240">
        <f>S1AMHData!X13</f>
        <v>0</v>
      </c>
      <c r="N2494" s="885"/>
      <c r="O2494" s="940">
        <f>S1AMHData!Y13</f>
        <v>0</v>
      </c>
      <c r="P2494" s="940"/>
      <c r="Q2494" s="940"/>
      <c r="R2494" s="940"/>
      <c r="S2494" s="940">
        <f>S1AMHData!Z13</f>
        <v>0</v>
      </c>
      <c r="T2494" s="940"/>
      <c r="U2494" s="940"/>
      <c r="V2494" s="940"/>
      <c r="W2494" s="940">
        <f t="shared" si="46"/>
        <v>0</v>
      </c>
      <c r="X2494" s="940"/>
      <c r="Y2494" s="940"/>
      <c r="Z2494" s="940"/>
      <c r="AA2494" s="871">
        <f>S1AMHData!AB13</f>
        <v>0</v>
      </c>
      <c r="AB2494" s="871"/>
      <c r="AC2494" s="518"/>
      <c r="AD2494" s="518"/>
      <c r="AE2494" s="518"/>
      <c r="AF2494" s="518"/>
      <c r="AG2494" s="529"/>
      <c r="AH2494" s="518"/>
      <c r="AJ2494" s="595" t="b">
        <f t="shared" si="47"/>
        <v>0</v>
      </c>
    </row>
    <row r="2495" spans="1:36" hidden="1" x14ac:dyDescent="0.45">
      <c r="A2495" s="518"/>
      <c r="B2495" s="514" t="s">
        <v>1416</v>
      </c>
      <c r="C2495" s="530"/>
      <c r="D2495" s="530"/>
      <c r="E2495" s="530"/>
      <c r="F2495" s="530"/>
      <c r="G2495" s="885" t="str">
        <f>LEFT(S1AMHData!AG14,1)</f>
        <v/>
      </c>
      <c r="H2495" s="885"/>
      <c r="I2495" s="885" t="str">
        <f>LEFT(S1AMHData!L14,1)</f>
        <v/>
      </c>
      <c r="J2495" s="885"/>
      <c r="K2495" s="885" t="str">
        <f>LEFT(S1AMHData!N14,1)</f>
        <v/>
      </c>
      <c r="L2495" s="885"/>
      <c r="M2495" s="1240">
        <f>S1AMHData!X14</f>
        <v>0</v>
      </c>
      <c r="N2495" s="885"/>
      <c r="O2495" s="940">
        <f>S1AMHData!Y14</f>
        <v>0</v>
      </c>
      <c r="P2495" s="940"/>
      <c r="Q2495" s="940"/>
      <c r="R2495" s="940"/>
      <c r="S2495" s="940">
        <f>S1AMHData!Z14</f>
        <v>0</v>
      </c>
      <c r="T2495" s="940"/>
      <c r="U2495" s="940"/>
      <c r="V2495" s="940"/>
      <c r="W2495" s="940">
        <f t="shared" si="46"/>
        <v>0</v>
      </c>
      <c r="X2495" s="940"/>
      <c r="Y2495" s="940"/>
      <c r="Z2495" s="940"/>
      <c r="AA2495" s="871">
        <f>S1AMHData!AB14</f>
        <v>0</v>
      </c>
      <c r="AB2495" s="871"/>
      <c r="AC2495" s="518"/>
      <c r="AD2495" s="518"/>
      <c r="AE2495" s="518"/>
      <c r="AF2495" s="518"/>
      <c r="AG2495" s="529"/>
      <c r="AH2495" s="518"/>
      <c r="AJ2495" s="595" t="b">
        <f t="shared" si="47"/>
        <v>0</v>
      </c>
    </row>
    <row r="2496" spans="1:36" hidden="1" x14ac:dyDescent="0.45">
      <c r="A2496" s="518"/>
      <c r="B2496" s="514" t="s">
        <v>1417</v>
      </c>
      <c r="C2496" s="530"/>
      <c r="D2496" s="530"/>
      <c r="E2496" s="530"/>
      <c r="F2496" s="530"/>
      <c r="G2496" s="885" t="str">
        <f>LEFT(S1AMHData!AG15,1)</f>
        <v/>
      </c>
      <c r="H2496" s="885"/>
      <c r="I2496" s="885" t="str">
        <f>LEFT(S1AMHData!L15,1)</f>
        <v/>
      </c>
      <c r="J2496" s="885"/>
      <c r="K2496" s="885" t="str">
        <f>LEFT(S1AMHData!N15,1)</f>
        <v/>
      </c>
      <c r="L2496" s="885"/>
      <c r="M2496" s="1240">
        <f>S1AMHData!X15</f>
        <v>0</v>
      </c>
      <c r="N2496" s="885"/>
      <c r="O2496" s="940">
        <f>S1AMHData!Y15</f>
        <v>0</v>
      </c>
      <c r="P2496" s="940"/>
      <c r="Q2496" s="940"/>
      <c r="R2496" s="940"/>
      <c r="S2496" s="940">
        <f>S1AMHData!Z15</f>
        <v>0</v>
      </c>
      <c r="T2496" s="940"/>
      <c r="U2496" s="940"/>
      <c r="V2496" s="940"/>
      <c r="W2496" s="940">
        <f t="shared" si="46"/>
        <v>0</v>
      </c>
      <c r="X2496" s="940"/>
      <c r="Y2496" s="940"/>
      <c r="Z2496" s="940"/>
      <c r="AA2496" s="871">
        <f>S1AMHData!AB15</f>
        <v>0</v>
      </c>
      <c r="AB2496" s="871"/>
      <c r="AC2496" s="518"/>
      <c r="AD2496" s="518"/>
      <c r="AE2496" s="518"/>
      <c r="AF2496" s="518"/>
      <c r="AG2496" s="529"/>
      <c r="AH2496" s="518"/>
      <c r="AJ2496" s="595" t="b">
        <f t="shared" si="47"/>
        <v>0</v>
      </c>
    </row>
    <row r="2497" spans="1:36" hidden="1" x14ac:dyDescent="0.45">
      <c r="A2497" s="518"/>
      <c r="B2497" s="514" t="s">
        <v>1418</v>
      </c>
      <c r="C2497" s="530"/>
      <c r="D2497" s="530"/>
      <c r="E2497" s="530"/>
      <c r="F2497" s="530"/>
      <c r="G2497" s="885" t="str">
        <f>LEFT(S1AMHData!AG16,1)</f>
        <v/>
      </c>
      <c r="H2497" s="885"/>
      <c r="I2497" s="885" t="str">
        <f>LEFT(S1AMHData!L16,1)</f>
        <v/>
      </c>
      <c r="J2497" s="885"/>
      <c r="K2497" s="885" t="str">
        <f>LEFT(S1AMHData!N16,1)</f>
        <v/>
      </c>
      <c r="L2497" s="885"/>
      <c r="M2497" s="1240">
        <f>S1AMHData!X16</f>
        <v>0</v>
      </c>
      <c r="N2497" s="885"/>
      <c r="O2497" s="940">
        <f>S1AMHData!Y16</f>
        <v>0</v>
      </c>
      <c r="P2497" s="940"/>
      <c r="Q2497" s="940"/>
      <c r="R2497" s="940"/>
      <c r="S2497" s="940">
        <f>S1AMHData!Z16</f>
        <v>0</v>
      </c>
      <c r="T2497" s="940"/>
      <c r="U2497" s="940"/>
      <c r="V2497" s="940"/>
      <c r="W2497" s="940">
        <f t="shared" si="46"/>
        <v>0</v>
      </c>
      <c r="X2497" s="940"/>
      <c r="Y2497" s="940"/>
      <c r="Z2497" s="940"/>
      <c r="AA2497" s="871">
        <f>S1AMHData!AB16</f>
        <v>0</v>
      </c>
      <c r="AB2497" s="871"/>
      <c r="AC2497" s="518"/>
      <c r="AD2497" s="518"/>
      <c r="AE2497" s="518"/>
      <c r="AF2497" s="518"/>
      <c r="AG2497" s="529"/>
      <c r="AH2497" s="518"/>
      <c r="AJ2497" s="595" t="b">
        <f t="shared" si="47"/>
        <v>0</v>
      </c>
    </row>
    <row r="2498" spans="1:36" hidden="1" x14ac:dyDescent="0.45">
      <c r="A2498" s="518"/>
      <c r="B2498" s="514" t="s">
        <v>1419</v>
      </c>
      <c r="C2498" s="530"/>
      <c r="D2498" s="530"/>
      <c r="E2498" s="530"/>
      <c r="F2498" s="530"/>
      <c r="G2498" s="885" t="str">
        <f>LEFT(S1AMHData!AG17,1)</f>
        <v/>
      </c>
      <c r="H2498" s="885"/>
      <c r="I2498" s="885" t="str">
        <f>LEFT(S1AMHData!L17,1)</f>
        <v/>
      </c>
      <c r="J2498" s="885"/>
      <c r="K2498" s="885" t="str">
        <f>LEFT(S1AMHData!N17,1)</f>
        <v/>
      </c>
      <c r="L2498" s="885"/>
      <c r="M2498" s="1240">
        <f>S1AMHData!X17</f>
        <v>0</v>
      </c>
      <c r="N2498" s="885"/>
      <c r="O2498" s="940">
        <f>S1AMHData!Y17</f>
        <v>0</v>
      </c>
      <c r="P2498" s="940"/>
      <c r="Q2498" s="940"/>
      <c r="R2498" s="940"/>
      <c r="S2498" s="940">
        <f>S1AMHData!Z17</f>
        <v>0</v>
      </c>
      <c r="T2498" s="940"/>
      <c r="U2498" s="940"/>
      <c r="V2498" s="940"/>
      <c r="W2498" s="940">
        <f t="shared" si="46"/>
        <v>0</v>
      </c>
      <c r="X2498" s="940"/>
      <c r="Y2498" s="940"/>
      <c r="Z2498" s="940"/>
      <c r="AA2498" s="871">
        <f>S1AMHData!AB17</f>
        <v>0</v>
      </c>
      <c r="AB2498" s="871"/>
      <c r="AC2498" s="518"/>
      <c r="AD2498" s="518"/>
      <c r="AE2498" s="518"/>
      <c r="AF2498" s="518"/>
      <c r="AG2498" s="529"/>
      <c r="AH2498" s="518"/>
      <c r="AJ2498" s="595" t="b">
        <f t="shared" si="47"/>
        <v>0</v>
      </c>
    </row>
    <row r="2499" spans="1:36" hidden="1" x14ac:dyDescent="0.45">
      <c r="A2499" s="518"/>
      <c r="B2499" s="514" t="s">
        <v>1420</v>
      </c>
      <c r="C2499" s="530"/>
      <c r="D2499" s="530"/>
      <c r="E2499" s="530"/>
      <c r="F2499" s="530"/>
      <c r="G2499" s="885" t="str">
        <f>LEFT(S1AMHData!AG18,1)</f>
        <v/>
      </c>
      <c r="H2499" s="885"/>
      <c r="I2499" s="885" t="str">
        <f>LEFT(S1AMHData!L18,1)</f>
        <v/>
      </c>
      <c r="J2499" s="885"/>
      <c r="K2499" s="885" t="str">
        <f>LEFT(S1AMHData!N18,1)</f>
        <v/>
      </c>
      <c r="L2499" s="885"/>
      <c r="M2499" s="1240">
        <f>S1AMHData!X18</f>
        <v>0</v>
      </c>
      <c r="N2499" s="885"/>
      <c r="O2499" s="940">
        <f>S1AMHData!Y18</f>
        <v>0</v>
      </c>
      <c r="P2499" s="940"/>
      <c r="Q2499" s="940"/>
      <c r="R2499" s="940"/>
      <c r="S2499" s="940">
        <f>S1AMHData!Z18</f>
        <v>0</v>
      </c>
      <c r="T2499" s="940"/>
      <c r="U2499" s="940"/>
      <c r="V2499" s="940"/>
      <c r="W2499" s="940">
        <f t="shared" si="46"/>
        <v>0</v>
      </c>
      <c r="X2499" s="940"/>
      <c r="Y2499" s="940"/>
      <c r="Z2499" s="940"/>
      <c r="AA2499" s="871">
        <f>S1AMHData!AB18</f>
        <v>0</v>
      </c>
      <c r="AB2499" s="871"/>
      <c r="AC2499" s="518"/>
      <c r="AD2499" s="518"/>
      <c r="AE2499" s="518"/>
      <c r="AF2499" s="518"/>
      <c r="AG2499" s="529"/>
      <c r="AH2499" s="518"/>
      <c r="AJ2499" s="595" t="b">
        <f t="shared" si="47"/>
        <v>0</v>
      </c>
    </row>
    <row r="2500" spans="1:36" hidden="1" x14ac:dyDescent="0.45">
      <c r="A2500" s="518"/>
      <c r="B2500" s="514" t="s">
        <v>1421</v>
      </c>
      <c r="C2500" s="530"/>
      <c r="D2500" s="530"/>
      <c r="E2500" s="530"/>
      <c r="F2500" s="530"/>
      <c r="G2500" s="885" t="str">
        <f>LEFT(S1AMHData!AG19,1)</f>
        <v/>
      </c>
      <c r="H2500" s="885"/>
      <c r="I2500" s="885" t="str">
        <f>LEFT(S1AMHData!L19,1)</f>
        <v/>
      </c>
      <c r="J2500" s="885"/>
      <c r="K2500" s="885" t="str">
        <f>LEFT(S1AMHData!N19,1)</f>
        <v/>
      </c>
      <c r="L2500" s="885"/>
      <c r="M2500" s="1240">
        <f>S1AMHData!X19</f>
        <v>0</v>
      </c>
      <c r="N2500" s="885"/>
      <c r="O2500" s="940">
        <f>S1AMHData!Y19</f>
        <v>0</v>
      </c>
      <c r="P2500" s="940"/>
      <c r="Q2500" s="940"/>
      <c r="R2500" s="940"/>
      <c r="S2500" s="940">
        <f>S1AMHData!Z19</f>
        <v>0</v>
      </c>
      <c r="T2500" s="940"/>
      <c r="U2500" s="940"/>
      <c r="V2500" s="940"/>
      <c r="W2500" s="940">
        <f t="shared" si="46"/>
        <v>0</v>
      </c>
      <c r="X2500" s="940"/>
      <c r="Y2500" s="940"/>
      <c r="Z2500" s="940"/>
      <c r="AA2500" s="871">
        <f>S1AMHData!AB19</f>
        <v>0</v>
      </c>
      <c r="AB2500" s="871"/>
      <c r="AC2500" s="518"/>
      <c r="AD2500" s="518"/>
      <c r="AE2500" s="518"/>
      <c r="AF2500" s="518"/>
      <c r="AG2500" s="529"/>
      <c r="AH2500" s="518"/>
      <c r="AJ2500" s="595" t="b">
        <f t="shared" si="47"/>
        <v>0</v>
      </c>
    </row>
    <row r="2501" spans="1:36" hidden="1" x14ac:dyDescent="0.45">
      <c r="A2501" s="518"/>
      <c r="B2501" s="514" t="s">
        <v>1422</v>
      </c>
      <c r="C2501" s="530"/>
      <c r="D2501" s="530"/>
      <c r="E2501" s="530"/>
      <c r="F2501" s="530"/>
      <c r="G2501" s="885" t="str">
        <f>LEFT(S1AMHData!AG20,1)</f>
        <v/>
      </c>
      <c r="H2501" s="885"/>
      <c r="I2501" s="885" t="str">
        <f>LEFT(S1AMHData!L20,1)</f>
        <v/>
      </c>
      <c r="J2501" s="885"/>
      <c r="K2501" s="885" t="str">
        <f>LEFT(S1AMHData!N20,1)</f>
        <v/>
      </c>
      <c r="L2501" s="885"/>
      <c r="M2501" s="1240">
        <f>S1AMHData!X20</f>
        <v>0</v>
      </c>
      <c r="N2501" s="885"/>
      <c r="O2501" s="940">
        <f>S1AMHData!Y20</f>
        <v>0</v>
      </c>
      <c r="P2501" s="940"/>
      <c r="Q2501" s="940"/>
      <c r="R2501" s="940"/>
      <c r="S2501" s="940">
        <f>S1AMHData!Z20</f>
        <v>0</v>
      </c>
      <c r="T2501" s="940"/>
      <c r="U2501" s="940"/>
      <c r="V2501" s="940"/>
      <c r="W2501" s="940">
        <f t="shared" si="46"/>
        <v>0</v>
      </c>
      <c r="X2501" s="940"/>
      <c r="Y2501" s="940"/>
      <c r="Z2501" s="940"/>
      <c r="AA2501" s="871">
        <f>S1AMHData!AB20</f>
        <v>0</v>
      </c>
      <c r="AB2501" s="871"/>
      <c r="AC2501" s="518"/>
      <c r="AD2501" s="518"/>
      <c r="AE2501" s="518"/>
      <c r="AF2501" s="518"/>
      <c r="AG2501" s="529"/>
      <c r="AH2501" s="518"/>
      <c r="AJ2501" s="595" t="b">
        <f t="shared" si="47"/>
        <v>0</v>
      </c>
    </row>
    <row r="2502" spans="1:36" hidden="1" x14ac:dyDescent="0.45">
      <c r="A2502" s="518"/>
      <c r="B2502" s="514" t="s">
        <v>1423</v>
      </c>
      <c r="C2502" s="530"/>
      <c r="D2502" s="530"/>
      <c r="E2502" s="530"/>
      <c r="F2502" s="530"/>
      <c r="G2502" s="885" t="str">
        <f>LEFT(S1AMHData!AG21,1)</f>
        <v/>
      </c>
      <c r="H2502" s="885"/>
      <c r="I2502" s="885" t="str">
        <f>LEFT(S1AMHData!L21,1)</f>
        <v/>
      </c>
      <c r="J2502" s="885"/>
      <c r="K2502" s="885" t="str">
        <f>LEFT(S1AMHData!N21,1)</f>
        <v/>
      </c>
      <c r="L2502" s="885"/>
      <c r="M2502" s="1240">
        <f>S1AMHData!X21</f>
        <v>0</v>
      </c>
      <c r="N2502" s="885"/>
      <c r="O2502" s="940">
        <f>S1AMHData!Y21</f>
        <v>0</v>
      </c>
      <c r="P2502" s="940"/>
      <c r="Q2502" s="940"/>
      <c r="R2502" s="940"/>
      <c r="S2502" s="940">
        <f>S1AMHData!Z21</f>
        <v>0</v>
      </c>
      <c r="T2502" s="940"/>
      <c r="U2502" s="940"/>
      <c r="V2502" s="940"/>
      <c r="W2502" s="940">
        <f t="shared" si="46"/>
        <v>0</v>
      </c>
      <c r="X2502" s="940"/>
      <c r="Y2502" s="940"/>
      <c r="Z2502" s="940"/>
      <c r="AA2502" s="871">
        <f>S1AMHData!AB21</f>
        <v>0</v>
      </c>
      <c r="AB2502" s="871"/>
      <c r="AC2502" s="518"/>
      <c r="AD2502" s="518"/>
      <c r="AE2502" s="518"/>
      <c r="AF2502" s="518"/>
      <c r="AG2502" s="529"/>
      <c r="AH2502" s="518"/>
      <c r="AJ2502" s="595" t="b">
        <f t="shared" si="47"/>
        <v>0</v>
      </c>
    </row>
    <row r="2503" spans="1:36" hidden="1" x14ac:dyDescent="0.45">
      <c r="A2503" s="518"/>
      <c r="B2503" s="514" t="s">
        <v>1424</v>
      </c>
      <c r="C2503" s="530"/>
      <c r="D2503" s="530"/>
      <c r="E2503" s="530"/>
      <c r="F2503" s="530"/>
      <c r="G2503" s="885" t="str">
        <f>LEFT(S1AMHData!AG22,1)</f>
        <v/>
      </c>
      <c r="H2503" s="885"/>
      <c r="I2503" s="885" t="str">
        <f>LEFT(S1AMHData!L22,1)</f>
        <v/>
      </c>
      <c r="J2503" s="885"/>
      <c r="K2503" s="885" t="str">
        <f>LEFT(S1AMHData!N22,1)</f>
        <v/>
      </c>
      <c r="L2503" s="885"/>
      <c r="M2503" s="1240">
        <f>S1AMHData!X22</f>
        <v>0</v>
      </c>
      <c r="N2503" s="885"/>
      <c r="O2503" s="940">
        <f>S1AMHData!Y22</f>
        <v>0</v>
      </c>
      <c r="P2503" s="940"/>
      <c r="Q2503" s="940"/>
      <c r="R2503" s="940"/>
      <c r="S2503" s="940">
        <f>S1AMHData!Z22</f>
        <v>0</v>
      </c>
      <c r="T2503" s="940"/>
      <c r="U2503" s="940"/>
      <c r="V2503" s="940"/>
      <c r="W2503" s="940">
        <f t="shared" si="46"/>
        <v>0</v>
      </c>
      <c r="X2503" s="940"/>
      <c r="Y2503" s="940"/>
      <c r="Z2503" s="940"/>
      <c r="AA2503" s="871">
        <f>S1AMHData!AB22</f>
        <v>0</v>
      </c>
      <c r="AB2503" s="871"/>
      <c r="AC2503" s="518"/>
      <c r="AD2503" s="518"/>
      <c r="AE2503" s="518"/>
      <c r="AF2503" s="518"/>
      <c r="AG2503" s="529"/>
      <c r="AH2503" s="518"/>
      <c r="AJ2503" s="595" t="b">
        <f t="shared" si="47"/>
        <v>0</v>
      </c>
    </row>
    <row r="2504" spans="1:36" hidden="1" x14ac:dyDescent="0.45">
      <c r="A2504" s="518"/>
      <c r="B2504" s="514" t="s">
        <v>1425</v>
      </c>
      <c r="C2504" s="530"/>
      <c r="D2504" s="530"/>
      <c r="E2504" s="530"/>
      <c r="F2504" s="530"/>
      <c r="G2504" s="885" t="str">
        <f>LEFT(S1AMHData!AG23,1)</f>
        <v/>
      </c>
      <c r="H2504" s="885"/>
      <c r="I2504" s="885" t="str">
        <f>LEFT(S1AMHData!L23,1)</f>
        <v/>
      </c>
      <c r="J2504" s="885"/>
      <c r="K2504" s="885" t="str">
        <f>LEFT(S1AMHData!N23,1)</f>
        <v/>
      </c>
      <c r="L2504" s="885"/>
      <c r="M2504" s="1240">
        <f>S1AMHData!X23</f>
        <v>0</v>
      </c>
      <c r="N2504" s="885"/>
      <c r="O2504" s="940">
        <f>S1AMHData!Y23</f>
        <v>0</v>
      </c>
      <c r="P2504" s="940"/>
      <c r="Q2504" s="940"/>
      <c r="R2504" s="940"/>
      <c r="S2504" s="940">
        <f>S1AMHData!Z23</f>
        <v>0</v>
      </c>
      <c r="T2504" s="940"/>
      <c r="U2504" s="940"/>
      <c r="V2504" s="940"/>
      <c r="W2504" s="940">
        <f t="shared" si="46"/>
        <v>0</v>
      </c>
      <c r="X2504" s="940"/>
      <c r="Y2504" s="940"/>
      <c r="Z2504" s="940"/>
      <c r="AA2504" s="871">
        <f>S1AMHData!AB23</f>
        <v>0</v>
      </c>
      <c r="AB2504" s="871"/>
      <c r="AC2504" s="518"/>
      <c r="AD2504" s="518"/>
      <c r="AE2504" s="518"/>
      <c r="AF2504" s="518"/>
      <c r="AG2504" s="529"/>
      <c r="AH2504" s="518"/>
      <c r="AJ2504" s="595" t="b">
        <f t="shared" si="47"/>
        <v>0</v>
      </c>
    </row>
    <row r="2505" spans="1:36" hidden="1" x14ac:dyDescent="0.45">
      <c r="A2505" s="518"/>
      <c r="B2505" s="514" t="s">
        <v>1426</v>
      </c>
      <c r="C2505" s="530"/>
      <c r="D2505" s="530"/>
      <c r="E2505" s="530"/>
      <c r="F2505" s="530"/>
      <c r="G2505" s="885" t="str">
        <f>LEFT(S1AMHData!AG24,1)</f>
        <v/>
      </c>
      <c r="H2505" s="885"/>
      <c r="I2505" s="885" t="str">
        <f>LEFT(S1AMHData!L24,1)</f>
        <v/>
      </c>
      <c r="J2505" s="885"/>
      <c r="K2505" s="885" t="str">
        <f>LEFT(S1AMHData!N24,1)</f>
        <v/>
      </c>
      <c r="L2505" s="885"/>
      <c r="M2505" s="1240">
        <f>S1AMHData!X24</f>
        <v>0</v>
      </c>
      <c r="N2505" s="885"/>
      <c r="O2505" s="940">
        <f>S1AMHData!Y24</f>
        <v>0</v>
      </c>
      <c r="P2505" s="940"/>
      <c r="Q2505" s="940"/>
      <c r="R2505" s="940"/>
      <c r="S2505" s="940">
        <f>S1AMHData!Z24</f>
        <v>0</v>
      </c>
      <c r="T2505" s="940"/>
      <c r="U2505" s="940"/>
      <c r="V2505" s="940"/>
      <c r="W2505" s="940">
        <f t="shared" si="46"/>
        <v>0</v>
      </c>
      <c r="X2505" s="940"/>
      <c r="Y2505" s="940"/>
      <c r="Z2505" s="940"/>
      <c r="AA2505" s="871">
        <f>S1AMHData!AB24</f>
        <v>0</v>
      </c>
      <c r="AB2505" s="871"/>
      <c r="AC2505" s="518"/>
      <c r="AD2505" s="518"/>
      <c r="AE2505" s="518"/>
      <c r="AF2505" s="518"/>
      <c r="AG2505" s="529"/>
      <c r="AH2505" s="518"/>
      <c r="AJ2505" s="595" t="b">
        <f t="shared" si="47"/>
        <v>0</v>
      </c>
    </row>
    <row r="2506" spans="1:36" hidden="1" x14ac:dyDescent="0.45">
      <c r="A2506" s="518"/>
      <c r="B2506" s="514" t="s">
        <v>1427</v>
      </c>
      <c r="C2506" s="530"/>
      <c r="D2506" s="530"/>
      <c r="E2506" s="530"/>
      <c r="F2506" s="530"/>
      <c r="G2506" s="885" t="str">
        <f>LEFT(S1AMHData!AG25,1)</f>
        <v/>
      </c>
      <c r="H2506" s="885"/>
      <c r="I2506" s="885" t="str">
        <f>LEFT(S1AMHData!L25,1)</f>
        <v/>
      </c>
      <c r="J2506" s="885"/>
      <c r="K2506" s="885" t="str">
        <f>LEFT(S1AMHData!N25,1)</f>
        <v/>
      </c>
      <c r="L2506" s="885"/>
      <c r="M2506" s="1240">
        <f>S1AMHData!X25</f>
        <v>0</v>
      </c>
      <c r="N2506" s="885"/>
      <c r="O2506" s="940">
        <f>S1AMHData!Y25</f>
        <v>0</v>
      </c>
      <c r="P2506" s="940"/>
      <c r="Q2506" s="940"/>
      <c r="R2506" s="940"/>
      <c r="S2506" s="940">
        <f>S1AMHData!Z25</f>
        <v>0</v>
      </c>
      <c r="T2506" s="940"/>
      <c r="U2506" s="940"/>
      <c r="V2506" s="940"/>
      <c r="W2506" s="940">
        <f t="shared" si="46"/>
        <v>0</v>
      </c>
      <c r="X2506" s="940"/>
      <c r="Y2506" s="940"/>
      <c r="Z2506" s="940"/>
      <c r="AA2506" s="871">
        <f>S1AMHData!AB25</f>
        <v>0</v>
      </c>
      <c r="AB2506" s="871"/>
      <c r="AC2506" s="518"/>
      <c r="AD2506" s="518"/>
      <c r="AE2506" s="518"/>
      <c r="AF2506" s="518"/>
      <c r="AG2506" s="529"/>
      <c r="AH2506" s="518"/>
      <c r="AJ2506" s="595" t="b">
        <f t="shared" si="47"/>
        <v>0</v>
      </c>
    </row>
    <row r="2507" spans="1:36" hidden="1" x14ac:dyDescent="0.45">
      <c r="A2507" s="518"/>
      <c r="B2507" s="514" t="s">
        <v>1428</v>
      </c>
      <c r="C2507" s="530"/>
      <c r="D2507" s="530"/>
      <c r="E2507" s="530"/>
      <c r="F2507" s="530"/>
      <c r="G2507" s="885" t="str">
        <f>LEFT(S1AMHData!AG26,1)</f>
        <v/>
      </c>
      <c r="H2507" s="885"/>
      <c r="I2507" s="885" t="str">
        <f>LEFT(S1AMHData!L26,1)</f>
        <v/>
      </c>
      <c r="J2507" s="885"/>
      <c r="K2507" s="885" t="str">
        <f>LEFT(S1AMHData!N26,1)</f>
        <v/>
      </c>
      <c r="L2507" s="885"/>
      <c r="M2507" s="1240">
        <f>S1AMHData!X26</f>
        <v>0</v>
      </c>
      <c r="N2507" s="885"/>
      <c r="O2507" s="940">
        <f>S1AMHData!Y26</f>
        <v>0</v>
      </c>
      <c r="P2507" s="940"/>
      <c r="Q2507" s="940"/>
      <c r="R2507" s="940"/>
      <c r="S2507" s="940">
        <f>S1AMHData!Z26</f>
        <v>0</v>
      </c>
      <c r="T2507" s="940"/>
      <c r="U2507" s="940"/>
      <c r="V2507" s="940"/>
      <c r="W2507" s="940">
        <f t="shared" si="46"/>
        <v>0</v>
      </c>
      <c r="X2507" s="940"/>
      <c r="Y2507" s="940"/>
      <c r="Z2507" s="940"/>
      <c r="AA2507" s="871">
        <f>S1AMHData!AB26</f>
        <v>0</v>
      </c>
      <c r="AB2507" s="871"/>
      <c r="AC2507" s="518"/>
      <c r="AD2507" s="518"/>
      <c r="AE2507" s="518"/>
      <c r="AF2507" s="518"/>
      <c r="AG2507" s="529"/>
      <c r="AH2507" s="518"/>
      <c r="AJ2507" s="595" t="b">
        <f t="shared" si="47"/>
        <v>0</v>
      </c>
    </row>
    <row r="2508" spans="1:36" hidden="1" x14ac:dyDescent="0.45">
      <c r="A2508" s="518"/>
      <c r="B2508" s="514" t="s">
        <v>1429</v>
      </c>
      <c r="C2508" s="530"/>
      <c r="D2508" s="530"/>
      <c r="E2508" s="530"/>
      <c r="F2508" s="530"/>
      <c r="G2508" s="885" t="str">
        <f>LEFT(S1AMHData!AG27,1)</f>
        <v/>
      </c>
      <c r="H2508" s="885"/>
      <c r="I2508" s="885" t="str">
        <f>LEFT(S1AMHData!L27,1)</f>
        <v/>
      </c>
      <c r="J2508" s="885"/>
      <c r="K2508" s="885" t="str">
        <f>LEFT(S1AMHData!N27,1)</f>
        <v/>
      </c>
      <c r="L2508" s="885"/>
      <c r="M2508" s="1240">
        <f>S1AMHData!X27</f>
        <v>0</v>
      </c>
      <c r="N2508" s="885"/>
      <c r="O2508" s="940">
        <f>S1AMHData!Y27</f>
        <v>0</v>
      </c>
      <c r="P2508" s="940"/>
      <c r="Q2508" s="940"/>
      <c r="R2508" s="940"/>
      <c r="S2508" s="940">
        <f>S1AMHData!Z27</f>
        <v>0</v>
      </c>
      <c r="T2508" s="940"/>
      <c r="U2508" s="940"/>
      <c r="V2508" s="940"/>
      <c r="W2508" s="940">
        <f t="shared" si="46"/>
        <v>0</v>
      </c>
      <c r="X2508" s="940"/>
      <c r="Y2508" s="940"/>
      <c r="Z2508" s="940"/>
      <c r="AA2508" s="871">
        <f>S1AMHData!AB27</f>
        <v>0</v>
      </c>
      <c r="AB2508" s="871"/>
      <c r="AC2508" s="518"/>
      <c r="AD2508" s="518"/>
      <c r="AE2508" s="518"/>
      <c r="AF2508" s="518"/>
      <c r="AG2508" s="529"/>
      <c r="AH2508" s="518"/>
      <c r="AJ2508" s="595" t="b">
        <f t="shared" si="47"/>
        <v>0</v>
      </c>
    </row>
    <row r="2509" spans="1:36" hidden="1" x14ac:dyDescent="0.45">
      <c r="A2509" s="518"/>
      <c r="B2509" s="514" t="s">
        <v>1430</v>
      </c>
      <c r="C2509" s="530"/>
      <c r="D2509" s="530"/>
      <c r="E2509" s="530"/>
      <c r="F2509" s="530"/>
      <c r="G2509" s="885" t="str">
        <f>LEFT(S1AMHData!AG28,1)</f>
        <v/>
      </c>
      <c r="H2509" s="885"/>
      <c r="I2509" s="885" t="str">
        <f>LEFT(S1AMHData!L28,1)</f>
        <v/>
      </c>
      <c r="J2509" s="885"/>
      <c r="K2509" s="885" t="str">
        <f>LEFT(S1AMHData!N28,1)</f>
        <v/>
      </c>
      <c r="L2509" s="885"/>
      <c r="M2509" s="1240">
        <f>S1AMHData!X28</f>
        <v>0</v>
      </c>
      <c r="N2509" s="885"/>
      <c r="O2509" s="940">
        <f>S1AMHData!Y28</f>
        <v>0</v>
      </c>
      <c r="P2509" s="940"/>
      <c r="Q2509" s="940"/>
      <c r="R2509" s="940"/>
      <c r="S2509" s="940">
        <f>S1AMHData!Z28</f>
        <v>0</v>
      </c>
      <c r="T2509" s="940"/>
      <c r="U2509" s="940"/>
      <c r="V2509" s="940"/>
      <c r="W2509" s="940">
        <f t="shared" si="46"/>
        <v>0</v>
      </c>
      <c r="X2509" s="940"/>
      <c r="Y2509" s="940"/>
      <c r="Z2509" s="940"/>
      <c r="AA2509" s="871">
        <f>S1AMHData!AB28</f>
        <v>0</v>
      </c>
      <c r="AB2509" s="871"/>
      <c r="AC2509" s="518"/>
      <c r="AD2509" s="518"/>
      <c r="AE2509" s="518"/>
      <c r="AF2509" s="518"/>
      <c r="AG2509" s="529"/>
      <c r="AH2509" s="518"/>
      <c r="AJ2509" s="595" t="b">
        <f t="shared" si="47"/>
        <v>0</v>
      </c>
    </row>
    <row r="2510" spans="1:36" hidden="1" x14ac:dyDescent="0.45">
      <c r="A2510" s="518"/>
      <c r="B2510" s="514" t="s">
        <v>1431</v>
      </c>
      <c r="C2510" s="530"/>
      <c r="D2510" s="530"/>
      <c r="E2510" s="530"/>
      <c r="F2510" s="530"/>
      <c r="G2510" s="885" t="str">
        <f>LEFT(S1AMHData!AG29,1)</f>
        <v/>
      </c>
      <c r="H2510" s="885"/>
      <c r="I2510" s="885" t="str">
        <f>LEFT(S1AMHData!L29,1)</f>
        <v/>
      </c>
      <c r="J2510" s="885"/>
      <c r="K2510" s="885" t="str">
        <f>LEFT(S1AMHData!N29,1)</f>
        <v/>
      </c>
      <c r="L2510" s="885"/>
      <c r="M2510" s="1240">
        <f>S1AMHData!X29</f>
        <v>0</v>
      </c>
      <c r="N2510" s="885"/>
      <c r="O2510" s="940">
        <f>S1AMHData!Y29</f>
        <v>0</v>
      </c>
      <c r="P2510" s="940"/>
      <c r="Q2510" s="940"/>
      <c r="R2510" s="940"/>
      <c r="S2510" s="940">
        <f>S1AMHData!Z29</f>
        <v>0</v>
      </c>
      <c r="T2510" s="940"/>
      <c r="U2510" s="940"/>
      <c r="V2510" s="940"/>
      <c r="W2510" s="940">
        <f t="shared" si="46"/>
        <v>0</v>
      </c>
      <c r="X2510" s="940"/>
      <c r="Y2510" s="940"/>
      <c r="Z2510" s="940"/>
      <c r="AA2510" s="871">
        <f>S1AMHData!AB29</f>
        <v>0</v>
      </c>
      <c r="AB2510" s="871"/>
      <c r="AC2510" s="518"/>
      <c r="AD2510" s="518"/>
      <c r="AE2510" s="518"/>
      <c r="AF2510" s="518"/>
      <c r="AG2510" s="529"/>
      <c r="AH2510" s="518"/>
      <c r="AJ2510" s="595" t="b">
        <f t="shared" si="47"/>
        <v>0</v>
      </c>
    </row>
    <row r="2511" spans="1:36" hidden="1" x14ac:dyDescent="0.45">
      <c r="A2511" s="518"/>
      <c r="B2511" s="514" t="s">
        <v>1432</v>
      </c>
      <c r="C2511" s="530"/>
      <c r="D2511" s="530"/>
      <c r="E2511" s="530"/>
      <c r="F2511" s="530"/>
      <c r="G2511" s="885" t="str">
        <f>LEFT(S1AMHData!AG30,1)</f>
        <v/>
      </c>
      <c r="H2511" s="885"/>
      <c r="I2511" s="885" t="str">
        <f>LEFT(S1AMHData!L30,1)</f>
        <v/>
      </c>
      <c r="J2511" s="885"/>
      <c r="K2511" s="885" t="str">
        <f>LEFT(S1AMHData!N30,1)</f>
        <v/>
      </c>
      <c r="L2511" s="885"/>
      <c r="M2511" s="1240">
        <f>S1AMHData!X30</f>
        <v>0</v>
      </c>
      <c r="N2511" s="885"/>
      <c r="O2511" s="940">
        <f>S1AMHData!Y30</f>
        <v>0</v>
      </c>
      <c r="P2511" s="940"/>
      <c r="Q2511" s="940"/>
      <c r="R2511" s="940"/>
      <c r="S2511" s="940">
        <f>S1AMHData!Z30</f>
        <v>0</v>
      </c>
      <c r="T2511" s="940"/>
      <c r="U2511" s="940"/>
      <c r="V2511" s="940"/>
      <c r="W2511" s="940">
        <f t="shared" si="46"/>
        <v>0</v>
      </c>
      <c r="X2511" s="940"/>
      <c r="Y2511" s="940"/>
      <c r="Z2511" s="940"/>
      <c r="AA2511" s="871">
        <f>S1AMHData!AB30</f>
        <v>0</v>
      </c>
      <c r="AB2511" s="871"/>
      <c r="AC2511" s="518"/>
      <c r="AD2511" s="518"/>
      <c r="AE2511" s="518"/>
      <c r="AF2511" s="518"/>
      <c r="AG2511" s="529"/>
      <c r="AH2511" s="518"/>
      <c r="AJ2511" s="595" t="b">
        <f t="shared" si="47"/>
        <v>0</v>
      </c>
    </row>
    <row r="2512" spans="1:36" hidden="1" x14ac:dyDescent="0.45">
      <c r="A2512" s="518"/>
      <c r="B2512" s="514" t="s">
        <v>1433</v>
      </c>
      <c r="C2512" s="530"/>
      <c r="D2512" s="530"/>
      <c r="E2512" s="530"/>
      <c r="F2512" s="530"/>
      <c r="G2512" s="885" t="str">
        <f>LEFT(S1AMHData!AG31,1)</f>
        <v/>
      </c>
      <c r="H2512" s="885"/>
      <c r="I2512" s="885" t="str">
        <f>LEFT(S1AMHData!L31,1)</f>
        <v/>
      </c>
      <c r="J2512" s="885"/>
      <c r="K2512" s="885" t="str">
        <f>LEFT(S1AMHData!N31,1)</f>
        <v/>
      </c>
      <c r="L2512" s="885"/>
      <c r="M2512" s="1240">
        <f>S1AMHData!X31</f>
        <v>0</v>
      </c>
      <c r="N2512" s="885"/>
      <c r="O2512" s="940">
        <f>S1AMHData!Y31</f>
        <v>0</v>
      </c>
      <c r="P2512" s="940"/>
      <c r="Q2512" s="940"/>
      <c r="R2512" s="940"/>
      <c r="S2512" s="940">
        <f>S1AMHData!Z31</f>
        <v>0</v>
      </c>
      <c r="T2512" s="940"/>
      <c r="U2512" s="940"/>
      <c r="V2512" s="940"/>
      <c r="W2512" s="940">
        <f t="shared" si="46"/>
        <v>0</v>
      </c>
      <c r="X2512" s="940"/>
      <c r="Y2512" s="940"/>
      <c r="Z2512" s="940"/>
      <c r="AA2512" s="871">
        <f>S1AMHData!AB31</f>
        <v>0</v>
      </c>
      <c r="AB2512" s="871"/>
      <c r="AC2512" s="518"/>
      <c r="AD2512" s="518"/>
      <c r="AE2512" s="518"/>
      <c r="AF2512" s="518"/>
      <c r="AG2512" s="529"/>
      <c r="AH2512" s="518"/>
      <c r="AJ2512" s="595" t="b">
        <f t="shared" si="47"/>
        <v>0</v>
      </c>
    </row>
    <row r="2513" spans="1:36" hidden="1" x14ac:dyDescent="0.45">
      <c r="A2513" s="518"/>
      <c r="B2513" s="514" t="s">
        <v>1434</v>
      </c>
      <c r="C2513" s="530"/>
      <c r="D2513" s="530"/>
      <c r="E2513" s="530"/>
      <c r="F2513" s="530"/>
      <c r="G2513" s="885" t="str">
        <f>LEFT(S1AMHData!AG32,1)</f>
        <v/>
      </c>
      <c r="H2513" s="885"/>
      <c r="I2513" s="885" t="str">
        <f>LEFT(S1AMHData!L32,1)</f>
        <v/>
      </c>
      <c r="J2513" s="885"/>
      <c r="K2513" s="885" t="str">
        <f>LEFT(S1AMHData!N32,1)</f>
        <v/>
      </c>
      <c r="L2513" s="885"/>
      <c r="M2513" s="1240">
        <f>S1AMHData!X32</f>
        <v>0</v>
      </c>
      <c r="N2513" s="885"/>
      <c r="O2513" s="940">
        <f>S1AMHData!Y32</f>
        <v>0</v>
      </c>
      <c r="P2513" s="940"/>
      <c r="Q2513" s="940"/>
      <c r="R2513" s="940"/>
      <c r="S2513" s="940">
        <f>S1AMHData!Z32</f>
        <v>0</v>
      </c>
      <c r="T2513" s="940"/>
      <c r="U2513" s="940"/>
      <c r="V2513" s="940"/>
      <c r="W2513" s="940">
        <f t="shared" si="46"/>
        <v>0</v>
      </c>
      <c r="X2513" s="940"/>
      <c r="Y2513" s="940"/>
      <c r="Z2513" s="940"/>
      <c r="AA2513" s="871">
        <f>S1AMHData!AB32</f>
        <v>0</v>
      </c>
      <c r="AB2513" s="871"/>
      <c r="AC2513" s="518"/>
      <c r="AD2513" s="518"/>
      <c r="AE2513" s="518"/>
      <c r="AF2513" s="518"/>
      <c r="AG2513" s="529"/>
      <c r="AH2513" s="518"/>
      <c r="AJ2513" s="595" t="b">
        <f t="shared" si="47"/>
        <v>0</v>
      </c>
    </row>
    <row r="2514" spans="1:36" hidden="1" x14ac:dyDescent="0.45">
      <c r="A2514" s="518"/>
      <c r="B2514" s="514" t="s">
        <v>1435</v>
      </c>
      <c r="C2514" s="530"/>
      <c r="D2514" s="530"/>
      <c r="E2514" s="530"/>
      <c r="F2514" s="530"/>
      <c r="G2514" s="885" t="str">
        <f>LEFT(S1AMHData!AG33,1)</f>
        <v/>
      </c>
      <c r="H2514" s="885"/>
      <c r="I2514" s="885" t="str">
        <f>LEFT(S1AMHData!L33,1)</f>
        <v/>
      </c>
      <c r="J2514" s="885"/>
      <c r="K2514" s="885" t="str">
        <f>LEFT(S1AMHData!N33,1)</f>
        <v/>
      </c>
      <c r="L2514" s="885"/>
      <c r="M2514" s="1240">
        <f>S1AMHData!X33</f>
        <v>0</v>
      </c>
      <c r="N2514" s="885"/>
      <c r="O2514" s="940">
        <f>S1AMHData!Y33</f>
        <v>0</v>
      </c>
      <c r="P2514" s="940"/>
      <c r="Q2514" s="940"/>
      <c r="R2514" s="940"/>
      <c r="S2514" s="940">
        <f>S1AMHData!Z33</f>
        <v>0</v>
      </c>
      <c r="T2514" s="940"/>
      <c r="U2514" s="940"/>
      <c r="V2514" s="940"/>
      <c r="W2514" s="940">
        <f t="shared" si="46"/>
        <v>0</v>
      </c>
      <c r="X2514" s="940"/>
      <c r="Y2514" s="940"/>
      <c r="Z2514" s="940"/>
      <c r="AA2514" s="871">
        <f>S1AMHData!AB33</f>
        <v>0</v>
      </c>
      <c r="AB2514" s="871"/>
      <c r="AC2514" s="518"/>
      <c r="AD2514" s="518"/>
      <c r="AE2514" s="518"/>
      <c r="AF2514" s="518"/>
      <c r="AG2514" s="529"/>
      <c r="AH2514" s="518"/>
      <c r="AJ2514" s="595" t="b">
        <f t="shared" si="47"/>
        <v>0</v>
      </c>
    </row>
    <row r="2515" spans="1:36" hidden="1" x14ac:dyDescent="0.45">
      <c r="A2515" s="518"/>
      <c r="B2515" s="514" t="s">
        <v>1436</v>
      </c>
      <c r="C2515" s="530"/>
      <c r="D2515" s="530"/>
      <c r="E2515" s="530"/>
      <c r="F2515" s="530"/>
      <c r="G2515" s="885" t="str">
        <f>LEFT(S1AMHData!AG34,1)</f>
        <v/>
      </c>
      <c r="H2515" s="885"/>
      <c r="I2515" s="885" t="str">
        <f>LEFT(S1AMHData!L34,1)</f>
        <v/>
      </c>
      <c r="J2515" s="885"/>
      <c r="K2515" s="885" t="str">
        <f>LEFT(S1AMHData!N34,1)</f>
        <v/>
      </c>
      <c r="L2515" s="885"/>
      <c r="M2515" s="1240">
        <f>S1AMHData!X34</f>
        <v>0</v>
      </c>
      <c r="N2515" s="885"/>
      <c r="O2515" s="940">
        <f>S1AMHData!Y34</f>
        <v>0</v>
      </c>
      <c r="P2515" s="940"/>
      <c r="Q2515" s="940"/>
      <c r="R2515" s="940"/>
      <c r="S2515" s="940">
        <f>S1AMHData!Z34</f>
        <v>0</v>
      </c>
      <c r="T2515" s="940"/>
      <c r="U2515" s="940"/>
      <c r="V2515" s="940"/>
      <c r="W2515" s="940">
        <f t="shared" si="46"/>
        <v>0</v>
      </c>
      <c r="X2515" s="940"/>
      <c r="Y2515" s="940"/>
      <c r="Z2515" s="940"/>
      <c r="AA2515" s="871">
        <f>S1AMHData!AB34</f>
        <v>0</v>
      </c>
      <c r="AB2515" s="871"/>
      <c r="AC2515" s="518"/>
      <c r="AD2515" s="518"/>
      <c r="AE2515" s="518"/>
      <c r="AF2515" s="518"/>
      <c r="AG2515" s="529"/>
      <c r="AH2515" s="518"/>
      <c r="AJ2515" s="595" t="b">
        <f t="shared" si="47"/>
        <v>0</v>
      </c>
    </row>
    <row r="2516" spans="1:36" hidden="1" x14ac:dyDescent="0.45">
      <c r="A2516" s="518"/>
      <c r="B2516" s="514" t="s">
        <v>1437</v>
      </c>
      <c r="C2516" s="530"/>
      <c r="D2516" s="530"/>
      <c r="E2516" s="530"/>
      <c r="F2516" s="530"/>
      <c r="G2516" s="885" t="str">
        <f>LEFT(S1AMHData!AG35,1)</f>
        <v/>
      </c>
      <c r="H2516" s="885"/>
      <c r="I2516" s="885" t="str">
        <f>LEFT(S1AMHData!L35,1)</f>
        <v/>
      </c>
      <c r="J2516" s="885"/>
      <c r="K2516" s="885" t="str">
        <f>LEFT(S1AMHData!N35,1)</f>
        <v/>
      </c>
      <c r="L2516" s="885"/>
      <c r="M2516" s="1240">
        <f>S1AMHData!X35</f>
        <v>0</v>
      </c>
      <c r="N2516" s="885"/>
      <c r="O2516" s="940">
        <f>S1AMHData!Y35</f>
        <v>0</v>
      </c>
      <c r="P2516" s="940"/>
      <c r="Q2516" s="940"/>
      <c r="R2516" s="940"/>
      <c r="S2516" s="940">
        <f>S1AMHData!Z35</f>
        <v>0</v>
      </c>
      <c r="T2516" s="940"/>
      <c r="U2516" s="940"/>
      <c r="V2516" s="940"/>
      <c r="W2516" s="940">
        <f t="shared" si="46"/>
        <v>0</v>
      </c>
      <c r="X2516" s="940"/>
      <c r="Y2516" s="940"/>
      <c r="Z2516" s="940"/>
      <c r="AA2516" s="871">
        <f>S1AMHData!AB35</f>
        <v>0</v>
      </c>
      <c r="AB2516" s="871"/>
      <c r="AC2516" s="518"/>
      <c r="AD2516" s="518"/>
      <c r="AE2516" s="518"/>
      <c r="AF2516" s="518"/>
      <c r="AG2516" s="529"/>
      <c r="AH2516" s="518"/>
      <c r="AJ2516" s="595" t="b">
        <f t="shared" si="47"/>
        <v>0</v>
      </c>
    </row>
    <row r="2517" spans="1:36" hidden="1" x14ac:dyDescent="0.45">
      <c r="A2517" s="518"/>
      <c r="B2517" s="514" t="s">
        <v>1438</v>
      </c>
      <c r="C2517" s="530"/>
      <c r="D2517" s="530"/>
      <c r="E2517" s="530"/>
      <c r="F2517" s="530"/>
      <c r="G2517" s="885" t="str">
        <f>LEFT(S1AMHData!AG36,1)</f>
        <v/>
      </c>
      <c r="H2517" s="885"/>
      <c r="I2517" s="885" t="str">
        <f>LEFT(S1AMHData!L36,1)</f>
        <v/>
      </c>
      <c r="J2517" s="885"/>
      <c r="K2517" s="885" t="str">
        <f>LEFT(S1AMHData!N36,1)</f>
        <v/>
      </c>
      <c r="L2517" s="885"/>
      <c r="M2517" s="1240">
        <f>S1AMHData!X36</f>
        <v>0</v>
      </c>
      <c r="N2517" s="885"/>
      <c r="O2517" s="940">
        <f>S1AMHData!Y36</f>
        <v>0</v>
      </c>
      <c r="P2517" s="940"/>
      <c r="Q2517" s="940"/>
      <c r="R2517" s="940"/>
      <c r="S2517" s="940">
        <f>S1AMHData!Z36</f>
        <v>0</v>
      </c>
      <c r="T2517" s="940"/>
      <c r="U2517" s="940"/>
      <c r="V2517" s="940"/>
      <c r="W2517" s="940">
        <f t="shared" si="46"/>
        <v>0</v>
      </c>
      <c r="X2517" s="940"/>
      <c r="Y2517" s="940"/>
      <c r="Z2517" s="940"/>
      <c r="AA2517" s="871">
        <f>S1AMHData!AB36</f>
        <v>0</v>
      </c>
      <c r="AB2517" s="871"/>
      <c r="AC2517" s="518"/>
      <c r="AD2517" s="518"/>
      <c r="AE2517" s="518"/>
      <c r="AF2517" s="518"/>
      <c r="AG2517" s="529"/>
      <c r="AH2517" s="518"/>
      <c r="AJ2517" s="595" t="b">
        <f t="shared" si="47"/>
        <v>0</v>
      </c>
    </row>
    <row r="2518" spans="1:36" hidden="1" x14ac:dyDescent="0.45">
      <c r="A2518" s="518"/>
      <c r="B2518" s="514" t="s">
        <v>1439</v>
      </c>
      <c r="C2518" s="530"/>
      <c r="D2518" s="530"/>
      <c r="E2518" s="530"/>
      <c r="F2518" s="530"/>
      <c r="G2518" s="885" t="str">
        <f>LEFT(S1AMHData!AG37,1)</f>
        <v/>
      </c>
      <c r="H2518" s="885"/>
      <c r="I2518" s="885" t="str">
        <f>LEFT(S1AMHData!L37,1)</f>
        <v/>
      </c>
      <c r="J2518" s="885"/>
      <c r="K2518" s="885" t="str">
        <f>LEFT(S1AMHData!N37,1)</f>
        <v/>
      </c>
      <c r="L2518" s="885"/>
      <c r="M2518" s="1240">
        <f>S1AMHData!X37</f>
        <v>0</v>
      </c>
      <c r="N2518" s="885"/>
      <c r="O2518" s="940">
        <f>S1AMHData!Y37</f>
        <v>0</v>
      </c>
      <c r="P2518" s="940"/>
      <c r="Q2518" s="940"/>
      <c r="R2518" s="940"/>
      <c r="S2518" s="940">
        <f>S1AMHData!Z37</f>
        <v>0</v>
      </c>
      <c r="T2518" s="940"/>
      <c r="U2518" s="940"/>
      <c r="V2518" s="940"/>
      <c r="W2518" s="940">
        <f t="shared" si="46"/>
        <v>0</v>
      </c>
      <c r="X2518" s="940"/>
      <c r="Y2518" s="940"/>
      <c r="Z2518" s="940"/>
      <c r="AA2518" s="871">
        <f>S1AMHData!AB37</f>
        <v>0</v>
      </c>
      <c r="AB2518" s="871"/>
      <c r="AC2518" s="518"/>
      <c r="AD2518" s="518"/>
      <c r="AE2518" s="518"/>
      <c r="AF2518" s="518"/>
      <c r="AG2518" s="529"/>
      <c r="AH2518" s="518"/>
      <c r="AJ2518" s="595" t="b">
        <f t="shared" si="47"/>
        <v>0</v>
      </c>
    </row>
    <row r="2519" spans="1:36" hidden="1" x14ac:dyDescent="0.45">
      <c r="A2519" s="518"/>
      <c r="B2519" s="514" t="s">
        <v>1440</v>
      </c>
      <c r="C2519" s="530"/>
      <c r="D2519" s="530"/>
      <c r="E2519" s="530"/>
      <c r="F2519" s="530"/>
      <c r="G2519" s="885" t="str">
        <f>LEFT(S1AMHData!AG38,1)</f>
        <v/>
      </c>
      <c r="H2519" s="885"/>
      <c r="I2519" s="885" t="str">
        <f>LEFT(S1AMHData!L38,1)</f>
        <v/>
      </c>
      <c r="J2519" s="885"/>
      <c r="K2519" s="885" t="str">
        <f>LEFT(S1AMHData!N38,1)</f>
        <v/>
      </c>
      <c r="L2519" s="885"/>
      <c r="M2519" s="1240">
        <f>S1AMHData!X38</f>
        <v>0</v>
      </c>
      <c r="N2519" s="885"/>
      <c r="O2519" s="940">
        <f>S1AMHData!Y38</f>
        <v>0</v>
      </c>
      <c r="P2519" s="940"/>
      <c r="Q2519" s="940"/>
      <c r="R2519" s="940"/>
      <c r="S2519" s="940">
        <f>S1AMHData!Z38</f>
        <v>0</v>
      </c>
      <c r="T2519" s="940"/>
      <c r="U2519" s="940"/>
      <c r="V2519" s="940"/>
      <c r="W2519" s="940">
        <f t="shared" si="46"/>
        <v>0</v>
      </c>
      <c r="X2519" s="940"/>
      <c r="Y2519" s="940"/>
      <c r="Z2519" s="940"/>
      <c r="AA2519" s="871">
        <f>S1AMHData!AB38</f>
        <v>0</v>
      </c>
      <c r="AB2519" s="871"/>
      <c r="AC2519" s="518"/>
      <c r="AD2519" s="518"/>
      <c r="AE2519" s="518"/>
      <c r="AF2519" s="518"/>
      <c r="AG2519" s="529"/>
      <c r="AH2519" s="518"/>
      <c r="AJ2519" s="595" t="b">
        <f t="shared" si="47"/>
        <v>0</v>
      </c>
    </row>
    <row r="2520" spans="1:36" hidden="1" x14ac:dyDescent="0.45">
      <c r="A2520" s="518"/>
      <c r="B2520" s="514" t="s">
        <v>1441</v>
      </c>
      <c r="C2520" s="530"/>
      <c r="D2520" s="530"/>
      <c r="E2520" s="530"/>
      <c r="F2520" s="530"/>
      <c r="G2520" s="885" t="str">
        <f>LEFT(S1AMHData!AG39,1)</f>
        <v/>
      </c>
      <c r="H2520" s="885"/>
      <c r="I2520" s="885" t="str">
        <f>LEFT(S1AMHData!L39,1)</f>
        <v/>
      </c>
      <c r="J2520" s="885"/>
      <c r="K2520" s="885" t="str">
        <f>LEFT(S1AMHData!N39,1)</f>
        <v/>
      </c>
      <c r="L2520" s="885"/>
      <c r="M2520" s="1240">
        <f>S1AMHData!X39</f>
        <v>0</v>
      </c>
      <c r="N2520" s="885"/>
      <c r="O2520" s="940">
        <f>S1AMHData!Y39</f>
        <v>0</v>
      </c>
      <c r="P2520" s="940"/>
      <c r="Q2520" s="940"/>
      <c r="R2520" s="940"/>
      <c r="S2520" s="940">
        <f>S1AMHData!Z39</f>
        <v>0</v>
      </c>
      <c r="T2520" s="940"/>
      <c r="U2520" s="940"/>
      <c r="V2520" s="940"/>
      <c r="W2520" s="940">
        <f t="shared" si="46"/>
        <v>0</v>
      </c>
      <c r="X2520" s="940"/>
      <c r="Y2520" s="940"/>
      <c r="Z2520" s="940"/>
      <c r="AA2520" s="871">
        <f>S1AMHData!AB39</f>
        <v>0</v>
      </c>
      <c r="AB2520" s="871"/>
      <c r="AC2520" s="518"/>
      <c r="AD2520" s="518"/>
      <c r="AE2520" s="518"/>
      <c r="AF2520" s="518"/>
      <c r="AG2520" s="529"/>
      <c r="AH2520" s="518"/>
      <c r="AJ2520" s="595" t="b">
        <f t="shared" si="47"/>
        <v>0</v>
      </c>
    </row>
    <row r="2521" spans="1:36" hidden="1" x14ac:dyDescent="0.45">
      <c r="A2521" s="518"/>
      <c r="B2521" s="514" t="s">
        <v>152</v>
      </c>
      <c r="C2521" s="530"/>
      <c r="D2521" s="530"/>
      <c r="E2521" s="530"/>
      <c r="F2521" s="530"/>
      <c r="G2521" s="885" t="str">
        <f>LEFT(S1AMHData!AG40,1)</f>
        <v/>
      </c>
      <c r="H2521" s="885"/>
      <c r="I2521" s="885" t="str">
        <f>LEFT(S1AMHData!L40,1)</f>
        <v/>
      </c>
      <c r="J2521" s="885"/>
      <c r="K2521" s="885" t="str">
        <f>LEFT(S1AMHData!N40,1)</f>
        <v/>
      </c>
      <c r="L2521" s="885"/>
      <c r="M2521" s="1240">
        <f>S1AMHData!X40</f>
        <v>0</v>
      </c>
      <c r="N2521" s="885"/>
      <c r="O2521" s="940">
        <f>S1AMHData!Y40</f>
        <v>0</v>
      </c>
      <c r="P2521" s="940"/>
      <c r="Q2521" s="940"/>
      <c r="R2521" s="940"/>
      <c r="S2521" s="940">
        <f>S1AMHData!Z40</f>
        <v>0</v>
      </c>
      <c r="T2521" s="940"/>
      <c r="U2521" s="940"/>
      <c r="V2521" s="940"/>
      <c r="W2521" s="940">
        <f t="shared" si="46"/>
        <v>0</v>
      </c>
      <c r="X2521" s="940"/>
      <c r="Y2521" s="940"/>
      <c r="Z2521" s="940"/>
      <c r="AA2521" s="871">
        <f>S1AMHData!AB40</f>
        <v>0</v>
      </c>
      <c r="AB2521" s="871"/>
      <c r="AC2521" s="518"/>
      <c r="AD2521" s="518"/>
      <c r="AE2521" s="518"/>
      <c r="AF2521" s="518"/>
      <c r="AG2521" s="529"/>
      <c r="AH2521" s="518"/>
      <c r="AJ2521" s="595" t="b">
        <f t="shared" si="47"/>
        <v>0</v>
      </c>
    </row>
    <row r="2522" spans="1:36" hidden="1" x14ac:dyDescent="0.45">
      <c r="A2522" s="518"/>
      <c r="B2522" s="514" t="s">
        <v>1442</v>
      </c>
      <c r="C2522" s="530"/>
      <c r="D2522" s="530"/>
      <c r="E2522" s="530"/>
      <c r="F2522" s="530"/>
      <c r="G2522" s="885" t="str">
        <f>LEFT(S1AMHData!AG41,1)</f>
        <v/>
      </c>
      <c r="H2522" s="885"/>
      <c r="I2522" s="885" t="str">
        <f>LEFT(S1AMHData!L41,1)</f>
        <v/>
      </c>
      <c r="J2522" s="885"/>
      <c r="K2522" s="885" t="str">
        <f>LEFT(S1AMHData!N41,1)</f>
        <v/>
      </c>
      <c r="L2522" s="885"/>
      <c r="M2522" s="1240">
        <f>S1AMHData!X41</f>
        <v>0</v>
      </c>
      <c r="N2522" s="885"/>
      <c r="O2522" s="940">
        <f>S1AMHData!Y41</f>
        <v>0</v>
      </c>
      <c r="P2522" s="940"/>
      <c r="Q2522" s="940"/>
      <c r="R2522" s="940"/>
      <c r="S2522" s="940">
        <f>S1AMHData!Z41</f>
        <v>0</v>
      </c>
      <c r="T2522" s="940"/>
      <c r="U2522" s="940"/>
      <c r="V2522" s="940"/>
      <c r="W2522" s="940">
        <f t="shared" si="46"/>
        <v>0</v>
      </c>
      <c r="X2522" s="940"/>
      <c r="Y2522" s="940"/>
      <c r="Z2522" s="940"/>
      <c r="AA2522" s="871">
        <f>S1AMHData!AB41</f>
        <v>0</v>
      </c>
      <c r="AB2522" s="871"/>
      <c r="AC2522" s="518"/>
      <c r="AD2522" s="518"/>
      <c r="AE2522" s="518"/>
      <c r="AF2522" s="518"/>
      <c r="AG2522" s="529"/>
      <c r="AH2522" s="518"/>
      <c r="AJ2522" s="595" t="b">
        <f t="shared" si="47"/>
        <v>0</v>
      </c>
    </row>
    <row r="2523" spans="1:36" hidden="1" x14ac:dyDescent="0.45">
      <c r="A2523" s="518"/>
      <c r="B2523" s="514" t="s">
        <v>1443</v>
      </c>
      <c r="C2523" s="530"/>
      <c r="D2523" s="530"/>
      <c r="E2523" s="530"/>
      <c r="F2523" s="530"/>
      <c r="G2523" s="885" t="str">
        <f>LEFT(S1AMHData!AG42,1)</f>
        <v/>
      </c>
      <c r="H2523" s="885"/>
      <c r="I2523" s="885" t="str">
        <f>LEFT(S1AMHData!L42,1)</f>
        <v/>
      </c>
      <c r="J2523" s="885"/>
      <c r="K2523" s="885" t="str">
        <f>LEFT(S1AMHData!N42,1)</f>
        <v/>
      </c>
      <c r="L2523" s="885"/>
      <c r="M2523" s="1240">
        <f>S1AMHData!X42</f>
        <v>0</v>
      </c>
      <c r="N2523" s="885"/>
      <c r="O2523" s="940">
        <f>S1AMHData!Y42</f>
        <v>0</v>
      </c>
      <c r="P2523" s="940"/>
      <c r="Q2523" s="940"/>
      <c r="R2523" s="940"/>
      <c r="S2523" s="940">
        <f>S1AMHData!Z42</f>
        <v>0</v>
      </c>
      <c r="T2523" s="940"/>
      <c r="U2523" s="940"/>
      <c r="V2523" s="940"/>
      <c r="W2523" s="940">
        <f t="shared" si="46"/>
        <v>0</v>
      </c>
      <c r="X2523" s="940"/>
      <c r="Y2523" s="940"/>
      <c r="Z2523" s="940"/>
      <c r="AA2523" s="871">
        <f>S1AMHData!AB42</f>
        <v>0</v>
      </c>
      <c r="AB2523" s="871"/>
      <c r="AC2523" s="518"/>
      <c r="AD2523" s="518"/>
      <c r="AE2523" s="518"/>
      <c r="AF2523" s="518"/>
      <c r="AG2523" s="529"/>
      <c r="AH2523" s="518"/>
      <c r="AJ2523" s="595" t="b">
        <f t="shared" si="47"/>
        <v>0</v>
      </c>
    </row>
    <row r="2524" spans="1:36" hidden="1" x14ac:dyDescent="0.45">
      <c r="A2524" s="518"/>
      <c r="B2524" s="514" t="s">
        <v>1444</v>
      </c>
      <c r="C2524" s="530"/>
      <c r="D2524" s="530"/>
      <c r="E2524" s="530"/>
      <c r="F2524" s="530"/>
      <c r="G2524" s="885" t="str">
        <f>LEFT(S1AMHData!AG43,1)</f>
        <v/>
      </c>
      <c r="H2524" s="885"/>
      <c r="I2524" s="885" t="str">
        <f>LEFT(S1AMHData!L43,1)</f>
        <v/>
      </c>
      <c r="J2524" s="885"/>
      <c r="K2524" s="885" t="str">
        <f>LEFT(S1AMHData!N43,1)</f>
        <v/>
      </c>
      <c r="L2524" s="885"/>
      <c r="M2524" s="1240">
        <f>S1AMHData!X43</f>
        <v>0</v>
      </c>
      <c r="N2524" s="885"/>
      <c r="O2524" s="940">
        <f>S1AMHData!Y43</f>
        <v>0</v>
      </c>
      <c r="P2524" s="940"/>
      <c r="Q2524" s="940"/>
      <c r="R2524" s="940"/>
      <c r="S2524" s="940">
        <f>S1AMHData!Z43</f>
        <v>0</v>
      </c>
      <c r="T2524" s="940"/>
      <c r="U2524" s="940"/>
      <c r="V2524" s="940"/>
      <c r="W2524" s="940">
        <f t="shared" si="46"/>
        <v>0</v>
      </c>
      <c r="X2524" s="940"/>
      <c r="Y2524" s="940"/>
      <c r="Z2524" s="940"/>
      <c r="AA2524" s="871">
        <f>S1AMHData!AB43</f>
        <v>0</v>
      </c>
      <c r="AB2524" s="871"/>
      <c r="AC2524" s="518"/>
      <c r="AD2524" s="518"/>
      <c r="AE2524" s="518"/>
      <c r="AF2524" s="518"/>
      <c r="AG2524" s="529"/>
      <c r="AH2524" s="518"/>
      <c r="AJ2524" s="595" t="b">
        <f t="shared" si="47"/>
        <v>0</v>
      </c>
    </row>
    <row r="2525" spans="1:36" hidden="1" x14ac:dyDescent="0.45">
      <c r="A2525" s="518"/>
      <c r="B2525" s="514" t="s">
        <v>1445</v>
      </c>
      <c r="C2525" s="530"/>
      <c r="D2525" s="530"/>
      <c r="E2525" s="530"/>
      <c r="F2525" s="530"/>
      <c r="G2525" s="885" t="str">
        <f>LEFT(S1AMHData!AG44,1)</f>
        <v/>
      </c>
      <c r="H2525" s="885"/>
      <c r="I2525" s="885" t="str">
        <f>LEFT(S1AMHData!L44,1)</f>
        <v/>
      </c>
      <c r="J2525" s="885"/>
      <c r="K2525" s="885" t="str">
        <f>LEFT(S1AMHData!N44,1)</f>
        <v/>
      </c>
      <c r="L2525" s="885"/>
      <c r="M2525" s="1240">
        <f>S1AMHData!X44</f>
        <v>0</v>
      </c>
      <c r="N2525" s="885"/>
      <c r="O2525" s="940">
        <f>S1AMHData!Y44</f>
        <v>0</v>
      </c>
      <c r="P2525" s="940"/>
      <c r="Q2525" s="940"/>
      <c r="R2525" s="940"/>
      <c r="S2525" s="940">
        <f>S1AMHData!Z44</f>
        <v>0</v>
      </c>
      <c r="T2525" s="940"/>
      <c r="U2525" s="940"/>
      <c r="V2525" s="940"/>
      <c r="W2525" s="940">
        <f t="shared" si="46"/>
        <v>0</v>
      </c>
      <c r="X2525" s="940"/>
      <c r="Y2525" s="940"/>
      <c r="Z2525" s="940"/>
      <c r="AA2525" s="871">
        <f>S1AMHData!AB44</f>
        <v>0</v>
      </c>
      <c r="AB2525" s="871"/>
      <c r="AC2525" s="518"/>
      <c r="AD2525" s="518"/>
      <c r="AE2525" s="518"/>
      <c r="AF2525" s="518"/>
      <c r="AG2525" s="529"/>
      <c r="AH2525" s="518"/>
      <c r="AJ2525" s="595" t="b">
        <f t="shared" si="47"/>
        <v>0</v>
      </c>
    </row>
    <row r="2526" spans="1:36" hidden="1" x14ac:dyDescent="0.45">
      <c r="A2526" s="518"/>
      <c r="B2526" s="514" t="s">
        <v>1446</v>
      </c>
      <c r="C2526" s="530"/>
      <c r="D2526" s="530"/>
      <c r="E2526" s="530"/>
      <c r="F2526" s="530"/>
      <c r="G2526" s="885" t="str">
        <f>LEFT(S1AMHData!AG45,1)</f>
        <v/>
      </c>
      <c r="H2526" s="885"/>
      <c r="I2526" s="885" t="str">
        <f>LEFT(S1AMHData!L45,1)</f>
        <v/>
      </c>
      <c r="J2526" s="885"/>
      <c r="K2526" s="885" t="str">
        <f>LEFT(S1AMHData!N45,1)</f>
        <v/>
      </c>
      <c r="L2526" s="885"/>
      <c r="M2526" s="1240">
        <f>S1AMHData!X45</f>
        <v>0</v>
      </c>
      <c r="N2526" s="885"/>
      <c r="O2526" s="940">
        <f>S1AMHData!Y45</f>
        <v>0</v>
      </c>
      <c r="P2526" s="940"/>
      <c r="Q2526" s="940"/>
      <c r="R2526" s="940"/>
      <c r="S2526" s="940">
        <f>S1AMHData!Z45</f>
        <v>0</v>
      </c>
      <c r="T2526" s="940"/>
      <c r="U2526" s="940"/>
      <c r="V2526" s="940"/>
      <c r="W2526" s="940">
        <f t="shared" si="46"/>
        <v>0</v>
      </c>
      <c r="X2526" s="940"/>
      <c r="Y2526" s="940"/>
      <c r="Z2526" s="940"/>
      <c r="AA2526" s="871">
        <f>S1AMHData!AB45</f>
        <v>0</v>
      </c>
      <c r="AB2526" s="871"/>
      <c r="AC2526" s="518"/>
      <c r="AD2526" s="518"/>
      <c r="AE2526" s="518"/>
      <c r="AF2526" s="518"/>
      <c r="AG2526" s="529"/>
      <c r="AH2526" s="518"/>
      <c r="AJ2526" s="595" t="b">
        <f t="shared" si="47"/>
        <v>0</v>
      </c>
    </row>
    <row r="2527" spans="1:36" hidden="1" x14ac:dyDescent="0.45">
      <c r="B2527" s="514" t="s">
        <v>1447</v>
      </c>
      <c r="C2527" s="530"/>
      <c r="D2527" s="530"/>
      <c r="E2527" s="530"/>
      <c r="F2527" s="530"/>
      <c r="G2527" s="885" t="str">
        <f>LEFT(S1AMHData!AG46,1)</f>
        <v/>
      </c>
      <c r="H2527" s="885"/>
      <c r="I2527" s="885" t="str">
        <f>LEFT(S1AMHData!L46,1)</f>
        <v/>
      </c>
      <c r="J2527" s="885"/>
      <c r="K2527" s="885" t="str">
        <f>LEFT(S1AMHData!N46,1)</f>
        <v/>
      </c>
      <c r="L2527" s="885"/>
      <c r="M2527" s="1240">
        <f>S1AMHData!X46</f>
        <v>0</v>
      </c>
      <c r="N2527" s="885"/>
      <c r="O2527" s="940">
        <f>S1AMHData!Y46</f>
        <v>0</v>
      </c>
      <c r="P2527" s="940"/>
      <c r="Q2527" s="940"/>
      <c r="R2527" s="940"/>
      <c r="S2527" s="940">
        <f>S1AMHData!Z46</f>
        <v>0</v>
      </c>
      <c r="T2527" s="940"/>
      <c r="U2527" s="940"/>
      <c r="V2527" s="940"/>
      <c r="W2527" s="940">
        <f t="shared" si="46"/>
        <v>0</v>
      </c>
      <c r="X2527" s="940"/>
      <c r="Y2527" s="940"/>
      <c r="Z2527" s="940"/>
      <c r="AA2527" s="871">
        <f>S1AMHData!AB46</f>
        <v>0</v>
      </c>
      <c r="AB2527" s="871"/>
      <c r="AC2527" s="518"/>
      <c r="AD2527" s="518"/>
      <c r="AE2527" s="518"/>
      <c r="AF2527" s="518"/>
      <c r="AG2527" s="529"/>
      <c r="AH2527" s="518"/>
      <c r="AJ2527" s="595" t="b">
        <f t="shared" si="47"/>
        <v>0</v>
      </c>
    </row>
    <row r="2528" spans="1:36" hidden="1" x14ac:dyDescent="0.45">
      <c r="B2528" s="514" t="s">
        <v>1448</v>
      </c>
      <c r="C2528" s="530"/>
      <c r="D2528" s="530"/>
      <c r="E2528" s="530"/>
      <c r="F2528" s="530"/>
      <c r="G2528" s="885" t="str">
        <f>LEFT(S1AMHData!AG47,1)</f>
        <v/>
      </c>
      <c r="H2528" s="885"/>
      <c r="I2528" s="885" t="str">
        <f>LEFT(S1AMHData!L47,1)</f>
        <v/>
      </c>
      <c r="J2528" s="885"/>
      <c r="K2528" s="885" t="str">
        <f>LEFT(S1AMHData!N47,1)</f>
        <v/>
      </c>
      <c r="L2528" s="885"/>
      <c r="M2528" s="1240">
        <f>S1AMHData!X47</f>
        <v>0</v>
      </c>
      <c r="N2528" s="885"/>
      <c r="O2528" s="940">
        <f>S1AMHData!Y47</f>
        <v>0</v>
      </c>
      <c r="P2528" s="940"/>
      <c r="Q2528" s="940"/>
      <c r="R2528" s="940"/>
      <c r="S2528" s="940">
        <f>S1AMHData!Z47</f>
        <v>0</v>
      </c>
      <c r="T2528" s="940"/>
      <c r="U2528" s="940"/>
      <c r="V2528" s="940"/>
      <c r="W2528" s="940">
        <f t="shared" si="46"/>
        <v>0</v>
      </c>
      <c r="X2528" s="940"/>
      <c r="Y2528" s="940"/>
      <c r="Z2528" s="940"/>
      <c r="AA2528" s="871">
        <f>S1AMHData!AB47</f>
        <v>0</v>
      </c>
      <c r="AB2528" s="871"/>
      <c r="AC2528" s="518"/>
      <c r="AD2528" s="518"/>
      <c r="AE2528" s="518"/>
      <c r="AF2528" s="518"/>
      <c r="AG2528" s="529"/>
      <c r="AH2528" s="518"/>
      <c r="AJ2528" s="595" t="b">
        <f t="shared" si="47"/>
        <v>0</v>
      </c>
    </row>
    <row r="2529" spans="1:36" hidden="1" x14ac:dyDescent="0.45">
      <c r="B2529" s="514" t="s">
        <v>1449</v>
      </c>
      <c r="C2529" s="530"/>
      <c r="D2529" s="530"/>
      <c r="E2529" s="530"/>
      <c r="F2529" s="530"/>
      <c r="G2529" s="885" t="str">
        <f>LEFT(S1AMHData!AG48,1)</f>
        <v/>
      </c>
      <c r="H2529" s="885"/>
      <c r="I2529" s="885" t="str">
        <f>LEFT(S1AMHData!L48,1)</f>
        <v/>
      </c>
      <c r="J2529" s="885"/>
      <c r="K2529" s="885" t="str">
        <f>LEFT(S1AMHData!N48,1)</f>
        <v/>
      </c>
      <c r="L2529" s="885"/>
      <c r="M2529" s="1240">
        <f>S1AMHData!X48</f>
        <v>0</v>
      </c>
      <c r="N2529" s="885"/>
      <c r="O2529" s="940">
        <f>S1AMHData!Y48</f>
        <v>0</v>
      </c>
      <c r="P2529" s="940"/>
      <c r="Q2529" s="940"/>
      <c r="R2529" s="940"/>
      <c r="S2529" s="940">
        <f>S1AMHData!Z48</f>
        <v>0</v>
      </c>
      <c r="T2529" s="940"/>
      <c r="U2529" s="940"/>
      <c r="V2529" s="940"/>
      <c r="W2529" s="940">
        <f t="shared" si="46"/>
        <v>0</v>
      </c>
      <c r="X2529" s="940"/>
      <c r="Y2529" s="940"/>
      <c r="Z2529" s="940"/>
      <c r="AA2529" s="871">
        <f>S1AMHData!AB48</f>
        <v>0</v>
      </c>
      <c r="AB2529" s="871"/>
      <c r="AC2529" s="518"/>
      <c r="AD2529" s="518"/>
      <c r="AE2529" s="518"/>
      <c r="AF2529" s="518"/>
      <c r="AG2529" s="529"/>
      <c r="AH2529" s="518"/>
      <c r="AJ2529" s="595" t="b">
        <f t="shared" si="47"/>
        <v>0</v>
      </c>
    </row>
    <row r="2530" spans="1:36" hidden="1" x14ac:dyDescent="0.45">
      <c r="B2530" s="514" t="s">
        <v>1450</v>
      </c>
      <c r="C2530" s="530"/>
      <c r="D2530" s="530"/>
      <c r="E2530" s="530"/>
      <c r="F2530" s="530"/>
      <c r="G2530" s="885" t="str">
        <f>LEFT(S1AMHData!AG49,1)</f>
        <v/>
      </c>
      <c r="H2530" s="885"/>
      <c r="I2530" s="885" t="str">
        <f>LEFT(S1AMHData!L49,1)</f>
        <v/>
      </c>
      <c r="J2530" s="885"/>
      <c r="K2530" s="885" t="str">
        <f>LEFT(S1AMHData!N49,1)</f>
        <v/>
      </c>
      <c r="L2530" s="885"/>
      <c r="M2530" s="1240">
        <f>S1AMHData!X49</f>
        <v>0</v>
      </c>
      <c r="N2530" s="885"/>
      <c r="O2530" s="940">
        <f>S1AMHData!Y49</f>
        <v>0</v>
      </c>
      <c r="P2530" s="940"/>
      <c r="Q2530" s="940"/>
      <c r="R2530" s="940"/>
      <c r="S2530" s="940">
        <f>S1AMHData!Z49</f>
        <v>0</v>
      </c>
      <c r="T2530" s="940"/>
      <c r="U2530" s="940"/>
      <c r="V2530" s="940"/>
      <c r="W2530" s="940">
        <f t="shared" si="46"/>
        <v>0</v>
      </c>
      <c r="X2530" s="940"/>
      <c r="Y2530" s="940"/>
      <c r="Z2530" s="940"/>
      <c r="AA2530" s="871">
        <f>S1AMHData!AB49</f>
        <v>0</v>
      </c>
      <c r="AB2530" s="871"/>
      <c r="AC2530" s="518"/>
      <c r="AD2530" s="518"/>
      <c r="AE2530" s="518"/>
      <c r="AF2530" s="518"/>
      <c r="AG2530" s="529"/>
      <c r="AH2530" s="518"/>
      <c r="AJ2530" s="595" t="b">
        <f t="shared" si="47"/>
        <v>0</v>
      </c>
    </row>
    <row r="2531" spans="1:36" hidden="1" x14ac:dyDescent="0.45">
      <c r="B2531" s="514" t="s">
        <v>1451</v>
      </c>
      <c r="C2531" s="530"/>
      <c r="D2531" s="530"/>
      <c r="E2531" s="530"/>
      <c r="F2531" s="530"/>
      <c r="G2531" s="885" t="str">
        <f>LEFT(S1AMHData!AG50,1)</f>
        <v/>
      </c>
      <c r="H2531" s="885"/>
      <c r="I2531" s="885" t="str">
        <f>LEFT(S1AMHData!L50,1)</f>
        <v/>
      </c>
      <c r="J2531" s="885"/>
      <c r="K2531" s="885" t="str">
        <f>LEFT(S1AMHData!N50,1)</f>
        <v/>
      </c>
      <c r="L2531" s="885"/>
      <c r="M2531" s="1240">
        <f>S1AMHData!X50</f>
        <v>0</v>
      </c>
      <c r="N2531" s="885"/>
      <c r="O2531" s="940">
        <f>S1AMHData!Y50</f>
        <v>0</v>
      </c>
      <c r="P2531" s="940"/>
      <c r="Q2531" s="940"/>
      <c r="R2531" s="940"/>
      <c r="S2531" s="940">
        <f>S1AMHData!Z50</f>
        <v>0</v>
      </c>
      <c r="T2531" s="940"/>
      <c r="U2531" s="940"/>
      <c r="V2531" s="940"/>
      <c r="W2531" s="940">
        <f t="shared" si="46"/>
        <v>0</v>
      </c>
      <c r="X2531" s="940"/>
      <c r="Y2531" s="940"/>
      <c r="Z2531" s="940"/>
      <c r="AA2531" s="871">
        <f>S1AMHData!AB50</f>
        <v>0</v>
      </c>
      <c r="AB2531" s="871"/>
      <c r="AC2531" s="518"/>
      <c r="AD2531" s="518"/>
      <c r="AE2531" s="518"/>
      <c r="AF2531" s="518"/>
      <c r="AG2531" s="529"/>
      <c r="AH2531" s="518"/>
      <c r="AJ2531" s="595" t="b">
        <f t="shared" si="47"/>
        <v>0</v>
      </c>
    </row>
    <row r="2532" spans="1:36" hidden="1" x14ac:dyDescent="0.45">
      <c r="B2532" s="514" t="s">
        <v>1452</v>
      </c>
      <c r="C2532" s="530"/>
      <c r="D2532" s="530"/>
      <c r="E2532" s="530"/>
      <c r="F2532" s="530"/>
      <c r="G2532" s="885" t="str">
        <f>LEFT(S1AMHData!AG51,1)</f>
        <v/>
      </c>
      <c r="H2532" s="885"/>
      <c r="I2532" s="885" t="str">
        <f>LEFT(S1AMHData!L51,1)</f>
        <v/>
      </c>
      <c r="J2532" s="885"/>
      <c r="K2532" s="885" t="str">
        <f>LEFT(S1AMHData!N51,1)</f>
        <v/>
      </c>
      <c r="L2532" s="885"/>
      <c r="M2532" s="1240">
        <f>S1AMHData!X51</f>
        <v>0</v>
      </c>
      <c r="N2532" s="885"/>
      <c r="O2532" s="940">
        <f>S1AMHData!Y51</f>
        <v>0</v>
      </c>
      <c r="P2532" s="940"/>
      <c r="Q2532" s="940"/>
      <c r="R2532" s="940"/>
      <c r="S2532" s="940">
        <f>S1AMHData!Z51</f>
        <v>0</v>
      </c>
      <c r="T2532" s="940"/>
      <c r="U2532" s="940"/>
      <c r="V2532" s="940"/>
      <c r="W2532" s="940">
        <f t="shared" si="46"/>
        <v>0</v>
      </c>
      <c r="X2532" s="940"/>
      <c r="Y2532" s="940"/>
      <c r="Z2532" s="940"/>
      <c r="AA2532" s="871">
        <f>S1AMHData!AB51</f>
        <v>0</v>
      </c>
      <c r="AB2532" s="871"/>
      <c r="AC2532" s="518"/>
      <c r="AD2532" s="518"/>
      <c r="AE2532" s="518"/>
      <c r="AF2532" s="518"/>
      <c r="AG2532" s="529"/>
      <c r="AH2532" s="518"/>
      <c r="AJ2532" s="595" t="b">
        <f t="shared" si="47"/>
        <v>0</v>
      </c>
    </row>
    <row r="2533" spans="1:36" hidden="1" x14ac:dyDescent="0.45">
      <c r="B2533" s="514" t="s">
        <v>1453</v>
      </c>
      <c r="C2533" s="530"/>
      <c r="D2533" s="530"/>
      <c r="E2533" s="530"/>
      <c r="F2533" s="530"/>
      <c r="G2533" s="885" t="str">
        <f>LEFT(S1AMHData!AG52,1)</f>
        <v/>
      </c>
      <c r="H2533" s="885"/>
      <c r="I2533" s="885" t="str">
        <f>LEFT(S1AMHData!L52,1)</f>
        <v/>
      </c>
      <c r="J2533" s="885"/>
      <c r="K2533" s="885" t="str">
        <f>LEFT(S1AMHData!N52,1)</f>
        <v/>
      </c>
      <c r="L2533" s="885"/>
      <c r="M2533" s="1240">
        <f>S1AMHData!X52</f>
        <v>0</v>
      </c>
      <c r="N2533" s="885"/>
      <c r="O2533" s="940">
        <f>S1AMHData!Y52</f>
        <v>0</v>
      </c>
      <c r="P2533" s="940"/>
      <c r="Q2533" s="940"/>
      <c r="R2533" s="940"/>
      <c r="S2533" s="940">
        <f>S1AMHData!Z52</f>
        <v>0</v>
      </c>
      <c r="T2533" s="940"/>
      <c r="U2533" s="940"/>
      <c r="V2533" s="940"/>
      <c r="W2533" s="940">
        <f t="shared" si="46"/>
        <v>0</v>
      </c>
      <c r="X2533" s="940"/>
      <c r="Y2533" s="940"/>
      <c r="Z2533" s="940"/>
      <c r="AA2533" s="871">
        <f>S1AMHData!AB52</f>
        <v>0</v>
      </c>
      <c r="AB2533" s="871"/>
      <c r="AC2533" s="518"/>
      <c r="AD2533" s="518"/>
      <c r="AE2533" s="518"/>
      <c r="AF2533" s="518"/>
      <c r="AG2533" s="529"/>
      <c r="AH2533" s="518"/>
      <c r="AJ2533" s="595" t="b">
        <f t="shared" si="47"/>
        <v>0</v>
      </c>
    </row>
    <row r="2534" spans="1:36" hidden="1" x14ac:dyDescent="0.45">
      <c r="B2534" s="514" t="s">
        <v>1454</v>
      </c>
      <c r="C2534" s="530"/>
      <c r="D2534" s="530"/>
      <c r="E2534" s="530"/>
      <c r="F2534" s="530"/>
      <c r="G2534" s="885" t="str">
        <f>LEFT(S1AMHData!AG53,1)</f>
        <v/>
      </c>
      <c r="H2534" s="885"/>
      <c r="I2534" s="885" t="str">
        <f>LEFT(S1AMHData!L53,1)</f>
        <v/>
      </c>
      <c r="J2534" s="885"/>
      <c r="K2534" s="885" t="str">
        <f>LEFT(S1AMHData!N53,1)</f>
        <v/>
      </c>
      <c r="L2534" s="885"/>
      <c r="M2534" s="1240">
        <f>S1AMHData!X53</f>
        <v>0</v>
      </c>
      <c r="N2534" s="885"/>
      <c r="O2534" s="940">
        <f>S1AMHData!Y53</f>
        <v>0</v>
      </c>
      <c r="P2534" s="940"/>
      <c r="Q2534" s="940"/>
      <c r="R2534" s="940"/>
      <c r="S2534" s="940">
        <f>S1AMHData!Z53</f>
        <v>0</v>
      </c>
      <c r="T2534" s="940"/>
      <c r="U2534" s="940"/>
      <c r="V2534" s="940"/>
      <c r="W2534" s="940">
        <f t="shared" si="46"/>
        <v>0</v>
      </c>
      <c r="X2534" s="940"/>
      <c r="Y2534" s="940"/>
      <c r="Z2534" s="940"/>
      <c r="AA2534" s="871">
        <f>S1AMHData!AB53</f>
        <v>0</v>
      </c>
      <c r="AB2534" s="871"/>
      <c r="AC2534" s="518"/>
      <c r="AD2534" s="518"/>
      <c r="AE2534" s="518"/>
      <c r="AF2534" s="518"/>
      <c r="AG2534" s="529"/>
      <c r="AH2534" s="518"/>
      <c r="AJ2534" s="595" t="b">
        <f t="shared" si="47"/>
        <v>0</v>
      </c>
    </row>
    <row r="2535" spans="1:36" hidden="1" x14ac:dyDescent="0.45">
      <c r="B2535" s="514" t="s">
        <v>1455</v>
      </c>
      <c r="C2535" s="530"/>
      <c r="D2535" s="530"/>
      <c r="E2535" s="530"/>
      <c r="F2535" s="530"/>
      <c r="G2535" s="885" t="str">
        <f>LEFT(S1AMHData!AG54,1)</f>
        <v/>
      </c>
      <c r="H2535" s="885"/>
      <c r="I2535" s="885" t="str">
        <f>LEFT(S1AMHData!L54,1)</f>
        <v/>
      </c>
      <c r="J2535" s="885"/>
      <c r="K2535" s="885" t="str">
        <f>LEFT(S1AMHData!N54,1)</f>
        <v/>
      </c>
      <c r="L2535" s="885"/>
      <c r="M2535" s="1240">
        <f>S1AMHData!X54</f>
        <v>0</v>
      </c>
      <c r="N2535" s="885"/>
      <c r="O2535" s="940">
        <f>S1AMHData!Y54</f>
        <v>0</v>
      </c>
      <c r="P2535" s="940"/>
      <c r="Q2535" s="940"/>
      <c r="R2535" s="940"/>
      <c r="S2535" s="940">
        <f>S1AMHData!Z54</f>
        <v>0</v>
      </c>
      <c r="T2535" s="940"/>
      <c r="U2535" s="940"/>
      <c r="V2535" s="940"/>
      <c r="W2535" s="940">
        <f t="shared" si="46"/>
        <v>0</v>
      </c>
      <c r="X2535" s="940"/>
      <c r="Y2535" s="940"/>
      <c r="Z2535" s="940"/>
      <c r="AA2535" s="871">
        <f>S1AMHData!AB54</f>
        <v>0</v>
      </c>
      <c r="AB2535" s="871"/>
      <c r="AC2535" s="518"/>
      <c r="AD2535" s="518"/>
      <c r="AE2535" s="518"/>
      <c r="AF2535" s="518"/>
      <c r="AG2535" s="529"/>
      <c r="AH2535" s="518"/>
      <c r="AJ2535" s="595" t="b">
        <f t="shared" si="47"/>
        <v>0</v>
      </c>
    </row>
    <row r="2536" spans="1:36" hidden="1" x14ac:dyDescent="0.45">
      <c r="B2536" s="514" t="s">
        <v>1456</v>
      </c>
      <c r="C2536" s="530"/>
      <c r="D2536" s="530"/>
      <c r="E2536" s="530"/>
      <c r="F2536" s="530"/>
      <c r="G2536" s="885" t="str">
        <f>LEFT(S1AMHData!AG55,1)</f>
        <v/>
      </c>
      <c r="H2536" s="885"/>
      <c r="I2536" s="885" t="str">
        <f>LEFT(S1AMHData!L55,1)</f>
        <v/>
      </c>
      <c r="J2536" s="885"/>
      <c r="K2536" s="885" t="str">
        <f>LEFT(S1AMHData!N55,1)</f>
        <v/>
      </c>
      <c r="L2536" s="885"/>
      <c r="M2536" s="1240">
        <f>S1AMHData!X55</f>
        <v>0</v>
      </c>
      <c r="N2536" s="885"/>
      <c r="O2536" s="940">
        <f>S1AMHData!Y55</f>
        <v>0</v>
      </c>
      <c r="P2536" s="940"/>
      <c r="Q2536" s="940"/>
      <c r="R2536" s="940"/>
      <c r="S2536" s="940">
        <f>S1AMHData!Z55</f>
        <v>0</v>
      </c>
      <c r="T2536" s="940"/>
      <c r="U2536" s="940"/>
      <c r="V2536" s="940"/>
      <c r="W2536" s="940">
        <f t="shared" si="46"/>
        <v>0</v>
      </c>
      <c r="X2536" s="940"/>
      <c r="Y2536" s="940"/>
      <c r="Z2536" s="940"/>
      <c r="AA2536" s="871">
        <f>S1AMHData!AB55</f>
        <v>0</v>
      </c>
      <c r="AB2536" s="871"/>
      <c r="AC2536" s="518"/>
      <c r="AD2536" s="518"/>
      <c r="AE2536" s="518"/>
      <c r="AF2536" s="518"/>
      <c r="AG2536" s="529"/>
      <c r="AH2536" s="518"/>
      <c r="AJ2536" s="595" t="b">
        <f t="shared" si="47"/>
        <v>0</v>
      </c>
    </row>
    <row r="2537" spans="1:36" hidden="1" x14ac:dyDescent="0.45">
      <c r="B2537" s="514" t="s">
        <v>1457</v>
      </c>
      <c r="C2537" s="530"/>
      <c r="D2537" s="530"/>
      <c r="E2537" s="530"/>
      <c r="F2537" s="530"/>
      <c r="G2537" s="885" t="str">
        <f>LEFT(S1AMHData!AG56,1)</f>
        <v/>
      </c>
      <c r="H2537" s="885"/>
      <c r="I2537" s="885" t="str">
        <f>LEFT(S1AMHData!L56,1)</f>
        <v/>
      </c>
      <c r="J2537" s="885"/>
      <c r="K2537" s="885" t="str">
        <f>LEFT(S1AMHData!N56,1)</f>
        <v/>
      </c>
      <c r="L2537" s="885"/>
      <c r="M2537" s="1240">
        <f>S1AMHData!X56</f>
        <v>0</v>
      </c>
      <c r="N2537" s="885"/>
      <c r="O2537" s="940">
        <f>S1AMHData!Y56</f>
        <v>0</v>
      </c>
      <c r="P2537" s="940"/>
      <c r="Q2537" s="940"/>
      <c r="R2537" s="940"/>
      <c r="S2537" s="940">
        <f>S1AMHData!Z56</f>
        <v>0</v>
      </c>
      <c r="T2537" s="940"/>
      <c r="U2537" s="940"/>
      <c r="V2537" s="940"/>
      <c r="W2537" s="940">
        <f t="shared" si="46"/>
        <v>0</v>
      </c>
      <c r="X2537" s="940"/>
      <c r="Y2537" s="940"/>
      <c r="Z2537" s="940"/>
      <c r="AA2537" s="871">
        <f>S1AMHData!AB56</f>
        <v>0</v>
      </c>
      <c r="AB2537" s="871"/>
      <c r="AC2537" s="518"/>
      <c r="AD2537" s="518"/>
      <c r="AE2537" s="518"/>
      <c r="AF2537" s="518"/>
      <c r="AG2537" s="529"/>
      <c r="AH2537" s="518"/>
      <c r="AJ2537" s="595" t="b">
        <f t="shared" si="47"/>
        <v>0</v>
      </c>
    </row>
    <row r="2538" spans="1:36" hidden="1" x14ac:dyDescent="0.45">
      <c r="B2538" s="514" t="s">
        <v>1458</v>
      </c>
      <c r="C2538" s="530"/>
      <c r="D2538" s="530"/>
      <c r="E2538" s="530"/>
      <c r="F2538" s="530"/>
      <c r="G2538" s="885" t="str">
        <f>LEFT(S1AMHData!AG57,1)</f>
        <v/>
      </c>
      <c r="H2538" s="885"/>
      <c r="I2538" s="885" t="str">
        <f>LEFT(S1AMHData!L57,1)</f>
        <v/>
      </c>
      <c r="J2538" s="885"/>
      <c r="K2538" s="885" t="str">
        <f>LEFT(S1AMHData!N57,1)</f>
        <v/>
      </c>
      <c r="L2538" s="885"/>
      <c r="M2538" s="1240">
        <f>S1AMHData!X57</f>
        <v>0</v>
      </c>
      <c r="N2538" s="885"/>
      <c r="O2538" s="940">
        <f>S1AMHData!Y57</f>
        <v>0</v>
      </c>
      <c r="P2538" s="940"/>
      <c r="Q2538" s="940"/>
      <c r="R2538" s="940"/>
      <c r="S2538" s="940">
        <f>S1AMHData!Z57</f>
        <v>0</v>
      </c>
      <c r="T2538" s="940"/>
      <c r="U2538" s="940"/>
      <c r="V2538" s="940"/>
      <c r="W2538" s="940">
        <f t="shared" si="46"/>
        <v>0</v>
      </c>
      <c r="X2538" s="940"/>
      <c r="Y2538" s="940"/>
      <c r="Z2538" s="940"/>
      <c r="AA2538" s="871">
        <f>S1AMHData!AB57</f>
        <v>0</v>
      </c>
      <c r="AB2538" s="871"/>
      <c r="AC2538" s="518"/>
      <c r="AD2538" s="518"/>
      <c r="AE2538" s="518"/>
      <c r="AF2538" s="518"/>
      <c r="AG2538" s="529"/>
      <c r="AH2538" s="518"/>
      <c r="AJ2538" s="595" t="b">
        <f t="shared" si="47"/>
        <v>0</v>
      </c>
    </row>
    <row r="2539" spans="1:36" hidden="1" x14ac:dyDescent="0.45">
      <c r="B2539" s="514" t="s">
        <v>1459</v>
      </c>
      <c r="C2539" s="530"/>
      <c r="D2539" s="530"/>
      <c r="E2539" s="530"/>
      <c r="F2539" s="530"/>
      <c r="G2539" s="885" t="str">
        <f>LEFT(S1AMHData!AG58,1)</f>
        <v/>
      </c>
      <c r="H2539" s="885"/>
      <c r="I2539" s="885" t="str">
        <f>LEFT(S1AMHData!L58,1)</f>
        <v/>
      </c>
      <c r="J2539" s="885"/>
      <c r="K2539" s="885" t="str">
        <f>LEFT(S1AMHData!N58,1)</f>
        <v/>
      </c>
      <c r="L2539" s="885"/>
      <c r="M2539" s="1240">
        <f>S1AMHData!X58</f>
        <v>0</v>
      </c>
      <c r="N2539" s="885"/>
      <c r="O2539" s="940">
        <f>S1AMHData!Y58</f>
        <v>0</v>
      </c>
      <c r="P2539" s="940"/>
      <c r="Q2539" s="940"/>
      <c r="R2539" s="940"/>
      <c r="S2539" s="940">
        <f>S1AMHData!Z58</f>
        <v>0</v>
      </c>
      <c r="T2539" s="940"/>
      <c r="U2539" s="940"/>
      <c r="V2539" s="940"/>
      <c r="W2539" s="940">
        <f t="shared" si="46"/>
        <v>0</v>
      </c>
      <c r="X2539" s="940"/>
      <c r="Y2539" s="940"/>
      <c r="Z2539" s="940"/>
      <c r="AA2539" s="871">
        <f>S1AMHData!AB58</f>
        <v>0</v>
      </c>
      <c r="AB2539" s="871"/>
      <c r="AC2539" s="518"/>
      <c r="AD2539" s="518"/>
      <c r="AE2539" s="518"/>
      <c r="AF2539" s="518"/>
      <c r="AG2539" s="529"/>
      <c r="AH2539" s="518"/>
      <c r="AJ2539" s="595" t="b">
        <f t="shared" si="47"/>
        <v>0</v>
      </c>
    </row>
    <row r="2540" spans="1:36" hidden="1" x14ac:dyDescent="0.45">
      <c r="A2540" s="518"/>
      <c r="B2540" s="514" t="s">
        <v>1460</v>
      </c>
      <c r="C2540" s="530"/>
      <c r="D2540" s="530"/>
      <c r="E2540" s="530"/>
      <c r="F2540" s="530"/>
      <c r="G2540" s="885" t="str">
        <f>LEFT(S1AMHData!AG59,1)</f>
        <v/>
      </c>
      <c r="H2540" s="885"/>
      <c r="I2540" s="885" t="str">
        <f>LEFT(S1AMHData!L59,1)</f>
        <v/>
      </c>
      <c r="J2540" s="885"/>
      <c r="K2540" s="885" t="str">
        <f>LEFT(S1AMHData!N59,1)</f>
        <v/>
      </c>
      <c r="L2540" s="885"/>
      <c r="M2540" s="1240">
        <f>S1AMHData!X59</f>
        <v>0</v>
      </c>
      <c r="N2540" s="885"/>
      <c r="O2540" s="940">
        <f>S1AMHData!Y59</f>
        <v>0</v>
      </c>
      <c r="P2540" s="940"/>
      <c r="Q2540" s="940"/>
      <c r="R2540" s="940"/>
      <c r="S2540" s="940">
        <f>S1AMHData!Z59</f>
        <v>0</v>
      </c>
      <c r="T2540" s="940"/>
      <c r="U2540" s="940"/>
      <c r="V2540" s="940"/>
      <c r="W2540" s="940">
        <f t="shared" si="46"/>
        <v>0</v>
      </c>
      <c r="X2540" s="940"/>
      <c r="Y2540" s="940"/>
      <c r="Z2540" s="940"/>
      <c r="AA2540" s="871">
        <f>S1AMHData!AB59</f>
        <v>0</v>
      </c>
      <c r="AB2540" s="871"/>
      <c r="AC2540" s="518"/>
      <c r="AD2540" s="518"/>
      <c r="AE2540" s="518"/>
      <c r="AF2540" s="518"/>
      <c r="AG2540" s="529"/>
      <c r="AH2540" s="518"/>
      <c r="AJ2540" s="595" t="b">
        <f t="shared" si="47"/>
        <v>0</v>
      </c>
    </row>
    <row r="2541" spans="1:36" hidden="1" x14ac:dyDescent="0.45">
      <c r="A2541" s="518"/>
      <c r="B2541" s="514" t="s">
        <v>1461</v>
      </c>
      <c r="C2541" s="530"/>
      <c r="D2541" s="530"/>
      <c r="E2541" s="530"/>
      <c r="F2541" s="530"/>
      <c r="G2541" s="885" t="str">
        <f>LEFT(S1AMHData!AG60,1)</f>
        <v/>
      </c>
      <c r="H2541" s="885"/>
      <c r="I2541" s="885" t="str">
        <f>LEFT(S1AMHData!L60,1)</f>
        <v/>
      </c>
      <c r="J2541" s="885"/>
      <c r="K2541" s="885" t="str">
        <f>LEFT(S1AMHData!N60,1)</f>
        <v/>
      </c>
      <c r="L2541" s="885"/>
      <c r="M2541" s="1240">
        <f>S1AMHData!X60</f>
        <v>0</v>
      </c>
      <c r="N2541" s="885"/>
      <c r="O2541" s="940">
        <f>S1AMHData!Y60</f>
        <v>0</v>
      </c>
      <c r="P2541" s="940"/>
      <c r="Q2541" s="940"/>
      <c r="R2541" s="940"/>
      <c r="S2541" s="940">
        <f>S1AMHData!Z60</f>
        <v>0</v>
      </c>
      <c r="T2541" s="940"/>
      <c r="U2541" s="940"/>
      <c r="V2541" s="940"/>
      <c r="W2541" s="940">
        <f t="shared" si="46"/>
        <v>0</v>
      </c>
      <c r="X2541" s="940"/>
      <c r="Y2541" s="940"/>
      <c r="Z2541" s="940"/>
      <c r="AA2541" s="871">
        <f>S1AMHData!AB60</f>
        <v>0</v>
      </c>
      <c r="AB2541" s="871"/>
      <c r="AC2541" s="518"/>
      <c r="AD2541" s="518"/>
      <c r="AE2541" s="518"/>
      <c r="AF2541" s="518"/>
      <c r="AG2541" s="529"/>
      <c r="AH2541" s="518"/>
      <c r="AJ2541" s="595" t="b">
        <f t="shared" si="47"/>
        <v>0</v>
      </c>
    </row>
    <row r="2542" spans="1:36" hidden="1" x14ac:dyDescent="0.45">
      <c r="A2542" s="518"/>
      <c r="B2542" s="518"/>
      <c r="C2542" s="518"/>
      <c r="D2542" s="518"/>
      <c r="E2542" s="518"/>
      <c r="F2542" s="518"/>
      <c r="G2542" s="518"/>
      <c r="H2542" s="518"/>
      <c r="I2542" s="518"/>
      <c r="J2542" s="518"/>
      <c r="K2542" s="518"/>
      <c r="L2542" s="518"/>
      <c r="M2542" s="518"/>
      <c r="N2542" s="518"/>
      <c r="O2542" s="518"/>
      <c r="P2542" s="518"/>
      <c r="Q2542" s="518"/>
      <c r="R2542" s="518"/>
      <c r="S2542" s="518"/>
      <c r="T2542" s="518"/>
      <c r="U2542" s="518"/>
      <c r="V2542" s="518"/>
      <c r="W2542" s="518"/>
      <c r="X2542" s="518"/>
      <c r="Y2542" s="518"/>
      <c r="Z2542" s="518"/>
      <c r="AA2542" s="518"/>
      <c r="AB2542" s="518"/>
      <c r="AC2542" s="518"/>
      <c r="AD2542" s="518"/>
      <c r="AE2542" s="518"/>
      <c r="AF2542" s="518"/>
      <c r="AG2542" s="518"/>
      <c r="AH2542" s="518"/>
      <c r="AJ2542" s="595" t="b">
        <f>AJ2477</f>
        <v>0</v>
      </c>
    </row>
    <row r="2543" spans="1:36" hidden="1" x14ac:dyDescent="0.45">
      <c r="A2543" s="518"/>
      <c r="B2543" s="917" t="s">
        <v>173</v>
      </c>
      <c r="C2543" s="918"/>
      <c r="D2543" s="918"/>
      <c r="E2543" s="918"/>
      <c r="F2543" s="918"/>
      <c r="G2543" s="918"/>
      <c r="H2543" s="919" cm="1">
        <f t="array" ref="H2543">S1_AMH_RuralTotalRequested</f>
        <v>0</v>
      </c>
      <c r="I2543" s="920"/>
      <c r="J2543" s="920"/>
      <c r="K2543" s="920"/>
      <c r="L2543" s="920"/>
      <c r="M2543" s="920"/>
      <c r="N2543" s="921"/>
      <c r="O2543" s="518"/>
      <c r="P2543" s="518"/>
      <c r="Q2543" s="518"/>
      <c r="R2543" s="518"/>
      <c r="S2543" s="518"/>
      <c r="T2543" s="518"/>
      <c r="U2543" s="518"/>
      <c r="V2543" s="518"/>
      <c r="W2543" s="518"/>
      <c r="X2543" s="518"/>
      <c r="Y2543" s="518"/>
      <c r="Z2543" s="518"/>
      <c r="AA2543" s="518"/>
      <c r="AB2543" s="518"/>
      <c r="AC2543" s="518"/>
      <c r="AD2543" s="518"/>
      <c r="AE2543" s="518"/>
      <c r="AF2543" s="518"/>
      <c r="AG2543" s="518"/>
      <c r="AH2543" s="518"/>
      <c r="AJ2543" s="595"/>
    </row>
    <row r="2544" spans="1:36" hidden="1" x14ac:dyDescent="0.45">
      <c r="A2544" s="518"/>
      <c r="B2544" s="518"/>
      <c r="C2544" s="518"/>
      <c r="D2544" s="518"/>
      <c r="E2544" s="518"/>
      <c r="F2544" s="518"/>
      <c r="G2544" s="518"/>
      <c r="H2544" s="518"/>
      <c r="I2544" s="518"/>
      <c r="J2544" s="518"/>
      <c r="K2544" s="518"/>
      <c r="L2544" s="518"/>
      <c r="M2544" s="518"/>
      <c r="N2544" s="518"/>
      <c r="O2544" s="518"/>
      <c r="P2544" s="518"/>
      <c r="Q2544" s="518"/>
      <c r="R2544" s="518"/>
      <c r="S2544" s="518"/>
      <c r="T2544" s="518"/>
      <c r="U2544" s="518"/>
      <c r="V2544" s="518"/>
      <c r="W2544" s="518"/>
      <c r="X2544" s="518"/>
      <c r="Y2544" s="518"/>
      <c r="Z2544" s="518"/>
      <c r="AA2544" s="518"/>
      <c r="AB2544" s="518"/>
      <c r="AC2544" s="518"/>
      <c r="AD2544" s="518"/>
      <c r="AE2544" s="518"/>
      <c r="AF2544" s="518"/>
      <c r="AG2544" s="518"/>
      <c r="AH2544" s="518"/>
      <c r="AJ2544" s="595"/>
    </row>
    <row r="2545" spans="1:37" hidden="1" x14ac:dyDescent="0.45">
      <c r="A2545" s="518"/>
      <c r="B2545" s="517" t="s">
        <v>1809</v>
      </c>
      <c r="C2545" s="517"/>
      <c r="D2545" s="517"/>
      <c r="E2545" s="517"/>
      <c r="F2545" s="517"/>
      <c r="G2545" s="517"/>
      <c r="H2545" s="517"/>
      <c r="I2545" s="517"/>
      <c r="J2545" s="517"/>
      <c r="K2545" s="517"/>
      <c r="L2545" s="517"/>
      <c r="M2545" s="517"/>
      <c r="N2545" s="517"/>
      <c r="O2545" s="517"/>
      <c r="P2545" s="517"/>
      <c r="Q2545" s="517"/>
      <c r="R2545" s="517"/>
      <c r="S2545" s="517"/>
      <c r="T2545" s="517"/>
      <c r="U2545" s="517"/>
      <c r="V2545" s="517"/>
      <c r="W2545" s="517"/>
      <c r="X2545" s="517"/>
      <c r="Y2545" s="517"/>
      <c r="Z2545" s="517"/>
      <c r="AA2545" s="517"/>
      <c r="AB2545" s="517"/>
      <c r="AC2545" s="517"/>
      <c r="AD2545" s="517"/>
      <c r="AE2545" s="517"/>
      <c r="AF2545" s="517"/>
      <c r="AG2545" s="517"/>
      <c r="AH2545" s="518"/>
      <c r="AJ2545" s="595"/>
    </row>
    <row r="2546" spans="1:37" hidden="1" x14ac:dyDescent="0.45">
      <c r="A2546" s="518"/>
      <c r="B2546" s="922" t="s">
        <v>174</v>
      </c>
      <c r="C2546" s="922"/>
      <c r="D2546" s="922"/>
      <c r="E2546" s="922"/>
      <c r="F2546" s="922"/>
      <c r="G2546" s="922"/>
      <c r="H2546" s="922"/>
      <c r="I2546" s="922"/>
      <c r="J2546" s="922"/>
      <c r="K2546" s="922"/>
      <c r="L2546" s="922"/>
      <c r="M2546" s="922"/>
      <c r="N2546" s="922"/>
      <c r="O2546" s="878"/>
      <c r="P2546" s="879"/>
      <c r="Q2546" s="880"/>
      <c r="R2546" s="518"/>
      <c r="S2546" s="518"/>
      <c r="T2546" s="518"/>
      <c r="U2546" s="518"/>
      <c r="V2546" s="518"/>
      <c r="W2546" s="518"/>
      <c r="X2546" s="518"/>
      <c r="Y2546" s="518"/>
      <c r="Z2546" s="518"/>
      <c r="AA2546" s="518"/>
      <c r="AB2546" s="518"/>
      <c r="AC2546" s="518"/>
      <c r="AD2546" s="518"/>
      <c r="AE2546" s="518"/>
      <c r="AF2546" s="518"/>
      <c r="AG2546" s="518"/>
      <c r="AH2546" s="518"/>
      <c r="AJ2546" s="595"/>
    </row>
    <row r="2547" spans="1:37" hidden="1" x14ac:dyDescent="0.45">
      <c r="A2547" s="518"/>
      <c r="B2547" s="922" t="s">
        <v>175</v>
      </c>
      <c r="C2547" s="922"/>
      <c r="D2547" s="922"/>
      <c r="E2547" s="922"/>
      <c r="F2547" s="922"/>
      <c r="G2547" s="922"/>
      <c r="H2547" s="922"/>
      <c r="I2547" s="922"/>
      <c r="J2547" s="922"/>
      <c r="K2547" s="922"/>
      <c r="L2547" s="922"/>
      <c r="M2547" s="922"/>
      <c r="N2547" s="922"/>
      <c r="O2547" s="878"/>
      <c r="P2547" s="879"/>
      <c r="Q2547" s="880"/>
      <c r="R2547" s="518"/>
      <c r="S2547" s="518"/>
      <c r="T2547" s="518"/>
      <c r="U2547" s="518"/>
      <c r="V2547" s="518"/>
      <c r="W2547" s="518"/>
      <c r="X2547" s="518"/>
      <c r="Y2547" s="518"/>
      <c r="Z2547" s="518"/>
      <c r="AA2547" s="518"/>
      <c r="AB2547" s="518"/>
      <c r="AC2547" s="518"/>
      <c r="AD2547" s="518"/>
      <c r="AE2547" s="518"/>
      <c r="AF2547" s="518"/>
      <c r="AG2547" s="518"/>
      <c r="AH2547" s="518"/>
      <c r="AJ2547" s="595"/>
    </row>
    <row r="2548" spans="1:37" hidden="1" x14ac:dyDescent="0.45">
      <c r="A2548" s="518"/>
      <c r="B2548" s="922" t="s">
        <v>176</v>
      </c>
      <c r="C2548" s="922"/>
      <c r="D2548" s="922"/>
      <c r="E2548" s="922"/>
      <c r="F2548" s="922"/>
      <c r="G2548" s="922"/>
      <c r="H2548" s="922"/>
      <c r="I2548" s="922"/>
      <c r="J2548" s="922"/>
      <c r="K2548" s="922"/>
      <c r="L2548" s="922"/>
      <c r="M2548" s="922"/>
      <c r="N2548" s="922"/>
      <c r="O2548" s="878"/>
      <c r="P2548" s="879"/>
      <c r="Q2548" s="880"/>
      <c r="R2548" s="518"/>
      <c r="S2548" s="518"/>
      <c r="T2548" s="518"/>
      <c r="U2548" s="518"/>
      <c r="V2548" s="518"/>
      <c r="W2548" s="518"/>
      <c r="X2548" s="518"/>
      <c r="Y2548" s="518"/>
      <c r="Z2548" s="518"/>
      <c r="AA2548" s="518"/>
      <c r="AB2548" s="518"/>
      <c r="AC2548" s="518"/>
      <c r="AD2548" s="518"/>
      <c r="AE2548" s="518"/>
      <c r="AF2548" s="518"/>
      <c r="AG2548" s="518"/>
      <c r="AH2548" s="518"/>
      <c r="AJ2548" s="595"/>
    </row>
    <row r="2549" spans="1:37" hidden="1" x14ac:dyDescent="0.45">
      <c r="A2549" s="518"/>
      <c r="B2549" s="922" t="s">
        <v>177</v>
      </c>
      <c r="C2549" s="922"/>
      <c r="D2549" s="922"/>
      <c r="E2549" s="922"/>
      <c r="F2549" s="922"/>
      <c r="G2549" s="922"/>
      <c r="H2549" s="922"/>
      <c r="I2549" s="922"/>
      <c r="J2549" s="922"/>
      <c r="K2549" s="922"/>
      <c r="L2549" s="922"/>
      <c r="M2549" s="922"/>
      <c r="N2549" s="922"/>
      <c r="O2549" s="878"/>
      <c r="P2549" s="879"/>
      <c r="Q2549" s="880"/>
      <c r="R2549" s="518"/>
      <c r="S2549" s="518"/>
      <c r="T2549" s="518"/>
      <c r="U2549" s="518"/>
      <c r="V2549" s="518"/>
      <c r="W2549" s="518"/>
      <c r="X2549" s="518"/>
      <c r="Y2549" s="518"/>
      <c r="Z2549" s="518"/>
      <c r="AA2549" s="518"/>
      <c r="AB2549" s="518"/>
      <c r="AC2549" s="518"/>
      <c r="AD2549" s="518"/>
      <c r="AE2549" s="518"/>
      <c r="AF2549" s="518"/>
      <c r="AG2549" s="518"/>
      <c r="AH2549" s="518"/>
      <c r="AJ2549" s="595"/>
    </row>
    <row r="2550" spans="1:37" hidden="1" x14ac:dyDescent="0.45">
      <c r="A2550" s="518"/>
      <c r="B2550" s="1241" t="s">
        <v>178</v>
      </c>
      <c r="C2550" s="1241"/>
      <c r="D2550" s="1241"/>
      <c r="E2550" s="1241"/>
      <c r="F2550" s="1241"/>
      <c r="G2550" s="1241"/>
      <c r="H2550" s="1241"/>
      <c r="I2550" s="1241"/>
      <c r="J2550" s="1241"/>
      <c r="K2550" s="1241"/>
      <c r="L2550" s="1241"/>
      <c r="M2550" s="1241"/>
      <c r="N2550" s="1241"/>
      <c r="O2550" s="1242" t="s">
        <v>195</v>
      </c>
      <c r="P2550" s="1243"/>
      <c r="Q2550" s="1244"/>
      <c r="R2550" s="518"/>
      <c r="S2550" s="518"/>
      <c r="T2550" s="518"/>
      <c r="U2550" s="518"/>
      <c r="V2550" s="518"/>
      <c r="W2550" s="518"/>
      <c r="X2550" s="518"/>
      <c r="Y2550" s="518"/>
      <c r="Z2550" s="518"/>
      <c r="AA2550" s="518"/>
      <c r="AB2550" s="518"/>
      <c r="AC2550" s="518"/>
      <c r="AD2550" s="518"/>
      <c r="AE2550" s="518"/>
      <c r="AF2550" s="518"/>
      <c r="AG2550" s="518"/>
      <c r="AH2550" s="518"/>
      <c r="AJ2550" s="595"/>
    </row>
    <row r="2551" spans="1:37" hidden="1" x14ac:dyDescent="0.45">
      <c r="A2551" s="518"/>
      <c r="B2551" s="922" t="s">
        <v>179</v>
      </c>
      <c r="C2551" s="922"/>
      <c r="D2551" s="922"/>
      <c r="E2551" s="922"/>
      <c r="F2551" s="922"/>
      <c r="G2551" s="922"/>
      <c r="H2551" s="922"/>
      <c r="I2551" s="922"/>
      <c r="J2551" s="922"/>
      <c r="K2551" s="922"/>
      <c r="L2551" s="922"/>
      <c r="M2551" s="922"/>
      <c r="N2551" s="922"/>
      <c r="O2551" s="878"/>
      <c r="P2551" s="879"/>
      <c r="Q2551" s="880"/>
      <c r="R2551" s="518"/>
      <c r="S2551" s="518"/>
      <c r="T2551" s="518"/>
      <c r="U2551" s="518"/>
      <c r="V2551" s="518"/>
      <c r="W2551" s="518"/>
      <c r="X2551" s="518"/>
      <c r="Y2551" s="518"/>
      <c r="Z2551" s="518"/>
      <c r="AA2551" s="518"/>
      <c r="AB2551" s="518"/>
      <c r="AC2551" s="518"/>
      <c r="AD2551" s="518"/>
      <c r="AE2551" s="518"/>
      <c r="AF2551" s="518"/>
      <c r="AG2551" s="518"/>
      <c r="AH2551" s="518"/>
      <c r="AJ2551" s="595"/>
    </row>
    <row r="2552" spans="1:37" hidden="1" x14ac:dyDescent="0.45">
      <c r="A2552" s="518"/>
      <c r="B2552" s="922" t="s">
        <v>180</v>
      </c>
      <c r="C2552" s="922"/>
      <c r="D2552" s="922"/>
      <c r="E2552" s="922"/>
      <c r="F2552" s="922"/>
      <c r="G2552" s="922"/>
      <c r="H2552" s="922"/>
      <c r="I2552" s="922"/>
      <c r="J2552" s="922"/>
      <c r="K2552" s="922"/>
      <c r="L2552" s="922"/>
      <c r="M2552" s="922"/>
      <c r="N2552" s="922"/>
      <c r="O2552" s="878"/>
      <c r="P2552" s="879"/>
      <c r="Q2552" s="880"/>
      <c r="R2552" s="518"/>
      <c r="S2552" s="518"/>
      <c r="T2552" s="518"/>
      <c r="U2552" s="518"/>
      <c r="V2552" s="518"/>
      <c r="W2552" s="518"/>
      <c r="X2552" s="518"/>
      <c r="Y2552" s="518"/>
      <c r="Z2552" s="518"/>
      <c r="AA2552" s="518"/>
      <c r="AB2552" s="518"/>
      <c r="AC2552" s="518"/>
      <c r="AD2552" s="518"/>
      <c r="AE2552" s="518"/>
      <c r="AF2552" s="518"/>
      <c r="AG2552" s="518"/>
      <c r="AH2552" s="518"/>
      <c r="AJ2552" s="595"/>
    </row>
    <row r="2553" spans="1:37" hidden="1" x14ac:dyDescent="0.45">
      <c r="A2553" s="518"/>
      <c r="B2553" s="922" t="s">
        <v>1808</v>
      </c>
      <c r="C2553" s="922"/>
      <c r="D2553" s="922"/>
      <c r="E2553" s="922"/>
      <c r="F2553" s="922"/>
      <c r="G2553" s="922"/>
      <c r="H2553" s="922"/>
      <c r="I2553" s="922"/>
      <c r="J2553" s="922"/>
      <c r="K2553" s="922"/>
      <c r="L2553" s="922"/>
      <c r="M2553" s="922"/>
      <c r="N2553" s="922"/>
      <c r="O2553" s="878"/>
      <c r="P2553" s="879"/>
      <c r="Q2553" s="880"/>
      <c r="R2553" s="518"/>
      <c r="S2553" s="518"/>
      <c r="T2553" s="518"/>
      <c r="U2553" s="518"/>
      <c r="V2553" s="518"/>
      <c r="W2553" s="518"/>
      <c r="X2553" s="518"/>
      <c r="Y2553" s="518"/>
      <c r="Z2553" s="518"/>
      <c r="AA2553" s="518"/>
      <c r="AB2553" s="518"/>
      <c r="AC2553" s="518"/>
      <c r="AD2553" s="518"/>
      <c r="AE2553" s="518"/>
      <c r="AF2553" s="518"/>
      <c r="AG2553" s="518"/>
      <c r="AH2553" s="518"/>
      <c r="AJ2553" s="595"/>
    </row>
    <row r="2554" spans="1:37" hidden="1" x14ac:dyDescent="0.45">
      <c r="A2554" s="518"/>
      <c r="B2554" s="916" t="s">
        <v>181</v>
      </c>
      <c r="C2554" s="916"/>
      <c r="D2554" s="916"/>
      <c r="E2554" s="916"/>
      <c r="F2554" s="916"/>
      <c r="G2554" s="916"/>
      <c r="H2554" s="916"/>
      <c r="I2554" s="916"/>
      <c r="J2554" s="916"/>
      <c r="K2554" s="916"/>
      <c r="L2554" s="916"/>
      <c r="M2554" s="916"/>
      <c r="N2554" s="916"/>
      <c r="O2554" s="927"/>
      <c r="P2554" s="928"/>
      <c r="Q2554" s="929"/>
      <c r="R2554" s="518"/>
      <c r="S2554" s="518"/>
      <c r="T2554" s="518"/>
      <c r="U2554" s="518"/>
      <c r="V2554" s="518"/>
      <c r="W2554" s="518"/>
      <c r="X2554" s="518"/>
      <c r="Y2554" s="518"/>
      <c r="Z2554" s="518"/>
      <c r="AA2554" s="518"/>
      <c r="AB2554" s="518"/>
      <c r="AC2554" s="518"/>
      <c r="AD2554" s="518"/>
      <c r="AE2554" s="518"/>
      <c r="AF2554" s="518"/>
      <c r="AG2554" s="518"/>
      <c r="AH2554" s="518"/>
      <c r="AJ2554" s="595"/>
    </row>
    <row r="2555" spans="1:37" hidden="1" x14ac:dyDescent="0.45">
      <c r="A2555" s="518"/>
      <c r="B2555" s="930" t="s">
        <v>182</v>
      </c>
      <c r="C2555" s="930"/>
      <c r="D2555" s="930"/>
      <c r="E2555" s="930"/>
      <c r="F2555" s="930"/>
      <c r="G2555" s="930"/>
      <c r="H2555" s="930"/>
      <c r="I2555" s="930"/>
      <c r="J2555" s="930"/>
      <c r="K2555" s="930"/>
      <c r="L2555" s="930"/>
      <c r="M2555" s="930"/>
      <c r="N2555" s="930"/>
      <c r="O2555" s="878">
        <f>SUM(O2546:Q2553)-O2554</f>
        <v>0</v>
      </c>
      <c r="P2555" s="879"/>
      <c r="Q2555" s="880"/>
      <c r="R2555" s="518"/>
      <c r="S2555" s="518"/>
      <c r="T2555" s="518"/>
      <c r="U2555" s="518"/>
      <c r="V2555" s="518"/>
      <c r="W2555" s="518"/>
      <c r="X2555" s="518"/>
      <c r="Y2555" s="518"/>
      <c r="Z2555" s="518"/>
      <c r="AA2555" s="518"/>
      <c r="AB2555" s="518"/>
      <c r="AC2555" s="518"/>
      <c r="AD2555" s="518"/>
      <c r="AE2555" s="518"/>
      <c r="AF2555" s="518"/>
      <c r="AG2555" s="518"/>
      <c r="AH2555" s="518"/>
      <c r="AJ2555" s="595"/>
    </row>
    <row r="2556" spans="1:37" hidden="1" x14ac:dyDescent="0.45">
      <c r="A2556" s="518"/>
      <c r="B2556" s="517"/>
      <c r="C2556" s="517"/>
      <c r="D2556" s="517"/>
      <c r="E2556" s="517"/>
      <c r="F2556" s="517"/>
      <c r="G2556" s="517"/>
      <c r="H2556" s="517"/>
      <c r="I2556" s="517"/>
      <c r="J2556" s="517"/>
      <c r="K2556" s="517"/>
      <c r="L2556" s="517"/>
      <c r="M2556" s="517"/>
      <c r="N2556" s="517"/>
      <c r="O2556" s="532"/>
      <c r="P2556" s="532"/>
      <c r="Q2556" s="532"/>
      <c r="R2556" s="518"/>
      <c r="S2556" s="533"/>
      <c r="T2556" s="533"/>
      <c r="U2556" s="533"/>
      <c r="V2556" s="533"/>
      <c r="W2556" s="533"/>
      <c r="X2556" s="533"/>
      <c r="Y2556" s="533"/>
      <c r="Z2556" s="533"/>
      <c r="AA2556" s="533"/>
      <c r="AB2556" s="533"/>
      <c r="AC2556" s="533"/>
      <c r="AD2556" s="533"/>
      <c r="AE2556" s="533"/>
      <c r="AF2556" s="533"/>
      <c r="AG2556" s="533"/>
      <c r="AH2556" s="518"/>
      <c r="AJ2556" s="595"/>
    </row>
    <row r="2557" spans="1:37" ht="200.15" hidden="1" customHeight="1" x14ac:dyDescent="0.45">
      <c r="A2557" s="518"/>
      <c r="B2557" s="926" t="s">
        <v>183</v>
      </c>
      <c r="C2557" s="926"/>
      <c r="D2557" s="926"/>
      <c r="E2557" s="926"/>
      <c r="F2557" s="926"/>
      <c r="G2557" s="926"/>
      <c r="H2557" s="926"/>
      <c r="I2557" s="926"/>
      <c r="J2557" s="926"/>
      <c r="K2557" s="926"/>
      <c r="L2557" s="926"/>
      <c r="M2557" s="926"/>
      <c r="N2557" s="926"/>
      <c r="O2557" s="926"/>
      <c r="P2557" s="926"/>
      <c r="Q2557" s="926"/>
      <c r="R2557" s="926"/>
      <c r="S2557" s="926"/>
      <c r="T2557" s="926"/>
      <c r="U2557" s="926"/>
      <c r="V2557" s="926"/>
      <c r="W2557" s="926"/>
      <c r="X2557" s="926"/>
      <c r="Y2557" s="926"/>
      <c r="Z2557" s="926"/>
      <c r="AA2557" s="926"/>
      <c r="AB2557" s="926"/>
      <c r="AC2557" s="926"/>
      <c r="AD2557" s="926"/>
      <c r="AE2557" s="926"/>
      <c r="AF2557" s="926"/>
      <c r="AG2557" s="926"/>
      <c r="AH2557" s="518"/>
      <c r="AJ2557" s="595"/>
    </row>
    <row r="2558" spans="1:37" hidden="1" x14ac:dyDescent="0.45">
      <c r="A2558" s="518"/>
      <c r="B2558" s="518"/>
      <c r="C2558" s="518"/>
      <c r="D2558" s="518"/>
      <c r="E2558" s="518"/>
      <c r="F2558" s="518"/>
      <c r="G2558" s="518"/>
      <c r="H2558" s="518"/>
      <c r="I2558" s="518"/>
      <c r="J2558" s="518"/>
      <c r="K2558" s="518"/>
      <c r="L2558" s="518"/>
      <c r="M2558" s="518"/>
      <c r="N2558" s="518"/>
      <c r="O2558" s="518"/>
      <c r="P2558" s="518"/>
      <c r="Q2558" s="518"/>
      <c r="R2558" s="518"/>
      <c r="S2558" s="518"/>
      <c r="T2558" s="518"/>
      <c r="U2558" s="518"/>
      <c r="V2558" s="518"/>
      <c r="W2558" s="518"/>
      <c r="X2558" s="518"/>
      <c r="Y2558" s="518"/>
      <c r="Z2558" s="518"/>
      <c r="AA2558" s="518"/>
      <c r="AB2558" s="518"/>
      <c r="AC2558" s="518"/>
      <c r="AD2558" s="518"/>
      <c r="AE2558" s="518"/>
      <c r="AF2558" s="518"/>
      <c r="AG2558" s="518"/>
      <c r="AH2558" s="518"/>
      <c r="AJ2558" s="595"/>
    </row>
    <row r="2559" spans="1:37" hidden="1" x14ac:dyDescent="0.45">
      <c r="A2559" s="518"/>
      <c r="B2559" s="518"/>
      <c r="C2559" s="518"/>
      <c r="D2559" s="518"/>
      <c r="E2559" s="518"/>
      <c r="F2559" s="518"/>
      <c r="G2559" s="518"/>
      <c r="H2559" s="518"/>
      <c r="I2559" s="518"/>
      <c r="J2559" s="518"/>
      <c r="K2559" s="518"/>
      <c r="L2559" s="518"/>
      <c r="M2559" s="518"/>
      <c r="N2559" s="518"/>
      <c r="O2559" s="518"/>
      <c r="P2559" s="518"/>
      <c r="Q2559" s="518"/>
      <c r="R2559" s="518"/>
      <c r="S2559" s="518"/>
      <c r="T2559" s="518"/>
      <c r="U2559" s="518"/>
      <c r="V2559" s="518"/>
      <c r="W2559" s="518"/>
      <c r="X2559" s="518"/>
      <c r="Y2559" s="518"/>
      <c r="Z2559" s="518"/>
      <c r="AA2559" s="518"/>
      <c r="AB2559" s="518"/>
      <c r="AC2559" s="518"/>
      <c r="AD2559" s="518"/>
      <c r="AE2559" s="518"/>
      <c r="AF2559" s="518"/>
      <c r="AG2559" s="518"/>
      <c r="AH2559" s="518"/>
      <c r="AJ2559" s="595" t="b">
        <f>AND(
APP_ApplyingForSerna="Yes",
S1_ER_EligibleApplicant,
S1_OOR_CompletionStatus="Final/Complete")</f>
        <v>0</v>
      </c>
      <c r="AK2559" s="462" t="str">
        <f>B2560</f>
        <v>Serna Owner-Occupied Rehabilitation Application</v>
      </c>
    </row>
    <row r="2560" spans="1:37" hidden="1" x14ac:dyDescent="0.45">
      <c r="A2560" s="518"/>
      <c r="B2560" s="907" t="s">
        <v>1826</v>
      </c>
      <c r="C2560" s="907"/>
      <c r="D2560" s="907"/>
      <c r="E2560" s="907"/>
      <c r="F2560" s="907"/>
      <c r="G2560" s="907"/>
      <c r="H2560" s="907"/>
      <c r="I2560" s="907"/>
      <c r="J2560" s="907"/>
      <c r="K2560" s="907"/>
      <c r="L2560" s="907"/>
      <c r="M2560" s="907"/>
      <c r="N2560" s="907"/>
      <c r="O2560" s="907"/>
      <c r="P2560" s="907"/>
      <c r="Q2560" s="907"/>
      <c r="R2560" s="907"/>
      <c r="S2560" s="907"/>
      <c r="T2560" s="907"/>
      <c r="U2560" s="907"/>
      <c r="V2560" s="907"/>
      <c r="W2560" s="907"/>
      <c r="X2560" s="907"/>
      <c r="Y2560" s="907"/>
      <c r="Z2560" s="907"/>
      <c r="AA2560" s="907"/>
      <c r="AB2560" s="907"/>
      <c r="AC2560" s="907"/>
      <c r="AD2560" s="907"/>
      <c r="AE2560" s="907"/>
      <c r="AF2560" s="907"/>
      <c r="AG2560" s="907"/>
      <c r="AH2560" s="518"/>
      <c r="AJ2560" s="595"/>
    </row>
    <row r="2561" spans="1:36" hidden="1" x14ac:dyDescent="0.45">
      <c r="A2561" s="518"/>
      <c r="B2561" s="517"/>
      <c r="C2561" s="517"/>
      <c r="D2561" s="517"/>
      <c r="E2561" s="517"/>
      <c r="F2561" s="517"/>
      <c r="G2561" s="517"/>
      <c r="H2561" s="517"/>
      <c r="I2561" s="517"/>
      <c r="J2561" s="517"/>
      <c r="K2561" s="517"/>
      <c r="L2561" s="517"/>
      <c r="M2561" s="517"/>
      <c r="N2561" s="517"/>
      <c r="O2561" s="517"/>
      <c r="P2561" s="517"/>
      <c r="Q2561" s="517"/>
      <c r="R2561" s="517"/>
      <c r="S2561" s="517"/>
      <c r="T2561" s="517"/>
      <c r="U2561" s="517"/>
      <c r="V2561" s="517"/>
      <c r="W2561" s="517"/>
      <c r="X2561" s="517"/>
      <c r="Y2561" s="517"/>
      <c r="Z2561" s="517"/>
      <c r="AA2561" s="517"/>
      <c r="AB2561" s="517"/>
      <c r="AC2561" s="517"/>
      <c r="AD2561" s="517"/>
      <c r="AE2561" s="517"/>
      <c r="AF2561" s="517"/>
      <c r="AG2561" s="517"/>
      <c r="AH2561" s="518"/>
      <c r="AJ2561" s="595"/>
    </row>
    <row r="2562" spans="1:36" hidden="1" x14ac:dyDescent="0.45">
      <c r="A2562" s="518"/>
      <c r="B2562" s="923" t="s">
        <v>88</v>
      </c>
      <c r="C2562" s="923"/>
      <c r="D2562" s="923"/>
      <c r="E2562" s="923"/>
      <c r="F2562" s="923"/>
      <c r="G2562" s="923"/>
      <c r="H2562" s="923"/>
      <c r="I2562" s="1214"/>
      <c r="J2562" s="1215"/>
      <c r="K2562" s="1215"/>
      <c r="L2562" s="1215"/>
      <c r="M2562" s="1215"/>
      <c r="N2562" s="1215"/>
      <c r="O2562" s="1216"/>
      <c r="P2562" s="517"/>
      <c r="Q2562" s="517"/>
      <c r="R2562" s="517"/>
      <c r="S2562" s="517"/>
      <c r="T2562" s="517"/>
      <c r="U2562" s="517"/>
      <c r="V2562" s="517"/>
      <c r="W2562" s="517"/>
      <c r="X2562" s="517"/>
      <c r="Y2562" s="517"/>
      <c r="Z2562" s="517"/>
      <c r="AA2562" s="517"/>
      <c r="AB2562" s="517"/>
      <c r="AC2562" s="517"/>
      <c r="AD2562" s="517"/>
      <c r="AE2562" s="517"/>
      <c r="AF2562" s="1180"/>
      <c r="AG2562" s="1180"/>
      <c r="AH2562" s="518"/>
      <c r="AJ2562" s="595"/>
    </row>
    <row r="2563" spans="1:36" hidden="1" x14ac:dyDescent="0.45">
      <c r="A2563" s="518"/>
      <c r="B2563" s="518"/>
      <c r="C2563" s="518"/>
      <c r="D2563" s="518"/>
      <c r="E2563" s="518"/>
      <c r="F2563" s="518"/>
      <c r="G2563" s="518"/>
      <c r="H2563" s="518"/>
      <c r="I2563" s="518"/>
      <c r="J2563" s="518"/>
      <c r="K2563" s="518"/>
      <c r="L2563" s="518"/>
      <c r="M2563" s="518"/>
      <c r="N2563" s="518"/>
      <c r="O2563" s="518"/>
      <c r="P2563" s="518"/>
      <c r="Q2563" s="518"/>
      <c r="R2563" s="518"/>
      <c r="S2563" s="518"/>
      <c r="T2563" s="518"/>
      <c r="U2563" s="518"/>
      <c r="V2563" s="518"/>
      <c r="W2563" s="518"/>
      <c r="X2563" s="518"/>
      <c r="Y2563" s="518"/>
      <c r="Z2563" s="518"/>
      <c r="AA2563" s="518"/>
      <c r="AB2563" s="518"/>
      <c r="AC2563" s="518"/>
      <c r="AD2563" s="518"/>
      <c r="AE2563" s="518"/>
      <c r="AF2563" s="518"/>
      <c r="AG2563" s="518"/>
      <c r="AH2563" s="518"/>
      <c r="AJ2563" s="595"/>
    </row>
    <row r="2564" spans="1:36" hidden="1" x14ac:dyDescent="0.45">
      <c r="A2564" s="518"/>
      <c r="B2564" s="1124" t="s">
        <v>197</v>
      </c>
      <c r="C2564" s="1125"/>
      <c r="D2564" s="1125"/>
      <c r="E2564" s="1125"/>
      <c r="F2564" s="1125"/>
      <c r="G2564" s="1125"/>
      <c r="H2564" s="1125"/>
      <c r="I2564" s="1125"/>
      <c r="J2564" s="1125"/>
      <c r="K2564" s="1125"/>
      <c r="L2564" s="1125"/>
      <c r="M2564" s="1125"/>
      <c r="N2564" s="1125"/>
      <c r="O2564" s="1125"/>
      <c r="P2564" s="1125"/>
      <c r="Q2564" s="1125"/>
      <c r="R2564" s="1125"/>
      <c r="S2564" s="1125"/>
      <c r="T2564" s="1125"/>
      <c r="U2564" s="1125"/>
      <c r="V2564" s="1125"/>
      <c r="W2564" s="1125"/>
      <c r="X2564" s="1125"/>
      <c r="Y2564" s="1125"/>
      <c r="Z2564" s="1125"/>
      <c r="AA2564" s="1125"/>
      <c r="AB2564" s="1125"/>
      <c r="AC2564" s="1125"/>
      <c r="AD2564" s="1125"/>
      <c r="AE2564" s="573"/>
      <c r="AF2564" s="1123"/>
      <c r="AG2564" s="1123"/>
      <c r="AH2564" s="518"/>
      <c r="AJ2564" s="595"/>
    </row>
    <row r="2565" spans="1:36" hidden="1" x14ac:dyDescent="0.45">
      <c r="A2565" s="518"/>
      <c r="B2565" s="518"/>
      <c r="C2565" s="518"/>
      <c r="D2565" s="518"/>
      <c r="E2565" s="518"/>
      <c r="F2565" s="518"/>
      <c r="G2565" s="518"/>
      <c r="H2565" s="518"/>
      <c r="I2565" s="518"/>
      <c r="J2565" s="518"/>
      <c r="K2565" s="518"/>
      <c r="L2565" s="518"/>
      <c r="M2565" s="518"/>
      <c r="N2565" s="518"/>
      <c r="O2565" s="518"/>
      <c r="P2565" s="518"/>
      <c r="Q2565" s="518"/>
      <c r="R2565" s="518"/>
      <c r="S2565" s="518"/>
      <c r="T2565" s="518"/>
      <c r="U2565" s="518"/>
      <c r="V2565" s="518"/>
      <c r="W2565" s="518"/>
      <c r="X2565" s="518"/>
      <c r="Y2565" s="518"/>
      <c r="Z2565" s="518"/>
      <c r="AA2565" s="518"/>
      <c r="AB2565" s="518"/>
      <c r="AC2565" s="518"/>
      <c r="AD2565" s="518"/>
      <c r="AE2565" s="518"/>
      <c r="AF2565" s="518"/>
      <c r="AG2565" s="518"/>
      <c r="AH2565" s="518"/>
      <c r="AJ2565" s="595"/>
    </row>
    <row r="2566" spans="1:36" hidden="1" x14ac:dyDescent="0.45">
      <c r="A2566" s="518"/>
      <c r="B2566" s="1137" t="s">
        <v>90</v>
      </c>
      <c r="C2566" s="1138"/>
      <c r="D2566" s="1138"/>
      <c r="E2566" s="1138"/>
      <c r="F2566" s="1138"/>
      <c r="G2566" s="1138"/>
      <c r="H2566" s="1138"/>
      <c r="I2566" s="1138"/>
      <c r="J2566" s="1138"/>
      <c r="K2566" s="1138"/>
      <c r="L2566" s="1138"/>
      <c r="M2566" s="1138"/>
      <c r="N2566" s="1138"/>
      <c r="O2566" s="1138"/>
      <c r="P2566" s="1138"/>
      <c r="Q2566" s="1138"/>
      <c r="R2566" s="1138"/>
      <c r="S2566" s="1138"/>
      <c r="T2566" s="1138"/>
      <c r="U2566" s="1139"/>
      <c r="V2566" s="1143" t="s">
        <v>91</v>
      </c>
      <c r="W2566" s="1143"/>
      <c r="X2566" s="1143"/>
      <c r="Y2566" s="1143" t="s">
        <v>92</v>
      </c>
      <c r="Z2566" s="1143"/>
      <c r="AA2566" s="1143"/>
      <c r="AB2566" s="1143" t="s">
        <v>93</v>
      </c>
      <c r="AC2566" s="1143"/>
      <c r="AD2566" s="1143"/>
      <c r="AE2566" s="1143" t="s">
        <v>94</v>
      </c>
      <c r="AF2566" s="1143"/>
      <c r="AG2566" s="1143"/>
      <c r="AH2566" s="518"/>
      <c r="AJ2566" s="595"/>
    </row>
    <row r="2567" spans="1:36" hidden="1" x14ac:dyDescent="0.45">
      <c r="A2567" s="518"/>
      <c r="B2567" s="1140"/>
      <c r="C2567" s="1141"/>
      <c r="D2567" s="1141"/>
      <c r="E2567" s="1141"/>
      <c r="F2567" s="1141"/>
      <c r="G2567" s="1141"/>
      <c r="H2567" s="1141"/>
      <c r="I2567" s="1141"/>
      <c r="J2567" s="1141"/>
      <c r="K2567" s="1141"/>
      <c r="L2567" s="1141"/>
      <c r="M2567" s="1141"/>
      <c r="N2567" s="1141"/>
      <c r="O2567" s="1141"/>
      <c r="P2567" s="1141"/>
      <c r="Q2567" s="1141"/>
      <c r="R2567" s="1141"/>
      <c r="S2567" s="1141"/>
      <c r="T2567" s="1141"/>
      <c r="U2567" s="1142"/>
      <c r="V2567" s="1143"/>
      <c r="W2567" s="1143"/>
      <c r="X2567" s="1143"/>
      <c r="Y2567" s="1143"/>
      <c r="Z2567" s="1143"/>
      <c r="AA2567" s="1143"/>
      <c r="AB2567" s="1143"/>
      <c r="AC2567" s="1143"/>
      <c r="AD2567" s="1143"/>
      <c r="AE2567" s="1143"/>
      <c r="AF2567" s="1143"/>
      <c r="AG2567" s="1143"/>
      <c r="AH2567" s="518"/>
      <c r="AJ2567" s="595"/>
    </row>
    <row r="2568" spans="1:36" hidden="1" x14ac:dyDescent="0.45">
      <c r="A2568" s="518"/>
      <c r="B2568" s="1150"/>
      <c r="C2568" s="1151"/>
      <c r="D2568" s="1151"/>
      <c r="E2568" s="1151"/>
      <c r="F2568" s="1151"/>
      <c r="G2568" s="1151"/>
      <c r="H2568" s="1151"/>
      <c r="I2568" s="1151"/>
      <c r="J2568" s="1151"/>
      <c r="K2568" s="1151"/>
      <c r="L2568" s="1151"/>
      <c r="M2568" s="1151"/>
      <c r="N2568" s="1151"/>
      <c r="O2568" s="1151"/>
      <c r="P2568" s="1151"/>
      <c r="Q2568" s="1151"/>
      <c r="R2568" s="1151"/>
      <c r="S2568" s="1151"/>
      <c r="T2568" s="1151"/>
      <c r="U2568" s="1152"/>
      <c r="V2568" s="894"/>
      <c r="W2568" s="895"/>
      <c r="X2568" s="896"/>
      <c r="Y2568" s="1201"/>
      <c r="Z2568" s="1202"/>
      <c r="AA2568" s="1203"/>
      <c r="AB2568" s="1201"/>
      <c r="AC2568" s="1202"/>
      <c r="AD2568" s="1203"/>
      <c r="AE2568" s="1207" cm="1">
        <f t="array" ref="AE2568">wwDateDiff(S1_OOR_PreviousProgramStart1,S1_OOR_PreviousProgramEnd1)</f>
        <v>0</v>
      </c>
      <c r="AF2568" s="1208"/>
      <c r="AG2568" s="1209"/>
      <c r="AH2568" s="518"/>
      <c r="AJ2568" s="595"/>
    </row>
    <row r="2569" spans="1:36" hidden="1" x14ac:dyDescent="0.45">
      <c r="A2569" s="518"/>
      <c r="B2569" s="1153"/>
      <c r="C2569" s="1154"/>
      <c r="D2569" s="1154"/>
      <c r="E2569" s="1154"/>
      <c r="F2569" s="1154"/>
      <c r="G2569" s="1154"/>
      <c r="H2569" s="1154"/>
      <c r="I2569" s="1154"/>
      <c r="J2569" s="1154"/>
      <c r="K2569" s="1154"/>
      <c r="L2569" s="1154"/>
      <c r="M2569" s="1154"/>
      <c r="N2569" s="1154"/>
      <c r="O2569" s="1154"/>
      <c r="P2569" s="1154"/>
      <c r="Q2569" s="1154"/>
      <c r="R2569" s="1154"/>
      <c r="S2569" s="1154"/>
      <c r="T2569" s="1154"/>
      <c r="U2569" s="1155"/>
      <c r="V2569" s="897"/>
      <c r="W2569" s="898"/>
      <c r="X2569" s="899"/>
      <c r="Y2569" s="1204"/>
      <c r="Z2569" s="1205"/>
      <c r="AA2569" s="1206"/>
      <c r="AB2569" s="1204"/>
      <c r="AC2569" s="1205"/>
      <c r="AD2569" s="1206"/>
      <c r="AE2569" s="1210"/>
      <c r="AF2569" s="1211"/>
      <c r="AG2569" s="1212"/>
      <c r="AH2569" s="518"/>
      <c r="AJ2569" s="595"/>
    </row>
    <row r="2570" spans="1:36" hidden="1" x14ac:dyDescent="0.45">
      <c r="A2570" s="518"/>
      <c r="B2570" s="1150"/>
      <c r="C2570" s="1151"/>
      <c r="D2570" s="1151"/>
      <c r="E2570" s="1151"/>
      <c r="F2570" s="1151"/>
      <c r="G2570" s="1151"/>
      <c r="H2570" s="1151"/>
      <c r="I2570" s="1151"/>
      <c r="J2570" s="1151"/>
      <c r="K2570" s="1151"/>
      <c r="L2570" s="1151"/>
      <c r="M2570" s="1151"/>
      <c r="N2570" s="1151"/>
      <c r="O2570" s="1151"/>
      <c r="P2570" s="1151"/>
      <c r="Q2570" s="1151"/>
      <c r="R2570" s="1151"/>
      <c r="S2570" s="1151"/>
      <c r="T2570" s="1151"/>
      <c r="U2570" s="1152"/>
      <c r="V2570" s="894"/>
      <c r="W2570" s="895"/>
      <c r="X2570" s="896"/>
      <c r="Y2570" s="1201"/>
      <c r="Z2570" s="1202"/>
      <c r="AA2570" s="1203"/>
      <c r="AB2570" s="1201"/>
      <c r="AC2570" s="1202"/>
      <c r="AD2570" s="1203"/>
      <c r="AE2570" s="1207" cm="1">
        <f t="array" ref="AE2570">wwDateDiff(S1_OOR_PreviousProgramStart2,S1_OOR_PreviousProgramEnd2)</f>
        <v>0</v>
      </c>
      <c r="AF2570" s="1208"/>
      <c r="AG2570" s="1209"/>
      <c r="AH2570" s="518"/>
      <c r="AJ2570" s="595"/>
    </row>
    <row r="2571" spans="1:36" hidden="1" x14ac:dyDescent="0.45">
      <c r="A2571" s="518"/>
      <c r="B2571" s="1153"/>
      <c r="C2571" s="1154"/>
      <c r="D2571" s="1154"/>
      <c r="E2571" s="1154"/>
      <c r="F2571" s="1154"/>
      <c r="G2571" s="1154"/>
      <c r="H2571" s="1154"/>
      <c r="I2571" s="1154"/>
      <c r="J2571" s="1154"/>
      <c r="K2571" s="1154"/>
      <c r="L2571" s="1154"/>
      <c r="M2571" s="1154"/>
      <c r="N2571" s="1154"/>
      <c r="O2571" s="1154"/>
      <c r="P2571" s="1154"/>
      <c r="Q2571" s="1154"/>
      <c r="R2571" s="1154"/>
      <c r="S2571" s="1154"/>
      <c r="T2571" s="1154"/>
      <c r="U2571" s="1155"/>
      <c r="V2571" s="897"/>
      <c r="W2571" s="898"/>
      <c r="X2571" s="899"/>
      <c r="Y2571" s="1204"/>
      <c r="Z2571" s="1205"/>
      <c r="AA2571" s="1206"/>
      <c r="AB2571" s="1204"/>
      <c r="AC2571" s="1205"/>
      <c r="AD2571" s="1206"/>
      <c r="AE2571" s="1210"/>
      <c r="AF2571" s="1211"/>
      <c r="AG2571" s="1212"/>
      <c r="AH2571" s="518"/>
      <c r="AJ2571" s="595"/>
    </row>
    <row r="2572" spans="1:36" hidden="1" x14ac:dyDescent="0.45">
      <c r="A2572" s="518"/>
      <c r="B2572" s="1150"/>
      <c r="C2572" s="1151"/>
      <c r="D2572" s="1151"/>
      <c r="E2572" s="1151"/>
      <c r="F2572" s="1151"/>
      <c r="G2572" s="1151"/>
      <c r="H2572" s="1151"/>
      <c r="I2572" s="1151"/>
      <c r="J2572" s="1151"/>
      <c r="K2572" s="1151"/>
      <c r="L2572" s="1151"/>
      <c r="M2572" s="1151"/>
      <c r="N2572" s="1151"/>
      <c r="O2572" s="1151"/>
      <c r="P2572" s="1151"/>
      <c r="Q2572" s="1151"/>
      <c r="R2572" s="1151"/>
      <c r="S2572" s="1151"/>
      <c r="T2572" s="1151"/>
      <c r="U2572" s="1152"/>
      <c r="V2572" s="894"/>
      <c r="W2572" s="895"/>
      <c r="X2572" s="896"/>
      <c r="Y2572" s="1201"/>
      <c r="Z2572" s="1202"/>
      <c r="AA2572" s="1203"/>
      <c r="AB2572" s="1201"/>
      <c r="AC2572" s="1202"/>
      <c r="AD2572" s="1203"/>
      <c r="AE2572" s="1207" cm="1">
        <f t="array" ref="AE2572">wwDateDiff(S1_OOR_PreviousProgramStart3,S1_OOR_PreviousProgramEnd3)</f>
        <v>0</v>
      </c>
      <c r="AF2572" s="1208"/>
      <c r="AG2572" s="1209"/>
      <c r="AH2572" s="518"/>
      <c r="AJ2572" s="595"/>
    </row>
    <row r="2573" spans="1:36" hidden="1" x14ac:dyDescent="0.45">
      <c r="A2573" s="518"/>
      <c r="B2573" s="1153"/>
      <c r="C2573" s="1154"/>
      <c r="D2573" s="1154"/>
      <c r="E2573" s="1154"/>
      <c r="F2573" s="1154"/>
      <c r="G2573" s="1154"/>
      <c r="H2573" s="1154"/>
      <c r="I2573" s="1154"/>
      <c r="J2573" s="1154"/>
      <c r="K2573" s="1154"/>
      <c r="L2573" s="1154"/>
      <c r="M2573" s="1154"/>
      <c r="N2573" s="1154"/>
      <c r="O2573" s="1154"/>
      <c r="P2573" s="1154"/>
      <c r="Q2573" s="1154"/>
      <c r="R2573" s="1154"/>
      <c r="S2573" s="1154"/>
      <c r="T2573" s="1154"/>
      <c r="U2573" s="1155"/>
      <c r="V2573" s="897"/>
      <c r="W2573" s="898"/>
      <c r="X2573" s="899"/>
      <c r="Y2573" s="1204"/>
      <c r="Z2573" s="1205"/>
      <c r="AA2573" s="1206"/>
      <c r="AB2573" s="1204"/>
      <c r="AC2573" s="1205"/>
      <c r="AD2573" s="1206"/>
      <c r="AE2573" s="1210"/>
      <c r="AF2573" s="1211"/>
      <c r="AG2573" s="1212"/>
      <c r="AH2573" s="518"/>
      <c r="AJ2573" s="595"/>
    </row>
    <row r="2574" spans="1:36" hidden="1" x14ac:dyDescent="0.45">
      <c r="A2574" s="518"/>
      <c r="B2574" s="1150"/>
      <c r="C2574" s="1151"/>
      <c r="D2574" s="1151"/>
      <c r="E2574" s="1151"/>
      <c r="F2574" s="1151"/>
      <c r="G2574" s="1151"/>
      <c r="H2574" s="1151"/>
      <c r="I2574" s="1151"/>
      <c r="J2574" s="1151"/>
      <c r="K2574" s="1151"/>
      <c r="L2574" s="1151"/>
      <c r="M2574" s="1151"/>
      <c r="N2574" s="1151"/>
      <c r="O2574" s="1151"/>
      <c r="P2574" s="1151"/>
      <c r="Q2574" s="1151"/>
      <c r="R2574" s="1151"/>
      <c r="S2574" s="1151"/>
      <c r="T2574" s="1151"/>
      <c r="U2574" s="1152"/>
      <c r="V2574" s="894"/>
      <c r="W2574" s="895"/>
      <c r="X2574" s="896"/>
      <c r="Y2574" s="1201"/>
      <c r="Z2574" s="1202"/>
      <c r="AA2574" s="1203"/>
      <c r="AB2574" s="1201"/>
      <c r="AC2574" s="1202"/>
      <c r="AD2574" s="1203"/>
      <c r="AE2574" s="1207" cm="1">
        <f t="array" ref="AE2574">wwDateDiff(S1_OOR_PreviousProgramStart4,S1_OOR_PreviousProgramEnd4)</f>
        <v>0</v>
      </c>
      <c r="AF2574" s="1208"/>
      <c r="AG2574" s="1209"/>
      <c r="AH2574" s="518"/>
      <c r="AJ2574" s="595"/>
    </row>
    <row r="2575" spans="1:36" hidden="1" x14ac:dyDescent="0.45">
      <c r="A2575" s="518"/>
      <c r="B2575" s="1153"/>
      <c r="C2575" s="1154"/>
      <c r="D2575" s="1154"/>
      <c r="E2575" s="1154"/>
      <c r="F2575" s="1154"/>
      <c r="G2575" s="1154"/>
      <c r="H2575" s="1154"/>
      <c r="I2575" s="1154"/>
      <c r="J2575" s="1154"/>
      <c r="K2575" s="1154"/>
      <c r="L2575" s="1154"/>
      <c r="M2575" s="1154"/>
      <c r="N2575" s="1154"/>
      <c r="O2575" s="1154"/>
      <c r="P2575" s="1154"/>
      <c r="Q2575" s="1154"/>
      <c r="R2575" s="1154"/>
      <c r="S2575" s="1154"/>
      <c r="T2575" s="1154"/>
      <c r="U2575" s="1155"/>
      <c r="V2575" s="897"/>
      <c r="W2575" s="898"/>
      <c r="X2575" s="899"/>
      <c r="Y2575" s="1204"/>
      <c r="Z2575" s="1205"/>
      <c r="AA2575" s="1206"/>
      <c r="AB2575" s="1204"/>
      <c r="AC2575" s="1205"/>
      <c r="AD2575" s="1206"/>
      <c r="AE2575" s="1210"/>
      <c r="AF2575" s="1211"/>
      <c r="AG2575" s="1212"/>
      <c r="AH2575" s="518"/>
      <c r="AJ2575" s="595"/>
    </row>
    <row r="2576" spans="1:36" hidden="1" x14ac:dyDescent="0.45">
      <c r="A2576" s="518"/>
      <c r="B2576" s="1150"/>
      <c r="C2576" s="1151"/>
      <c r="D2576" s="1151"/>
      <c r="E2576" s="1151"/>
      <c r="F2576" s="1151"/>
      <c r="G2576" s="1151"/>
      <c r="H2576" s="1151"/>
      <c r="I2576" s="1151"/>
      <c r="J2576" s="1151"/>
      <c r="K2576" s="1151"/>
      <c r="L2576" s="1151"/>
      <c r="M2576" s="1151"/>
      <c r="N2576" s="1151"/>
      <c r="O2576" s="1151"/>
      <c r="P2576" s="1151"/>
      <c r="Q2576" s="1151"/>
      <c r="R2576" s="1151"/>
      <c r="S2576" s="1151"/>
      <c r="T2576" s="1151"/>
      <c r="U2576" s="1152"/>
      <c r="V2576" s="894"/>
      <c r="W2576" s="895"/>
      <c r="X2576" s="896"/>
      <c r="Y2576" s="1201"/>
      <c r="Z2576" s="1202"/>
      <c r="AA2576" s="1203"/>
      <c r="AB2576" s="1201"/>
      <c r="AC2576" s="1202"/>
      <c r="AD2576" s="1203"/>
      <c r="AE2576" s="1207" cm="1">
        <f t="array" ref="AE2576">wwDateDiff(S1_OOR_PreviousProgramStart5,S1_OOR_PreviousProgramEnd5)</f>
        <v>0</v>
      </c>
      <c r="AF2576" s="1208"/>
      <c r="AG2576" s="1209"/>
      <c r="AH2576" s="518"/>
      <c r="AJ2576" s="595"/>
    </row>
    <row r="2577" spans="1:36" hidden="1" x14ac:dyDescent="0.45">
      <c r="A2577" s="518"/>
      <c r="B2577" s="1153"/>
      <c r="C2577" s="1154"/>
      <c r="D2577" s="1154"/>
      <c r="E2577" s="1154"/>
      <c r="F2577" s="1154"/>
      <c r="G2577" s="1154"/>
      <c r="H2577" s="1154"/>
      <c r="I2577" s="1154"/>
      <c r="J2577" s="1154"/>
      <c r="K2577" s="1154"/>
      <c r="L2577" s="1154"/>
      <c r="M2577" s="1154"/>
      <c r="N2577" s="1154"/>
      <c r="O2577" s="1154"/>
      <c r="P2577" s="1154"/>
      <c r="Q2577" s="1154"/>
      <c r="R2577" s="1154"/>
      <c r="S2577" s="1154"/>
      <c r="T2577" s="1154"/>
      <c r="U2577" s="1155"/>
      <c r="V2577" s="897"/>
      <c r="W2577" s="898"/>
      <c r="X2577" s="899"/>
      <c r="Y2577" s="1204"/>
      <c r="Z2577" s="1205"/>
      <c r="AA2577" s="1206"/>
      <c r="AB2577" s="1204"/>
      <c r="AC2577" s="1205"/>
      <c r="AD2577" s="1206"/>
      <c r="AE2577" s="1210"/>
      <c r="AF2577" s="1211"/>
      <c r="AG2577" s="1212"/>
      <c r="AH2577" s="518"/>
      <c r="AJ2577" s="595"/>
    </row>
    <row r="2578" spans="1:36" hidden="1" x14ac:dyDescent="0.45">
      <c r="A2578" s="518"/>
      <c r="B2578" s="518"/>
      <c r="C2578" s="518"/>
      <c r="D2578" s="518"/>
      <c r="E2578" s="518"/>
      <c r="F2578" s="518"/>
      <c r="G2578" s="518"/>
      <c r="H2578" s="518"/>
      <c r="I2578" s="518"/>
      <c r="J2578" s="518"/>
      <c r="K2578" s="518"/>
      <c r="L2578" s="518"/>
      <c r="M2578" s="518"/>
      <c r="N2578" s="518"/>
      <c r="O2578" s="518"/>
      <c r="P2578" s="518"/>
      <c r="Q2578" s="518"/>
      <c r="R2578" s="518"/>
      <c r="S2578" s="518"/>
      <c r="T2578" s="518"/>
      <c r="U2578" s="518"/>
      <c r="V2578" s="518"/>
      <c r="W2578" s="518"/>
      <c r="X2578" s="518"/>
      <c r="Y2578" s="518"/>
      <c r="Z2578" s="518"/>
      <c r="AA2578" s="518"/>
      <c r="AB2578" s="518"/>
      <c r="AC2578" s="518"/>
      <c r="AD2578" s="518"/>
      <c r="AE2578" s="518"/>
      <c r="AF2578" s="518"/>
      <c r="AG2578" s="518"/>
      <c r="AH2578" s="518"/>
      <c r="AJ2578" s="595"/>
    </row>
    <row r="2579" spans="1:36" ht="41.15" hidden="1" customHeight="1" x14ac:dyDescent="0.45">
      <c r="A2579" s="518"/>
      <c r="B2579" s="1121" t="s">
        <v>1821</v>
      </c>
      <c r="C2579" s="1122"/>
      <c r="D2579" s="1122"/>
      <c r="E2579" s="1122"/>
      <c r="F2579" s="1122"/>
      <c r="G2579" s="1122"/>
      <c r="H2579" s="1122"/>
      <c r="I2579" s="1122"/>
      <c r="J2579" s="1122"/>
      <c r="K2579" s="1122"/>
      <c r="L2579" s="1122"/>
      <c r="M2579" s="1122"/>
      <c r="N2579" s="1122"/>
      <c r="O2579" s="1122"/>
      <c r="P2579" s="1122"/>
      <c r="Q2579" s="1122"/>
      <c r="R2579" s="1122"/>
      <c r="S2579" s="1122"/>
      <c r="T2579" s="1122"/>
      <c r="U2579" s="1122"/>
      <c r="V2579" s="1122"/>
      <c r="W2579" s="1122"/>
      <c r="X2579" s="1122"/>
      <c r="Y2579" s="1122"/>
      <c r="Z2579" s="1122"/>
      <c r="AA2579" s="1122"/>
      <c r="AB2579" s="1122"/>
      <c r="AC2579" s="1122"/>
      <c r="AD2579" s="1122"/>
      <c r="AE2579" s="528"/>
      <c r="AF2579" s="1123"/>
      <c r="AG2579" s="1123"/>
      <c r="AH2579" s="518"/>
      <c r="AJ2579" s="595"/>
    </row>
    <row r="2580" spans="1:36" ht="27" hidden="1" customHeight="1" x14ac:dyDescent="0.45">
      <c r="A2580" s="518"/>
      <c r="B2580" s="1121" t="s">
        <v>1822</v>
      </c>
      <c r="C2580" s="1122"/>
      <c r="D2580" s="1122"/>
      <c r="E2580" s="1122"/>
      <c r="F2580" s="1122"/>
      <c r="G2580" s="1122"/>
      <c r="H2580" s="1122"/>
      <c r="I2580" s="1122"/>
      <c r="J2580" s="1122"/>
      <c r="K2580" s="1122"/>
      <c r="L2580" s="1122"/>
      <c r="M2580" s="1122"/>
      <c r="N2580" s="1122"/>
      <c r="O2580" s="1122"/>
      <c r="P2580" s="1122"/>
      <c r="Q2580" s="1122"/>
      <c r="R2580" s="1122"/>
      <c r="S2580" s="1122"/>
      <c r="T2580" s="1122"/>
      <c r="U2580" s="1122"/>
      <c r="V2580" s="1122"/>
      <c r="W2580" s="1122"/>
      <c r="X2580" s="1122"/>
      <c r="Y2580" s="1122"/>
      <c r="Z2580" s="1122"/>
      <c r="AA2580" s="1122"/>
      <c r="AB2580" s="1122"/>
      <c r="AC2580" s="1122"/>
      <c r="AD2580" s="1122"/>
      <c r="AE2580" s="528"/>
      <c r="AF2580" s="1123"/>
      <c r="AG2580" s="1123"/>
      <c r="AH2580" s="518"/>
      <c r="AJ2580" s="595"/>
    </row>
    <row r="2581" spans="1:36" ht="27" hidden="1" customHeight="1" x14ac:dyDescent="0.45">
      <c r="A2581" s="518"/>
      <c r="B2581" s="1121" t="s">
        <v>1823</v>
      </c>
      <c r="C2581" s="1122"/>
      <c r="D2581" s="1122"/>
      <c r="E2581" s="1122"/>
      <c r="F2581" s="1122"/>
      <c r="G2581" s="1122"/>
      <c r="H2581" s="1122"/>
      <c r="I2581" s="1122"/>
      <c r="J2581" s="1122"/>
      <c r="K2581" s="1122"/>
      <c r="L2581" s="1122"/>
      <c r="M2581" s="1122"/>
      <c r="N2581" s="1122"/>
      <c r="O2581" s="1122"/>
      <c r="P2581" s="1122"/>
      <c r="Q2581" s="1122"/>
      <c r="R2581" s="1122"/>
      <c r="S2581" s="1122"/>
      <c r="T2581" s="1122"/>
      <c r="U2581" s="1122"/>
      <c r="V2581" s="1122"/>
      <c r="W2581" s="1122"/>
      <c r="X2581" s="1122"/>
      <c r="Y2581" s="1122"/>
      <c r="Z2581" s="1122"/>
      <c r="AA2581" s="1122"/>
      <c r="AB2581" s="1122"/>
      <c r="AC2581" s="1122"/>
      <c r="AD2581" s="1122"/>
      <c r="AE2581" s="528"/>
      <c r="AF2581" s="1123"/>
      <c r="AG2581" s="1123"/>
      <c r="AH2581" s="518"/>
      <c r="AJ2581" s="595"/>
    </row>
    <row r="2582" spans="1:36" ht="27" hidden="1" customHeight="1" x14ac:dyDescent="0.45">
      <c r="A2582" s="518"/>
      <c r="B2582" s="1121" t="s">
        <v>1824</v>
      </c>
      <c r="C2582" s="1122"/>
      <c r="D2582" s="1122"/>
      <c r="E2582" s="1122"/>
      <c r="F2582" s="1122"/>
      <c r="G2582" s="1122"/>
      <c r="H2582" s="1122"/>
      <c r="I2582" s="1122"/>
      <c r="J2582" s="1122"/>
      <c r="K2582" s="1122"/>
      <c r="L2582" s="1122"/>
      <c r="M2582" s="1122"/>
      <c r="N2582" s="1122"/>
      <c r="O2582" s="1122"/>
      <c r="P2582" s="1122"/>
      <c r="Q2582" s="1122"/>
      <c r="R2582" s="1122"/>
      <c r="S2582" s="1122"/>
      <c r="T2582" s="1122"/>
      <c r="U2582" s="1122"/>
      <c r="V2582" s="1122"/>
      <c r="W2582" s="1122"/>
      <c r="X2582" s="1122"/>
      <c r="Y2582" s="1122"/>
      <c r="Z2582" s="1122"/>
      <c r="AA2582" s="1122"/>
      <c r="AB2582" s="1122"/>
      <c r="AC2582" s="1122"/>
      <c r="AD2582" s="1122"/>
      <c r="AE2582" s="528"/>
      <c r="AF2582" s="1123"/>
      <c r="AG2582" s="1123"/>
      <c r="AH2582" s="518"/>
      <c r="AJ2582" s="595"/>
    </row>
    <row r="2583" spans="1:36" ht="27" hidden="1" customHeight="1" x14ac:dyDescent="0.45">
      <c r="A2583" s="518"/>
      <c r="B2583" s="1124" t="s">
        <v>1825</v>
      </c>
      <c r="C2583" s="1125"/>
      <c r="D2583" s="1125"/>
      <c r="E2583" s="1125"/>
      <c r="F2583" s="1125"/>
      <c r="G2583" s="1125"/>
      <c r="H2583" s="1125"/>
      <c r="I2583" s="1125"/>
      <c r="J2583" s="1125"/>
      <c r="K2583" s="1125"/>
      <c r="L2583" s="1125"/>
      <c r="M2583" s="1125"/>
      <c r="N2583" s="1125"/>
      <c r="O2583" s="1125"/>
      <c r="P2583" s="1125"/>
      <c r="Q2583" s="1125"/>
      <c r="R2583" s="1125"/>
      <c r="S2583" s="1125"/>
      <c r="T2583" s="1125"/>
      <c r="U2583" s="1125"/>
      <c r="V2583" s="1125"/>
      <c r="W2583" s="1125"/>
      <c r="X2583" s="1125"/>
      <c r="Y2583" s="1125"/>
      <c r="Z2583" s="1125"/>
      <c r="AA2583" s="1125"/>
      <c r="AB2583" s="1125"/>
      <c r="AC2583" s="1125"/>
      <c r="AD2583" s="1125"/>
      <c r="AE2583" s="573"/>
      <c r="AF2583" s="1123"/>
      <c r="AG2583" s="1123"/>
      <c r="AH2583" s="518"/>
      <c r="AJ2583" s="595"/>
    </row>
    <row r="2584" spans="1:36" hidden="1" x14ac:dyDescent="0.45">
      <c r="A2584" s="518"/>
      <c r="B2584" s="518"/>
      <c r="C2584" s="518"/>
      <c r="D2584" s="518"/>
      <c r="E2584" s="518"/>
      <c r="F2584" s="518"/>
      <c r="G2584" s="518"/>
      <c r="H2584" s="518"/>
      <c r="I2584" s="518"/>
      <c r="J2584" s="518"/>
      <c r="K2584" s="518"/>
      <c r="L2584" s="518"/>
      <c r="M2584" s="518"/>
      <c r="N2584" s="518"/>
      <c r="O2584" s="518"/>
      <c r="P2584" s="518"/>
      <c r="Q2584" s="518"/>
      <c r="R2584" s="518"/>
      <c r="S2584" s="518"/>
      <c r="T2584" s="518"/>
      <c r="U2584" s="518"/>
      <c r="V2584" s="518"/>
      <c r="W2584" s="518"/>
      <c r="X2584" s="518"/>
      <c r="Y2584" s="518"/>
      <c r="Z2584" s="518"/>
      <c r="AA2584" s="518"/>
      <c r="AB2584" s="518"/>
      <c r="AC2584" s="518"/>
      <c r="AD2584" s="518"/>
      <c r="AE2584" s="518"/>
      <c r="AF2584" s="518"/>
      <c r="AG2584" s="518"/>
      <c r="AH2584" s="518"/>
      <c r="AJ2584" s="595"/>
    </row>
    <row r="2585" spans="1:36" hidden="1" x14ac:dyDescent="0.45">
      <c r="A2585" s="518"/>
      <c r="B2585" s="518"/>
      <c r="C2585" s="518"/>
      <c r="D2585" s="518"/>
      <c r="E2585" s="518"/>
      <c r="F2585" s="518"/>
      <c r="G2585" s="518"/>
      <c r="H2585" s="518"/>
      <c r="I2585" s="518"/>
      <c r="J2585" s="518"/>
      <c r="K2585" s="518"/>
      <c r="L2585" s="518"/>
      <c r="M2585" s="518"/>
      <c r="N2585" s="518"/>
      <c r="O2585" s="518"/>
      <c r="P2585" s="518"/>
      <c r="Q2585" s="518"/>
      <c r="R2585" s="518"/>
      <c r="S2585" s="518"/>
      <c r="T2585" s="518"/>
      <c r="U2585" s="518"/>
      <c r="V2585" s="518"/>
      <c r="W2585" s="518"/>
      <c r="X2585" s="518"/>
      <c r="Y2585" s="518"/>
      <c r="Z2585" s="518"/>
      <c r="AA2585" s="518"/>
      <c r="AB2585" s="518"/>
      <c r="AC2585" s="518"/>
      <c r="AD2585" s="518"/>
      <c r="AE2585" s="518"/>
      <c r="AF2585" s="518"/>
      <c r="AG2585" s="518"/>
      <c r="AH2585" s="518"/>
      <c r="AJ2585" s="595"/>
    </row>
    <row r="2586" spans="1:36" hidden="1" x14ac:dyDescent="0.45">
      <c r="A2586" s="518"/>
      <c r="B2586" s="907" t="s">
        <v>1826</v>
      </c>
      <c r="C2586" s="907"/>
      <c r="D2586" s="907"/>
      <c r="E2586" s="907"/>
      <c r="F2586" s="907"/>
      <c r="G2586" s="907"/>
      <c r="H2586" s="907"/>
      <c r="I2586" s="907"/>
      <c r="J2586" s="907"/>
      <c r="K2586" s="907"/>
      <c r="L2586" s="907"/>
      <c r="M2586" s="907"/>
      <c r="N2586" s="907"/>
      <c r="O2586" s="907"/>
      <c r="P2586" s="907"/>
      <c r="Q2586" s="907"/>
      <c r="R2586" s="907"/>
      <c r="S2586" s="907"/>
      <c r="T2586" s="907"/>
      <c r="U2586" s="907"/>
      <c r="V2586" s="907"/>
      <c r="W2586" s="907"/>
      <c r="X2586" s="907"/>
      <c r="Y2586" s="907"/>
      <c r="Z2586" s="907"/>
      <c r="AA2586" s="907"/>
      <c r="AB2586" s="907"/>
      <c r="AC2586" s="907"/>
      <c r="AD2586" s="907"/>
      <c r="AE2586" s="907"/>
      <c r="AF2586" s="907"/>
      <c r="AG2586" s="907"/>
      <c r="AH2586" s="518"/>
      <c r="AJ2586" s="595"/>
    </row>
    <row r="2587" spans="1:36" hidden="1" x14ac:dyDescent="0.45">
      <c r="A2587" s="518"/>
      <c r="B2587" s="518"/>
      <c r="C2587" s="518"/>
      <c r="D2587" s="518"/>
      <c r="E2587" s="518"/>
      <c r="F2587" s="518"/>
      <c r="G2587" s="518"/>
      <c r="H2587" s="518"/>
      <c r="I2587" s="518"/>
      <c r="J2587" s="518"/>
      <c r="K2587" s="518"/>
      <c r="L2587" s="518"/>
      <c r="M2587" s="518"/>
      <c r="N2587" s="518"/>
      <c r="O2587" s="518"/>
      <c r="P2587" s="518"/>
      <c r="Q2587" s="518"/>
      <c r="R2587" s="518"/>
      <c r="S2587" s="518"/>
      <c r="T2587" s="518"/>
      <c r="U2587" s="518"/>
      <c r="V2587" s="518"/>
      <c r="W2587" s="518"/>
      <c r="X2587" s="518"/>
      <c r="Y2587" s="518"/>
      <c r="Z2587" s="518"/>
      <c r="AA2587" s="518"/>
      <c r="AB2587" s="518"/>
      <c r="AC2587" s="518"/>
      <c r="AD2587" s="518"/>
      <c r="AE2587" s="518"/>
      <c r="AF2587" s="518"/>
      <c r="AG2587" s="518"/>
      <c r="AH2587" s="518"/>
      <c r="AJ2587" s="595"/>
    </row>
    <row r="2588" spans="1:36" hidden="1" x14ac:dyDescent="0.45">
      <c r="A2588" s="518"/>
      <c r="B2588" s="907" t="s">
        <v>100</v>
      </c>
      <c r="C2588" s="907"/>
      <c r="D2588" s="907"/>
      <c r="E2588" s="907"/>
      <c r="F2588" s="907"/>
      <c r="G2588" s="907"/>
      <c r="H2588" s="907"/>
      <c r="I2588" s="907"/>
      <c r="J2588" s="907"/>
      <c r="K2588" s="907"/>
      <c r="L2588" s="907"/>
      <c r="M2588" s="907"/>
      <c r="N2588" s="907"/>
      <c r="O2588" s="907"/>
      <c r="P2588" s="907"/>
      <c r="Q2588" s="907"/>
      <c r="R2588" s="907"/>
      <c r="S2588" s="907"/>
      <c r="T2588" s="907"/>
      <c r="U2588" s="907"/>
      <c r="V2588" s="907"/>
      <c r="W2588" s="907"/>
      <c r="X2588" s="907"/>
      <c r="Y2588" s="907"/>
      <c r="Z2588" s="907"/>
      <c r="AA2588" s="907"/>
      <c r="AB2588" s="907"/>
      <c r="AC2588" s="907"/>
      <c r="AD2588" s="907"/>
      <c r="AE2588" s="907"/>
      <c r="AF2588" s="907"/>
      <c r="AG2588" s="907"/>
      <c r="AH2588" s="518"/>
      <c r="AJ2588" s="595"/>
    </row>
    <row r="2589" spans="1:36" ht="304" hidden="1" customHeight="1" x14ac:dyDescent="0.45">
      <c r="A2589" s="518"/>
      <c r="B2589" s="1239"/>
      <c r="C2589" s="1239"/>
      <c r="D2589" s="1239"/>
      <c r="E2589" s="1239"/>
      <c r="F2589" s="1239"/>
      <c r="G2589" s="1239"/>
      <c r="H2589" s="1239"/>
      <c r="I2589" s="1239"/>
      <c r="J2589" s="1239"/>
      <c r="K2589" s="1239"/>
      <c r="L2589" s="1239"/>
      <c r="M2589" s="1239"/>
      <c r="N2589" s="1239"/>
      <c r="O2589" s="1239"/>
      <c r="P2589" s="1239"/>
      <c r="Q2589" s="1239"/>
      <c r="R2589" s="1239"/>
      <c r="S2589" s="1239"/>
      <c r="T2589" s="1239"/>
      <c r="U2589" s="1239"/>
      <c r="V2589" s="1239"/>
      <c r="W2589" s="1239"/>
      <c r="X2589" s="1239"/>
      <c r="Y2589" s="1239"/>
      <c r="Z2589" s="1239"/>
      <c r="AA2589" s="1239"/>
      <c r="AB2589" s="1239"/>
      <c r="AC2589" s="1239"/>
      <c r="AD2589" s="1239"/>
      <c r="AE2589" s="1239"/>
      <c r="AF2589" s="1239"/>
      <c r="AG2589" s="1239"/>
      <c r="AH2589" s="518"/>
      <c r="AJ2589" s="595"/>
    </row>
    <row r="2590" spans="1:36" ht="304" hidden="1" customHeight="1" x14ac:dyDescent="0.45">
      <c r="A2590" s="518"/>
      <c r="B2590" s="1239"/>
      <c r="C2590" s="1239"/>
      <c r="D2590" s="1239"/>
      <c r="E2590" s="1239"/>
      <c r="F2590" s="1239"/>
      <c r="G2590" s="1239"/>
      <c r="H2590" s="1239"/>
      <c r="I2590" s="1239"/>
      <c r="J2590" s="1239"/>
      <c r="K2590" s="1239"/>
      <c r="L2590" s="1239"/>
      <c r="M2590" s="1239"/>
      <c r="N2590" s="1239"/>
      <c r="O2590" s="1239"/>
      <c r="P2590" s="1239"/>
      <c r="Q2590" s="1239"/>
      <c r="R2590" s="1239"/>
      <c r="S2590" s="1239"/>
      <c r="T2590" s="1239"/>
      <c r="U2590" s="1239"/>
      <c r="V2590" s="1239"/>
      <c r="W2590" s="1239"/>
      <c r="X2590" s="1239"/>
      <c r="Y2590" s="1239"/>
      <c r="Z2590" s="1239"/>
      <c r="AA2590" s="1239"/>
      <c r="AB2590" s="1239"/>
      <c r="AC2590" s="1239"/>
      <c r="AD2590" s="1239"/>
      <c r="AE2590" s="1239"/>
      <c r="AF2590" s="1239"/>
      <c r="AG2590" s="1239"/>
      <c r="AH2590" s="518"/>
      <c r="AJ2590" s="595"/>
    </row>
    <row r="2591" spans="1:36" hidden="1" x14ac:dyDescent="0.45">
      <c r="A2591" s="518"/>
      <c r="B2591" s="518"/>
      <c r="C2591" s="518"/>
      <c r="D2591" s="518"/>
      <c r="E2591" s="518"/>
      <c r="F2591" s="518"/>
      <c r="G2591" s="518"/>
      <c r="H2591" s="518"/>
      <c r="I2591" s="518"/>
      <c r="J2591" s="518"/>
      <c r="K2591" s="518"/>
      <c r="L2591" s="518"/>
      <c r="M2591" s="518"/>
      <c r="N2591" s="518"/>
      <c r="O2591" s="518"/>
      <c r="P2591" s="518"/>
      <c r="Q2591" s="518"/>
      <c r="R2591" s="518"/>
      <c r="S2591" s="518"/>
      <c r="T2591" s="518"/>
      <c r="U2591" s="518"/>
      <c r="V2591" s="518"/>
      <c r="W2591" s="518"/>
      <c r="X2591" s="518"/>
      <c r="Y2591" s="518"/>
      <c r="Z2591" s="518"/>
      <c r="AA2591" s="518"/>
      <c r="AB2591" s="518"/>
      <c r="AC2591" s="518"/>
      <c r="AD2591" s="518"/>
      <c r="AE2591" s="518"/>
      <c r="AF2591" s="518"/>
      <c r="AG2591" s="518"/>
      <c r="AH2591" s="518"/>
      <c r="AJ2591" s="595"/>
    </row>
    <row r="2592" spans="1:36" hidden="1" x14ac:dyDescent="0.45">
      <c r="A2592" s="518"/>
      <c r="B2592" s="518"/>
      <c r="C2592" s="518"/>
      <c r="D2592" s="518"/>
      <c r="E2592" s="518"/>
      <c r="F2592" s="518"/>
      <c r="G2592" s="518"/>
      <c r="H2592" s="518"/>
      <c r="I2592" s="518"/>
      <c r="J2592" s="518"/>
      <c r="K2592" s="518"/>
      <c r="L2592" s="518"/>
      <c r="M2592" s="518"/>
      <c r="N2592" s="518"/>
      <c r="O2592" s="518"/>
      <c r="P2592" s="518"/>
      <c r="Q2592" s="518"/>
      <c r="R2592" s="518"/>
      <c r="S2592" s="518"/>
      <c r="T2592" s="518"/>
      <c r="U2592" s="518"/>
      <c r="V2592" s="518"/>
      <c r="W2592" s="518"/>
      <c r="X2592" s="518"/>
      <c r="Y2592" s="518"/>
      <c r="Z2592" s="518"/>
      <c r="AA2592" s="518"/>
      <c r="AB2592" s="518"/>
      <c r="AC2592" s="518"/>
      <c r="AD2592" s="518"/>
      <c r="AE2592" s="518"/>
      <c r="AF2592" s="518"/>
      <c r="AG2592" s="518"/>
      <c r="AH2592" s="518"/>
      <c r="AJ2592" s="595"/>
    </row>
    <row r="2593" spans="1:36" hidden="1" x14ac:dyDescent="0.45">
      <c r="A2593" s="518"/>
      <c r="B2593" s="907" t="s">
        <v>1826</v>
      </c>
      <c r="C2593" s="907"/>
      <c r="D2593" s="907"/>
      <c r="E2593" s="907"/>
      <c r="F2593" s="907"/>
      <c r="G2593" s="907"/>
      <c r="H2593" s="907"/>
      <c r="I2593" s="907"/>
      <c r="J2593" s="907"/>
      <c r="K2593" s="907"/>
      <c r="L2593" s="907"/>
      <c r="M2593" s="907"/>
      <c r="N2593" s="907"/>
      <c r="O2593" s="907"/>
      <c r="P2593" s="907"/>
      <c r="Q2593" s="907"/>
      <c r="R2593" s="907"/>
      <c r="S2593" s="907"/>
      <c r="T2593" s="907"/>
      <c r="U2593" s="907"/>
      <c r="V2593" s="907"/>
      <c r="W2593" s="907"/>
      <c r="X2593" s="907"/>
      <c r="Y2593" s="907"/>
      <c r="Z2593" s="907"/>
      <c r="AA2593" s="907"/>
      <c r="AB2593" s="907"/>
      <c r="AC2593" s="907"/>
      <c r="AD2593" s="907"/>
      <c r="AE2593" s="907"/>
      <c r="AF2593" s="907"/>
      <c r="AG2593" s="907"/>
      <c r="AH2593" s="518"/>
      <c r="AJ2593" s="595"/>
    </row>
    <row r="2594" spans="1:36" hidden="1" x14ac:dyDescent="0.45">
      <c r="A2594" s="518"/>
      <c r="B2594" s="518"/>
      <c r="C2594" s="518"/>
      <c r="D2594" s="518"/>
      <c r="E2594" s="518"/>
      <c r="F2594" s="518"/>
      <c r="G2594" s="518"/>
      <c r="H2594" s="518"/>
      <c r="I2594" s="518"/>
      <c r="J2594" s="518"/>
      <c r="K2594" s="518"/>
      <c r="L2594" s="518"/>
      <c r="M2594" s="518"/>
      <c r="N2594" s="518"/>
      <c r="O2594" s="518"/>
      <c r="P2594" s="518"/>
      <c r="Q2594" s="518"/>
      <c r="R2594" s="518"/>
      <c r="S2594" s="518"/>
      <c r="T2594" s="518"/>
      <c r="U2594" s="518"/>
      <c r="V2594" s="518"/>
      <c r="W2594" s="518"/>
      <c r="X2594" s="518"/>
      <c r="Y2594" s="518"/>
      <c r="Z2594" s="518"/>
      <c r="AA2594" s="518"/>
      <c r="AB2594" s="518"/>
      <c r="AC2594" s="518"/>
      <c r="AD2594" s="518"/>
      <c r="AE2594" s="518"/>
      <c r="AF2594" s="518"/>
      <c r="AG2594" s="518"/>
      <c r="AH2594" s="518"/>
      <c r="AJ2594" s="595"/>
    </row>
    <row r="2595" spans="1:36" hidden="1" x14ac:dyDescent="0.45">
      <c r="A2595" s="518"/>
      <c r="B2595" s="907" t="s">
        <v>101</v>
      </c>
      <c r="C2595" s="907"/>
      <c r="D2595" s="907"/>
      <c r="E2595" s="907"/>
      <c r="F2595" s="907"/>
      <c r="G2595" s="907"/>
      <c r="H2595" s="907"/>
      <c r="I2595" s="907"/>
      <c r="J2595" s="907"/>
      <c r="K2595" s="907"/>
      <c r="L2595" s="907"/>
      <c r="M2595" s="907"/>
      <c r="N2595" s="907"/>
      <c r="O2595" s="907"/>
      <c r="P2595" s="907"/>
      <c r="Q2595" s="907"/>
      <c r="R2595" s="907"/>
      <c r="S2595" s="907"/>
      <c r="T2595" s="907"/>
      <c r="U2595" s="907"/>
      <c r="V2595" s="907"/>
      <c r="W2595" s="907"/>
      <c r="X2595" s="907"/>
      <c r="Y2595" s="907"/>
      <c r="Z2595" s="907"/>
      <c r="AA2595" s="907"/>
      <c r="AB2595" s="907"/>
      <c r="AC2595" s="907"/>
      <c r="AD2595" s="907"/>
      <c r="AE2595" s="907"/>
      <c r="AF2595" s="907"/>
      <c r="AG2595" s="907"/>
      <c r="AH2595" s="518"/>
      <c r="AJ2595" s="595"/>
    </row>
    <row r="2596" spans="1:36" ht="304" hidden="1" customHeight="1" x14ac:dyDescent="0.45">
      <c r="A2596" s="518"/>
      <c r="B2596" s="1195"/>
      <c r="C2596" s="1196"/>
      <c r="D2596" s="1196"/>
      <c r="E2596" s="1196"/>
      <c r="F2596" s="1196"/>
      <c r="G2596" s="1196"/>
      <c r="H2596" s="1196"/>
      <c r="I2596" s="1196"/>
      <c r="J2596" s="1196"/>
      <c r="K2596" s="1196"/>
      <c r="L2596" s="1196"/>
      <c r="M2596" s="1196"/>
      <c r="N2596" s="1196"/>
      <c r="O2596" s="1196"/>
      <c r="P2596" s="1196"/>
      <c r="Q2596" s="1196"/>
      <c r="R2596" s="1196"/>
      <c r="S2596" s="1196"/>
      <c r="T2596" s="1196"/>
      <c r="U2596" s="1196"/>
      <c r="V2596" s="1196"/>
      <c r="W2596" s="1196"/>
      <c r="X2596" s="1196"/>
      <c r="Y2596" s="1196"/>
      <c r="Z2596" s="1196"/>
      <c r="AA2596" s="1196"/>
      <c r="AB2596" s="1196"/>
      <c r="AC2596" s="1196"/>
      <c r="AD2596" s="1196"/>
      <c r="AE2596" s="1196"/>
      <c r="AF2596" s="1196"/>
      <c r="AG2596" s="1197"/>
      <c r="AH2596" s="518"/>
      <c r="AJ2596" s="595"/>
    </row>
    <row r="2597" spans="1:36" ht="304" hidden="1" customHeight="1" x14ac:dyDescent="0.45">
      <c r="A2597" s="518"/>
      <c r="B2597" s="1198"/>
      <c r="C2597" s="1199"/>
      <c r="D2597" s="1199"/>
      <c r="E2597" s="1199"/>
      <c r="F2597" s="1199"/>
      <c r="G2597" s="1199"/>
      <c r="H2597" s="1199"/>
      <c r="I2597" s="1199"/>
      <c r="J2597" s="1199"/>
      <c r="K2597" s="1199"/>
      <c r="L2597" s="1199"/>
      <c r="M2597" s="1199"/>
      <c r="N2597" s="1199"/>
      <c r="O2597" s="1199"/>
      <c r="P2597" s="1199"/>
      <c r="Q2597" s="1199"/>
      <c r="R2597" s="1199"/>
      <c r="S2597" s="1199"/>
      <c r="T2597" s="1199"/>
      <c r="U2597" s="1199"/>
      <c r="V2597" s="1199"/>
      <c r="W2597" s="1199"/>
      <c r="X2597" s="1199"/>
      <c r="Y2597" s="1199"/>
      <c r="Z2597" s="1199"/>
      <c r="AA2597" s="1199"/>
      <c r="AB2597" s="1199"/>
      <c r="AC2597" s="1199"/>
      <c r="AD2597" s="1199"/>
      <c r="AE2597" s="1199"/>
      <c r="AF2597" s="1199"/>
      <c r="AG2597" s="1200"/>
      <c r="AH2597" s="518"/>
      <c r="AJ2597" s="595"/>
    </row>
    <row r="2598" spans="1:36" hidden="1" x14ac:dyDescent="0.45">
      <c r="A2598" s="518"/>
      <c r="B2598" s="517"/>
      <c r="C2598" s="517"/>
      <c r="D2598" s="517"/>
      <c r="E2598" s="517"/>
      <c r="F2598" s="517"/>
      <c r="G2598" s="517"/>
      <c r="H2598" s="517"/>
      <c r="I2598" s="517"/>
      <c r="J2598" s="517"/>
      <c r="K2598" s="517"/>
      <c r="L2598" s="517"/>
      <c r="M2598" s="517"/>
      <c r="N2598" s="517"/>
      <c r="O2598" s="517"/>
      <c r="P2598" s="517"/>
      <c r="Q2598" s="517"/>
      <c r="R2598" s="517"/>
      <c r="S2598" s="517"/>
      <c r="T2598" s="517"/>
      <c r="U2598" s="517"/>
      <c r="V2598" s="517"/>
      <c r="W2598" s="517"/>
      <c r="X2598" s="517"/>
      <c r="Y2598" s="517"/>
      <c r="Z2598" s="517"/>
      <c r="AA2598" s="517"/>
      <c r="AB2598" s="517"/>
      <c r="AC2598" s="517"/>
      <c r="AD2598" s="517"/>
      <c r="AE2598" s="517"/>
      <c r="AF2598" s="517"/>
      <c r="AG2598" s="517"/>
      <c r="AH2598" s="518"/>
      <c r="AJ2598" s="595"/>
    </row>
    <row r="2599" spans="1:36" hidden="1" x14ac:dyDescent="0.45">
      <c r="A2599" s="518"/>
      <c r="B2599" s="518"/>
      <c r="C2599" s="518"/>
      <c r="D2599" s="518"/>
      <c r="E2599" s="518"/>
      <c r="F2599" s="518"/>
      <c r="G2599" s="518"/>
      <c r="H2599" s="518"/>
      <c r="I2599" s="518"/>
      <c r="J2599" s="518"/>
      <c r="K2599" s="518"/>
      <c r="L2599" s="518"/>
      <c r="M2599" s="518"/>
      <c r="N2599" s="518"/>
      <c r="O2599" s="518"/>
      <c r="P2599" s="518"/>
      <c r="Q2599" s="518"/>
      <c r="R2599" s="518"/>
      <c r="S2599" s="518"/>
      <c r="T2599" s="518"/>
      <c r="U2599" s="518"/>
      <c r="V2599" s="518"/>
      <c r="W2599" s="518"/>
      <c r="X2599" s="518"/>
      <c r="Y2599" s="518"/>
      <c r="Z2599" s="518"/>
      <c r="AA2599" s="518"/>
      <c r="AB2599" s="518"/>
      <c r="AC2599" s="518"/>
      <c r="AD2599" s="518"/>
      <c r="AE2599" s="518"/>
      <c r="AF2599" s="518"/>
      <c r="AG2599" s="518"/>
      <c r="AH2599" s="518"/>
      <c r="AJ2599" s="595"/>
    </row>
    <row r="2600" spans="1:36" hidden="1" x14ac:dyDescent="0.45">
      <c r="A2600" s="518"/>
      <c r="B2600" s="907" t="s">
        <v>1826</v>
      </c>
      <c r="C2600" s="907"/>
      <c r="D2600" s="907"/>
      <c r="E2600" s="907"/>
      <c r="F2600" s="907"/>
      <c r="G2600" s="907"/>
      <c r="H2600" s="907"/>
      <c r="I2600" s="907"/>
      <c r="J2600" s="907"/>
      <c r="K2600" s="907"/>
      <c r="L2600" s="907"/>
      <c r="M2600" s="907"/>
      <c r="N2600" s="907"/>
      <c r="O2600" s="907"/>
      <c r="P2600" s="907"/>
      <c r="Q2600" s="907"/>
      <c r="R2600" s="907"/>
      <c r="S2600" s="907"/>
      <c r="T2600" s="907"/>
      <c r="U2600" s="907"/>
      <c r="V2600" s="907"/>
      <c r="W2600" s="907"/>
      <c r="X2600" s="907"/>
      <c r="Y2600" s="907"/>
      <c r="Z2600" s="907"/>
      <c r="AA2600" s="907"/>
      <c r="AB2600" s="907"/>
      <c r="AC2600" s="907"/>
      <c r="AD2600" s="907"/>
      <c r="AE2600" s="907"/>
      <c r="AF2600" s="907"/>
      <c r="AG2600" s="907"/>
      <c r="AH2600" s="518"/>
      <c r="AJ2600" s="595"/>
    </row>
    <row r="2601" spans="1:36" hidden="1" x14ac:dyDescent="0.45">
      <c r="A2601" s="518"/>
      <c r="B2601" s="518"/>
      <c r="C2601" s="518"/>
      <c r="D2601" s="518"/>
      <c r="E2601" s="518"/>
      <c r="F2601" s="518"/>
      <c r="G2601" s="518"/>
      <c r="H2601" s="518"/>
      <c r="I2601" s="518"/>
      <c r="J2601" s="518"/>
      <c r="K2601" s="518"/>
      <c r="L2601" s="518"/>
      <c r="M2601" s="518"/>
      <c r="N2601" s="518"/>
      <c r="O2601" s="518"/>
      <c r="P2601" s="518"/>
      <c r="Q2601" s="518"/>
      <c r="R2601" s="518"/>
      <c r="S2601" s="518"/>
      <c r="T2601" s="518"/>
      <c r="U2601" s="518"/>
      <c r="V2601" s="518"/>
      <c r="W2601" s="518"/>
      <c r="X2601" s="518"/>
      <c r="Y2601" s="518"/>
      <c r="Z2601" s="518"/>
      <c r="AA2601" s="518"/>
      <c r="AB2601" s="518"/>
      <c r="AC2601" s="518"/>
      <c r="AD2601" s="518"/>
      <c r="AE2601" s="518"/>
      <c r="AF2601" s="518"/>
      <c r="AG2601" s="518"/>
      <c r="AH2601" s="518"/>
      <c r="AJ2601" s="595"/>
    </row>
    <row r="2602" spans="1:36" hidden="1" x14ac:dyDescent="0.45">
      <c r="A2602" s="518"/>
      <c r="B2602" s="907" t="s">
        <v>1806</v>
      </c>
      <c r="C2602" s="907"/>
      <c r="D2602" s="907"/>
      <c r="E2602" s="907"/>
      <c r="F2602" s="907"/>
      <c r="G2602" s="907"/>
      <c r="H2602" s="907"/>
      <c r="I2602" s="907"/>
      <c r="J2602" s="907"/>
      <c r="K2602" s="907"/>
      <c r="L2602" s="907"/>
      <c r="M2602" s="907"/>
      <c r="N2602" s="907"/>
      <c r="O2602" s="907"/>
      <c r="P2602" s="907"/>
      <c r="Q2602" s="907"/>
      <c r="R2602" s="907"/>
      <c r="S2602" s="907"/>
      <c r="T2602" s="907"/>
      <c r="U2602" s="907"/>
      <c r="V2602" s="907"/>
      <c r="W2602" s="907"/>
      <c r="X2602" s="907"/>
      <c r="Y2602" s="907"/>
      <c r="Z2602" s="907"/>
      <c r="AA2602" s="907"/>
      <c r="AB2602" s="907"/>
      <c r="AC2602" s="907"/>
      <c r="AD2602" s="907"/>
      <c r="AE2602" s="907"/>
      <c r="AF2602" s="907"/>
      <c r="AG2602" s="907"/>
      <c r="AH2602" s="518"/>
      <c r="AJ2602" s="595"/>
    </row>
    <row r="2603" spans="1:36" ht="304" hidden="1" customHeight="1" x14ac:dyDescent="0.45">
      <c r="A2603" s="518"/>
      <c r="B2603" s="1150"/>
      <c r="C2603" s="1151"/>
      <c r="D2603" s="1151"/>
      <c r="E2603" s="1151"/>
      <c r="F2603" s="1151"/>
      <c r="G2603" s="1151"/>
      <c r="H2603" s="1151"/>
      <c r="I2603" s="1151"/>
      <c r="J2603" s="1151"/>
      <c r="K2603" s="1151"/>
      <c r="L2603" s="1151"/>
      <c r="M2603" s="1151"/>
      <c r="N2603" s="1151"/>
      <c r="O2603" s="1151"/>
      <c r="P2603" s="1151"/>
      <c r="Q2603" s="1151"/>
      <c r="R2603" s="1151"/>
      <c r="S2603" s="1151"/>
      <c r="T2603" s="1151"/>
      <c r="U2603" s="1151"/>
      <c r="V2603" s="1151"/>
      <c r="W2603" s="1151"/>
      <c r="X2603" s="1151"/>
      <c r="Y2603" s="1151"/>
      <c r="Z2603" s="1151"/>
      <c r="AA2603" s="1151"/>
      <c r="AB2603" s="1151"/>
      <c r="AC2603" s="1151"/>
      <c r="AD2603" s="1151"/>
      <c r="AE2603" s="1151"/>
      <c r="AF2603" s="1151"/>
      <c r="AG2603" s="1152"/>
      <c r="AH2603" s="518"/>
      <c r="AJ2603" s="595"/>
    </row>
    <row r="2604" spans="1:36" ht="304" hidden="1" customHeight="1" x14ac:dyDescent="0.45">
      <c r="A2604" s="518"/>
      <c r="B2604" s="1153"/>
      <c r="C2604" s="1154"/>
      <c r="D2604" s="1154"/>
      <c r="E2604" s="1154"/>
      <c r="F2604" s="1154"/>
      <c r="G2604" s="1154"/>
      <c r="H2604" s="1154"/>
      <c r="I2604" s="1154"/>
      <c r="J2604" s="1154"/>
      <c r="K2604" s="1154"/>
      <c r="L2604" s="1154"/>
      <c r="M2604" s="1154"/>
      <c r="N2604" s="1154"/>
      <c r="O2604" s="1154"/>
      <c r="P2604" s="1154"/>
      <c r="Q2604" s="1154"/>
      <c r="R2604" s="1154"/>
      <c r="S2604" s="1154"/>
      <c r="T2604" s="1154"/>
      <c r="U2604" s="1154"/>
      <c r="V2604" s="1154"/>
      <c r="W2604" s="1154"/>
      <c r="X2604" s="1154"/>
      <c r="Y2604" s="1154"/>
      <c r="Z2604" s="1154"/>
      <c r="AA2604" s="1154"/>
      <c r="AB2604" s="1154"/>
      <c r="AC2604" s="1154"/>
      <c r="AD2604" s="1154"/>
      <c r="AE2604" s="1154"/>
      <c r="AF2604" s="1154"/>
      <c r="AG2604" s="1155"/>
      <c r="AH2604" s="518"/>
      <c r="AJ2604" s="595"/>
    </row>
    <row r="2605" spans="1:36" hidden="1" x14ac:dyDescent="0.45">
      <c r="A2605" s="518"/>
      <c r="B2605" s="517"/>
      <c r="C2605" s="517"/>
      <c r="D2605" s="517"/>
      <c r="E2605" s="517"/>
      <c r="F2605" s="517"/>
      <c r="G2605" s="517"/>
      <c r="H2605" s="517"/>
      <c r="I2605" s="517"/>
      <c r="J2605" s="517"/>
      <c r="K2605" s="517"/>
      <c r="L2605" s="517"/>
      <c r="M2605" s="517"/>
      <c r="N2605" s="517"/>
      <c r="O2605" s="517"/>
      <c r="P2605" s="517"/>
      <c r="Q2605" s="517"/>
      <c r="R2605" s="517"/>
      <c r="S2605" s="517"/>
      <c r="T2605" s="517"/>
      <c r="U2605" s="517"/>
      <c r="V2605" s="517"/>
      <c r="W2605" s="517"/>
      <c r="X2605" s="517"/>
      <c r="Y2605" s="517"/>
      <c r="Z2605" s="517"/>
      <c r="AA2605" s="517"/>
      <c r="AB2605" s="517"/>
      <c r="AC2605" s="517"/>
      <c r="AD2605" s="517"/>
      <c r="AE2605" s="517"/>
      <c r="AF2605" s="517"/>
      <c r="AG2605" s="517"/>
      <c r="AH2605" s="518"/>
      <c r="AJ2605" s="595"/>
    </row>
    <row r="2606" spans="1:36" hidden="1" x14ac:dyDescent="0.45">
      <c r="A2606" s="518"/>
      <c r="B2606" s="907"/>
      <c r="C2606" s="907"/>
      <c r="D2606" s="907"/>
      <c r="E2606" s="907"/>
      <c r="F2606" s="907"/>
      <c r="G2606" s="907"/>
      <c r="H2606" s="907"/>
      <c r="I2606" s="907"/>
      <c r="J2606" s="907"/>
      <c r="K2606" s="907"/>
      <c r="L2606" s="907"/>
      <c r="M2606" s="907"/>
      <c r="N2606" s="907"/>
      <c r="O2606" s="907"/>
      <c r="P2606" s="907"/>
      <c r="Q2606" s="907"/>
      <c r="R2606" s="907"/>
      <c r="S2606" s="907"/>
      <c r="T2606" s="907"/>
      <c r="U2606" s="907"/>
      <c r="V2606" s="907"/>
      <c r="W2606" s="907"/>
      <c r="X2606" s="907"/>
      <c r="Y2606" s="907"/>
      <c r="Z2606" s="907"/>
      <c r="AA2606" s="907"/>
      <c r="AB2606" s="907"/>
      <c r="AC2606" s="907"/>
      <c r="AD2606" s="907"/>
      <c r="AE2606" s="907"/>
      <c r="AF2606" s="907"/>
      <c r="AG2606" s="907"/>
      <c r="AH2606" s="518"/>
      <c r="AJ2606" s="595" t="b">
        <f>AND(AJ$2559,S1_OOR_UnrestrictedTotalRequested&gt;0)</f>
        <v>0</v>
      </c>
    </row>
    <row r="2607" spans="1:36" hidden="1" x14ac:dyDescent="0.45">
      <c r="A2607" s="518"/>
      <c r="B2607" s="537" t="s">
        <v>1826</v>
      </c>
      <c r="C2607" s="529"/>
      <c r="D2607" s="529"/>
      <c r="E2607" s="529"/>
      <c r="F2607" s="529"/>
      <c r="G2607" s="529"/>
      <c r="H2607" s="529"/>
      <c r="I2607" s="529"/>
      <c r="J2607" s="529"/>
      <c r="K2607" s="529"/>
      <c r="L2607" s="529"/>
      <c r="M2607" s="529"/>
      <c r="N2607" s="529"/>
      <c r="O2607" s="529"/>
      <c r="P2607" s="529"/>
      <c r="Q2607" s="529"/>
      <c r="R2607" s="529"/>
      <c r="S2607" s="529"/>
      <c r="T2607" s="529"/>
      <c r="U2607" s="529"/>
      <c r="V2607" s="529"/>
      <c r="W2607" s="529"/>
      <c r="X2607" s="529"/>
      <c r="Y2607" s="529"/>
      <c r="Z2607" s="529"/>
      <c r="AA2607" s="529"/>
      <c r="AB2607" s="529"/>
      <c r="AC2607" s="529"/>
      <c r="AD2607" s="529"/>
      <c r="AE2607" s="529"/>
      <c r="AF2607" s="529"/>
      <c r="AG2607" s="529"/>
      <c r="AH2607" s="518"/>
      <c r="AJ2607" s="595"/>
    </row>
    <row r="2608" spans="1:36" hidden="1" x14ac:dyDescent="0.45">
      <c r="A2608" s="518"/>
      <c r="B2608" s="525" t="s">
        <v>1820</v>
      </c>
      <c r="C2608" s="525"/>
      <c r="D2608" s="525"/>
      <c r="E2608" s="525"/>
      <c r="F2608" s="525"/>
      <c r="G2608" s="525"/>
      <c r="H2608" s="525"/>
      <c r="I2608" s="525"/>
      <c r="J2608" s="525"/>
      <c r="K2608" s="525"/>
      <c r="L2608" s="525"/>
      <c r="M2608" s="525"/>
      <c r="N2608" s="525"/>
      <c r="O2608" s="525"/>
      <c r="P2608" s="525"/>
      <c r="Q2608" s="525"/>
      <c r="R2608" s="525"/>
      <c r="S2608" s="525"/>
      <c r="T2608" s="525"/>
      <c r="U2608" s="525"/>
      <c r="V2608" s="525"/>
      <c r="W2608" s="525"/>
      <c r="X2608" s="525"/>
      <c r="Y2608" s="525"/>
      <c r="Z2608" s="525"/>
      <c r="AA2608" s="525"/>
      <c r="AB2608" s="525"/>
      <c r="AC2608" s="525"/>
      <c r="AD2608" s="525"/>
      <c r="AE2608" s="525"/>
      <c r="AF2608" s="525"/>
      <c r="AG2608" s="525"/>
      <c r="AH2608" s="518"/>
      <c r="AJ2608" s="595"/>
    </row>
    <row r="2609" spans="1:36" hidden="1" x14ac:dyDescent="0.45">
      <c r="A2609" s="518"/>
      <c r="B2609" s="525"/>
      <c r="C2609" s="525"/>
      <c r="D2609" s="525"/>
      <c r="E2609" s="525"/>
      <c r="F2609" s="525"/>
      <c r="G2609" s="525"/>
      <c r="H2609" s="525"/>
      <c r="I2609" s="525"/>
      <c r="J2609" s="525"/>
      <c r="K2609" s="525"/>
      <c r="L2609" s="525"/>
      <c r="M2609" s="525"/>
      <c r="N2609" s="525"/>
      <c r="O2609" s="525"/>
      <c r="P2609" s="525"/>
      <c r="Q2609" s="525"/>
      <c r="R2609" s="525"/>
      <c r="S2609" s="525"/>
      <c r="T2609" s="525"/>
      <c r="U2609" s="525"/>
      <c r="V2609" s="525"/>
      <c r="W2609" s="525"/>
      <c r="X2609" s="525"/>
      <c r="Y2609" s="525"/>
      <c r="Z2609" s="525"/>
      <c r="AA2609" s="525"/>
      <c r="AB2609" s="525"/>
      <c r="AC2609" s="525"/>
      <c r="AD2609" s="525"/>
      <c r="AE2609" s="525"/>
      <c r="AF2609" s="525"/>
      <c r="AG2609" s="525"/>
      <c r="AH2609" s="518"/>
      <c r="AJ2609" s="595"/>
    </row>
    <row r="2610" spans="1:36" hidden="1" x14ac:dyDescent="0.45">
      <c r="A2610" s="518"/>
      <c r="B2610" s="518" t="s">
        <v>1856</v>
      </c>
      <c r="C2610" s="518"/>
      <c r="D2610" s="518"/>
      <c r="E2610" s="518"/>
      <c r="F2610" s="518"/>
      <c r="G2610" s="518"/>
      <c r="H2610" s="518"/>
      <c r="I2610" s="518"/>
      <c r="J2610" s="518"/>
      <c r="K2610" s="518"/>
      <c r="L2610" s="518"/>
      <c r="M2610" s="518"/>
      <c r="N2610" s="518"/>
      <c r="O2610" s="518"/>
      <c r="P2610" s="518"/>
      <c r="Q2610" s="518"/>
      <c r="R2610" s="518"/>
      <c r="S2610" s="518"/>
      <c r="T2610" s="518"/>
      <c r="U2610" s="518"/>
      <c r="V2610" s="518"/>
      <c r="W2610" s="518"/>
      <c r="X2610" s="518"/>
      <c r="Y2610" s="518"/>
      <c r="Z2610" s="518"/>
      <c r="AA2610" s="518"/>
      <c r="AB2610" s="518"/>
      <c r="AC2610" s="518"/>
      <c r="AD2610" s="518"/>
      <c r="AE2610" s="518"/>
      <c r="AF2610" s="518"/>
      <c r="AG2610" s="518"/>
      <c r="AH2610" s="518"/>
      <c r="AJ2610" s="595"/>
    </row>
    <row r="2611" spans="1:36" hidden="1" x14ac:dyDescent="0.45">
      <c r="A2611" s="518"/>
      <c r="B2611" s="862" t="s">
        <v>108</v>
      </c>
      <c r="C2611" s="863"/>
      <c r="D2611" s="863"/>
      <c r="E2611" s="863"/>
      <c r="F2611" s="892"/>
      <c r="G2611" s="862" t="s">
        <v>1828</v>
      </c>
      <c r="H2611" s="892"/>
      <c r="I2611" s="862" t="s">
        <v>204</v>
      </c>
      <c r="J2611" s="892"/>
      <c r="K2611" s="862" t="s">
        <v>1829</v>
      </c>
      <c r="L2611" s="892"/>
      <c r="M2611" s="862" t="s">
        <v>1830</v>
      </c>
      <c r="N2611" s="863"/>
      <c r="O2611" s="862" t="s">
        <v>1831</v>
      </c>
      <c r="P2611" s="863"/>
      <c r="Q2611" s="862" t="s">
        <v>110</v>
      </c>
      <c r="R2611" s="863"/>
      <c r="S2611" s="863"/>
      <c r="T2611" s="892"/>
      <c r="U2611" s="862" t="s">
        <v>111</v>
      </c>
      <c r="V2611" s="863"/>
      <c r="W2611" s="863"/>
      <c r="X2611" s="892"/>
      <c r="Y2611" s="862" t="s">
        <v>113</v>
      </c>
      <c r="Z2611" s="863"/>
      <c r="AA2611" s="863"/>
      <c r="AB2611" s="892"/>
      <c r="AC2611" s="1182" t="s">
        <v>114</v>
      </c>
      <c r="AD2611" s="1058"/>
      <c r="AE2611" s="1058"/>
      <c r="AF2611" s="1059"/>
      <c r="AG2611" s="529"/>
      <c r="AH2611" s="529"/>
      <c r="AJ2611" s="595"/>
    </row>
    <row r="2612" spans="1:36" hidden="1" x14ac:dyDescent="0.45">
      <c r="A2612" s="518"/>
      <c r="B2612" s="1229"/>
      <c r="C2612" s="1230"/>
      <c r="D2612" s="1230"/>
      <c r="E2612" s="1230"/>
      <c r="F2612" s="1231"/>
      <c r="G2612" s="1229"/>
      <c r="H2612" s="1231"/>
      <c r="I2612" s="864"/>
      <c r="J2612" s="893"/>
      <c r="K2612" s="864"/>
      <c r="L2612" s="893"/>
      <c r="M2612" s="864"/>
      <c r="N2612" s="865"/>
      <c r="O2612" s="864"/>
      <c r="P2612" s="865"/>
      <c r="Q2612" s="1229"/>
      <c r="R2612" s="1230"/>
      <c r="S2612" s="1230"/>
      <c r="T2612" s="1231"/>
      <c r="U2612" s="1229"/>
      <c r="V2612" s="1230"/>
      <c r="W2612" s="1230"/>
      <c r="X2612" s="1231"/>
      <c r="Y2612" s="1229"/>
      <c r="Z2612" s="1230"/>
      <c r="AA2612" s="1230"/>
      <c r="AB2612" s="1231"/>
      <c r="AC2612" s="1233"/>
      <c r="AD2612" s="1234"/>
      <c r="AE2612" s="1234"/>
      <c r="AF2612" s="1235"/>
      <c r="AG2612" s="529"/>
      <c r="AH2612" s="529"/>
      <c r="AJ2612" s="595"/>
    </row>
    <row r="2613" spans="1:36" hidden="1" x14ac:dyDescent="0.45">
      <c r="A2613" s="518"/>
      <c r="B2613" s="514" t="s">
        <v>1405</v>
      </c>
      <c r="C2613" s="515"/>
      <c r="D2613" s="515"/>
      <c r="E2613" s="515"/>
      <c r="F2613" s="516"/>
      <c r="G2613" s="890" t="str">
        <f>IF(S1OORData!L3=0,"",S1OORData!L3)</f>
        <v/>
      </c>
      <c r="H2613" s="891"/>
      <c r="I2613" s="886" t="str">
        <f>IF(S1OORData!N3=0,"",S1OORData!N3)</f>
        <v/>
      </c>
      <c r="J2613" s="887"/>
      <c r="K2613" s="886" t="str">
        <f>IF(S1OORData!O3=0,"",S1OORData!O3)</f>
        <v/>
      </c>
      <c r="L2613" s="887"/>
      <c r="M2613" s="886" t="str">
        <f>IF(S1OORData!P3=0,"",S1OORData!P3)</f>
        <v/>
      </c>
      <c r="N2613" s="887"/>
      <c r="O2613" s="886" t="str">
        <f>IF(S1OORData!Q3=0,"",S1OORData!Q3)</f>
        <v/>
      </c>
      <c r="P2613" s="1232"/>
      <c r="Q2613" s="868" t="str">
        <f>IF(S1OORData!R3=0,"",S1OORData!R3)</f>
        <v/>
      </c>
      <c r="R2613" s="869"/>
      <c r="S2613" s="869"/>
      <c r="T2613" s="870"/>
      <c r="U2613" s="868" t="str">
        <f>IF(S1OORData!AH3=0,"",S1OORData!AH3)</f>
        <v/>
      </c>
      <c r="V2613" s="869"/>
      <c r="W2613" s="869"/>
      <c r="X2613" s="870"/>
      <c r="Y2613" s="868">
        <f>SUM(Q2613:X2613)</f>
        <v>0</v>
      </c>
      <c r="Z2613" s="1232"/>
      <c r="AA2613" s="1232"/>
      <c r="AB2613" s="887"/>
      <c r="AC2613" s="1236" t="str">
        <f>IF(S1OORData!S3=0,"",S1OORData!S3)</f>
        <v/>
      </c>
      <c r="AD2613" s="1237"/>
      <c r="AE2613" s="1237"/>
      <c r="AF2613" s="1238"/>
      <c r="AG2613" s="529"/>
      <c r="AH2613" s="529"/>
      <c r="AJ2613" s="595" t="b">
        <f>IF(AND(AJ$2606,SUM(Y2613)&gt;0),TRUE,FALSE)</f>
        <v>0</v>
      </c>
    </row>
    <row r="2614" spans="1:36" hidden="1" x14ac:dyDescent="0.45">
      <c r="A2614" s="518"/>
      <c r="B2614" s="514" t="s">
        <v>1406</v>
      </c>
      <c r="C2614" s="515"/>
      <c r="D2614" s="515"/>
      <c r="E2614" s="515"/>
      <c r="F2614" s="516"/>
      <c r="G2614" s="890" t="str">
        <f>IF(S1OORData!L4=0,"",S1OORData!L4)</f>
        <v/>
      </c>
      <c r="H2614" s="891"/>
      <c r="I2614" s="886" t="str">
        <f>IF(S1OORData!N4=0,"",S1OORData!N4)</f>
        <v/>
      </c>
      <c r="J2614" s="887"/>
      <c r="K2614" s="886" t="str">
        <f>IF(S1OORData!O4=0,"",S1OORData!O4)</f>
        <v/>
      </c>
      <c r="L2614" s="887"/>
      <c r="M2614" s="886" t="str">
        <f>IF(S1OORData!P4=0,"",S1OORData!P4)</f>
        <v/>
      </c>
      <c r="N2614" s="887"/>
      <c r="O2614" s="886" t="str">
        <f>IF(S1OORData!Q4=0,"",S1OORData!Q4)</f>
        <v/>
      </c>
      <c r="P2614" s="1232"/>
      <c r="Q2614" s="868" t="str">
        <f>IF(S1OORData!R4=0,"",S1OORData!R4)</f>
        <v/>
      </c>
      <c r="R2614" s="869"/>
      <c r="S2614" s="869"/>
      <c r="T2614" s="870"/>
      <c r="U2614" s="868" t="str">
        <f>IF(S1OORData!AH4=0,"",S1OORData!AH4)</f>
        <v/>
      </c>
      <c r="V2614" s="869"/>
      <c r="W2614" s="869"/>
      <c r="X2614" s="870"/>
      <c r="Y2614" s="868">
        <f t="shared" ref="Y2614:Y2670" si="48">SUM(Q2614:X2614)</f>
        <v>0</v>
      </c>
      <c r="Z2614" s="1232"/>
      <c r="AA2614" s="1232"/>
      <c r="AB2614" s="887"/>
      <c r="AC2614" s="1236" t="str">
        <f>IF(S1OORData!S4=0,"",S1OORData!S4)</f>
        <v/>
      </c>
      <c r="AD2614" s="1237"/>
      <c r="AE2614" s="1237"/>
      <c r="AF2614" s="1238"/>
      <c r="AG2614" s="529"/>
      <c r="AH2614" s="529"/>
      <c r="AJ2614" s="595" t="b">
        <v>0</v>
      </c>
    </row>
    <row r="2615" spans="1:36" hidden="1" x14ac:dyDescent="0.45">
      <c r="A2615" s="518"/>
      <c r="B2615" s="514" t="s">
        <v>1407</v>
      </c>
      <c r="C2615" s="515"/>
      <c r="D2615" s="515"/>
      <c r="E2615" s="515"/>
      <c r="F2615" s="516"/>
      <c r="G2615" s="890" t="str">
        <f>IF(S1OORData!L5=0,"",S1OORData!L5)</f>
        <v/>
      </c>
      <c r="H2615" s="891"/>
      <c r="I2615" s="886" t="str">
        <f>IF(S1OORData!N5=0,"",S1OORData!N5)</f>
        <v/>
      </c>
      <c r="J2615" s="887"/>
      <c r="K2615" s="886" t="str">
        <f>IF(S1OORData!O5=0,"",S1OORData!O5)</f>
        <v/>
      </c>
      <c r="L2615" s="887"/>
      <c r="M2615" s="886" t="str">
        <f>IF(S1OORData!P5=0,"",S1OORData!P5)</f>
        <v/>
      </c>
      <c r="N2615" s="887"/>
      <c r="O2615" s="886" t="str">
        <f>IF(S1OORData!Q5=0,"",S1OORData!Q5)</f>
        <v/>
      </c>
      <c r="P2615" s="1232"/>
      <c r="Q2615" s="868" t="str">
        <f>IF(S1OORData!R5=0,"",S1OORData!R5)</f>
        <v/>
      </c>
      <c r="R2615" s="869"/>
      <c r="S2615" s="869"/>
      <c r="T2615" s="870"/>
      <c r="U2615" s="868" t="str">
        <f>IF(S1OORData!AH5=0,"",S1OORData!AH5)</f>
        <v/>
      </c>
      <c r="V2615" s="869"/>
      <c r="W2615" s="869"/>
      <c r="X2615" s="870"/>
      <c r="Y2615" s="868">
        <f t="shared" si="48"/>
        <v>0</v>
      </c>
      <c r="Z2615" s="1232"/>
      <c r="AA2615" s="1232"/>
      <c r="AB2615" s="887"/>
      <c r="AC2615" s="1236" t="str">
        <f>IF(S1OORData!S5=0,"",S1OORData!S5)</f>
        <v/>
      </c>
      <c r="AD2615" s="1237"/>
      <c r="AE2615" s="1237"/>
      <c r="AF2615" s="1238"/>
      <c r="AG2615" s="529"/>
      <c r="AH2615" s="529"/>
      <c r="AJ2615" s="595" t="b">
        <v>0</v>
      </c>
    </row>
    <row r="2616" spans="1:36" hidden="1" x14ac:dyDescent="0.45">
      <c r="A2616" s="518"/>
      <c r="B2616" s="514" t="s">
        <v>1408</v>
      </c>
      <c r="C2616" s="515"/>
      <c r="D2616" s="515"/>
      <c r="E2616" s="515"/>
      <c r="F2616" s="516"/>
      <c r="G2616" s="890" t="str">
        <f>IF(S1OORData!L6=0,"",S1OORData!L6)</f>
        <v/>
      </c>
      <c r="H2616" s="891"/>
      <c r="I2616" s="886" t="str">
        <f>IF(S1OORData!N6=0,"",S1OORData!N6)</f>
        <v/>
      </c>
      <c r="J2616" s="887"/>
      <c r="K2616" s="886" t="str">
        <f>IF(S1OORData!O6=0,"",S1OORData!O6)</f>
        <v/>
      </c>
      <c r="L2616" s="887"/>
      <c r="M2616" s="886" t="str">
        <f>IF(S1OORData!P6=0,"",S1OORData!P6)</f>
        <v/>
      </c>
      <c r="N2616" s="887"/>
      <c r="O2616" s="886" t="str">
        <f>IF(S1OORData!Q6=0,"",S1OORData!Q6)</f>
        <v/>
      </c>
      <c r="P2616" s="1232"/>
      <c r="Q2616" s="868" t="str">
        <f>IF(S1OORData!R6=0,"",S1OORData!R6)</f>
        <v/>
      </c>
      <c r="R2616" s="869"/>
      <c r="S2616" s="869"/>
      <c r="T2616" s="870"/>
      <c r="U2616" s="868" t="str">
        <f>IF(S1OORData!AH6=0,"",S1OORData!AH6)</f>
        <v/>
      </c>
      <c r="V2616" s="869"/>
      <c r="W2616" s="869"/>
      <c r="X2616" s="870"/>
      <c r="Y2616" s="868">
        <f t="shared" si="48"/>
        <v>0</v>
      </c>
      <c r="Z2616" s="1232"/>
      <c r="AA2616" s="1232"/>
      <c r="AB2616" s="887"/>
      <c r="AC2616" s="1236" t="str">
        <f>IF(S1OORData!S6=0,"",S1OORData!S6)</f>
        <v/>
      </c>
      <c r="AD2616" s="1237"/>
      <c r="AE2616" s="1237"/>
      <c r="AF2616" s="1238"/>
      <c r="AG2616" s="529"/>
      <c r="AH2616" s="529"/>
      <c r="AJ2616" s="595" t="b">
        <v>0</v>
      </c>
    </row>
    <row r="2617" spans="1:36" hidden="1" x14ac:dyDescent="0.45">
      <c r="A2617" s="518"/>
      <c r="B2617" s="514" t="s">
        <v>1409</v>
      </c>
      <c r="C2617" s="515"/>
      <c r="D2617" s="515"/>
      <c r="E2617" s="515"/>
      <c r="F2617" s="516"/>
      <c r="G2617" s="890" t="str">
        <f>IF(S1OORData!L7=0,"",S1OORData!L7)</f>
        <v/>
      </c>
      <c r="H2617" s="891"/>
      <c r="I2617" s="886" t="str">
        <f>IF(S1OORData!N7=0,"",S1OORData!N7)</f>
        <v/>
      </c>
      <c r="J2617" s="887"/>
      <c r="K2617" s="886" t="str">
        <f>IF(S1OORData!O7=0,"",S1OORData!O7)</f>
        <v/>
      </c>
      <c r="L2617" s="887"/>
      <c r="M2617" s="886" t="str">
        <f>IF(S1OORData!P7=0,"",S1OORData!P7)</f>
        <v/>
      </c>
      <c r="N2617" s="887"/>
      <c r="O2617" s="886" t="str">
        <f>IF(S1OORData!Q7=0,"",S1OORData!Q7)</f>
        <v/>
      </c>
      <c r="P2617" s="1232"/>
      <c r="Q2617" s="868" t="str">
        <f>IF(S1OORData!R7=0,"",S1OORData!R7)</f>
        <v/>
      </c>
      <c r="R2617" s="869"/>
      <c r="S2617" s="869"/>
      <c r="T2617" s="870"/>
      <c r="U2617" s="868" t="str">
        <f>IF(S1OORData!AH7=0,"",S1OORData!AH7)</f>
        <v/>
      </c>
      <c r="V2617" s="869"/>
      <c r="W2617" s="869"/>
      <c r="X2617" s="870"/>
      <c r="Y2617" s="868">
        <f t="shared" si="48"/>
        <v>0</v>
      </c>
      <c r="Z2617" s="1232"/>
      <c r="AA2617" s="1232"/>
      <c r="AB2617" s="887"/>
      <c r="AC2617" s="1236" t="str">
        <f>IF(S1OORData!S7=0,"",S1OORData!S7)</f>
        <v/>
      </c>
      <c r="AD2617" s="1237"/>
      <c r="AE2617" s="1237"/>
      <c r="AF2617" s="1238"/>
      <c r="AG2617" s="529"/>
      <c r="AH2617" s="529"/>
      <c r="AJ2617" s="595" t="b">
        <v>0</v>
      </c>
    </row>
    <row r="2618" spans="1:36" hidden="1" x14ac:dyDescent="0.45">
      <c r="A2618" s="518"/>
      <c r="B2618" s="514" t="s">
        <v>1410</v>
      </c>
      <c r="C2618" s="515"/>
      <c r="D2618" s="515"/>
      <c r="E2618" s="515"/>
      <c r="F2618" s="516"/>
      <c r="G2618" s="890" t="str">
        <f>IF(S1OORData!L8=0,"",S1OORData!L8)</f>
        <v/>
      </c>
      <c r="H2618" s="891"/>
      <c r="I2618" s="886" t="str">
        <f>IF(S1OORData!N8=0,"",S1OORData!N8)</f>
        <v/>
      </c>
      <c r="J2618" s="887"/>
      <c r="K2618" s="886" t="str">
        <f>IF(S1OORData!O8=0,"",S1OORData!O8)</f>
        <v/>
      </c>
      <c r="L2618" s="887"/>
      <c r="M2618" s="886" t="str">
        <f>IF(S1OORData!P8=0,"",S1OORData!P8)</f>
        <v/>
      </c>
      <c r="N2618" s="887"/>
      <c r="O2618" s="886" t="str">
        <f>IF(S1OORData!Q8=0,"",S1OORData!Q8)</f>
        <v/>
      </c>
      <c r="P2618" s="1232"/>
      <c r="Q2618" s="868" t="str">
        <f>IF(S1OORData!R8=0,"",S1OORData!R8)</f>
        <v/>
      </c>
      <c r="R2618" s="869"/>
      <c r="S2618" s="869"/>
      <c r="T2618" s="870"/>
      <c r="U2618" s="868" t="str">
        <f>IF(S1OORData!AH8=0,"",S1OORData!AH8)</f>
        <v/>
      </c>
      <c r="V2618" s="869"/>
      <c r="W2618" s="869"/>
      <c r="X2618" s="870"/>
      <c r="Y2618" s="868">
        <f t="shared" si="48"/>
        <v>0</v>
      </c>
      <c r="Z2618" s="1232"/>
      <c r="AA2618" s="1232"/>
      <c r="AB2618" s="887"/>
      <c r="AC2618" s="1236" t="str">
        <f>IF(S1OORData!S8=0,"",S1OORData!S8)</f>
        <v/>
      </c>
      <c r="AD2618" s="1237"/>
      <c r="AE2618" s="1237"/>
      <c r="AF2618" s="1238"/>
      <c r="AG2618" s="529"/>
      <c r="AH2618" s="529"/>
      <c r="AJ2618" s="595" t="b">
        <v>0</v>
      </c>
    </row>
    <row r="2619" spans="1:36" hidden="1" x14ac:dyDescent="0.45">
      <c r="A2619" s="518"/>
      <c r="B2619" s="514" t="s">
        <v>1411</v>
      </c>
      <c r="C2619" s="515"/>
      <c r="D2619" s="515"/>
      <c r="E2619" s="515"/>
      <c r="F2619" s="516"/>
      <c r="G2619" s="890" t="str">
        <f>IF(S1OORData!L9=0,"",S1OORData!L9)</f>
        <v/>
      </c>
      <c r="H2619" s="891"/>
      <c r="I2619" s="886" t="str">
        <f>IF(S1OORData!N9=0,"",S1OORData!N9)</f>
        <v/>
      </c>
      <c r="J2619" s="887"/>
      <c r="K2619" s="886" t="str">
        <f>IF(S1OORData!O9=0,"",S1OORData!O9)</f>
        <v/>
      </c>
      <c r="L2619" s="887"/>
      <c r="M2619" s="886" t="str">
        <f>IF(S1OORData!P9=0,"",S1OORData!P9)</f>
        <v/>
      </c>
      <c r="N2619" s="887"/>
      <c r="O2619" s="886" t="str">
        <f>IF(S1OORData!Q9=0,"",S1OORData!Q9)</f>
        <v/>
      </c>
      <c r="P2619" s="1232"/>
      <c r="Q2619" s="868" t="str">
        <f>IF(S1OORData!R9=0,"",S1OORData!R9)</f>
        <v/>
      </c>
      <c r="R2619" s="869"/>
      <c r="S2619" s="869"/>
      <c r="T2619" s="870"/>
      <c r="U2619" s="868" t="str">
        <f>IF(S1OORData!AH9=0,"",S1OORData!AH9)</f>
        <v/>
      </c>
      <c r="V2619" s="869"/>
      <c r="W2619" s="869"/>
      <c r="X2619" s="870"/>
      <c r="Y2619" s="868">
        <f t="shared" si="48"/>
        <v>0</v>
      </c>
      <c r="Z2619" s="1232"/>
      <c r="AA2619" s="1232"/>
      <c r="AB2619" s="887"/>
      <c r="AC2619" s="1236" t="str">
        <f>IF(S1OORData!S9=0,"",S1OORData!S9)</f>
        <v/>
      </c>
      <c r="AD2619" s="1237"/>
      <c r="AE2619" s="1237"/>
      <c r="AF2619" s="1238"/>
      <c r="AG2619" s="529"/>
      <c r="AH2619" s="529"/>
      <c r="AJ2619" s="595" t="b">
        <v>0</v>
      </c>
    </row>
    <row r="2620" spans="1:36" hidden="1" x14ac:dyDescent="0.45">
      <c r="A2620" s="518"/>
      <c r="B2620" s="514" t="s">
        <v>1412</v>
      </c>
      <c r="C2620" s="515"/>
      <c r="D2620" s="515"/>
      <c r="E2620" s="515"/>
      <c r="F2620" s="516"/>
      <c r="G2620" s="890" t="str">
        <f>IF(S1OORData!L10=0,"",S1OORData!L10)</f>
        <v/>
      </c>
      <c r="H2620" s="891"/>
      <c r="I2620" s="886" t="str">
        <f>IF(S1OORData!N10=0,"",S1OORData!N10)</f>
        <v/>
      </c>
      <c r="J2620" s="887"/>
      <c r="K2620" s="886" t="str">
        <f>IF(S1OORData!O10=0,"",S1OORData!O10)</f>
        <v/>
      </c>
      <c r="L2620" s="887"/>
      <c r="M2620" s="886" t="str">
        <f>IF(S1OORData!P10=0,"",S1OORData!P10)</f>
        <v/>
      </c>
      <c r="N2620" s="887"/>
      <c r="O2620" s="886" t="str">
        <f>IF(S1OORData!Q10=0,"",S1OORData!Q10)</f>
        <v/>
      </c>
      <c r="P2620" s="1232"/>
      <c r="Q2620" s="868" t="str">
        <f>IF(S1OORData!R10=0,"",S1OORData!R10)</f>
        <v/>
      </c>
      <c r="R2620" s="869"/>
      <c r="S2620" s="869"/>
      <c r="T2620" s="870"/>
      <c r="U2620" s="868" t="str">
        <f>IF(S1OORData!AH10=0,"",S1OORData!AH10)</f>
        <v/>
      </c>
      <c r="V2620" s="869"/>
      <c r="W2620" s="869"/>
      <c r="X2620" s="870"/>
      <c r="Y2620" s="868">
        <f t="shared" si="48"/>
        <v>0</v>
      </c>
      <c r="Z2620" s="1232"/>
      <c r="AA2620" s="1232"/>
      <c r="AB2620" s="887"/>
      <c r="AC2620" s="1236" t="str">
        <f>IF(S1OORData!S10=0,"",S1OORData!S10)</f>
        <v/>
      </c>
      <c r="AD2620" s="1237"/>
      <c r="AE2620" s="1237"/>
      <c r="AF2620" s="1238"/>
      <c r="AG2620" s="529"/>
      <c r="AH2620" s="529"/>
      <c r="AJ2620" s="595" t="b">
        <v>0</v>
      </c>
    </row>
    <row r="2621" spans="1:36" hidden="1" x14ac:dyDescent="0.45">
      <c r="A2621" s="518"/>
      <c r="B2621" s="514" t="s">
        <v>1413</v>
      </c>
      <c r="C2621" s="515"/>
      <c r="D2621" s="515"/>
      <c r="E2621" s="515"/>
      <c r="F2621" s="516"/>
      <c r="G2621" s="890" t="str">
        <f>IF(S1OORData!L11=0,"",S1OORData!L11)</f>
        <v/>
      </c>
      <c r="H2621" s="891"/>
      <c r="I2621" s="886" t="str">
        <f>IF(S1OORData!N11=0,"",S1OORData!N11)</f>
        <v/>
      </c>
      <c r="J2621" s="887"/>
      <c r="K2621" s="886" t="str">
        <f>IF(S1OORData!O11=0,"",S1OORData!O11)</f>
        <v/>
      </c>
      <c r="L2621" s="887"/>
      <c r="M2621" s="886" t="str">
        <f>IF(S1OORData!P11=0,"",S1OORData!P11)</f>
        <v/>
      </c>
      <c r="N2621" s="887"/>
      <c r="O2621" s="886" t="str">
        <f>IF(S1OORData!Q11=0,"",S1OORData!Q11)</f>
        <v/>
      </c>
      <c r="P2621" s="1232"/>
      <c r="Q2621" s="868" t="str">
        <f>IF(S1OORData!R11=0,"",S1OORData!R11)</f>
        <v/>
      </c>
      <c r="R2621" s="869"/>
      <c r="S2621" s="869"/>
      <c r="T2621" s="870"/>
      <c r="U2621" s="868" t="str">
        <f>IF(S1OORData!AH11=0,"",S1OORData!AH11)</f>
        <v/>
      </c>
      <c r="V2621" s="869"/>
      <c r="W2621" s="869"/>
      <c r="X2621" s="870"/>
      <c r="Y2621" s="868">
        <f t="shared" si="48"/>
        <v>0</v>
      </c>
      <c r="Z2621" s="1232"/>
      <c r="AA2621" s="1232"/>
      <c r="AB2621" s="887"/>
      <c r="AC2621" s="1236" t="str">
        <f>IF(S1OORData!S11=0,"",S1OORData!S11)</f>
        <v/>
      </c>
      <c r="AD2621" s="1237"/>
      <c r="AE2621" s="1237"/>
      <c r="AF2621" s="1238"/>
      <c r="AG2621" s="529"/>
      <c r="AH2621" s="529"/>
      <c r="AJ2621" s="595" t="b">
        <v>0</v>
      </c>
    </row>
    <row r="2622" spans="1:36" hidden="1" x14ac:dyDescent="0.45">
      <c r="A2622" s="518"/>
      <c r="B2622" s="514" t="s">
        <v>1414</v>
      </c>
      <c r="C2622" s="515"/>
      <c r="D2622" s="515"/>
      <c r="E2622" s="515"/>
      <c r="F2622" s="516"/>
      <c r="G2622" s="890" t="str">
        <f>IF(S1OORData!L12=0,"",S1OORData!L12)</f>
        <v/>
      </c>
      <c r="H2622" s="891"/>
      <c r="I2622" s="886" t="str">
        <f>IF(S1OORData!N12=0,"",S1OORData!N12)</f>
        <v/>
      </c>
      <c r="J2622" s="887"/>
      <c r="K2622" s="886" t="str">
        <f>IF(S1OORData!O12=0,"",S1OORData!O12)</f>
        <v/>
      </c>
      <c r="L2622" s="887"/>
      <c r="M2622" s="886" t="str">
        <f>IF(S1OORData!P12=0,"",S1OORData!P12)</f>
        <v/>
      </c>
      <c r="N2622" s="887"/>
      <c r="O2622" s="886" t="str">
        <f>IF(S1OORData!Q12=0,"",S1OORData!Q12)</f>
        <v/>
      </c>
      <c r="P2622" s="1232"/>
      <c r="Q2622" s="868" t="str">
        <f>IF(S1OORData!R12=0,"",S1OORData!R12)</f>
        <v/>
      </c>
      <c r="R2622" s="869"/>
      <c r="S2622" s="869"/>
      <c r="T2622" s="870"/>
      <c r="U2622" s="868" t="str">
        <f>IF(S1OORData!AH12=0,"",S1OORData!AH12)</f>
        <v/>
      </c>
      <c r="V2622" s="869"/>
      <c r="W2622" s="869"/>
      <c r="X2622" s="870"/>
      <c r="Y2622" s="868">
        <f t="shared" si="48"/>
        <v>0</v>
      </c>
      <c r="Z2622" s="1232"/>
      <c r="AA2622" s="1232"/>
      <c r="AB2622" s="887"/>
      <c r="AC2622" s="1236" t="str">
        <f>IF(S1OORData!S12=0,"",S1OORData!S12)</f>
        <v/>
      </c>
      <c r="AD2622" s="1237"/>
      <c r="AE2622" s="1237"/>
      <c r="AF2622" s="1238"/>
      <c r="AG2622" s="529"/>
      <c r="AH2622" s="529"/>
      <c r="AJ2622" s="595" t="b">
        <v>0</v>
      </c>
    </row>
    <row r="2623" spans="1:36" hidden="1" x14ac:dyDescent="0.45">
      <c r="A2623" s="518"/>
      <c r="B2623" s="514" t="s">
        <v>1415</v>
      </c>
      <c r="C2623" s="515"/>
      <c r="D2623" s="515"/>
      <c r="E2623" s="515"/>
      <c r="F2623" s="516"/>
      <c r="G2623" s="890" t="str">
        <f>IF(S1OORData!L13=0,"",S1OORData!L13)</f>
        <v/>
      </c>
      <c r="H2623" s="891"/>
      <c r="I2623" s="886" t="str">
        <f>IF(S1OORData!N13=0,"",S1OORData!N13)</f>
        <v/>
      </c>
      <c r="J2623" s="887"/>
      <c r="K2623" s="886" t="str">
        <f>IF(S1OORData!O13=0,"",S1OORData!O13)</f>
        <v/>
      </c>
      <c r="L2623" s="887"/>
      <c r="M2623" s="886" t="str">
        <f>IF(S1OORData!P13=0,"",S1OORData!P13)</f>
        <v/>
      </c>
      <c r="N2623" s="887"/>
      <c r="O2623" s="886" t="str">
        <f>IF(S1OORData!Q13=0,"",S1OORData!Q13)</f>
        <v/>
      </c>
      <c r="P2623" s="1232"/>
      <c r="Q2623" s="868" t="str">
        <f>IF(S1OORData!R13=0,"",S1OORData!R13)</f>
        <v/>
      </c>
      <c r="R2623" s="869"/>
      <c r="S2623" s="869"/>
      <c r="T2623" s="870"/>
      <c r="U2623" s="868" t="str">
        <f>IF(S1OORData!AH13=0,"",S1OORData!AH13)</f>
        <v/>
      </c>
      <c r="V2623" s="869"/>
      <c r="W2623" s="869"/>
      <c r="X2623" s="870"/>
      <c r="Y2623" s="868">
        <f t="shared" si="48"/>
        <v>0</v>
      </c>
      <c r="Z2623" s="1232"/>
      <c r="AA2623" s="1232"/>
      <c r="AB2623" s="887"/>
      <c r="AC2623" s="1236" t="str">
        <f>IF(S1OORData!S13=0,"",S1OORData!S13)</f>
        <v/>
      </c>
      <c r="AD2623" s="1237"/>
      <c r="AE2623" s="1237"/>
      <c r="AF2623" s="1238"/>
      <c r="AG2623" s="529"/>
      <c r="AH2623" s="529"/>
      <c r="AJ2623" s="595" t="b">
        <v>0</v>
      </c>
    </row>
    <row r="2624" spans="1:36" hidden="1" x14ac:dyDescent="0.45">
      <c r="A2624" s="518"/>
      <c r="B2624" s="514" t="s">
        <v>1416</v>
      </c>
      <c r="C2624" s="515"/>
      <c r="D2624" s="515"/>
      <c r="E2624" s="515"/>
      <c r="F2624" s="516"/>
      <c r="G2624" s="890" t="str">
        <f>IF(S1OORData!L14=0,"",S1OORData!L14)</f>
        <v/>
      </c>
      <c r="H2624" s="891"/>
      <c r="I2624" s="886" t="str">
        <f>IF(S1OORData!N14=0,"",S1OORData!N14)</f>
        <v/>
      </c>
      <c r="J2624" s="887"/>
      <c r="K2624" s="886" t="str">
        <f>IF(S1OORData!O14=0,"",S1OORData!O14)</f>
        <v/>
      </c>
      <c r="L2624" s="887"/>
      <c r="M2624" s="886" t="str">
        <f>IF(S1OORData!P14=0,"",S1OORData!P14)</f>
        <v/>
      </c>
      <c r="N2624" s="887"/>
      <c r="O2624" s="886" t="str">
        <f>IF(S1OORData!Q14=0,"",S1OORData!Q14)</f>
        <v/>
      </c>
      <c r="P2624" s="1232"/>
      <c r="Q2624" s="868" t="str">
        <f>IF(S1OORData!R14=0,"",S1OORData!R14)</f>
        <v/>
      </c>
      <c r="R2624" s="869"/>
      <c r="S2624" s="869"/>
      <c r="T2624" s="870"/>
      <c r="U2624" s="868" t="str">
        <f>IF(S1OORData!AH14=0,"",S1OORData!AH14)</f>
        <v/>
      </c>
      <c r="V2624" s="869"/>
      <c r="W2624" s="869"/>
      <c r="X2624" s="870"/>
      <c r="Y2624" s="868">
        <f t="shared" si="48"/>
        <v>0</v>
      </c>
      <c r="Z2624" s="1232"/>
      <c r="AA2624" s="1232"/>
      <c r="AB2624" s="887"/>
      <c r="AC2624" s="1236" t="str">
        <f>IF(S1OORData!S14=0,"",S1OORData!S14)</f>
        <v/>
      </c>
      <c r="AD2624" s="1237"/>
      <c r="AE2624" s="1237"/>
      <c r="AF2624" s="1238"/>
      <c r="AG2624" s="529"/>
      <c r="AH2624" s="529"/>
      <c r="AJ2624" s="595" t="b">
        <v>0</v>
      </c>
    </row>
    <row r="2625" spans="1:36" hidden="1" x14ac:dyDescent="0.45">
      <c r="A2625" s="518"/>
      <c r="B2625" s="514" t="s">
        <v>1417</v>
      </c>
      <c r="C2625" s="515"/>
      <c r="D2625" s="515"/>
      <c r="E2625" s="515"/>
      <c r="F2625" s="516"/>
      <c r="G2625" s="890" t="str">
        <f>IF(S1OORData!L15=0,"",S1OORData!L15)</f>
        <v/>
      </c>
      <c r="H2625" s="891"/>
      <c r="I2625" s="886" t="str">
        <f>IF(S1OORData!N15=0,"",S1OORData!N15)</f>
        <v/>
      </c>
      <c r="J2625" s="887"/>
      <c r="K2625" s="886" t="str">
        <f>IF(S1OORData!O15=0,"",S1OORData!O15)</f>
        <v/>
      </c>
      <c r="L2625" s="887"/>
      <c r="M2625" s="886" t="str">
        <f>IF(S1OORData!P15=0,"",S1OORData!P15)</f>
        <v/>
      </c>
      <c r="N2625" s="887"/>
      <c r="O2625" s="886" t="str">
        <f>IF(S1OORData!Q15=0,"",S1OORData!Q15)</f>
        <v/>
      </c>
      <c r="P2625" s="1232"/>
      <c r="Q2625" s="868" t="str">
        <f>IF(S1OORData!R15=0,"",S1OORData!R15)</f>
        <v/>
      </c>
      <c r="R2625" s="869"/>
      <c r="S2625" s="869"/>
      <c r="T2625" s="870"/>
      <c r="U2625" s="868" t="str">
        <f>IF(S1OORData!AH15=0,"",S1OORData!AH15)</f>
        <v/>
      </c>
      <c r="V2625" s="869"/>
      <c r="W2625" s="869"/>
      <c r="X2625" s="870"/>
      <c r="Y2625" s="868">
        <f t="shared" si="48"/>
        <v>0</v>
      </c>
      <c r="Z2625" s="1232"/>
      <c r="AA2625" s="1232"/>
      <c r="AB2625" s="887"/>
      <c r="AC2625" s="1236" t="str">
        <f>IF(S1OORData!S15=0,"",S1OORData!S15)</f>
        <v/>
      </c>
      <c r="AD2625" s="1237"/>
      <c r="AE2625" s="1237"/>
      <c r="AF2625" s="1238"/>
      <c r="AG2625" s="529"/>
      <c r="AH2625" s="529"/>
      <c r="AJ2625" s="595" t="b">
        <v>0</v>
      </c>
    </row>
    <row r="2626" spans="1:36" hidden="1" x14ac:dyDescent="0.45">
      <c r="A2626" s="518"/>
      <c r="B2626" s="514" t="s">
        <v>1418</v>
      </c>
      <c r="C2626" s="515"/>
      <c r="D2626" s="515"/>
      <c r="E2626" s="515"/>
      <c r="F2626" s="516"/>
      <c r="G2626" s="890" t="str">
        <f>IF(S1OORData!L16=0,"",S1OORData!L16)</f>
        <v/>
      </c>
      <c r="H2626" s="891"/>
      <c r="I2626" s="886" t="str">
        <f>IF(S1OORData!N16=0,"",S1OORData!N16)</f>
        <v/>
      </c>
      <c r="J2626" s="887"/>
      <c r="K2626" s="886" t="str">
        <f>IF(S1OORData!O16=0,"",S1OORData!O16)</f>
        <v/>
      </c>
      <c r="L2626" s="887"/>
      <c r="M2626" s="886" t="str">
        <f>IF(S1OORData!P16=0,"",S1OORData!P16)</f>
        <v/>
      </c>
      <c r="N2626" s="887"/>
      <c r="O2626" s="886" t="str">
        <f>IF(S1OORData!Q16=0,"",S1OORData!Q16)</f>
        <v/>
      </c>
      <c r="P2626" s="1232"/>
      <c r="Q2626" s="868" t="str">
        <f>IF(S1OORData!R16=0,"",S1OORData!R16)</f>
        <v/>
      </c>
      <c r="R2626" s="869"/>
      <c r="S2626" s="869"/>
      <c r="T2626" s="870"/>
      <c r="U2626" s="868" t="str">
        <f>IF(S1OORData!AH16=0,"",S1OORData!AH16)</f>
        <v/>
      </c>
      <c r="V2626" s="869"/>
      <c r="W2626" s="869"/>
      <c r="X2626" s="870"/>
      <c r="Y2626" s="868">
        <f t="shared" si="48"/>
        <v>0</v>
      </c>
      <c r="Z2626" s="1232"/>
      <c r="AA2626" s="1232"/>
      <c r="AB2626" s="887"/>
      <c r="AC2626" s="1236" t="str">
        <f>IF(S1OORData!S16=0,"",S1OORData!S16)</f>
        <v/>
      </c>
      <c r="AD2626" s="1237"/>
      <c r="AE2626" s="1237"/>
      <c r="AF2626" s="1238"/>
      <c r="AG2626" s="529"/>
      <c r="AH2626" s="529"/>
      <c r="AJ2626" s="595" t="b">
        <v>0</v>
      </c>
    </row>
    <row r="2627" spans="1:36" hidden="1" x14ac:dyDescent="0.45">
      <c r="A2627" s="518"/>
      <c r="B2627" s="514" t="s">
        <v>1419</v>
      </c>
      <c r="C2627" s="515"/>
      <c r="D2627" s="515"/>
      <c r="E2627" s="515"/>
      <c r="F2627" s="516"/>
      <c r="G2627" s="890" t="str">
        <f>IF(S1OORData!L17=0,"",S1OORData!L17)</f>
        <v/>
      </c>
      <c r="H2627" s="891"/>
      <c r="I2627" s="886" t="str">
        <f>IF(S1OORData!N17=0,"",S1OORData!N17)</f>
        <v/>
      </c>
      <c r="J2627" s="887"/>
      <c r="K2627" s="886" t="str">
        <f>IF(S1OORData!O17=0,"",S1OORData!O17)</f>
        <v/>
      </c>
      <c r="L2627" s="887"/>
      <c r="M2627" s="886" t="str">
        <f>IF(S1OORData!P17=0,"",S1OORData!P17)</f>
        <v/>
      </c>
      <c r="N2627" s="887"/>
      <c r="O2627" s="886" t="str">
        <f>IF(S1OORData!Q17=0,"",S1OORData!Q17)</f>
        <v/>
      </c>
      <c r="P2627" s="1232"/>
      <c r="Q2627" s="868" t="str">
        <f>IF(S1OORData!R17=0,"",S1OORData!R17)</f>
        <v/>
      </c>
      <c r="R2627" s="869"/>
      <c r="S2627" s="869"/>
      <c r="T2627" s="870"/>
      <c r="U2627" s="868" t="str">
        <f>IF(S1OORData!AH17=0,"",S1OORData!AH17)</f>
        <v/>
      </c>
      <c r="V2627" s="869"/>
      <c r="W2627" s="869"/>
      <c r="X2627" s="870"/>
      <c r="Y2627" s="868">
        <f t="shared" si="48"/>
        <v>0</v>
      </c>
      <c r="Z2627" s="1232"/>
      <c r="AA2627" s="1232"/>
      <c r="AB2627" s="887"/>
      <c r="AC2627" s="1236" t="str">
        <f>IF(S1OORData!S17=0,"",S1OORData!S17)</f>
        <v/>
      </c>
      <c r="AD2627" s="1237"/>
      <c r="AE2627" s="1237"/>
      <c r="AF2627" s="1238"/>
      <c r="AG2627" s="529"/>
      <c r="AH2627" s="529"/>
      <c r="AJ2627" s="595" t="b">
        <v>0</v>
      </c>
    </row>
    <row r="2628" spans="1:36" hidden="1" x14ac:dyDescent="0.45">
      <c r="A2628" s="518"/>
      <c r="B2628" s="514" t="s">
        <v>1420</v>
      </c>
      <c r="C2628" s="515"/>
      <c r="D2628" s="515"/>
      <c r="E2628" s="515"/>
      <c r="F2628" s="516"/>
      <c r="G2628" s="890" t="str">
        <f>IF(S1OORData!L18=0,"",S1OORData!L18)</f>
        <v/>
      </c>
      <c r="H2628" s="891"/>
      <c r="I2628" s="886" t="str">
        <f>IF(S1OORData!N18=0,"",S1OORData!N18)</f>
        <v/>
      </c>
      <c r="J2628" s="887"/>
      <c r="K2628" s="886" t="str">
        <f>IF(S1OORData!O18=0,"",S1OORData!O18)</f>
        <v/>
      </c>
      <c r="L2628" s="887"/>
      <c r="M2628" s="886" t="str">
        <f>IF(S1OORData!P18=0,"",S1OORData!P18)</f>
        <v/>
      </c>
      <c r="N2628" s="887"/>
      <c r="O2628" s="886" t="str">
        <f>IF(S1OORData!Q18=0,"",S1OORData!Q18)</f>
        <v/>
      </c>
      <c r="P2628" s="1232"/>
      <c r="Q2628" s="868" t="str">
        <f>IF(S1OORData!R18=0,"",S1OORData!R18)</f>
        <v/>
      </c>
      <c r="R2628" s="869"/>
      <c r="S2628" s="869"/>
      <c r="T2628" s="870"/>
      <c r="U2628" s="868" t="str">
        <f>IF(S1OORData!AH18=0,"",S1OORData!AH18)</f>
        <v/>
      </c>
      <c r="V2628" s="869"/>
      <c r="W2628" s="869"/>
      <c r="X2628" s="870"/>
      <c r="Y2628" s="868">
        <f t="shared" si="48"/>
        <v>0</v>
      </c>
      <c r="Z2628" s="1232"/>
      <c r="AA2628" s="1232"/>
      <c r="AB2628" s="887"/>
      <c r="AC2628" s="1236" t="str">
        <f>IF(S1OORData!S18=0,"",S1OORData!S18)</f>
        <v/>
      </c>
      <c r="AD2628" s="1237"/>
      <c r="AE2628" s="1237"/>
      <c r="AF2628" s="1238"/>
      <c r="AG2628" s="529"/>
      <c r="AH2628" s="529"/>
      <c r="AJ2628" s="595" t="b">
        <v>0</v>
      </c>
    </row>
    <row r="2629" spans="1:36" hidden="1" x14ac:dyDescent="0.45">
      <c r="A2629" s="518"/>
      <c r="B2629" s="514" t="s">
        <v>1421</v>
      </c>
      <c r="C2629" s="515"/>
      <c r="D2629" s="515"/>
      <c r="E2629" s="515"/>
      <c r="F2629" s="516"/>
      <c r="G2629" s="890" t="str">
        <f>IF(S1OORData!L19=0,"",S1OORData!L19)</f>
        <v/>
      </c>
      <c r="H2629" s="891"/>
      <c r="I2629" s="886" t="str">
        <f>IF(S1OORData!N19=0,"",S1OORData!N19)</f>
        <v/>
      </c>
      <c r="J2629" s="887"/>
      <c r="K2629" s="886" t="str">
        <f>IF(S1OORData!O19=0,"",S1OORData!O19)</f>
        <v/>
      </c>
      <c r="L2629" s="887"/>
      <c r="M2629" s="886" t="str">
        <f>IF(S1OORData!P19=0,"",S1OORData!P19)</f>
        <v/>
      </c>
      <c r="N2629" s="887"/>
      <c r="O2629" s="886" t="str">
        <f>IF(S1OORData!Q19=0,"",S1OORData!Q19)</f>
        <v/>
      </c>
      <c r="P2629" s="1232"/>
      <c r="Q2629" s="868" t="str">
        <f>IF(S1OORData!R19=0,"",S1OORData!R19)</f>
        <v/>
      </c>
      <c r="R2629" s="869"/>
      <c r="S2629" s="869"/>
      <c r="T2629" s="870"/>
      <c r="U2629" s="868" t="str">
        <f>IF(S1OORData!AH19=0,"",S1OORData!AH19)</f>
        <v/>
      </c>
      <c r="V2629" s="869"/>
      <c r="W2629" s="869"/>
      <c r="X2629" s="870"/>
      <c r="Y2629" s="868">
        <f t="shared" si="48"/>
        <v>0</v>
      </c>
      <c r="Z2629" s="1232"/>
      <c r="AA2629" s="1232"/>
      <c r="AB2629" s="887"/>
      <c r="AC2629" s="1236" t="str">
        <f>IF(S1OORData!S19=0,"",S1OORData!S19)</f>
        <v/>
      </c>
      <c r="AD2629" s="1237"/>
      <c r="AE2629" s="1237"/>
      <c r="AF2629" s="1238"/>
      <c r="AG2629" s="529"/>
      <c r="AH2629" s="529"/>
      <c r="AJ2629" s="595" t="b">
        <v>0</v>
      </c>
    </row>
    <row r="2630" spans="1:36" hidden="1" x14ac:dyDescent="0.45">
      <c r="A2630" s="518"/>
      <c r="B2630" s="514" t="s">
        <v>1422</v>
      </c>
      <c r="C2630" s="515"/>
      <c r="D2630" s="515"/>
      <c r="E2630" s="515"/>
      <c r="F2630" s="516"/>
      <c r="G2630" s="890" t="str">
        <f>IF(S1OORData!L20=0,"",S1OORData!L20)</f>
        <v/>
      </c>
      <c r="H2630" s="891"/>
      <c r="I2630" s="886" t="str">
        <f>IF(S1OORData!N20=0,"",S1OORData!N20)</f>
        <v/>
      </c>
      <c r="J2630" s="887"/>
      <c r="K2630" s="886" t="str">
        <f>IF(S1OORData!O20=0,"",S1OORData!O20)</f>
        <v/>
      </c>
      <c r="L2630" s="887"/>
      <c r="M2630" s="886" t="str">
        <f>IF(S1OORData!P20=0,"",S1OORData!P20)</f>
        <v/>
      </c>
      <c r="N2630" s="887"/>
      <c r="O2630" s="886" t="str">
        <f>IF(S1OORData!Q20=0,"",S1OORData!Q20)</f>
        <v/>
      </c>
      <c r="P2630" s="1232"/>
      <c r="Q2630" s="868" t="str">
        <f>IF(S1OORData!R20=0,"",S1OORData!R20)</f>
        <v/>
      </c>
      <c r="R2630" s="869"/>
      <c r="S2630" s="869"/>
      <c r="T2630" s="870"/>
      <c r="U2630" s="868" t="str">
        <f>IF(S1OORData!AH20=0,"",S1OORData!AH20)</f>
        <v/>
      </c>
      <c r="V2630" s="869"/>
      <c r="W2630" s="869"/>
      <c r="X2630" s="870"/>
      <c r="Y2630" s="868">
        <f t="shared" si="48"/>
        <v>0</v>
      </c>
      <c r="Z2630" s="1232"/>
      <c r="AA2630" s="1232"/>
      <c r="AB2630" s="887"/>
      <c r="AC2630" s="1236" t="str">
        <f>IF(S1OORData!S20=0,"",S1OORData!S20)</f>
        <v/>
      </c>
      <c r="AD2630" s="1237"/>
      <c r="AE2630" s="1237"/>
      <c r="AF2630" s="1238"/>
      <c r="AG2630" s="529"/>
      <c r="AH2630" s="529"/>
      <c r="AJ2630" s="595" t="b">
        <v>0</v>
      </c>
    </row>
    <row r="2631" spans="1:36" hidden="1" x14ac:dyDescent="0.45">
      <c r="A2631" s="518"/>
      <c r="B2631" s="514" t="s">
        <v>1423</v>
      </c>
      <c r="C2631" s="515"/>
      <c r="D2631" s="515"/>
      <c r="E2631" s="515"/>
      <c r="F2631" s="516"/>
      <c r="G2631" s="890" t="str">
        <f>IF(S1OORData!L21=0,"",S1OORData!L21)</f>
        <v/>
      </c>
      <c r="H2631" s="891"/>
      <c r="I2631" s="886" t="str">
        <f>IF(S1OORData!N21=0,"",S1OORData!N21)</f>
        <v/>
      </c>
      <c r="J2631" s="887"/>
      <c r="K2631" s="886" t="str">
        <f>IF(S1OORData!O21=0,"",S1OORData!O21)</f>
        <v/>
      </c>
      <c r="L2631" s="887"/>
      <c r="M2631" s="886" t="str">
        <f>IF(S1OORData!P21=0,"",S1OORData!P21)</f>
        <v/>
      </c>
      <c r="N2631" s="887"/>
      <c r="O2631" s="886" t="str">
        <f>IF(S1OORData!Q21=0,"",S1OORData!Q21)</f>
        <v/>
      </c>
      <c r="P2631" s="1232"/>
      <c r="Q2631" s="868" t="str">
        <f>IF(S1OORData!R21=0,"",S1OORData!R21)</f>
        <v/>
      </c>
      <c r="R2631" s="869"/>
      <c r="S2631" s="869"/>
      <c r="T2631" s="870"/>
      <c r="U2631" s="868" t="str">
        <f>IF(S1OORData!AH21=0,"",S1OORData!AH21)</f>
        <v/>
      </c>
      <c r="V2631" s="869"/>
      <c r="W2631" s="869"/>
      <c r="X2631" s="870"/>
      <c r="Y2631" s="868">
        <f t="shared" si="48"/>
        <v>0</v>
      </c>
      <c r="Z2631" s="1232"/>
      <c r="AA2631" s="1232"/>
      <c r="AB2631" s="887"/>
      <c r="AC2631" s="1236" t="str">
        <f>IF(S1OORData!S21=0,"",S1OORData!S21)</f>
        <v/>
      </c>
      <c r="AD2631" s="1237"/>
      <c r="AE2631" s="1237"/>
      <c r="AF2631" s="1238"/>
      <c r="AG2631" s="529"/>
      <c r="AH2631" s="529"/>
      <c r="AJ2631" s="595" t="b">
        <v>0</v>
      </c>
    </row>
    <row r="2632" spans="1:36" hidden="1" x14ac:dyDescent="0.45">
      <c r="A2632" s="518"/>
      <c r="B2632" s="514" t="s">
        <v>1424</v>
      </c>
      <c r="C2632" s="515"/>
      <c r="D2632" s="515"/>
      <c r="E2632" s="515"/>
      <c r="F2632" s="516"/>
      <c r="G2632" s="890" t="str">
        <f>IF(S1OORData!L22=0,"",S1OORData!L22)</f>
        <v/>
      </c>
      <c r="H2632" s="891"/>
      <c r="I2632" s="886" t="str">
        <f>IF(S1OORData!N22=0,"",S1OORData!N22)</f>
        <v/>
      </c>
      <c r="J2632" s="887"/>
      <c r="K2632" s="886" t="str">
        <f>IF(S1OORData!O22=0,"",S1OORData!O22)</f>
        <v/>
      </c>
      <c r="L2632" s="887"/>
      <c r="M2632" s="886" t="str">
        <f>IF(S1OORData!P22=0,"",S1OORData!P22)</f>
        <v/>
      </c>
      <c r="N2632" s="887"/>
      <c r="O2632" s="886" t="str">
        <f>IF(S1OORData!Q22=0,"",S1OORData!Q22)</f>
        <v/>
      </c>
      <c r="P2632" s="1232"/>
      <c r="Q2632" s="868" t="str">
        <f>IF(S1OORData!R22=0,"",S1OORData!R22)</f>
        <v/>
      </c>
      <c r="R2632" s="869"/>
      <c r="S2632" s="869"/>
      <c r="T2632" s="870"/>
      <c r="U2632" s="868" t="str">
        <f>IF(S1OORData!AH22=0,"",S1OORData!AH22)</f>
        <v/>
      </c>
      <c r="V2632" s="869"/>
      <c r="W2632" s="869"/>
      <c r="X2632" s="870"/>
      <c r="Y2632" s="868">
        <f t="shared" si="48"/>
        <v>0</v>
      </c>
      <c r="Z2632" s="1232"/>
      <c r="AA2632" s="1232"/>
      <c r="AB2632" s="887"/>
      <c r="AC2632" s="1236" t="str">
        <f>IF(S1OORData!S22=0,"",S1OORData!S22)</f>
        <v/>
      </c>
      <c r="AD2632" s="1237"/>
      <c r="AE2632" s="1237"/>
      <c r="AF2632" s="1238"/>
      <c r="AG2632" s="529"/>
      <c r="AH2632" s="529"/>
      <c r="AJ2632" s="595" t="b">
        <v>0</v>
      </c>
    </row>
    <row r="2633" spans="1:36" hidden="1" x14ac:dyDescent="0.45">
      <c r="A2633" s="518"/>
      <c r="B2633" s="514" t="s">
        <v>1425</v>
      </c>
      <c r="C2633" s="515"/>
      <c r="D2633" s="515"/>
      <c r="E2633" s="515"/>
      <c r="F2633" s="516"/>
      <c r="G2633" s="890" t="str">
        <f>IF(S1OORData!L23=0,"",S1OORData!L23)</f>
        <v/>
      </c>
      <c r="H2633" s="891"/>
      <c r="I2633" s="886" t="str">
        <f>IF(S1OORData!N23=0,"",S1OORData!N23)</f>
        <v/>
      </c>
      <c r="J2633" s="887"/>
      <c r="K2633" s="886" t="str">
        <f>IF(S1OORData!O23=0,"",S1OORData!O23)</f>
        <v/>
      </c>
      <c r="L2633" s="887"/>
      <c r="M2633" s="886" t="str">
        <f>IF(S1OORData!P23=0,"",S1OORData!P23)</f>
        <v/>
      </c>
      <c r="N2633" s="887"/>
      <c r="O2633" s="886" t="str">
        <f>IF(S1OORData!Q23=0,"",S1OORData!Q23)</f>
        <v/>
      </c>
      <c r="P2633" s="1232"/>
      <c r="Q2633" s="868" t="str">
        <f>IF(S1OORData!R23=0,"",S1OORData!R23)</f>
        <v/>
      </c>
      <c r="R2633" s="869"/>
      <c r="S2633" s="869"/>
      <c r="T2633" s="870"/>
      <c r="U2633" s="868" t="str">
        <f>IF(S1OORData!AH23=0,"",S1OORData!AH23)</f>
        <v/>
      </c>
      <c r="V2633" s="869"/>
      <c r="W2633" s="869"/>
      <c r="X2633" s="870"/>
      <c r="Y2633" s="868">
        <f t="shared" si="48"/>
        <v>0</v>
      </c>
      <c r="Z2633" s="1232"/>
      <c r="AA2633" s="1232"/>
      <c r="AB2633" s="887"/>
      <c r="AC2633" s="1236" t="str">
        <f>IF(S1OORData!S23=0,"",S1OORData!S23)</f>
        <v/>
      </c>
      <c r="AD2633" s="1237"/>
      <c r="AE2633" s="1237"/>
      <c r="AF2633" s="1238"/>
      <c r="AG2633" s="529"/>
      <c r="AH2633" s="529"/>
      <c r="AJ2633" s="595" t="b">
        <v>0</v>
      </c>
    </row>
    <row r="2634" spans="1:36" hidden="1" x14ac:dyDescent="0.45">
      <c r="A2634" s="518"/>
      <c r="B2634" s="514" t="s">
        <v>1426</v>
      </c>
      <c r="C2634" s="515"/>
      <c r="D2634" s="515"/>
      <c r="E2634" s="515"/>
      <c r="F2634" s="516"/>
      <c r="G2634" s="890" t="str">
        <f>IF(S1OORData!L24=0,"",S1OORData!L24)</f>
        <v/>
      </c>
      <c r="H2634" s="891"/>
      <c r="I2634" s="886" t="str">
        <f>IF(S1OORData!N24=0,"",S1OORData!N24)</f>
        <v/>
      </c>
      <c r="J2634" s="887"/>
      <c r="K2634" s="886" t="str">
        <f>IF(S1OORData!O24=0,"",S1OORData!O24)</f>
        <v/>
      </c>
      <c r="L2634" s="887"/>
      <c r="M2634" s="886" t="str">
        <f>IF(S1OORData!P24=0,"",S1OORData!P24)</f>
        <v/>
      </c>
      <c r="N2634" s="887"/>
      <c r="O2634" s="886" t="str">
        <f>IF(S1OORData!Q24=0,"",S1OORData!Q24)</f>
        <v/>
      </c>
      <c r="P2634" s="1232"/>
      <c r="Q2634" s="868" t="str">
        <f>IF(S1OORData!R24=0,"",S1OORData!R24)</f>
        <v/>
      </c>
      <c r="R2634" s="869"/>
      <c r="S2634" s="869"/>
      <c r="T2634" s="870"/>
      <c r="U2634" s="868" t="str">
        <f>IF(S1OORData!AH24=0,"",S1OORData!AH24)</f>
        <v/>
      </c>
      <c r="V2634" s="869"/>
      <c r="W2634" s="869"/>
      <c r="X2634" s="870"/>
      <c r="Y2634" s="868">
        <f t="shared" si="48"/>
        <v>0</v>
      </c>
      <c r="Z2634" s="1232"/>
      <c r="AA2634" s="1232"/>
      <c r="AB2634" s="887"/>
      <c r="AC2634" s="1236" t="str">
        <f>IF(S1OORData!S24=0,"",S1OORData!S24)</f>
        <v/>
      </c>
      <c r="AD2634" s="1237"/>
      <c r="AE2634" s="1237"/>
      <c r="AF2634" s="1238"/>
      <c r="AG2634" s="529"/>
      <c r="AH2634" s="529"/>
      <c r="AJ2634" s="595" t="b">
        <v>0</v>
      </c>
    </row>
    <row r="2635" spans="1:36" hidden="1" x14ac:dyDescent="0.45">
      <c r="A2635" s="518"/>
      <c r="B2635" s="514" t="s">
        <v>1427</v>
      </c>
      <c r="C2635" s="515"/>
      <c r="D2635" s="515"/>
      <c r="E2635" s="515"/>
      <c r="F2635" s="516"/>
      <c r="G2635" s="890" t="str">
        <f>IF(S1OORData!L25=0,"",S1OORData!L25)</f>
        <v/>
      </c>
      <c r="H2635" s="891"/>
      <c r="I2635" s="886" t="str">
        <f>IF(S1OORData!N25=0,"",S1OORData!N25)</f>
        <v/>
      </c>
      <c r="J2635" s="887"/>
      <c r="K2635" s="886" t="str">
        <f>IF(S1OORData!O25=0,"",S1OORData!O25)</f>
        <v/>
      </c>
      <c r="L2635" s="887"/>
      <c r="M2635" s="886" t="str">
        <f>IF(S1OORData!P25=0,"",S1OORData!P25)</f>
        <v/>
      </c>
      <c r="N2635" s="887"/>
      <c r="O2635" s="886" t="str">
        <f>IF(S1OORData!Q25=0,"",S1OORData!Q25)</f>
        <v/>
      </c>
      <c r="P2635" s="1232"/>
      <c r="Q2635" s="868" t="str">
        <f>IF(S1OORData!R25=0,"",S1OORData!R25)</f>
        <v/>
      </c>
      <c r="R2635" s="869"/>
      <c r="S2635" s="869"/>
      <c r="T2635" s="870"/>
      <c r="U2635" s="868" t="str">
        <f>IF(S1OORData!AH25=0,"",S1OORData!AH25)</f>
        <v/>
      </c>
      <c r="V2635" s="869"/>
      <c r="W2635" s="869"/>
      <c r="X2635" s="870"/>
      <c r="Y2635" s="868">
        <f t="shared" si="48"/>
        <v>0</v>
      </c>
      <c r="Z2635" s="1232"/>
      <c r="AA2635" s="1232"/>
      <c r="AB2635" s="887"/>
      <c r="AC2635" s="1236" t="str">
        <f>IF(S1OORData!S25=0,"",S1OORData!S25)</f>
        <v/>
      </c>
      <c r="AD2635" s="1237"/>
      <c r="AE2635" s="1237"/>
      <c r="AF2635" s="1238"/>
      <c r="AG2635" s="529"/>
      <c r="AH2635" s="529"/>
      <c r="AJ2635" s="595" t="b">
        <v>0</v>
      </c>
    </row>
    <row r="2636" spans="1:36" hidden="1" x14ac:dyDescent="0.45">
      <c r="A2636" s="518"/>
      <c r="B2636" s="514" t="s">
        <v>1428</v>
      </c>
      <c r="C2636" s="515"/>
      <c r="D2636" s="515"/>
      <c r="E2636" s="515"/>
      <c r="F2636" s="516"/>
      <c r="G2636" s="890" t="str">
        <f>IF(S1OORData!L26=0,"",S1OORData!L26)</f>
        <v/>
      </c>
      <c r="H2636" s="891"/>
      <c r="I2636" s="886" t="str">
        <f>IF(S1OORData!N26=0,"",S1OORData!N26)</f>
        <v/>
      </c>
      <c r="J2636" s="887"/>
      <c r="K2636" s="886" t="str">
        <f>IF(S1OORData!O26=0,"",S1OORData!O26)</f>
        <v/>
      </c>
      <c r="L2636" s="887"/>
      <c r="M2636" s="886" t="str">
        <f>IF(S1OORData!P26=0,"",S1OORData!P26)</f>
        <v/>
      </c>
      <c r="N2636" s="887"/>
      <c r="O2636" s="886" t="str">
        <f>IF(S1OORData!Q26=0,"",S1OORData!Q26)</f>
        <v/>
      </c>
      <c r="P2636" s="1232"/>
      <c r="Q2636" s="868" t="str">
        <f>IF(S1OORData!R26=0,"",S1OORData!R26)</f>
        <v/>
      </c>
      <c r="R2636" s="869"/>
      <c r="S2636" s="869"/>
      <c r="T2636" s="870"/>
      <c r="U2636" s="868" t="str">
        <f>IF(S1OORData!AH26=0,"",S1OORData!AH26)</f>
        <v/>
      </c>
      <c r="V2636" s="869"/>
      <c r="W2636" s="869"/>
      <c r="X2636" s="870"/>
      <c r="Y2636" s="868">
        <f t="shared" si="48"/>
        <v>0</v>
      </c>
      <c r="Z2636" s="1232"/>
      <c r="AA2636" s="1232"/>
      <c r="AB2636" s="887"/>
      <c r="AC2636" s="1236" t="str">
        <f>IF(S1OORData!S26=0,"",S1OORData!S26)</f>
        <v/>
      </c>
      <c r="AD2636" s="1237"/>
      <c r="AE2636" s="1237"/>
      <c r="AF2636" s="1238"/>
      <c r="AG2636" s="529"/>
      <c r="AH2636" s="529"/>
      <c r="AJ2636" s="595" t="b">
        <v>0</v>
      </c>
    </row>
    <row r="2637" spans="1:36" hidden="1" x14ac:dyDescent="0.45">
      <c r="A2637" s="518"/>
      <c r="B2637" s="514" t="s">
        <v>1429</v>
      </c>
      <c r="C2637" s="515"/>
      <c r="D2637" s="515"/>
      <c r="E2637" s="515"/>
      <c r="F2637" s="516"/>
      <c r="G2637" s="890" t="str">
        <f>IF(S1OORData!L27=0,"",S1OORData!L27)</f>
        <v/>
      </c>
      <c r="H2637" s="891"/>
      <c r="I2637" s="886" t="str">
        <f>IF(S1OORData!N27=0,"",S1OORData!N27)</f>
        <v/>
      </c>
      <c r="J2637" s="887"/>
      <c r="K2637" s="886" t="str">
        <f>IF(S1OORData!O27=0,"",S1OORData!O27)</f>
        <v/>
      </c>
      <c r="L2637" s="887"/>
      <c r="M2637" s="886" t="str">
        <f>IF(S1OORData!P27=0,"",S1OORData!P27)</f>
        <v/>
      </c>
      <c r="N2637" s="887"/>
      <c r="O2637" s="886" t="str">
        <f>IF(S1OORData!Q27=0,"",S1OORData!Q27)</f>
        <v/>
      </c>
      <c r="P2637" s="1232"/>
      <c r="Q2637" s="868" t="str">
        <f>IF(S1OORData!R27=0,"",S1OORData!R27)</f>
        <v/>
      </c>
      <c r="R2637" s="869"/>
      <c r="S2637" s="869"/>
      <c r="T2637" s="870"/>
      <c r="U2637" s="868" t="str">
        <f>IF(S1OORData!AH27=0,"",S1OORData!AH27)</f>
        <v/>
      </c>
      <c r="V2637" s="869"/>
      <c r="W2637" s="869"/>
      <c r="X2637" s="870"/>
      <c r="Y2637" s="868">
        <f t="shared" si="48"/>
        <v>0</v>
      </c>
      <c r="Z2637" s="1232"/>
      <c r="AA2637" s="1232"/>
      <c r="AB2637" s="887"/>
      <c r="AC2637" s="1236" t="str">
        <f>IF(S1OORData!S27=0,"",S1OORData!S27)</f>
        <v/>
      </c>
      <c r="AD2637" s="1237"/>
      <c r="AE2637" s="1237"/>
      <c r="AF2637" s="1238"/>
      <c r="AG2637" s="529"/>
      <c r="AH2637" s="529"/>
      <c r="AJ2637" s="595" t="b">
        <v>0</v>
      </c>
    </row>
    <row r="2638" spans="1:36" hidden="1" x14ac:dyDescent="0.45">
      <c r="A2638" s="518"/>
      <c r="B2638" s="514" t="s">
        <v>1430</v>
      </c>
      <c r="C2638" s="515"/>
      <c r="D2638" s="515"/>
      <c r="E2638" s="515"/>
      <c r="F2638" s="516"/>
      <c r="G2638" s="890" t="str">
        <f>IF(S1OORData!L28=0,"",S1OORData!L28)</f>
        <v/>
      </c>
      <c r="H2638" s="891"/>
      <c r="I2638" s="886" t="str">
        <f>IF(S1OORData!N28=0,"",S1OORData!N28)</f>
        <v/>
      </c>
      <c r="J2638" s="887"/>
      <c r="K2638" s="886" t="str">
        <f>IF(S1OORData!O28=0,"",S1OORData!O28)</f>
        <v/>
      </c>
      <c r="L2638" s="887"/>
      <c r="M2638" s="886" t="str">
        <f>IF(S1OORData!P28=0,"",S1OORData!P28)</f>
        <v/>
      </c>
      <c r="N2638" s="887"/>
      <c r="O2638" s="886" t="str">
        <f>IF(S1OORData!Q28=0,"",S1OORData!Q28)</f>
        <v/>
      </c>
      <c r="P2638" s="1232"/>
      <c r="Q2638" s="868" t="str">
        <f>IF(S1OORData!R28=0,"",S1OORData!R28)</f>
        <v/>
      </c>
      <c r="R2638" s="869"/>
      <c r="S2638" s="869"/>
      <c r="T2638" s="870"/>
      <c r="U2638" s="868" t="str">
        <f>IF(S1OORData!AH28=0,"",S1OORData!AH28)</f>
        <v/>
      </c>
      <c r="V2638" s="869"/>
      <c r="W2638" s="869"/>
      <c r="X2638" s="870"/>
      <c r="Y2638" s="868">
        <f t="shared" si="48"/>
        <v>0</v>
      </c>
      <c r="Z2638" s="1232"/>
      <c r="AA2638" s="1232"/>
      <c r="AB2638" s="887"/>
      <c r="AC2638" s="1236" t="str">
        <f>IF(S1OORData!S28=0,"",S1OORData!S28)</f>
        <v/>
      </c>
      <c r="AD2638" s="1237"/>
      <c r="AE2638" s="1237"/>
      <c r="AF2638" s="1238"/>
      <c r="AG2638" s="529"/>
      <c r="AH2638" s="529"/>
      <c r="AJ2638" s="595" t="b">
        <v>0</v>
      </c>
    </row>
    <row r="2639" spans="1:36" hidden="1" x14ac:dyDescent="0.45">
      <c r="A2639" s="518"/>
      <c r="B2639" s="514" t="s">
        <v>1431</v>
      </c>
      <c r="C2639" s="515"/>
      <c r="D2639" s="515"/>
      <c r="E2639" s="515"/>
      <c r="F2639" s="516"/>
      <c r="G2639" s="890" t="str">
        <f>IF(S1OORData!L29=0,"",S1OORData!L29)</f>
        <v/>
      </c>
      <c r="H2639" s="891"/>
      <c r="I2639" s="886" t="str">
        <f>IF(S1OORData!N29=0,"",S1OORData!N29)</f>
        <v/>
      </c>
      <c r="J2639" s="887"/>
      <c r="K2639" s="886" t="str">
        <f>IF(S1OORData!O29=0,"",S1OORData!O29)</f>
        <v/>
      </c>
      <c r="L2639" s="887"/>
      <c r="M2639" s="886" t="str">
        <f>IF(S1OORData!P29=0,"",S1OORData!P29)</f>
        <v/>
      </c>
      <c r="N2639" s="887"/>
      <c r="O2639" s="886" t="str">
        <f>IF(S1OORData!Q29=0,"",S1OORData!Q29)</f>
        <v/>
      </c>
      <c r="P2639" s="1232"/>
      <c r="Q2639" s="868" t="str">
        <f>IF(S1OORData!R29=0,"",S1OORData!R29)</f>
        <v/>
      </c>
      <c r="R2639" s="869"/>
      <c r="S2639" s="869"/>
      <c r="T2639" s="870"/>
      <c r="U2639" s="868" t="str">
        <f>IF(S1OORData!AH29=0,"",S1OORData!AH29)</f>
        <v/>
      </c>
      <c r="V2639" s="869"/>
      <c r="W2639" s="869"/>
      <c r="X2639" s="870"/>
      <c r="Y2639" s="868">
        <f t="shared" si="48"/>
        <v>0</v>
      </c>
      <c r="Z2639" s="1232"/>
      <c r="AA2639" s="1232"/>
      <c r="AB2639" s="887"/>
      <c r="AC2639" s="1236" t="str">
        <f>IF(S1OORData!S29=0,"",S1OORData!S29)</f>
        <v/>
      </c>
      <c r="AD2639" s="1237"/>
      <c r="AE2639" s="1237"/>
      <c r="AF2639" s="1238"/>
      <c r="AG2639" s="529"/>
      <c r="AH2639" s="529"/>
      <c r="AJ2639" s="595" t="b">
        <v>0</v>
      </c>
    </row>
    <row r="2640" spans="1:36" hidden="1" x14ac:dyDescent="0.45">
      <c r="A2640" s="518"/>
      <c r="B2640" s="514" t="s">
        <v>1432</v>
      </c>
      <c r="C2640" s="515"/>
      <c r="D2640" s="515"/>
      <c r="E2640" s="515"/>
      <c r="F2640" s="516"/>
      <c r="G2640" s="890" t="str">
        <f>IF(S1OORData!L30=0,"",S1OORData!L30)</f>
        <v/>
      </c>
      <c r="H2640" s="891"/>
      <c r="I2640" s="886" t="str">
        <f>IF(S1OORData!N30=0,"",S1OORData!N30)</f>
        <v/>
      </c>
      <c r="J2640" s="887"/>
      <c r="K2640" s="886" t="str">
        <f>IF(S1OORData!O30=0,"",S1OORData!O30)</f>
        <v/>
      </c>
      <c r="L2640" s="887"/>
      <c r="M2640" s="886" t="str">
        <f>IF(S1OORData!P30=0,"",S1OORData!P30)</f>
        <v/>
      </c>
      <c r="N2640" s="887"/>
      <c r="O2640" s="886" t="str">
        <f>IF(S1OORData!Q30=0,"",S1OORData!Q30)</f>
        <v/>
      </c>
      <c r="P2640" s="1232"/>
      <c r="Q2640" s="868" t="str">
        <f>IF(S1OORData!R30=0,"",S1OORData!R30)</f>
        <v/>
      </c>
      <c r="R2640" s="869"/>
      <c r="S2640" s="869"/>
      <c r="T2640" s="870"/>
      <c r="U2640" s="868" t="str">
        <f>IF(S1OORData!AH30=0,"",S1OORData!AH30)</f>
        <v/>
      </c>
      <c r="V2640" s="869"/>
      <c r="W2640" s="869"/>
      <c r="X2640" s="870"/>
      <c r="Y2640" s="868">
        <f t="shared" si="48"/>
        <v>0</v>
      </c>
      <c r="Z2640" s="1232"/>
      <c r="AA2640" s="1232"/>
      <c r="AB2640" s="887"/>
      <c r="AC2640" s="1236" t="str">
        <f>IF(S1OORData!S30=0,"",S1OORData!S30)</f>
        <v/>
      </c>
      <c r="AD2640" s="1237"/>
      <c r="AE2640" s="1237"/>
      <c r="AF2640" s="1238"/>
      <c r="AG2640" s="529"/>
      <c r="AH2640" s="529"/>
      <c r="AJ2640" s="595" t="b">
        <v>0</v>
      </c>
    </row>
    <row r="2641" spans="1:36" hidden="1" x14ac:dyDescent="0.45">
      <c r="A2641" s="518"/>
      <c r="B2641" s="514" t="s">
        <v>1433</v>
      </c>
      <c r="C2641" s="515"/>
      <c r="D2641" s="515"/>
      <c r="E2641" s="515"/>
      <c r="F2641" s="516"/>
      <c r="G2641" s="890" t="str">
        <f>IF(S1OORData!L31=0,"",S1OORData!L31)</f>
        <v/>
      </c>
      <c r="H2641" s="891"/>
      <c r="I2641" s="886" t="str">
        <f>IF(S1OORData!N31=0,"",S1OORData!N31)</f>
        <v/>
      </c>
      <c r="J2641" s="887"/>
      <c r="K2641" s="886" t="str">
        <f>IF(S1OORData!O31=0,"",S1OORData!O31)</f>
        <v/>
      </c>
      <c r="L2641" s="887"/>
      <c r="M2641" s="886" t="str">
        <f>IF(S1OORData!P31=0,"",S1OORData!P31)</f>
        <v/>
      </c>
      <c r="N2641" s="887"/>
      <c r="O2641" s="886" t="str">
        <f>IF(S1OORData!Q31=0,"",S1OORData!Q31)</f>
        <v/>
      </c>
      <c r="P2641" s="1232"/>
      <c r="Q2641" s="868" t="str">
        <f>IF(S1OORData!R31=0,"",S1OORData!R31)</f>
        <v/>
      </c>
      <c r="R2641" s="869"/>
      <c r="S2641" s="869"/>
      <c r="T2641" s="870"/>
      <c r="U2641" s="868" t="str">
        <f>IF(S1OORData!AH31=0,"",S1OORData!AH31)</f>
        <v/>
      </c>
      <c r="V2641" s="869"/>
      <c r="W2641" s="869"/>
      <c r="X2641" s="870"/>
      <c r="Y2641" s="868">
        <f t="shared" si="48"/>
        <v>0</v>
      </c>
      <c r="Z2641" s="1232"/>
      <c r="AA2641" s="1232"/>
      <c r="AB2641" s="887"/>
      <c r="AC2641" s="1236" t="str">
        <f>IF(S1OORData!S31=0,"",S1OORData!S31)</f>
        <v/>
      </c>
      <c r="AD2641" s="1237"/>
      <c r="AE2641" s="1237"/>
      <c r="AF2641" s="1238"/>
      <c r="AG2641" s="529"/>
      <c r="AH2641" s="529"/>
      <c r="AJ2641" s="595" t="b">
        <v>0</v>
      </c>
    </row>
    <row r="2642" spans="1:36" hidden="1" x14ac:dyDescent="0.45">
      <c r="A2642" s="518"/>
      <c r="B2642" s="514" t="s">
        <v>1434</v>
      </c>
      <c r="C2642" s="515"/>
      <c r="D2642" s="515"/>
      <c r="E2642" s="515"/>
      <c r="F2642" s="516"/>
      <c r="G2642" s="890" t="str">
        <f>IF(S1OORData!L32=0,"",S1OORData!L32)</f>
        <v/>
      </c>
      <c r="H2642" s="891"/>
      <c r="I2642" s="886" t="str">
        <f>IF(S1OORData!N32=0,"",S1OORData!N32)</f>
        <v/>
      </c>
      <c r="J2642" s="887"/>
      <c r="K2642" s="886" t="str">
        <f>IF(S1OORData!O32=0,"",S1OORData!O32)</f>
        <v/>
      </c>
      <c r="L2642" s="887"/>
      <c r="M2642" s="886" t="str">
        <f>IF(S1OORData!P32=0,"",S1OORData!P32)</f>
        <v/>
      </c>
      <c r="N2642" s="887"/>
      <c r="O2642" s="886" t="str">
        <f>IF(S1OORData!Q32=0,"",S1OORData!Q32)</f>
        <v/>
      </c>
      <c r="P2642" s="1232"/>
      <c r="Q2642" s="868" t="str">
        <f>IF(S1OORData!R32=0,"",S1OORData!R32)</f>
        <v/>
      </c>
      <c r="R2642" s="869"/>
      <c r="S2642" s="869"/>
      <c r="T2642" s="870"/>
      <c r="U2642" s="868" t="str">
        <f>IF(S1OORData!AH32=0,"",S1OORData!AH32)</f>
        <v/>
      </c>
      <c r="V2642" s="869"/>
      <c r="W2642" s="869"/>
      <c r="X2642" s="870"/>
      <c r="Y2642" s="868">
        <f t="shared" si="48"/>
        <v>0</v>
      </c>
      <c r="Z2642" s="1232"/>
      <c r="AA2642" s="1232"/>
      <c r="AB2642" s="887"/>
      <c r="AC2642" s="1236" t="str">
        <f>IF(S1OORData!S32=0,"",S1OORData!S32)</f>
        <v/>
      </c>
      <c r="AD2642" s="1237"/>
      <c r="AE2642" s="1237"/>
      <c r="AF2642" s="1238"/>
      <c r="AG2642" s="529"/>
      <c r="AH2642" s="529"/>
      <c r="AJ2642" s="595" t="b">
        <v>0</v>
      </c>
    </row>
    <row r="2643" spans="1:36" hidden="1" x14ac:dyDescent="0.45">
      <c r="A2643" s="518"/>
      <c r="B2643" s="514" t="s">
        <v>1435</v>
      </c>
      <c r="C2643" s="515"/>
      <c r="D2643" s="515"/>
      <c r="E2643" s="515"/>
      <c r="F2643" s="516"/>
      <c r="G2643" s="890" t="str">
        <f>IF(S1OORData!L33=0,"",S1OORData!L33)</f>
        <v/>
      </c>
      <c r="H2643" s="891"/>
      <c r="I2643" s="886" t="str">
        <f>IF(S1OORData!N33=0,"",S1OORData!N33)</f>
        <v/>
      </c>
      <c r="J2643" s="887"/>
      <c r="K2643" s="886" t="str">
        <f>IF(S1OORData!O33=0,"",S1OORData!O33)</f>
        <v/>
      </c>
      <c r="L2643" s="887"/>
      <c r="M2643" s="886" t="str">
        <f>IF(S1OORData!P33=0,"",S1OORData!P33)</f>
        <v/>
      </c>
      <c r="N2643" s="887"/>
      <c r="O2643" s="886" t="str">
        <f>IF(S1OORData!Q33=0,"",S1OORData!Q33)</f>
        <v/>
      </c>
      <c r="P2643" s="1232"/>
      <c r="Q2643" s="868" t="str">
        <f>IF(S1OORData!R33=0,"",S1OORData!R33)</f>
        <v/>
      </c>
      <c r="R2643" s="869"/>
      <c r="S2643" s="869"/>
      <c r="T2643" s="870"/>
      <c r="U2643" s="868" t="str">
        <f>IF(S1OORData!AH33=0,"",S1OORData!AH33)</f>
        <v/>
      </c>
      <c r="V2643" s="869"/>
      <c r="W2643" s="869"/>
      <c r="X2643" s="870"/>
      <c r="Y2643" s="868">
        <f t="shared" si="48"/>
        <v>0</v>
      </c>
      <c r="Z2643" s="1232"/>
      <c r="AA2643" s="1232"/>
      <c r="AB2643" s="887"/>
      <c r="AC2643" s="1236" t="str">
        <f>IF(S1OORData!S33=0,"",S1OORData!S33)</f>
        <v/>
      </c>
      <c r="AD2643" s="1237"/>
      <c r="AE2643" s="1237"/>
      <c r="AF2643" s="1238"/>
      <c r="AG2643" s="529"/>
      <c r="AH2643" s="529"/>
      <c r="AJ2643" s="595" t="b">
        <v>0</v>
      </c>
    </row>
    <row r="2644" spans="1:36" hidden="1" x14ac:dyDescent="0.45">
      <c r="A2644" s="518"/>
      <c r="B2644" s="514" t="s">
        <v>1436</v>
      </c>
      <c r="C2644" s="515"/>
      <c r="D2644" s="515"/>
      <c r="E2644" s="515"/>
      <c r="F2644" s="516"/>
      <c r="G2644" s="890" t="str">
        <f>IF(S1OORData!L34=0,"",S1OORData!L34)</f>
        <v/>
      </c>
      <c r="H2644" s="891"/>
      <c r="I2644" s="886" t="str">
        <f>IF(S1OORData!N34=0,"",S1OORData!N34)</f>
        <v/>
      </c>
      <c r="J2644" s="887"/>
      <c r="K2644" s="886" t="str">
        <f>IF(S1OORData!O34=0,"",S1OORData!O34)</f>
        <v/>
      </c>
      <c r="L2644" s="887"/>
      <c r="M2644" s="886" t="str">
        <f>IF(S1OORData!P34=0,"",S1OORData!P34)</f>
        <v/>
      </c>
      <c r="N2644" s="887"/>
      <c r="O2644" s="886" t="str">
        <f>IF(S1OORData!Q34=0,"",S1OORData!Q34)</f>
        <v/>
      </c>
      <c r="P2644" s="1232"/>
      <c r="Q2644" s="868" t="str">
        <f>IF(S1OORData!R34=0,"",S1OORData!R34)</f>
        <v/>
      </c>
      <c r="R2644" s="869"/>
      <c r="S2644" s="869"/>
      <c r="T2644" s="870"/>
      <c r="U2644" s="868" t="str">
        <f>IF(S1OORData!AH34=0,"",S1OORData!AH34)</f>
        <v/>
      </c>
      <c r="V2644" s="869"/>
      <c r="W2644" s="869"/>
      <c r="X2644" s="870"/>
      <c r="Y2644" s="868">
        <f t="shared" si="48"/>
        <v>0</v>
      </c>
      <c r="Z2644" s="1232"/>
      <c r="AA2644" s="1232"/>
      <c r="AB2644" s="887"/>
      <c r="AC2644" s="1236" t="str">
        <f>IF(S1OORData!S34=0,"",S1OORData!S34)</f>
        <v/>
      </c>
      <c r="AD2644" s="1237"/>
      <c r="AE2644" s="1237"/>
      <c r="AF2644" s="1238"/>
      <c r="AG2644" s="529"/>
      <c r="AH2644" s="529"/>
      <c r="AJ2644" s="595" t="b">
        <v>0</v>
      </c>
    </row>
    <row r="2645" spans="1:36" hidden="1" x14ac:dyDescent="0.45">
      <c r="A2645" s="518"/>
      <c r="B2645" s="514" t="s">
        <v>1437</v>
      </c>
      <c r="C2645" s="515"/>
      <c r="D2645" s="515"/>
      <c r="E2645" s="515"/>
      <c r="F2645" s="516"/>
      <c r="G2645" s="890" t="str">
        <f>IF(S1OORData!L35=0,"",S1OORData!L35)</f>
        <v/>
      </c>
      <c r="H2645" s="891"/>
      <c r="I2645" s="886" t="str">
        <f>IF(S1OORData!N35=0,"",S1OORData!N35)</f>
        <v/>
      </c>
      <c r="J2645" s="887"/>
      <c r="K2645" s="886" t="str">
        <f>IF(S1OORData!O35=0,"",S1OORData!O35)</f>
        <v/>
      </c>
      <c r="L2645" s="887"/>
      <c r="M2645" s="886" t="str">
        <f>IF(S1OORData!P35=0,"",S1OORData!P35)</f>
        <v/>
      </c>
      <c r="N2645" s="887"/>
      <c r="O2645" s="886" t="str">
        <f>IF(S1OORData!Q35=0,"",S1OORData!Q35)</f>
        <v/>
      </c>
      <c r="P2645" s="1232"/>
      <c r="Q2645" s="868" t="str">
        <f>IF(S1OORData!R35=0,"",S1OORData!R35)</f>
        <v/>
      </c>
      <c r="R2645" s="869"/>
      <c r="S2645" s="869"/>
      <c r="T2645" s="870"/>
      <c r="U2645" s="868" t="str">
        <f>IF(S1OORData!AH35=0,"",S1OORData!AH35)</f>
        <v/>
      </c>
      <c r="V2645" s="869"/>
      <c r="W2645" s="869"/>
      <c r="X2645" s="870"/>
      <c r="Y2645" s="868">
        <f t="shared" si="48"/>
        <v>0</v>
      </c>
      <c r="Z2645" s="1232"/>
      <c r="AA2645" s="1232"/>
      <c r="AB2645" s="887"/>
      <c r="AC2645" s="1236" t="str">
        <f>IF(S1OORData!S35=0,"",S1OORData!S35)</f>
        <v/>
      </c>
      <c r="AD2645" s="1237"/>
      <c r="AE2645" s="1237"/>
      <c r="AF2645" s="1238"/>
      <c r="AG2645" s="529"/>
      <c r="AH2645" s="529"/>
      <c r="AJ2645" s="595" t="b">
        <v>0</v>
      </c>
    </row>
    <row r="2646" spans="1:36" hidden="1" x14ac:dyDescent="0.45">
      <c r="A2646" s="518"/>
      <c r="B2646" s="514" t="s">
        <v>1438</v>
      </c>
      <c r="C2646" s="515"/>
      <c r="D2646" s="515"/>
      <c r="E2646" s="515"/>
      <c r="F2646" s="516"/>
      <c r="G2646" s="890" t="str">
        <f>IF(S1OORData!L36=0,"",S1OORData!L36)</f>
        <v/>
      </c>
      <c r="H2646" s="891"/>
      <c r="I2646" s="886" t="str">
        <f>IF(S1OORData!N36=0,"",S1OORData!N36)</f>
        <v/>
      </c>
      <c r="J2646" s="887"/>
      <c r="K2646" s="886" t="str">
        <f>IF(S1OORData!O36=0,"",S1OORData!O36)</f>
        <v/>
      </c>
      <c r="L2646" s="887"/>
      <c r="M2646" s="886" t="str">
        <f>IF(S1OORData!P36=0,"",S1OORData!P36)</f>
        <v/>
      </c>
      <c r="N2646" s="887"/>
      <c r="O2646" s="886" t="str">
        <f>IF(S1OORData!Q36=0,"",S1OORData!Q36)</f>
        <v/>
      </c>
      <c r="P2646" s="1232"/>
      <c r="Q2646" s="868" t="str">
        <f>IF(S1OORData!R36=0,"",S1OORData!R36)</f>
        <v/>
      </c>
      <c r="R2646" s="869"/>
      <c r="S2646" s="869"/>
      <c r="T2646" s="870"/>
      <c r="U2646" s="868" t="str">
        <f>IF(S1OORData!AH36=0,"",S1OORData!AH36)</f>
        <v/>
      </c>
      <c r="V2646" s="869"/>
      <c r="W2646" s="869"/>
      <c r="X2646" s="870"/>
      <c r="Y2646" s="868">
        <f t="shared" si="48"/>
        <v>0</v>
      </c>
      <c r="Z2646" s="1232"/>
      <c r="AA2646" s="1232"/>
      <c r="AB2646" s="887"/>
      <c r="AC2646" s="1236" t="str">
        <f>IF(S1OORData!S36=0,"",S1OORData!S36)</f>
        <v/>
      </c>
      <c r="AD2646" s="1237"/>
      <c r="AE2646" s="1237"/>
      <c r="AF2646" s="1238"/>
      <c r="AG2646" s="529"/>
      <c r="AH2646" s="529"/>
      <c r="AJ2646" s="595" t="b">
        <v>0</v>
      </c>
    </row>
    <row r="2647" spans="1:36" hidden="1" x14ac:dyDescent="0.45">
      <c r="A2647" s="518"/>
      <c r="B2647" s="514" t="s">
        <v>1439</v>
      </c>
      <c r="C2647" s="515"/>
      <c r="D2647" s="515"/>
      <c r="E2647" s="515"/>
      <c r="F2647" s="516"/>
      <c r="G2647" s="890" t="str">
        <f>IF(S1OORData!L37=0,"",S1OORData!L37)</f>
        <v/>
      </c>
      <c r="H2647" s="891"/>
      <c r="I2647" s="886" t="str">
        <f>IF(S1OORData!N37=0,"",S1OORData!N37)</f>
        <v/>
      </c>
      <c r="J2647" s="887"/>
      <c r="K2647" s="886" t="str">
        <f>IF(S1OORData!O37=0,"",S1OORData!O37)</f>
        <v/>
      </c>
      <c r="L2647" s="887"/>
      <c r="M2647" s="886" t="str">
        <f>IF(S1OORData!P37=0,"",S1OORData!P37)</f>
        <v/>
      </c>
      <c r="N2647" s="887"/>
      <c r="O2647" s="886" t="str">
        <f>IF(S1OORData!Q37=0,"",S1OORData!Q37)</f>
        <v/>
      </c>
      <c r="P2647" s="1232"/>
      <c r="Q2647" s="868" t="str">
        <f>IF(S1OORData!R37=0,"",S1OORData!R37)</f>
        <v/>
      </c>
      <c r="R2647" s="869"/>
      <c r="S2647" s="869"/>
      <c r="T2647" s="870"/>
      <c r="U2647" s="868" t="str">
        <f>IF(S1OORData!AH37=0,"",S1OORData!AH37)</f>
        <v/>
      </c>
      <c r="V2647" s="869"/>
      <c r="W2647" s="869"/>
      <c r="X2647" s="870"/>
      <c r="Y2647" s="868">
        <f t="shared" si="48"/>
        <v>0</v>
      </c>
      <c r="Z2647" s="1232"/>
      <c r="AA2647" s="1232"/>
      <c r="AB2647" s="887"/>
      <c r="AC2647" s="1236" t="str">
        <f>IF(S1OORData!S37=0,"",S1OORData!S37)</f>
        <v/>
      </c>
      <c r="AD2647" s="1237"/>
      <c r="AE2647" s="1237"/>
      <c r="AF2647" s="1238"/>
      <c r="AG2647" s="529"/>
      <c r="AH2647" s="529"/>
      <c r="AJ2647" s="595" t="b">
        <v>0</v>
      </c>
    </row>
    <row r="2648" spans="1:36" hidden="1" x14ac:dyDescent="0.45">
      <c r="A2648" s="518"/>
      <c r="B2648" s="514" t="s">
        <v>1440</v>
      </c>
      <c r="C2648" s="515"/>
      <c r="D2648" s="515"/>
      <c r="E2648" s="515"/>
      <c r="F2648" s="516"/>
      <c r="G2648" s="890" t="str">
        <f>IF(S1OORData!L38=0,"",S1OORData!L38)</f>
        <v/>
      </c>
      <c r="H2648" s="891"/>
      <c r="I2648" s="886" t="str">
        <f>IF(S1OORData!N38=0,"",S1OORData!N38)</f>
        <v/>
      </c>
      <c r="J2648" s="887"/>
      <c r="K2648" s="886" t="str">
        <f>IF(S1OORData!O38=0,"",S1OORData!O38)</f>
        <v/>
      </c>
      <c r="L2648" s="887"/>
      <c r="M2648" s="886" t="str">
        <f>IF(S1OORData!P38=0,"",S1OORData!P38)</f>
        <v/>
      </c>
      <c r="N2648" s="887"/>
      <c r="O2648" s="886" t="str">
        <f>IF(S1OORData!Q38=0,"",S1OORData!Q38)</f>
        <v/>
      </c>
      <c r="P2648" s="1232"/>
      <c r="Q2648" s="868" t="str">
        <f>IF(S1OORData!R38=0,"",S1OORData!R38)</f>
        <v/>
      </c>
      <c r="R2648" s="869"/>
      <c r="S2648" s="869"/>
      <c r="T2648" s="870"/>
      <c r="U2648" s="868" t="str">
        <f>IF(S1OORData!AH38=0,"",S1OORData!AH38)</f>
        <v/>
      </c>
      <c r="V2648" s="869"/>
      <c r="W2648" s="869"/>
      <c r="X2648" s="870"/>
      <c r="Y2648" s="868">
        <f t="shared" si="48"/>
        <v>0</v>
      </c>
      <c r="Z2648" s="1232"/>
      <c r="AA2648" s="1232"/>
      <c r="AB2648" s="887"/>
      <c r="AC2648" s="1236" t="str">
        <f>IF(S1OORData!S38=0,"",S1OORData!S38)</f>
        <v/>
      </c>
      <c r="AD2648" s="1237"/>
      <c r="AE2648" s="1237"/>
      <c r="AF2648" s="1238"/>
      <c r="AG2648" s="529"/>
      <c r="AH2648" s="529"/>
      <c r="AJ2648" s="595" t="b">
        <v>0</v>
      </c>
    </row>
    <row r="2649" spans="1:36" hidden="1" x14ac:dyDescent="0.45">
      <c r="A2649" s="518"/>
      <c r="B2649" s="514" t="s">
        <v>1441</v>
      </c>
      <c r="C2649" s="515"/>
      <c r="D2649" s="515"/>
      <c r="E2649" s="515"/>
      <c r="F2649" s="516"/>
      <c r="G2649" s="890" t="str">
        <f>IF(S1OORData!L39=0,"",S1OORData!L39)</f>
        <v/>
      </c>
      <c r="H2649" s="891"/>
      <c r="I2649" s="886" t="str">
        <f>IF(S1OORData!N39=0,"",S1OORData!N39)</f>
        <v/>
      </c>
      <c r="J2649" s="887"/>
      <c r="K2649" s="886" t="str">
        <f>IF(S1OORData!O39=0,"",S1OORData!O39)</f>
        <v/>
      </c>
      <c r="L2649" s="887"/>
      <c r="M2649" s="886" t="str">
        <f>IF(S1OORData!P39=0,"",S1OORData!P39)</f>
        <v/>
      </c>
      <c r="N2649" s="887"/>
      <c r="O2649" s="886" t="str">
        <f>IF(S1OORData!Q39=0,"",S1OORData!Q39)</f>
        <v/>
      </c>
      <c r="P2649" s="1232"/>
      <c r="Q2649" s="868" t="str">
        <f>IF(S1OORData!R39=0,"",S1OORData!R39)</f>
        <v/>
      </c>
      <c r="R2649" s="869"/>
      <c r="S2649" s="869"/>
      <c r="T2649" s="870"/>
      <c r="U2649" s="868" t="str">
        <f>IF(S1OORData!AH39=0,"",S1OORData!AH39)</f>
        <v/>
      </c>
      <c r="V2649" s="869"/>
      <c r="W2649" s="869"/>
      <c r="X2649" s="870"/>
      <c r="Y2649" s="868">
        <f t="shared" si="48"/>
        <v>0</v>
      </c>
      <c r="Z2649" s="1232"/>
      <c r="AA2649" s="1232"/>
      <c r="AB2649" s="887"/>
      <c r="AC2649" s="1236" t="str">
        <f>IF(S1OORData!S39=0,"",S1OORData!S39)</f>
        <v/>
      </c>
      <c r="AD2649" s="1237"/>
      <c r="AE2649" s="1237"/>
      <c r="AF2649" s="1238"/>
      <c r="AG2649" s="529"/>
      <c r="AH2649" s="529"/>
      <c r="AJ2649" s="595" t="b">
        <v>0</v>
      </c>
    </row>
    <row r="2650" spans="1:36" hidden="1" x14ac:dyDescent="0.45">
      <c r="A2650" s="518"/>
      <c r="B2650" s="514" t="s">
        <v>152</v>
      </c>
      <c r="C2650" s="515"/>
      <c r="D2650" s="515"/>
      <c r="E2650" s="515"/>
      <c r="F2650" s="516"/>
      <c r="G2650" s="890" t="str">
        <f>IF(S1OORData!L40=0,"",S1OORData!L40)</f>
        <v/>
      </c>
      <c r="H2650" s="891"/>
      <c r="I2650" s="886" t="str">
        <f>IF(S1OORData!N40=0,"",S1OORData!N40)</f>
        <v/>
      </c>
      <c r="J2650" s="887"/>
      <c r="K2650" s="886" t="str">
        <f>IF(S1OORData!O40=0,"",S1OORData!O40)</f>
        <v/>
      </c>
      <c r="L2650" s="887"/>
      <c r="M2650" s="886" t="str">
        <f>IF(S1OORData!P40=0,"",S1OORData!P40)</f>
        <v/>
      </c>
      <c r="N2650" s="887"/>
      <c r="O2650" s="886" t="str">
        <f>IF(S1OORData!Q40=0,"",S1OORData!Q40)</f>
        <v/>
      </c>
      <c r="P2650" s="1232"/>
      <c r="Q2650" s="868" t="str">
        <f>IF(S1OORData!R40=0,"",S1OORData!R40)</f>
        <v/>
      </c>
      <c r="R2650" s="869"/>
      <c r="S2650" s="869"/>
      <c r="T2650" s="870"/>
      <c r="U2650" s="868" t="str">
        <f>IF(S1OORData!AH40=0,"",S1OORData!AH40)</f>
        <v/>
      </c>
      <c r="V2650" s="869"/>
      <c r="W2650" s="869"/>
      <c r="X2650" s="870"/>
      <c r="Y2650" s="868">
        <f t="shared" si="48"/>
        <v>0</v>
      </c>
      <c r="Z2650" s="1232"/>
      <c r="AA2650" s="1232"/>
      <c r="AB2650" s="887"/>
      <c r="AC2650" s="1236" t="str">
        <f>IF(S1OORData!S40=0,"",S1OORData!S40)</f>
        <v/>
      </c>
      <c r="AD2650" s="1237"/>
      <c r="AE2650" s="1237"/>
      <c r="AF2650" s="1238"/>
      <c r="AG2650" s="529"/>
      <c r="AH2650" s="529"/>
      <c r="AJ2650" s="595" t="b">
        <v>0</v>
      </c>
    </row>
    <row r="2651" spans="1:36" hidden="1" x14ac:dyDescent="0.45">
      <c r="A2651" s="518"/>
      <c r="B2651" s="514" t="s">
        <v>1442</v>
      </c>
      <c r="C2651" s="515"/>
      <c r="D2651" s="515"/>
      <c r="E2651" s="515"/>
      <c r="F2651" s="516"/>
      <c r="G2651" s="890" t="str">
        <f>IF(S1OORData!L41=0,"",S1OORData!L41)</f>
        <v/>
      </c>
      <c r="H2651" s="891"/>
      <c r="I2651" s="886" t="str">
        <f>IF(S1OORData!N41=0,"",S1OORData!N41)</f>
        <v/>
      </c>
      <c r="J2651" s="887"/>
      <c r="K2651" s="886" t="str">
        <f>IF(S1OORData!O41=0,"",S1OORData!O41)</f>
        <v/>
      </c>
      <c r="L2651" s="887"/>
      <c r="M2651" s="886" t="str">
        <f>IF(S1OORData!P41=0,"",S1OORData!P41)</f>
        <v/>
      </c>
      <c r="N2651" s="887"/>
      <c r="O2651" s="886" t="str">
        <f>IF(S1OORData!Q41=0,"",S1OORData!Q41)</f>
        <v/>
      </c>
      <c r="P2651" s="1232"/>
      <c r="Q2651" s="868" t="str">
        <f>IF(S1OORData!R41=0,"",S1OORData!R41)</f>
        <v/>
      </c>
      <c r="R2651" s="869"/>
      <c r="S2651" s="869"/>
      <c r="T2651" s="870"/>
      <c r="U2651" s="868" t="str">
        <f>IF(S1OORData!AH41=0,"",S1OORData!AH41)</f>
        <v/>
      </c>
      <c r="V2651" s="869"/>
      <c r="W2651" s="869"/>
      <c r="X2651" s="870"/>
      <c r="Y2651" s="868">
        <f t="shared" si="48"/>
        <v>0</v>
      </c>
      <c r="Z2651" s="1232"/>
      <c r="AA2651" s="1232"/>
      <c r="AB2651" s="887"/>
      <c r="AC2651" s="1236" t="str">
        <f>IF(S1OORData!S41=0,"",S1OORData!S41)</f>
        <v/>
      </c>
      <c r="AD2651" s="1237"/>
      <c r="AE2651" s="1237"/>
      <c r="AF2651" s="1238"/>
      <c r="AG2651" s="529"/>
      <c r="AH2651" s="529"/>
      <c r="AJ2651" s="595" t="b">
        <v>0</v>
      </c>
    </row>
    <row r="2652" spans="1:36" hidden="1" x14ac:dyDescent="0.45">
      <c r="A2652" s="518"/>
      <c r="B2652" s="514" t="s">
        <v>1443</v>
      </c>
      <c r="C2652" s="515"/>
      <c r="D2652" s="515"/>
      <c r="E2652" s="515"/>
      <c r="F2652" s="516"/>
      <c r="G2652" s="890" t="str">
        <f>IF(S1OORData!L42=0,"",S1OORData!L42)</f>
        <v/>
      </c>
      <c r="H2652" s="891"/>
      <c r="I2652" s="886" t="str">
        <f>IF(S1OORData!N42=0,"",S1OORData!N42)</f>
        <v/>
      </c>
      <c r="J2652" s="887"/>
      <c r="K2652" s="886" t="str">
        <f>IF(S1OORData!O42=0,"",S1OORData!O42)</f>
        <v/>
      </c>
      <c r="L2652" s="887"/>
      <c r="M2652" s="886" t="str">
        <f>IF(S1OORData!P42=0,"",S1OORData!P42)</f>
        <v/>
      </c>
      <c r="N2652" s="887"/>
      <c r="O2652" s="886" t="str">
        <f>IF(S1OORData!Q42=0,"",S1OORData!Q42)</f>
        <v/>
      </c>
      <c r="P2652" s="1232"/>
      <c r="Q2652" s="868" t="str">
        <f>IF(S1OORData!R42=0,"",S1OORData!R42)</f>
        <v/>
      </c>
      <c r="R2652" s="869"/>
      <c r="S2652" s="869"/>
      <c r="T2652" s="870"/>
      <c r="U2652" s="868" t="str">
        <f>IF(S1OORData!AH42=0,"",S1OORData!AH42)</f>
        <v/>
      </c>
      <c r="V2652" s="869"/>
      <c r="W2652" s="869"/>
      <c r="X2652" s="870"/>
      <c r="Y2652" s="868">
        <f t="shared" si="48"/>
        <v>0</v>
      </c>
      <c r="Z2652" s="1232"/>
      <c r="AA2652" s="1232"/>
      <c r="AB2652" s="887"/>
      <c r="AC2652" s="1236" t="str">
        <f>IF(S1OORData!S42=0,"",S1OORData!S42)</f>
        <v/>
      </c>
      <c r="AD2652" s="1237"/>
      <c r="AE2652" s="1237"/>
      <c r="AF2652" s="1238"/>
      <c r="AG2652" s="529"/>
      <c r="AH2652" s="529"/>
      <c r="AJ2652" s="595" t="b">
        <v>0</v>
      </c>
    </row>
    <row r="2653" spans="1:36" hidden="1" x14ac:dyDescent="0.45">
      <c r="A2653" s="518"/>
      <c r="B2653" s="514" t="s">
        <v>1444</v>
      </c>
      <c r="C2653" s="515"/>
      <c r="D2653" s="515"/>
      <c r="E2653" s="515"/>
      <c r="F2653" s="516"/>
      <c r="G2653" s="890" t="str">
        <f>IF(S1OORData!L43=0,"",S1OORData!L43)</f>
        <v/>
      </c>
      <c r="H2653" s="891"/>
      <c r="I2653" s="886" t="str">
        <f>IF(S1OORData!N43=0,"",S1OORData!N43)</f>
        <v/>
      </c>
      <c r="J2653" s="887"/>
      <c r="K2653" s="886" t="str">
        <f>IF(S1OORData!O43=0,"",S1OORData!O43)</f>
        <v/>
      </c>
      <c r="L2653" s="887"/>
      <c r="M2653" s="886" t="str">
        <f>IF(S1OORData!P43=0,"",S1OORData!P43)</f>
        <v/>
      </c>
      <c r="N2653" s="887"/>
      <c r="O2653" s="886" t="str">
        <f>IF(S1OORData!Q43=0,"",S1OORData!Q43)</f>
        <v/>
      </c>
      <c r="P2653" s="1232"/>
      <c r="Q2653" s="868" t="str">
        <f>IF(S1OORData!R43=0,"",S1OORData!R43)</f>
        <v/>
      </c>
      <c r="R2653" s="869"/>
      <c r="S2653" s="869"/>
      <c r="T2653" s="870"/>
      <c r="U2653" s="868" t="str">
        <f>IF(S1OORData!AH43=0,"",S1OORData!AH43)</f>
        <v/>
      </c>
      <c r="V2653" s="869"/>
      <c r="W2653" s="869"/>
      <c r="X2653" s="870"/>
      <c r="Y2653" s="868">
        <f t="shared" si="48"/>
        <v>0</v>
      </c>
      <c r="Z2653" s="1232"/>
      <c r="AA2653" s="1232"/>
      <c r="AB2653" s="887"/>
      <c r="AC2653" s="1236" t="str">
        <f>IF(S1OORData!S43=0,"",S1OORData!S43)</f>
        <v/>
      </c>
      <c r="AD2653" s="1237"/>
      <c r="AE2653" s="1237"/>
      <c r="AF2653" s="1238"/>
      <c r="AG2653" s="529"/>
      <c r="AH2653" s="529"/>
      <c r="AJ2653" s="595" t="b">
        <v>0</v>
      </c>
    </row>
    <row r="2654" spans="1:36" hidden="1" x14ac:dyDescent="0.45">
      <c r="A2654" s="518"/>
      <c r="B2654" s="514" t="s">
        <v>1445</v>
      </c>
      <c r="C2654" s="515"/>
      <c r="D2654" s="515"/>
      <c r="E2654" s="515"/>
      <c r="F2654" s="516"/>
      <c r="G2654" s="890" t="str">
        <f>IF(S1OORData!L44=0,"",S1OORData!L44)</f>
        <v/>
      </c>
      <c r="H2654" s="891"/>
      <c r="I2654" s="886" t="str">
        <f>IF(S1OORData!N44=0,"",S1OORData!N44)</f>
        <v/>
      </c>
      <c r="J2654" s="887"/>
      <c r="K2654" s="886" t="str">
        <f>IF(S1OORData!O44=0,"",S1OORData!O44)</f>
        <v/>
      </c>
      <c r="L2654" s="887"/>
      <c r="M2654" s="886" t="str">
        <f>IF(S1OORData!P44=0,"",S1OORData!P44)</f>
        <v/>
      </c>
      <c r="N2654" s="887"/>
      <c r="O2654" s="886" t="str">
        <f>IF(S1OORData!Q44=0,"",S1OORData!Q44)</f>
        <v/>
      </c>
      <c r="P2654" s="1232"/>
      <c r="Q2654" s="868" t="str">
        <f>IF(S1OORData!R44=0,"",S1OORData!R44)</f>
        <v/>
      </c>
      <c r="R2654" s="869"/>
      <c r="S2654" s="869"/>
      <c r="T2654" s="870"/>
      <c r="U2654" s="868" t="str">
        <f>IF(S1OORData!AH44=0,"",S1OORData!AH44)</f>
        <v/>
      </c>
      <c r="V2654" s="869"/>
      <c r="W2654" s="869"/>
      <c r="X2654" s="870"/>
      <c r="Y2654" s="868">
        <f t="shared" si="48"/>
        <v>0</v>
      </c>
      <c r="Z2654" s="1232"/>
      <c r="AA2654" s="1232"/>
      <c r="AB2654" s="887"/>
      <c r="AC2654" s="1236" t="str">
        <f>IF(S1OORData!S44=0,"",S1OORData!S44)</f>
        <v/>
      </c>
      <c r="AD2654" s="1237"/>
      <c r="AE2654" s="1237"/>
      <c r="AF2654" s="1238"/>
      <c r="AG2654" s="529"/>
      <c r="AH2654" s="529"/>
      <c r="AJ2654" s="595" t="b">
        <v>0</v>
      </c>
    </row>
    <row r="2655" spans="1:36" hidden="1" x14ac:dyDescent="0.45">
      <c r="A2655" s="518"/>
      <c r="B2655" s="514" t="s">
        <v>1446</v>
      </c>
      <c r="C2655" s="515"/>
      <c r="D2655" s="515"/>
      <c r="E2655" s="515"/>
      <c r="F2655" s="516"/>
      <c r="G2655" s="890" t="str">
        <f>IF(S1OORData!L45=0,"",S1OORData!L45)</f>
        <v/>
      </c>
      <c r="H2655" s="891"/>
      <c r="I2655" s="886" t="str">
        <f>IF(S1OORData!N45=0,"",S1OORData!N45)</f>
        <v/>
      </c>
      <c r="J2655" s="887"/>
      <c r="K2655" s="886" t="str">
        <f>IF(S1OORData!O45=0,"",S1OORData!O45)</f>
        <v/>
      </c>
      <c r="L2655" s="887"/>
      <c r="M2655" s="886" t="str">
        <f>IF(S1OORData!P45=0,"",S1OORData!P45)</f>
        <v/>
      </c>
      <c r="N2655" s="887"/>
      <c r="O2655" s="886" t="str">
        <f>IF(S1OORData!Q45=0,"",S1OORData!Q45)</f>
        <v/>
      </c>
      <c r="P2655" s="1232"/>
      <c r="Q2655" s="868" t="str">
        <f>IF(S1OORData!R45=0,"",S1OORData!R45)</f>
        <v/>
      </c>
      <c r="R2655" s="869"/>
      <c r="S2655" s="869"/>
      <c r="T2655" s="870"/>
      <c r="U2655" s="868" t="str">
        <f>IF(S1OORData!AH45=0,"",S1OORData!AH45)</f>
        <v/>
      </c>
      <c r="V2655" s="869"/>
      <c r="W2655" s="869"/>
      <c r="X2655" s="870"/>
      <c r="Y2655" s="868">
        <f t="shared" si="48"/>
        <v>0</v>
      </c>
      <c r="Z2655" s="1232"/>
      <c r="AA2655" s="1232"/>
      <c r="AB2655" s="887"/>
      <c r="AC2655" s="1236" t="str">
        <f>IF(S1OORData!S45=0,"",S1OORData!S45)</f>
        <v/>
      </c>
      <c r="AD2655" s="1237"/>
      <c r="AE2655" s="1237"/>
      <c r="AF2655" s="1238"/>
      <c r="AG2655" s="529"/>
      <c r="AH2655" s="529"/>
      <c r="AJ2655" s="595" t="b">
        <v>0</v>
      </c>
    </row>
    <row r="2656" spans="1:36" hidden="1" x14ac:dyDescent="0.45">
      <c r="B2656" s="514" t="s">
        <v>1447</v>
      </c>
      <c r="C2656" s="515"/>
      <c r="D2656" s="515"/>
      <c r="E2656" s="515"/>
      <c r="F2656" s="516"/>
      <c r="G2656" s="890" t="str">
        <f>IF(S1OORData!L46=0,"",S1OORData!L46)</f>
        <v/>
      </c>
      <c r="H2656" s="891"/>
      <c r="I2656" s="886" t="str">
        <f>IF(S1OORData!N46=0,"",S1OORData!N46)</f>
        <v/>
      </c>
      <c r="J2656" s="887"/>
      <c r="K2656" s="886" t="str">
        <f>IF(S1OORData!O46=0,"",S1OORData!O46)</f>
        <v/>
      </c>
      <c r="L2656" s="887"/>
      <c r="M2656" s="886" t="str">
        <f>IF(S1OORData!P46=0,"",S1OORData!P46)</f>
        <v/>
      </c>
      <c r="N2656" s="887"/>
      <c r="O2656" s="886" t="str">
        <f>IF(S1OORData!Q46=0,"",S1OORData!Q46)</f>
        <v/>
      </c>
      <c r="P2656" s="1232"/>
      <c r="Q2656" s="868" t="str">
        <f>IF(S1OORData!R46=0,"",S1OORData!R46)</f>
        <v/>
      </c>
      <c r="R2656" s="869"/>
      <c r="S2656" s="869"/>
      <c r="T2656" s="870"/>
      <c r="U2656" s="868" t="str">
        <f>IF(S1OORData!AH46=0,"",S1OORData!AH46)</f>
        <v/>
      </c>
      <c r="V2656" s="869"/>
      <c r="W2656" s="869"/>
      <c r="X2656" s="870"/>
      <c r="Y2656" s="868">
        <f t="shared" si="48"/>
        <v>0</v>
      </c>
      <c r="Z2656" s="1232"/>
      <c r="AA2656" s="1232"/>
      <c r="AB2656" s="887"/>
      <c r="AC2656" s="1236" t="str">
        <f>IF(S1OORData!S46=0,"",S1OORData!S46)</f>
        <v/>
      </c>
      <c r="AD2656" s="1237"/>
      <c r="AE2656" s="1237"/>
      <c r="AF2656" s="1238"/>
      <c r="AG2656" s="529"/>
      <c r="AH2656" s="518"/>
      <c r="AJ2656" s="595" t="b">
        <v>0</v>
      </c>
    </row>
    <row r="2657" spans="1:36" hidden="1" x14ac:dyDescent="0.45">
      <c r="B2657" s="514" t="s">
        <v>1448</v>
      </c>
      <c r="C2657" s="515"/>
      <c r="D2657" s="515"/>
      <c r="E2657" s="515"/>
      <c r="F2657" s="516"/>
      <c r="G2657" s="890" t="str">
        <f>IF(S1OORData!L47=0,"",S1OORData!L47)</f>
        <v/>
      </c>
      <c r="H2657" s="891"/>
      <c r="I2657" s="886" t="str">
        <f>IF(S1OORData!N47=0,"",S1OORData!N47)</f>
        <v/>
      </c>
      <c r="J2657" s="887"/>
      <c r="K2657" s="886" t="str">
        <f>IF(S1OORData!O47=0,"",S1OORData!O47)</f>
        <v/>
      </c>
      <c r="L2657" s="887"/>
      <c r="M2657" s="886" t="str">
        <f>IF(S1OORData!P47=0,"",S1OORData!P47)</f>
        <v/>
      </c>
      <c r="N2657" s="887"/>
      <c r="O2657" s="886" t="str">
        <f>IF(S1OORData!Q47=0,"",S1OORData!Q47)</f>
        <v/>
      </c>
      <c r="P2657" s="1232"/>
      <c r="Q2657" s="868" t="str">
        <f>IF(S1OORData!R47=0,"",S1OORData!R47)</f>
        <v/>
      </c>
      <c r="R2657" s="869"/>
      <c r="S2657" s="869"/>
      <c r="T2657" s="870"/>
      <c r="U2657" s="868" t="str">
        <f>IF(S1OORData!AH47=0,"",S1OORData!AH47)</f>
        <v/>
      </c>
      <c r="V2657" s="869"/>
      <c r="W2657" s="869"/>
      <c r="X2657" s="870"/>
      <c r="Y2657" s="868">
        <f t="shared" si="48"/>
        <v>0</v>
      </c>
      <c r="Z2657" s="1232"/>
      <c r="AA2657" s="1232"/>
      <c r="AB2657" s="887"/>
      <c r="AC2657" s="1236" t="str">
        <f>IF(S1OORData!S47=0,"",S1OORData!S47)</f>
        <v/>
      </c>
      <c r="AD2657" s="1237"/>
      <c r="AE2657" s="1237"/>
      <c r="AF2657" s="1238"/>
      <c r="AG2657" s="529"/>
      <c r="AH2657" s="518"/>
      <c r="AJ2657" s="595" t="b">
        <v>0</v>
      </c>
    </row>
    <row r="2658" spans="1:36" hidden="1" x14ac:dyDescent="0.45">
      <c r="B2658" s="514" t="s">
        <v>1449</v>
      </c>
      <c r="C2658" s="515"/>
      <c r="D2658" s="515"/>
      <c r="E2658" s="515"/>
      <c r="F2658" s="516"/>
      <c r="G2658" s="890" t="str">
        <f>IF(S1OORData!L48=0,"",S1OORData!L48)</f>
        <v/>
      </c>
      <c r="H2658" s="891"/>
      <c r="I2658" s="886" t="str">
        <f>IF(S1OORData!N48=0,"",S1OORData!N48)</f>
        <v/>
      </c>
      <c r="J2658" s="887"/>
      <c r="K2658" s="886" t="str">
        <f>IF(S1OORData!O48=0,"",S1OORData!O48)</f>
        <v/>
      </c>
      <c r="L2658" s="887"/>
      <c r="M2658" s="886" t="str">
        <f>IF(S1OORData!P48=0,"",S1OORData!P48)</f>
        <v/>
      </c>
      <c r="N2658" s="887"/>
      <c r="O2658" s="886" t="str">
        <f>IF(S1OORData!Q48=0,"",S1OORData!Q48)</f>
        <v/>
      </c>
      <c r="P2658" s="1232"/>
      <c r="Q2658" s="868" t="str">
        <f>IF(S1OORData!R48=0,"",S1OORData!R48)</f>
        <v/>
      </c>
      <c r="R2658" s="869"/>
      <c r="S2658" s="869"/>
      <c r="T2658" s="870"/>
      <c r="U2658" s="868" t="str">
        <f>IF(S1OORData!AH48=0,"",S1OORData!AH48)</f>
        <v/>
      </c>
      <c r="V2658" s="869"/>
      <c r="W2658" s="869"/>
      <c r="X2658" s="870"/>
      <c r="Y2658" s="868">
        <f t="shared" si="48"/>
        <v>0</v>
      </c>
      <c r="Z2658" s="1232"/>
      <c r="AA2658" s="1232"/>
      <c r="AB2658" s="887"/>
      <c r="AC2658" s="1236" t="str">
        <f>IF(S1OORData!S48=0,"",S1OORData!S48)</f>
        <v/>
      </c>
      <c r="AD2658" s="1237"/>
      <c r="AE2658" s="1237"/>
      <c r="AF2658" s="1238"/>
      <c r="AG2658" s="529"/>
      <c r="AH2658" s="518"/>
      <c r="AJ2658" s="595" t="b">
        <v>0</v>
      </c>
    </row>
    <row r="2659" spans="1:36" hidden="1" x14ac:dyDescent="0.45">
      <c r="B2659" s="514" t="s">
        <v>1450</v>
      </c>
      <c r="C2659" s="515"/>
      <c r="D2659" s="515"/>
      <c r="E2659" s="515"/>
      <c r="F2659" s="516"/>
      <c r="G2659" s="890" t="str">
        <f>IF(S1OORData!L49=0,"",S1OORData!L49)</f>
        <v/>
      </c>
      <c r="H2659" s="891"/>
      <c r="I2659" s="886" t="str">
        <f>IF(S1OORData!N49=0,"",S1OORData!N49)</f>
        <v/>
      </c>
      <c r="J2659" s="887"/>
      <c r="K2659" s="886" t="str">
        <f>IF(S1OORData!O49=0,"",S1OORData!O49)</f>
        <v/>
      </c>
      <c r="L2659" s="887"/>
      <c r="M2659" s="886" t="str">
        <f>IF(S1OORData!P49=0,"",S1OORData!P49)</f>
        <v/>
      </c>
      <c r="N2659" s="887"/>
      <c r="O2659" s="886" t="str">
        <f>IF(S1OORData!Q49=0,"",S1OORData!Q49)</f>
        <v/>
      </c>
      <c r="P2659" s="1232"/>
      <c r="Q2659" s="868" t="str">
        <f>IF(S1OORData!R49=0,"",S1OORData!R49)</f>
        <v/>
      </c>
      <c r="R2659" s="869"/>
      <c r="S2659" s="869"/>
      <c r="T2659" s="870"/>
      <c r="U2659" s="868" t="str">
        <f>IF(S1OORData!AH49=0,"",S1OORData!AH49)</f>
        <v/>
      </c>
      <c r="V2659" s="869"/>
      <c r="W2659" s="869"/>
      <c r="X2659" s="870"/>
      <c r="Y2659" s="868">
        <f t="shared" si="48"/>
        <v>0</v>
      </c>
      <c r="Z2659" s="1232"/>
      <c r="AA2659" s="1232"/>
      <c r="AB2659" s="887"/>
      <c r="AC2659" s="1236" t="str">
        <f>IF(S1OORData!S49=0,"",S1OORData!S49)</f>
        <v/>
      </c>
      <c r="AD2659" s="1237"/>
      <c r="AE2659" s="1237"/>
      <c r="AF2659" s="1238"/>
      <c r="AG2659" s="529"/>
      <c r="AH2659" s="518"/>
      <c r="AJ2659" s="595" t="b">
        <v>0</v>
      </c>
    </row>
    <row r="2660" spans="1:36" hidden="1" x14ac:dyDescent="0.45">
      <c r="B2660" s="514" t="s">
        <v>1451</v>
      </c>
      <c r="C2660" s="515"/>
      <c r="D2660" s="515"/>
      <c r="E2660" s="515"/>
      <c r="F2660" s="516"/>
      <c r="G2660" s="890" t="str">
        <f>IF(S1OORData!L50=0,"",S1OORData!L50)</f>
        <v/>
      </c>
      <c r="H2660" s="891"/>
      <c r="I2660" s="886" t="str">
        <f>IF(S1OORData!N50=0,"",S1OORData!N50)</f>
        <v/>
      </c>
      <c r="J2660" s="887"/>
      <c r="K2660" s="886" t="str">
        <f>IF(S1OORData!O50=0,"",S1OORData!O50)</f>
        <v/>
      </c>
      <c r="L2660" s="887"/>
      <c r="M2660" s="886" t="str">
        <f>IF(S1OORData!P50=0,"",S1OORData!P50)</f>
        <v/>
      </c>
      <c r="N2660" s="887"/>
      <c r="O2660" s="886" t="str">
        <f>IF(S1OORData!Q50=0,"",S1OORData!Q50)</f>
        <v/>
      </c>
      <c r="P2660" s="1232"/>
      <c r="Q2660" s="868" t="str">
        <f>IF(S1OORData!R50=0,"",S1OORData!R50)</f>
        <v/>
      </c>
      <c r="R2660" s="869"/>
      <c r="S2660" s="869"/>
      <c r="T2660" s="870"/>
      <c r="U2660" s="868" t="str">
        <f>IF(S1OORData!AH50=0,"",S1OORData!AH50)</f>
        <v/>
      </c>
      <c r="V2660" s="869"/>
      <c r="W2660" s="869"/>
      <c r="X2660" s="870"/>
      <c r="Y2660" s="868">
        <f t="shared" si="48"/>
        <v>0</v>
      </c>
      <c r="Z2660" s="1232"/>
      <c r="AA2660" s="1232"/>
      <c r="AB2660" s="887"/>
      <c r="AC2660" s="1236" t="str">
        <f>IF(S1OORData!S50=0,"",S1OORData!S50)</f>
        <v/>
      </c>
      <c r="AD2660" s="1237"/>
      <c r="AE2660" s="1237"/>
      <c r="AF2660" s="1238"/>
      <c r="AG2660" s="529"/>
      <c r="AH2660" s="518"/>
      <c r="AJ2660" s="595" t="b">
        <v>0</v>
      </c>
    </row>
    <row r="2661" spans="1:36" hidden="1" x14ac:dyDescent="0.45">
      <c r="B2661" s="514" t="s">
        <v>1452</v>
      </c>
      <c r="C2661" s="515"/>
      <c r="D2661" s="515"/>
      <c r="E2661" s="515"/>
      <c r="F2661" s="516"/>
      <c r="G2661" s="890" t="str">
        <f>IF(S1OORData!L51=0,"",S1OORData!L51)</f>
        <v/>
      </c>
      <c r="H2661" s="891"/>
      <c r="I2661" s="886" t="str">
        <f>IF(S1OORData!N51=0,"",S1OORData!N51)</f>
        <v/>
      </c>
      <c r="J2661" s="887"/>
      <c r="K2661" s="886" t="str">
        <f>IF(S1OORData!O51=0,"",S1OORData!O51)</f>
        <v/>
      </c>
      <c r="L2661" s="887"/>
      <c r="M2661" s="886" t="str">
        <f>IF(S1OORData!P51=0,"",S1OORData!P51)</f>
        <v/>
      </c>
      <c r="N2661" s="887"/>
      <c r="O2661" s="886" t="str">
        <f>IF(S1OORData!Q51=0,"",S1OORData!Q51)</f>
        <v/>
      </c>
      <c r="P2661" s="1232"/>
      <c r="Q2661" s="868" t="str">
        <f>IF(S1OORData!R51=0,"",S1OORData!R51)</f>
        <v/>
      </c>
      <c r="R2661" s="869"/>
      <c r="S2661" s="869"/>
      <c r="T2661" s="870"/>
      <c r="U2661" s="868" t="str">
        <f>IF(S1OORData!AH51=0,"",S1OORData!AH51)</f>
        <v/>
      </c>
      <c r="V2661" s="869"/>
      <c r="W2661" s="869"/>
      <c r="X2661" s="870"/>
      <c r="Y2661" s="868">
        <f t="shared" si="48"/>
        <v>0</v>
      </c>
      <c r="Z2661" s="1232"/>
      <c r="AA2661" s="1232"/>
      <c r="AB2661" s="887"/>
      <c r="AC2661" s="1236" t="str">
        <f>IF(S1OORData!S51=0,"",S1OORData!S51)</f>
        <v/>
      </c>
      <c r="AD2661" s="1237"/>
      <c r="AE2661" s="1237"/>
      <c r="AF2661" s="1238"/>
      <c r="AG2661" s="529"/>
      <c r="AH2661" s="518"/>
      <c r="AJ2661" s="595" t="b">
        <v>0</v>
      </c>
    </row>
    <row r="2662" spans="1:36" hidden="1" x14ac:dyDescent="0.45">
      <c r="B2662" s="514" t="s">
        <v>1453</v>
      </c>
      <c r="C2662" s="515"/>
      <c r="D2662" s="515"/>
      <c r="E2662" s="515"/>
      <c r="F2662" s="516"/>
      <c r="G2662" s="890" t="str">
        <f>IF(S1OORData!L52=0,"",S1OORData!L52)</f>
        <v/>
      </c>
      <c r="H2662" s="891"/>
      <c r="I2662" s="886" t="str">
        <f>IF(S1OORData!N52=0,"",S1OORData!N52)</f>
        <v/>
      </c>
      <c r="J2662" s="887"/>
      <c r="K2662" s="886" t="str">
        <f>IF(S1OORData!O52=0,"",S1OORData!O52)</f>
        <v/>
      </c>
      <c r="L2662" s="887"/>
      <c r="M2662" s="886" t="str">
        <f>IF(S1OORData!P52=0,"",S1OORData!P52)</f>
        <v/>
      </c>
      <c r="N2662" s="887"/>
      <c r="O2662" s="886" t="str">
        <f>IF(S1OORData!Q52=0,"",S1OORData!Q52)</f>
        <v/>
      </c>
      <c r="P2662" s="1232"/>
      <c r="Q2662" s="868" t="str">
        <f>IF(S1OORData!R52=0,"",S1OORData!R52)</f>
        <v/>
      </c>
      <c r="R2662" s="869"/>
      <c r="S2662" s="869"/>
      <c r="T2662" s="870"/>
      <c r="U2662" s="868" t="str">
        <f>IF(S1OORData!AH52=0,"",S1OORData!AH52)</f>
        <v/>
      </c>
      <c r="V2662" s="869"/>
      <c r="W2662" s="869"/>
      <c r="X2662" s="870"/>
      <c r="Y2662" s="868">
        <f t="shared" si="48"/>
        <v>0</v>
      </c>
      <c r="Z2662" s="1232"/>
      <c r="AA2662" s="1232"/>
      <c r="AB2662" s="887"/>
      <c r="AC2662" s="1236" t="str">
        <f>IF(S1OORData!S52=0,"",S1OORData!S52)</f>
        <v/>
      </c>
      <c r="AD2662" s="1237"/>
      <c r="AE2662" s="1237"/>
      <c r="AF2662" s="1238"/>
      <c r="AG2662" s="529"/>
      <c r="AH2662" s="518"/>
      <c r="AJ2662" s="595" t="b">
        <v>0</v>
      </c>
    </row>
    <row r="2663" spans="1:36" hidden="1" x14ac:dyDescent="0.45">
      <c r="B2663" s="514" t="s">
        <v>1454</v>
      </c>
      <c r="C2663" s="515"/>
      <c r="D2663" s="515"/>
      <c r="E2663" s="515"/>
      <c r="F2663" s="516"/>
      <c r="G2663" s="890" t="str">
        <f>IF(S1OORData!L53=0,"",S1OORData!L53)</f>
        <v/>
      </c>
      <c r="H2663" s="891"/>
      <c r="I2663" s="886" t="str">
        <f>IF(S1OORData!N53=0,"",S1OORData!N53)</f>
        <v/>
      </c>
      <c r="J2663" s="887"/>
      <c r="K2663" s="886" t="str">
        <f>IF(S1OORData!O53=0,"",S1OORData!O53)</f>
        <v/>
      </c>
      <c r="L2663" s="887"/>
      <c r="M2663" s="886" t="str">
        <f>IF(S1OORData!P53=0,"",S1OORData!P53)</f>
        <v/>
      </c>
      <c r="N2663" s="887"/>
      <c r="O2663" s="886" t="str">
        <f>IF(S1OORData!Q53=0,"",S1OORData!Q53)</f>
        <v/>
      </c>
      <c r="P2663" s="1232"/>
      <c r="Q2663" s="868" t="str">
        <f>IF(S1OORData!R53=0,"",S1OORData!R53)</f>
        <v/>
      </c>
      <c r="R2663" s="869"/>
      <c r="S2663" s="869"/>
      <c r="T2663" s="870"/>
      <c r="U2663" s="868" t="str">
        <f>IF(S1OORData!AH53=0,"",S1OORData!AH53)</f>
        <v/>
      </c>
      <c r="V2663" s="869"/>
      <c r="W2663" s="869"/>
      <c r="X2663" s="870"/>
      <c r="Y2663" s="868">
        <f t="shared" si="48"/>
        <v>0</v>
      </c>
      <c r="Z2663" s="1232"/>
      <c r="AA2663" s="1232"/>
      <c r="AB2663" s="887"/>
      <c r="AC2663" s="1236" t="str">
        <f>IF(S1OORData!S53=0,"",S1OORData!S53)</f>
        <v/>
      </c>
      <c r="AD2663" s="1237"/>
      <c r="AE2663" s="1237"/>
      <c r="AF2663" s="1238"/>
      <c r="AG2663" s="529"/>
      <c r="AH2663" s="518"/>
      <c r="AJ2663" s="595" t="b">
        <v>0</v>
      </c>
    </row>
    <row r="2664" spans="1:36" hidden="1" x14ac:dyDescent="0.45">
      <c r="B2664" s="514" t="s">
        <v>1455</v>
      </c>
      <c r="C2664" s="515"/>
      <c r="D2664" s="515"/>
      <c r="E2664" s="515"/>
      <c r="F2664" s="516"/>
      <c r="G2664" s="890" t="str">
        <f>IF(S1OORData!L54=0,"",S1OORData!L54)</f>
        <v/>
      </c>
      <c r="H2664" s="891"/>
      <c r="I2664" s="886" t="str">
        <f>IF(S1OORData!N54=0,"",S1OORData!N54)</f>
        <v/>
      </c>
      <c r="J2664" s="887"/>
      <c r="K2664" s="886" t="str">
        <f>IF(S1OORData!O54=0,"",S1OORData!O54)</f>
        <v/>
      </c>
      <c r="L2664" s="887"/>
      <c r="M2664" s="886" t="str">
        <f>IF(S1OORData!P54=0,"",S1OORData!P54)</f>
        <v/>
      </c>
      <c r="N2664" s="887"/>
      <c r="O2664" s="886" t="str">
        <f>IF(S1OORData!Q54=0,"",S1OORData!Q54)</f>
        <v/>
      </c>
      <c r="P2664" s="1232"/>
      <c r="Q2664" s="868" t="str">
        <f>IF(S1OORData!R54=0,"",S1OORData!R54)</f>
        <v/>
      </c>
      <c r="R2664" s="869"/>
      <c r="S2664" s="869"/>
      <c r="T2664" s="870"/>
      <c r="U2664" s="868" t="str">
        <f>IF(S1OORData!AH54=0,"",S1OORData!AH54)</f>
        <v/>
      </c>
      <c r="V2664" s="869"/>
      <c r="W2664" s="869"/>
      <c r="X2664" s="870"/>
      <c r="Y2664" s="868">
        <f t="shared" si="48"/>
        <v>0</v>
      </c>
      <c r="Z2664" s="1232"/>
      <c r="AA2664" s="1232"/>
      <c r="AB2664" s="887"/>
      <c r="AC2664" s="1236" t="str">
        <f>IF(S1OORData!S54=0,"",S1OORData!S54)</f>
        <v/>
      </c>
      <c r="AD2664" s="1237"/>
      <c r="AE2664" s="1237"/>
      <c r="AF2664" s="1238"/>
      <c r="AG2664" s="529"/>
      <c r="AH2664" s="518"/>
      <c r="AJ2664" s="595" t="b">
        <v>0</v>
      </c>
    </row>
    <row r="2665" spans="1:36" hidden="1" x14ac:dyDescent="0.45">
      <c r="B2665" s="514" t="s">
        <v>1456</v>
      </c>
      <c r="C2665" s="515"/>
      <c r="D2665" s="515"/>
      <c r="E2665" s="515"/>
      <c r="F2665" s="516"/>
      <c r="G2665" s="890" t="str">
        <f>IF(S1OORData!L55=0,"",S1OORData!L55)</f>
        <v/>
      </c>
      <c r="H2665" s="891"/>
      <c r="I2665" s="886" t="str">
        <f>IF(S1OORData!N55=0,"",S1OORData!N55)</f>
        <v/>
      </c>
      <c r="J2665" s="887"/>
      <c r="K2665" s="886" t="str">
        <f>IF(S1OORData!O55=0,"",S1OORData!O55)</f>
        <v/>
      </c>
      <c r="L2665" s="887"/>
      <c r="M2665" s="886" t="str">
        <f>IF(S1OORData!P55=0,"",S1OORData!P55)</f>
        <v/>
      </c>
      <c r="N2665" s="887"/>
      <c r="O2665" s="886" t="str">
        <f>IF(S1OORData!Q55=0,"",S1OORData!Q55)</f>
        <v/>
      </c>
      <c r="P2665" s="1232"/>
      <c r="Q2665" s="868" t="str">
        <f>IF(S1OORData!R55=0,"",S1OORData!R55)</f>
        <v/>
      </c>
      <c r="R2665" s="869"/>
      <c r="S2665" s="869"/>
      <c r="T2665" s="870"/>
      <c r="U2665" s="868" t="str">
        <f>IF(S1OORData!AH55=0,"",S1OORData!AH55)</f>
        <v/>
      </c>
      <c r="V2665" s="869"/>
      <c r="W2665" s="869"/>
      <c r="X2665" s="870"/>
      <c r="Y2665" s="868">
        <f t="shared" si="48"/>
        <v>0</v>
      </c>
      <c r="Z2665" s="1232"/>
      <c r="AA2665" s="1232"/>
      <c r="AB2665" s="887"/>
      <c r="AC2665" s="1236" t="str">
        <f>IF(S1OORData!S55=0,"",S1OORData!S55)</f>
        <v/>
      </c>
      <c r="AD2665" s="1237"/>
      <c r="AE2665" s="1237"/>
      <c r="AF2665" s="1238"/>
      <c r="AG2665" s="529"/>
      <c r="AH2665" s="518"/>
      <c r="AJ2665" s="595" t="b">
        <v>0</v>
      </c>
    </row>
    <row r="2666" spans="1:36" hidden="1" x14ac:dyDescent="0.45">
      <c r="B2666" s="514" t="s">
        <v>1457</v>
      </c>
      <c r="C2666" s="515"/>
      <c r="D2666" s="515"/>
      <c r="E2666" s="515"/>
      <c r="F2666" s="516"/>
      <c r="G2666" s="890" t="str">
        <f>IF(S1OORData!L56=0,"",S1OORData!L56)</f>
        <v/>
      </c>
      <c r="H2666" s="891"/>
      <c r="I2666" s="886" t="str">
        <f>IF(S1OORData!N56=0,"",S1OORData!N56)</f>
        <v/>
      </c>
      <c r="J2666" s="887"/>
      <c r="K2666" s="886" t="str">
        <f>IF(S1OORData!O56=0,"",S1OORData!O56)</f>
        <v/>
      </c>
      <c r="L2666" s="887"/>
      <c r="M2666" s="886" t="str">
        <f>IF(S1OORData!P56=0,"",S1OORData!P56)</f>
        <v/>
      </c>
      <c r="N2666" s="887"/>
      <c r="O2666" s="886" t="str">
        <f>IF(S1OORData!Q56=0,"",S1OORData!Q56)</f>
        <v/>
      </c>
      <c r="P2666" s="1232"/>
      <c r="Q2666" s="868" t="str">
        <f>IF(S1OORData!R56=0,"",S1OORData!R56)</f>
        <v/>
      </c>
      <c r="R2666" s="869"/>
      <c r="S2666" s="869"/>
      <c r="T2666" s="870"/>
      <c r="U2666" s="868" t="str">
        <f>IF(S1OORData!AH56=0,"",S1OORData!AH56)</f>
        <v/>
      </c>
      <c r="V2666" s="869"/>
      <c r="W2666" s="869"/>
      <c r="X2666" s="870"/>
      <c r="Y2666" s="868">
        <f t="shared" si="48"/>
        <v>0</v>
      </c>
      <c r="Z2666" s="1232"/>
      <c r="AA2666" s="1232"/>
      <c r="AB2666" s="887"/>
      <c r="AC2666" s="1236" t="str">
        <f>IF(S1OORData!S56=0,"",S1OORData!S56)</f>
        <v/>
      </c>
      <c r="AD2666" s="1237"/>
      <c r="AE2666" s="1237"/>
      <c r="AF2666" s="1238"/>
      <c r="AG2666" s="529"/>
      <c r="AH2666" s="518"/>
      <c r="AJ2666" s="595" t="b">
        <v>0</v>
      </c>
    </row>
    <row r="2667" spans="1:36" hidden="1" x14ac:dyDescent="0.45">
      <c r="B2667" s="514" t="s">
        <v>1458</v>
      </c>
      <c r="C2667" s="515"/>
      <c r="D2667" s="515"/>
      <c r="E2667" s="515"/>
      <c r="F2667" s="516"/>
      <c r="G2667" s="890" t="str">
        <f>IF(S1OORData!L57=0,"",S1OORData!L57)</f>
        <v/>
      </c>
      <c r="H2667" s="891"/>
      <c r="I2667" s="886" t="str">
        <f>IF(S1OORData!N57=0,"",S1OORData!N57)</f>
        <v/>
      </c>
      <c r="J2667" s="887"/>
      <c r="K2667" s="886" t="str">
        <f>IF(S1OORData!O57=0,"",S1OORData!O57)</f>
        <v/>
      </c>
      <c r="L2667" s="887"/>
      <c r="M2667" s="886" t="str">
        <f>IF(S1OORData!P57=0,"",S1OORData!P57)</f>
        <v/>
      </c>
      <c r="N2667" s="887"/>
      <c r="O2667" s="886" t="str">
        <f>IF(S1OORData!Q57=0,"",S1OORData!Q57)</f>
        <v/>
      </c>
      <c r="P2667" s="1232"/>
      <c r="Q2667" s="868" t="str">
        <f>IF(S1OORData!R57=0,"",S1OORData!R57)</f>
        <v/>
      </c>
      <c r="R2667" s="869"/>
      <c r="S2667" s="869"/>
      <c r="T2667" s="870"/>
      <c r="U2667" s="868" t="str">
        <f>IF(S1OORData!AH57=0,"",S1OORData!AH57)</f>
        <v/>
      </c>
      <c r="V2667" s="869"/>
      <c r="W2667" s="869"/>
      <c r="X2667" s="870"/>
      <c r="Y2667" s="868">
        <f t="shared" si="48"/>
        <v>0</v>
      </c>
      <c r="Z2667" s="1232"/>
      <c r="AA2667" s="1232"/>
      <c r="AB2667" s="887"/>
      <c r="AC2667" s="1236" t="str">
        <f>IF(S1OORData!S57=0,"",S1OORData!S57)</f>
        <v/>
      </c>
      <c r="AD2667" s="1237"/>
      <c r="AE2667" s="1237"/>
      <c r="AF2667" s="1238"/>
      <c r="AG2667" s="529"/>
      <c r="AH2667" s="518"/>
      <c r="AJ2667" s="595" t="b">
        <v>0</v>
      </c>
    </row>
    <row r="2668" spans="1:36" hidden="1" x14ac:dyDescent="0.45">
      <c r="B2668" s="514" t="s">
        <v>1459</v>
      </c>
      <c r="C2668" s="515"/>
      <c r="D2668" s="515"/>
      <c r="E2668" s="515"/>
      <c r="F2668" s="516"/>
      <c r="G2668" s="890" t="str">
        <f>IF(S1OORData!L58=0,"",S1OORData!L58)</f>
        <v/>
      </c>
      <c r="H2668" s="891"/>
      <c r="I2668" s="886" t="str">
        <f>IF(S1OORData!N58=0,"",S1OORData!N58)</f>
        <v/>
      </c>
      <c r="J2668" s="887"/>
      <c r="K2668" s="886" t="str">
        <f>IF(S1OORData!O58=0,"",S1OORData!O58)</f>
        <v/>
      </c>
      <c r="L2668" s="887"/>
      <c r="M2668" s="886" t="str">
        <f>IF(S1OORData!P58=0,"",S1OORData!P58)</f>
        <v/>
      </c>
      <c r="N2668" s="887"/>
      <c r="O2668" s="886" t="str">
        <f>IF(S1OORData!Q58=0,"",S1OORData!Q58)</f>
        <v/>
      </c>
      <c r="P2668" s="1232"/>
      <c r="Q2668" s="868" t="str">
        <f>IF(S1OORData!R58=0,"",S1OORData!R58)</f>
        <v/>
      </c>
      <c r="R2668" s="869"/>
      <c r="S2668" s="869"/>
      <c r="T2668" s="870"/>
      <c r="U2668" s="868" t="str">
        <f>IF(S1OORData!AH58=0,"",S1OORData!AH58)</f>
        <v/>
      </c>
      <c r="V2668" s="869"/>
      <c r="W2668" s="869"/>
      <c r="X2668" s="870"/>
      <c r="Y2668" s="868">
        <f t="shared" si="48"/>
        <v>0</v>
      </c>
      <c r="Z2668" s="1232"/>
      <c r="AA2668" s="1232"/>
      <c r="AB2668" s="887"/>
      <c r="AC2668" s="1236" t="str">
        <f>IF(S1OORData!S58=0,"",S1OORData!S58)</f>
        <v/>
      </c>
      <c r="AD2668" s="1237"/>
      <c r="AE2668" s="1237"/>
      <c r="AF2668" s="1238"/>
      <c r="AG2668" s="529"/>
      <c r="AH2668" s="518"/>
      <c r="AJ2668" s="595" t="b">
        <v>0</v>
      </c>
    </row>
    <row r="2669" spans="1:36" hidden="1" x14ac:dyDescent="0.45">
      <c r="A2669" s="518"/>
      <c r="B2669" s="514" t="s">
        <v>1460</v>
      </c>
      <c r="C2669" s="515"/>
      <c r="D2669" s="515"/>
      <c r="E2669" s="515"/>
      <c r="F2669" s="516"/>
      <c r="G2669" s="890" t="str">
        <f>IF(S1OORData!L59=0,"",S1OORData!L59)</f>
        <v/>
      </c>
      <c r="H2669" s="891"/>
      <c r="I2669" s="886" t="str">
        <f>IF(S1OORData!N59=0,"",S1OORData!N59)</f>
        <v/>
      </c>
      <c r="J2669" s="887"/>
      <c r="K2669" s="886" t="str">
        <f>IF(S1OORData!O59=0,"",S1OORData!O59)</f>
        <v/>
      </c>
      <c r="L2669" s="887"/>
      <c r="M2669" s="886" t="str">
        <f>IF(S1OORData!P59=0,"",S1OORData!P59)</f>
        <v/>
      </c>
      <c r="N2669" s="887"/>
      <c r="O2669" s="886" t="str">
        <f>IF(S1OORData!Q59=0,"",S1OORData!Q59)</f>
        <v/>
      </c>
      <c r="P2669" s="1232"/>
      <c r="Q2669" s="868" t="str">
        <f>IF(S1OORData!R59=0,"",S1OORData!R59)</f>
        <v/>
      </c>
      <c r="R2669" s="869"/>
      <c r="S2669" s="869"/>
      <c r="T2669" s="870"/>
      <c r="U2669" s="868" t="str">
        <f>IF(S1OORData!AH59=0,"",S1OORData!AH59)</f>
        <v/>
      </c>
      <c r="V2669" s="869"/>
      <c r="W2669" s="869"/>
      <c r="X2669" s="870"/>
      <c r="Y2669" s="868">
        <f t="shared" si="48"/>
        <v>0</v>
      </c>
      <c r="Z2669" s="1232"/>
      <c r="AA2669" s="1232"/>
      <c r="AB2669" s="887"/>
      <c r="AC2669" s="1236" t="str">
        <f>IF(S1OORData!S59=0,"",S1OORData!S59)</f>
        <v/>
      </c>
      <c r="AD2669" s="1237"/>
      <c r="AE2669" s="1237"/>
      <c r="AF2669" s="1238"/>
      <c r="AG2669" s="529"/>
      <c r="AH2669" s="518"/>
      <c r="AJ2669" s="595" t="b">
        <v>0</v>
      </c>
    </row>
    <row r="2670" spans="1:36" hidden="1" x14ac:dyDescent="0.45">
      <c r="A2670" s="518"/>
      <c r="B2670" s="514" t="s">
        <v>1461</v>
      </c>
      <c r="C2670" s="515"/>
      <c r="D2670" s="515"/>
      <c r="E2670" s="515"/>
      <c r="F2670" s="516"/>
      <c r="G2670" s="890" t="str">
        <f>IF(S1OORData!L60=0,"",S1OORData!L60)</f>
        <v/>
      </c>
      <c r="H2670" s="891"/>
      <c r="I2670" s="886" t="str">
        <f>IF(S1OORData!N60=0,"",S1OORData!N60)</f>
        <v/>
      </c>
      <c r="J2670" s="887"/>
      <c r="K2670" s="886" t="str">
        <f>IF(S1OORData!O60=0,"",S1OORData!O60)</f>
        <v/>
      </c>
      <c r="L2670" s="887"/>
      <c r="M2670" s="886" t="str">
        <f>IF(S1OORData!P60=0,"",S1OORData!P60)</f>
        <v/>
      </c>
      <c r="N2670" s="887"/>
      <c r="O2670" s="886" t="str">
        <f>IF(S1OORData!Q60=0,"",S1OORData!Q60)</f>
        <v/>
      </c>
      <c r="P2670" s="1232"/>
      <c r="Q2670" s="868" t="str">
        <f>IF(S1OORData!R60=0,"",S1OORData!R60)</f>
        <v/>
      </c>
      <c r="R2670" s="869"/>
      <c r="S2670" s="869"/>
      <c r="T2670" s="870"/>
      <c r="U2670" s="868" t="str">
        <f>IF(S1OORData!AH60=0,"",S1OORData!AH60)</f>
        <v/>
      </c>
      <c r="V2670" s="869"/>
      <c r="W2670" s="869"/>
      <c r="X2670" s="870"/>
      <c r="Y2670" s="868">
        <f t="shared" si="48"/>
        <v>0</v>
      </c>
      <c r="Z2670" s="1232"/>
      <c r="AA2670" s="1232"/>
      <c r="AB2670" s="887"/>
      <c r="AC2670" s="1236" t="str">
        <f>IF(S1OORData!S60=0,"",S1OORData!S60)</f>
        <v/>
      </c>
      <c r="AD2670" s="1237"/>
      <c r="AE2670" s="1237"/>
      <c r="AF2670" s="1238"/>
      <c r="AG2670" s="529"/>
      <c r="AH2670" s="518"/>
      <c r="AJ2670" s="595" t="b">
        <v>0</v>
      </c>
    </row>
    <row r="2671" spans="1:36" hidden="1" x14ac:dyDescent="0.45">
      <c r="A2671" s="518"/>
      <c r="B2671" s="518"/>
      <c r="C2671" s="518"/>
      <c r="D2671" s="518"/>
      <c r="E2671" s="518"/>
      <c r="F2671" s="518"/>
      <c r="G2671" s="518"/>
      <c r="H2671" s="518"/>
      <c r="I2671" s="518"/>
      <c r="J2671" s="518"/>
      <c r="K2671" s="518"/>
      <c r="L2671" s="518"/>
      <c r="M2671" s="518"/>
      <c r="N2671" s="518"/>
      <c r="O2671" s="518"/>
      <c r="P2671" s="518"/>
      <c r="Q2671" s="518"/>
      <c r="R2671" s="518"/>
      <c r="S2671" s="518"/>
      <c r="T2671" s="518"/>
      <c r="U2671" s="518"/>
      <c r="V2671" s="518"/>
      <c r="W2671" s="518"/>
      <c r="X2671" s="518"/>
      <c r="Y2671" s="518"/>
      <c r="Z2671" s="518"/>
      <c r="AA2671" s="518"/>
      <c r="AB2671" s="518"/>
      <c r="AC2671" s="518"/>
      <c r="AD2671" s="518"/>
      <c r="AE2671" s="518"/>
      <c r="AF2671" s="518"/>
      <c r="AG2671" s="518"/>
      <c r="AH2671" s="518"/>
      <c r="AJ2671" s="595" t="b">
        <f>AJ2606</f>
        <v>0</v>
      </c>
    </row>
    <row r="2672" spans="1:36" hidden="1" x14ac:dyDescent="0.45">
      <c r="A2672" s="518"/>
      <c r="B2672" s="917" t="s">
        <v>173</v>
      </c>
      <c r="C2672" s="918"/>
      <c r="D2672" s="918"/>
      <c r="E2672" s="918"/>
      <c r="F2672" s="918"/>
      <c r="G2672" s="918"/>
      <c r="H2672" s="919">
        <f>S1_OOR_UnrestrictedTotalRequested</f>
        <v>0</v>
      </c>
      <c r="I2672" s="920"/>
      <c r="J2672" s="920"/>
      <c r="K2672" s="920"/>
      <c r="L2672" s="920"/>
      <c r="M2672" s="920"/>
      <c r="N2672" s="921"/>
      <c r="O2672" s="518"/>
      <c r="P2672" s="518"/>
      <c r="Q2672" s="518"/>
      <c r="R2672" s="518"/>
      <c r="S2672" s="518"/>
      <c r="T2672" s="518"/>
      <c r="U2672" s="518"/>
      <c r="V2672" s="518"/>
      <c r="W2672" s="518"/>
      <c r="X2672" s="518"/>
      <c r="Y2672" s="518"/>
      <c r="Z2672" s="518"/>
      <c r="AA2672" s="518"/>
      <c r="AB2672" s="518"/>
      <c r="AC2672" s="518"/>
      <c r="AD2672" s="518"/>
      <c r="AE2672" s="518"/>
      <c r="AF2672" s="518"/>
      <c r="AG2672" s="518"/>
      <c r="AH2672" s="518"/>
      <c r="AJ2672" s="595"/>
    </row>
    <row r="2673" spans="1:36" hidden="1" x14ac:dyDescent="0.45">
      <c r="A2673" s="518"/>
      <c r="B2673" s="518"/>
      <c r="C2673" s="518"/>
      <c r="D2673" s="518"/>
      <c r="E2673" s="518"/>
      <c r="F2673" s="518"/>
      <c r="G2673" s="518"/>
      <c r="H2673" s="518"/>
      <c r="I2673" s="518"/>
      <c r="J2673" s="518"/>
      <c r="K2673" s="518"/>
      <c r="L2673" s="518"/>
      <c r="M2673" s="518"/>
      <c r="N2673" s="518"/>
      <c r="O2673" s="518"/>
      <c r="P2673" s="518"/>
      <c r="Q2673" s="518"/>
      <c r="R2673" s="518"/>
      <c r="S2673" s="518"/>
      <c r="T2673" s="518"/>
      <c r="U2673" s="518"/>
      <c r="V2673" s="518"/>
      <c r="W2673" s="518"/>
      <c r="X2673" s="518"/>
      <c r="Y2673" s="518"/>
      <c r="Z2673" s="518"/>
      <c r="AA2673" s="518"/>
      <c r="AB2673" s="518"/>
      <c r="AC2673" s="518"/>
      <c r="AD2673" s="518"/>
      <c r="AE2673" s="518"/>
      <c r="AF2673" s="518"/>
      <c r="AG2673" s="518"/>
      <c r="AH2673" s="518"/>
      <c r="AJ2673" s="595"/>
    </row>
    <row r="2674" spans="1:36" hidden="1" x14ac:dyDescent="0.45">
      <c r="A2674" s="518"/>
      <c r="B2674" s="518" t="s">
        <v>1854</v>
      </c>
      <c r="C2674" s="518"/>
      <c r="D2674" s="518"/>
      <c r="E2674" s="518"/>
      <c r="F2674" s="518"/>
      <c r="G2674" s="518"/>
      <c r="H2674" s="518"/>
      <c r="I2674" s="518"/>
      <c r="J2674" s="518"/>
      <c r="K2674" s="518"/>
      <c r="L2674" s="518"/>
      <c r="M2674" s="518"/>
      <c r="N2674" s="518"/>
      <c r="O2674" s="518"/>
      <c r="P2674" s="518"/>
      <c r="Q2674" s="518"/>
      <c r="R2674" s="518"/>
      <c r="S2674" s="518"/>
      <c r="T2674" s="518"/>
      <c r="U2674" s="518"/>
      <c r="V2674" s="518"/>
      <c r="W2674" s="518"/>
      <c r="X2674" s="518"/>
      <c r="Y2674" s="518"/>
      <c r="Z2674" s="518"/>
      <c r="AA2674" s="518"/>
      <c r="AB2674" s="518"/>
      <c r="AC2674" s="518"/>
      <c r="AD2674" s="518"/>
      <c r="AE2674" s="518"/>
      <c r="AF2674" s="518"/>
      <c r="AG2674" s="518"/>
      <c r="AH2674" s="518"/>
      <c r="AJ2674" s="595"/>
    </row>
    <row r="2675" spans="1:36" hidden="1" x14ac:dyDescent="0.45">
      <c r="A2675" s="518"/>
      <c r="B2675" s="922" t="s">
        <v>174</v>
      </c>
      <c r="C2675" s="922"/>
      <c r="D2675" s="922"/>
      <c r="E2675" s="922"/>
      <c r="F2675" s="922"/>
      <c r="G2675" s="922"/>
      <c r="H2675" s="922"/>
      <c r="I2675" s="922"/>
      <c r="J2675" s="922"/>
      <c r="K2675" s="922"/>
      <c r="L2675" s="922"/>
      <c r="M2675" s="922"/>
      <c r="N2675" s="922"/>
      <c r="O2675" s="878"/>
      <c r="P2675" s="879"/>
      <c r="Q2675" s="880"/>
      <c r="R2675" s="518"/>
      <c r="S2675" s="518"/>
      <c r="T2675" s="518"/>
      <c r="U2675" s="518"/>
      <c r="V2675" s="518"/>
      <c r="W2675" s="518"/>
      <c r="X2675" s="518"/>
      <c r="Y2675" s="518"/>
      <c r="Z2675" s="518"/>
      <c r="AA2675" s="518"/>
      <c r="AB2675" s="518"/>
      <c r="AC2675" s="518"/>
      <c r="AD2675" s="518"/>
      <c r="AE2675" s="518"/>
      <c r="AF2675" s="518"/>
      <c r="AG2675" s="518"/>
      <c r="AH2675" s="518"/>
      <c r="AJ2675" s="595"/>
    </row>
    <row r="2676" spans="1:36" hidden="1" x14ac:dyDescent="0.45">
      <c r="A2676" s="518"/>
      <c r="B2676" s="922" t="s">
        <v>175</v>
      </c>
      <c r="C2676" s="922"/>
      <c r="D2676" s="922"/>
      <c r="E2676" s="922"/>
      <c r="F2676" s="922"/>
      <c r="G2676" s="922"/>
      <c r="H2676" s="922"/>
      <c r="I2676" s="922"/>
      <c r="J2676" s="922"/>
      <c r="K2676" s="922"/>
      <c r="L2676" s="922"/>
      <c r="M2676" s="922"/>
      <c r="N2676" s="922"/>
      <c r="O2676" s="878"/>
      <c r="P2676" s="879"/>
      <c r="Q2676" s="880"/>
      <c r="R2676" s="518"/>
      <c r="S2676" s="518"/>
      <c r="T2676" s="518"/>
      <c r="U2676" s="518"/>
      <c r="V2676" s="518"/>
      <c r="W2676" s="518"/>
      <c r="X2676" s="518"/>
      <c r="Y2676" s="518"/>
      <c r="Z2676" s="518"/>
      <c r="AA2676" s="518"/>
      <c r="AB2676" s="518"/>
      <c r="AC2676" s="518"/>
      <c r="AD2676" s="518"/>
      <c r="AE2676" s="518"/>
      <c r="AF2676" s="518"/>
      <c r="AG2676" s="518"/>
      <c r="AH2676" s="518"/>
      <c r="AJ2676" s="595"/>
    </row>
    <row r="2677" spans="1:36" hidden="1" x14ac:dyDescent="0.45">
      <c r="A2677" s="518"/>
      <c r="B2677" s="922" t="s">
        <v>176</v>
      </c>
      <c r="C2677" s="922"/>
      <c r="D2677" s="922"/>
      <c r="E2677" s="922"/>
      <c r="F2677" s="922"/>
      <c r="G2677" s="922"/>
      <c r="H2677" s="922"/>
      <c r="I2677" s="922"/>
      <c r="J2677" s="922"/>
      <c r="K2677" s="922"/>
      <c r="L2677" s="922"/>
      <c r="M2677" s="922"/>
      <c r="N2677" s="922"/>
      <c r="O2677" s="878"/>
      <c r="P2677" s="879"/>
      <c r="Q2677" s="880"/>
      <c r="R2677" s="518"/>
      <c r="S2677" s="518"/>
      <c r="T2677" s="518"/>
      <c r="U2677" s="518"/>
      <c r="V2677" s="518"/>
      <c r="W2677" s="518"/>
      <c r="X2677" s="518"/>
      <c r="Y2677" s="518"/>
      <c r="Z2677" s="518"/>
      <c r="AA2677" s="518"/>
      <c r="AB2677" s="518"/>
      <c r="AC2677" s="518"/>
      <c r="AD2677" s="518"/>
      <c r="AE2677" s="518"/>
      <c r="AF2677" s="518"/>
      <c r="AG2677" s="518"/>
      <c r="AH2677" s="518"/>
      <c r="AJ2677" s="595"/>
    </row>
    <row r="2678" spans="1:36" hidden="1" x14ac:dyDescent="0.45">
      <c r="A2678" s="518"/>
      <c r="B2678" s="922" t="s">
        <v>177</v>
      </c>
      <c r="C2678" s="922"/>
      <c r="D2678" s="922"/>
      <c r="E2678" s="922"/>
      <c r="F2678" s="922"/>
      <c r="G2678" s="922"/>
      <c r="H2678" s="922"/>
      <c r="I2678" s="922"/>
      <c r="J2678" s="922"/>
      <c r="K2678" s="922"/>
      <c r="L2678" s="922"/>
      <c r="M2678" s="922"/>
      <c r="N2678" s="922"/>
      <c r="O2678" s="878"/>
      <c r="P2678" s="879"/>
      <c r="Q2678" s="880"/>
      <c r="R2678" s="518"/>
      <c r="S2678" s="518"/>
      <c r="T2678" s="518"/>
      <c r="U2678" s="518"/>
      <c r="V2678" s="518"/>
      <c r="W2678" s="518"/>
      <c r="X2678" s="518"/>
      <c r="Y2678" s="518"/>
      <c r="Z2678" s="518"/>
      <c r="AA2678" s="518"/>
      <c r="AB2678" s="518"/>
      <c r="AC2678" s="518"/>
      <c r="AD2678" s="518"/>
      <c r="AE2678" s="518"/>
      <c r="AF2678" s="518"/>
      <c r="AG2678" s="518"/>
      <c r="AH2678" s="518"/>
      <c r="AJ2678" s="595"/>
    </row>
    <row r="2679" spans="1:36" hidden="1" x14ac:dyDescent="0.45">
      <c r="A2679" s="518"/>
      <c r="B2679" s="1223" t="s">
        <v>178</v>
      </c>
      <c r="C2679" s="1223"/>
      <c r="D2679" s="1223"/>
      <c r="E2679" s="1223"/>
      <c r="F2679" s="1223"/>
      <c r="G2679" s="1223"/>
      <c r="H2679" s="1223"/>
      <c r="I2679" s="1223"/>
      <c r="J2679" s="1223"/>
      <c r="K2679" s="1223"/>
      <c r="L2679" s="1223"/>
      <c r="M2679" s="1223"/>
      <c r="N2679" s="1223"/>
      <c r="O2679" s="882" t="s">
        <v>195</v>
      </c>
      <c r="P2679" s="883"/>
      <c r="Q2679" s="884"/>
      <c r="R2679" s="518"/>
      <c r="S2679" s="518"/>
      <c r="T2679" s="518"/>
      <c r="U2679" s="518"/>
      <c r="V2679" s="518"/>
      <c r="W2679" s="518"/>
      <c r="X2679" s="518"/>
      <c r="Y2679" s="518"/>
      <c r="Z2679" s="518"/>
      <c r="AA2679" s="518"/>
      <c r="AB2679" s="518"/>
      <c r="AC2679" s="518"/>
      <c r="AD2679" s="518"/>
      <c r="AE2679" s="518"/>
      <c r="AF2679" s="518"/>
      <c r="AG2679" s="518"/>
      <c r="AH2679" s="518"/>
      <c r="AJ2679" s="595"/>
    </row>
    <row r="2680" spans="1:36" hidden="1" x14ac:dyDescent="0.45">
      <c r="A2680" s="518"/>
      <c r="B2680" s="1223" t="s">
        <v>179</v>
      </c>
      <c r="C2680" s="1223"/>
      <c r="D2680" s="1223"/>
      <c r="E2680" s="1223"/>
      <c r="F2680" s="1223"/>
      <c r="G2680" s="1223"/>
      <c r="H2680" s="1223"/>
      <c r="I2680" s="1223"/>
      <c r="J2680" s="1223"/>
      <c r="K2680" s="1223"/>
      <c r="L2680" s="1223"/>
      <c r="M2680" s="1223"/>
      <c r="N2680" s="1223"/>
      <c r="O2680" s="882" t="s">
        <v>195</v>
      </c>
      <c r="P2680" s="883"/>
      <c r="Q2680" s="884"/>
      <c r="R2680" s="518"/>
      <c r="S2680" s="518"/>
      <c r="T2680" s="518"/>
      <c r="U2680" s="518"/>
      <c r="V2680" s="518"/>
      <c r="W2680" s="518"/>
      <c r="X2680" s="518"/>
      <c r="Y2680" s="518"/>
      <c r="Z2680" s="518"/>
      <c r="AA2680" s="518"/>
      <c r="AB2680" s="518"/>
      <c r="AC2680" s="518"/>
      <c r="AD2680" s="518"/>
      <c r="AE2680" s="518"/>
      <c r="AF2680" s="518"/>
      <c r="AG2680" s="518"/>
      <c r="AH2680" s="518"/>
      <c r="AJ2680" s="595"/>
    </row>
    <row r="2681" spans="1:36" hidden="1" x14ac:dyDescent="0.45">
      <c r="A2681" s="518"/>
      <c r="B2681" s="922" t="s">
        <v>180</v>
      </c>
      <c r="C2681" s="922"/>
      <c r="D2681" s="922"/>
      <c r="E2681" s="922"/>
      <c r="F2681" s="922"/>
      <c r="G2681" s="922"/>
      <c r="H2681" s="922"/>
      <c r="I2681" s="922"/>
      <c r="J2681" s="922"/>
      <c r="K2681" s="922"/>
      <c r="L2681" s="922"/>
      <c r="M2681" s="922"/>
      <c r="N2681" s="922"/>
      <c r="O2681" s="878"/>
      <c r="P2681" s="879"/>
      <c r="Q2681" s="880"/>
      <c r="R2681" s="518"/>
      <c r="S2681" s="518"/>
      <c r="T2681" s="518"/>
      <c r="U2681" s="518"/>
      <c r="V2681" s="518"/>
      <c r="W2681" s="518"/>
      <c r="X2681" s="518"/>
      <c r="Y2681" s="518"/>
      <c r="Z2681" s="518"/>
      <c r="AA2681" s="518"/>
      <c r="AB2681" s="518"/>
      <c r="AC2681" s="518"/>
      <c r="AD2681" s="518"/>
      <c r="AE2681" s="518"/>
      <c r="AF2681" s="518"/>
      <c r="AG2681" s="518"/>
      <c r="AH2681" s="518"/>
      <c r="AJ2681" s="595"/>
    </row>
    <row r="2682" spans="1:36" hidden="1" x14ac:dyDescent="0.45">
      <c r="A2682" s="518"/>
      <c r="B2682" s="922" t="s">
        <v>1808</v>
      </c>
      <c r="C2682" s="922"/>
      <c r="D2682" s="922"/>
      <c r="E2682" s="922"/>
      <c r="F2682" s="922"/>
      <c r="G2682" s="922"/>
      <c r="H2682" s="922"/>
      <c r="I2682" s="922"/>
      <c r="J2682" s="922"/>
      <c r="K2682" s="922"/>
      <c r="L2682" s="922"/>
      <c r="M2682" s="922"/>
      <c r="N2682" s="922"/>
      <c r="O2682" s="878"/>
      <c r="P2682" s="879"/>
      <c r="Q2682" s="880"/>
      <c r="R2682" s="518"/>
      <c r="S2682" s="518"/>
      <c r="T2682" s="518"/>
      <c r="U2682" s="518"/>
      <c r="V2682" s="518"/>
      <c r="W2682" s="518"/>
      <c r="X2682" s="518"/>
      <c r="Y2682" s="518"/>
      <c r="Z2682" s="518"/>
      <c r="AA2682" s="518"/>
      <c r="AB2682" s="518"/>
      <c r="AC2682" s="518"/>
      <c r="AD2682" s="518"/>
      <c r="AE2682" s="518"/>
      <c r="AF2682" s="518"/>
      <c r="AG2682" s="518"/>
      <c r="AH2682" s="518"/>
      <c r="AJ2682" s="595"/>
    </row>
    <row r="2683" spans="1:36" hidden="1" x14ac:dyDescent="0.45">
      <c r="A2683" s="518"/>
      <c r="B2683" s="916" t="s">
        <v>181</v>
      </c>
      <c r="C2683" s="916"/>
      <c r="D2683" s="916"/>
      <c r="E2683" s="916"/>
      <c r="F2683" s="916"/>
      <c r="G2683" s="916"/>
      <c r="H2683" s="916"/>
      <c r="I2683" s="916"/>
      <c r="J2683" s="916"/>
      <c r="K2683" s="916"/>
      <c r="L2683" s="916"/>
      <c r="M2683" s="916"/>
      <c r="N2683" s="916"/>
      <c r="O2683" s="927"/>
      <c r="P2683" s="928"/>
      <c r="Q2683" s="929"/>
      <c r="R2683" s="518"/>
      <c r="S2683" s="518"/>
      <c r="T2683" s="518"/>
      <c r="U2683" s="518"/>
      <c r="V2683" s="518"/>
      <c r="W2683" s="518"/>
      <c r="X2683" s="518"/>
      <c r="Y2683" s="518"/>
      <c r="Z2683" s="518"/>
      <c r="AA2683" s="518"/>
      <c r="AB2683" s="518"/>
      <c r="AC2683" s="518"/>
      <c r="AD2683" s="518"/>
      <c r="AE2683" s="518"/>
      <c r="AF2683" s="518"/>
      <c r="AG2683" s="518"/>
      <c r="AH2683" s="518"/>
      <c r="AJ2683" s="595"/>
    </row>
    <row r="2684" spans="1:36" hidden="1" x14ac:dyDescent="0.45">
      <c r="A2684" s="518"/>
      <c r="B2684" s="930" t="s">
        <v>182</v>
      </c>
      <c r="C2684" s="930"/>
      <c r="D2684" s="930"/>
      <c r="E2684" s="930"/>
      <c r="F2684" s="930"/>
      <c r="G2684" s="930"/>
      <c r="H2684" s="930"/>
      <c r="I2684" s="930"/>
      <c r="J2684" s="930"/>
      <c r="K2684" s="930"/>
      <c r="L2684" s="930"/>
      <c r="M2684" s="930"/>
      <c r="N2684" s="930"/>
      <c r="O2684" s="878">
        <f>SUM(O2675:Q2682)-O2683</f>
        <v>0</v>
      </c>
      <c r="P2684" s="879"/>
      <c r="Q2684" s="880"/>
      <c r="R2684" s="518"/>
      <c r="S2684" s="518"/>
      <c r="T2684" s="518"/>
      <c r="U2684" s="518"/>
      <c r="V2684" s="518"/>
      <c r="W2684" s="518"/>
      <c r="X2684" s="518"/>
      <c r="Y2684" s="518"/>
      <c r="Z2684" s="518"/>
      <c r="AA2684" s="518"/>
      <c r="AB2684" s="518"/>
      <c r="AC2684" s="518"/>
      <c r="AD2684" s="518"/>
      <c r="AE2684" s="518"/>
      <c r="AF2684" s="518"/>
      <c r="AG2684" s="518"/>
      <c r="AH2684" s="518"/>
      <c r="AJ2684" s="595"/>
    </row>
    <row r="2685" spans="1:36" hidden="1" x14ac:dyDescent="0.45">
      <c r="A2685" s="518"/>
      <c r="B2685" s="517"/>
      <c r="C2685" s="517"/>
      <c r="D2685" s="517"/>
      <c r="E2685" s="517"/>
      <c r="F2685" s="517"/>
      <c r="G2685" s="517"/>
      <c r="H2685" s="517"/>
      <c r="I2685" s="517"/>
      <c r="J2685" s="517"/>
      <c r="K2685" s="517"/>
      <c r="L2685" s="517"/>
      <c r="M2685" s="517"/>
      <c r="N2685" s="517"/>
      <c r="O2685" s="532"/>
      <c r="P2685" s="532"/>
      <c r="Q2685" s="532"/>
      <c r="R2685" s="518"/>
      <c r="S2685" s="533"/>
      <c r="T2685" s="533"/>
      <c r="U2685" s="533"/>
      <c r="V2685" s="533"/>
      <c r="W2685" s="533"/>
      <c r="X2685" s="533"/>
      <c r="Y2685" s="533"/>
      <c r="Z2685" s="533"/>
      <c r="AA2685" s="533"/>
      <c r="AB2685" s="533"/>
      <c r="AC2685" s="533"/>
      <c r="AD2685" s="533"/>
      <c r="AE2685" s="533"/>
      <c r="AF2685" s="533"/>
      <c r="AG2685" s="533"/>
      <c r="AH2685" s="518"/>
      <c r="AJ2685" s="595"/>
    </row>
    <row r="2686" spans="1:36" ht="200.15" hidden="1" customHeight="1" x14ac:dyDescent="0.45">
      <c r="A2686" s="518"/>
      <c r="B2686" s="1174" t="s">
        <v>183</v>
      </c>
      <c r="C2686" s="1175"/>
      <c r="D2686" s="1175"/>
      <c r="E2686" s="1175"/>
      <c r="F2686" s="1175"/>
      <c r="G2686" s="1175"/>
      <c r="H2686" s="1175"/>
      <c r="I2686" s="1175"/>
      <c r="J2686" s="1175"/>
      <c r="K2686" s="1175"/>
      <c r="L2686" s="1175"/>
      <c r="M2686" s="1175"/>
      <c r="N2686" s="1175"/>
      <c r="O2686" s="1175"/>
      <c r="P2686" s="1175"/>
      <c r="Q2686" s="1175"/>
      <c r="R2686" s="1175"/>
      <c r="S2686" s="1175"/>
      <c r="T2686" s="1175"/>
      <c r="U2686" s="1175"/>
      <c r="V2686" s="1175"/>
      <c r="W2686" s="1175"/>
      <c r="X2686" s="1175"/>
      <c r="Y2686" s="1175"/>
      <c r="Z2686" s="1175"/>
      <c r="AA2686" s="1175"/>
      <c r="AB2686" s="1175"/>
      <c r="AC2686" s="1175"/>
      <c r="AD2686" s="1175"/>
      <c r="AE2686" s="1175"/>
      <c r="AF2686" s="1175"/>
      <c r="AG2686" s="1176"/>
      <c r="AH2686" s="518"/>
      <c r="AJ2686" s="595"/>
    </row>
    <row r="2687" spans="1:36" hidden="1" x14ac:dyDescent="0.45">
      <c r="A2687" s="518"/>
      <c r="B2687" s="518"/>
      <c r="C2687" s="518"/>
      <c r="D2687" s="518"/>
      <c r="E2687" s="518"/>
      <c r="F2687" s="518"/>
      <c r="G2687" s="518"/>
      <c r="H2687" s="518"/>
      <c r="I2687" s="518"/>
      <c r="J2687" s="518"/>
      <c r="K2687" s="518"/>
      <c r="L2687" s="518"/>
      <c r="M2687" s="518"/>
      <c r="N2687" s="518"/>
      <c r="O2687" s="518"/>
      <c r="P2687" s="518"/>
      <c r="Q2687" s="518"/>
      <c r="R2687" s="518"/>
      <c r="S2687" s="518"/>
      <c r="T2687" s="518"/>
      <c r="U2687" s="518"/>
      <c r="V2687" s="518"/>
      <c r="W2687" s="518"/>
      <c r="X2687" s="518"/>
      <c r="Y2687" s="518"/>
      <c r="Z2687" s="518"/>
      <c r="AA2687" s="518"/>
      <c r="AB2687" s="518"/>
      <c r="AC2687" s="518"/>
      <c r="AD2687" s="518"/>
      <c r="AE2687" s="518"/>
      <c r="AF2687" s="518"/>
      <c r="AG2687" s="518"/>
      <c r="AH2687" s="518"/>
      <c r="AJ2687" s="595"/>
    </row>
    <row r="2688" spans="1:36" hidden="1" x14ac:dyDescent="0.45">
      <c r="A2688" s="518"/>
      <c r="B2688" s="907"/>
      <c r="C2688" s="907"/>
      <c r="D2688" s="907"/>
      <c r="E2688" s="907"/>
      <c r="F2688" s="907"/>
      <c r="G2688" s="907"/>
      <c r="H2688" s="907"/>
      <c r="I2688" s="907"/>
      <c r="J2688" s="907"/>
      <c r="K2688" s="907"/>
      <c r="L2688" s="907"/>
      <c r="M2688" s="907"/>
      <c r="N2688" s="907"/>
      <c r="O2688" s="907"/>
      <c r="P2688" s="907"/>
      <c r="Q2688" s="907"/>
      <c r="R2688" s="907"/>
      <c r="S2688" s="907"/>
      <c r="T2688" s="907"/>
      <c r="U2688" s="907"/>
      <c r="V2688" s="907"/>
      <c r="W2688" s="907"/>
      <c r="X2688" s="907"/>
      <c r="Y2688" s="907"/>
      <c r="Z2688" s="907"/>
      <c r="AA2688" s="907"/>
      <c r="AB2688" s="907"/>
      <c r="AC2688" s="907"/>
      <c r="AD2688" s="907"/>
      <c r="AE2688" s="907"/>
      <c r="AF2688" s="907"/>
      <c r="AG2688" s="907"/>
      <c r="AH2688" s="518"/>
      <c r="AJ2688" s="595" t="b">
        <f>AND(AJ$2559,S1_OOR_RuralTotalRequested&gt;0)</f>
        <v>0</v>
      </c>
    </row>
    <row r="2689" spans="1:36" hidden="1" x14ac:dyDescent="0.45">
      <c r="A2689" s="518"/>
      <c r="B2689" s="579" t="s">
        <v>1826</v>
      </c>
      <c r="C2689" s="529"/>
      <c r="D2689" s="529"/>
      <c r="E2689" s="529"/>
      <c r="F2689" s="529"/>
      <c r="G2689" s="529"/>
      <c r="H2689" s="529"/>
      <c r="I2689" s="529"/>
      <c r="J2689" s="529"/>
      <c r="K2689" s="529"/>
      <c r="L2689" s="529"/>
      <c r="M2689" s="529"/>
      <c r="N2689" s="529"/>
      <c r="O2689" s="529"/>
      <c r="P2689" s="529"/>
      <c r="Q2689" s="529"/>
      <c r="R2689" s="529"/>
      <c r="S2689" s="529"/>
      <c r="T2689" s="529"/>
      <c r="U2689" s="529"/>
      <c r="V2689" s="529"/>
      <c r="W2689" s="529"/>
      <c r="X2689" s="529"/>
      <c r="Y2689" s="529"/>
      <c r="Z2689" s="529"/>
      <c r="AA2689" s="529"/>
      <c r="AB2689" s="529"/>
      <c r="AC2689" s="529"/>
      <c r="AD2689" s="529"/>
      <c r="AE2689" s="529"/>
      <c r="AF2689" s="529"/>
      <c r="AG2689" s="529"/>
      <c r="AH2689" s="518"/>
      <c r="AJ2689" s="595"/>
    </row>
    <row r="2690" spans="1:36" hidden="1" x14ac:dyDescent="0.45">
      <c r="A2690" s="518"/>
      <c r="B2690" s="586" t="s">
        <v>1832</v>
      </c>
      <c r="C2690" s="525"/>
      <c r="D2690" s="525"/>
      <c r="E2690" s="525"/>
      <c r="F2690" s="525"/>
      <c r="G2690" s="525"/>
      <c r="H2690" s="525"/>
      <c r="I2690" s="525"/>
      <c r="J2690" s="525"/>
      <c r="K2690" s="525"/>
      <c r="L2690" s="525"/>
      <c r="M2690" s="525"/>
      <c r="N2690" s="525"/>
      <c r="O2690" s="525"/>
      <c r="P2690" s="525"/>
      <c r="Q2690" s="525"/>
      <c r="R2690" s="525"/>
      <c r="S2690" s="525"/>
      <c r="T2690" s="525"/>
      <c r="U2690" s="525"/>
      <c r="V2690" s="525"/>
      <c r="W2690" s="525"/>
      <c r="X2690" s="525"/>
      <c r="Y2690" s="525"/>
      <c r="Z2690" s="525"/>
      <c r="AA2690" s="525"/>
      <c r="AB2690" s="525"/>
      <c r="AC2690" s="525"/>
      <c r="AD2690" s="525"/>
      <c r="AE2690" s="525"/>
      <c r="AF2690" s="525"/>
      <c r="AG2690" s="525"/>
      <c r="AH2690" s="518"/>
      <c r="AJ2690" s="595"/>
    </row>
    <row r="2691" spans="1:36" hidden="1" x14ac:dyDescent="0.45">
      <c r="A2691" s="518"/>
      <c r="B2691" s="586"/>
      <c r="C2691" s="525"/>
      <c r="D2691" s="525"/>
      <c r="E2691" s="525"/>
      <c r="F2691" s="525"/>
      <c r="G2691" s="525"/>
      <c r="H2691" s="525"/>
      <c r="I2691" s="525"/>
      <c r="J2691" s="525"/>
      <c r="K2691" s="525"/>
      <c r="L2691" s="525"/>
      <c r="M2691" s="525"/>
      <c r="N2691" s="525"/>
      <c r="O2691" s="525"/>
      <c r="P2691" s="525"/>
      <c r="Q2691" s="525"/>
      <c r="R2691" s="525"/>
      <c r="S2691" s="525"/>
      <c r="T2691" s="525"/>
      <c r="U2691" s="525"/>
      <c r="V2691" s="525"/>
      <c r="W2691" s="525"/>
      <c r="X2691" s="525"/>
      <c r="Y2691" s="525"/>
      <c r="Z2691" s="525"/>
      <c r="AA2691" s="525"/>
      <c r="AB2691" s="525"/>
      <c r="AC2691" s="525"/>
      <c r="AD2691" s="525"/>
      <c r="AE2691" s="525"/>
      <c r="AF2691" s="525"/>
      <c r="AG2691" s="525"/>
      <c r="AH2691" s="518"/>
      <c r="AJ2691" s="595"/>
    </row>
    <row r="2692" spans="1:36" hidden="1" x14ac:dyDescent="0.45">
      <c r="A2692" s="518"/>
      <c r="B2692" s="518" t="s">
        <v>1856</v>
      </c>
      <c r="C2692" s="518"/>
      <c r="D2692" s="518"/>
      <c r="E2692" s="518"/>
      <c r="F2692" s="518"/>
      <c r="G2692" s="518"/>
      <c r="H2692" s="518"/>
      <c r="I2692" s="518"/>
      <c r="J2692" s="518"/>
      <c r="K2692" s="518"/>
      <c r="L2692" s="518"/>
      <c r="M2692" s="518"/>
      <c r="N2692" s="518"/>
      <c r="O2692" s="518"/>
      <c r="P2692" s="518"/>
      <c r="Q2692" s="518"/>
      <c r="R2692" s="518"/>
      <c r="S2692" s="518"/>
      <c r="T2692" s="518"/>
      <c r="U2692" s="518"/>
      <c r="V2692" s="518"/>
      <c r="W2692" s="518"/>
      <c r="X2692" s="518"/>
      <c r="Y2692" s="518"/>
      <c r="Z2692" s="518"/>
      <c r="AA2692" s="518"/>
      <c r="AB2692" s="518"/>
      <c r="AC2692" s="518"/>
      <c r="AD2692" s="518"/>
      <c r="AE2692" s="518"/>
      <c r="AF2692" s="518"/>
      <c r="AG2692" s="518"/>
      <c r="AH2692" s="518"/>
      <c r="AJ2692" s="595"/>
    </row>
    <row r="2693" spans="1:36" hidden="1" x14ac:dyDescent="0.45">
      <c r="A2693" s="518"/>
      <c r="B2693" s="862" t="s">
        <v>108</v>
      </c>
      <c r="C2693" s="863"/>
      <c r="D2693" s="863"/>
      <c r="E2693" s="863"/>
      <c r="F2693" s="892"/>
      <c r="G2693" s="862" t="s">
        <v>1828</v>
      </c>
      <c r="H2693" s="892"/>
      <c r="I2693" s="862" t="s">
        <v>204</v>
      </c>
      <c r="J2693" s="892"/>
      <c r="K2693" s="862" t="s">
        <v>1829</v>
      </c>
      <c r="L2693" s="892"/>
      <c r="M2693" s="862" t="s">
        <v>1830</v>
      </c>
      <c r="N2693" s="863"/>
      <c r="O2693" s="862" t="s">
        <v>1831</v>
      </c>
      <c r="P2693" s="863"/>
      <c r="Q2693" s="862" t="s">
        <v>110</v>
      </c>
      <c r="R2693" s="863"/>
      <c r="S2693" s="863"/>
      <c r="T2693" s="892"/>
      <c r="U2693" s="862" t="s">
        <v>111</v>
      </c>
      <c r="V2693" s="863"/>
      <c r="W2693" s="863"/>
      <c r="X2693" s="892"/>
      <c r="Y2693" s="862" t="s">
        <v>113</v>
      </c>
      <c r="Z2693" s="863"/>
      <c r="AA2693" s="863"/>
      <c r="AB2693" s="892"/>
      <c r="AC2693" s="1182" t="s">
        <v>114</v>
      </c>
      <c r="AD2693" s="1058"/>
      <c r="AE2693" s="1058"/>
      <c r="AF2693" s="1059"/>
      <c r="AG2693" s="529"/>
      <c r="AH2693" s="529"/>
      <c r="AJ2693" s="595"/>
    </row>
    <row r="2694" spans="1:36" hidden="1" x14ac:dyDescent="0.45">
      <c r="A2694" s="518"/>
      <c r="B2694" s="1229"/>
      <c r="C2694" s="1230"/>
      <c r="D2694" s="1230"/>
      <c r="E2694" s="1230"/>
      <c r="F2694" s="1231"/>
      <c r="G2694" s="1229"/>
      <c r="H2694" s="1231"/>
      <c r="I2694" s="864"/>
      <c r="J2694" s="893"/>
      <c r="K2694" s="864"/>
      <c r="L2694" s="893"/>
      <c r="M2694" s="864"/>
      <c r="N2694" s="865"/>
      <c r="O2694" s="864"/>
      <c r="P2694" s="865"/>
      <c r="Q2694" s="1229"/>
      <c r="R2694" s="1230"/>
      <c r="S2694" s="1230"/>
      <c r="T2694" s="1231"/>
      <c r="U2694" s="1229"/>
      <c r="V2694" s="1230"/>
      <c r="W2694" s="1230"/>
      <c r="X2694" s="1231"/>
      <c r="Y2694" s="1229"/>
      <c r="Z2694" s="1230"/>
      <c r="AA2694" s="1230"/>
      <c r="AB2694" s="1231"/>
      <c r="AC2694" s="1233"/>
      <c r="AD2694" s="1234"/>
      <c r="AE2694" s="1234"/>
      <c r="AF2694" s="1235"/>
      <c r="AG2694" s="529"/>
      <c r="AH2694" s="529"/>
      <c r="AJ2694" s="595"/>
    </row>
    <row r="2695" spans="1:36" hidden="1" x14ac:dyDescent="0.45">
      <c r="A2695" s="518"/>
      <c r="B2695" s="514" t="s">
        <v>1405</v>
      </c>
      <c r="C2695" s="515"/>
      <c r="D2695" s="515"/>
      <c r="E2695" s="515"/>
      <c r="F2695" s="516"/>
      <c r="G2695" s="890" t="str">
        <f>IF(S1OORData!L3=0,"",LEFT(S1OORData!L3))</f>
        <v/>
      </c>
      <c r="H2695" s="891"/>
      <c r="I2695" s="886" t="str">
        <f>IF(S1OORData!X3=0,"",S1OORData!X3)</f>
        <v/>
      </c>
      <c r="J2695" s="887"/>
      <c r="K2695" s="886" t="str">
        <f>IF(S1OORData!Y3=0,"",S1OORData!Y3)</f>
        <v/>
      </c>
      <c r="L2695" s="887"/>
      <c r="M2695" s="886" t="str">
        <f>IF(S1OORData!Z3=0,"",S1OORData!Z3)</f>
        <v/>
      </c>
      <c r="N2695" s="887"/>
      <c r="O2695" s="886" t="str">
        <f>IF(S1OORData!AA3=0,"",S1OORData!AA3)</f>
        <v/>
      </c>
      <c r="P2695" s="1232"/>
      <c r="Q2695" s="868" t="str">
        <f>IF(S1OORData!AB3=0,"",S1OORData!AB3)</f>
        <v/>
      </c>
      <c r="R2695" s="869"/>
      <c r="S2695" s="869"/>
      <c r="T2695" s="870"/>
      <c r="U2695" s="868" t="str">
        <f>IF(S1OORData!AJ3=0,"",S1OORData!AJ3)</f>
        <v/>
      </c>
      <c r="V2695" s="869"/>
      <c r="W2695" s="869"/>
      <c r="X2695" s="870"/>
      <c r="Y2695" s="868">
        <f>SUM(Q2695:X2695)</f>
        <v>0</v>
      </c>
      <c r="Z2695" s="1232"/>
      <c r="AA2695" s="1232"/>
      <c r="AB2695" s="887"/>
      <c r="AC2695" s="866" t="str">
        <f>IF(S1OORData!AC3=0,"",S1OORData!AC3)</f>
        <v/>
      </c>
      <c r="AD2695" s="900"/>
      <c r="AE2695" s="900"/>
      <c r="AF2695" s="867"/>
      <c r="AG2695" s="529"/>
      <c r="AH2695" s="529"/>
      <c r="AJ2695" s="595" t="b">
        <f>IF(AND(AJ$2688,SUM(Y2695)&gt;0),TRUE,FALSE)</f>
        <v>0</v>
      </c>
    </row>
    <row r="2696" spans="1:36" hidden="1" x14ac:dyDescent="0.45">
      <c r="A2696" s="518"/>
      <c r="B2696" s="514" t="s">
        <v>1406</v>
      </c>
      <c r="C2696" s="515"/>
      <c r="D2696" s="515"/>
      <c r="E2696" s="515"/>
      <c r="F2696" s="516"/>
      <c r="G2696" s="890" t="str">
        <f>IF(S1OORData!L4=0,"",LEFT(S1OORData!L4))</f>
        <v/>
      </c>
      <c r="H2696" s="891"/>
      <c r="I2696" s="886" t="str">
        <f>IF(S1OORData!X4=0,"",S1OORData!X4)</f>
        <v/>
      </c>
      <c r="J2696" s="887"/>
      <c r="K2696" s="886" t="str">
        <f>IF(S1OORData!Y4=0,"",S1OORData!Y4)</f>
        <v/>
      </c>
      <c r="L2696" s="887"/>
      <c r="M2696" s="886" t="str">
        <f>IF(S1OORData!Z4=0,"",S1OORData!Z4)</f>
        <v/>
      </c>
      <c r="N2696" s="887"/>
      <c r="O2696" s="886" t="str">
        <f>IF(S1OORData!AA4=0,"",S1OORData!AA4)</f>
        <v/>
      </c>
      <c r="P2696" s="1232"/>
      <c r="Q2696" s="868" t="str">
        <f>IF(S1OORData!AB4=0,"",S1OORData!AB4)</f>
        <v/>
      </c>
      <c r="R2696" s="869"/>
      <c r="S2696" s="869"/>
      <c r="T2696" s="870"/>
      <c r="U2696" s="868" t="str">
        <f>IF(S1OORData!AJ4=0,"",S1OORData!AJ4)</f>
        <v/>
      </c>
      <c r="V2696" s="869"/>
      <c r="W2696" s="869"/>
      <c r="X2696" s="870"/>
      <c r="Y2696" s="868">
        <f t="shared" ref="Y2696:Y2752" si="49">SUM(Q2696:X2696)</f>
        <v>0</v>
      </c>
      <c r="Z2696" s="1232"/>
      <c r="AA2696" s="1232"/>
      <c r="AB2696" s="887"/>
      <c r="AC2696" s="866" t="str">
        <f>IF(S1OORData!AC4=0,"",S1OORData!AC4)</f>
        <v/>
      </c>
      <c r="AD2696" s="900"/>
      <c r="AE2696" s="900"/>
      <c r="AF2696" s="867"/>
      <c r="AG2696" s="529"/>
      <c r="AH2696" s="529"/>
      <c r="AJ2696" s="595" t="b">
        <v>0</v>
      </c>
    </row>
    <row r="2697" spans="1:36" hidden="1" x14ac:dyDescent="0.45">
      <c r="A2697" s="518"/>
      <c r="B2697" s="514" t="s">
        <v>1407</v>
      </c>
      <c r="C2697" s="515"/>
      <c r="D2697" s="515"/>
      <c r="E2697" s="515"/>
      <c r="F2697" s="516"/>
      <c r="G2697" s="890" t="str">
        <f>IF(S1OORData!L5=0,"",LEFT(S1OORData!L5))</f>
        <v/>
      </c>
      <c r="H2697" s="891"/>
      <c r="I2697" s="886" t="str">
        <f>IF(S1OORData!X5=0,"",S1OORData!X5)</f>
        <v/>
      </c>
      <c r="J2697" s="887"/>
      <c r="K2697" s="886" t="str">
        <f>IF(S1OORData!Y5=0,"",S1OORData!Y5)</f>
        <v/>
      </c>
      <c r="L2697" s="887"/>
      <c r="M2697" s="886" t="str">
        <f>IF(S1OORData!Z5=0,"",S1OORData!Z5)</f>
        <v/>
      </c>
      <c r="N2697" s="887"/>
      <c r="O2697" s="886" t="str">
        <f>IF(S1OORData!AA5=0,"",S1OORData!AA5)</f>
        <v/>
      </c>
      <c r="P2697" s="1232"/>
      <c r="Q2697" s="868" t="str">
        <f>IF(S1OORData!AB5=0,"",S1OORData!AB5)</f>
        <v/>
      </c>
      <c r="R2697" s="869"/>
      <c r="S2697" s="869"/>
      <c r="T2697" s="870"/>
      <c r="U2697" s="868" t="str">
        <f>IF(S1OORData!AJ5=0,"",S1OORData!AJ5)</f>
        <v/>
      </c>
      <c r="V2697" s="869"/>
      <c r="W2697" s="869"/>
      <c r="X2697" s="870"/>
      <c r="Y2697" s="868">
        <f t="shared" si="49"/>
        <v>0</v>
      </c>
      <c r="Z2697" s="1232"/>
      <c r="AA2697" s="1232"/>
      <c r="AB2697" s="887"/>
      <c r="AC2697" s="866" t="str">
        <f>IF(S1OORData!AC5=0,"",S1OORData!AC5)</f>
        <v/>
      </c>
      <c r="AD2697" s="900"/>
      <c r="AE2697" s="900"/>
      <c r="AF2697" s="867"/>
      <c r="AG2697" s="529"/>
      <c r="AH2697" s="529"/>
      <c r="AJ2697" s="595" t="b">
        <v>0</v>
      </c>
    </row>
    <row r="2698" spans="1:36" hidden="1" x14ac:dyDescent="0.45">
      <c r="A2698" s="518"/>
      <c r="B2698" s="514" t="s">
        <v>1408</v>
      </c>
      <c r="C2698" s="515"/>
      <c r="D2698" s="515"/>
      <c r="E2698" s="515"/>
      <c r="F2698" s="516"/>
      <c r="G2698" s="890" t="str">
        <f>IF(S1OORData!L6=0,"",LEFT(S1OORData!L6))</f>
        <v/>
      </c>
      <c r="H2698" s="891"/>
      <c r="I2698" s="886" t="str">
        <f>IF(S1OORData!X6=0,"",S1OORData!X6)</f>
        <v/>
      </c>
      <c r="J2698" s="887"/>
      <c r="K2698" s="886" t="str">
        <f>IF(S1OORData!Y6=0,"",S1OORData!Y6)</f>
        <v/>
      </c>
      <c r="L2698" s="887"/>
      <c r="M2698" s="886" t="str">
        <f>IF(S1OORData!Z6=0,"",S1OORData!Z6)</f>
        <v/>
      </c>
      <c r="N2698" s="887"/>
      <c r="O2698" s="886" t="str">
        <f>IF(S1OORData!AA6=0,"",S1OORData!AA6)</f>
        <v/>
      </c>
      <c r="P2698" s="1232"/>
      <c r="Q2698" s="868" t="str">
        <f>IF(S1OORData!AB6=0,"",S1OORData!AB6)</f>
        <v/>
      </c>
      <c r="R2698" s="869"/>
      <c r="S2698" s="869"/>
      <c r="T2698" s="870"/>
      <c r="U2698" s="868" t="str">
        <f>IF(S1OORData!AJ6=0,"",S1OORData!AJ6)</f>
        <v/>
      </c>
      <c r="V2698" s="869"/>
      <c r="W2698" s="869"/>
      <c r="X2698" s="870"/>
      <c r="Y2698" s="868">
        <f t="shared" si="49"/>
        <v>0</v>
      </c>
      <c r="Z2698" s="1232"/>
      <c r="AA2698" s="1232"/>
      <c r="AB2698" s="887"/>
      <c r="AC2698" s="866" t="str">
        <f>IF(S1OORData!AC6=0,"",S1OORData!AC6)</f>
        <v/>
      </c>
      <c r="AD2698" s="900"/>
      <c r="AE2698" s="900"/>
      <c r="AF2698" s="867"/>
      <c r="AG2698" s="529"/>
      <c r="AH2698" s="529"/>
      <c r="AJ2698" s="595" t="b">
        <v>0</v>
      </c>
    </row>
    <row r="2699" spans="1:36" hidden="1" x14ac:dyDescent="0.45">
      <c r="A2699" s="518"/>
      <c r="B2699" s="514" t="s">
        <v>1409</v>
      </c>
      <c r="C2699" s="515"/>
      <c r="D2699" s="515"/>
      <c r="E2699" s="515"/>
      <c r="F2699" s="516"/>
      <c r="G2699" s="890" t="str">
        <f>IF(S1OORData!L7=0,"",LEFT(S1OORData!L7))</f>
        <v/>
      </c>
      <c r="H2699" s="891"/>
      <c r="I2699" s="886" t="str">
        <f>IF(S1OORData!X7=0,"",S1OORData!X7)</f>
        <v/>
      </c>
      <c r="J2699" s="887"/>
      <c r="K2699" s="886" t="str">
        <f>IF(S1OORData!Y7=0,"",S1OORData!Y7)</f>
        <v/>
      </c>
      <c r="L2699" s="887"/>
      <c r="M2699" s="886" t="str">
        <f>IF(S1OORData!Z7=0,"",S1OORData!Z7)</f>
        <v/>
      </c>
      <c r="N2699" s="887"/>
      <c r="O2699" s="886" t="str">
        <f>IF(S1OORData!AA7=0,"",S1OORData!AA7)</f>
        <v/>
      </c>
      <c r="P2699" s="1232"/>
      <c r="Q2699" s="868" t="str">
        <f>IF(S1OORData!AB7=0,"",S1OORData!AB7)</f>
        <v/>
      </c>
      <c r="R2699" s="869"/>
      <c r="S2699" s="869"/>
      <c r="T2699" s="870"/>
      <c r="U2699" s="868" t="str">
        <f>IF(S1OORData!AJ7=0,"",S1OORData!AJ7)</f>
        <v/>
      </c>
      <c r="V2699" s="869"/>
      <c r="W2699" s="869"/>
      <c r="X2699" s="870"/>
      <c r="Y2699" s="868">
        <f t="shared" si="49"/>
        <v>0</v>
      </c>
      <c r="Z2699" s="1232"/>
      <c r="AA2699" s="1232"/>
      <c r="AB2699" s="887"/>
      <c r="AC2699" s="866" t="str">
        <f>IF(S1OORData!AC7=0,"",S1OORData!AC7)</f>
        <v/>
      </c>
      <c r="AD2699" s="900"/>
      <c r="AE2699" s="900"/>
      <c r="AF2699" s="867"/>
      <c r="AG2699" s="529"/>
      <c r="AH2699" s="529"/>
      <c r="AJ2699" s="595" t="b">
        <v>0</v>
      </c>
    </row>
    <row r="2700" spans="1:36" hidden="1" x14ac:dyDescent="0.45">
      <c r="A2700" s="518"/>
      <c r="B2700" s="514" t="s">
        <v>1410</v>
      </c>
      <c r="C2700" s="515"/>
      <c r="D2700" s="515"/>
      <c r="E2700" s="515"/>
      <c r="F2700" s="516"/>
      <c r="G2700" s="890" t="str">
        <f>IF(S1OORData!L8=0,"",LEFT(S1OORData!L8))</f>
        <v/>
      </c>
      <c r="H2700" s="891"/>
      <c r="I2700" s="886" t="str">
        <f>IF(S1OORData!X8=0,"",S1OORData!X8)</f>
        <v/>
      </c>
      <c r="J2700" s="887"/>
      <c r="K2700" s="886" t="str">
        <f>IF(S1OORData!Y8=0,"",S1OORData!Y8)</f>
        <v/>
      </c>
      <c r="L2700" s="887"/>
      <c r="M2700" s="886" t="str">
        <f>IF(S1OORData!Z8=0,"",S1OORData!Z8)</f>
        <v/>
      </c>
      <c r="N2700" s="887"/>
      <c r="O2700" s="886" t="str">
        <f>IF(S1OORData!AA8=0,"",S1OORData!AA8)</f>
        <v/>
      </c>
      <c r="P2700" s="1232"/>
      <c r="Q2700" s="868" t="str">
        <f>IF(S1OORData!AB8=0,"",S1OORData!AB8)</f>
        <v/>
      </c>
      <c r="R2700" s="869"/>
      <c r="S2700" s="869"/>
      <c r="T2700" s="870"/>
      <c r="U2700" s="868" t="str">
        <f>IF(S1OORData!AJ8=0,"",S1OORData!AJ8)</f>
        <v/>
      </c>
      <c r="V2700" s="869"/>
      <c r="W2700" s="869"/>
      <c r="X2700" s="870"/>
      <c r="Y2700" s="868">
        <f t="shared" si="49"/>
        <v>0</v>
      </c>
      <c r="Z2700" s="1232"/>
      <c r="AA2700" s="1232"/>
      <c r="AB2700" s="887"/>
      <c r="AC2700" s="866" t="str">
        <f>IF(S1OORData!AC8=0,"",S1OORData!AC8)</f>
        <v/>
      </c>
      <c r="AD2700" s="900"/>
      <c r="AE2700" s="900"/>
      <c r="AF2700" s="867"/>
      <c r="AG2700" s="529"/>
      <c r="AH2700" s="529"/>
      <c r="AJ2700" s="595" t="b">
        <v>0</v>
      </c>
    </row>
    <row r="2701" spans="1:36" hidden="1" x14ac:dyDescent="0.45">
      <c r="A2701" s="518"/>
      <c r="B2701" s="514" t="s">
        <v>1411</v>
      </c>
      <c r="C2701" s="515"/>
      <c r="D2701" s="515"/>
      <c r="E2701" s="515"/>
      <c r="F2701" s="516"/>
      <c r="G2701" s="890" t="str">
        <f>IF(S1OORData!L9=0,"",LEFT(S1OORData!L9))</f>
        <v/>
      </c>
      <c r="H2701" s="891"/>
      <c r="I2701" s="886" t="str">
        <f>IF(S1OORData!X9=0,"",S1OORData!X9)</f>
        <v/>
      </c>
      <c r="J2701" s="887"/>
      <c r="K2701" s="886" t="str">
        <f>IF(S1OORData!Y9=0,"",S1OORData!Y9)</f>
        <v/>
      </c>
      <c r="L2701" s="887"/>
      <c r="M2701" s="886" t="str">
        <f>IF(S1OORData!Z9=0,"",S1OORData!Z9)</f>
        <v/>
      </c>
      <c r="N2701" s="887"/>
      <c r="O2701" s="886" t="str">
        <f>IF(S1OORData!AA9=0,"",S1OORData!AA9)</f>
        <v/>
      </c>
      <c r="P2701" s="1232"/>
      <c r="Q2701" s="868" t="str">
        <f>IF(S1OORData!AB9=0,"",S1OORData!AB9)</f>
        <v/>
      </c>
      <c r="R2701" s="869"/>
      <c r="S2701" s="869"/>
      <c r="T2701" s="870"/>
      <c r="U2701" s="868" t="str">
        <f>IF(S1OORData!AJ9=0,"",S1OORData!AJ9)</f>
        <v/>
      </c>
      <c r="V2701" s="869"/>
      <c r="W2701" s="869"/>
      <c r="X2701" s="870"/>
      <c r="Y2701" s="868">
        <f t="shared" si="49"/>
        <v>0</v>
      </c>
      <c r="Z2701" s="1232"/>
      <c r="AA2701" s="1232"/>
      <c r="AB2701" s="887"/>
      <c r="AC2701" s="866" t="str">
        <f>IF(S1OORData!AC9=0,"",S1OORData!AC9)</f>
        <v/>
      </c>
      <c r="AD2701" s="900"/>
      <c r="AE2701" s="900"/>
      <c r="AF2701" s="867"/>
      <c r="AG2701" s="529"/>
      <c r="AH2701" s="529"/>
      <c r="AJ2701" s="595" t="b">
        <v>0</v>
      </c>
    </row>
    <row r="2702" spans="1:36" hidden="1" x14ac:dyDescent="0.45">
      <c r="A2702" s="518"/>
      <c r="B2702" s="514" t="s">
        <v>1412</v>
      </c>
      <c r="C2702" s="515"/>
      <c r="D2702" s="515"/>
      <c r="E2702" s="515"/>
      <c r="F2702" s="516"/>
      <c r="G2702" s="890" t="str">
        <f>IF(S1OORData!L10=0,"",LEFT(S1OORData!L10))</f>
        <v/>
      </c>
      <c r="H2702" s="891"/>
      <c r="I2702" s="886" t="str">
        <f>IF(S1OORData!X10=0,"",S1OORData!X10)</f>
        <v/>
      </c>
      <c r="J2702" s="887"/>
      <c r="K2702" s="886" t="str">
        <f>IF(S1OORData!Y10=0,"",S1OORData!Y10)</f>
        <v/>
      </c>
      <c r="L2702" s="887"/>
      <c r="M2702" s="886" t="str">
        <f>IF(S1OORData!Z10=0,"",S1OORData!Z10)</f>
        <v/>
      </c>
      <c r="N2702" s="887"/>
      <c r="O2702" s="886" t="str">
        <f>IF(S1OORData!AA10=0,"",S1OORData!AA10)</f>
        <v/>
      </c>
      <c r="P2702" s="1232"/>
      <c r="Q2702" s="868" t="str">
        <f>IF(S1OORData!AB10=0,"",S1OORData!AB10)</f>
        <v/>
      </c>
      <c r="R2702" s="869"/>
      <c r="S2702" s="869"/>
      <c r="T2702" s="870"/>
      <c r="U2702" s="868" t="str">
        <f>IF(S1OORData!AJ10=0,"",S1OORData!AJ10)</f>
        <v/>
      </c>
      <c r="V2702" s="869"/>
      <c r="W2702" s="869"/>
      <c r="X2702" s="870"/>
      <c r="Y2702" s="868">
        <f t="shared" si="49"/>
        <v>0</v>
      </c>
      <c r="Z2702" s="1232"/>
      <c r="AA2702" s="1232"/>
      <c r="AB2702" s="887"/>
      <c r="AC2702" s="866" t="str">
        <f>IF(S1OORData!AC10=0,"",S1OORData!AC10)</f>
        <v/>
      </c>
      <c r="AD2702" s="900"/>
      <c r="AE2702" s="900"/>
      <c r="AF2702" s="867"/>
      <c r="AG2702" s="529"/>
      <c r="AH2702" s="529"/>
      <c r="AJ2702" s="595" t="b">
        <v>0</v>
      </c>
    </row>
    <row r="2703" spans="1:36" hidden="1" x14ac:dyDescent="0.45">
      <c r="A2703" s="518"/>
      <c r="B2703" s="514" t="s">
        <v>1413</v>
      </c>
      <c r="C2703" s="515"/>
      <c r="D2703" s="515"/>
      <c r="E2703" s="515"/>
      <c r="F2703" s="516"/>
      <c r="G2703" s="890" t="str">
        <f>IF(S1OORData!L11=0,"",LEFT(S1OORData!L11))</f>
        <v/>
      </c>
      <c r="H2703" s="891"/>
      <c r="I2703" s="886" t="str">
        <f>IF(S1OORData!X11=0,"",S1OORData!X11)</f>
        <v/>
      </c>
      <c r="J2703" s="887"/>
      <c r="K2703" s="886" t="str">
        <f>IF(S1OORData!Y11=0,"",S1OORData!Y11)</f>
        <v/>
      </c>
      <c r="L2703" s="887"/>
      <c r="M2703" s="886" t="str">
        <f>IF(S1OORData!Z11=0,"",S1OORData!Z11)</f>
        <v/>
      </c>
      <c r="N2703" s="887"/>
      <c r="O2703" s="886" t="str">
        <f>IF(S1OORData!AA11=0,"",S1OORData!AA11)</f>
        <v/>
      </c>
      <c r="P2703" s="1232"/>
      <c r="Q2703" s="868" t="str">
        <f>IF(S1OORData!AB11=0,"",S1OORData!AB11)</f>
        <v/>
      </c>
      <c r="R2703" s="869"/>
      <c r="S2703" s="869"/>
      <c r="T2703" s="870"/>
      <c r="U2703" s="868" t="str">
        <f>IF(S1OORData!AJ11=0,"",S1OORData!AJ11)</f>
        <v/>
      </c>
      <c r="V2703" s="869"/>
      <c r="W2703" s="869"/>
      <c r="X2703" s="870"/>
      <c r="Y2703" s="868">
        <f t="shared" si="49"/>
        <v>0</v>
      </c>
      <c r="Z2703" s="1232"/>
      <c r="AA2703" s="1232"/>
      <c r="AB2703" s="887"/>
      <c r="AC2703" s="866" t="str">
        <f>IF(S1OORData!AC11=0,"",S1OORData!AC11)</f>
        <v/>
      </c>
      <c r="AD2703" s="900"/>
      <c r="AE2703" s="900"/>
      <c r="AF2703" s="867"/>
      <c r="AG2703" s="529"/>
      <c r="AH2703" s="529"/>
      <c r="AJ2703" s="595" t="b">
        <v>0</v>
      </c>
    </row>
    <row r="2704" spans="1:36" hidden="1" x14ac:dyDescent="0.45">
      <c r="A2704" s="518"/>
      <c r="B2704" s="514" t="s">
        <v>1414</v>
      </c>
      <c r="C2704" s="515"/>
      <c r="D2704" s="515"/>
      <c r="E2704" s="515"/>
      <c r="F2704" s="516"/>
      <c r="G2704" s="890" t="str">
        <f>IF(S1OORData!L12=0,"",LEFT(S1OORData!L12))</f>
        <v/>
      </c>
      <c r="H2704" s="891"/>
      <c r="I2704" s="886" t="str">
        <f>IF(S1OORData!X12=0,"",S1OORData!X12)</f>
        <v/>
      </c>
      <c r="J2704" s="887"/>
      <c r="K2704" s="886" t="str">
        <f>IF(S1OORData!Y12=0,"",S1OORData!Y12)</f>
        <v/>
      </c>
      <c r="L2704" s="887"/>
      <c r="M2704" s="886" t="str">
        <f>IF(S1OORData!Z12=0,"",S1OORData!Z12)</f>
        <v/>
      </c>
      <c r="N2704" s="887"/>
      <c r="O2704" s="886" t="str">
        <f>IF(S1OORData!AA12=0,"",S1OORData!AA12)</f>
        <v/>
      </c>
      <c r="P2704" s="1232"/>
      <c r="Q2704" s="868" t="str">
        <f>IF(S1OORData!AB12=0,"",S1OORData!AB12)</f>
        <v/>
      </c>
      <c r="R2704" s="869"/>
      <c r="S2704" s="869"/>
      <c r="T2704" s="870"/>
      <c r="U2704" s="868" t="str">
        <f>IF(S1OORData!AJ12=0,"",S1OORData!AJ12)</f>
        <v/>
      </c>
      <c r="V2704" s="869"/>
      <c r="W2704" s="869"/>
      <c r="X2704" s="870"/>
      <c r="Y2704" s="868">
        <f t="shared" si="49"/>
        <v>0</v>
      </c>
      <c r="Z2704" s="1232"/>
      <c r="AA2704" s="1232"/>
      <c r="AB2704" s="887"/>
      <c r="AC2704" s="866" t="str">
        <f>IF(S1OORData!AC12=0,"",S1OORData!AC12)</f>
        <v/>
      </c>
      <c r="AD2704" s="900"/>
      <c r="AE2704" s="900"/>
      <c r="AF2704" s="867"/>
      <c r="AG2704" s="529"/>
      <c r="AH2704" s="529"/>
      <c r="AJ2704" s="595" t="b">
        <v>0</v>
      </c>
    </row>
    <row r="2705" spans="1:36" hidden="1" x14ac:dyDescent="0.45">
      <c r="A2705" s="518"/>
      <c r="B2705" s="514" t="s">
        <v>1415</v>
      </c>
      <c r="C2705" s="515"/>
      <c r="D2705" s="515"/>
      <c r="E2705" s="515"/>
      <c r="F2705" s="516"/>
      <c r="G2705" s="890" t="str">
        <f>IF(S1OORData!L13=0,"",LEFT(S1OORData!L13))</f>
        <v/>
      </c>
      <c r="H2705" s="891"/>
      <c r="I2705" s="886" t="str">
        <f>IF(S1OORData!X13=0,"",S1OORData!X13)</f>
        <v/>
      </c>
      <c r="J2705" s="887"/>
      <c r="K2705" s="886" t="str">
        <f>IF(S1OORData!Y13=0,"",S1OORData!Y13)</f>
        <v/>
      </c>
      <c r="L2705" s="887"/>
      <c r="M2705" s="886" t="str">
        <f>IF(S1OORData!Z13=0,"",S1OORData!Z13)</f>
        <v/>
      </c>
      <c r="N2705" s="887"/>
      <c r="O2705" s="886" t="str">
        <f>IF(S1OORData!AA13=0,"",S1OORData!AA13)</f>
        <v/>
      </c>
      <c r="P2705" s="1232"/>
      <c r="Q2705" s="868" t="str">
        <f>IF(S1OORData!AB13=0,"",S1OORData!AB13)</f>
        <v/>
      </c>
      <c r="R2705" s="869"/>
      <c r="S2705" s="869"/>
      <c r="T2705" s="870"/>
      <c r="U2705" s="868" t="str">
        <f>IF(S1OORData!AJ13=0,"",S1OORData!AJ13)</f>
        <v/>
      </c>
      <c r="V2705" s="869"/>
      <c r="W2705" s="869"/>
      <c r="X2705" s="870"/>
      <c r="Y2705" s="868">
        <f t="shared" si="49"/>
        <v>0</v>
      </c>
      <c r="Z2705" s="1232"/>
      <c r="AA2705" s="1232"/>
      <c r="AB2705" s="887"/>
      <c r="AC2705" s="866" t="str">
        <f>IF(S1OORData!AC13=0,"",S1OORData!AC13)</f>
        <v/>
      </c>
      <c r="AD2705" s="900"/>
      <c r="AE2705" s="900"/>
      <c r="AF2705" s="867"/>
      <c r="AG2705" s="529"/>
      <c r="AH2705" s="529"/>
      <c r="AJ2705" s="595" t="b">
        <v>0</v>
      </c>
    </row>
    <row r="2706" spans="1:36" hidden="1" x14ac:dyDescent="0.45">
      <c r="A2706" s="518"/>
      <c r="B2706" s="514" t="s">
        <v>1416</v>
      </c>
      <c r="C2706" s="515"/>
      <c r="D2706" s="515"/>
      <c r="E2706" s="515"/>
      <c r="F2706" s="516"/>
      <c r="G2706" s="890" t="str">
        <f>IF(S1OORData!L14=0,"",LEFT(S1OORData!L14))</f>
        <v/>
      </c>
      <c r="H2706" s="891"/>
      <c r="I2706" s="886" t="str">
        <f>IF(S1OORData!X14=0,"",S1OORData!X14)</f>
        <v/>
      </c>
      <c r="J2706" s="887"/>
      <c r="K2706" s="886" t="str">
        <f>IF(S1OORData!Y14=0,"",S1OORData!Y14)</f>
        <v/>
      </c>
      <c r="L2706" s="887"/>
      <c r="M2706" s="886" t="str">
        <f>IF(S1OORData!Z14=0,"",S1OORData!Z14)</f>
        <v/>
      </c>
      <c r="N2706" s="887"/>
      <c r="O2706" s="886" t="str">
        <f>IF(S1OORData!AA14=0,"",S1OORData!AA14)</f>
        <v/>
      </c>
      <c r="P2706" s="1232"/>
      <c r="Q2706" s="868" t="str">
        <f>IF(S1OORData!AB14=0,"",S1OORData!AB14)</f>
        <v/>
      </c>
      <c r="R2706" s="869"/>
      <c r="S2706" s="869"/>
      <c r="T2706" s="870"/>
      <c r="U2706" s="868" t="str">
        <f>IF(S1OORData!AJ14=0,"",S1OORData!AJ14)</f>
        <v/>
      </c>
      <c r="V2706" s="869"/>
      <c r="W2706" s="869"/>
      <c r="X2706" s="870"/>
      <c r="Y2706" s="868">
        <f t="shared" si="49"/>
        <v>0</v>
      </c>
      <c r="Z2706" s="1232"/>
      <c r="AA2706" s="1232"/>
      <c r="AB2706" s="887"/>
      <c r="AC2706" s="866" t="str">
        <f>IF(S1OORData!AC14=0,"",S1OORData!AC14)</f>
        <v/>
      </c>
      <c r="AD2706" s="900"/>
      <c r="AE2706" s="900"/>
      <c r="AF2706" s="867"/>
      <c r="AG2706" s="529"/>
      <c r="AH2706" s="529"/>
      <c r="AJ2706" s="595" t="b">
        <v>0</v>
      </c>
    </row>
    <row r="2707" spans="1:36" hidden="1" x14ac:dyDescent="0.45">
      <c r="A2707" s="518"/>
      <c r="B2707" s="514" t="s">
        <v>1417</v>
      </c>
      <c r="C2707" s="515"/>
      <c r="D2707" s="515"/>
      <c r="E2707" s="515"/>
      <c r="F2707" s="516"/>
      <c r="G2707" s="890" t="str">
        <f>IF(S1OORData!L15=0,"",LEFT(S1OORData!L15))</f>
        <v/>
      </c>
      <c r="H2707" s="891"/>
      <c r="I2707" s="886" t="str">
        <f>IF(S1OORData!X15=0,"",S1OORData!X15)</f>
        <v/>
      </c>
      <c r="J2707" s="887"/>
      <c r="K2707" s="886" t="str">
        <f>IF(S1OORData!Y15=0,"",S1OORData!Y15)</f>
        <v/>
      </c>
      <c r="L2707" s="887"/>
      <c r="M2707" s="886" t="str">
        <f>IF(S1OORData!Z15=0,"",S1OORData!Z15)</f>
        <v/>
      </c>
      <c r="N2707" s="887"/>
      <c r="O2707" s="886" t="str">
        <f>IF(S1OORData!AA15=0,"",S1OORData!AA15)</f>
        <v/>
      </c>
      <c r="P2707" s="1232"/>
      <c r="Q2707" s="868" t="str">
        <f>IF(S1OORData!AB15=0,"",S1OORData!AB15)</f>
        <v/>
      </c>
      <c r="R2707" s="869"/>
      <c r="S2707" s="869"/>
      <c r="T2707" s="870"/>
      <c r="U2707" s="868" t="str">
        <f>IF(S1OORData!AJ15=0,"",S1OORData!AJ15)</f>
        <v/>
      </c>
      <c r="V2707" s="869"/>
      <c r="W2707" s="869"/>
      <c r="X2707" s="870"/>
      <c r="Y2707" s="868">
        <f t="shared" si="49"/>
        <v>0</v>
      </c>
      <c r="Z2707" s="1232"/>
      <c r="AA2707" s="1232"/>
      <c r="AB2707" s="887"/>
      <c r="AC2707" s="866" t="str">
        <f>IF(S1OORData!AC15=0,"",S1OORData!AC15)</f>
        <v/>
      </c>
      <c r="AD2707" s="900"/>
      <c r="AE2707" s="900"/>
      <c r="AF2707" s="867"/>
      <c r="AG2707" s="529"/>
      <c r="AH2707" s="529"/>
      <c r="AJ2707" s="595" t="b">
        <v>0</v>
      </c>
    </row>
    <row r="2708" spans="1:36" hidden="1" x14ac:dyDescent="0.45">
      <c r="A2708" s="518"/>
      <c r="B2708" s="514" t="s">
        <v>1418</v>
      </c>
      <c r="C2708" s="515"/>
      <c r="D2708" s="515"/>
      <c r="E2708" s="515"/>
      <c r="F2708" s="516"/>
      <c r="G2708" s="890" t="str">
        <f>IF(S1OORData!L16=0,"",LEFT(S1OORData!L16))</f>
        <v/>
      </c>
      <c r="H2708" s="891"/>
      <c r="I2708" s="886" t="str">
        <f>IF(S1OORData!X16=0,"",S1OORData!X16)</f>
        <v/>
      </c>
      <c r="J2708" s="887"/>
      <c r="K2708" s="886" t="str">
        <f>IF(S1OORData!Y16=0,"",S1OORData!Y16)</f>
        <v/>
      </c>
      <c r="L2708" s="887"/>
      <c r="M2708" s="886" t="str">
        <f>IF(S1OORData!Z16=0,"",S1OORData!Z16)</f>
        <v/>
      </c>
      <c r="N2708" s="887"/>
      <c r="O2708" s="886" t="str">
        <f>IF(S1OORData!AA16=0,"",S1OORData!AA16)</f>
        <v/>
      </c>
      <c r="P2708" s="1232"/>
      <c r="Q2708" s="868" t="str">
        <f>IF(S1OORData!AB16=0,"",S1OORData!AB16)</f>
        <v/>
      </c>
      <c r="R2708" s="869"/>
      <c r="S2708" s="869"/>
      <c r="T2708" s="870"/>
      <c r="U2708" s="868" t="str">
        <f>IF(S1OORData!AJ16=0,"",S1OORData!AJ16)</f>
        <v/>
      </c>
      <c r="V2708" s="869"/>
      <c r="W2708" s="869"/>
      <c r="X2708" s="870"/>
      <c r="Y2708" s="868">
        <f t="shared" si="49"/>
        <v>0</v>
      </c>
      <c r="Z2708" s="1232"/>
      <c r="AA2708" s="1232"/>
      <c r="AB2708" s="887"/>
      <c r="AC2708" s="866" t="str">
        <f>IF(S1OORData!AC16=0,"",S1OORData!AC16)</f>
        <v/>
      </c>
      <c r="AD2708" s="900"/>
      <c r="AE2708" s="900"/>
      <c r="AF2708" s="867"/>
      <c r="AG2708" s="529"/>
      <c r="AH2708" s="529"/>
      <c r="AJ2708" s="595" t="b">
        <v>0</v>
      </c>
    </row>
    <row r="2709" spans="1:36" hidden="1" x14ac:dyDescent="0.45">
      <c r="A2709" s="518"/>
      <c r="B2709" s="514" t="s">
        <v>1419</v>
      </c>
      <c r="C2709" s="515"/>
      <c r="D2709" s="515"/>
      <c r="E2709" s="515"/>
      <c r="F2709" s="516"/>
      <c r="G2709" s="890" t="str">
        <f>IF(S1OORData!L17=0,"",LEFT(S1OORData!L17))</f>
        <v/>
      </c>
      <c r="H2709" s="891"/>
      <c r="I2709" s="886" t="str">
        <f>IF(S1OORData!X17=0,"",S1OORData!X17)</f>
        <v/>
      </c>
      <c r="J2709" s="887"/>
      <c r="K2709" s="886" t="str">
        <f>IF(S1OORData!Y17=0,"",S1OORData!Y17)</f>
        <v/>
      </c>
      <c r="L2709" s="887"/>
      <c r="M2709" s="886" t="str">
        <f>IF(S1OORData!Z17=0,"",S1OORData!Z17)</f>
        <v/>
      </c>
      <c r="N2709" s="887"/>
      <c r="O2709" s="886" t="str">
        <f>IF(S1OORData!AA17=0,"",S1OORData!AA17)</f>
        <v/>
      </c>
      <c r="P2709" s="1232"/>
      <c r="Q2709" s="868" t="str">
        <f>IF(S1OORData!AB17=0,"",S1OORData!AB17)</f>
        <v/>
      </c>
      <c r="R2709" s="869"/>
      <c r="S2709" s="869"/>
      <c r="T2709" s="870"/>
      <c r="U2709" s="868" t="str">
        <f>IF(S1OORData!AJ17=0,"",S1OORData!AJ17)</f>
        <v/>
      </c>
      <c r="V2709" s="869"/>
      <c r="W2709" s="869"/>
      <c r="X2709" s="870"/>
      <c r="Y2709" s="868">
        <f t="shared" si="49"/>
        <v>0</v>
      </c>
      <c r="Z2709" s="1232"/>
      <c r="AA2709" s="1232"/>
      <c r="AB2709" s="887"/>
      <c r="AC2709" s="866" t="str">
        <f>IF(S1OORData!AC17=0,"",S1OORData!AC17)</f>
        <v/>
      </c>
      <c r="AD2709" s="900"/>
      <c r="AE2709" s="900"/>
      <c r="AF2709" s="867"/>
      <c r="AG2709" s="529"/>
      <c r="AH2709" s="529"/>
      <c r="AJ2709" s="595" t="b">
        <v>0</v>
      </c>
    </row>
    <row r="2710" spans="1:36" hidden="1" x14ac:dyDescent="0.45">
      <c r="A2710" s="518"/>
      <c r="B2710" s="514" t="s">
        <v>1420</v>
      </c>
      <c r="C2710" s="515"/>
      <c r="D2710" s="515"/>
      <c r="E2710" s="515"/>
      <c r="F2710" s="516"/>
      <c r="G2710" s="890" t="str">
        <f>IF(S1OORData!L18=0,"",LEFT(S1OORData!L18))</f>
        <v/>
      </c>
      <c r="H2710" s="891"/>
      <c r="I2710" s="886" t="str">
        <f>IF(S1OORData!X18=0,"",S1OORData!X18)</f>
        <v/>
      </c>
      <c r="J2710" s="887"/>
      <c r="K2710" s="886" t="str">
        <f>IF(S1OORData!Y18=0,"",S1OORData!Y18)</f>
        <v/>
      </c>
      <c r="L2710" s="887"/>
      <c r="M2710" s="886" t="str">
        <f>IF(S1OORData!Z18=0,"",S1OORData!Z18)</f>
        <v/>
      </c>
      <c r="N2710" s="887"/>
      <c r="O2710" s="886" t="str">
        <f>IF(S1OORData!AA18=0,"",S1OORData!AA18)</f>
        <v/>
      </c>
      <c r="P2710" s="1232"/>
      <c r="Q2710" s="868" t="str">
        <f>IF(S1OORData!AB18=0,"",S1OORData!AB18)</f>
        <v/>
      </c>
      <c r="R2710" s="869"/>
      <c r="S2710" s="869"/>
      <c r="T2710" s="870"/>
      <c r="U2710" s="868" t="str">
        <f>IF(S1OORData!AJ18=0,"",S1OORData!AJ18)</f>
        <v/>
      </c>
      <c r="V2710" s="869"/>
      <c r="W2710" s="869"/>
      <c r="X2710" s="870"/>
      <c r="Y2710" s="868">
        <f t="shared" si="49"/>
        <v>0</v>
      </c>
      <c r="Z2710" s="1232"/>
      <c r="AA2710" s="1232"/>
      <c r="AB2710" s="887"/>
      <c r="AC2710" s="866" t="str">
        <f>IF(S1OORData!AC18=0,"",S1OORData!AC18)</f>
        <v/>
      </c>
      <c r="AD2710" s="900"/>
      <c r="AE2710" s="900"/>
      <c r="AF2710" s="867"/>
      <c r="AG2710" s="529"/>
      <c r="AH2710" s="529"/>
      <c r="AJ2710" s="595" t="b">
        <v>0</v>
      </c>
    </row>
    <row r="2711" spans="1:36" hidden="1" x14ac:dyDescent="0.45">
      <c r="A2711" s="518"/>
      <c r="B2711" s="514" t="s">
        <v>1421</v>
      </c>
      <c r="C2711" s="515"/>
      <c r="D2711" s="515"/>
      <c r="E2711" s="515"/>
      <c r="F2711" s="516"/>
      <c r="G2711" s="890" t="str">
        <f>IF(S1OORData!L19=0,"",LEFT(S1OORData!L19))</f>
        <v/>
      </c>
      <c r="H2711" s="891"/>
      <c r="I2711" s="886" t="str">
        <f>IF(S1OORData!X19=0,"",S1OORData!X19)</f>
        <v/>
      </c>
      <c r="J2711" s="887"/>
      <c r="K2711" s="886" t="str">
        <f>IF(S1OORData!Y19=0,"",S1OORData!Y19)</f>
        <v/>
      </c>
      <c r="L2711" s="887"/>
      <c r="M2711" s="886" t="str">
        <f>IF(S1OORData!Z19=0,"",S1OORData!Z19)</f>
        <v/>
      </c>
      <c r="N2711" s="887"/>
      <c r="O2711" s="886" t="str">
        <f>IF(S1OORData!AA19=0,"",S1OORData!AA19)</f>
        <v/>
      </c>
      <c r="P2711" s="1232"/>
      <c r="Q2711" s="868" t="str">
        <f>IF(S1OORData!AB19=0,"",S1OORData!AB19)</f>
        <v/>
      </c>
      <c r="R2711" s="869"/>
      <c r="S2711" s="869"/>
      <c r="T2711" s="870"/>
      <c r="U2711" s="868" t="str">
        <f>IF(S1OORData!AJ19=0,"",S1OORData!AJ19)</f>
        <v/>
      </c>
      <c r="V2711" s="869"/>
      <c r="W2711" s="869"/>
      <c r="X2711" s="870"/>
      <c r="Y2711" s="868">
        <f t="shared" si="49"/>
        <v>0</v>
      </c>
      <c r="Z2711" s="1232"/>
      <c r="AA2711" s="1232"/>
      <c r="AB2711" s="887"/>
      <c r="AC2711" s="866" t="str">
        <f>IF(S1OORData!AC19=0,"",S1OORData!AC19)</f>
        <v/>
      </c>
      <c r="AD2711" s="900"/>
      <c r="AE2711" s="900"/>
      <c r="AF2711" s="867"/>
      <c r="AG2711" s="529"/>
      <c r="AH2711" s="529"/>
      <c r="AJ2711" s="595" t="b">
        <v>0</v>
      </c>
    </row>
    <row r="2712" spans="1:36" hidden="1" x14ac:dyDescent="0.45">
      <c r="A2712" s="518"/>
      <c r="B2712" s="514" t="s">
        <v>1422</v>
      </c>
      <c r="C2712" s="515"/>
      <c r="D2712" s="515"/>
      <c r="E2712" s="515"/>
      <c r="F2712" s="516"/>
      <c r="G2712" s="890" t="str">
        <f>IF(S1OORData!L20=0,"",LEFT(S1OORData!L20))</f>
        <v/>
      </c>
      <c r="H2712" s="891"/>
      <c r="I2712" s="886" t="str">
        <f>IF(S1OORData!X20=0,"",S1OORData!X20)</f>
        <v/>
      </c>
      <c r="J2712" s="887"/>
      <c r="K2712" s="886" t="str">
        <f>IF(S1OORData!Y20=0,"",S1OORData!Y20)</f>
        <v/>
      </c>
      <c r="L2712" s="887"/>
      <c r="M2712" s="886" t="str">
        <f>IF(S1OORData!Z20=0,"",S1OORData!Z20)</f>
        <v/>
      </c>
      <c r="N2712" s="887"/>
      <c r="O2712" s="886" t="str">
        <f>IF(S1OORData!AA20=0,"",S1OORData!AA20)</f>
        <v/>
      </c>
      <c r="P2712" s="1232"/>
      <c r="Q2712" s="868" t="str">
        <f>IF(S1OORData!AB20=0,"",S1OORData!AB20)</f>
        <v/>
      </c>
      <c r="R2712" s="869"/>
      <c r="S2712" s="869"/>
      <c r="T2712" s="870"/>
      <c r="U2712" s="868" t="str">
        <f>IF(S1OORData!AJ20=0,"",S1OORData!AJ20)</f>
        <v/>
      </c>
      <c r="V2712" s="869"/>
      <c r="W2712" s="869"/>
      <c r="X2712" s="870"/>
      <c r="Y2712" s="868">
        <f t="shared" si="49"/>
        <v>0</v>
      </c>
      <c r="Z2712" s="1232"/>
      <c r="AA2712" s="1232"/>
      <c r="AB2712" s="887"/>
      <c r="AC2712" s="866" t="str">
        <f>IF(S1OORData!AC20=0,"",S1OORData!AC20)</f>
        <v/>
      </c>
      <c r="AD2712" s="900"/>
      <c r="AE2712" s="900"/>
      <c r="AF2712" s="867"/>
      <c r="AG2712" s="529"/>
      <c r="AH2712" s="529"/>
      <c r="AJ2712" s="595" t="b">
        <v>0</v>
      </c>
    </row>
    <row r="2713" spans="1:36" hidden="1" x14ac:dyDescent="0.45">
      <c r="A2713" s="518"/>
      <c r="B2713" s="514" t="s">
        <v>1423</v>
      </c>
      <c r="C2713" s="515"/>
      <c r="D2713" s="515"/>
      <c r="E2713" s="515"/>
      <c r="F2713" s="516"/>
      <c r="G2713" s="890" t="str">
        <f>IF(S1OORData!L21=0,"",LEFT(S1OORData!L21))</f>
        <v/>
      </c>
      <c r="H2713" s="891"/>
      <c r="I2713" s="886" t="str">
        <f>IF(S1OORData!X21=0,"",S1OORData!X21)</f>
        <v/>
      </c>
      <c r="J2713" s="887"/>
      <c r="K2713" s="886" t="str">
        <f>IF(S1OORData!Y21=0,"",S1OORData!Y21)</f>
        <v/>
      </c>
      <c r="L2713" s="887"/>
      <c r="M2713" s="886" t="str">
        <f>IF(S1OORData!Z21=0,"",S1OORData!Z21)</f>
        <v/>
      </c>
      <c r="N2713" s="887"/>
      <c r="O2713" s="886" t="str">
        <f>IF(S1OORData!AA21=0,"",S1OORData!AA21)</f>
        <v/>
      </c>
      <c r="P2713" s="1232"/>
      <c r="Q2713" s="868" t="str">
        <f>IF(S1OORData!AB21=0,"",S1OORData!AB21)</f>
        <v/>
      </c>
      <c r="R2713" s="869"/>
      <c r="S2713" s="869"/>
      <c r="T2713" s="870"/>
      <c r="U2713" s="868" t="str">
        <f>IF(S1OORData!AJ21=0,"",S1OORData!AJ21)</f>
        <v/>
      </c>
      <c r="V2713" s="869"/>
      <c r="W2713" s="869"/>
      <c r="X2713" s="870"/>
      <c r="Y2713" s="868">
        <f t="shared" si="49"/>
        <v>0</v>
      </c>
      <c r="Z2713" s="1232"/>
      <c r="AA2713" s="1232"/>
      <c r="AB2713" s="887"/>
      <c r="AC2713" s="866" t="str">
        <f>IF(S1OORData!AC21=0,"",S1OORData!AC21)</f>
        <v/>
      </c>
      <c r="AD2713" s="900"/>
      <c r="AE2713" s="900"/>
      <c r="AF2713" s="867"/>
      <c r="AG2713" s="529"/>
      <c r="AH2713" s="529"/>
      <c r="AJ2713" s="595" t="b">
        <v>0</v>
      </c>
    </row>
    <row r="2714" spans="1:36" hidden="1" x14ac:dyDescent="0.45">
      <c r="A2714" s="518"/>
      <c r="B2714" s="514" t="s">
        <v>1424</v>
      </c>
      <c r="C2714" s="515"/>
      <c r="D2714" s="515"/>
      <c r="E2714" s="515"/>
      <c r="F2714" s="516"/>
      <c r="G2714" s="890" t="str">
        <f>IF(S1OORData!L22=0,"",LEFT(S1OORData!L22))</f>
        <v/>
      </c>
      <c r="H2714" s="891"/>
      <c r="I2714" s="886" t="str">
        <f>IF(S1OORData!X22=0,"",S1OORData!X22)</f>
        <v/>
      </c>
      <c r="J2714" s="887"/>
      <c r="K2714" s="886" t="str">
        <f>IF(S1OORData!Y22=0,"",S1OORData!Y22)</f>
        <v/>
      </c>
      <c r="L2714" s="887"/>
      <c r="M2714" s="886" t="str">
        <f>IF(S1OORData!Z22=0,"",S1OORData!Z22)</f>
        <v/>
      </c>
      <c r="N2714" s="887"/>
      <c r="O2714" s="886" t="str">
        <f>IF(S1OORData!AA22=0,"",S1OORData!AA22)</f>
        <v/>
      </c>
      <c r="P2714" s="1232"/>
      <c r="Q2714" s="868" t="str">
        <f>IF(S1OORData!AB22=0,"",S1OORData!AB22)</f>
        <v/>
      </c>
      <c r="R2714" s="869"/>
      <c r="S2714" s="869"/>
      <c r="T2714" s="870"/>
      <c r="U2714" s="868" t="str">
        <f>IF(S1OORData!AJ22=0,"",S1OORData!AJ22)</f>
        <v/>
      </c>
      <c r="V2714" s="869"/>
      <c r="W2714" s="869"/>
      <c r="X2714" s="870"/>
      <c r="Y2714" s="868">
        <f t="shared" si="49"/>
        <v>0</v>
      </c>
      <c r="Z2714" s="1232"/>
      <c r="AA2714" s="1232"/>
      <c r="AB2714" s="887"/>
      <c r="AC2714" s="866" t="str">
        <f>IF(S1OORData!AC22=0,"",S1OORData!AC22)</f>
        <v/>
      </c>
      <c r="AD2714" s="900"/>
      <c r="AE2714" s="900"/>
      <c r="AF2714" s="867"/>
      <c r="AG2714" s="529"/>
      <c r="AH2714" s="529"/>
      <c r="AJ2714" s="595" t="b">
        <v>0</v>
      </c>
    </row>
    <row r="2715" spans="1:36" hidden="1" x14ac:dyDescent="0.45">
      <c r="A2715" s="518"/>
      <c r="B2715" s="514" t="s">
        <v>1425</v>
      </c>
      <c r="C2715" s="515"/>
      <c r="D2715" s="515"/>
      <c r="E2715" s="515"/>
      <c r="F2715" s="516"/>
      <c r="G2715" s="890" t="str">
        <f>IF(S1OORData!L23=0,"",LEFT(S1OORData!L23))</f>
        <v/>
      </c>
      <c r="H2715" s="891"/>
      <c r="I2715" s="886" t="str">
        <f>IF(S1OORData!X23=0,"",S1OORData!X23)</f>
        <v/>
      </c>
      <c r="J2715" s="887"/>
      <c r="K2715" s="886" t="str">
        <f>IF(S1OORData!Y23=0,"",S1OORData!Y23)</f>
        <v/>
      </c>
      <c r="L2715" s="887"/>
      <c r="M2715" s="886" t="str">
        <f>IF(S1OORData!Z23=0,"",S1OORData!Z23)</f>
        <v/>
      </c>
      <c r="N2715" s="887"/>
      <c r="O2715" s="886" t="str">
        <f>IF(S1OORData!AA23=0,"",S1OORData!AA23)</f>
        <v/>
      </c>
      <c r="P2715" s="1232"/>
      <c r="Q2715" s="868" t="str">
        <f>IF(S1OORData!AB23=0,"",S1OORData!AB23)</f>
        <v/>
      </c>
      <c r="R2715" s="869"/>
      <c r="S2715" s="869"/>
      <c r="T2715" s="870"/>
      <c r="U2715" s="868" t="str">
        <f>IF(S1OORData!AJ23=0,"",S1OORData!AJ23)</f>
        <v/>
      </c>
      <c r="V2715" s="869"/>
      <c r="W2715" s="869"/>
      <c r="X2715" s="870"/>
      <c r="Y2715" s="868">
        <f t="shared" si="49"/>
        <v>0</v>
      </c>
      <c r="Z2715" s="1232"/>
      <c r="AA2715" s="1232"/>
      <c r="AB2715" s="887"/>
      <c r="AC2715" s="866" t="str">
        <f>IF(S1OORData!AC23=0,"",S1OORData!AC23)</f>
        <v/>
      </c>
      <c r="AD2715" s="900"/>
      <c r="AE2715" s="900"/>
      <c r="AF2715" s="867"/>
      <c r="AG2715" s="529"/>
      <c r="AH2715" s="529"/>
      <c r="AJ2715" s="595" t="b">
        <v>0</v>
      </c>
    </row>
    <row r="2716" spans="1:36" hidden="1" x14ac:dyDescent="0.45">
      <c r="A2716" s="518"/>
      <c r="B2716" s="514" t="s">
        <v>1426</v>
      </c>
      <c r="C2716" s="515"/>
      <c r="D2716" s="515"/>
      <c r="E2716" s="515"/>
      <c r="F2716" s="516"/>
      <c r="G2716" s="890" t="str">
        <f>IF(S1OORData!L24=0,"",LEFT(S1OORData!L24))</f>
        <v/>
      </c>
      <c r="H2716" s="891"/>
      <c r="I2716" s="886" t="str">
        <f>IF(S1OORData!X24=0,"",S1OORData!X24)</f>
        <v/>
      </c>
      <c r="J2716" s="887"/>
      <c r="K2716" s="886" t="str">
        <f>IF(S1OORData!Y24=0,"",S1OORData!Y24)</f>
        <v/>
      </c>
      <c r="L2716" s="887"/>
      <c r="M2716" s="886" t="str">
        <f>IF(S1OORData!Z24=0,"",S1OORData!Z24)</f>
        <v/>
      </c>
      <c r="N2716" s="887"/>
      <c r="O2716" s="886" t="str">
        <f>IF(S1OORData!AA24=0,"",S1OORData!AA24)</f>
        <v/>
      </c>
      <c r="P2716" s="1232"/>
      <c r="Q2716" s="868" t="str">
        <f>IF(S1OORData!AB24=0,"",S1OORData!AB24)</f>
        <v/>
      </c>
      <c r="R2716" s="869"/>
      <c r="S2716" s="869"/>
      <c r="T2716" s="870"/>
      <c r="U2716" s="868" t="str">
        <f>IF(S1OORData!AJ24=0,"",S1OORData!AJ24)</f>
        <v/>
      </c>
      <c r="V2716" s="869"/>
      <c r="W2716" s="869"/>
      <c r="X2716" s="870"/>
      <c r="Y2716" s="868">
        <f t="shared" si="49"/>
        <v>0</v>
      </c>
      <c r="Z2716" s="1232"/>
      <c r="AA2716" s="1232"/>
      <c r="AB2716" s="887"/>
      <c r="AC2716" s="866" t="str">
        <f>IF(S1OORData!AC24=0,"",S1OORData!AC24)</f>
        <v/>
      </c>
      <c r="AD2716" s="900"/>
      <c r="AE2716" s="900"/>
      <c r="AF2716" s="867"/>
      <c r="AG2716" s="529"/>
      <c r="AH2716" s="529"/>
      <c r="AJ2716" s="595" t="b">
        <v>0</v>
      </c>
    </row>
    <row r="2717" spans="1:36" hidden="1" x14ac:dyDescent="0.45">
      <c r="A2717" s="518"/>
      <c r="B2717" s="514" t="s">
        <v>1427</v>
      </c>
      <c r="C2717" s="515"/>
      <c r="D2717" s="515"/>
      <c r="E2717" s="515"/>
      <c r="F2717" s="516"/>
      <c r="G2717" s="890" t="str">
        <f>IF(S1OORData!L25=0,"",LEFT(S1OORData!L25))</f>
        <v/>
      </c>
      <c r="H2717" s="891"/>
      <c r="I2717" s="886" t="str">
        <f>IF(S1OORData!X25=0,"",S1OORData!X25)</f>
        <v/>
      </c>
      <c r="J2717" s="887"/>
      <c r="K2717" s="886" t="str">
        <f>IF(S1OORData!Y25=0,"",S1OORData!Y25)</f>
        <v/>
      </c>
      <c r="L2717" s="887"/>
      <c r="M2717" s="886" t="str">
        <f>IF(S1OORData!Z25=0,"",S1OORData!Z25)</f>
        <v/>
      </c>
      <c r="N2717" s="887"/>
      <c r="O2717" s="886" t="str">
        <f>IF(S1OORData!AA25=0,"",S1OORData!AA25)</f>
        <v/>
      </c>
      <c r="P2717" s="1232"/>
      <c r="Q2717" s="868" t="str">
        <f>IF(S1OORData!AB25=0,"",S1OORData!AB25)</f>
        <v/>
      </c>
      <c r="R2717" s="869"/>
      <c r="S2717" s="869"/>
      <c r="T2717" s="870"/>
      <c r="U2717" s="868" t="str">
        <f>IF(S1OORData!AJ25=0,"",S1OORData!AJ25)</f>
        <v/>
      </c>
      <c r="V2717" s="869"/>
      <c r="W2717" s="869"/>
      <c r="X2717" s="870"/>
      <c r="Y2717" s="868">
        <f t="shared" si="49"/>
        <v>0</v>
      </c>
      <c r="Z2717" s="1232"/>
      <c r="AA2717" s="1232"/>
      <c r="AB2717" s="887"/>
      <c r="AC2717" s="866" t="str">
        <f>IF(S1OORData!AC25=0,"",S1OORData!AC25)</f>
        <v/>
      </c>
      <c r="AD2717" s="900"/>
      <c r="AE2717" s="900"/>
      <c r="AF2717" s="867"/>
      <c r="AG2717" s="529"/>
      <c r="AH2717" s="529"/>
      <c r="AJ2717" s="595" t="b">
        <v>0</v>
      </c>
    </row>
    <row r="2718" spans="1:36" hidden="1" x14ac:dyDescent="0.45">
      <c r="A2718" s="518"/>
      <c r="B2718" s="514" t="s">
        <v>1428</v>
      </c>
      <c r="C2718" s="515"/>
      <c r="D2718" s="515"/>
      <c r="E2718" s="515"/>
      <c r="F2718" s="516"/>
      <c r="G2718" s="890" t="str">
        <f>IF(S1OORData!L26=0,"",LEFT(S1OORData!L26))</f>
        <v/>
      </c>
      <c r="H2718" s="891"/>
      <c r="I2718" s="886" t="str">
        <f>IF(S1OORData!X26=0,"",S1OORData!X26)</f>
        <v/>
      </c>
      <c r="J2718" s="887"/>
      <c r="K2718" s="886" t="str">
        <f>IF(S1OORData!Y26=0,"",S1OORData!Y26)</f>
        <v/>
      </c>
      <c r="L2718" s="887"/>
      <c r="M2718" s="886" t="str">
        <f>IF(S1OORData!Z26=0,"",S1OORData!Z26)</f>
        <v/>
      </c>
      <c r="N2718" s="887"/>
      <c r="O2718" s="886" t="str">
        <f>IF(S1OORData!AA26=0,"",S1OORData!AA26)</f>
        <v/>
      </c>
      <c r="P2718" s="1232"/>
      <c r="Q2718" s="868" t="str">
        <f>IF(S1OORData!AB26=0,"",S1OORData!AB26)</f>
        <v/>
      </c>
      <c r="R2718" s="869"/>
      <c r="S2718" s="869"/>
      <c r="T2718" s="870"/>
      <c r="U2718" s="868" t="str">
        <f>IF(S1OORData!AJ26=0,"",S1OORData!AJ26)</f>
        <v/>
      </c>
      <c r="V2718" s="869"/>
      <c r="W2718" s="869"/>
      <c r="X2718" s="870"/>
      <c r="Y2718" s="868">
        <f t="shared" si="49"/>
        <v>0</v>
      </c>
      <c r="Z2718" s="1232"/>
      <c r="AA2718" s="1232"/>
      <c r="AB2718" s="887"/>
      <c r="AC2718" s="866" t="str">
        <f>IF(S1OORData!AC26=0,"",S1OORData!AC26)</f>
        <v/>
      </c>
      <c r="AD2718" s="900"/>
      <c r="AE2718" s="900"/>
      <c r="AF2718" s="867"/>
      <c r="AG2718" s="529"/>
      <c r="AH2718" s="529"/>
      <c r="AJ2718" s="595" t="b">
        <v>0</v>
      </c>
    </row>
    <row r="2719" spans="1:36" hidden="1" x14ac:dyDescent="0.45">
      <c r="A2719" s="518"/>
      <c r="B2719" s="514" t="s">
        <v>1429</v>
      </c>
      <c r="C2719" s="515"/>
      <c r="D2719" s="515"/>
      <c r="E2719" s="515"/>
      <c r="F2719" s="516"/>
      <c r="G2719" s="890" t="str">
        <f>IF(S1OORData!L27=0,"",LEFT(S1OORData!L27))</f>
        <v/>
      </c>
      <c r="H2719" s="891"/>
      <c r="I2719" s="886" t="str">
        <f>IF(S1OORData!X27=0,"",S1OORData!X27)</f>
        <v/>
      </c>
      <c r="J2719" s="887"/>
      <c r="K2719" s="886" t="str">
        <f>IF(S1OORData!Y27=0,"",S1OORData!Y27)</f>
        <v/>
      </c>
      <c r="L2719" s="887"/>
      <c r="M2719" s="886" t="str">
        <f>IF(S1OORData!Z27=0,"",S1OORData!Z27)</f>
        <v/>
      </c>
      <c r="N2719" s="887"/>
      <c r="O2719" s="886" t="str">
        <f>IF(S1OORData!AA27=0,"",S1OORData!AA27)</f>
        <v/>
      </c>
      <c r="P2719" s="1232"/>
      <c r="Q2719" s="868" t="str">
        <f>IF(S1OORData!AB27=0,"",S1OORData!AB27)</f>
        <v/>
      </c>
      <c r="R2719" s="869"/>
      <c r="S2719" s="869"/>
      <c r="T2719" s="870"/>
      <c r="U2719" s="868" t="str">
        <f>IF(S1OORData!AJ27=0,"",S1OORData!AJ27)</f>
        <v/>
      </c>
      <c r="V2719" s="869"/>
      <c r="W2719" s="869"/>
      <c r="X2719" s="870"/>
      <c r="Y2719" s="868">
        <f t="shared" si="49"/>
        <v>0</v>
      </c>
      <c r="Z2719" s="1232"/>
      <c r="AA2719" s="1232"/>
      <c r="AB2719" s="887"/>
      <c r="AC2719" s="866" t="str">
        <f>IF(S1OORData!AC27=0,"",S1OORData!AC27)</f>
        <v/>
      </c>
      <c r="AD2719" s="900"/>
      <c r="AE2719" s="900"/>
      <c r="AF2719" s="867"/>
      <c r="AG2719" s="529"/>
      <c r="AH2719" s="529"/>
      <c r="AJ2719" s="595" t="b">
        <v>0</v>
      </c>
    </row>
    <row r="2720" spans="1:36" hidden="1" x14ac:dyDescent="0.45">
      <c r="A2720" s="518"/>
      <c r="B2720" s="514" t="s">
        <v>1430</v>
      </c>
      <c r="C2720" s="515"/>
      <c r="D2720" s="515"/>
      <c r="E2720" s="515"/>
      <c r="F2720" s="516"/>
      <c r="G2720" s="890" t="str">
        <f>IF(S1OORData!L28=0,"",LEFT(S1OORData!L28))</f>
        <v/>
      </c>
      <c r="H2720" s="891"/>
      <c r="I2720" s="886" t="str">
        <f>IF(S1OORData!X28=0,"",S1OORData!X28)</f>
        <v/>
      </c>
      <c r="J2720" s="887"/>
      <c r="K2720" s="886" t="str">
        <f>IF(S1OORData!Y28=0,"",S1OORData!Y28)</f>
        <v/>
      </c>
      <c r="L2720" s="887"/>
      <c r="M2720" s="886" t="str">
        <f>IF(S1OORData!Z28=0,"",S1OORData!Z28)</f>
        <v/>
      </c>
      <c r="N2720" s="887"/>
      <c r="O2720" s="886" t="str">
        <f>IF(S1OORData!AA28=0,"",S1OORData!AA28)</f>
        <v/>
      </c>
      <c r="P2720" s="1232"/>
      <c r="Q2720" s="868" t="str">
        <f>IF(S1OORData!AB28=0,"",S1OORData!AB28)</f>
        <v/>
      </c>
      <c r="R2720" s="869"/>
      <c r="S2720" s="869"/>
      <c r="T2720" s="870"/>
      <c r="U2720" s="868" t="str">
        <f>IF(S1OORData!AJ28=0,"",S1OORData!AJ28)</f>
        <v/>
      </c>
      <c r="V2720" s="869"/>
      <c r="W2720" s="869"/>
      <c r="X2720" s="870"/>
      <c r="Y2720" s="868">
        <f t="shared" si="49"/>
        <v>0</v>
      </c>
      <c r="Z2720" s="1232"/>
      <c r="AA2720" s="1232"/>
      <c r="AB2720" s="887"/>
      <c r="AC2720" s="866" t="str">
        <f>IF(S1OORData!AC28=0,"",S1OORData!AC28)</f>
        <v/>
      </c>
      <c r="AD2720" s="900"/>
      <c r="AE2720" s="900"/>
      <c r="AF2720" s="867"/>
      <c r="AG2720" s="529"/>
      <c r="AH2720" s="529"/>
      <c r="AJ2720" s="595" t="b">
        <v>0</v>
      </c>
    </row>
    <row r="2721" spans="1:36" hidden="1" x14ac:dyDescent="0.45">
      <c r="A2721" s="518"/>
      <c r="B2721" s="514" t="s">
        <v>1431</v>
      </c>
      <c r="C2721" s="515"/>
      <c r="D2721" s="515"/>
      <c r="E2721" s="515"/>
      <c r="F2721" s="516"/>
      <c r="G2721" s="890" t="str">
        <f>IF(S1OORData!L29=0,"",LEFT(S1OORData!L29))</f>
        <v/>
      </c>
      <c r="H2721" s="891"/>
      <c r="I2721" s="886" t="str">
        <f>IF(S1OORData!X29=0,"",S1OORData!X29)</f>
        <v/>
      </c>
      <c r="J2721" s="887"/>
      <c r="K2721" s="886" t="str">
        <f>IF(S1OORData!Y29=0,"",S1OORData!Y29)</f>
        <v/>
      </c>
      <c r="L2721" s="887"/>
      <c r="M2721" s="886" t="str">
        <f>IF(S1OORData!Z29=0,"",S1OORData!Z29)</f>
        <v/>
      </c>
      <c r="N2721" s="887"/>
      <c r="O2721" s="886" t="str">
        <f>IF(S1OORData!AA29=0,"",S1OORData!AA29)</f>
        <v/>
      </c>
      <c r="P2721" s="1232"/>
      <c r="Q2721" s="868" t="str">
        <f>IF(S1OORData!AB29=0,"",S1OORData!AB29)</f>
        <v/>
      </c>
      <c r="R2721" s="869"/>
      <c r="S2721" s="869"/>
      <c r="T2721" s="870"/>
      <c r="U2721" s="868" t="str">
        <f>IF(S1OORData!AJ29=0,"",S1OORData!AJ29)</f>
        <v/>
      </c>
      <c r="V2721" s="869"/>
      <c r="W2721" s="869"/>
      <c r="X2721" s="870"/>
      <c r="Y2721" s="868">
        <f t="shared" si="49"/>
        <v>0</v>
      </c>
      <c r="Z2721" s="1232"/>
      <c r="AA2721" s="1232"/>
      <c r="AB2721" s="887"/>
      <c r="AC2721" s="866" t="str">
        <f>IF(S1OORData!AC29=0,"",S1OORData!AC29)</f>
        <v/>
      </c>
      <c r="AD2721" s="900"/>
      <c r="AE2721" s="900"/>
      <c r="AF2721" s="867"/>
      <c r="AG2721" s="529"/>
      <c r="AH2721" s="529"/>
      <c r="AJ2721" s="595" t="b">
        <v>0</v>
      </c>
    </row>
    <row r="2722" spans="1:36" hidden="1" x14ac:dyDescent="0.45">
      <c r="A2722" s="518"/>
      <c r="B2722" s="514" t="s">
        <v>1432</v>
      </c>
      <c r="C2722" s="515"/>
      <c r="D2722" s="515"/>
      <c r="E2722" s="515"/>
      <c r="F2722" s="516"/>
      <c r="G2722" s="890" t="str">
        <f>IF(S1OORData!L30=0,"",LEFT(S1OORData!L30))</f>
        <v/>
      </c>
      <c r="H2722" s="891"/>
      <c r="I2722" s="886" t="str">
        <f>IF(S1OORData!X30=0,"",S1OORData!X30)</f>
        <v/>
      </c>
      <c r="J2722" s="887"/>
      <c r="K2722" s="886" t="str">
        <f>IF(S1OORData!Y30=0,"",S1OORData!Y30)</f>
        <v/>
      </c>
      <c r="L2722" s="887"/>
      <c r="M2722" s="886" t="str">
        <f>IF(S1OORData!Z30=0,"",S1OORData!Z30)</f>
        <v/>
      </c>
      <c r="N2722" s="887"/>
      <c r="O2722" s="886" t="str">
        <f>IF(S1OORData!AA30=0,"",S1OORData!AA30)</f>
        <v/>
      </c>
      <c r="P2722" s="1232"/>
      <c r="Q2722" s="868" t="str">
        <f>IF(S1OORData!AB30=0,"",S1OORData!AB30)</f>
        <v/>
      </c>
      <c r="R2722" s="869"/>
      <c r="S2722" s="869"/>
      <c r="T2722" s="870"/>
      <c r="U2722" s="868" t="str">
        <f>IF(S1OORData!AJ30=0,"",S1OORData!AJ30)</f>
        <v/>
      </c>
      <c r="V2722" s="869"/>
      <c r="W2722" s="869"/>
      <c r="X2722" s="870"/>
      <c r="Y2722" s="868">
        <f t="shared" si="49"/>
        <v>0</v>
      </c>
      <c r="Z2722" s="1232"/>
      <c r="AA2722" s="1232"/>
      <c r="AB2722" s="887"/>
      <c r="AC2722" s="866" t="str">
        <f>IF(S1OORData!AC30=0,"",S1OORData!AC30)</f>
        <v/>
      </c>
      <c r="AD2722" s="900"/>
      <c r="AE2722" s="900"/>
      <c r="AF2722" s="867"/>
      <c r="AG2722" s="529"/>
      <c r="AH2722" s="529"/>
      <c r="AJ2722" s="595" t="b">
        <v>0</v>
      </c>
    </row>
    <row r="2723" spans="1:36" hidden="1" x14ac:dyDescent="0.45">
      <c r="A2723" s="518"/>
      <c r="B2723" s="514" t="s">
        <v>1433</v>
      </c>
      <c r="C2723" s="515"/>
      <c r="D2723" s="515"/>
      <c r="E2723" s="515"/>
      <c r="F2723" s="516"/>
      <c r="G2723" s="890" t="str">
        <f>IF(S1OORData!L31=0,"",LEFT(S1OORData!L31))</f>
        <v/>
      </c>
      <c r="H2723" s="891"/>
      <c r="I2723" s="886" t="str">
        <f>IF(S1OORData!X31=0,"",S1OORData!X31)</f>
        <v/>
      </c>
      <c r="J2723" s="887"/>
      <c r="K2723" s="886" t="str">
        <f>IF(S1OORData!Y31=0,"",S1OORData!Y31)</f>
        <v/>
      </c>
      <c r="L2723" s="887"/>
      <c r="M2723" s="886" t="str">
        <f>IF(S1OORData!Z31=0,"",S1OORData!Z31)</f>
        <v/>
      </c>
      <c r="N2723" s="887"/>
      <c r="O2723" s="886" t="str">
        <f>IF(S1OORData!AA31=0,"",S1OORData!AA31)</f>
        <v/>
      </c>
      <c r="P2723" s="1232"/>
      <c r="Q2723" s="868" t="str">
        <f>IF(S1OORData!AB31=0,"",S1OORData!AB31)</f>
        <v/>
      </c>
      <c r="R2723" s="869"/>
      <c r="S2723" s="869"/>
      <c r="T2723" s="870"/>
      <c r="U2723" s="868" t="str">
        <f>IF(S1OORData!AJ31=0,"",S1OORData!AJ31)</f>
        <v/>
      </c>
      <c r="V2723" s="869"/>
      <c r="W2723" s="869"/>
      <c r="X2723" s="870"/>
      <c r="Y2723" s="868">
        <f t="shared" si="49"/>
        <v>0</v>
      </c>
      <c r="Z2723" s="1232"/>
      <c r="AA2723" s="1232"/>
      <c r="AB2723" s="887"/>
      <c r="AC2723" s="866" t="str">
        <f>IF(S1OORData!AC31=0,"",S1OORData!AC31)</f>
        <v/>
      </c>
      <c r="AD2723" s="900"/>
      <c r="AE2723" s="900"/>
      <c r="AF2723" s="867"/>
      <c r="AG2723" s="529"/>
      <c r="AH2723" s="529"/>
      <c r="AJ2723" s="595" t="b">
        <v>0</v>
      </c>
    </row>
    <row r="2724" spans="1:36" hidden="1" x14ac:dyDescent="0.45">
      <c r="A2724" s="518"/>
      <c r="B2724" s="514" t="s">
        <v>1434</v>
      </c>
      <c r="C2724" s="515"/>
      <c r="D2724" s="515"/>
      <c r="E2724" s="515"/>
      <c r="F2724" s="516"/>
      <c r="G2724" s="890" t="str">
        <f>IF(S1OORData!L32=0,"",LEFT(S1OORData!L32))</f>
        <v/>
      </c>
      <c r="H2724" s="891"/>
      <c r="I2724" s="886" t="str">
        <f>IF(S1OORData!X32=0,"",S1OORData!X32)</f>
        <v/>
      </c>
      <c r="J2724" s="887"/>
      <c r="K2724" s="886" t="str">
        <f>IF(S1OORData!Y32=0,"",S1OORData!Y32)</f>
        <v/>
      </c>
      <c r="L2724" s="887"/>
      <c r="M2724" s="886" t="str">
        <f>IF(S1OORData!Z32=0,"",S1OORData!Z32)</f>
        <v/>
      </c>
      <c r="N2724" s="887"/>
      <c r="O2724" s="886" t="str">
        <f>IF(S1OORData!AA32=0,"",S1OORData!AA32)</f>
        <v/>
      </c>
      <c r="P2724" s="1232"/>
      <c r="Q2724" s="868" t="str">
        <f>IF(S1OORData!AB32=0,"",S1OORData!AB32)</f>
        <v/>
      </c>
      <c r="R2724" s="869"/>
      <c r="S2724" s="869"/>
      <c r="T2724" s="870"/>
      <c r="U2724" s="868" t="str">
        <f>IF(S1OORData!AJ32=0,"",S1OORData!AJ32)</f>
        <v/>
      </c>
      <c r="V2724" s="869"/>
      <c r="W2724" s="869"/>
      <c r="X2724" s="870"/>
      <c r="Y2724" s="868">
        <f t="shared" si="49"/>
        <v>0</v>
      </c>
      <c r="Z2724" s="1232"/>
      <c r="AA2724" s="1232"/>
      <c r="AB2724" s="887"/>
      <c r="AC2724" s="866" t="str">
        <f>IF(S1OORData!AC32=0,"",S1OORData!AC32)</f>
        <v/>
      </c>
      <c r="AD2724" s="900"/>
      <c r="AE2724" s="900"/>
      <c r="AF2724" s="867"/>
      <c r="AG2724" s="529"/>
      <c r="AH2724" s="529"/>
      <c r="AJ2724" s="595" t="b">
        <v>0</v>
      </c>
    </row>
    <row r="2725" spans="1:36" hidden="1" x14ac:dyDescent="0.45">
      <c r="A2725" s="518"/>
      <c r="B2725" s="514" t="s">
        <v>1435</v>
      </c>
      <c r="C2725" s="515"/>
      <c r="D2725" s="515"/>
      <c r="E2725" s="515"/>
      <c r="F2725" s="516"/>
      <c r="G2725" s="890" t="str">
        <f>IF(S1OORData!L33=0,"",LEFT(S1OORData!L33))</f>
        <v/>
      </c>
      <c r="H2725" s="891"/>
      <c r="I2725" s="886" t="str">
        <f>IF(S1OORData!X33=0,"",S1OORData!X33)</f>
        <v/>
      </c>
      <c r="J2725" s="887"/>
      <c r="K2725" s="886" t="str">
        <f>IF(S1OORData!Y33=0,"",S1OORData!Y33)</f>
        <v/>
      </c>
      <c r="L2725" s="887"/>
      <c r="M2725" s="886" t="str">
        <f>IF(S1OORData!Z33=0,"",S1OORData!Z33)</f>
        <v/>
      </c>
      <c r="N2725" s="887"/>
      <c r="O2725" s="886" t="str">
        <f>IF(S1OORData!AA33=0,"",S1OORData!AA33)</f>
        <v/>
      </c>
      <c r="P2725" s="1232"/>
      <c r="Q2725" s="868" t="str">
        <f>IF(S1OORData!AB33=0,"",S1OORData!AB33)</f>
        <v/>
      </c>
      <c r="R2725" s="869"/>
      <c r="S2725" s="869"/>
      <c r="T2725" s="870"/>
      <c r="U2725" s="868" t="str">
        <f>IF(S1OORData!AJ33=0,"",S1OORData!AJ33)</f>
        <v/>
      </c>
      <c r="V2725" s="869"/>
      <c r="W2725" s="869"/>
      <c r="X2725" s="870"/>
      <c r="Y2725" s="868">
        <f t="shared" si="49"/>
        <v>0</v>
      </c>
      <c r="Z2725" s="1232"/>
      <c r="AA2725" s="1232"/>
      <c r="AB2725" s="887"/>
      <c r="AC2725" s="866" t="str">
        <f>IF(S1OORData!AC33=0,"",S1OORData!AC33)</f>
        <v/>
      </c>
      <c r="AD2725" s="900"/>
      <c r="AE2725" s="900"/>
      <c r="AF2725" s="867"/>
      <c r="AG2725" s="529"/>
      <c r="AH2725" s="529"/>
      <c r="AJ2725" s="595" t="b">
        <v>0</v>
      </c>
    </row>
    <row r="2726" spans="1:36" hidden="1" x14ac:dyDescent="0.45">
      <c r="A2726" s="518"/>
      <c r="B2726" s="514" t="s">
        <v>1436</v>
      </c>
      <c r="C2726" s="515"/>
      <c r="D2726" s="515"/>
      <c r="E2726" s="515"/>
      <c r="F2726" s="516"/>
      <c r="G2726" s="890" t="str">
        <f>IF(S1OORData!L34=0,"",LEFT(S1OORData!L34))</f>
        <v/>
      </c>
      <c r="H2726" s="891"/>
      <c r="I2726" s="886" t="str">
        <f>IF(S1OORData!X34=0,"",S1OORData!X34)</f>
        <v/>
      </c>
      <c r="J2726" s="887"/>
      <c r="K2726" s="886" t="str">
        <f>IF(S1OORData!Y34=0,"",S1OORData!Y34)</f>
        <v/>
      </c>
      <c r="L2726" s="887"/>
      <c r="M2726" s="886" t="str">
        <f>IF(S1OORData!Z34=0,"",S1OORData!Z34)</f>
        <v/>
      </c>
      <c r="N2726" s="887"/>
      <c r="O2726" s="886" t="str">
        <f>IF(S1OORData!AA34=0,"",S1OORData!AA34)</f>
        <v/>
      </c>
      <c r="P2726" s="1232"/>
      <c r="Q2726" s="868" t="str">
        <f>IF(S1OORData!AB34=0,"",S1OORData!AB34)</f>
        <v/>
      </c>
      <c r="R2726" s="869"/>
      <c r="S2726" s="869"/>
      <c r="T2726" s="870"/>
      <c r="U2726" s="868" t="str">
        <f>IF(S1OORData!AJ34=0,"",S1OORData!AJ34)</f>
        <v/>
      </c>
      <c r="V2726" s="869"/>
      <c r="W2726" s="869"/>
      <c r="X2726" s="870"/>
      <c r="Y2726" s="868">
        <f t="shared" si="49"/>
        <v>0</v>
      </c>
      <c r="Z2726" s="1232"/>
      <c r="AA2726" s="1232"/>
      <c r="AB2726" s="887"/>
      <c r="AC2726" s="866" t="str">
        <f>IF(S1OORData!AC34=0,"",S1OORData!AC34)</f>
        <v/>
      </c>
      <c r="AD2726" s="900"/>
      <c r="AE2726" s="900"/>
      <c r="AF2726" s="867"/>
      <c r="AG2726" s="529"/>
      <c r="AH2726" s="529"/>
      <c r="AJ2726" s="595" t="b">
        <v>0</v>
      </c>
    </row>
    <row r="2727" spans="1:36" hidden="1" x14ac:dyDescent="0.45">
      <c r="A2727" s="518"/>
      <c r="B2727" s="514" t="s">
        <v>1437</v>
      </c>
      <c r="C2727" s="515"/>
      <c r="D2727" s="515"/>
      <c r="E2727" s="515"/>
      <c r="F2727" s="516"/>
      <c r="G2727" s="890" t="str">
        <f>IF(S1OORData!L35=0,"",LEFT(S1OORData!L35))</f>
        <v/>
      </c>
      <c r="H2727" s="891"/>
      <c r="I2727" s="886" t="str">
        <f>IF(S1OORData!X35=0,"",S1OORData!X35)</f>
        <v/>
      </c>
      <c r="J2727" s="887"/>
      <c r="K2727" s="886" t="str">
        <f>IF(S1OORData!Y35=0,"",S1OORData!Y35)</f>
        <v/>
      </c>
      <c r="L2727" s="887"/>
      <c r="M2727" s="886" t="str">
        <f>IF(S1OORData!Z35=0,"",S1OORData!Z35)</f>
        <v/>
      </c>
      <c r="N2727" s="887"/>
      <c r="O2727" s="886" t="str">
        <f>IF(S1OORData!AA35=0,"",S1OORData!AA35)</f>
        <v/>
      </c>
      <c r="P2727" s="1232"/>
      <c r="Q2727" s="868" t="str">
        <f>IF(S1OORData!AB35=0,"",S1OORData!AB35)</f>
        <v/>
      </c>
      <c r="R2727" s="869"/>
      <c r="S2727" s="869"/>
      <c r="T2727" s="870"/>
      <c r="U2727" s="868" t="str">
        <f>IF(S1OORData!AJ35=0,"",S1OORData!AJ35)</f>
        <v/>
      </c>
      <c r="V2727" s="869"/>
      <c r="W2727" s="869"/>
      <c r="X2727" s="870"/>
      <c r="Y2727" s="868">
        <f t="shared" si="49"/>
        <v>0</v>
      </c>
      <c r="Z2727" s="1232"/>
      <c r="AA2727" s="1232"/>
      <c r="AB2727" s="887"/>
      <c r="AC2727" s="866" t="str">
        <f>IF(S1OORData!AC35=0,"",S1OORData!AC35)</f>
        <v/>
      </c>
      <c r="AD2727" s="900"/>
      <c r="AE2727" s="900"/>
      <c r="AF2727" s="867"/>
      <c r="AG2727" s="529"/>
      <c r="AH2727" s="529"/>
      <c r="AJ2727" s="595" t="b">
        <v>0</v>
      </c>
    </row>
    <row r="2728" spans="1:36" hidden="1" x14ac:dyDescent="0.45">
      <c r="A2728" s="518"/>
      <c r="B2728" s="514" t="s">
        <v>1438</v>
      </c>
      <c r="C2728" s="515"/>
      <c r="D2728" s="515"/>
      <c r="E2728" s="515"/>
      <c r="F2728" s="516"/>
      <c r="G2728" s="890" t="str">
        <f>IF(S1OORData!L36=0,"",LEFT(S1OORData!L36))</f>
        <v/>
      </c>
      <c r="H2728" s="891"/>
      <c r="I2728" s="886" t="str">
        <f>IF(S1OORData!X36=0,"",S1OORData!X36)</f>
        <v/>
      </c>
      <c r="J2728" s="887"/>
      <c r="K2728" s="886" t="str">
        <f>IF(S1OORData!Y36=0,"",S1OORData!Y36)</f>
        <v/>
      </c>
      <c r="L2728" s="887"/>
      <c r="M2728" s="886" t="str">
        <f>IF(S1OORData!Z36=0,"",S1OORData!Z36)</f>
        <v/>
      </c>
      <c r="N2728" s="887"/>
      <c r="O2728" s="886" t="str">
        <f>IF(S1OORData!AA36=0,"",S1OORData!AA36)</f>
        <v/>
      </c>
      <c r="P2728" s="1232"/>
      <c r="Q2728" s="868" t="str">
        <f>IF(S1OORData!AB36=0,"",S1OORData!AB36)</f>
        <v/>
      </c>
      <c r="R2728" s="869"/>
      <c r="S2728" s="869"/>
      <c r="T2728" s="870"/>
      <c r="U2728" s="868" t="str">
        <f>IF(S1OORData!AJ36=0,"",S1OORData!AJ36)</f>
        <v/>
      </c>
      <c r="V2728" s="869"/>
      <c r="W2728" s="869"/>
      <c r="X2728" s="870"/>
      <c r="Y2728" s="868">
        <f t="shared" si="49"/>
        <v>0</v>
      </c>
      <c r="Z2728" s="1232"/>
      <c r="AA2728" s="1232"/>
      <c r="AB2728" s="887"/>
      <c r="AC2728" s="866" t="str">
        <f>IF(S1OORData!AC36=0,"",S1OORData!AC36)</f>
        <v/>
      </c>
      <c r="AD2728" s="900"/>
      <c r="AE2728" s="900"/>
      <c r="AF2728" s="867"/>
      <c r="AG2728" s="529"/>
      <c r="AH2728" s="529"/>
      <c r="AJ2728" s="595" t="b">
        <v>0</v>
      </c>
    </row>
    <row r="2729" spans="1:36" hidden="1" x14ac:dyDescent="0.45">
      <c r="A2729" s="518"/>
      <c r="B2729" s="514" t="s">
        <v>1439</v>
      </c>
      <c r="C2729" s="515"/>
      <c r="D2729" s="515"/>
      <c r="E2729" s="515"/>
      <c r="F2729" s="516"/>
      <c r="G2729" s="890" t="str">
        <f>IF(S1OORData!L37=0,"",LEFT(S1OORData!L37))</f>
        <v/>
      </c>
      <c r="H2729" s="891"/>
      <c r="I2729" s="886" t="str">
        <f>IF(S1OORData!X37=0,"",S1OORData!X37)</f>
        <v/>
      </c>
      <c r="J2729" s="887"/>
      <c r="K2729" s="886" t="str">
        <f>IF(S1OORData!Y37=0,"",S1OORData!Y37)</f>
        <v/>
      </c>
      <c r="L2729" s="887"/>
      <c r="M2729" s="886" t="str">
        <f>IF(S1OORData!Z37=0,"",S1OORData!Z37)</f>
        <v/>
      </c>
      <c r="N2729" s="887"/>
      <c r="O2729" s="886" t="str">
        <f>IF(S1OORData!AA37=0,"",S1OORData!AA37)</f>
        <v/>
      </c>
      <c r="P2729" s="1232"/>
      <c r="Q2729" s="868" t="str">
        <f>IF(S1OORData!AB37=0,"",S1OORData!AB37)</f>
        <v/>
      </c>
      <c r="R2729" s="869"/>
      <c r="S2729" s="869"/>
      <c r="T2729" s="870"/>
      <c r="U2729" s="868" t="str">
        <f>IF(S1OORData!AJ37=0,"",S1OORData!AJ37)</f>
        <v/>
      </c>
      <c r="V2729" s="869"/>
      <c r="W2729" s="869"/>
      <c r="X2729" s="870"/>
      <c r="Y2729" s="868">
        <f t="shared" si="49"/>
        <v>0</v>
      </c>
      <c r="Z2729" s="1232"/>
      <c r="AA2729" s="1232"/>
      <c r="AB2729" s="887"/>
      <c r="AC2729" s="866" t="str">
        <f>IF(S1OORData!AC37=0,"",S1OORData!AC37)</f>
        <v/>
      </c>
      <c r="AD2729" s="900"/>
      <c r="AE2729" s="900"/>
      <c r="AF2729" s="867"/>
      <c r="AG2729" s="529"/>
      <c r="AH2729" s="529"/>
      <c r="AJ2729" s="595" t="b">
        <v>0</v>
      </c>
    </row>
    <row r="2730" spans="1:36" hidden="1" x14ac:dyDescent="0.45">
      <c r="A2730" s="518"/>
      <c r="B2730" s="514" t="s">
        <v>1440</v>
      </c>
      <c r="C2730" s="515"/>
      <c r="D2730" s="515"/>
      <c r="E2730" s="515"/>
      <c r="F2730" s="516"/>
      <c r="G2730" s="890" t="str">
        <f>IF(S1OORData!L38=0,"",LEFT(S1OORData!L38))</f>
        <v/>
      </c>
      <c r="H2730" s="891"/>
      <c r="I2730" s="886" t="str">
        <f>IF(S1OORData!X38=0,"",S1OORData!X38)</f>
        <v/>
      </c>
      <c r="J2730" s="887"/>
      <c r="K2730" s="886" t="str">
        <f>IF(S1OORData!Y38=0,"",S1OORData!Y38)</f>
        <v/>
      </c>
      <c r="L2730" s="887"/>
      <c r="M2730" s="886" t="str">
        <f>IF(S1OORData!Z38=0,"",S1OORData!Z38)</f>
        <v/>
      </c>
      <c r="N2730" s="887"/>
      <c r="O2730" s="886" t="str">
        <f>IF(S1OORData!AA38=0,"",S1OORData!AA38)</f>
        <v/>
      </c>
      <c r="P2730" s="1232"/>
      <c r="Q2730" s="868" t="str">
        <f>IF(S1OORData!AB38=0,"",S1OORData!AB38)</f>
        <v/>
      </c>
      <c r="R2730" s="869"/>
      <c r="S2730" s="869"/>
      <c r="T2730" s="870"/>
      <c r="U2730" s="868" t="str">
        <f>IF(S1OORData!AJ38=0,"",S1OORData!AJ38)</f>
        <v/>
      </c>
      <c r="V2730" s="869"/>
      <c r="W2730" s="869"/>
      <c r="X2730" s="870"/>
      <c r="Y2730" s="868">
        <f t="shared" si="49"/>
        <v>0</v>
      </c>
      <c r="Z2730" s="1232"/>
      <c r="AA2730" s="1232"/>
      <c r="AB2730" s="887"/>
      <c r="AC2730" s="866" t="str">
        <f>IF(S1OORData!AC38=0,"",S1OORData!AC38)</f>
        <v/>
      </c>
      <c r="AD2730" s="900"/>
      <c r="AE2730" s="900"/>
      <c r="AF2730" s="867"/>
      <c r="AG2730" s="529"/>
      <c r="AH2730" s="529"/>
      <c r="AJ2730" s="595" t="b">
        <v>0</v>
      </c>
    </row>
    <row r="2731" spans="1:36" hidden="1" x14ac:dyDescent="0.45">
      <c r="A2731" s="518"/>
      <c r="B2731" s="514" t="s">
        <v>1441</v>
      </c>
      <c r="C2731" s="515"/>
      <c r="D2731" s="515"/>
      <c r="E2731" s="515"/>
      <c r="F2731" s="516"/>
      <c r="G2731" s="890" t="str">
        <f>IF(S1OORData!L39=0,"",LEFT(S1OORData!L39))</f>
        <v/>
      </c>
      <c r="H2731" s="891"/>
      <c r="I2731" s="886" t="str">
        <f>IF(S1OORData!X39=0,"",S1OORData!X39)</f>
        <v/>
      </c>
      <c r="J2731" s="887"/>
      <c r="K2731" s="886" t="str">
        <f>IF(S1OORData!Y39=0,"",S1OORData!Y39)</f>
        <v/>
      </c>
      <c r="L2731" s="887"/>
      <c r="M2731" s="886" t="str">
        <f>IF(S1OORData!Z39=0,"",S1OORData!Z39)</f>
        <v/>
      </c>
      <c r="N2731" s="887"/>
      <c r="O2731" s="886" t="str">
        <f>IF(S1OORData!AA39=0,"",S1OORData!AA39)</f>
        <v/>
      </c>
      <c r="P2731" s="1232"/>
      <c r="Q2731" s="868" t="str">
        <f>IF(S1OORData!AB39=0,"",S1OORData!AB39)</f>
        <v/>
      </c>
      <c r="R2731" s="869"/>
      <c r="S2731" s="869"/>
      <c r="T2731" s="870"/>
      <c r="U2731" s="868" t="str">
        <f>IF(S1OORData!AJ39=0,"",S1OORData!AJ39)</f>
        <v/>
      </c>
      <c r="V2731" s="869"/>
      <c r="W2731" s="869"/>
      <c r="X2731" s="870"/>
      <c r="Y2731" s="868">
        <f t="shared" si="49"/>
        <v>0</v>
      </c>
      <c r="Z2731" s="1232"/>
      <c r="AA2731" s="1232"/>
      <c r="AB2731" s="887"/>
      <c r="AC2731" s="866" t="str">
        <f>IF(S1OORData!AC39=0,"",S1OORData!AC39)</f>
        <v/>
      </c>
      <c r="AD2731" s="900"/>
      <c r="AE2731" s="900"/>
      <c r="AF2731" s="867"/>
      <c r="AG2731" s="529"/>
      <c r="AH2731" s="529"/>
      <c r="AJ2731" s="595" t="b">
        <v>0</v>
      </c>
    </row>
    <row r="2732" spans="1:36" hidden="1" x14ac:dyDescent="0.45">
      <c r="A2732" s="518"/>
      <c r="B2732" s="514" t="s">
        <v>152</v>
      </c>
      <c r="C2732" s="515"/>
      <c r="D2732" s="515"/>
      <c r="E2732" s="515"/>
      <c r="F2732" s="516"/>
      <c r="G2732" s="890" t="str">
        <f>IF(S1OORData!L40=0,"",LEFT(S1OORData!L40))</f>
        <v/>
      </c>
      <c r="H2732" s="891"/>
      <c r="I2732" s="886" t="str">
        <f>IF(S1OORData!X40=0,"",S1OORData!X40)</f>
        <v/>
      </c>
      <c r="J2732" s="887"/>
      <c r="K2732" s="886" t="str">
        <f>IF(S1OORData!Y40=0,"",S1OORData!Y40)</f>
        <v/>
      </c>
      <c r="L2732" s="887"/>
      <c r="M2732" s="886" t="str">
        <f>IF(S1OORData!Z40=0,"",S1OORData!Z40)</f>
        <v/>
      </c>
      <c r="N2732" s="887"/>
      <c r="O2732" s="886" t="str">
        <f>IF(S1OORData!AA40=0,"",S1OORData!AA40)</f>
        <v/>
      </c>
      <c r="P2732" s="1232"/>
      <c r="Q2732" s="868" t="str">
        <f>IF(S1OORData!AB40=0,"",S1OORData!AB40)</f>
        <v/>
      </c>
      <c r="R2732" s="869"/>
      <c r="S2732" s="869"/>
      <c r="T2732" s="870"/>
      <c r="U2732" s="868" t="str">
        <f>IF(S1OORData!AJ40=0,"",S1OORData!AJ40)</f>
        <v/>
      </c>
      <c r="V2732" s="869"/>
      <c r="W2732" s="869"/>
      <c r="X2732" s="870"/>
      <c r="Y2732" s="868">
        <f t="shared" si="49"/>
        <v>0</v>
      </c>
      <c r="Z2732" s="1232"/>
      <c r="AA2732" s="1232"/>
      <c r="AB2732" s="887"/>
      <c r="AC2732" s="866" t="str">
        <f>IF(S1OORData!AC40=0,"",S1OORData!AC40)</f>
        <v/>
      </c>
      <c r="AD2732" s="900"/>
      <c r="AE2732" s="900"/>
      <c r="AF2732" s="867"/>
      <c r="AG2732" s="529"/>
      <c r="AH2732" s="529"/>
      <c r="AJ2732" s="595" t="b">
        <v>0</v>
      </c>
    </row>
    <row r="2733" spans="1:36" hidden="1" x14ac:dyDescent="0.45">
      <c r="A2733" s="518"/>
      <c r="B2733" s="514" t="s">
        <v>1442</v>
      </c>
      <c r="C2733" s="515"/>
      <c r="D2733" s="515"/>
      <c r="E2733" s="515"/>
      <c r="F2733" s="516"/>
      <c r="G2733" s="890" t="str">
        <f>IF(S1OORData!L41=0,"",LEFT(S1OORData!L41))</f>
        <v/>
      </c>
      <c r="H2733" s="891"/>
      <c r="I2733" s="886" t="str">
        <f>IF(S1OORData!X41=0,"",S1OORData!X41)</f>
        <v/>
      </c>
      <c r="J2733" s="887"/>
      <c r="K2733" s="886" t="str">
        <f>IF(S1OORData!Y41=0,"",S1OORData!Y41)</f>
        <v/>
      </c>
      <c r="L2733" s="887"/>
      <c r="M2733" s="886" t="str">
        <f>IF(S1OORData!Z41=0,"",S1OORData!Z41)</f>
        <v/>
      </c>
      <c r="N2733" s="887"/>
      <c r="O2733" s="886" t="str">
        <f>IF(S1OORData!AA41=0,"",S1OORData!AA41)</f>
        <v/>
      </c>
      <c r="P2733" s="1232"/>
      <c r="Q2733" s="868" t="str">
        <f>IF(S1OORData!AB41=0,"",S1OORData!AB41)</f>
        <v/>
      </c>
      <c r="R2733" s="869"/>
      <c r="S2733" s="869"/>
      <c r="T2733" s="870"/>
      <c r="U2733" s="868" t="str">
        <f>IF(S1OORData!AJ41=0,"",S1OORData!AJ41)</f>
        <v/>
      </c>
      <c r="V2733" s="869"/>
      <c r="W2733" s="869"/>
      <c r="X2733" s="870"/>
      <c r="Y2733" s="868">
        <f t="shared" si="49"/>
        <v>0</v>
      </c>
      <c r="Z2733" s="1232"/>
      <c r="AA2733" s="1232"/>
      <c r="AB2733" s="887"/>
      <c r="AC2733" s="866" t="str">
        <f>IF(S1OORData!AC41=0,"",S1OORData!AC41)</f>
        <v/>
      </c>
      <c r="AD2733" s="900"/>
      <c r="AE2733" s="900"/>
      <c r="AF2733" s="867"/>
      <c r="AG2733" s="529"/>
      <c r="AH2733" s="529"/>
      <c r="AJ2733" s="595" t="b">
        <v>0</v>
      </c>
    </row>
    <row r="2734" spans="1:36" hidden="1" x14ac:dyDescent="0.45">
      <c r="A2734" s="518"/>
      <c r="B2734" s="514" t="s">
        <v>1443</v>
      </c>
      <c r="C2734" s="515"/>
      <c r="D2734" s="515"/>
      <c r="E2734" s="515"/>
      <c r="F2734" s="516"/>
      <c r="G2734" s="890" t="str">
        <f>IF(S1OORData!L42=0,"",LEFT(S1OORData!L42))</f>
        <v/>
      </c>
      <c r="H2734" s="891"/>
      <c r="I2734" s="886" t="str">
        <f>IF(S1OORData!X42=0,"",S1OORData!X42)</f>
        <v/>
      </c>
      <c r="J2734" s="887"/>
      <c r="K2734" s="886" t="str">
        <f>IF(S1OORData!Y42=0,"",S1OORData!Y42)</f>
        <v/>
      </c>
      <c r="L2734" s="887"/>
      <c r="M2734" s="886" t="str">
        <f>IF(S1OORData!Z42=0,"",S1OORData!Z42)</f>
        <v/>
      </c>
      <c r="N2734" s="887"/>
      <c r="O2734" s="886" t="str">
        <f>IF(S1OORData!AA42=0,"",S1OORData!AA42)</f>
        <v/>
      </c>
      <c r="P2734" s="1232"/>
      <c r="Q2734" s="868" t="str">
        <f>IF(S1OORData!AB42=0,"",S1OORData!AB42)</f>
        <v/>
      </c>
      <c r="R2734" s="869"/>
      <c r="S2734" s="869"/>
      <c r="T2734" s="870"/>
      <c r="U2734" s="868" t="str">
        <f>IF(S1OORData!AJ42=0,"",S1OORData!AJ42)</f>
        <v/>
      </c>
      <c r="V2734" s="869"/>
      <c r="W2734" s="869"/>
      <c r="X2734" s="870"/>
      <c r="Y2734" s="868">
        <f t="shared" si="49"/>
        <v>0</v>
      </c>
      <c r="Z2734" s="1232"/>
      <c r="AA2734" s="1232"/>
      <c r="AB2734" s="887"/>
      <c r="AC2734" s="866" t="str">
        <f>IF(S1OORData!AC42=0,"",S1OORData!AC42)</f>
        <v/>
      </c>
      <c r="AD2734" s="900"/>
      <c r="AE2734" s="900"/>
      <c r="AF2734" s="867"/>
      <c r="AG2734" s="529"/>
      <c r="AH2734" s="529"/>
      <c r="AJ2734" s="595" t="b">
        <v>0</v>
      </c>
    </row>
    <row r="2735" spans="1:36" hidden="1" x14ac:dyDescent="0.45">
      <c r="A2735" s="518"/>
      <c r="B2735" s="514" t="s">
        <v>1444</v>
      </c>
      <c r="C2735" s="515"/>
      <c r="D2735" s="515"/>
      <c r="E2735" s="515"/>
      <c r="F2735" s="516"/>
      <c r="G2735" s="890" t="str">
        <f>IF(S1OORData!L43=0,"",LEFT(S1OORData!L43))</f>
        <v/>
      </c>
      <c r="H2735" s="891"/>
      <c r="I2735" s="886" t="str">
        <f>IF(S1OORData!X43=0,"",S1OORData!X43)</f>
        <v/>
      </c>
      <c r="J2735" s="887"/>
      <c r="K2735" s="886" t="str">
        <f>IF(S1OORData!Y43=0,"",S1OORData!Y43)</f>
        <v/>
      </c>
      <c r="L2735" s="887"/>
      <c r="M2735" s="886" t="str">
        <f>IF(S1OORData!Z43=0,"",S1OORData!Z43)</f>
        <v/>
      </c>
      <c r="N2735" s="887"/>
      <c r="O2735" s="886" t="str">
        <f>IF(S1OORData!AA43=0,"",S1OORData!AA43)</f>
        <v/>
      </c>
      <c r="P2735" s="1232"/>
      <c r="Q2735" s="868" t="str">
        <f>IF(S1OORData!AB43=0,"",S1OORData!AB43)</f>
        <v/>
      </c>
      <c r="R2735" s="869"/>
      <c r="S2735" s="869"/>
      <c r="T2735" s="870"/>
      <c r="U2735" s="868" t="str">
        <f>IF(S1OORData!AJ43=0,"",S1OORData!AJ43)</f>
        <v/>
      </c>
      <c r="V2735" s="869"/>
      <c r="W2735" s="869"/>
      <c r="X2735" s="870"/>
      <c r="Y2735" s="868">
        <f t="shared" si="49"/>
        <v>0</v>
      </c>
      <c r="Z2735" s="1232"/>
      <c r="AA2735" s="1232"/>
      <c r="AB2735" s="887"/>
      <c r="AC2735" s="866" t="str">
        <f>IF(S1OORData!AC43=0,"",S1OORData!AC43)</f>
        <v/>
      </c>
      <c r="AD2735" s="900"/>
      <c r="AE2735" s="900"/>
      <c r="AF2735" s="867"/>
      <c r="AG2735" s="529"/>
      <c r="AH2735" s="529"/>
      <c r="AJ2735" s="595" t="b">
        <v>0</v>
      </c>
    </row>
    <row r="2736" spans="1:36" hidden="1" x14ac:dyDescent="0.45">
      <c r="A2736" s="518"/>
      <c r="B2736" s="514" t="s">
        <v>1445</v>
      </c>
      <c r="C2736" s="515"/>
      <c r="D2736" s="515"/>
      <c r="E2736" s="515"/>
      <c r="F2736" s="516"/>
      <c r="G2736" s="890" t="str">
        <f>IF(S1OORData!L44=0,"",LEFT(S1OORData!L44))</f>
        <v/>
      </c>
      <c r="H2736" s="891"/>
      <c r="I2736" s="886" t="str">
        <f>IF(S1OORData!X44=0,"",S1OORData!X44)</f>
        <v/>
      </c>
      <c r="J2736" s="887"/>
      <c r="K2736" s="886" t="str">
        <f>IF(S1OORData!Y44=0,"",S1OORData!Y44)</f>
        <v/>
      </c>
      <c r="L2736" s="887"/>
      <c r="M2736" s="886" t="str">
        <f>IF(S1OORData!Z44=0,"",S1OORData!Z44)</f>
        <v/>
      </c>
      <c r="N2736" s="887"/>
      <c r="O2736" s="886" t="str">
        <f>IF(S1OORData!AA44=0,"",S1OORData!AA44)</f>
        <v/>
      </c>
      <c r="P2736" s="1232"/>
      <c r="Q2736" s="868" t="str">
        <f>IF(S1OORData!AB44=0,"",S1OORData!AB44)</f>
        <v/>
      </c>
      <c r="R2736" s="869"/>
      <c r="S2736" s="869"/>
      <c r="T2736" s="870"/>
      <c r="U2736" s="868" t="str">
        <f>IF(S1OORData!AJ44=0,"",S1OORData!AJ44)</f>
        <v/>
      </c>
      <c r="V2736" s="869"/>
      <c r="W2736" s="869"/>
      <c r="X2736" s="870"/>
      <c r="Y2736" s="868">
        <f t="shared" si="49"/>
        <v>0</v>
      </c>
      <c r="Z2736" s="1232"/>
      <c r="AA2736" s="1232"/>
      <c r="AB2736" s="887"/>
      <c r="AC2736" s="866" t="str">
        <f>IF(S1OORData!AC44=0,"",S1OORData!AC44)</f>
        <v/>
      </c>
      <c r="AD2736" s="900"/>
      <c r="AE2736" s="900"/>
      <c r="AF2736" s="867"/>
      <c r="AG2736" s="529"/>
      <c r="AH2736" s="529"/>
      <c r="AJ2736" s="595" t="b">
        <v>0</v>
      </c>
    </row>
    <row r="2737" spans="1:36" hidden="1" x14ac:dyDescent="0.45">
      <c r="A2737" s="518"/>
      <c r="B2737" s="514" t="s">
        <v>1446</v>
      </c>
      <c r="C2737" s="515"/>
      <c r="D2737" s="515"/>
      <c r="E2737" s="515"/>
      <c r="F2737" s="516"/>
      <c r="G2737" s="890" t="str">
        <f>IF(S1OORData!L45=0,"",LEFT(S1OORData!L45))</f>
        <v/>
      </c>
      <c r="H2737" s="891"/>
      <c r="I2737" s="886" t="str">
        <f>IF(S1OORData!X45=0,"",S1OORData!X45)</f>
        <v/>
      </c>
      <c r="J2737" s="887"/>
      <c r="K2737" s="886" t="str">
        <f>IF(S1OORData!Y45=0,"",S1OORData!Y45)</f>
        <v/>
      </c>
      <c r="L2737" s="887"/>
      <c r="M2737" s="886" t="str">
        <f>IF(S1OORData!Z45=0,"",S1OORData!Z45)</f>
        <v/>
      </c>
      <c r="N2737" s="887"/>
      <c r="O2737" s="886" t="str">
        <f>IF(S1OORData!AA45=0,"",S1OORData!AA45)</f>
        <v/>
      </c>
      <c r="P2737" s="1232"/>
      <c r="Q2737" s="868" t="str">
        <f>IF(S1OORData!AB45=0,"",S1OORData!AB45)</f>
        <v/>
      </c>
      <c r="R2737" s="869"/>
      <c r="S2737" s="869"/>
      <c r="T2737" s="870"/>
      <c r="U2737" s="868" t="str">
        <f>IF(S1OORData!AJ45=0,"",S1OORData!AJ45)</f>
        <v/>
      </c>
      <c r="V2737" s="869"/>
      <c r="W2737" s="869"/>
      <c r="X2737" s="870"/>
      <c r="Y2737" s="868">
        <f t="shared" si="49"/>
        <v>0</v>
      </c>
      <c r="Z2737" s="1232"/>
      <c r="AA2737" s="1232"/>
      <c r="AB2737" s="887"/>
      <c r="AC2737" s="866" t="str">
        <f>IF(S1OORData!AC45=0,"",S1OORData!AC45)</f>
        <v/>
      </c>
      <c r="AD2737" s="900"/>
      <c r="AE2737" s="900"/>
      <c r="AF2737" s="867"/>
      <c r="AG2737" s="529"/>
      <c r="AH2737" s="529"/>
      <c r="AJ2737" s="595" t="b">
        <v>0</v>
      </c>
    </row>
    <row r="2738" spans="1:36" hidden="1" x14ac:dyDescent="0.45">
      <c r="B2738" s="514" t="s">
        <v>1447</v>
      </c>
      <c r="C2738" s="515"/>
      <c r="D2738" s="515"/>
      <c r="E2738" s="515"/>
      <c r="F2738" s="516"/>
      <c r="G2738" s="890" t="str">
        <f>IF(S1OORData!L46=0,"",LEFT(S1OORData!L46))</f>
        <v/>
      </c>
      <c r="H2738" s="891"/>
      <c r="I2738" s="886" t="str">
        <f>IF(S1OORData!X46=0,"",S1OORData!X46)</f>
        <v/>
      </c>
      <c r="J2738" s="887"/>
      <c r="K2738" s="886" t="str">
        <f>IF(S1OORData!Y46=0,"",S1OORData!Y46)</f>
        <v/>
      </c>
      <c r="L2738" s="887"/>
      <c r="M2738" s="886" t="str">
        <f>IF(S1OORData!Z46=0,"",S1OORData!Z46)</f>
        <v/>
      </c>
      <c r="N2738" s="887"/>
      <c r="O2738" s="886" t="str">
        <f>IF(S1OORData!AA46=0,"",S1OORData!AA46)</f>
        <v/>
      </c>
      <c r="P2738" s="1232"/>
      <c r="Q2738" s="868" t="str">
        <f>IF(S1OORData!AB46=0,"",S1OORData!AB46)</f>
        <v/>
      </c>
      <c r="R2738" s="869"/>
      <c r="S2738" s="869"/>
      <c r="T2738" s="870"/>
      <c r="U2738" s="868" t="str">
        <f>IF(S1OORData!AJ46=0,"",S1OORData!AJ46)</f>
        <v/>
      </c>
      <c r="V2738" s="869"/>
      <c r="W2738" s="869"/>
      <c r="X2738" s="870"/>
      <c r="Y2738" s="868">
        <f t="shared" si="49"/>
        <v>0</v>
      </c>
      <c r="Z2738" s="1232"/>
      <c r="AA2738" s="1232"/>
      <c r="AB2738" s="887"/>
      <c r="AC2738" s="866" t="str">
        <f>IF(S1OORData!AC46=0,"",S1OORData!AC46)</f>
        <v/>
      </c>
      <c r="AD2738" s="900"/>
      <c r="AE2738" s="900"/>
      <c r="AF2738" s="867"/>
      <c r="AG2738" s="529"/>
      <c r="AH2738" s="518"/>
      <c r="AJ2738" s="595" t="b">
        <v>0</v>
      </c>
    </row>
    <row r="2739" spans="1:36" hidden="1" x14ac:dyDescent="0.45">
      <c r="B2739" s="514" t="s">
        <v>1448</v>
      </c>
      <c r="C2739" s="515"/>
      <c r="D2739" s="515"/>
      <c r="E2739" s="515"/>
      <c r="F2739" s="516"/>
      <c r="G2739" s="890" t="str">
        <f>IF(S1OORData!L47=0,"",LEFT(S1OORData!L47))</f>
        <v/>
      </c>
      <c r="H2739" s="891"/>
      <c r="I2739" s="886" t="str">
        <f>IF(S1OORData!X47=0,"",S1OORData!X47)</f>
        <v/>
      </c>
      <c r="J2739" s="887"/>
      <c r="K2739" s="886" t="str">
        <f>IF(S1OORData!Y47=0,"",S1OORData!Y47)</f>
        <v/>
      </c>
      <c r="L2739" s="887"/>
      <c r="M2739" s="886" t="str">
        <f>IF(S1OORData!Z47=0,"",S1OORData!Z47)</f>
        <v/>
      </c>
      <c r="N2739" s="887"/>
      <c r="O2739" s="886" t="str">
        <f>IF(S1OORData!AA47=0,"",S1OORData!AA47)</f>
        <v/>
      </c>
      <c r="P2739" s="1232"/>
      <c r="Q2739" s="868" t="str">
        <f>IF(S1OORData!AB47=0,"",S1OORData!AB47)</f>
        <v/>
      </c>
      <c r="R2739" s="869"/>
      <c r="S2739" s="869"/>
      <c r="T2739" s="870"/>
      <c r="U2739" s="868" t="str">
        <f>IF(S1OORData!AJ47=0,"",S1OORData!AJ47)</f>
        <v/>
      </c>
      <c r="V2739" s="869"/>
      <c r="W2739" s="869"/>
      <c r="X2739" s="870"/>
      <c r="Y2739" s="868">
        <f t="shared" si="49"/>
        <v>0</v>
      </c>
      <c r="Z2739" s="1232"/>
      <c r="AA2739" s="1232"/>
      <c r="AB2739" s="887"/>
      <c r="AC2739" s="866" t="str">
        <f>IF(S1OORData!AC47=0,"",S1OORData!AC47)</f>
        <v/>
      </c>
      <c r="AD2739" s="900"/>
      <c r="AE2739" s="900"/>
      <c r="AF2739" s="867"/>
      <c r="AG2739" s="529"/>
      <c r="AH2739" s="518"/>
      <c r="AJ2739" s="595" t="b">
        <v>0</v>
      </c>
    </row>
    <row r="2740" spans="1:36" hidden="1" x14ac:dyDescent="0.45">
      <c r="B2740" s="514" t="s">
        <v>1449</v>
      </c>
      <c r="C2740" s="515"/>
      <c r="D2740" s="515"/>
      <c r="E2740" s="515"/>
      <c r="F2740" s="516"/>
      <c r="G2740" s="890" t="str">
        <f>IF(S1OORData!L48=0,"",LEFT(S1OORData!L48))</f>
        <v/>
      </c>
      <c r="H2740" s="891"/>
      <c r="I2740" s="886" t="str">
        <f>IF(S1OORData!X48=0,"",S1OORData!X48)</f>
        <v/>
      </c>
      <c r="J2740" s="887"/>
      <c r="K2740" s="886" t="str">
        <f>IF(S1OORData!Y48=0,"",S1OORData!Y48)</f>
        <v/>
      </c>
      <c r="L2740" s="887"/>
      <c r="M2740" s="886" t="str">
        <f>IF(S1OORData!Z48=0,"",S1OORData!Z48)</f>
        <v/>
      </c>
      <c r="N2740" s="887"/>
      <c r="O2740" s="886" t="str">
        <f>IF(S1OORData!AA48=0,"",S1OORData!AA48)</f>
        <v/>
      </c>
      <c r="P2740" s="1232"/>
      <c r="Q2740" s="868" t="str">
        <f>IF(S1OORData!AB48=0,"",S1OORData!AB48)</f>
        <v/>
      </c>
      <c r="R2740" s="869"/>
      <c r="S2740" s="869"/>
      <c r="T2740" s="870"/>
      <c r="U2740" s="868" t="str">
        <f>IF(S1OORData!AJ48=0,"",S1OORData!AJ48)</f>
        <v/>
      </c>
      <c r="V2740" s="869"/>
      <c r="W2740" s="869"/>
      <c r="X2740" s="870"/>
      <c r="Y2740" s="868">
        <f t="shared" si="49"/>
        <v>0</v>
      </c>
      <c r="Z2740" s="1232"/>
      <c r="AA2740" s="1232"/>
      <c r="AB2740" s="887"/>
      <c r="AC2740" s="866" t="str">
        <f>IF(S1OORData!AC48=0,"",S1OORData!AC48)</f>
        <v/>
      </c>
      <c r="AD2740" s="900"/>
      <c r="AE2740" s="900"/>
      <c r="AF2740" s="867"/>
      <c r="AG2740" s="529"/>
      <c r="AH2740" s="518"/>
      <c r="AJ2740" s="595" t="b">
        <v>0</v>
      </c>
    </row>
    <row r="2741" spans="1:36" hidden="1" x14ac:dyDescent="0.45">
      <c r="B2741" s="514" t="s">
        <v>1450</v>
      </c>
      <c r="C2741" s="515"/>
      <c r="D2741" s="515"/>
      <c r="E2741" s="515"/>
      <c r="F2741" s="516"/>
      <c r="G2741" s="890" t="str">
        <f>IF(S1OORData!L49=0,"",LEFT(S1OORData!L49))</f>
        <v/>
      </c>
      <c r="H2741" s="891"/>
      <c r="I2741" s="886" t="str">
        <f>IF(S1OORData!X49=0,"",S1OORData!X49)</f>
        <v/>
      </c>
      <c r="J2741" s="887"/>
      <c r="K2741" s="886" t="str">
        <f>IF(S1OORData!Y49=0,"",S1OORData!Y49)</f>
        <v/>
      </c>
      <c r="L2741" s="887"/>
      <c r="M2741" s="886" t="str">
        <f>IF(S1OORData!Z49=0,"",S1OORData!Z49)</f>
        <v/>
      </c>
      <c r="N2741" s="887"/>
      <c r="O2741" s="886" t="str">
        <f>IF(S1OORData!AA49=0,"",S1OORData!AA49)</f>
        <v/>
      </c>
      <c r="P2741" s="1232"/>
      <c r="Q2741" s="868" t="str">
        <f>IF(S1OORData!AB49=0,"",S1OORData!AB49)</f>
        <v/>
      </c>
      <c r="R2741" s="869"/>
      <c r="S2741" s="869"/>
      <c r="T2741" s="870"/>
      <c r="U2741" s="868" t="str">
        <f>IF(S1OORData!AJ49=0,"",S1OORData!AJ49)</f>
        <v/>
      </c>
      <c r="V2741" s="869"/>
      <c r="W2741" s="869"/>
      <c r="X2741" s="870"/>
      <c r="Y2741" s="868">
        <f t="shared" si="49"/>
        <v>0</v>
      </c>
      <c r="Z2741" s="1232"/>
      <c r="AA2741" s="1232"/>
      <c r="AB2741" s="887"/>
      <c r="AC2741" s="866" t="str">
        <f>IF(S1OORData!AC49=0,"",S1OORData!AC49)</f>
        <v/>
      </c>
      <c r="AD2741" s="900"/>
      <c r="AE2741" s="900"/>
      <c r="AF2741" s="867"/>
      <c r="AG2741" s="529"/>
      <c r="AH2741" s="518"/>
      <c r="AJ2741" s="595" t="b">
        <v>0</v>
      </c>
    </row>
    <row r="2742" spans="1:36" hidden="1" x14ac:dyDescent="0.45">
      <c r="B2742" s="514" t="s">
        <v>1451</v>
      </c>
      <c r="C2742" s="515"/>
      <c r="D2742" s="515"/>
      <c r="E2742" s="515"/>
      <c r="F2742" s="516"/>
      <c r="G2742" s="890" t="str">
        <f>IF(S1OORData!L50=0,"",LEFT(S1OORData!L50))</f>
        <v/>
      </c>
      <c r="H2742" s="891"/>
      <c r="I2742" s="886" t="str">
        <f>IF(S1OORData!X50=0,"",S1OORData!X50)</f>
        <v/>
      </c>
      <c r="J2742" s="887"/>
      <c r="K2742" s="886" t="str">
        <f>IF(S1OORData!Y50=0,"",S1OORData!Y50)</f>
        <v/>
      </c>
      <c r="L2742" s="887"/>
      <c r="M2742" s="886" t="str">
        <f>IF(S1OORData!Z50=0,"",S1OORData!Z50)</f>
        <v/>
      </c>
      <c r="N2742" s="887"/>
      <c r="O2742" s="886" t="str">
        <f>IF(S1OORData!AA50=0,"",S1OORData!AA50)</f>
        <v/>
      </c>
      <c r="P2742" s="1232"/>
      <c r="Q2742" s="868" t="str">
        <f>IF(S1OORData!AB50=0,"",S1OORData!AB50)</f>
        <v/>
      </c>
      <c r="R2742" s="869"/>
      <c r="S2742" s="869"/>
      <c r="T2742" s="870"/>
      <c r="U2742" s="868" t="str">
        <f>IF(S1OORData!AJ50=0,"",S1OORData!AJ50)</f>
        <v/>
      </c>
      <c r="V2742" s="869"/>
      <c r="W2742" s="869"/>
      <c r="X2742" s="870"/>
      <c r="Y2742" s="868">
        <f t="shared" si="49"/>
        <v>0</v>
      </c>
      <c r="Z2742" s="1232"/>
      <c r="AA2742" s="1232"/>
      <c r="AB2742" s="887"/>
      <c r="AC2742" s="866" t="str">
        <f>IF(S1OORData!AC50=0,"",S1OORData!AC50)</f>
        <v/>
      </c>
      <c r="AD2742" s="900"/>
      <c r="AE2742" s="900"/>
      <c r="AF2742" s="867"/>
      <c r="AG2742" s="529"/>
      <c r="AH2742" s="518"/>
      <c r="AJ2742" s="595" t="b">
        <v>0</v>
      </c>
    </row>
    <row r="2743" spans="1:36" hidden="1" x14ac:dyDescent="0.45">
      <c r="B2743" s="514" t="s">
        <v>1452</v>
      </c>
      <c r="C2743" s="515"/>
      <c r="D2743" s="515"/>
      <c r="E2743" s="515"/>
      <c r="F2743" s="516"/>
      <c r="G2743" s="890" t="str">
        <f>IF(S1OORData!L51=0,"",LEFT(S1OORData!L51))</f>
        <v/>
      </c>
      <c r="H2743" s="891"/>
      <c r="I2743" s="886" t="str">
        <f>IF(S1OORData!X51=0,"",S1OORData!X51)</f>
        <v/>
      </c>
      <c r="J2743" s="887"/>
      <c r="K2743" s="886" t="str">
        <f>IF(S1OORData!Y51=0,"",S1OORData!Y51)</f>
        <v/>
      </c>
      <c r="L2743" s="887"/>
      <c r="M2743" s="886" t="str">
        <f>IF(S1OORData!Z51=0,"",S1OORData!Z51)</f>
        <v/>
      </c>
      <c r="N2743" s="887"/>
      <c r="O2743" s="886" t="str">
        <f>IF(S1OORData!AA51=0,"",S1OORData!AA51)</f>
        <v/>
      </c>
      <c r="P2743" s="1232"/>
      <c r="Q2743" s="868" t="str">
        <f>IF(S1OORData!AB51=0,"",S1OORData!AB51)</f>
        <v/>
      </c>
      <c r="R2743" s="869"/>
      <c r="S2743" s="869"/>
      <c r="T2743" s="870"/>
      <c r="U2743" s="868" t="str">
        <f>IF(S1OORData!AJ51=0,"",S1OORData!AJ51)</f>
        <v/>
      </c>
      <c r="V2743" s="869"/>
      <c r="W2743" s="869"/>
      <c r="X2743" s="870"/>
      <c r="Y2743" s="868">
        <f t="shared" si="49"/>
        <v>0</v>
      </c>
      <c r="Z2743" s="1232"/>
      <c r="AA2743" s="1232"/>
      <c r="AB2743" s="887"/>
      <c r="AC2743" s="866" t="str">
        <f>IF(S1OORData!AC51=0,"",S1OORData!AC51)</f>
        <v/>
      </c>
      <c r="AD2743" s="900"/>
      <c r="AE2743" s="900"/>
      <c r="AF2743" s="867"/>
      <c r="AG2743" s="529"/>
      <c r="AH2743" s="518"/>
      <c r="AJ2743" s="595" t="b">
        <v>0</v>
      </c>
    </row>
    <row r="2744" spans="1:36" hidden="1" x14ac:dyDescent="0.45">
      <c r="B2744" s="514" t="s">
        <v>1453</v>
      </c>
      <c r="C2744" s="515"/>
      <c r="D2744" s="515"/>
      <c r="E2744" s="515"/>
      <c r="F2744" s="516"/>
      <c r="G2744" s="890" t="str">
        <f>IF(S1OORData!L52=0,"",LEFT(S1OORData!L52))</f>
        <v/>
      </c>
      <c r="H2744" s="891"/>
      <c r="I2744" s="886" t="str">
        <f>IF(S1OORData!X52=0,"",S1OORData!X52)</f>
        <v/>
      </c>
      <c r="J2744" s="887"/>
      <c r="K2744" s="886" t="str">
        <f>IF(S1OORData!Y52=0,"",S1OORData!Y52)</f>
        <v/>
      </c>
      <c r="L2744" s="887"/>
      <c r="M2744" s="886" t="str">
        <f>IF(S1OORData!Z52=0,"",S1OORData!Z52)</f>
        <v/>
      </c>
      <c r="N2744" s="887"/>
      <c r="O2744" s="886" t="str">
        <f>IF(S1OORData!AA52=0,"",S1OORData!AA52)</f>
        <v/>
      </c>
      <c r="P2744" s="1232"/>
      <c r="Q2744" s="868" t="str">
        <f>IF(S1OORData!AB52=0,"",S1OORData!AB52)</f>
        <v/>
      </c>
      <c r="R2744" s="869"/>
      <c r="S2744" s="869"/>
      <c r="T2744" s="870"/>
      <c r="U2744" s="868" t="str">
        <f>IF(S1OORData!AJ52=0,"",S1OORData!AJ52)</f>
        <v/>
      </c>
      <c r="V2744" s="869"/>
      <c r="W2744" s="869"/>
      <c r="X2744" s="870"/>
      <c r="Y2744" s="868">
        <f t="shared" si="49"/>
        <v>0</v>
      </c>
      <c r="Z2744" s="1232"/>
      <c r="AA2744" s="1232"/>
      <c r="AB2744" s="887"/>
      <c r="AC2744" s="866" t="str">
        <f>IF(S1OORData!AC52=0,"",S1OORData!AC52)</f>
        <v/>
      </c>
      <c r="AD2744" s="900"/>
      <c r="AE2744" s="900"/>
      <c r="AF2744" s="867"/>
      <c r="AG2744" s="529"/>
      <c r="AH2744" s="518"/>
      <c r="AJ2744" s="595" t="b">
        <v>0</v>
      </c>
    </row>
    <row r="2745" spans="1:36" hidden="1" x14ac:dyDescent="0.45">
      <c r="B2745" s="514" t="s">
        <v>1454</v>
      </c>
      <c r="C2745" s="515"/>
      <c r="D2745" s="515"/>
      <c r="E2745" s="515"/>
      <c r="F2745" s="516"/>
      <c r="G2745" s="890" t="str">
        <f>IF(S1OORData!L53=0,"",LEFT(S1OORData!L53))</f>
        <v/>
      </c>
      <c r="H2745" s="891"/>
      <c r="I2745" s="886" t="str">
        <f>IF(S1OORData!X53=0,"",S1OORData!X53)</f>
        <v/>
      </c>
      <c r="J2745" s="887"/>
      <c r="K2745" s="886" t="str">
        <f>IF(S1OORData!Y53=0,"",S1OORData!Y53)</f>
        <v/>
      </c>
      <c r="L2745" s="887"/>
      <c r="M2745" s="886" t="str">
        <f>IF(S1OORData!Z53=0,"",S1OORData!Z53)</f>
        <v/>
      </c>
      <c r="N2745" s="887"/>
      <c r="O2745" s="886" t="str">
        <f>IF(S1OORData!AA53=0,"",S1OORData!AA53)</f>
        <v/>
      </c>
      <c r="P2745" s="1232"/>
      <c r="Q2745" s="868" t="str">
        <f>IF(S1OORData!AB53=0,"",S1OORData!AB53)</f>
        <v/>
      </c>
      <c r="R2745" s="869"/>
      <c r="S2745" s="869"/>
      <c r="T2745" s="870"/>
      <c r="U2745" s="868" t="str">
        <f>IF(S1OORData!AJ53=0,"",S1OORData!AJ53)</f>
        <v/>
      </c>
      <c r="V2745" s="869"/>
      <c r="W2745" s="869"/>
      <c r="X2745" s="870"/>
      <c r="Y2745" s="868">
        <f t="shared" si="49"/>
        <v>0</v>
      </c>
      <c r="Z2745" s="1232"/>
      <c r="AA2745" s="1232"/>
      <c r="AB2745" s="887"/>
      <c r="AC2745" s="866" t="str">
        <f>IF(S1OORData!AC53=0,"",S1OORData!AC53)</f>
        <v/>
      </c>
      <c r="AD2745" s="900"/>
      <c r="AE2745" s="900"/>
      <c r="AF2745" s="867"/>
      <c r="AG2745" s="529"/>
      <c r="AH2745" s="518"/>
      <c r="AJ2745" s="595" t="b">
        <v>0</v>
      </c>
    </row>
    <row r="2746" spans="1:36" hidden="1" x14ac:dyDescent="0.45">
      <c r="B2746" s="514" t="s">
        <v>1455</v>
      </c>
      <c r="C2746" s="515"/>
      <c r="D2746" s="515"/>
      <c r="E2746" s="515"/>
      <c r="F2746" s="516"/>
      <c r="G2746" s="890" t="str">
        <f>IF(S1OORData!L54=0,"",LEFT(S1OORData!L54))</f>
        <v/>
      </c>
      <c r="H2746" s="891"/>
      <c r="I2746" s="886" t="str">
        <f>IF(S1OORData!X54=0,"",S1OORData!X54)</f>
        <v/>
      </c>
      <c r="J2746" s="887"/>
      <c r="K2746" s="886" t="str">
        <f>IF(S1OORData!Y54=0,"",S1OORData!Y54)</f>
        <v/>
      </c>
      <c r="L2746" s="887"/>
      <c r="M2746" s="886" t="str">
        <f>IF(S1OORData!Z54=0,"",S1OORData!Z54)</f>
        <v/>
      </c>
      <c r="N2746" s="887"/>
      <c r="O2746" s="886" t="str">
        <f>IF(S1OORData!AA54=0,"",S1OORData!AA54)</f>
        <v/>
      </c>
      <c r="P2746" s="1232"/>
      <c r="Q2746" s="868" t="str">
        <f>IF(S1OORData!AB54=0,"",S1OORData!AB54)</f>
        <v/>
      </c>
      <c r="R2746" s="869"/>
      <c r="S2746" s="869"/>
      <c r="T2746" s="870"/>
      <c r="U2746" s="868" t="str">
        <f>IF(S1OORData!AJ54=0,"",S1OORData!AJ54)</f>
        <v/>
      </c>
      <c r="V2746" s="869"/>
      <c r="W2746" s="869"/>
      <c r="X2746" s="870"/>
      <c r="Y2746" s="868">
        <f t="shared" si="49"/>
        <v>0</v>
      </c>
      <c r="Z2746" s="1232"/>
      <c r="AA2746" s="1232"/>
      <c r="AB2746" s="887"/>
      <c r="AC2746" s="866" t="str">
        <f>IF(S1OORData!AC54=0,"",S1OORData!AC54)</f>
        <v/>
      </c>
      <c r="AD2746" s="900"/>
      <c r="AE2746" s="900"/>
      <c r="AF2746" s="867"/>
      <c r="AG2746" s="529"/>
      <c r="AH2746" s="518"/>
      <c r="AJ2746" s="595" t="b">
        <v>0</v>
      </c>
    </row>
    <row r="2747" spans="1:36" hidden="1" x14ac:dyDescent="0.45">
      <c r="B2747" s="514" t="s">
        <v>1456</v>
      </c>
      <c r="C2747" s="515"/>
      <c r="D2747" s="515"/>
      <c r="E2747" s="515"/>
      <c r="F2747" s="516"/>
      <c r="G2747" s="890" t="str">
        <f>IF(S1OORData!L55=0,"",LEFT(S1OORData!L55))</f>
        <v/>
      </c>
      <c r="H2747" s="891"/>
      <c r="I2747" s="886" t="str">
        <f>IF(S1OORData!X55=0,"",S1OORData!X55)</f>
        <v/>
      </c>
      <c r="J2747" s="887"/>
      <c r="K2747" s="886" t="str">
        <f>IF(S1OORData!Y55=0,"",S1OORData!Y55)</f>
        <v/>
      </c>
      <c r="L2747" s="887"/>
      <c r="M2747" s="886" t="str">
        <f>IF(S1OORData!Z55=0,"",S1OORData!Z55)</f>
        <v/>
      </c>
      <c r="N2747" s="887"/>
      <c r="O2747" s="886" t="str">
        <f>IF(S1OORData!AA55=0,"",S1OORData!AA55)</f>
        <v/>
      </c>
      <c r="P2747" s="1232"/>
      <c r="Q2747" s="868" t="str">
        <f>IF(S1OORData!AB55=0,"",S1OORData!AB55)</f>
        <v/>
      </c>
      <c r="R2747" s="869"/>
      <c r="S2747" s="869"/>
      <c r="T2747" s="870"/>
      <c r="U2747" s="868" t="str">
        <f>IF(S1OORData!AJ55=0,"",S1OORData!AJ55)</f>
        <v/>
      </c>
      <c r="V2747" s="869"/>
      <c r="W2747" s="869"/>
      <c r="X2747" s="870"/>
      <c r="Y2747" s="868">
        <f t="shared" si="49"/>
        <v>0</v>
      </c>
      <c r="Z2747" s="1232"/>
      <c r="AA2747" s="1232"/>
      <c r="AB2747" s="887"/>
      <c r="AC2747" s="866" t="str">
        <f>IF(S1OORData!AC55=0,"",S1OORData!AC55)</f>
        <v/>
      </c>
      <c r="AD2747" s="900"/>
      <c r="AE2747" s="900"/>
      <c r="AF2747" s="867"/>
      <c r="AG2747" s="529"/>
      <c r="AH2747" s="518"/>
      <c r="AJ2747" s="595" t="b">
        <v>0</v>
      </c>
    </row>
    <row r="2748" spans="1:36" hidden="1" x14ac:dyDescent="0.45">
      <c r="B2748" s="514" t="s">
        <v>1457</v>
      </c>
      <c r="C2748" s="515"/>
      <c r="D2748" s="515"/>
      <c r="E2748" s="515"/>
      <c r="F2748" s="516"/>
      <c r="G2748" s="890" t="str">
        <f>IF(S1OORData!L56=0,"",LEFT(S1OORData!L56))</f>
        <v/>
      </c>
      <c r="H2748" s="891"/>
      <c r="I2748" s="886" t="str">
        <f>IF(S1OORData!X56=0,"",S1OORData!X56)</f>
        <v/>
      </c>
      <c r="J2748" s="887"/>
      <c r="K2748" s="886" t="str">
        <f>IF(S1OORData!Y56=0,"",S1OORData!Y56)</f>
        <v/>
      </c>
      <c r="L2748" s="887"/>
      <c r="M2748" s="886" t="str">
        <f>IF(S1OORData!Z56=0,"",S1OORData!Z56)</f>
        <v/>
      </c>
      <c r="N2748" s="887"/>
      <c r="O2748" s="886" t="str">
        <f>IF(S1OORData!AA56=0,"",S1OORData!AA56)</f>
        <v/>
      </c>
      <c r="P2748" s="1232"/>
      <c r="Q2748" s="868" t="str">
        <f>IF(S1OORData!AB56=0,"",S1OORData!AB56)</f>
        <v/>
      </c>
      <c r="R2748" s="869"/>
      <c r="S2748" s="869"/>
      <c r="T2748" s="870"/>
      <c r="U2748" s="868" t="str">
        <f>IF(S1OORData!AJ56=0,"",S1OORData!AJ56)</f>
        <v/>
      </c>
      <c r="V2748" s="869"/>
      <c r="W2748" s="869"/>
      <c r="X2748" s="870"/>
      <c r="Y2748" s="868">
        <f t="shared" si="49"/>
        <v>0</v>
      </c>
      <c r="Z2748" s="1232"/>
      <c r="AA2748" s="1232"/>
      <c r="AB2748" s="887"/>
      <c r="AC2748" s="866" t="str">
        <f>IF(S1OORData!AC56=0,"",S1OORData!AC56)</f>
        <v/>
      </c>
      <c r="AD2748" s="900"/>
      <c r="AE2748" s="900"/>
      <c r="AF2748" s="867"/>
      <c r="AG2748" s="529"/>
      <c r="AH2748" s="518"/>
      <c r="AJ2748" s="595" t="b">
        <v>0</v>
      </c>
    </row>
    <row r="2749" spans="1:36" hidden="1" x14ac:dyDescent="0.45">
      <c r="B2749" s="514" t="s">
        <v>1458</v>
      </c>
      <c r="C2749" s="515"/>
      <c r="D2749" s="515"/>
      <c r="E2749" s="515"/>
      <c r="F2749" s="516"/>
      <c r="G2749" s="890" t="str">
        <f>IF(S1OORData!L57=0,"",LEFT(S1OORData!L57))</f>
        <v/>
      </c>
      <c r="H2749" s="891"/>
      <c r="I2749" s="886" t="str">
        <f>IF(S1OORData!X57=0,"",S1OORData!X57)</f>
        <v/>
      </c>
      <c r="J2749" s="887"/>
      <c r="K2749" s="886" t="str">
        <f>IF(S1OORData!Y57=0,"",S1OORData!Y57)</f>
        <v/>
      </c>
      <c r="L2749" s="887"/>
      <c r="M2749" s="886" t="str">
        <f>IF(S1OORData!Z57=0,"",S1OORData!Z57)</f>
        <v/>
      </c>
      <c r="N2749" s="887"/>
      <c r="O2749" s="886" t="str">
        <f>IF(S1OORData!AA57=0,"",S1OORData!AA57)</f>
        <v/>
      </c>
      <c r="P2749" s="1232"/>
      <c r="Q2749" s="868" t="str">
        <f>IF(S1OORData!AB57=0,"",S1OORData!AB57)</f>
        <v/>
      </c>
      <c r="R2749" s="869"/>
      <c r="S2749" s="869"/>
      <c r="T2749" s="870"/>
      <c r="U2749" s="868" t="str">
        <f>IF(S1OORData!AJ57=0,"",S1OORData!AJ57)</f>
        <v/>
      </c>
      <c r="V2749" s="869"/>
      <c r="W2749" s="869"/>
      <c r="X2749" s="870"/>
      <c r="Y2749" s="868">
        <f t="shared" si="49"/>
        <v>0</v>
      </c>
      <c r="Z2749" s="1232"/>
      <c r="AA2749" s="1232"/>
      <c r="AB2749" s="887"/>
      <c r="AC2749" s="866" t="str">
        <f>IF(S1OORData!AC57=0,"",S1OORData!AC57)</f>
        <v/>
      </c>
      <c r="AD2749" s="900"/>
      <c r="AE2749" s="900"/>
      <c r="AF2749" s="867"/>
      <c r="AG2749" s="529"/>
      <c r="AH2749" s="518"/>
      <c r="AJ2749" s="595" t="b">
        <v>0</v>
      </c>
    </row>
    <row r="2750" spans="1:36" hidden="1" x14ac:dyDescent="0.45">
      <c r="B2750" s="514" t="s">
        <v>1459</v>
      </c>
      <c r="C2750" s="515"/>
      <c r="D2750" s="515"/>
      <c r="E2750" s="515"/>
      <c r="F2750" s="516"/>
      <c r="G2750" s="890" t="str">
        <f>IF(S1OORData!L58=0,"",LEFT(S1OORData!L58))</f>
        <v/>
      </c>
      <c r="H2750" s="891"/>
      <c r="I2750" s="886" t="str">
        <f>IF(S1OORData!X58=0,"",S1OORData!X58)</f>
        <v/>
      </c>
      <c r="J2750" s="887"/>
      <c r="K2750" s="886" t="str">
        <f>IF(S1OORData!Y58=0,"",S1OORData!Y58)</f>
        <v/>
      </c>
      <c r="L2750" s="887"/>
      <c r="M2750" s="886" t="str">
        <f>IF(S1OORData!Z58=0,"",S1OORData!Z58)</f>
        <v/>
      </c>
      <c r="N2750" s="887"/>
      <c r="O2750" s="886" t="str">
        <f>IF(S1OORData!AA58=0,"",S1OORData!AA58)</f>
        <v/>
      </c>
      <c r="P2750" s="1232"/>
      <c r="Q2750" s="868" t="str">
        <f>IF(S1OORData!AB58=0,"",S1OORData!AB58)</f>
        <v/>
      </c>
      <c r="R2750" s="869"/>
      <c r="S2750" s="869"/>
      <c r="T2750" s="870"/>
      <c r="U2750" s="868" t="str">
        <f>IF(S1OORData!AJ58=0,"",S1OORData!AJ58)</f>
        <v/>
      </c>
      <c r="V2750" s="869"/>
      <c r="W2750" s="869"/>
      <c r="X2750" s="870"/>
      <c r="Y2750" s="868">
        <f t="shared" si="49"/>
        <v>0</v>
      </c>
      <c r="Z2750" s="1232"/>
      <c r="AA2750" s="1232"/>
      <c r="AB2750" s="887"/>
      <c r="AC2750" s="866" t="str">
        <f>IF(S1OORData!AC58=0,"",S1OORData!AC58)</f>
        <v/>
      </c>
      <c r="AD2750" s="900"/>
      <c r="AE2750" s="900"/>
      <c r="AF2750" s="867"/>
      <c r="AG2750" s="529"/>
      <c r="AH2750" s="518"/>
      <c r="AJ2750" s="595" t="b">
        <v>0</v>
      </c>
    </row>
    <row r="2751" spans="1:36" hidden="1" x14ac:dyDescent="0.45">
      <c r="A2751" s="518"/>
      <c r="B2751" s="514" t="s">
        <v>1460</v>
      </c>
      <c r="C2751" s="515"/>
      <c r="D2751" s="515"/>
      <c r="E2751" s="515"/>
      <c r="F2751" s="516"/>
      <c r="G2751" s="890" t="str">
        <f>IF(S1OORData!L59=0,"",LEFT(S1OORData!L59))</f>
        <v/>
      </c>
      <c r="H2751" s="891"/>
      <c r="I2751" s="886" t="str">
        <f>IF(S1OORData!X59=0,"",S1OORData!X59)</f>
        <v/>
      </c>
      <c r="J2751" s="887"/>
      <c r="K2751" s="886" t="str">
        <f>IF(S1OORData!Y59=0,"",S1OORData!Y59)</f>
        <v/>
      </c>
      <c r="L2751" s="887"/>
      <c r="M2751" s="886" t="str">
        <f>IF(S1OORData!Z59=0,"",S1OORData!Z59)</f>
        <v/>
      </c>
      <c r="N2751" s="887"/>
      <c r="O2751" s="886" t="str">
        <f>IF(S1OORData!AA59=0,"",S1OORData!AA59)</f>
        <v/>
      </c>
      <c r="P2751" s="1232"/>
      <c r="Q2751" s="868" t="str">
        <f>IF(S1OORData!AB59=0,"",S1OORData!AB59)</f>
        <v/>
      </c>
      <c r="R2751" s="869"/>
      <c r="S2751" s="869"/>
      <c r="T2751" s="870"/>
      <c r="U2751" s="868" t="str">
        <f>IF(S1OORData!AJ59=0,"",S1OORData!AJ59)</f>
        <v/>
      </c>
      <c r="V2751" s="869"/>
      <c r="W2751" s="869"/>
      <c r="X2751" s="870"/>
      <c r="Y2751" s="868">
        <f t="shared" si="49"/>
        <v>0</v>
      </c>
      <c r="Z2751" s="1232"/>
      <c r="AA2751" s="1232"/>
      <c r="AB2751" s="887"/>
      <c r="AC2751" s="866" t="str">
        <f>IF(S1OORData!AC59=0,"",S1OORData!AC59)</f>
        <v/>
      </c>
      <c r="AD2751" s="900"/>
      <c r="AE2751" s="900"/>
      <c r="AF2751" s="867"/>
      <c r="AG2751" s="529"/>
      <c r="AH2751" s="518"/>
      <c r="AJ2751" s="595" t="b">
        <v>0</v>
      </c>
    </row>
    <row r="2752" spans="1:36" hidden="1" x14ac:dyDescent="0.45">
      <c r="A2752" s="518"/>
      <c r="B2752" s="514" t="s">
        <v>1461</v>
      </c>
      <c r="C2752" s="515"/>
      <c r="D2752" s="515"/>
      <c r="E2752" s="515"/>
      <c r="F2752" s="516"/>
      <c r="G2752" s="890" t="str">
        <f>IF(S1OORData!L60=0,"",LEFT(S1OORData!L60))</f>
        <v/>
      </c>
      <c r="H2752" s="891"/>
      <c r="I2752" s="886" t="str">
        <f>IF(S1OORData!X60=0,"",S1OORData!X60)</f>
        <v/>
      </c>
      <c r="J2752" s="887"/>
      <c r="K2752" s="886" t="str">
        <f>IF(S1OORData!Y60=0,"",S1OORData!Y60)</f>
        <v/>
      </c>
      <c r="L2752" s="887"/>
      <c r="M2752" s="886" t="str">
        <f>IF(S1OORData!Z60=0,"",S1OORData!Z60)</f>
        <v/>
      </c>
      <c r="N2752" s="887"/>
      <c r="O2752" s="886" t="str">
        <f>IF(S1OORData!AA60=0,"",S1OORData!AA60)</f>
        <v/>
      </c>
      <c r="P2752" s="1232"/>
      <c r="Q2752" s="868" t="str">
        <f>IF(S1OORData!AB60=0,"",S1OORData!AB60)</f>
        <v/>
      </c>
      <c r="R2752" s="869"/>
      <c r="S2752" s="869"/>
      <c r="T2752" s="870"/>
      <c r="U2752" s="868" t="str">
        <f>IF(S1OORData!AJ60=0,"",S1OORData!AJ60)</f>
        <v/>
      </c>
      <c r="V2752" s="869"/>
      <c r="W2752" s="869"/>
      <c r="X2752" s="870"/>
      <c r="Y2752" s="868">
        <f t="shared" si="49"/>
        <v>0</v>
      </c>
      <c r="Z2752" s="1232"/>
      <c r="AA2752" s="1232"/>
      <c r="AB2752" s="887"/>
      <c r="AC2752" s="866" t="str">
        <f>IF(S1OORData!AC60=0,"",S1OORData!AC60)</f>
        <v/>
      </c>
      <c r="AD2752" s="900"/>
      <c r="AE2752" s="900"/>
      <c r="AF2752" s="867"/>
      <c r="AG2752" s="529"/>
      <c r="AH2752" s="518"/>
      <c r="AJ2752" s="595" t="b">
        <v>0</v>
      </c>
    </row>
    <row r="2753" spans="1:36" hidden="1" x14ac:dyDescent="0.45">
      <c r="A2753" s="518"/>
      <c r="B2753" s="518"/>
      <c r="C2753" s="518"/>
      <c r="D2753" s="518"/>
      <c r="E2753" s="518"/>
      <c r="F2753" s="518"/>
      <c r="G2753" s="518"/>
      <c r="H2753" s="518"/>
      <c r="I2753" s="518"/>
      <c r="J2753" s="518"/>
      <c r="K2753" s="518"/>
      <c r="L2753" s="518"/>
      <c r="M2753" s="518"/>
      <c r="N2753" s="518"/>
      <c r="O2753" s="518"/>
      <c r="P2753" s="518"/>
      <c r="Q2753" s="518"/>
      <c r="R2753" s="518"/>
      <c r="S2753" s="518"/>
      <c r="T2753" s="518"/>
      <c r="U2753" s="518"/>
      <c r="V2753" s="518"/>
      <c r="W2753" s="518"/>
      <c r="X2753" s="518"/>
      <c r="Y2753" s="518"/>
      <c r="Z2753" s="518"/>
      <c r="AA2753" s="518"/>
      <c r="AB2753" s="518"/>
      <c r="AC2753" s="518"/>
      <c r="AD2753" s="518"/>
      <c r="AE2753" s="518"/>
      <c r="AF2753" s="518"/>
      <c r="AG2753" s="518"/>
      <c r="AH2753" s="518"/>
      <c r="AJ2753" s="595" t="b">
        <f>AJ2688</f>
        <v>0</v>
      </c>
    </row>
    <row r="2754" spans="1:36" hidden="1" x14ac:dyDescent="0.45">
      <c r="A2754" s="518"/>
      <c r="B2754" s="917" t="s">
        <v>173</v>
      </c>
      <c r="C2754" s="918"/>
      <c r="D2754" s="918"/>
      <c r="E2754" s="918"/>
      <c r="F2754" s="918"/>
      <c r="G2754" s="918"/>
      <c r="H2754" s="919">
        <f>S1_OOR_RuralTotalRequested</f>
        <v>0</v>
      </c>
      <c r="I2754" s="920"/>
      <c r="J2754" s="920"/>
      <c r="K2754" s="920"/>
      <c r="L2754" s="920"/>
      <c r="M2754" s="920"/>
      <c r="N2754" s="921"/>
      <c r="O2754" s="518"/>
      <c r="P2754" s="518"/>
      <c r="Q2754" s="518"/>
      <c r="R2754" s="518"/>
      <c r="S2754" s="518"/>
      <c r="T2754" s="518"/>
      <c r="U2754" s="518"/>
      <c r="V2754" s="518"/>
      <c r="W2754" s="518"/>
      <c r="X2754" s="518"/>
      <c r="Y2754" s="518"/>
      <c r="Z2754" s="518"/>
      <c r="AA2754" s="518"/>
      <c r="AB2754" s="518"/>
      <c r="AC2754" s="518"/>
      <c r="AD2754" s="518"/>
      <c r="AE2754" s="518"/>
      <c r="AF2754" s="518"/>
      <c r="AG2754" s="518"/>
      <c r="AH2754" s="518"/>
      <c r="AJ2754" s="595"/>
    </row>
    <row r="2755" spans="1:36" hidden="1" x14ac:dyDescent="0.45">
      <c r="A2755" s="518"/>
      <c r="B2755" s="541"/>
      <c r="C2755" s="541"/>
      <c r="D2755" s="541"/>
      <c r="E2755" s="541"/>
      <c r="F2755" s="541"/>
      <c r="G2755" s="541"/>
      <c r="H2755" s="541"/>
      <c r="I2755" s="541"/>
      <c r="J2755" s="541"/>
      <c r="K2755" s="541"/>
      <c r="L2755" s="541"/>
      <c r="M2755" s="541"/>
      <c r="N2755" s="541"/>
      <c r="O2755" s="518"/>
      <c r="P2755" s="518"/>
      <c r="Q2755" s="518"/>
      <c r="R2755" s="518"/>
      <c r="S2755" s="518"/>
      <c r="T2755" s="518"/>
      <c r="U2755" s="518"/>
      <c r="V2755" s="518"/>
      <c r="W2755" s="518"/>
      <c r="X2755" s="518"/>
      <c r="Y2755" s="518"/>
      <c r="Z2755" s="518"/>
      <c r="AA2755" s="518"/>
      <c r="AB2755" s="518"/>
      <c r="AC2755" s="518"/>
      <c r="AD2755" s="518"/>
      <c r="AE2755" s="518"/>
      <c r="AF2755" s="518"/>
      <c r="AG2755" s="518"/>
      <c r="AH2755" s="518"/>
      <c r="AJ2755" s="595"/>
    </row>
    <row r="2756" spans="1:36" hidden="1" x14ac:dyDescent="0.45">
      <c r="A2756" s="518"/>
      <c r="B2756" s="518" t="s">
        <v>1809</v>
      </c>
      <c r="C2756" s="518"/>
      <c r="D2756" s="518"/>
      <c r="E2756" s="518"/>
      <c r="F2756" s="518"/>
      <c r="G2756" s="518"/>
      <c r="H2756" s="518"/>
      <c r="I2756" s="518"/>
      <c r="J2756" s="518"/>
      <c r="K2756" s="518"/>
      <c r="L2756" s="518"/>
      <c r="M2756" s="518"/>
      <c r="N2756" s="518"/>
      <c r="O2756" s="518"/>
      <c r="P2756" s="518"/>
      <c r="Q2756" s="518"/>
      <c r="R2756" s="518"/>
      <c r="S2756" s="518"/>
      <c r="T2756" s="518"/>
      <c r="U2756" s="518"/>
      <c r="V2756" s="518"/>
      <c r="W2756" s="518"/>
      <c r="X2756" s="518"/>
      <c r="Y2756" s="518"/>
      <c r="Z2756" s="518"/>
      <c r="AA2756" s="518"/>
      <c r="AB2756" s="518"/>
      <c r="AC2756" s="518"/>
      <c r="AD2756" s="518"/>
      <c r="AE2756" s="518"/>
      <c r="AF2756" s="518"/>
      <c r="AG2756" s="518"/>
      <c r="AH2756" s="518"/>
      <c r="AJ2756" s="595"/>
    </row>
    <row r="2757" spans="1:36" hidden="1" x14ac:dyDescent="0.45">
      <c r="A2757" s="518"/>
      <c r="B2757" s="922" t="s">
        <v>174</v>
      </c>
      <c r="C2757" s="922"/>
      <c r="D2757" s="922"/>
      <c r="E2757" s="922"/>
      <c r="F2757" s="922"/>
      <c r="G2757" s="922"/>
      <c r="H2757" s="922"/>
      <c r="I2757" s="922"/>
      <c r="J2757" s="922"/>
      <c r="K2757" s="922"/>
      <c r="L2757" s="922"/>
      <c r="M2757" s="922"/>
      <c r="N2757" s="922"/>
      <c r="O2757" s="878"/>
      <c r="P2757" s="879"/>
      <c r="Q2757" s="880"/>
      <c r="R2757" s="518"/>
      <c r="S2757" s="518"/>
      <c r="T2757" s="518"/>
      <c r="U2757" s="518"/>
      <c r="V2757" s="518"/>
      <c r="W2757" s="518"/>
      <c r="X2757" s="518"/>
      <c r="Y2757" s="518"/>
      <c r="Z2757" s="518"/>
      <c r="AA2757" s="518"/>
      <c r="AB2757" s="518"/>
      <c r="AC2757" s="518"/>
      <c r="AD2757" s="518"/>
      <c r="AE2757" s="518"/>
      <c r="AF2757" s="518"/>
      <c r="AG2757" s="518"/>
      <c r="AH2757" s="518"/>
      <c r="AJ2757" s="595"/>
    </row>
    <row r="2758" spans="1:36" hidden="1" x14ac:dyDescent="0.45">
      <c r="A2758" s="518"/>
      <c r="B2758" s="922" t="s">
        <v>175</v>
      </c>
      <c r="C2758" s="922"/>
      <c r="D2758" s="922"/>
      <c r="E2758" s="922"/>
      <c r="F2758" s="922"/>
      <c r="G2758" s="922"/>
      <c r="H2758" s="922"/>
      <c r="I2758" s="922"/>
      <c r="J2758" s="922"/>
      <c r="K2758" s="922"/>
      <c r="L2758" s="922"/>
      <c r="M2758" s="922"/>
      <c r="N2758" s="922"/>
      <c r="O2758" s="878"/>
      <c r="P2758" s="879"/>
      <c r="Q2758" s="880"/>
      <c r="R2758" s="518"/>
      <c r="S2758" s="518"/>
      <c r="T2758" s="518"/>
      <c r="U2758" s="518"/>
      <c r="V2758" s="518"/>
      <c r="W2758" s="518"/>
      <c r="X2758" s="518"/>
      <c r="Y2758" s="518"/>
      <c r="Z2758" s="518"/>
      <c r="AA2758" s="518"/>
      <c r="AB2758" s="518"/>
      <c r="AC2758" s="518"/>
      <c r="AD2758" s="518"/>
      <c r="AE2758" s="518"/>
      <c r="AF2758" s="518"/>
      <c r="AG2758" s="518"/>
      <c r="AH2758" s="518"/>
      <c r="AJ2758" s="595"/>
    </row>
    <row r="2759" spans="1:36" hidden="1" x14ac:dyDescent="0.45">
      <c r="A2759" s="518"/>
      <c r="B2759" s="922" t="s">
        <v>176</v>
      </c>
      <c r="C2759" s="922"/>
      <c r="D2759" s="922"/>
      <c r="E2759" s="922"/>
      <c r="F2759" s="922"/>
      <c r="G2759" s="922"/>
      <c r="H2759" s="922"/>
      <c r="I2759" s="922"/>
      <c r="J2759" s="922"/>
      <c r="K2759" s="922"/>
      <c r="L2759" s="922"/>
      <c r="M2759" s="922"/>
      <c r="N2759" s="922"/>
      <c r="O2759" s="878"/>
      <c r="P2759" s="879"/>
      <c r="Q2759" s="880"/>
      <c r="R2759" s="518"/>
      <c r="S2759" s="518"/>
      <c r="T2759" s="518"/>
      <c r="U2759" s="518"/>
      <c r="V2759" s="518"/>
      <c r="W2759" s="518"/>
      <c r="X2759" s="518"/>
      <c r="Y2759" s="518"/>
      <c r="Z2759" s="518"/>
      <c r="AA2759" s="518"/>
      <c r="AB2759" s="518"/>
      <c r="AC2759" s="518"/>
      <c r="AD2759" s="518"/>
      <c r="AE2759" s="518"/>
      <c r="AF2759" s="518"/>
      <c r="AG2759" s="518"/>
      <c r="AH2759" s="518"/>
      <c r="AJ2759" s="595"/>
    </row>
    <row r="2760" spans="1:36" hidden="1" x14ac:dyDescent="0.45">
      <c r="A2760" s="518"/>
      <c r="B2760" s="922" t="s">
        <v>177</v>
      </c>
      <c r="C2760" s="922"/>
      <c r="D2760" s="922"/>
      <c r="E2760" s="922"/>
      <c r="F2760" s="922"/>
      <c r="G2760" s="922"/>
      <c r="H2760" s="922"/>
      <c r="I2760" s="922"/>
      <c r="J2760" s="922"/>
      <c r="K2760" s="922"/>
      <c r="L2760" s="922"/>
      <c r="M2760" s="922"/>
      <c r="N2760" s="922"/>
      <c r="O2760" s="878"/>
      <c r="P2760" s="879"/>
      <c r="Q2760" s="880"/>
      <c r="R2760" s="518"/>
      <c r="S2760" s="518"/>
      <c r="T2760" s="518"/>
      <c r="U2760" s="518"/>
      <c r="V2760" s="518"/>
      <c r="W2760" s="518"/>
      <c r="X2760" s="518"/>
      <c r="Y2760" s="518"/>
      <c r="Z2760" s="518"/>
      <c r="AA2760" s="518"/>
      <c r="AB2760" s="518"/>
      <c r="AC2760" s="518"/>
      <c r="AD2760" s="518"/>
      <c r="AE2760" s="518"/>
      <c r="AF2760" s="518"/>
      <c r="AG2760" s="518"/>
      <c r="AH2760" s="518"/>
      <c r="AJ2760" s="595"/>
    </row>
    <row r="2761" spans="1:36" hidden="1" x14ac:dyDescent="0.45">
      <c r="A2761" s="518"/>
      <c r="B2761" s="1223" t="s">
        <v>178</v>
      </c>
      <c r="C2761" s="1223"/>
      <c r="D2761" s="1223"/>
      <c r="E2761" s="1223"/>
      <c r="F2761" s="1223"/>
      <c r="G2761" s="1223"/>
      <c r="H2761" s="1223"/>
      <c r="I2761" s="1223"/>
      <c r="J2761" s="1223"/>
      <c r="K2761" s="1223"/>
      <c r="L2761" s="1223"/>
      <c r="M2761" s="1223"/>
      <c r="N2761" s="1223"/>
      <c r="O2761" s="882" t="s">
        <v>195</v>
      </c>
      <c r="P2761" s="883"/>
      <c r="Q2761" s="884"/>
      <c r="R2761" s="518"/>
      <c r="S2761" s="518"/>
      <c r="T2761" s="518"/>
      <c r="U2761" s="518"/>
      <c r="V2761" s="518"/>
      <c r="W2761" s="518"/>
      <c r="X2761" s="518"/>
      <c r="Y2761" s="518"/>
      <c r="Z2761" s="518"/>
      <c r="AA2761" s="518"/>
      <c r="AB2761" s="518"/>
      <c r="AC2761" s="518"/>
      <c r="AD2761" s="518"/>
      <c r="AE2761" s="518"/>
      <c r="AF2761" s="518"/>
      <c r="AG2761" s="518"/>
      <c r="AH2761" s="518"/>
      <c r="AJ2761" s="595"/>
    </row>
    <row r="2762" spans="1:36" hidden="1" x14ac:dyDescent="0.45">
      <c r="A2762" s="518"/>
      <c r="B2762" s="1223" t="s">
        <v>179</v>
      </c>
      <c r="C2762" s="1223"/>
      <c r="D2762" s="1223"/>
      <c r="E2762" s="1223"/>
      <c r="F2762" s="1223"/>
      <c r="G2762" s="1223"/>
      <c r="H2762" s="1223"/>
      <c r="I2762" s="1223"/>
      <c r="J2762" s="1223"/>
      <c r="K2762" s="1223"/>
      <c r="L2762" s="1223"/>
      <c r="M2762" s="1223"/>
      <c r="N2762" s="1223"/>
      <c r="O2762" s="882" t="s">
        <v>195</v>
      </c>
      <c r="P2762" s="883"/>
      <c r="Q2762" s="884"/>
      <c r="R2762" s="518"/>
      <c r="S2762" s="518"/>
      <c r="T2762" s="518"/>
      <c r="U2762" s="518"/>
      <c r="V2762" s="518"/>
      <c r="W2762" s="518"/>
      <c r="X2762" s="518"/>
      <c r="Y2762" s="518"/>
      <c r="Z2762" s="518"/>
      <c r="AA2762" s="518"/>
      <c r="AB2762" s="518"/>
      <c r="AC2762" s="518"/>
      <c r="AD2762" s="518"/>
      <c r="AE2762" s="518"/>
      <c r="AF2762" s="518"/>
      <c r="AG2762" s="518"/>
      <c r="AH2762" s="518"/>
      <c r="AJ2762" s="595"/>
    </row>
    <row r="2763" spans="1:36" hidden="1" x14ac:dyDescent="0.45">
      <c r="A2763" s="518"/>
      <c r="B2763" s="922" t="s">
        <v>180</v>
      </c>
      <c r="C2763" s="922"/>
      <c r="D2763" s="922"/>
      <c r="E2763" s="922"/>
      <c r="F2763" s="922"/>
      <c r="G2763" s="922"/>
      <c r="H2763" s="922"/>
      <c r="I2763" s="922"/>
      <c r="J2763" s="922"/>
      <c r="K2763" s="922"/>
      <c r="L2763" s="922"/>
      <c r="M2763" s="922"/>
      <c r="N2763" s="922"/>
      <c r="O2763" s="878"/>
      <c r="P2763" s="879"/>
      <c r="Q2763" s="880"/>
      <c r="R2763" s="518"/>
      <c r="S2763" s="518"/>
      <c r="T2763" s="518"/>
      <c r="U2763" s="518"/>
      <c r="V2763" s="518"/>
      <c r="W2763" s="518"/>
      <c r="X2763" s="518"/>
      <c r="Y2763" s="518"/>
      <c r="Z2763" s="518"/>
      <c r="AA2763" s="518"/>
      <c r="AB2763" s="518"/>
      <c r="AC2763" s="518"/>
      <c r="AD2763" s="518"/>
      <c r="AE2763" s="518"/>
      <c r="AF2763" s="518"/>
      <c r="AG2763" s="518"/>
      <c r="AH2763" s="518"/>
      <c r="AJ2763" s="595"/>
    </row>
    <row r="2764" spans="1:36" hidden="1" x14ac:dyDescent="0.45">
      <c r="A2764" s="518"/>
      <c r="B2764" s="922" t="s">
        <v>1808</v>
      </c>
      <c r="C2764" s="922"/>
      <c r="D2764" s="922"/>
      <c r="E2764" s="922"/>
      <c r="F2764" s="922"/>
      <c r="G2764" s="922"/>
      <c r="H2764" s="922"/>
      <c r="I2764" s="922"/>
      <c r="J2764" s="922"/>
      <c r="K2764" s="922"/>
      <c r="L2764" s="922"/>
      <c r="M2764" s="922"/>
      <c r="N2764" s="922"/>
      <c r="O2764" s="878"/>
      <c r="P2764" s="879"/>
      <c r="Q2764" s="880"/>
      <c r="R2764" s="518"/>
      <c r="S2764" s="518"/>
      <c r="T2764" s="518"/>
      <c r="U2764" s="518"/>
      <c r="V2764" s="518"/>
      <c r="W2764" s="518"/>
      <c r="X2764" s="518"/>
      <c r="Y2764" s="518"/>
      <c r="Z2764" s="518"/>
      <c r="AA2764" s="518"/>
      <c r="AB2764" s="518"/>
      <c r="AC2764" s="518"/>
      <c r="AD2764" s="518"/>
      <c r="AE2764" s="518"/>
      <c r="AF2764" s="518"/>
      <c r="AG2764" s="518"/>
      <c r="AH2764" s="518"/>
      <c r="AJ2764" s="595"/>
    </row>
    <row r="2765" spans="1:36" hidden="1" x14ac:dyDescent="0.45">
      <c r="A2765" s="518"/>
      <c r="B2765" s="916" t="s">
        <v>181</v>
      </c>
      <c r="C2765" s="916"/>
      <c r="D2765" s="916"/>
      <c r="E2765" s="916"/>
      <c r="F2765" s="916"/>
      <c r="G2765" s="916"/>
      <c r="H2765" s="916"/>
      <c r="I2765" s="916"/>
      <c r="J2765" s="916"/>
      <c r="K2765" s="916"/>
      <c r="L2765" s="916"/>
      <c r="M2765" s="916"/>
      <c r="N2765" s="916"/>
      <c r="O2765" s="927"/>
      <c r="P2765" s="928"/>
      <c r="Q2765" s="929"/>
      <c r="R2765" s="518"/>
      <c r="S2765" s="518"/>
      <c r="T2765" s="518"/>
      <c r="U2765" s="518"/>
      <c r="V2765" s="518"/>
      <c r="W2765" s="518"/>
      <c r="X2765" s="518"/>
      <c r="Y2765" s="518"/>
      <c r="Z2765" s="518"/>
      <c r="AA2765" s="518"/>
      <c r="AB2765" s="518"/>
      <c r="AC2765" s="518"/>
      <c r="AD2765" s="518"/>
      <c r="AE2765" s="518"/>
      <c r="AF2765" s="518"/>
      <c r="AG2765" s="518"/>
      <c r="AH2765" s="518"/>
      <c r="AJ2765" s="595"/>
    </row>
    <row r="2766" spans="1:36" hidden="1" x14ac:dyDescent="0.45">
      <c r="A2766" s="518"/>
      <c r="B2766" s="930" t="s">
        <v>182</v>
      </c>
      <c r="C2766" s="930"/>
      <c r="D2766" s="930"/>
      <c r="E2766" s="930"/>
      <c r="F2766" s="930"/>
      <c r="G2766" s="930"/>
      <c r="H2766" s="930"/>
      <c r="I2766" s="930"/>
      <c r="J2766" s="930"/>
      <c r="K2766" s="930"/>
      <c r="L2766" s="930"/>
      <c r="M2766" s="930"/>
      <c r="N2766" s="930"/>
      <c r="O2766" s="878">
        <f>SUM(O2757:Q2764)-O2765</f>
        <v>0</v>
      </c>
      <c r="P2766" s="879"/>
      <c r="Q2766" s="880"/>
      <c r="R2766" s="518"/>
      <c r="S2766" s="518"/>
      <c r="T2766" s="518"/>
      <c r="U2766" s="518"/>
      <c r="V2766" s="518"/>
      <c r="W2766" s="518"/>
      <c r="X2766" s="518"/>
      <c r="Y2766" s="518"/>
      <c r="Z2766" s="518"/>
      <c r="AA2766" s="518"/>
      <c r="AB2766" s="518"/>
      <c r="AC2766" s="518"/>
      <c r="AD2766" s="518"/>
      <c r="AE2766" s="518"/>
      <c r="AF2766" s="518"/>
      <c r="AG2766" s="518"/>
      <c r="AH2766" s="518"/>
      <c r="AJ2766" s="595"/>
    </row>
    <row r="2767" spans="1:36" hidden="1" x14ac:dyDescent="0.45">
      <c r="A2767" s="518"/>
      <c r="B2767" s="517"/>
      <c r="C2767" s="517"/>
      <c r="D2767" s="517"/>
      <c r="E2767" s="517"/>
      <c r="F2767" s="517"/>
      <c r="G2767" s="517"/>
      <c r="H2767" s="517"/>
      <c r="I2767" s="517"/>
      <c r="J2767" s="517"/>
      <c r="K2767" s="517"/>
      <c r="L2767" s="517"/>
      <c r="M2767" s="517"/>
      <c r="N2767" s="517"/>
      <c r="O2767" s="532"/>
      <c r="P2767" s="532"/>
      <c r="Q2767" s="532"/>
      <c r="R2767" s="518"/>
      <c r="S2767" s="533"/>
      <c r="T2767" s="533"/>
      <c r="U2767" s="533"/>
      <c r="V2767" s="533"/>
      <c r="W2767" s="533"/>
      <c r="X2767" s="533"/>
      <c r="Y2767" s="533"/>
      <c r="Z2767" s="533"/>
      <c r="AA2767" s="533"/>
      <c r="AB2767" s="533"/>
      <c r="AC2767" s="533"/>
      <c r="AD2767" s="533"/>
      <c r="AE2767" s="533"/>
      <c r="AF2767" s="533"/>
      <c r="AG2767" s="533"/>
      <c r="AH2767" s="518"/>
      <c r="AJ2767" s="595"/>
    </row>
    <row r="2768" spans="1:36" ht="200.15" hidden="1" customHeight="1" x14ac:dyDescent="0.45">
      <c r="A2768" s="518"/>
      <c r="B2768" s="1174" t="s">
        <v>183</v>
      </c>
      <c r="C2768" s="1175"/>
      <c r="D2768" s="1175"/>
      <c r="E2768" s="1175"/>
      <c r="F2768" s="1175"/>
      <c r="G2768" s="1175"/>
      <c r="H2768" s="1175"/>
      <c r="I2768" s="1175"/>
      <c r="J2768" s="1175"/>
      <c r="K2768" s="1175"/>
      <c r="L2768" s="1175"/>
      <c r="M2768" s="1175"/>
      <c r="N2768" s="1175"/>
      <c r="O2768" s="1175"/>
      <c r="P2768" s="1175"/>
      <c r="Q2768" s="1175"/>
      <c r="R2768" s="1175"/>
      <c r="S2768" s="1175"/>
      <c r="T2768" s="1175"/>
      <c r="U2768" s="1175"/>
      <c r="V2768" s="1175"/>
      <c r="W2768" s="1175"/>
      <c r="X2768" s="1175"/>
      <c r="Y2768" s="1175"/>
      <c r="Z2768" s="1175"/>
      <c r="AA2768" s="1175"/>
      <c r="AB2768" s="1175"/>
      <c r="AC2768" s="1175"/>
      <c r="AD2768" s="1175"/>
      <c r="AE2768" s="1175"/>
      <c r="AF2768" s="1175"/>
      <c r="AG2768" s="1176"/>
      <c r="AH2768" s="518"/>
      <c r="AJ2768" s="595"/>
    </row>
    <row r="2769" spans="1:37" hidden="1" x14ac:dyDescent="0.45">
      <c r="A2769" s="518"/>
      <c r="B2769" s="518"/>
      <c r="C2769" s="518"/>
      <c r="D2769" s="518"/>
      <c r="E2769" s="518"/>
      <c r="F2769" s="518"/>
      <c r="G2769" s="518"/>
      <c r="H2769" s="518"/>
      <c r="I2769" s="518"/>
      <c r="J2769" s="518"/>
      <c r="K2769" s="518"/>
      <c r="L2769" s="518"/>
      <c r="M2769" s="518"/>
      <c r="N2769" s="518"/>
      <c r="O2769" s="518"/>
      <c r="P2769" s="518"/>
      <c r="Q2769" s="518"/>
      <c r="R2769" s="518"/>
      <c r="S2769" s="518"/>
      <c r="T2769" s="518"/>
      <c r="U2769" s="518"/>
      <c r="V2769" s="518"/>
      <c r="W2769" s="518"/>
      <c r="X2769" s="518"/>
      <c r="Y2769" s="518"/>
      <c r="Z2769" s="518"/>
      <c r="AA2769" s="518"/>
      <c r="AB2769" s="518"/>
      <c r="AC2769" s="518"/>
      <c r="AD2769" s="518"/>
      <c r="AE2769" s="518"/>
      <c r="AF2769" s="518"/>
      <c r="AG2769" s="518"/>
      <c r="AH2769" s="518"/>
      <c r="AJ2769" s="595"/>
    </row>
    <row r="2770" spans="1:37" hidden="1" x14ac:dyDescent="0.45">
      <c r="A2770" s="518"/>
      <c r="B2770" s="518"/>
      <c r="C2770" s="518"/>
      <c r="D2770" s="518"/>
      <c r="E2770" s="518"/>
      <c r="F2770" s="518"/>
      <c r="G2770" s="518"/>
      <c r="H2770" s="518"/>
      <c r="I2770" s="518"/>
      <c r="J2770" s="518"/>
      <c r="K2770" s="518"/>
      <c r="L2770" s="518"/>
      <c r="M2770" s="518"/>
      <c r="N2770" s="518"/>
      <c r="O2770" s="518"/>
      <c r="P2770" s="518"/>
      <c r="Q2770" s="518"/>
      <c r="R2770" s="518"/>
      <c r="S2770" s="518"/>
      <c r="T2770" s="518"/>
      <c r="U2770" s="518"/>
      <c r="V2770" s="518"/>
      <c r="W2770" s="518"/>
      <c r="X2770" s="518"/>
      <c r="Y2770" s="518"/>
      <c r="Z2770" s="518"/>
      <c r="AA2770" s="518"/>
      <c r="AB2770" s="518"/>
      <c r="AC2770" s="518"/>
      <c r="AD2770" s="518"/>
      <c r="AE2770" s="518"/>
      <c r="AF2770" s="518"/>
      <c r="AG2770" s="518"/>
      <c r="AH2770" s="518"/>
      <c r="AJ2770" s="595" t="b">
        <f>AND(
APP_ApplyingForSerna="Yes",
S1_ER_EligibleApplicant,
S1_SHTA_CompletionStatus="Final/Complete")</f>
        <v>0</v>
      </c>
      <c r="AK2770" s="462" t="str">
        <f>B2771</f>
        <v>Serna Technical Assistance for Self-Help Housing Application</v>
      </c>
    </row>
    <row r="2771" spans="1:37" hidden="1" x14ac:dyDescent="0.45">
      <c r="A2771" s="518"/>
      <c r="B2771" s="907" t="s">
        <v>1836</v>
      </c>
      <c r="C2771" s="907"/>
      <c r="D2771" s="907"/>
      <c r="E2771" s="907"/>
      <c r="F2771" s="907"/>
      <c r="G2771" s="907"/>
      <c r="H2771" s="907"/>
      <c r="I2771" s="907"/>
      <c r="J2771" s="907"/>
      <c r="K2771" s="907"/>
      <c r="L2771" s="907"/>
      <c r="M2771" s="907"/>
      <c r="N2771" s="907"/>
      <c r="O2771" s="907"/>
      <c r="P2771" s="907"/>
      <c r="Q2771" s="907"/>
      <c r="R2771" s="907"/>
      <c r="S2771" s="907"/>
      <c r="T2771" s="907"/>
      <c r="U2771" s="907"/>
      <c r="V2771" s="907"/>
      <c r="W2771" s="907"/>
      <c r="X2771" s="907"/>
      <c r="Y2771" s="907"/>
      <c r="Z2771" s="907"/>
      <c r="AA2771" s="907"/>
      <c r="AB2771" s="907"/>
      <c r="AC2771" s="907"/>
      <c r="AD2771" s="907"/>
      <c r="AE2771" s="907"/>
      <c r="AF2771" s="907"/>
      <c r="AG2771" s="907"/>
      <c r="AH2771" s="518"/>
      <c r="AJ2771" s="595"/>
    </row>
    <row r="2772" spans="1:37" hidden="1" x14ac:dyDescent="0.45">
      <c r="A2772" s="518"/>
      <c r="B2772" s="517"/>
      <c r="C2772" s="517"/>
      <c r="D2772" s="517"/>
      <c r="E2772" s="517"/>
      <c r="F2772" s="517"/>
      <c r="G2772" s="517"/>
      <c r="H2772" s="517"/>
      <c r="I2772" s="517"/>
      <c r="J2772" s="517"/>
      <c r="K2772" s="517"/>
      <c r="L2772" s="517"/>
      <c r="M2772" s="517"/>
      <c r="N2772" s="517"/>
      <c r="O2772" s="517"/>
      <c r="P2772" s="517"/>
      <c r="Q2772" s="517"/>
      <c r="R2772" s="517"/>
      <c r="S2772" s="517"/>
      <c r="T2772" s="517"/>
      <c r="U2772" s="517"/>
      <c r="V2772" s="517"/>
      <c r="W2772" s="517"/>
      <c r="X2772" s="517"/>
      <c r="Y2772" s="517"/>
      <c r="Z2772" s="517"/>
      <c r="AA2772" s="517"/>
      <c r="AB2772" s="517"/>
      <c r="AC2772" s="517"/>
      <c r="AD2772" s="517"/>
      <c r="AE2772" s="517"/>
      <c r="AF2772" s="517"/>
      <c r="AG2772" s="517"/>
      <c r="AH2772" s="518"/>
      <c r="AJ2772" s="595"/>
    </row>
    <row r="2773" spans="1:37" hidden="1" x14ac:dyDescent="0.45">
      <c r="A2773" s="518"/>
      <c r="B2773" s="907" t="s">
        <v>88</v>
      </c>
      <c r="C2773" s="907"/>
      <c r="D2773" s="907"/>
      <c r="E2773" s="907"/>
      <c r="F2773" s="907"/>
      <c r="G2773" s="907"/>
      <c r="H2773" s="1213"/>
      <c r="I2773" s="1214"/>
      <c r="J2773" s="1215"/>
      <c r="K2773" s="1215"/>
      <c r="L2773" s="1215"/>
      <c r="M2773" s="1215"/>
      <c r="N2773" s="1215"/>
      <c r="O2773" s="1216"/>
      <c r="P2773" s="517"/>
      <c r="Q2773" s="517"/>
      <c r="R2773" s="517"/>
      <c r="S2773" s="517"/>
      <c r="T2773" s="517"/>
      <c r="U2773" s="517"/>
      <c r="V2773" s="517"/>
      <c r="W2773" s="517"/>
      <c r="X2773" s="517"/>
      <c r="Y2773" s="517"/>
      <c r="Z2773" s="517"/>
      <c r="AA2773" s="517"/>
      <c r="AB2773" s="517"/>
      <c r="AC2773" s="517"/>
      <c r="AD2773" s="517"/>
      <c r="AE2773" s="517"/>
      <c r="AF2773" s="1180"/>
      <c r="AG2773" s="1180"/>
      <c r="AH2773" s="518"/>
      <c r="AJ2773" s="595"/>
    </row>
    <row r="2774" spans="1:37" hidden="1" x14ac:dyDescent="0.45">
      <c r="A2774" s="518"/>
      <c r="B2774" s="518"/>
      <c r="C2774" s="518"/>
      <c r="D2774" s="518"/>
      <c r="E2774" s="518"/>
      <c r="F2774" s="518"/>
      <c r="G2774" s="518"/>
      <c r="H2774" s="518"/>
      <c r="I2774" s="518"/>
      <c r="J2774" s="518"/>
      <c r="K2774" s="518"/>
      <c r="L2774" s="518"/>
      <c r="M2774" s="518"/>
      <c r="N2774" s="518"/>
      <c r="O2774" s="518"/>
      <c r="P2774" s="518"/>
      <c r="Q2774" s="518"/>
      <c r="R2774" s="518"/>
      <c r="S2774" s="518"/>
      <c r="T2774" s="518"/>
      <c r="U2774" s="518"/>
      <c r="V2774" s="518"/>
      <c r="W2774" s="518"/>
      <c r="X2774" s="518"/>
      <c r="Y2774" s="518"/>
      <c r="Z2774" s="518"/>
      <c r="AA2774" s="518"/>
      <c r="AB2774" s="518"/>
      <c r="AC2774" s="518"/>
      <c r="AD2774" s="518"/>
      <c r="AE2774" s="518"/>
      <c r="AF2774" s="518"/>
      <c r="AG2774" s="518"/>
      <c r="AH2774" s="518"/>
      <c r="AJ2774" s="595"/>
    </row>
    <row r="2775" spans="1:37" ht="41.15" hidden="1" customHeight="1" x14ac:dyDescent="0.45">
      <c r="A2775" s="518"/>
      <c r="B2775" s="1124" t="s">
        <v>1837</v>
      </c>
      <c r="C2775" s="1125"/>
      <c r="D2775" s="1125"/>
      <c r="E2775" s="1125"/>
      <c r="F2775" s="1125"/>
      <c r="G2775" s="1125"/>
      <c r="H2775" s="1125"/>
      <c r="I2775" s="1125"/>
      <c r="J2775" s="1125"/>
      <c r="K2775" s="1125"/>
      <c r="L2775" s="1125"/>
      <c r="M2775" s="1125"/>
      <c r="N2775" s="1125"/>
      <c r="O2775" s="1125"/>
      <c r="P2775" s="1125"/>
      <c r="Q2775" s="1125"/>
      <c r="R2775" s="1125"/>
      <c r="S2775" s="1125"/>
      <c r="T2775" s="1125"/>
      <c r="U2775" s="1125"/>
      <c r="V2775" s="1125"/>
      <c r="W2775" s="1125"/>
      <c r="X2775" s="1125"/>
      <c r="Y2775" s="1125"/>
      <c r="Z2775" s="1125"/>
      <c r="AA2775" s="1125"/>
      <c r="AB2775" s="1125"/>
      <c r="AC2775" s="1125"/>
      <c r="AD2775" s="1125"/>
      <c r="AE2775" s="573"/>
      <c r="AF2775" s="1192"/>
      <c r="AG2775" s="1193"/>
      <c r="AH2775" s="518"/>
      <c r="AJ2775" s="595"/>
    </row>
    <row r="2776" spans="1:37" hidden="1" x14ac:dyDescent="0.45">
      <c r="A2776" s="518"/>
      <c r="B2776" s="518"/>
      <c r="C2776" s="518"/>
      <c r="D2776" s="518"/>
      <c r="E2776" s="518"/>
      <c r="F2776" s="518"/>
      <c r="G2776" s="518"/>
      <c r="H2776" s="518"/>
      <c r="I2776" s="518"/>
      <c r="J2776" s="518"/>
      <c r="K2776" s="518"/>
      <c r="L2776" s="518"/>
      <c r="M2776" s="518"/>
      <c r="N2776" s="518"/>
      <c r="O2776" s="518"/>
      <c r="P2776" s="518"/>
      <c r="Q2776" s="518"/>
      <c r="R2776" s="518"/>
      <c r="S2776" s="518"/>
      <c r="T2776" s="518"/>
      <c r="U2776" s="518"/>
      <c r="V2776" s="518"/>
      <c r="W2776" s="518"/>
      <c r="X2776" s="518"/>
      <c r="Y2776" s="518"/>
      <c r="Z2776" s="518"/>
      <c r="AA2776" s="518"/>
      <c r="AB2776" s="518"/>
      <c r="AC2776" s="518"/>
      <c r="AD2776" s="518"/>
      <c r="AE2776" s="518"/>
      <c r="AF2776" s="518"/>
      <c r="AG2776" s="518"/>
      <c r="AH2776" s="518"/>
      <c r="AJ2776" s="595"/>
    </row>
    <row r="2777" spans="1:37" hidden="1" x14ac:dyDescent="0.45">
      <c r="A2777" s="518"/>
      <c r="B2777" s="1137" t="s">
        <v>90</v>
      </c>
      <c r="C2777" s="1138"/>
      <c r="D2777" s="1138"/>
      <c r="E2777" s="1138"/>
      <c r="F2777" s="1138"/>
      <c r="G2777" s="1138"/>
      <c r="H2777" s="1138"/>
      <c r="I2777" s="1138"/>
      <c r="J2777" s="1138"/>
      <c r="K2777" s="1138"/>
      <c r="L2777" s="1138"/>
      <c r="M2777" s="1138"/>
      <c r="N2777" s="1138"/>
      <c r="O2777" s="1138"/>
      <c r="P2777" s="1138"/>
      <c r="Q2777" s="1138"/>
      <c r="R2777" s="1138"/>
      <c r="S2777" s="1138"/>
      <c r="T2777" s="1138"/>
      <c r="U2777" s="1139"/>
      <c r="V2777" s="1217" t="s">
        <v>91</v>
      </c>
      <c r="W2777" s="1218"/>
      <c r="X2777" s="1219"/>
      <c r="Y2777" s="1217" t="s">
        <v>92</v>
      </c>
      <c r="Z2777" s="1218"/>
      <c r="AA2777" s="1219"/>
      <c r="AB2777" s="1217" t="s">
        <v>93</v>
      </c>
      <c r="AC2777" s="1218"/>
      <c r="AD2777" s="1219"/>
      <c r="AE2777" s="1217" t="s">
        <v>94</v>
      </c>
      <c r="AF2777" s="1218"/>
      <c r="AG2777" s="1219"/>
      <c r="AH2777" s="518"/>
      <c r="AJ2777" s="595"/>
    </row>
    <row r="2778" spans="1:37" hidden="1" x14ac:dyDescent="0.45">
      <c r="A2778" s="518"/>
      <c r="B2778" s="1140"/>
      <c r="C2778" s="1141"/>
      <c r="D2778" s="1141"/>
      <c r="E2778" s="1141"/>
      <c r="F2778" s="1141"/>
      <c r="G2778" s="1141"/>
      <c r="H2778" s="1141"/>
      <c r="I2778" s="1141"/>
      <c r="J2778" s="1141"/>
      <c r="K2778" s="1141"/>
      <c r="L2778" s="1141"/>
      <c r="M2778" s="1141"/>
      <c r="N2778" s="1141"/>
      <c r="O2778" s="1141"/>
      <c r="P2778" s="1141"/>
      <c r="Q2778" s="1141"/>
      <c r="R2778" s="1141"/>
      <c r="S2778" s="1141"/>
      <c r="T2778" s="1141"/>
      <c r="U2778" s="1142"/>
      <c r="V2778" s="1220"/>
      <c r="W2778" s="1221"/>
      <c r="X2778" s="1222"/>
      <c r="Y2778" s="1220"/>
      <c r="Z2778" s="1221"/>
      <c r="AA2778" s="1222"/>
      <c r="AB2778" s="1220"/>
      <c r="AC2778" s="1221"/>
      <c r="AD2778" s="1222"/>
      <c r="AE2778" s="1220"/>
      <c r="AF2778" s="1221"/>
      <c r="AG2778" s="1222"/>
      <c r="AH2778" s="518"/>
      <c r="AJ2778" s="595"/>
    </row>
    <row r="2779" spans="1:37" hidden="1" x14ac:dyDescent="0.45">
      <c r="A2779" s="518"/>
      <c r="B2779" s="1150"/>
      <c r="C2779" s="1151"/>
      <c r="D2779" s="1151"/>
      <c r="E2779" s="1151"/>
      <c r="F2779" s="1151"/>
      <c r="G2779" s="1151"/>
      <c r="H2779" s="1151"/>
      <c r="I2779" s="1151"/>
      <c r="J2779" s="1151"/>
      <c r="K2779" s="1151"/>
      <c r="L2779" s="1151"/>
      <c r="M2779" s="1151"/>
      <c r="N2779" s="1151"/>
      <c r="O2779" s="1151"/>
      <c r="P2779" s="1151"/>
      <c r="Q2779" s="1151"/>
      <c r="R2779" s="1151"/>
      <c r="S2779" s="1151"/>
      <c r="T2779" s="1151"/>
      <c r="U2779" s="1152"/>
      <c r="V2779" s="894"/>
      <c r="W2779" s="895"/>
      <c r="X2779" s="896"/>
      <c r="Y2779" s="1201"/>
      <c r="Z2779" s="1202"/>
      <c r="AA2779" s="1203"/>
      <c r="AB2779" s="1201"/>
      <c r="AC2779" s="1202"/>
      <c r="AD2779" s="1203"/>
      <c r="AE2779" s="1207" cm="1">
        <f t="array" ref="AE2779">wwDateDiff(S1_SHTA_PreviousProgramStart1,S1_SHTA_PreviousProgramEnd1)</f>
        <v>0</v>
      </c>
      <c r="AF2779" s="1208"/>
      <c r="AG2779" s="1209"/>
      <c r="AH2779" s="518"/>
      <c r="AJ2779" s="595"/>
    </row>
    <row r="2780" spans="1:37" hidden="1" x14ac:dyDescent="0.45">
      <c r="A2780" s="518"/>
      <c r="B2780" s="1153"/>
      <c r="C2780" s="1154"/>
      <c r="D2780" s="1154"/>
      <c r="E2780" s="1154"/>
      <c r="F2780" s="1154"/>
      <c r="G2780" s="1154"/>
      <c r="H2780" s="1154"/>
      <c r="I2780" s="1154"/>
      <c r="J2780" s="1154"/>
      <c r="K2780" s="1154"/>
      <c r="L2780" s="1154"/>
      <c r="M2780" s="1154"/>
      <c r="N2780" s="1154"/>
      <c r="O2780" s="1154"/>
      <c r="P2780" s="1154"/>
      <c r="Q2780" s="1154"/>
      <c r="R2780" s="1154"/>
      <c r="S2780" s="1154"/>
      <c r="T2780" s="1154"/>
      <c r="U2780" s="1155"/>
      <c r="V2780" s="897"/>
      <c r="W2780" s="898"/>
      <c r="X2780" s="899"/>
      <c r="Y2780" s="1204"/>
      <c r="Z2780" s="1205"/>
      <c r="AA2780" s="1206"/>
      <c r="AB2780" s="1204"/>
      <c r="AC2780" s="1205"/>
      <c r="AD2780" s="1206"/>
      <c r="AE2780" s="1210"/>
      <c r="AF2780" s="1211"/>
      <c r="AG2780" s="1212"/>
      <c r="AH2780" s="518"/>
      <c r="AJ2780" s="595"/>
    </row>
    <row r="2781" spans="1:37" hidden="1" x14ac:dyDescent="0.45">
      <c r="A2781" s="518"/>
      <c r="B2781" s="1150"/>
      <c r="C2781" s="1151"/>
      <c r="D2781" s="1151"/>
      <c r="E2781" s="1151"/>
      <c r="F2781" s="1151"/>
      <c r="G2781" s="1151"/>
      <c r="H2781" s="1151"/>
      <c r="I2781" s="1151"/>
      <c r="J2781" s="1151"/>
      <c r="K2781" s="1151"/>
      <c r="L2781" s="1151"/>
      <c r="M2781" s="1151"/>
      <c r="N2781" s="1151"/>
      <c r="O2781" s="1151"/>
      <c r="P2781" s="1151"/>
      <c r="Q2781" s="1151"/>
      <c r="R2781" s="1151"/>
      <c r="S2781" s="1151"/>
      <c r="T2781" s="1151"/>
      <c r="U2781" s="1152"/>
      <c r="V2781" s="894"/>
      <c r="W2781" s="895"/>
      <c r="X2781" s="896"/>
      <c r="Y2781" s="1201"/>
      <c r="Z2781" s="1202"/>
      <c r="AA2781" s="1203"/>
      <c r="AB2781" s="1201"/>
      <c r="AC2781" s="1202"/>
      <c r="AD2781" s="1203"/>
      <c r="AE2781" s="1207" cm="1">
        <f t="array" ref="AE2781">wwDateDiff(S1_SHTA_PreviousProgramStart2,S1_SHTA_PreviousProgramEnd2)</f>
        <v>0</v>
      </c>
      <c r="AF2781" s="1208"/>
      <c r="AG2781" s="1209"/>
      <c r="AH2781" s="518"/>
      <c r="AJ2781" s="595"/>
    </row>
    <row r="2782" spans="1:37" hidden="1" x14ac:dyDescent="0.45">
      <c r="A2782" s="518"/>
      <c r="B2782" s="1153"/>
      <c r="C2782" s="1154"/>
      <c r="D2782" s="1154"/>
      <c r="E2782" s="1154"/>
      <c r="F2782" s="1154"/>
      <c r="G2782" s="1154"/>
      <c r="H2782" s="1154"/>
      <c r="I2782" s="1154"/>
      <c r="J2782" s="1154"/>
      <c r="K2782" s="1154"/>
      <c r="L2782" s="1154"/>
      <c r="M2782" s="1154"/>
      <c r="N2782" s="1154"/>
      <c r="O2782" s="1154"/>
      <c r="P2782" s="1154"/>
      <c r="Q2782" s="1154"/>
      <c r="R2782" s="1154"/>
      <c r="S2782" s="1154"/>
      <c r="T2782" s="1154"/>
      <c r="U2782" s="1155"/>
      <c r="V2782" s="897"/>
      <c r="W2782" s="898"/>
      <c r="X2782" s="899"/>
      <c r="Y2782" s="1204"/>
      <c r="Z2782" s="1205"/>
      <c r="AA2782" s="1206"/>
      <c r="AB2782" s="1204"/>
      <c r="AC2782" s="1205"/>
      <c r="AD2782" s="1206"/>
      <c r="AE2782" s="1210"/>
      <c r="AF2782" s="1211"/>
      <c r="AG2782" s="1212"/>
      <c r="AH2782" s="518"/>
      <c r="AJ2782" s="595"/>
    </row>
    <row r="2783" spans="1:37" hidden="1" x14ac:dyDescent="0.45">
      <c r="A2783" s="518"/>
      <c r="B2783" s="1150"/>
      <c r="C2783" s="1151"/>
      <c r="D2783" s="1151"/>
      <c r="E2783" s="1151"/>
      <c r="F2783" s="1151"/>
      <c r="G2783" s="1151"/>
      <c r="H2783" s="1151"/>
      <c r="I2783" s="1151"/>
      <c r="J2783" s="1151"/>
      <c r="K2783" s="1151"/>
      <c r="L2783" s="1151"/>
      <c r="M2783" s="1151"/>
      <c r="N2783" s="1151"/>
      <c r="O2783" s="1151"/>
      <c r="P2783" s="1151"/>
      <c r="Q2783" s="1151"/>
      <c r="R2783" s="1151"/>
      <c r="S2783" s="1151"/>
      <c r="T2783" s="1151"/>
      <c r="U2783" s="1152"/>
      <c r="V2783" s="894"/>
      <c r="W2783" s="895"/>
      <c r="X2783" s="896"/>
      <c r="Y2783" s="1201"/>
      <c r="Z2783" s="1202"/>
      <c r="AA2783" s="1203"/>
      <c r="AB2783" s="1201"/>
      <c r="AC2783" s="1202"/>
      <c r="AD2783" s="1203"/>
      <c r="AE2783" s="1207" cm="1">
        <f t="array" ref="AE2783">wwDateDiff(S1_SHTA_PreviousProgramStart3,S1_SHTA_PreviousProgramEnd3)</f>
        <v>0</v>
      </c>
      <c r="AF2783" s="1208"/>
      <c r="AG2783" s="1209"/>
      <c r="AH2783" s="518"/>
      <c r="AJ2783" s="595"/>
    </row>
    <row r="2784" spans="1:37" hidden="1" x14ac:dyDescent="0.45">
      <c r="A2784" s="518"/>
      <c r="B2784" s="1153"/>
      <c r="C2784" s="1154"/>
      <c r="D2784" s="1154"/>
      <c r="E2784" s="1154"/>
      <c r="F2784" s="1154"/>
      <c r="G2784" s="1154"/>
      <c r="H2784" s="1154"/>
      <c r="I2784" s="1154"/>
      <c r="J2784" s="1154"/>
      <c r="K2784" s="1154"/>
      <c r="L2784" s="1154"/>
      <c r="M2784" s="1154"/>
      <c r="N2784" s="1154"/>
      <c r="O2784" s="1154"/>
      <c r="P2784" s="1154"/>
      <c r="Q2784" s="1154"/>
      <c r="R2784" s="1154"/>
      <c r="S2784" s="1154"/>
      <c r="T2784" s="1154"/>
      <c r="U2784" s="1155"/>
      <c r="V2784" s="897"/>
      <c r="W2784" s="898"/>
      <c r="X2784" s="899"/>
      <c r="Y2784" s="1204"/>
      <c r="Z2784" s="1205"/>
      <c r="AA2784" s="1206"/>
      <c r="AB2784" s="1204"/>
      <c r="AC2784" s="1205"/>
      <c r="AD2784" s="1206"/>
      <c r="AE2784" s="1210"/>
      <c r="AF2784" s="1211"/>
      <c r="AG2784" s="1212"/>
      <c r="AH2784" s="518"/>
      <c r="AJ2784" s="595"/>
    </row>
    <row r="2785" spans="1:36" hidden="1" x14ac:dyDescent="0.45">
      <c r="A2785" s="518"/>
      <c r="B2785" s="1150"/>
      <c r="C2785" s="1151"/>
      <c r="D2785" s="1151"/>
      <c r="E2785" s="1151"/>
      <c r="F2785" s="1151"/>
      <c r="G2785" s="1151"/>
      <c r="H2785" s="1151"/>
      <c r="I2785" s="1151"/>
      <c r="J2785" s="1151"/>
      <c r="K2785" s="1151"/>
      <c r="L2785" s="1151"/>
      <c r="M2785" s="1151"/>
      <c r="N2785" s="1151"/>
      <c r="O2785" s="1151"/>
      <c r="P2785" s="1151"/>
      <c r="Q2785" s="1151"/>
      <c r="R2785" s="1151"/>
      <c r="S2785" s="1151"/>
      <c r="T2785" s="1151"/>
      <c r="U2785" s="1152"/>
      <c r="V2785" s="894"/>
      <c r="W2785" s="895"/>
      <c r="X2785" s="896"/>
      <c r="Y2785" s="1201"/>
      <c r="Z2785" s="1202"/>
      <c r="AA2785" s="1203"/>
      <c r="AB2785" s="1201"/>
      <c r="AC2785" s="1202"/>
      <c r="AD2785" s="1203"/>
      <c r="AE2785" s="1207" cm="1">
        <f t="array" ref="AE2785">wwDateDiff(S1_SHTA_PreviousProgramStart4,S1_SHTA_PreviousProgramEnd4)</f>
        <v>0</v>
      </c>
      <c r="AF2785" s="1208"/>
      <c r="AG2785" s="1209"/>
      <c r="AH2785" s="518"/>
      <c r="AJ2785" s="595"/>
    </row>
    <row r="2786" spans="1:36" hidden="1" x14ac:dyDescent="0.45">
      <c r="A2786" s="518"/>
      <c r="B2786" s="1153"/>
      <c r="C2786" s="1154"/>
      <c r="D2786" s="1154"/>
      <c r="E2786" s="1154"/>
      <c r="F2786" s="1154"/>
      <c r="G2786" s="1154"/>
      <c r="H2786" s="1154"/>
      <c r="I2786" s="1154"/>
      <c r="J2786" s="1154"/>
      <c r="K2786" s="1154"/>
      <c r="L2786" s="1154"/>
      <c r="M2786" s="1154"/>
      <c r="N2786" s="1154"/>
      <c r="O2786" s="1154"/>
      <c r="P2786" s="1154"/>
      <c r="Q2786" s="1154"/>
      <c r="R2786" s="1154"/>
      <c r="S2786" s="1154"/>
      <c r="T2786" s="1154"/>
      <c r="U2786" s="1155"/>
      <c r="V2786" s="897"/>
      <c r="W2786" s="898"/>
      <c r="X2786" s="899"/>
      <c r="Y2786" s="1204"/>
      <c r="Z2786" s="1205"/>
      <c r="AA2786" s="1206"/>
      <c r="AB2786" s="1204"/>
      <c r="AC2786" s="1205"/>
      <c r="AD2786" s="1206"/>
      <c r="AE2786" s="1210"/>
      <c r="AF2786" s="1211"/>
      <c r="AG2786" s="1212"/>
      <c r="AH2786" s="518"/>
      <c r="AJ2786" s="595"/>
    </row>
    <row r="2787" spans="1:36" hidden="1" x14ac:dyDescent="0.45">
      <c r="A2787" s="518"/>
      <c r="B2787" s="1150"/>
      <c r="C2787" s="1151"/>
      <c r="D2787" s="1151"/>
      <c r="E2787" s="1151"/>
      <c r="F2787" s="1151"/>
      <c r="G2787" s="1151"/>
      <c r="H2787" s="1151"/>
      <c r="I2787" s="1151"/>
      <c r="J2787" s="1151"/>
      <c r="K2787" s="1151"/>
      <c r="L2787" s="1151"/>
      <c r="M2787" s="1151"/>
      <c r="N2787" s="1151"/>
      <c r="O2787" s="1151"/>
      <c r="P2787" s="1151"/>
      <c r="Q2787" s="1151"/>
      <c r="R2787" s="1151"/>
      <c r="S2787" s="1151"/>
      <c r="T2787" s="1151"/>
      <c r="U2787" s="1152"/>
      <c r="V2787" s="894"/>
      <c r="W2787" s="895"/>
      <c r="X2787" s="896"/>
      <c r="Y2787" s="1201"/>
      <c r="Z2787" s="1202"/>
      <c r="AA2787" s="1203"/>
      <c r="AB2787" s="1201"/>
      <c r="AC2787" s="1202"/>
      <c r="AD2787" s="1203"/>
      <c r="AE2787" s="1207" cm="1">
        <f t="array" ref="AE2787">wwDateDiff(S1_SHTA_PreviousProgramStart5,S1_SHTA_PreviousProgramEnd5)</f>
        <v>0</v>
      </c>
      <c r="AF2787" s="1208"/>
      <c r="AG2787" s="1209"/>
      <c r="AH2787" s="518"/>
      <c r="AJ2787" s="595"/>
    </row>
    <row r="2788" spans="1:36" hidden="1" x14ac:dyDescent="0.45">
      <c r="A2788" s="518"/>
      <c r="B2788" s="1153"/>
      <c r="C2788" s="1154"/>
      <c r="D2788" s="1154"/>
      <c r="E2788" s="1154"/>
      <c r="F2788" s="1154"/>
      <c r="G2788" s="1154"/>
      <c r="H2788" s="1154"/>
      <c r="I2788" s="1154"/>
      <c r="J2788" s="1154"/>
      <c r="K2788" s="1154"/>
      <c r="L2788" s="1154"/>
      <c r="M2788" s="1154"/>
      <c r="N2788" s="1154"/>
      <c r="O2788" s="1154"/>
      <c r="P2788" s="1154"/>
      <c r="Q2788" s="1154"/>
      <c r="R2788" s="1154"/>
      <c r="S2788" s="1154"/>
      <c r="T2788" s="1154"/>
      <c r="U2788" s="1155"/>
      <c r="V2788" s="897"/>
      <c r="W2788" s="898"/>
      <c r="X2788" s="899"/>
      <c r="Y2788" s="1204"/>
      <c r="Z2788" s="1205"/>
      <c r="AA2788" s="1206"/>
      <c r="AB2788" s="1204"/>
      <c r="AC2788" s="1205"/>
      <c r="AD2788" s="1206"/>
      <c r="AE2788" s="1210"/>
      <c r="AF2788" s="1211"/>
      <c r="AG2788" s="1212"/>
      <c r="AH2788" s="518"/>
      <c r="AJ2788" s="595"/>
    </row>
    <row r="2789" spans="1:36" hidden="1" x14ac:dyDescent="0.45">
      <c r="A2789" s="518"/>
      <c r="B2789" s="518"/>
      <c r="C2789" s="518"/>
      <c r="D2789" s="518"/>
      <c r="E2789" s="518"/>
      <c r="F2789" s="518"/>
      <c r="G2789" s="518"/>
      <c r="H2789" s="518"/>
      <c r="I2789" s="518"/>
      <c r="J2789" s="518"/>
      <c r="K2789" s="518"/>
      <c r="L2789" s="518"/>
      <c r="M2789" s="518"/>
      <c r="N2789" s="518"/>
      <c r="O2789" s="518"/>
      <c r="P2789" s="518"/>
      <c r="Q2789" s="518"/>
      <c r="R2789" s="518"/>
      <c r="S2789" s="518"/>
      <c r="T2789" s="518"/>
      <c r="U2789" s="518"/>
      <c r="V2789" s="518"/>
      <c r="W2789" s="518"/>
      <c r="X2789" s="518"/>
      <c r="Y2789" s="518"/>
      <c r="Z2789" s="518"/>
      <c r="AA2789" s="518"/>
      <c r="AB2789" s="518"/>
      <c r="AC2789" s="518"/>
      <c r="AD2789" s="518"/>
      <c r="AE2789" s="518"/>
      <c r="AF2789" s="518"/>
      <c r="AG2789" s="518"/>
      <c r="AH2789" s="518"/>
      <c r="AJ2789" s="595"/>
    </row>
    <row r="2790" spans="1:36" ht="29.15" hidden="1" customHeight="1" x14ac:dyDescent="0.45">
      <c r="A2790" s="518"/>
      <c r="B2790" s="1121" t="s">
        <v>210</v>
      </c>
      <c r="C2790" s="1122"/>
      <c r="D2790" s="1122"/>
      <c r="E2790" s="1122"/>
      <c r="F2790" s="1122"/>
      <c r="G2790" s="1122"/>
      <c r="H2790" s="1122"/>
      <c r="I2790" s="1122"/>
      <c r="J2790" s="1122"/>
      <c r="K2790" s="1122"/>
      <c r="L2790" s="1122"/>
      <c r="M2790" s="1122"/>
      <c r="N2790" s="1122"/>
      <c r="O2790" s="1122"/>
      <c r="P2790" s="1122"/>
      <c r="Q2790" s="1122"/>
      <c r="R2790" s="1122"/>
      <c r="S2790" s="1122"/>
      <c r="T2790" s="1122"/>
      <c r="U2790" s="1122"/>
      <c r="V2790" s="1122"/>
      <c r="W2790" s="1122"/>
      <c r="X2790" s="1122"/>
      <c r="Y2790" s="1122"/>
      <c r="Z2790" s="1122"/>
      <c r="AA2790" s="1122"/>
      <c r="AB2790" s="1122"/>
      <c r="AC2790" s="1122"/>
      <c r="AD2790" s="1122"/>
      <c r="AE2790" s="528"/>
      <c r="AF2790" s="1190"/>
      <c r="AG2790" s="1191"/>
      <c r="AH2790" s="518"/>
      <c r="AJ2790" s="595"/>
    </row>
    <row r="2791" spans="1:36" ht="41.15" hidden="1" customHeight="1" x14ac:dyDescent="0.45">
      <c r="A2791" s="518"/>
      <c r="B2791" s="1124" t="s">
        <v>211</v>
      </c>
      <c r="C2791" s="1125"/>
      <c r="D2791" s="1125"/>
      <c r="E2791" s="1125"/>
      <c r="F2791" s="1125"/>
      <c r="G2791" s="1125"/>
      <c r="H2791" s="1125"/>
      <c r="I2791" s="1125"/>
      <c r="J2791" s="1125"/>
      <c r="K2791" s="1125"/>
      <c r="L2791" s="1125"/>
      <c r="M2791" s="1125"/>
      <c r="N2791" s="1125"/>
      <c r="O2791" s="1125"/>
      <c r="P2791" s="1125"/>
      <c r="Q2791" s="1125"/>
      <c r="R2791" s="1125"/>
      <c r="S2791" s="1125"/>
      <c r="T2791" s="1125"/>
      <c r="U2791" s="1125"/>
      <c r="V2791" s="1125"/>
      <c r="W2791" s="1125"/>
      <c r="X2791" s="1125"/>
      <c r="Y2791" s="1125"/>
      <c r="Z2791" s="1125"/>
      <c r="AA2791" s="1125"/>
      <c r="AB2791" s="1125"/>
      <c r="AC2791" s="1125"/>
      <c r="AD2791" s="1125"/>
      <c r="AE2791" s="573"/>
      <c r="AF2791" s="1192"/>
      <c r="AG2791" s="1193"/>
      <c r="AH2791" s="518"/>
      <c r="AJ2791" s="595"/>
    </row>
    <row r="2792" spans="1:36" hidden="1" x14ac:dyDescent="0.45">
      <c r="A2792" s="518"/>
      <c r="B2792" s="518"/>
      <c r="C2792" s="518"/>
      <c r="D2792" s="518"/>
      <c r="E2792" s="518"/>
      <c r="F2792" s="518"/>
      <c r="G2792" s="518"/>
      <c r="H2792" s="518"/>
      <c r="I2792" s="518"/>
      <c r="J2792" s="518"/>
      <c r="K2792" s="518"/>
      <c r="L2792" s="518"/>
      <c r="M2792" s="518"/>
      <c r="N2792" s="518"/>
      <c r="O2792" s="518"/>
      <c r="P2792" s="518"/>
      <c r="Q2792" s="518"/>
      <c r="R2792" s="518"/>
      <c r="S2792" s="518"/>
      <c r="T2792" s="518"/>
      <c r="U2792" s="518"/>
      <c r="V2792" s="518"/>
      <c r="W2792" s="518"/>
      <c r="X2792" s="518"/>
      <c r="Y2792" s="518"/>
      <c r="Z2792" s="518"/>
      <c r="AA2792" s="518"/>
      <c r="AB2792" s="518"/>
      <c r="AC2792" s="518"/>
      <c r="AD2792" s="518"/>
      <c r="AE2792" s="518"/>
      <c r="AF2792" s="518"/>
      <c r="AG2792" s="518"/>
      <c r="AH2792" s="518"/>
      <c r="AJ2792" s="595"/>
    </row>
    <row r="2793" spans="1:36" hidden="1" x14ac:dyDescent="0.45">
      <c r="A2793" s="518"/>
      <c r="B2793" s="518"/>
      <c r="C2793" s="518"/>
      <c r="D2793" s="518"/>
      <c r="E2793" s="518"/>
      <c r="F2793" s="518"/>
      <c r="G2793" s="518"/>
      <c r="H2793" s="518"/>
      <c r="I2793" s="518"/>
      <c r="J2793" s="518"/>
      <c r="K2793" s="518"/>
      <c r="L2793" s="518"/>
      <c r="M2793" s="518"/>
      <c r="N2793" s="518"/>
      <c r="O2793" s="518"/>
      <c r="P2793" s="518"/>
      <c r="Q2793" s="518"/>
      <c r="R2793" s="518"/>
      <c r="S2793" s="518"/>
      <c r="T2793" s="518"/>
      <c r="U2793" s="518"/>
      <c r="V2793" s="518"/>
      <c r="W2793" s="518"/>
      <c r="X2793" s="518"/>
      <c r="Y2793" s="518"/>
      <c r="Z2793" s="518"/>
      <c r="AA2793" s="518"/>
      <c r="AB2793" s="518"/>
      <c r="AC2793" s="518"/>
      <c r="AD2793" s="518"/>
      <c r="AE2793" s="518"/>
      <c r="AF2793" s="518"/>
      <c r="AG2793" s="518"/>
      <c r="AH2793" s="518"/>
      <c r="AJ2793" s="595"/>
    </row>
    <row r="2794" spans="1:36" hidden="1" x14ac:dyDescent="0.45">
      <c r="A2794" s="518"/>
      <c r="B2794" s="907" t="str">
        <f>B2771</f>
        <v>Serna Technical Assistance for Self-Help Housing Application</v>
      </c>
      <c r="C2794" s="907"/>
      <c r="D2794" s="907"/>
      <c r="E2794" s="907"/>
      <c r="F2794" s="907"/>
      <c r="G2794" s="907"/>
      <c r="H2794" s="907"/>
      <c r="I2794" s="907"/>
      <c r="J2794" s="907"/>
      <c r="K2794" s="907"/>
      <c r="L2794" s="907"/>
      <c r="M2794" s="907"/>
      <c r="N2794" s="907"/>
      <c r="O2794" s="907"/>
      <c r="P2794" s="907"/>
      <c r="Q2794" s="907"/>
      <c r="R2794" s="907"/>
      <c r="S2794" s="907"/>
      <c r="T2794" s="907"/>
      <c r="U2794" s="907"/>
      <c r="V2794" s="907"/>
      <c r="W2794" s="907"/>
      <c r="X2794" s="907"/>
      <c r="Y2794" s="907"/>
      <c r="Z2794" s="907"/>
      <c r="AA2794" s="907"/>
      <c r="AB2794" s="907"/>
      <c r="AC2794" s="907"/>
      <c r="AD2794" s="907"/>
      <c r="AE2794" s="907"/>
      <c r="AF2794" s="907"/>
      <c r="AG2794" s="907"/>
      <c r="AH2794" s="518"/>
      <c r="AJ2794" s="595"/>
    </row>
    <row r="2795" spans="1:36" hidden="1" x14ac:dyDescent="0.45">
      <c r="A2795" s="518"/>
      <c r="B2795" s="518"/>
      <c r="C2795" s="518"/>
      <c r="D2795" s="518"/>
      <c r="E2795" s="518"/>
      <c r="F2795" s="518"/>
      <c r="G2795" s="518"/>
      <c r="H2795" s="518"/>
      <c r="I2795" s="518"/>
      <c r="J2795" s="518"/>
      <c r="K2795" s="518"/>
      <c r="L2795" s="518"/>
      <c r="M2795" s="518"/>
      <c r="N2795" s="518"/>
      <c r="O2795" s="518"/>
      <c r="P2795" s="518"/>
      <c r="Q2795" s="518"/>
      <c r="R2795" s="518"/>
      <c r="S2795" s="518"/>
      <c r="T2795" s="518"/>
      <c r="U2795" s="518"/>
      <c r="V2795" s="518"/>
      <c r="W2795" s="518"/>
      <c r="X2795" s="518"/>
      <c r="Y2795" s="518"/>
      <c r="Z2795" s="518"/>
      <c r="AA2795" s="518"/>
      <c r="AB2795" s="518"/>
      <c r="AC2795" s="518"/>
      <c r="AD2795" s="518"/>
      <c r="AE2795" s="518"/>
      <c r="AF2795" s="518"/>
      <c r="AG2795" s="518"/>
      <c r="AH2795" s="518"/>
      <c r="AJ2795" s="595"/>
    </row>
    <row r="2796" spans="1:36" hidden="1" x14ac:dyDescent="0.45">
      <c r="A2796" s="518"/>
      <c r="B2796" s="1194" t="s">
        <v>100</v>
      </c>
      <c r="C2796" s="1194"/>
      <c r="D2796" s="1194"/>
      <c r="E2796" s="1194"/>
      <c r="F2796" s="1194"/>
      <c r="G2796" s="1194"/>
      <c r="H2796" s="1194"/>
      <c r="I2796" s="1194"/>
      <c r="J2796" s="1194"/>
      <c r="K2796" s="1194"/>
      <c r="L2796" s="1194"/>
      <c r="M2796" s="1194"/>
      <c r="N2796" s="1194"/>
      <c r="O2796" s="1194"/>
      <c r="P2796" s="1194"/>
      <c r="Q2796" s="1194"/>
      <c r="R2796" s="1194"/>
      <c r="S2796" s="1194"/>
      <c r="T2796" s="1194"/>
      <c r="U2796" s="1194"/>
      <c r="V2796" s="1194"/>
      <c r="W2796" s="1194"/>
      <c r="X2796" s="1194"/>
      <c r="Y2796" s="1194"/>
      <c r="Z2796" s="1194"/>
      <c r="AA2796" s="1194"/>
      <c r="AB2796" s="1194"/>
      <c r="AC2796" s="1194"/>
      <c r="AD2796" s="1194"/>
      <c r="AE2796" s="1194"/>
      <c r="AF2796" s="1194"/>
      <c r="AG2796" s="1194"/>
      <c r="AH2796" s="518"/>
      <c r="AJ2796" s="595"/>
    </row>
    <row r="2797" spans="1:36" ht="304" hidden="1" customHeight="1" x14ac:dyDescent="0.45">
      <c r="A2797" s="518"/>
      <c r="B2797" s="1195"/>
      <c r="C2797" s="1196"/>
      <c r="D2797" s="1196"/>
      <c r="E2797" s="1196"/>
      <c r="F2797" s="1196"/>
      <c r="G2797" s="1196"/>
      <c r="H2797" s="1196"/>
      <c r="I2797" s="1196"/>
      <c r="J2797" s="1196"/>
      <c r="K2797" s="1196"/>
      <c r="L2797" s="1196"/>
      <c r="M2797" s="1196"/>
      <c r="N2797" s="1196"/>
      <c r="O2797" s="1196"/>
      <c r="P2797" s="1196"/>
      <c r="Q2797" s="1196"/>
      <c r="R2797" s="1196"/>
      <c r="S2797" s="1196"/>
      <c r="T2797" s="1196"/>
      <c r="U2797" s="1196"/>
      <c r="V2797" s="1196"/>
      <c r="W2797" s="1196"/>
      <c r="X2797" s="1196"/>
      <c r="Y2797" s="1196"/>
      <c r="Z2797" s="1196"/>
      <c r="AA2797" s="1196"/>
      <c r="AB2797" s="1196"/>
      <c r="AC2797" s="1196"/>
      <c r="AD2797" s="1196"/>
      <c r="AE2797" s="1196"/>
      <c r="AF2797" s="1196"/>
      <c r="AG2797" s="1197"/>
      <c r="AH2797" s="518"/>
      <c r="AJ2797" s="595"/>
    </row>
    <row r="2798" spans="1:36" ht="304" hidden="1" customHeight="1" x14ac:dyDescent="0.45">
      <c r="A2798" s="518"/>
      <c r="B2798" s="1198"/>
      <c r="C2798" s="1199"/>
      <c r="D2798" s="1199"/>
      <c r="E2798" s="1199"/>
      <c r="F2798" s="1199"/>
      <c r="G2798" s="1199"/>
      <c r="H2798" s="1199"/>
      <c r="I2798" s="1199"/>
      <c r="J2798" s="1199"/>
      <c r="K2798" s="1199"/>
      <c r="L2798" s="1199"/>
      <c r="M2798" s="1199"/>
      <c r="N2798" s="1199"/>
      <c r="O2798" s="1199"/>
      <c r="P2798" s="1199"/>
      <c r="Q2798" s="1199"/>
      <c r="R2798" s="1199"/>
      <c r="S2798" s="1199"/>
      <c r="T2798" s="1199"/>
      <c r="U2798" s="1199"/>
      <c r="V2798" s="1199"/>
      <c r="W2798" s="1199"/>
      <c r="X2798" s="1199"/>
      <c r="Y2798" s="1199"/>
      <c r="Z2798" s="1199"/>
      <c r="AA2798" s="1199"/>
      <c r="AB2798" s="1199"/>
      <c r="AC2798" s="1199"/>
      <c r="AD2798" s="1199"/>
      <c r="AE2798" s="1199"/>
      <c r="AF2798" s="1199"/>
      <c r="AG2798" s="1200"/>
      <c r="AH2798" s="518"/>
      <c r="AJ2798" s="595"/>
    </row>
    <row r="2799" spans="1:36" hidden="1" x14ac:dyDescent="0.45">
      <c r="A2799" s="518"/>
      <c r="B2799" s="518"/>
      <c r="C2799" s="518"/>
      <c r="D2799" s="518"/>
      <c r="E2799" s="518"/>
      <c r="F2799" s="518"/>
      <c r="G2799" s="518"/>
      <c r="H2799" s="518"/>
      <c r="I2799" s="518"/>
      <c r="J2799" s="518"/>
      <c r="K2799" s="518"/>
      <c r="L2799" s="518"/>
      <c r="M2799" s="518"/>
      <c r="N2799" s="518"/>
      <c r="O2799" s="518"/>
      <c r="P2799" s="518"/>
      <c r="Q2799" s="518"/>
      <c r="R2799" s="518"/>
      <c r="S2799" s="518"/>
      <c r="T2799" s="518"/>
      <c r="U2799" s="518"/>
      <c r="V2799" s="518"/>
      <c r="W2799" s="518"/>
      <c r="X2799" s="518"/>
      <c r="Y2799" s="518"/>
      <c r="Z2799" s="518"/>
      <c r="AA2799" s="518"/>
      <c r="AB2799" s="518"/>
      <c r="AC2799" s="518"/>
      <c r="AD2799" s="518"/>
      <c r="AE2799" s="518"/>
      <c r="AF2799" s="518"/>
      <c r="AG2799" s="518"/>
      <c r="AH2799" s="518"/>
      <c r="AJ2799" s="595"/>
    </row>
    <row r="2800" spans="1:36" hidden="1" x14ac:dyDescent="0.45">
      <c r="A2800" s="518"/>
      <c r="B2800" s="518"/>
      <c r="C2800" s="518"/>
      <c r="D2800" s="518"/>
      <c r="E2800" s="518"/>
      <c r="F2800" s="518"/>
      <c r="G2800" s="518"/>
      <c r="H2800" s="518"/>
      <c r="I2800" s="518"/>
      <c r="J2800" s="518"/>
      <c r="K2800" s="518"/>
      <c r="L2800" s="518"/>
      <c r="M2800" s="518"/>
      <c r="N2800" s="518"/>
      <c r="O2800" s="518"/>
      <c r="P2800" s="518"/>
      <c r="Q2800" s="518"/>
      <c r="R2800" s="518"/>
      <c r="S2800" s="518"/>
      <c r="T2800" s="518"/>
      <c r="U2800" s="518"/>
      <c r="V2800" s="518"/>
      <c r="W2800" s="518"/>
      <c r="X2800" s="518"/>
      <c r="Y2800" s="518"/>
      <c r="Z2800" s="518"/>
      <c r="AA2800" s="518"/>
      <c r="AB2800" s="518"/>
      <c r="AC2800" s="518"/>
      <c r="AD2800" s="518"/>
      <c r="AE2800" s="518"/>
      <c r="AF2800" s="518"/>
      <c r="AG2800" s="518"/>
      <c r="AH2800" s="518"/>
      <c r="AJ2800" s="595"/>
    </row>
    <row r="2801" spans="1:36" hidden="1" x14ac:dyDescent="0.45">
      <c r="A2801" s="518"/>
      <c r="B2801" s="907" t="str">
        <f>B2794</f>
        <v>Serna Technical Assistance for Self-Help Housing Application</v>
      </c>
      <c r="C2801" s="907"/>
      <c r="D2801" s="907"/>
      <c r="E2801" s="907"/>
      <c r="F2801" s="907"/>
      <c r="G2801" s="907"/>
      <c r="H2801" s="907"/>
      <c r="I2801" s="907"/>
      <c r="J2801" s="907"/>
      <c r="K2801" s="907"/>
      <c r="L2801" s="907"/>
      <c r="M2801" s="907"/>
      <c r="N2801" s="907"/>
      <c r="O2801" s="907"/>
      <c r="P2801" s="907"/>
      <c r="Q2801" s="907"/>
      <c r="R2801" s="907"/>
      <c r="S2801" s="907"/>
      <c r="T2801" s="907"/>
      <c r="U2801" s="907"/>
      <c r="V2801" s="907"/>
      <c r="W2801" s="907"/>
      <c r="X2801" s="907"/>
      <c r="Y2801" s="907"/>
      <c r="Z2801" s="907"/>
      <c r="AA2801" s="907"/>
      <c r="AB2801" s="907"/>
      <c r="AC2801" s="907"/>
      <c r="AD2801" s="907"/>
      <c r="AE2801" s="907"/>
      <c r="AF2801" s="907"/>
      <c r="AG2801" s="907"/>
      <c r="AH2801" s="518"/>
      <c r="AJ2801" s="595"/>
    </row>
    <row r="2802" spans="1:36" hidden="1" x14ac:dyDescent="0.45">
      <c r="A2802" s="518"/>
      <c r="B2802" s="518"/>
      <c r="C2802" s="518"/>
      <c r="D2802" s="518"/>
      <c r="E2802" s="518"/>
      <c r="F2802" s="518"/>
      <c r="G2802" s="518"/>
      <c r="H2802" s="518"/>
      <c r="I2802" s="518"/>
      <c r="J2802" s="518"/>
      <c r="K2802" s="518"/>
      <c r="L2802" s="518"/>
      <c r="M2802" s="518"/>
      <c r="N2802" s="518"/>
      <c r="O2802" s="518"/>
      <c r="P2802" s="518"/>
      <c r="Q2802" s="518"/>
      <c r="R2802" s="518"/>
      <c r="S2802" s="518"/>
      <c r="T2802" s="518"/>
      <c r="U2802" s="518"/>
      <c r="V2802" s="518"/>
      <c r="W2802" s="518"/>
      <c r="X2802" s="518"/>
      <c r="Y2802" s="518"/>
      <c r="Z2802" s="518"/>
      <c r="AA2802" s="518"/>
      <c r="AB2802" s="518"/>
      <c r="AC2802" s="518"/>
      <c r="AD2802" s="518"/>
      <c r="AE2802" s="518"/>
      <c r="AF2802" s="518"/>
      <c r="AG2802" s="518"/>
      <c r="AH2802" s="518"/>
      <c r="AJ2802" s="595"/>
    </row>
    <row r="2803" spans="1:36" hidden="1" x14ac:dyDescent="0.45">
      <c r="A2803" s="518"/>
      <c r="B2803" s="1194" t="s">
        <v>101</v>
      </c>
      <c r="C2803" s="1194"/>
      <c r="D2803" s="1194"/>
      <c r="E2803" s="1194"/>
      <c r="F2803" s="1194"/>
      <c r="G2803" s="1194"/>
      <c r="H2803" s="1194"/>
      <c r="I2803" s="1194"/>
      <c r="J2803" s="1194"/>
      <c r="K2803" s="1194"/>
      <c r="L2803" s="1194"/>
      <c r="M2803" s="1194"/>
      <c r="N2803" s="1194"/>
      <c r="O2803" s="1194"/>
      <c r="P2803" s="1194"/>
      <c r="Q2803" s="1194"/>
      <c r="R2803" s="1194"/>
      <c r="S2803" s="1194"/>
      <c r="T2803" s="1194"/>
      <c r="U2803" s="1194"/>
      <c r="V2803" s="1194"/>
      <c r="W2803" s="1194"/>
      <c r="X2803" s="1194"/>
      <c r="Y2803" s="1194"/>
      <c r="Z2803" s="1194"/>
      <c r="AA2803" s="1194"/>
      <c r="AB2803" s="1194"/>
      <c r="AC2803" s="1194"/>
      <c r="AD2803" s="1194"/>
      <c r="AE2803" s="1194"/>
      <c r="AF2803" s="1194"/>
      <c r="AG2803" s="1194"/>
      <c r="AH2803" s="518"/>
      <c r="AJ2803" s="595"/>
    </row>
    <row r="2804" spans="1:36" ht="304" hidden="1" customHeight="1" x14ac:dyDescent="0.45">
      <c r="A2804" s="518"/>
      <c r="B2804" s="1195"/>
      <c r="C2804" s="1196"/>
      <c r="D2804" s="1196"/>
      <c r="E2804" s="1196"/>
      <c r="F2804" s="1196"/>
      <c r="G2804" s="1196"/>
      <c r="H2804" s="1196"/>
      <c r="I2804" s="1196"/>
      <c r="J2804" s="1196"/>
      <c r="K2804" s="1196"/>
      <c r="L2804" s="1196"/>
      <c r="M2804" s="1196"/>
      <c r="N2804" s="1196"/>
      <c r="O2804" s="1196"/>
      <c r="P2804" s="1196"/>
      <c r="Q2804" s="1196"/>
      <c r="R2804" s="1196"/>
      <c r="S2804" s="1196"/>
      <c r="T2804" s="1196"/>
      <c r="U2804" s="1196"/>
      <c r="V2804" s="1196"/>
      <c r="W2804" s="1196"/>
      <c r="X2804" s="1196"/>
      <c r="Y2804" s="1196"/>
      <c r="Z2804" s="1196"/>
      <c r="AA2804" s="1196"/>
      <c r="AB2804" s="1196"/>
      <c r="AC2804" s="1196"/>
      <c r="AD2804" s="1196"/>
      <c r="AE2804" s="1196"/>
      <c r="AF2804" s="1196"/>
      <c r="AG2804" s="1197"/>
      <c r="AH2804" s="518"/>
      <c r="AJ2804" s="595"/>
    </row>
    <row r="2805" spans="1:36" ht="304" hidden="1" customHeight="1" x14ac:dyDescent="0.45">
      <c r="A2805" s="518"/>
      <c r="B2805" s="1198"/>
      <c r="C2805" s="1199"/>
      <c r="D2805" s="1199"/>
      <c r="E2805" s="1199"/>
      <c r="F2805" s="1199"/>
      <c r="G2805" s="1199"/>
      <c r="H2805" s="1199"/>
      <c r="I2805" s="1199"/>
      <c r="J2805" s="1199"/>
      <c r="K2805" s="1199"/>
      <c r="L2805" s="1199"/>
      <c r="M2805" s="1199"/>
      <c r="N2805" s="1199"/>
      <c r="O2805" s="1199"/>
      <c r="P2805" s="1199"/>
      <c r="Q2805" s="1199"/>
      <c r="R2805" s="1199"/>
      <c r="S2805" s="1199"/>
      <c r="T2805" s="1199"/>
      <c r="U2805" s="1199"/>
      <c r="V2805" s="1199"/>
      <c r="W2805" s="1199"/>
      <c r="X2805" s="1199"/>
      <c r="Y2805" s="1199"/>
      <c r="Z2805" s="1199"/>
      <c r="AA2805" s="1199"/>
      <c r="AB2805" s="1199"/>
      <c r="AC2805" s="1199"/>
      <c r="AD2805" s="1199"/>
      <c r="AE2805" s="1199"/>
      <c r="AF2805" s="1199"/>
      <c r="AG2805" s="1200"/>
      <c r="AH2805" s="518"/>
      <c r="AJ2805" s="595"/>
    </row>
    <row r="2806" spans="1:36" hidden="1" x14ac:dyDescent="0.45">
      <c r="A2806" s="518"/>
      <c r="B2806" s="517"/>
      <c r="C2806" s="517"/>
      <c r="D2806" s="517"/>
      <c r="E2806" s="517"/>
      <c r="F2806" s="517"/>
      <c r="G2806" s="517"/>
      <c r="H2806" s="517"/>
      <c r="I2806" s="517"/>
      <c r="J2806" s="517"/>
      <c r="K2806" s="517"/>
      <c r="L2806" s="517"/>
      <c r="M2806" s="517"/>
      <c r="N2806" s="517"/>
      <c r="O2806" s="517"/>
      <c r="P2806" s="517"/>
      <c r="Q2806" s="517"/>
      <c r="R2806" s="517"/>
      <c r="S2806" s="517"/>
      <c r="T2806" s="517"/>
      <c r="U2806" s="517"/>
      <c r="V2806" s="517"/>
      <c r="W2806" s="517"/>
      <c r="X2806" s="517"/>
      <c r="Y2806" s="517"/>
      <c r="Z2806" s="517"/>
      <c r="AA2806" s="517"/>
      <c r="AB2806" s="517"/>
      <c r="AC2806" s="517"/>
      <c r="AD2806" s="517"/>
      <c r="AE2806" s="517"/>
      <c r="AF2806" s="517"/>
      <c r="AG2806" s="517"/>
      <c r="AH2806" s="518"/>
      <c r="AJ2806" s="595"/>
    </row>
    <row r="2807" spans="1:36" hidden="1" x14ac:dyDescent="0.45">
      <c r="A2807" s="518"/>
      <c r="B2807" s="518"/>
      <c r="C2807" s="518"/>
      <c r="D2807" s="518"/>
      <c r="E2807" s="518"/>
      <c r="F2807" s="518"/>
      <c r="G2807" s="518"/>
      <c r="H2807" s="518"/>
      <c r="I2807" s="518"/>
      <c r="J2807" s="518"/>
      <c r="K2807" s="518"/>
      <c r="L2807" s="518"/>
      <c r="M2807" s="518"/>
      <c r="N2807" s="518"/>
      <c r="O2807" s="518"/>
      <c r="P2807" s="518"/>
      <c r="Q2807" s="518"/>
      <c r="R2807" s="518"/>
      <c r="S2807" s="518"/>
      <c r="T2807" s="518"/>
      <c r="U2807" s="518"/>
      <c r="V2807" s="518"/>
      <c r="W2807" s="518"/>
      <c r="X2807" s="518"/>
      <c r="Y2807" s="518"/>
      <c r="Z2807" s="518"/>
      <c r="AA2807" s="518"/>
      <c r="AB2807" s="518"/>
      <c r="AC2807" s="518"/>
      <c r="AD2807" s="518"/>
      <c r="AE2807" s="518"/>
      <c r="AF2807" s="518"/>
      <c r="AG2807" s="518"/>
      <c r="AH2807" s="518"/>
      <c r="AJ2807" s="595"/>
    </row>
    <row r="2808" spans="1:36" hidden="1" x14ac:dyDescent="0.45">
      <c r="A2808" s="518"/>
      <c r="B2808" s="907" t="str">
        <f>B2801</f>
        <v>Serna Technical Assistance for Self-Help Housing Application</v>
      </c>
      <c r="C2808" s="907"/>
      <c r="D2808" s="907"/>
      <c r="E2808" s="907"/>
      <c r="F2808" s="907"/>
      <c r="G2808" s="907"/>
      <c r="H2808" s="907"/>
      <c r="I2808" s="907"/>
      <c r="J2808" s="907"/>
      <c r="K2808" s="907"/>
      <c r="L2808" s="907"/>
      <c r="M2808" s="907"/>
      <c r="N2808" s="907"/>
      <c r="O2808" s="907"/>
      <c r="P2808" s="907"/>
      <c r="Q2808" s="907"/>
      <c r="R2808" s="907"/>
      <c r="S2808" s="907"/>
      <c r="T2808" s="907"/>
      <c r="U2808" s="907"/>
      <c r="V2808" s="907"/>
      <c r="W2808" s="907"/>
      <c r="X2808" s="907"/>
      <c r="Y2808" s="907"/>
      <c r="Z2808" s="907"/>
      <c r="AA2808" s="907"/>
      <c r="AB2808" s="907"/>
      <c r="AC2808" s="907"/>
      <c r="AD2808" s="907"/>
      <c r="AE2808" s="907"/>
      <c r="AF2808" s="907"/>
      <c r="AG2808" s="907"/>
      <c r="AH2808" s="518"/>
      <c r="AJ2808" s="595"/>
    </row>
    <row r="2809" spans="1:36" hidden="1" x14ac:dyDescent="0.45">
      <c r="A2809" s="518"/>
      <c r="B2809" s="518"/>
      <c r="C2809" s="518"/>
      <c r="D2809" s="518"/>
      <c r="E2809" s="518"/>
      <c r="F2809" s="518"/>
      <c r="G2809" s="518"/>
      <c r="H2809" s="518"/>
      <c r="I2809" s="518"/>
      <c r="J2809" s="518"/>
      <c r="K2809" s="518"/>
      <c r="L2809" s="518"/>
      <c r="M2809" s="518"/>
      <c r="N2809" s="518"/>
      <c r="O2809" s="518"/>
      <c r="P2809" s="518"/>
      <c r="Q2809" s="518"/>
      <c r="R2809" s="518"/>
      <c r="S2809" s="518"/>
      <c r="T2809" s="518"/>
      <c r="U2809" s="518"/>
      <c r="V2809" s="518"/>
      <c r="W2809" s="518"/>
      <c r="X2809" s="518"/>
      <c r="Y2809" s="518"/>
      <c r="Z2809" s="518"/>
      <c r="AA2809" s="518"/>
      <c r="AB2809" s="518"/>
      <c r="AC2809" s="518"/>
      <c r="AD2809" s="518"/>
      <c r="AE2809" s="518"/>
      <c r="AF2809" s="518"/>
      <c r="AG2809" s="518"/>
      <c r="AH2809" s="518"/>
      <c r="AJ2809" s="595"/>
    </row>
    <row r="2810" spans="1:36" hidden="1" x14ac:dyDescent="0.45">
      <c r="A2810" s="518"/>
      <c r="B2810" s="907" t="s">
        <v>1806</v>
      </c>
      <c r="C2810" s="907"/>
      <c r="D2810" s="907"/>
      <c r="E2810" s="907"/>
      <c r="F2810" s="907"/>
      <c r="G2810" s="907"/>
      <c r="H2810" s="907"/>
      <c r="I2810" s="907"/>
      <c r="J2810" s="907"/>
      <c r="K2810" s="907"/>
      <c r="L2810" s="907"/>
      <c r="M2810" s="907"/>
      <c r="N2810" s="907"/>
      <c r="O2810" s="907"/>
      <c r="P2810" s="907"/>
      <c r="Q2810" s="907"/>
      <c r="R2810" s="907"/>
      <c r="S2810" s="907"/>
      <c r="T2810" s="907"/>
      <c r="U2810" s="907"/>
      <c r="V2810" s="907"/>
      <c r="W2810" s="907"/>
      <c r="X2810" s="907"/>
      <c r="Y2810" s="907"/>
      <c r="Z2810" s="907"/>
      <c r="AA2810" s="907"/>
      <c r="AB2810" s="907"/>
      <c r="AC2810" s="907"/>
      <c r="AD2810" s="907"/>
      <c r="AE2810" s="907"/>
      <c r="AF2810" s="907"/>
      <c r="AG2810" s="907"/>
      <c r="AH2810" s="518"/>
      <c r="AJ2810" s="595"/>
    </row>
    <row r="2811" spans="1:36" ht="304" hidden="1" customHeight="1" x14ac:dyDescent="0.45">
      <c r="A2811" s="518"/>
      <c r="B2811" s="1150"/>
      <c r="C2811" s="1151"/>
      <c r="D2811" s="1151"/>
      <c r="E2811" s="1151"/>
      <c r="F2811" s="1151"/>
      <c r="G2811" s="1151"/>
      <c r="H2811" s="1151"/>
      <c r="I2811" s="1151"/>
      <c r="J2811" s="1151"/>
      <c r="K2811" s="1151"/>
      <c r="L2811" s="1151"/>
      <c r="M2811" s="1151"/>
      <c r="N2811" s="1151"/>
      <c r="O2811" s="1151"/>
      <c r="P2811" s="1151"/>
      <c r="Q2811" s="1151"/>
      <c r="R2811" s="1151"/>
      <c r="S2811" s="1151"/>
      <c r="T2811" s="1151"/>
      <c r="U2811" s="1151"/>
      <c r="V2811" s="1151"/>
      <c r="W2811" s="1151"/>
      <c r="X2811" s="1151"/>
      <c r="Y2811" s="1151"/>
      <c r="Z2811" s="1151"/>
      <c r="AA2811" s="1151"/>
      <c r="AB2811" s="1151"/>
      <c r="AC2811" s="1151"/>
      <c r="AD2811" s="1151"/>
      <c r="AE2811" s="1151"/>
      <c r="AF2811" s="1151"/>
      <c r="AG2811" s="1152"/>
      <c r="AH2811" s="518"/>
      <c r="AJ2811" s="595"/>
    </row>
    <row r="2812" spans="1:36" ht="304" hidden="1" customHeight="1" x14ac:dyDescent="0.45">
      <c r="A2812" s="518"/>
      <c r="B2812" s="1153"/>
      <c r="C2812" s="1154"/>
      <c r="D2812" s="1154"/>
      <c r="E2812" s="1154"/>
      <c r="F2812" s="1154"/>
      <c r="G2812" s="1154"/>
      <c r="H2812" s="1154"/>
      <c r="I2812" s="1154"/>
      <c r="J2812" s="1154"/>
      <c r="K2812" s="1154"/>
      <c r="L2812" s="1154"/>
      <c r="M2812" s="1154"/>
      <c r="N2812" s="1154"/>
      <c r="O2812" s="1154"/>
      <c r="P2812" s="1154"/>
      <c r="Q2812" s="1154"/>
      <c r="R2812" s="1154"/>
      <c r="S2812" s="1154"/>
      <c r="T2812" s="1154"/>
      <c r="U2812" s="1154"/>
      <c r="V2812" s="1154"/>
      <c r="W2812" s="1154"/>
      <c r="X2812" s="1154"/>
      <c r="Y2812" s="1154"/>
      <c r="Z2812" s="1154"/>
      <c r="AA2812" s="1154"/>
      <c r="AB2812" s="1154"/>
      <c r="AC2812" s="1154"/>
      <c r="AD2812" s="1154"/>
      <c r="AE2812" s="1154"/>
      <c r="AF2812" s="1154"/>
      <c r="AG2812" s="1155"/>
      <c r="AH2812" s="518"/>
      <c r="AJ2812" s="595"/>
    </row>
    <row r="2813" spans="1:36" hidden="1" x14ac:dyDescent="0.45">
      <c r="A2813" s="518"/>
      <c r="B2813" s="517"/>
      <c r="C2813" s="517"/>
      <c r="D2813" s="517"/>
      <c r="E2813" s="517"/>
      <c r="F2813" s="517"/>
      <c r="G2813" s="517"/>
      <c r="H2813" s="517"/>
      <c r="I2813" s="517"/>
      <c r="J2813" s="517"/>
      <c r="K2813" s="517"/>
      <c r="L2813" s="517"/>
      <c r="M2813" s="517"/>
      <c r="N2813" s="517"/>
      <c r="O2813" s="517"/>
      <c r="P2813" s="517"/>
      <c r="Q2813" s="517"/>
      <c r="R2813" s="517"/>
      <c r="S2813" s="517"/>
      <c r="T2813" s="517"/>
      <c r="U2813" s="517"/>
      <c r="V2813" s="517"/>
      <c r="W2813" s="517"/>
      <c r="X2813" s="517"/>
      <c r="Y2813" s="517"/>
      <c r="Z2813" s="517"/>
      <c r="AA2813" s="517"/>
      <c r="AB2813" s="517"/>
      <c r="AC2813" s="517"/>
      <c r="AD2813" s="517"/>
      <c r="AE2813" s="517"/>
      <c r="AF2813" s="517"/>
      <c r="AG2813" s="517"/>
      <c r="AH2813" s="518"/>
      <c r="AJ2813" s="595"/>
    </row>
    <row r="2814" spans="1:36" hidden="1" x14ac:dyDescent="0.45">
      <c r="A2814" s="518"/>
      <c r="B2814" s="518"/>
      <c r="C2814" s="518"/>
      <c r="D2814" s="518"/>
      <c r="E2814" s="518"/>
      <c r="F2814" s="518"/>
      <c r="G2814" s="518"/>
      <c r="H2814" s="518"/>
      <c r="I2814" s="518"/>
      <c r="J2814" s="518"/>
      <c r="K2814" s="518"/>
      <c r="L2814" s="518"/>
      <c r="M2814" s="518"/>
      <c r="N2814" s="518"/>
      <c r="O2814" s="518"/>
      <c r="P2814" s="518"/>
      <c r="Q2814" s="518"/>
      <c r="R2814" s="518"/>
      <c r="S2814" s="518"/>
      <c r="T2814" s="518"/>
      <c r="U2814" s="518"/>
      <c r="V2814" s="518"/>
      <c r="W2814" s="518"/>
      <c r="X2814" s="518"/>
      <c r="Y2814" s="518"/>
      <c r="Z2814" s="518"/>
      <c r="AA2814" s="518"/>
      <c r="AB2814" s="518"/>
      <c r="AC2814" s="518"/>
      <c r="AD2814" s="518"/>
      <c r="AE2814" s="518"/>
      <c r="AF2814" s="518"/>
      <c r="AG2814" s="518"/>
      <c r="AH2814" s="518"/>
      <c r="AJ2814" s="595"/>
    </row>
    <row r="2815" spans="1:36" hidden="1" x14ac:dyDescent="0.45">
      <c r="A2815" s="518"/>
      <c r="B2815" s="1083" t="s">
        <v>25</v>
      </c>
      <c r="C2815" s="1083"/>
      <c r="D2815" s="1083"/>
      <c r="E2815" s="1083"/>
      <c r="F2815" s="1083"/>
      <c r="G2815" s="1083"/>
      <c r="H2815" s="1083"/>
      <c r="I2815" s="1083"/>
      <c r="J2815" s="1083"/>
      <c r="K2815" s="1083"/>
      <c r="L2815" s="1083"/>
      <c r="M2815" s="1083"/>
      <c r="N2815" s="1083"/>
      <c r="O2815" s="1083"/>
      <c r="P2815" s="1083"/>
      <c r="Q2815" s="1083"/>
      <c r="R2815" s="1083"/>
      <c r="S2815" s="1083"/>
      <c r="T2815" s="1083"/>
      <c r="U2815" s="1083"/>
      <c r="V2815" s="1083"/>
      <c r="W2815" s="1083"/>
      <c r="X2815" s="1083"/>
      <c r="Y2815" s="1083"/>
      <c r="Z2815" s="1083"/>
      <c r="AA2815" s="1083"/>
      <c r="AB2815" s="1083"/>
      <c r="AC2815" s="1083"/>
      <c r="AD2815" s="1083"/>
      <c r="AE2815" s="1083"/>
      <c r="AF2815" s="1083"/>
      <c r="AG2815" s="1083"/>
      <c r="AH2815" s="518"/>
      <c r="AJ2815" s="595"/>
    </row>
    <row r="2816" spans="1:36" hidden="1" x14ac:dyDescent="0.45">
      <c r="A2816" s="518"/>
      <c r="B2816" s="907" t="str">
        <f>B2808</f>
        <v>Serna Technical Assistance for Self-Help Housing Application</v>
      </c>
      <c r="C2816" s="907"/>
      <c r="D2816" s="907"/>
      <c r="E2816" s="907"/>
      <c r="F2816" s="907"/>
      <c r="G2816" s="907"/>
      <c r="H2816" s="907"/>
      <c r="I2816" s="907"/>
      <c r="J2816" s="907"/>
      <c r="K2816" s="907"/>
      <c r="L2816" s="907"/>
      <c r="M2816" s="907"/>
      <c r="N2816" s="907"/>
      <c r="O2816" s="907"/>
      <c r="P2816" s="907"/>
      <c r="Q2816" s="907"/>
      <c r="R2816" s="907"/>
      <c r="S2816" s="907"/>
      <c r="T2816" s="907"/>
      <c r="U2816" s="907"/>
      <c r="V2816" s="907"/>
      <c r="W2816" s="907"/>
      <c r="X2816" s="907"/>
      <c r="Y2816" s="907"/>
      <c r="Z2816" s="907"/>
      <c r="AA2816" s="907"/>
      <c r="AB2816" s="907"/>
      <c r="AC2816" s="907"/>
      <c r="AD2816" s="907"/>
      <c r="AE2816" s="907"/>
      <c r="AF2816" s="907"/>
      <c r="AG2816" s="907"/>
      <c r="AH2816" s="518"/>
      <c r="AJ2816" s="595"/>
    </row>
    <row r="2817" spans="1:36" hidden="1" x14ac:dyDescent="0.45">
      <c r="A2817" s="518"/>
      <c r="B2817" s="517"/>
      <c r="C2817" s="517"/>
      <c r="D2817" s="517"/>
      <c r="E2817" s="517"/>
      <c r="F2817" s="517"/>
      <c r="G2817" s="517"/>
      <c r="H2817" s="517"/>
      <c r="I2817" s="517"/>
      <c r="J2817" s="517"/>
      <c r="K2817" s="517"/>
      <c r="L2817" s="517"/>
      <c r="M2817" s="517"/>
      <c r="N2817" s="517"/>
      <c r="O2817" s="517"/>
      <c r="P2817" s="517"/>
      <c r="Q2817" s="517"/>
      <c r="R2817" s="517"/>
      <c r="S2817" s="517"/>
      <c r="T2817" s="517"/>
      <c r="U2817" s="517"/>
      <c r="V2817" s="517"/>
      <c r="W2817" s="517"/>
      <c r="X2817" s="517"/>
      <c r="Y2817" s="517"/>
      <c r="Z2817" s="517"/>
      <c r="AA2817" s="517"/>
      <c r="AB2817" s="517"/>
      <c r="AC2817" s="517"/>
      <c r="AD2817" s="517"/>
      <c r="AE2817" s="517"/>
      <c r="AF2817" s="517"/>
      <c r="AG2817" s="517"/>
      <c r="AH2817" s="518"/>
      <c r="AJ2817" s="595"/>
    </row>
    <row r="2818" spans="1:36" ht="16" hidden="1" customHeight="1" x14ac:dyDescent="0.45">
      <c r="A2818" s="518"/>
      <c r="B2818" s="537" t="s">
        <v>1785</v>
      </c>
      <c r="C2818" s="566"/>
      <c r="D2818" s="566"/>
      <c r="E2818" s="566"/>
      <c r="F2818" s="566"/>
      <c r="G2818" s="566"/>
      <c r="H2818" s="566"/>
      <c r="I2818" s="566"/>
      <c r="J2818" s="566"/>
      <c r="K2818" s="566"/>
      <c r="L2818" s="566"/>
      <c r="M2818" s="566"/>
      <c r="N2818" s="566"/>
      <c r="O2818" s="566"/>
      <c r="P2818" s="566"/>
      <c r="Q2818" s="566"/>
      <c r="R2818" s="566"/>
      <c r="S2818" s="566"/>
      <c r="T2818" s="566"/>
      <c r="U2818" s="566"/>
      <c r="V2818" s="566"/>
      <c r="W2818" s="566"/>
      <c r="X2818" s="566"/>
      <c r="Y2818" s="566"/>
      <c r="Z2818" s="566"/>
      <c r="AA2818" s="566"/>
      <c r="AB2818" s="566"/>
      <c r="AC2818" s="566"/>
      <c r="AD2818" s="566"/>
      <c r="AE2818" s="566"/>
      <c r="AF2818" s="566"/>
      <c r="AG2818" s="566"/>
      <c r="AH2818" s="518"/>
      <c r="AJ2818" s="595"/>
    </row>
    <row r="2819" spans="1:36" hidden="1" x14ac:dyDescent="0.45">
      <c r="A2819" s="518"/>
      <c r="B2819" s="566"/>
      <c r="C2819" s="566"/>
      <c r="D2819" s="566"/>
      <c r="E2819" s="566"/>
      <c r="F2819" s="566"/>
      <c r="G2819" s="566"/>
      <c r="H2819" s="566"/>
      <c r="I2819" s="566"/>
      <c r="J2819" s="566"/>
      <c r="K2819" s="566"/>
      <c r="L2819" s="566"/>
      <c r="M2819" s="566"/>
      <c r="N2819" s="566"/>
      <c r="O2819" s="566"/>
      <c r="P2819" s="566"/>
      <c r="Q2819" s="566"/>
      <c r="R2819" s="566"/>
      <c r="S2819" s="566"/>
      <c r="T2819" s="566"/>
      <c r="U2819" s="566"/>
      <c r="V2819" s="566"/>
      <c r="W2819" s="566"/>
      <c r="X2819" s="566"/>
      <c r="Y2819" s="566"/>
      <c r="Z2819" s="566"/>
      <c r="AA2819" s="566"/>
      <c r="AB2819" s="566"/>
      <c r="AC2819" s="566"/>
      <c r="AD2819" s="566"/>
      <c r="AE2819" s="566"/>
      <c r="AF2819" s="566"/>
      <c r="AG2819" s="566"/>
      <c r="AH2819" s="518"/>
      <c r="AJ2819" s="595"/>
    </row>
    <row r="2820" spans="1:36" ht="41.15" hidden="1" customHeight="1" x14ac:dyDescent="0.45">
      <c r="A2820" s="518"/>
      <c r="B2820" s="1183" t="s">
        <v>1786</v>
      </c>
      <c r="C2820" s="1183"/>
      <c r="D2820" s="1183"/>
      <c r="E2820" s="1183"/>
      <c r="F2820" s="1183"/>
      <c r="G2820" s="1183"/>
      <c r="H2820" s="1183"/>
      <c r="I2820" s="1183"/>
      <c r="J2820" s="1183"/>
      <c r="K2820" s="1183"/>
      <c r="L2820" s="1183"/>
      <c r="M2820" s="1183"/>
      <c r="N2820" s="1183"/>
      <c r="O2820" s="1183"/>
      <c r="P2820" s="1183"/>
      <c r="Q2820" s="1183"/>
      <c r="R2820" s="1183"/>
      <c r="S2820" s="1183"/>
      <c r="T2820" s="1183"/>
      <c r="U2820" s="1183"/>
      <c r="V2820" s="1183"/>
      <c r="W2820" s="1183"/>
      <c r="X2820" s="1183"/>
      <c r="Y2820" s="1183"/>
      <c r="Z2820" s="1183"/>
      <c r="AA2820" s="1183"/>
      <c r="AB2820" s="1183"/>
      <c r="AC2820" s="1183"/>
      <c r="AD2820" s="1183"/>
      <c r="AE2820" s="1183"/>
      <c r="AF2820" s="1183"/>
      <c r="AG2820" s="1183"/>
      <c r="AH2820" s="518"/>
      <c r="AJ2820" s="595"/>
    </row>
    <row r="2821" spans="1:36" hidden="1" x14ac:dyDescent="0.45">
      <c r="A2821" s="518"/>
      <c r="B2821" s="518"/>
      <c r="C2821" s="518"/>
      <c r="D2821" s="518"/>
      <c r="E2821" s="518"/>
      <c r="F2821" s="518"/>
      <c r="G2821" s="518"/>
      <c r="H2821" s="518"/>
      <c r="I2821" s="518"/>
      <c r="J2821" s="518"/>
      <c r="K2821" s="518"/>
      <c r="L2821" s="518"/>
      <c r="M2821" s="518"/>
      <c r="N2821" s="518"/>
      <c r="O2821" s="518"/>
      <c r="P2821" s="518"/>
      <c r="Q2821" s="518"/>
      <c r="R2821" s="518"/>
      <c r="S2821" s="518"/>
      <c r="T2821" s="518"/>
      <c r="U2821" s="518"/>
      <c r="V2821" s="518"/>
      <c r="W2821" s="518"/>
      <c r="X2821" s="518"/>
      <c r="Y2821" s="518"/>
      <c r="Z2821" s="518"/>
      <c r="AA2821" s="518"/>
      <c r="AB2821" s="518"/>
      <c r="AC2821" s="518"/>
      <c r="AD2821" s="518"/>
      <c r="AE2821" s="518"/>
      <c r="AF2821" s="518"/>
      <c r="AG2821" s="518"/>
      <c r="AH2821" s="518"/>
      <c r="AJ2821" s="595"/>
    </row>
    <row r="2822" spans="1:36" hidden="1" x14ac:dyDescent="0.45">
      <c r="A2822" s="518"/>
      <c r="B2822" s="1187"/>
      <c r="C2822" s="1188"/>
      <c r="D2822" s="1189"/>
      <c r="E2822" s="518"/>
      <c r="F2822" s="986" t="s">
        <v>104</v>
      </c>
      <c r="G2822" s="986"/>
      <c r="H2822" s="986"/>
      <c r="I2822" s="986"/>
      <c r="J2822" s="986"/>
      <c r="K2822" s="986"/>
      <c r="L2822" s="986"/>
      <c r="M2822" s="986"/>
      <c r="N2822" s="986"/>
      <c r="O2822" s="986"/>
      <c r="P2822" s="986"/>
      <c r="Q2822" s="986"/>
      <c r="R2822" s="986"/>
      <c r="S2822" s="986"/>
      <c r="T2822" s="986"/>
      <c r="U2822" s="986"/>
      <c r="V2822" s="986"/>
      <c r="W2822" s="986"/>
      <c r="X2822" s="986"/>
      <c r="Y2822" s="986"/>
      <c r="Z2822" s="986"/>
      <c r="AA2822" s="986"/>
      <c r="AB2822" s="986"/>
      <c r="AC2822" s="986"/>
      <c r="AD2822" s="986"/>
      <c r="AE2822" s="986"/>
      <c r="AF2822" s="986"/>
      <c r="AG2822" s="986"/>
      <c r="AH2822" s="518"/>
      <c r="AJ2822" s="595"/>
    </row>
    <row r="2823" spans="1:36" hidden="1" x14ac:dyDescent="0.45">
      <c r="A2823" s="518"/>
      <c r="B2823" s="1187"/>
      <c r="C2823" s="1188"/>
      <c r="D2823" s="1189"/>
      <c r="E2823" s="518"/>
      <c r="F2823" s="986" t="s">
        <v>105</v>
      </c>
      <c r="G2823" s="986"/>
      <c r="H2823" s="986"/>
      <c r="I2823" s="986"/>
      <c r="J2823" s="986"/>
      <c r="K2823" s="986"/>
      <c r="L2823" s="986"/>
      <c r="M2823" s="986"/>
      <c r="N2823" s="986"/>
      <c r="O2823" s="986"/>
      <c r="P2823" s="986"/>
      <c r="Q2823" s="986"/>
      <c r="R2823" s="986"/>
      <c r="S2823" s="986"/>
      <c r="T2823" s="986"/>
      <c r="U2823" s="986"/>
      <c r="V2823" s="986"/>
      <c r="W2823" s="986"/>
      <c r="X2823" s="986"/>
      <c r="Y2823" s="986"/>
      <c r="Z2823" s="986"/>
      <c r="AA2823" s="986"/>
      <c r="AB2823" s="986"/>
      <c r="AC2823" s="986"/>
      <c r="AD2823" s="986"/>
      <c r="AE2823" s="986"/>
      <c r="AF2823" s="986"/>
      <c r="AG2823" s="986"/>
      <c r="AH2823" s="518"/>
      <c r="AJ2823" s="595"/>
    </row>
    <row r="2824" spans="1:36" hidden="1" x14ac:dyDescent="0.45">
      <c r="A2824" s="518"/>
      <c r="B2824" s="1187"/>
      <c r="C2824" s="1188"/>
      <c r="D2824" s="1189"/>
      <c r="E2824" s="518"/>
      <c r="F2824" s="986" t="s">
        <v>106</v>
      </c>
      <c r="G2824" s="986"/>
      <c r="H2824" s="986"/>
      <c r="I2824" s="986"/>
      <c r="J2824" s="986"/>
      <c r="K2824" s="986"/>
      <c r="L2824" s="986"/>
      <c r="M2824" s="986"/>
      <c r="N2824" s="986"/>
      <c r="O2824" s="986"/>
      <c r="P2824" s="986"/>
      <c r="Q2824" s="986"/>
      <c r="R2824" s="986"/>
      <c r="S2824" s="986"/>
      <c r="T2824" s="986"/>
      <c r="U2824" s="986"/>
      <c r="V2824" s="986"/>
      <c r="W2824" s="986"/>
      <c r="X2824" s="986"/>
      <c r="Y2824" s="986"/>
      <c r="Z2824" s="986"/>
      <c r="AA2824" s="986"/>
      <c r="AB2824" s="986"/>
      <c r="AC2824" s="986"/>
      <c r="AD2824" s="986"/>
      <c r="AE2824" s="986"/>
      <c r="AF2824" s="986"/>
      <c r="AG2824" s="986"/>
      <c r="AH2824" s="518"/>
      <c r="AJ2824" s="595"/>
    </row>
    <row r="2825" spans="1:36" hidden="1" x14ac:dyDescent="0.45">
      <c r="A2825" s="518"/>
      <c r="B2825" s="518"/>
      <c r="C2825" s="518"/>
      <c r="D2825" s="518"/>
      <c r="E2825" s="518"/>
      <c r="F2825" s="518"/>
      <c r="G2825" s="518"/>
      <c r="H2825" s="518"/>
      <c r="I2825" s="518"/>
      <c r="J2825" s="518"/>
      <c r="K2825" s="518"/>
      <c r="L2825" s="518"/>
      <c r="M2825" s="518"/>
      <c r="N2825" s="518"/>
      <c r="O2825" s="518"/>
      <c r="P2825" s="518"/>
      <c r="Q2825" s="518"/>
      <c r="R2825" s="518"/>
      <c r="S2825" s="518"/>
      <c r="T2825" s="518"/>
      <c r="U2825" s="518"/>
      <c r="V2825" s="518"/>
      <c r="W2825" s="518"/>
      <c r="X2825" s="518"/>
      <c r="Y2825" s="518"/>
      <c r="Z2825" s="518"/>
      <c r="AA2825" s="518"/>
      <c r="AB2825" s="518"/>
      <c r="AC2825" s="518"/>
      <c r="AD2825" s="518"/>
      <c r="AE2825" s="518"/>
      <c r="AF2825" s="518"/>
      <c r="AG2825" s="518"/>
      <c r="AH2825" s="518"/>
      <c r="AJ2825" s="595"/>
    </row>
    <row r="2826" spans="1:36" hidden="1" x14ac:dyDescent="0.45">
      <c r="A2826" s="518"/>
      <c r="B2826" s="518"/>
      <c r="C2826" s="518"/>
      <c r="D2826" s="518"/>
      <c r="E2826" s="518"/>
      <c r="F2826" s="518"/>
      <c r="G2826" s="518"/>
      <c r="H2826" s="518"/>
      <c r="I2826" s="518"/>
      <c r="J2826" s="518"/>
      <c r="K2826" s="518"/>
      <c r="L2826" s="518"/>
      <c r="M2826" s="518"/>
      <c r="N2826" s="518"/>
      <c r="O2826" s="518"/>
      <c r="P2826" s="518"/>
      <c r="Q2826" s="518"/>
      <c r="R2826" s="518"/>
      <c r="S2826" s="518"/>
      <c r="T2826" s="518"/>
      <c r="U2826" s="518"/>
      <c r="V2826" s="518"/>
      <c r="W2826" s="518"/>
      <c r="X2826" s="518"/>
      <c r="Y2826" s="518"/>
      <c r="Z2826" s="518"/>
      <c r="AA2826" s="518"/>
      <c r="AB2826" s="518"/>
      <c r="AC2826" s="518"/>
      <c r="AD2826" s="518"/>
      <c r="AE2826" s="518"/>
      <c r="AF2826" s="518"/>
      <c r="AG2826" s="518"/>
      <c r="AH2826" s="518"/>
      <c r="AJ2826" s="595" t="b">
        <f>AND(AJ$2770,S1_SHTA_UnrestrictedTotalRequested&gt;0)</f>
        <v>0</v>
      </c>
    </row>
    <row r="2827" spans="1:36" hidden="1" x14ac:dyDescent="0.45">
      <c r="A2827" s="518"/>
      <c r="B2827" s="923" t="str">
        <f>B2808</f>
        <v>Serna Technical Assistance for Self-Help Housing Application</v>
      </c>
      <c r="C2827" s="923"/>
      <c r="D2827" s="923"/>
      <c r="E2827" s="923"/>
      <c r="F2827" s="923"/>
      <c r="G2827" s="923"/>
      <c r="H2827" s="923"/>
      <c r="I2827" s="923"/>
      <c r="J2827" s="923"/>
      <c r="K2827" s="923"/>
      <c r="L2827" s="923"/>
      <c r="M2827" s="923"/>
      <c r="N2827" s="923"/>
      <c r="O2827" s="923"/>
      <c r="P2827" s="923"/>
      <c r="Q2827" s="923"/>
      <c r="R2827" s="923"/>
      <c r="S2827" s="923"/>
      <c r="T2827" s="923"/>
      <c r="U2827" s="923"/>
      <c r="V2827" s="923"/>
      <c r="W2827" s="923"/>
      <c r="X2827" s="923"/>
      <c r="Y2827" s="923"/>
      <c r="Z2827" s="923"/>
      <c r="AA2827" s="923"/>
      <c r="AB2827" s="923"/>
      <c r="AC2827" s="923"/>
      <c r="AD2827" s="923"/>
      <c r="AE2827" s="923"/>
      <c r="AF2827" s="923"/>
      <c r="AG2827" s="923"/>
      <c r="AH2827" s="518"/>
      <c r="AJ2827" s="595"/>
    </row>
    <row r="2828" spans="1:36" hidden="1" x14ac:dyDescent="0.45">
      <c r="A2828" s="518"/>
      <c r="B2828" s="924" t="s">
        <v>1820</v>
      </c>
      <c r="C2828" s="924"/>
      <c r="D2828" s="924"/>
      <c r="E2828" s="924"/>
      <c r="F2828" s="924"/>
      <c r="G2828" s="924"/>
      <c r="H2828" s="924"/>
      <c r="I2828" s="924"/>
      <c r="J2828" s="924"/>
      <c r="K2828" s="924"/>
      <c r="L2828" s="924"/>
      <c r="M2828" s="924"/>
      <c r="N2828" s="924"/>
      <c r="O2828" s="924"/>
      <c r="P2828" s="924"/>
      <c r="Q2828" s="924"/>
      <c r="R2828" s="924"/>
      <c r="S2828" s="924"/>
      <c r="T2828" s="924"/>
      <c r="U2828" s="924"/>
      <c r="V2828" s="924"/>
      <c r="W2828" s="924"/>
      <c r="X2828" s="924"/>
      <c r="Y2828" s="924"/>
      <c r="Z2828" s="924"/>
      <c r="AA2828" s="924"/>
      <c r="AB2828" s="924"/>
      <c r="AC2828" s="924"/>
      <c r="AD2828" s="924"/>
      <c r="AE2828" s="924"/>
      <c r="AF2828" s="924"/>
      <c r="AG2828" s="924"/>
      <c r="AH2828" s="518"/>
      <c r="AJ2828" s="595"/>
    </row>
    <row r="2829" spans="1:36" hidden="1" x14ac:dyDescent="0.45">
      <c r="A2829" s="518"/>
      <c r="B2829" s="602"/>
      <c r="C2829" s="602"/>
      <c r="D2829" s="602"/>
      <c r="E2829" s="602"/>
      <c r="F2829" s="602"/>
      <c r="G2829" s="602"/>
      <c r="H2829" s="602"/>
      <c r="I2829" s="602"/>
      <c r="J2829" s="602"/>
      <c r="K2829" s="602"/>
      <c r="L2829" s="602"/>
      <c r="M2829" s="602"/>
      <c r="N2829" s="602"/>
      <c r="O2829" s="602"/>
      <c r="P2829" s="602"/>
      <c r="Q2829" s="602"/>
      <c r="R2829" s="602"/>
      <c r="S2829" s="602"/>
      <c r="T2829" s="602"/>
      <c r="U2829" s="602"/>
      <c r="V2829" s="602"/>
      <c r="W2829" s="602"/>
      <c r="X2829" s="602"/>
      <c r="Y2829" s="602"/>
      <c r="Z2829" s="602"/>
      <c r="AA2829" s="602"/>
      <c r="AB2829" s="602"/>
      <c r="AC2829" s="602"/>
      <c r="AD2829" s="602"/>
      <c r="AE2829" s="602"/>
      <c r="AF2829" s="602"/>
      <c r="AG2829" s="602"/>
      <c r="AH2829" s="518"/>
      <c r="AJ2829" s="595"/>
    </row>
    <row r="2830" spans="1:36" hidden="1" x14ac:dyDescent="0.45">
      <c r="A2830" s="518"/>
      <c r="B2830" s="518" t="s">
        <v>1853</v>
      </c>
      <c r="C2830" s="518"/>
      <c r="D2830" s="518"/>
      <c r="E2830" s="518"/>
      <c r="F2830" s="518"/>
      <c r="G2830" s="518"/>
      <c r="H2830" s="518"/>
      <c r="I2830" s="518"/>
      <c r="J2830" s="518"/>
      <c r="K2830" s="518"/>
      <c r="L2830" s="518"/>
      <c r="M2830" s="518"/>
      <c r="N2830" s="518"/>
      <c r="O2830" s="518"/>
      <c r="P2830" s="518"/>
      <c r="Q2830" s="518"/>
      <c r="R2830" s="518"/>
      <c r="S2830" s="518"/>
      <c r="T2830" s="518"/>
      <c r="U2830" s="518"/>
      <c r="V2830" s="518"/>
      <c r="W2830" s="518"/>
      <c r="X2830" s="518"/>
      <c r="Y2830" s="518"/>
      <c r="Z2830" s="518"/>
      <c r="AA2830" s="518"/>
      <c r="AB2830" s="518"/>
      <c r="AC2830" s="518"/>
      <c r="AD2830" s="518"/>
      <c r="AE2830" s="518"/>
      <c r="AF2830" s="518"/>
      <c r="AG2830" s="518"/>
      <c r="AH2830" s="518"/>
      <c r="AJ2830" s="595"/>
    </row>
    <row r="2831" spans="1:36" ht="16" hidden="1" customHeight="1" x14ac:dyDescent="0.45">
      <c r="A2831" s="518"/>
      <c r="B2831" s="862" t="s">
        <v>108</v>
      </c>
      <c r="C2831" s="863"/>
      <c r="D2831" s="863"/>
      <c r="E2831" s="863"/>
      <c r="F2831" s="892"/>
      <c r="G2831" s="872" t="s">
        <v>1487</v>
      </c>
      <c r="H2831" s="872"/>
      <c r="I2831" s="935" t="s">
        <v>1777</v>
      </c>
      <c r="J2831" s="1053"/>
      <c r="K2831" s="872" t="s">
        <v>91</v>
      </c>
      <c r="L2831" s="872"/>
      <c r="M2831" s="862" t="s">
        <v>110</v>
      </c>
      <c r="N2831" s="863"/>
      <c r="O2831" s="863"/>
      <c r="P2831" s="892"/>
      <c r="Q2831" s="862" t="s">
        <v>212</v>
      </c>
      <c r="R2831" s="863"/>
      <c r="S2831" s="863"/>
      <c r="T2831" s="892"/>
      <c r="U2831" s="862" t="s">
        <v>113</v>
      </c>
      <c r="V2831" s="863"/>
      <c r="W2831" s="863"/>
      <c r="X2831" s="892"/>
      <c r="Y2831" s="1182" t="s">
        <v>114</v>
      </c>
      <c r="Z2831" s="1058"/>
      <c r="AA2831" s="1058"/>
      <c r="AB2831" s="1059"/>
      <c r="AC2831" s="518"/>
      <c r="AD2831" s="518"/>
      <c r="AE2831" s="569"/>
      <c r="AF2831" s="529"/>
      <c r="AG2831" s="529"/>
      <c r="AH2831" s="529"/>
      <c r="AJ2831" s="595"/>
    </row>
    <row r="2832" spans="1:36" hidden="1" x14ac:dyDescent="0.45">
      <c r="A2832" s="518"/>
      <c r="B2832" s="864"/>
      <c r="C2832" s="865"/>
      <c r="D2832" s="865"/>
      <c r="E2832" s="865"/>
      <c r="F2832" s="893"/>
      <c r="G2832" s="872"/>
      <c r="H2832" s="872"/>
      <c r="I2832" s="937"/>
      <c r="J2832" s="1054"/>
      <c r="K2832" s="872"/>
      <c r="L2832" s="872"/>
      <c r="M2832" s="864"/>
      <c r="N2832" s="865"/>
      <c r="O2832" s="865"/>
      <c r="P2832" s="893"/>
      <c r="Q2832" s="864"/>
      <c r="R2832" s="865"/>
      <c r="S2832" s="865"/>
      <c r="T2832" s="893"/>
      <c r="U2832" s="864"/>
      <c r="V2832" s="865"/>
      <c r="W2832" s="865"/>
      <c r="X2832" s="893"/>
      <c r="Y2832" s="1060"/>
      <c r="Z2832" s="1061"/>
      <c r="AA2832" s="1061"/>
      <c r="AB2832" s="1062"/>
      <c r="AC2832" s="518"/>
      <c r="AD2832" s="518"/>
      <c r="AE2832" s="569"/>
      <c r="AF2832" s="529"/>
      <c r="AG2832" s="529"/>
      <c r="AH2832" s="529"/>
      <c r="AJ2832" s="595"/>
    </row>
    <row r="2833" spans="1:36" hidden="1" x14ac:dyDescent="0.45">
      <c r="A2833" s="518"/>
      <c r="B2833" s="514" t="s">
        <v>1405</v>
      </c>
      <c r="C2833" s="535"/>
      <c r="D2833" s="535"/>
      <c r="E2833" s="535"/>
      <c r="F2833" s="535"/>
      <c r="G2833" s="885" t="str">
        <f>IF(S1SHTAData!L3=0,"",S1SHTAData!L3)</f>
        <v/>
      </c>
      <c r="H2833" s="885"/>
      <c r="I2833" s="890" t="str">
        <f>IF(S1SHTAData!AF3=0,"",S1SHTAData!AF3)</f>
        <v/>
      </c>
      <c r="J2833" s="891"/>
      <c r="K2833" s="939">
        <f>S1SHTAData!N3</f>
        <v>0</v>
      </c>
      <c r="L2833" s="1181"/>
      <c r="M2833" s="874">
        <f>S1SHTAData!O3</f>
        <v>0</v>
      </c>
      <c r="N2833" s="875"/>
      <c r="O2833" s="875"/>
      <c r="P2833" s="876"/>
      <c r="Q2833" s="874">
        <f>S1SHTAData!P3</f>
        <v>0</v>
      </c>
      <c r="R2833" s="875"/>
      <c r="S2833" s="875"/>
      <c r="T2833" s="876"/>
      <c r="U2833" s="874">
        <f t="shared" ref="U2833" si="50">SUM(M2833:T2833)</f>
        <v>0</v>
      </c>
      <c r="V2833" s="875"/>
      <c r="W2833" s="875"/>
      <c r="X2833" s="876"/>
      <c r="Y2833" s="866">
        <f>S1SHTAData!R3</f>
        <v>0</v>
      </c>
      <c r="Z2833" s="900"/>
      <c r="AA2833" s="900"/>
      <c r="AB2833" s="867"/>
      <c r="AC2833" s="518"/>
      <c r="AD2833" s="518"/>
      <c r="AE2833" s="588"/>
      <c r="AF2833" s="529"/>
      <c r="AG2833" s="529"/>
      <c r="AH2833" s="529"/>
      <c r="AJ2833" s="595" t="b">
        <f>AND(AJ$2826,U2833&gt;0)</f>
        <v>0</v>
      </c>
    </row>
    <row r="2834" spans="1:36" hidden="1" x14ac:dyDescent="0.45">
      <c r="A2834" s="518"/>
      <c r="B2834" s="514" t="s">
        <v>1406</v>
      </c>
      <c r="C2834" s="535"/>
      <c r="D2834" s="535"/>
      <c r="E2834" s="535"/>
      <c r="F2834" s="535"/>
      <c r="G2834" s="885" t="str">
        <f>IF(S1SHTAData!L4=0,"",S1SHTAData!L4)</f>
        <v/>
      </c>
      <c r="H2834" s="885"/>
      <c r="I2834" s="890" t="str">
        <f>IF(S1SHTAData!AF4=0,"",S1SHTAData!AF4)</f>
        <v/>
      </c>
      <c r="J2834" s="891"/>
      <c r="K2834" s="939">
        <f>S1SHTAData!N4</f>
        <v>0</v>
      </c>
      <c r="L2834" s="1181"/>
      <c r="M2834" s="874">
        <f>S1SHTAData!O4</f>
        <v>0</v>
      </c>
      <c r="N2834" s="875"/>
      <c r="O2834" s="875"/>
      <c r="P2834" s="876"/>
      <c r="Q2834" s="874">
        <f>S1SHTAData!P4</f>
        <v>0</v>
      </c>
      <c r="R2834" s="875"/>
      <c r="S2834" s="875"/>
      <c r="T2834" s="876"/>
      <c r="U2834" s="874">
        <f t="shared" ref="U2834:U2890" si="51">SUM(M2834:T2834)</f>
        <v>0</v>
      </c>
      <c r="V2834" s="875"/>
      <c r="W2834" s="875"/>
      <c r="X2834" s="876"/>
      <c r="Y2834" s="866">
        <f>S1SHTAData!R4</f>
        <v>0</v>
      </c>
      <c r="Z2834" s="900"/>
      <c r="AA2834" s="900"/>
      <c r="AB2834" s="867"/>
      <c r="AC2834" s="518"/>
      <c r="AD2834" s="518"/>
      <c r="AE2834" s="588"/>
      <c r="AF2834" s="529"/>
      <c r="AG2834" s="529"/>
      <c r="AH2834" s="529"/>
      <c r="AJ2834" s="595" t="b">
        <f t="shared" ref="AJ2834:AJ2890" si="52">AND(AJ$2826,U2834&gt;0)</f>
        <v>0</v>
      </c>
    </row>
    <row r="2835" spans="1:36" hidden="1" x14ac:dyDescent="0.45">
      <c r="A2835" s="518"/>
      <c r="B2835" s="514" t="s">
        <v>1407</v>
      </c>
      <c r="C2835" s="535"/>
      <c r="D2835" s="535"/>
      <c r="E2835" s="535"/>
      <c r="F2835" s="535"/>
      <c r="G2835" s="885" t="str">
        <f>IF(S1SHTAData!L5=0,"",S1SHTAData!L5)</f>
        <v/>
      </c>
      <c r="H2835" s="885"/>
      <c r="I2835" s="890" t="str">
        <f>IF(S1SHTAData!AF5=0,"",S1SHTAData!AF5)</f>
        <v/>
      </c>
      <c r="J2835" s="891"/>
      <c r="K2835" s="939">
        <f>S1SHTAData!N5</f>
        <v>0</v>
      </c>
      <c r="L2835" s="1181"/>
      <c r="M2835" s="874">
        <f>S1SHTAData!O5</f>
        <v>0</v>
      </c>
      <c r="N2835" s="875"/>
      <c r="O2835" s="875"/>
      <c r="P2835" s="876"/>
      <c r="Q2835" s="874">
        <f>S1SHTAData!P5</f>
        <v>0</v>
      </c>
      <c r="R2835" s="875"/>
      <c r="S2835" s="875"/>
      <c r="T2835" s="876"/>
      <c r="U2835" s="874">
        <f t="shared" si="51"/>
        <v>0</v>
      </c>
      <c r="V2835" s="875"/>
      <c r="W2835" s="875"/>
      <c r="X2835" s="876"/>
      <c r="Y2835" s="866">
        <f>S1SHTAData!R5</f>
        <v>0</v>
      </c>
      <c r="Z2835" s="900"/>
      <c r="AA2835" s="900"/>
      <c r="AB2835" s="867"/>
      <c r="AC2835" s="518"/>
      <c r="AD2835" s="518"/>
      <c r="AE2835" s="588"/>
      <c r="AF2835" s="529"/>
      <c r="AG2835" s="529"/>
      <c r="AH2835" s="529"/>
      <c r="AJ2835" s="595" t="b">
        <f t="shared" si="52"/>
        <v>0</v>
      </c>
    </row>
    <row r="2836" spans="1:36" hidden="1" x14ac:dyDescent="0.45">
      <c r="A2836" s="518"/>
      <c r="B2836" s="514" t="s">
        <v>1408</v>
      </c>
      <c r="C2836" s="535"/>
      <c r="D2836" s="535"/>
      <c r="E2836" s="535"/>
      <c r="F2836" s="535"/>
      <c r="G2836" s="885" t="str">
        <f>IF(S1SHTAData!L6=0,"",S1SHTAData!L6)</f>
        <v/>
      </c>
      <c r="H2836" s="885"/>
      <c r="I2836" s="890" t="str">
        <f>IF(S1SHTAData!AF6=0,"",S1SHTAData!AF6)</f>
        <v/>
      </c>
      <c r="J2836" s="891"/>
      <c r="K2836" s="939">
        <f>S1SHTAData!N6</f>
        <v>0</v>
      </c>
      <c r="L2836" s="1181"/>
      <c r="M2836" s="874">
        <f>S1SHTAData!O6</f>
        <v>0</v>
      </c>
      <c r="N2836" s="875"/>
      <c r="O2836" s="875"/>
      <c r="P2836" s="876"/>
      <c r="Q2836" s="874">
        <f>S1SHTAData!P6</f>
        <v>0</v>
      </c>
      <c r="R2836" s="875"/>
      <c r="S2836" s="875"/>
      <c r="T2836" s="876"/>
      <c r="U2836" s="874">
        <f t="shared" si="51"/>
        <v>0</v>
      </c>
      <c r="V2836" s="875"/>
      <c r="W2836" s="875"/>
      <c r="X2836" s="876"/>
      <c r="Y2836" s="866">
        <f>S1SHTAData!R6</f>
        <v>0</v>
      </c>
      <c r="Z2836" s="900"/>
      <c r="AA2836" s="900"/>
      <c r="AB2836" s="867"/>
      <c r="AC2836" s="518"/>
      <c r="AD2836" s="518"/>
      <c r="AE2836" s="588"/>
      <c r="AF2836" s="529"/>
      <c r="AG2836" s="529"/>
      <c r="AH2836" s="529"/>
      <c r="AJ2836" s="595" t="b">
        <f t="shared" si="52"/>
        <v>0</v>
      </c>
    </row>
    <row r="2837" spans="1:36" hidden="1" x14ac:dyDescent="0.45">
      <c r="A2837" s="518"/>
      <c r="B2837" s="514" t="s">
        <v>1409</v>
      </c>
      <c r="C2837" s="535"/>
      <c r="D2837" s="535"/>
      <c r="E2837" s="535"/>
      <c r="F2837" s="535"/>
      <c r="G2837" s="885" t="str">
        <f>IF(S1SHTAData!L7=0,"",S1SHTAData!L7)</f>
        <v/>
      </c>
      <c r="H2837" s="885"/>
      <c r="I2837" s="890" t="str">
        <f>IF(S1SHTAData!AF7=0,"",S1SHTAData!AF7)</f>
        <v/>
      </c>
      <c r="J2837" s="891"/>
      <c r="K2837" s="939">
        <f>S1SHTAData!N7</f>
        <v>0</v>
      </c>
      <c r="L2837" s="1181"/>
      <c r="M2837" s="874">
        <f>S1SHTAData!O7</f>
        <v>0</v>
      </c>
      <c r="N2837" s="875"/>
      <c r="O2837" s="875"/>
      <c r="P2837" s="876"/>
      <c r="Q2837" s="874">
        <f>S1SHTAData!P7</f>
        <v>0</v>
      </c>
      <c r="R2837" s="875"/>
      <c r="S2837" s="875"/>
      <c r="T2837" s="876"/>
      <c r="U2837" s="874">
        <f t="shared" si="51"/>
        <v>0</v>
      </c>
      <c r="V2837" s="875"/>
      <c r="W2837" s="875"/>
      <c r="X2837" s="876"/>
      <c r="Y2837" s="866">
        <f>S1SHTAData!R7</f>
        <v>0</v>
      </c>
      <c r="Z2837" s="900"/>
      <c r="AA2837" s="900"/>
      <c r="AB2837" s="867"/>
      <c r="AC2837" s="518"/>
      <c r="AD2837" s="518"/>
      <c r="AE2837" s="588"/>
      <c r="AF2837" s="529"/>
      <c r="AG2837" s="529"/>
      <c r="AH2837" s="529"/>
      <c r="AJ2837" s="595" t="b">
        <f t="shared" si="52"/>
        <v>0</v>
      </c>
    </row>
    <row r="2838" spans="1:36" hidden="1" x14ac:dyDescent="0.45">
      <c r="A2838" s="518"/>
      <c r="B2838" s="514" t="s">
        <v>1410</v>
      </c>
      <c r="C2838" s="535"/>
      <c r="D2838" s="535"/>
      <c r="E2838" s="535"/>
      <c r="F2838" s="535"/>
      <c r="G2838" s="885" t="str">
        <f>IF(S1SHTAData!L8=0,"",S1SHTAData!L8)</f>
        <v/>
      </c>
      <c r="H2838" s="885"/>
      <c r="I2838" s="890" t="str">
        <f>IF(S1SHTAData!AF8=0,"",S1SHTAData!AF8)</f>
        <v/>
      </c>
      <c r="J2838" s="891"/>
      <c r="K2838" s="939">
        <f>S1SHTAData!N8</f>
        <v>0</v>
      </c>
      <c r="L2838" s="1181"/>
      <c r="M2838" s="874">
        <f>S1SHTAData!O8</f>
        <v>0</v>
      </c>
      <c r="N2838" s="875"/>
      <c r="O2838" s="875"/>
      <c r="P2838" s="876"/>
      <c r="Q2838" s="874">
        <f>S1SHTAData!P8</f>
        <v>0</v>
      </c>
      <c r="R2838" s="875"/>
      <c r="S2838" s="875"/>
      <c r="T2838" s="876"/>
      <c r="U2838" s="874">
        <f t="shared" si="51"/>
        <v>0</v>
      </c>
      <c r="V2838" s="875"/>
      <c r="W2838" s="875"/>
      <c r="X2838" s="876"/>
      <c r="Y2838" s="866">
        <f>S1SHTAData!R8</f>
        <v>0</v>
      </c>
      <c r="Z2838" s="900"/>
      <c r="AA2838" s="900"/>
      <c r="AB2838" s="867"/>
      <c r="AC2838" s="518"/>
      <c r="AD2838" s="518"/>
      <c r="AE2838" s="588"/>
      <c r="AF2838" s="529"/>
      <c r="AG2838" s="529"/>
      <c r="AH2838" s="529"/>
      <c r="AJ2838" s="595" t="b">
        <f t="shared" si="52"/>
        <v>0</v>
      </c>
    </row>
    <row r="2839" spans="1:36" hidden="1" x14ac:dyDescent="0.45">
      <c r="A2839" s="518"/>
      <c r="B2839" s="514" t="s">
        <v>1411</v>
      </c>
      <c r="C2839" s="535"/>
      <c r="D2839" s="535"/>
      <c r="E2839" s="535"/>
      <c r="F2839" s="535"/>
      <c r="G2839" s="885" t="str">
        <f>IF(S1SHTAData!L9=0,"",S1SHTAData!L9)</f>
        <v/>
      </c>
      <c r="H2839" s="885"/>
      <c r="I2839" s="890" t="str">
        <f>IF(S1SHTAData!AF9=0,"",S1SHTAData!AF9)</f>
        <v/>
      </c>
      <c r="J2839" s="891"/>
      <c r="K2839" s="939">
        <f>S1SHTAData!N9</f>
        <v>0</v>
      </c>
      <c r="L2839" s="1181"/>
      <c r="M2839" s="874">
        <f>S1SHTAData!O9</f>
        <v>0</v>
      </c>
      <c r="N2839" s="875"/>
      <c r="O2839" s="875"/>
      <c r="P2839" s="876"/>
      <c r="Q2839" s="874">
        <f>S1SHTAData!P9</f>
        <v>0</v>
      </c>
      <c r="R2839" s="875"/>
      <c r="S2839" s="875"/>
      <c r="T2839" s="876"/>
      <c r="U2839" s="874">
        <f t="shared" si="51"/>
        <v>0</v>
      </c>
      <c r="V2839" s="875"/>
      <c r="W2839" s="875"/>
      <c r="X2839" s="876"/>
      <c r="Y2839" s="866">
        <f>S1SHTAData!R9</f>
        <v>0</v>
      </c>
      <c r="Z2839" s="900"/>
      <c r="AA2839" s="900"/>
      <c r="AB2839" s="867"/>
      <c r="AC2839" s="518"/>
      <c r="AD2839" s="518"/>
      <c r="AE2839" s="588"/>
      <c r="AF2839" s="529"/>
      <c r="AG2839" s="529"/>
      <c r="AH2839" s="529"/>
      <c r="AJ2839" s="595" t="b">
        <f t="shared" si="52"/>
        <v>0</v>
      </c>
    </row>
    <row r="2840" spans="1:36" hidden="1" x14ac:dyDescent="0.45">
      <c r="A2840" s="518"/>
      <c r="B2840" s="514" t="s">
        <v>1412</v>
      </c>
      <c r="C2840" s="535"/>
      <c r="D2840" s="535"/>
      <c r="E2840" s="535"/>
      <c r="F2840" s="535"/>
      <c r="G2840" s="885" t="str">
        <f>IF(S1SHTAData!L10=0,"",S1SHTAData!L10)</f>
        <v/>
      </c>
      <c r="H2840" s="885"/>
      <c r="I2840" s="890" t="str">
        <f>IF(S1SHTAData!AF10=0,"",S1SHTAData!AF10)</f>
        <v/>
      </c>
      <c r="J2840" s="891"/>
      <c r="K2840" s="939">
        <f>S1SHTAData!N10</f>
        <v>0</v>
      </c>
      <c r="L2840" s="1181"/>
      <c r="M2840" s="874">
        <f>S1SHTAData!O10</f>
        <v>0</v>
      </c>
      <c r="N2840" s="875"/>
      <c r="O2840" s="875"/>
      <c r="P2840" s="876"/>
      <c r="Q2840" s="874">
        <f>S1SHTAData!P10</f>
        <v>0</v>
      </c>
      <c r="R2840" s="875"/>
      <c r="S2840" s="875"/>
      <c r="T2840" s="876"/>
      <c r="U2840" s="874">
        <f t="shared" si="51"/>
        <v>0</v>
      </c>
      <c r="V2840" s="875"/>
      <c r="W2840" s="875"/>
      <c r="X2840" s="876"/>
      <c r="Y2840" s="866">
        <f>S1SHTAData!R10</f>
        <v>0</v>
      </c>
      <c r="Z2840" s="900"/>
      <c r="AA2840" s="900"/>
      <c r="AB2840" s="867"/>
      <c r="AC2840" s="518"/>
      <c r="AD2840" s="518"/>
      <c r="AE2840" s="588"/>
      <c r="AF2840" s="529"/>
      <c r="AG2840" s="529"/>
      <c r="AH2840" s="529"/>
      <c r="AJ2840" s="595" t="b">
        <f t="shared" si="52"/>
        <v>0</v>
      </c>
    </row>
    <row r="2841" spans="1:36" hidden="1" x14ac:dyDescent="0.45">
      <c r="A2841" s="518"/>
      <c r="B2841" s="514" t="s">
        <v>1413</v>
      </c>
      <c r="C2841" s="535"/>
      <c r="D2841" s="535"/>
      <c r="E2841" s="535"/>
      <c r="F2841" s="535"/>
      <c r="G2841" s="885" t="str">
        <f>IF(S1SHTAData!L11=0,"",S1SHTAData!L11)</f>
        <v/>
      </c>
      <c r="H2841" s="885"/>
      <c r="I2841" s="890" t="str">
        <f>IF(S1SHTAData!AF11=0,"",S1SHTAData!AF11)</f>
        <v/>
      </c>
      <c r="J2841" s="891"/>
      <c r="K2841" s="939">
        <f>S1SHTAData!N11</f>
        <v>0</v>
      </c>
      <c r="L2841" s="1181"/>
      <c r="M2841" s="874">
        <f>S1SHTAData!O11</f>
        <v>0</v>
      </c>
      <c r="N2841" s="875"/>
      <c r="O2841" s="875"/>
      <c r="P2841" s="876"/>
      <c r="Q2841" s="874">
        <f>S1SHTAData!P11</f>
        <v>0</v>
      </c>
      <c r="R2841" s="875"/>
      <c r="S2841" s="875"/>
      <c r="T2841" s="876"/>
      <c r="U2841" s="874">
        <f t="shared" si="51"/>
        <v>0</v>
      </c>
      <c r="V2841" s="875"/>
      <c r="W2841" s="875"/>
      <c r="X2841" s="876"/>
      <c r="Y2841" s="866">
        <f>S1SHTAData!R11</f>
        <v>0</v>
      </c>
      <c r="Z2841" s="900"/>
      <c r="AA2841" s="900"/>
      <c r="AB2841" s="867"/>
      <c r="AC2841" s="518"/>
      <c r="AD2841" s="518"/>
      <c r="AE2841" s="588"/>
      <c r="AF2841" s="529"/>
      <c r="AG2841" s="529"/>
      <c r="AH2841" s="529"/>
      <c r="AJ2841" s="595" t="b">
        <f t="shared" si="52"/>
        <v>0</v>
      </c>
    </row>
    <row r="2842" spans="1:36" hidden="1" x14ac:dyDescent="0.45">
      <c r="A2842" s="518"/>
      <c r="B2842" s="514" t="s">
        <v>1414</v>
      </c>
      <c r="C2842" s="535"/>
      <c r="D2842" s="535"/>
      <c r="E2842" s="535"/>
      <c r="F2842" s="535"/>
      <c r="G2842" s="885" t="str">
        <f>IF(S1SHTAData!L12=0,"",S1SHTAData!L12)</f>
        <v/>
      </c>
      <c r="H2842" s="885"/>
      <c r="I2842" s="890" t="str">
        <f>IF(S1SHTAData!AF12=0,"",S1SHTAData!AF12)</f>
        <v/>
      </c>
      <c r="J2842" s="891"/>
      <c r="K2842" s="939">
        <f>S1SHTAData!N12</f>
        <v>0</v>
      </c>
      <c r="L2842" s="1181"/>
      <c r="M2842" s="874">
        <f>S1SHTAData!O12</f>
        <v>0</v>
      </c>
      <c r="N2842" s="875"/>
      <c r="O2842" s="875"/>
      <c r="P2842" s="876"/>
      <c r="Q2842" s="874">
        <f>S1SHTAData!P12</f>
        <v>0</v>
      </c>
      <c r="R2842" s="875"/>
      <c r="S2842" s="875"/>
      <c r="T2842" s="876"/>
      <c r="U2842" s="874">
        <f t="shared" si="51"/>
        <v>0</v>
      </c>
      <c r="V2842" s="875"/>
      <c r="W2842" s="875"/>
      <c r="X2842" s="876"/>
      <c r="Y2842" s="866">
        <f>S1SHTAData!R12</f>
        <v>0</v>
      </c>
      <c r="Z2842" s="900"/>
      <c r="AA2842" s="900"/>
      <c r="AB2842" s="867"/>
      <c r="AC2842" s="518"/>
      <c r="AD2842" s="518"/>
      <c r="AE2842" s="588"/>
      <c r="AF2842" s="529"/>
      <c r="AG2842" s="529"/>
      <c r="AH2842" s="529"/>
      <c r="AJ2842" s="595" t="b">
        <f t="shared" si="52"/>
        <v>0</v>
      </c>
    </row>
    <row r="2843" spans="1:36" hidden="1" x14ac:dyDescent="0.45">
      <c r="A2843" s="518"/>
      <c r="B2843" s="514" t="s">
        <v>1415</v>
      </c>
      <c r="C2843" s="535"/>
      <c r="D2843" s="535"/>
      <c r="E2843" s="535"/>
      <c r="F2843" s="535"/>
      <c r="G2843" s="885" t="str">
        <f>IF(S1SHTAData!L13=0,"",S1SHTAData!L13)</f>
        <v/>
      </c>
      <c r="H2843" s="885"/>
      <c r="I2843" s="890" t="str">
        <f>IF(S1SHTAData!AF13=0,"",S1SHTAData!AF13)</f>
        <v/>
      </c>
      <c r="J2843" s="891"/>
      <c r="K2843" s="939">
        <f>S1SHTAData!N13</f>
        <v>0</v>
      </c>
      <c r="L2843" s="1181"/>
      <c r="M2843" s="874">
        <f>S1SHTAData!O13</f>
        <v>0</v>
      </c>
      <c r="N2843" s="875"/>
      <c r="O2843" s="875"/>
      <c r="P2843" s="876"/>
      <c r="Q2843" s="874">
        <f>S1SHTAData!P13</f>
        <v>0</v>
      </c>
      <c r="R2843" s="875"/>
      <c r="S2843" s="875"/>
      <c r="T2843" s="876"/>
      <c r="U2843" s="874">
        <f t="shared" si="51"/>
        <v>0</v>
      </c>
      <c r="V2843" s="875"/>
      <c r="W2843" s="875"/>
      <c r="X2843" s="876"/>
      <c r="Y2843" s="866">
        <f>S1SHTAData!R13</f>
        <v>0</v>
      </c>
      <c r="Z2843" s="900"/>
      <c r="AA2843" s="900"/>
      <c r="AB2843" s="867"/>
      <c r="AC2843" s="518"/>
      <c r="AD2843" s="518"/>
      <c r="AE2843" s="588"/>
      <c r="AF2843" s="529"/>
      <c r="AG2843" s="529"/>
      <c r="AH2843" s="529"/>
      <c r="AJ2843" s="595" t="b">
        <f t="shared" si="52"/>
        <v>0</v>
      </c>
    </row>
    <row r="2844" spans="1:36" hidden="1" x14ac:dyDescent="0.45">
      <c r="A2844" s="518"/>
      <c r="B2844" s="514" t="s">
        <v>1416</v>
      </c>
      <c r="C2844" s="535"/>
      <c r="D2844" s="535"/>
      <c r="E2844" s="535"/>
      <c r="F2844" s="535"/>
      <c r="G2844" s="885" t="str">
        <f>IF(S1SHTAData!L14=0,"",S1SHTAData!L14)</f>
        <v/>
      </c>
      <c r="H2844" s="885"/>
      <c r="I2844" s="890" t="str">
        <f>IF(S1SHTAData!AF14=0,"",S1SHTAData!AF14)</f>
        <v/>
      </c>
      <c r="J2844" s="891"/>
      <c r="K2844" s="939">
        <f>S1SHTAData!N14</f>
        <v>0</v>
      </c>
      <c r="L2844" s="1181"/>
      <c r="M2844" s="874">
        <f>S1SHTAData!O14</f>
        <v>0</v>
      </c>
      <c r="N2844" s="875"/>
      <c r="O2844" s="875"/>
      <c r="P2844" s="876"/>
      <c r="Q2844" s="874">
        <f>S1SHTAData!P14</f>
        <v>0</v>
      </c>
      <c r="R2844" s="875"/>
      <c r="S2844" s="875"/>
      <c r="T2844" s="876"/>
      <c r="U2844" s="874">
        <f t="shared" si="51"/>
        <v>0</v>
      </c>
      <c r="V2844" s="875"/>
      <c r="W2844" s="875"/>
      <c r="X2844" s="876"/>
      <c r="Y2844" s="866">
        <f>S1SHTAData!R14</f>
        <v>0</v>
      </c>
      <c r="Z2844" s="900"/>
      <c r="AA2844" s="900"/>
      <c r="AB2844" s="867"/>
      <c r="AC2844" s="518"/>
      <c r="AD2844" s="518"/>
      <c r="AE2844" s="588"/>
      <c r="AF2844" s="529"/>
      <c r="AG2844" s="529"/>
      <c r="AH2844" s="529"/>
      <c r="AJ2844" s="595" t="b">
        <f t="shared" si="52"/>
        <v>0</v>
      </c>
    </row>
    <row r="2845" spans="1:36" hidden="1" x14ac:dyDescent="0.45">
      <c r="A2845" s="518"/>
      <c r="B2845" s="514" t="s">
        <v>1417</v>
      </c>
      <c r="C2845" s="535"/>
      <c r="D2845" s="535"/>
      <c r="E2845" s="535"/>
      <c r="F2845" s="535"/>
      <c r="G2845" s="885" t="str">
        <f>IF(S1SHTAData!L15=0,"",S1SHTAData!L15)</f>
        <v/>
      </c>
      <c r="H2845" s="885"/>
      <c r="I2845" s="890" t="str">
        <f>IF(S1SHTAData!AF15=0,"",S1SHTAData!AF15)</f>
        <v/>
      </c>
      <c r="J2845" s="891"/>
      <c r="K2845" s="939">
        <f>S1SHTAData!N15</f>
        <v>0</v>
      </c>
      <c r="L2845" s="1181"/>
      <c r="M2845" s="874">
        <f>S1SHTAData!O15</f>
        <v>0</v>
      </c>
      <c r="N2845" s="875"/>
      <c r="O2845" s="875"/>
      <c r="P2845" s="876"/>
      <c r="Q2845" s="874">
        <f>S1SHTAData!P15</f>
        <v>0</v>
      </c>
      <c r="R2845" s="875"/>
      <c r="S2845" s="875"/>
      <c r="T2845" s="876"/>
      <c r="U2845" s="874">
        <f t="shared" si="51"/>
        <v>0</v>
      </c>
      <c r="V2845" s="875"/>
      <c r="W2845" s="875"/>
      <c r="X2845" s="876"/>
      <c r="Y2845" s="866">
        <f>S1SHTAData!R15</f>
        <v>0</v>
      </c>
      <c r="Z2845" s="900"/>
      <c r="AA2845" s="900"/>
      <c r="AB2845" s="867"/>
      <c r="AC2845" s="518"/>
      <c r="AD2845" s="518"/>
      <c r="AE2845" s="588"/>
      <c r="AF2845" s="529"/>
      <c r="AG2845" s="529"/>
      <c r="AH2845" s="529"/>
      <c r="AJ2845" s="595" t="b">
        <f t="shared" si="52"/>
        <v>0</v>
      </c>
    </row>
    <row r="2846" spans="1:36" hidden="1" x14ac:dyDescent="0.45">
      <c r="A2846" s="518"/>
      <c r="B2846" s="514" t="s">
        <v>1418</v>
      </c>
      <c r="C2846" s="535"/>
      <c r="D2846" s="535"/>
      <c r="E2846" s="535"/>
      <c r="F2846" s="535"/>
      <c r="G2846" s="885" t="str">
        <f>IF(S1SHTAData!L16=0,"",S1SHTAData!L16)</f>
        <v/>
      </c>
      <c r="H2846" s="885"/>
      <c r="I2846" s="890" t="str">
        <f>IF(S1SHTAData!AF16=0,"",S1SHTAData!AF16)</f>
        <v/>
      </c>
      <c r="J2846" s="891"/>
      <c r="K2846" s="939">
        <f>S1SHTAData!N16</f>
        <v>0</v>
      </c>
      <c r="L2846" s="1181"/>
      <c r="M2846" s="874">
        <f>S1SHTAData!O16</f>
        <v>0</v>
      </c>
      <c r="N2846" s="875"/>
      <c r="O2846" s="875"/>
      <c r="P2846" s="876"/>
      <c r="Q2846" s="874">
        <f>S1SHTAData!P16</f>
        <v>0</v>
      </c>
      <c r="R2846" s="875"/>
      <c r="S2846" s="875"/>
      <c r="T2846" s="876"/>
      <c r="U2846" s="874">
        <f t="shared" si="51"/>
        <v>0</v>
      </c>
      <c r="V2846" s="875"/>
      <c r="W2846" s="875"/>
      <c r="X2846" s="876"/>
      <c r="Y2846" s="866">
        <f>S1SHTAData!R16</f>
        <v>0</v>
      </c>
      <c r="Z2846" s="900"/>
      <c r="AA2846" s="900"/>
      <c r="AB2846" s="867"/>
      <c r="AC2846" s="518"/>
      <c r="AD2846" s="518"/>
      <c r="AE2846" s="588"/>
      <c r="AF2846" s="529"/>
      <c r="AG2846" s="529"/>
      <c r="AH2846" s="529"/>
      <c r="AJ2846" s="595" t="b">
        <f t="shared" si="52"/>
        <v>0</v>
      </c>
    </row>
    <row r="2847" spans="1:36" hidden="1" x14ac:dyDescent="0.45">
      <c r="A2847" s="518"/>
      <c r="B2847" s="514" t="s">
        <v>1419</v>
      </c>
      <c r="C2847" s="535"/>
      <c r="D2847" s="535"/>
      <c r="E2847" s="535"/>
      <c r="F2847" s="535"/>
      <c r="G2847" s="885" t="str">
        <f>IF(S1SHTAData!L17=0,"",S1SHTAData!L17)</f>
        <v/>
      </c>
      <c r="H2847" s="885"/>
      <c r="I2847" s="890" t="str">
        <f>IF(S1SHTAData!AF17=0,"",S1SHTAData!AF17)</f>
        <v/>
      </c>
      <c r="J2847" s="891"/>
      <c r="K2847" s="939">
        <f>S1SHTAData!N17</f>
        <v>0</v>
      </c>
      <c r="L2847" s="1181"/>
      <c r="M2847" s="874">
        <f>S1SHTAData!O17</f>
        <v>0</v>
      </c>
      <c r="N2847" s="875"/>
      <c r="O2847" s="875"/>
      <c r="P2847" s="876"/>
      <c r="Q2847" s="874">
        <f>S1SHTAData!P17</f>
        <v>0</v>
      </c>
      <c r="R2847" s="875"/>
      <c r="S2847" s="875"/>
      <c r="T2847" s="876"/>
      <c r="U2847" s="874">
        <f t="shared" si="51"/>
        <v>0</v>
      </c>
      <c r="V2847" s="875"/>
      <c r="W2847" s="875"/>
      <c r="X2847" s="876"/>
      <c r="Y2847" s="866">
        <f>S1SHTAData!R17</f>
        <v>0</v>
      </c>
      <c r="Z2847" s="900"/>
      <c r="AA2847" s="900"/>
      <c r="AB2847" s="867"/>
      <c r="AC2847" s="518"/>
      <c r="AD2847" s="518"/>
      <c r="AE2847" s="588"/>
      <c r="AF2847" s="529"/>
      <c r="AG2847" s="529"/>
      <c r="AH2847" s="529"/>
      <c r="AJ2847" s="595" t="b">
        <f t="shared" si="52"/>
        <v>0</v>
      </c>
    </row>
    <row r="2848" spans="1:36" hidden="1" x14ac:dyDescent="0.45">
      <c r="A2848" s="518"/>
      <c r="B2848" s="514" t="s">
        <v>1420</v>
      </c>
      <c r="C2848" s="535"/>
      <c r="D2848" s="535"/>
      <c r="E2848" s="535"/>
      <c r="F2848" s="535"/>
      <c r="G2848" s="885" t="str">
        <f>IF(S1SHTAData!L18=0,"",S1SHTAData!L18)</f>
        <v/>
      </c>
      <c r="H2848" s="885"/>
      <c r="I2848" s="890" t="str">
        <f>IF(S1SHTAData!AF18=0,"",S1SHTAData!AF18)</f>
        <v/>
      </c>
      <c r="J2848" s="891"/>
      <c r="K2848" s="939">
        <f>S1SHTAData!N18</f>
        <v>0</v>
      </c>
      <c r="L2848" s="1181"/>
      <c r="M2848" s="874">
        <f>S1SHTAData!O18</f>
        <v>0</v>
      </c>
      <c r="N2848" s="875"/>
      <c r="O2848" s="875"/>
      <c r="P2848" s="876"/>
      <c r="Q2848" s="874">
        <f>S1SHTAData!P18</f>
        <v>0</v>
      </c>
      <c r="R2848" s="875"/>
      <c r="S2848" s="875"/>
      <c r="T2848" s="876"/>
      <c r="U2848" s="874">
        <f t="shared" si="51"/>
        <v>0</v>
      </c>
      <c r="V2848" s="875"/>
      <c r="W2848" s="875"/>
      <c r="X2848" s="876"/>
      <c r="Y2848" s="866">
        <f>S1SHTAData!R18</f>
        <v>0</v>
      </c>
      <c r="Z2848" s="900"/>
      <c r="AA2848" s="900"/>
      <c r="AB2848" s="867"/>
      <c r="AC2848" s="518"/>
      <c r="AD2848" s="518"/>
      <c r="AE2848" s="588"/>
      <c r="AF2848" s="529"/>
      <c r="AG2848" s="529"/>
      <c r="AH2848" s="529"/>
      <c r="AJ2848" s="595" t="b">
        <f t="shared" si="52"/>
        <v>0</v>
      </c>
    </row>
    <row r="2849" spans="1:36" hidden="1" x14ac:dyDescent="0.45">
      <c r="A2849" s="518"/>
      <c r="B2849" s="514" t="s">
        <v>1421</v>
      </c>
      <c r="C2849" s="535"/>
      <c r="D2849" s="535"/>
      <c r="E2849" s="535"/>
      <c r="F2849" s="535"/>
      <c r="G2849" s="885" t="str">
        <f>IF(S1SHTAData!L19=0,"",S1SHTAData!L19)</f>
        <v/>
      </c>
      <c r="H2849" s="885"/>
      <c r="I2849" s="890" t="str">
        <f>IF(S1SHTAData!AF19=0,"",S1SHTAData!AF19)</f>
        <v/>
      </c>
      <c r="J2849" s="891"/>
      <c r="K2849" s="939">
        <f>S1SHTAData!N19</f>
        <v>0</v>
      </c>
      <c r="L2849" s="1181"/>
      <c r="M2849" s="874">
        <f>S1SHTAData!O19</f>
        <v>0</v>
      </c>
      <c r="N2849" s="875"/>
      <c r="O2849" s="875"/>
      <c r="P2849" s="876"/>
      <c r="Q2849" s="874">
        <f>S1SHTAData!P19</f>
        <v>0</v>
      </c>
      <c r="R2849" s="875"/>
      <c r="S2849" s="875"/>
      <c r="T2849" s="876"/>
      <c r="U2849" s="874">
        <f t="shared" si="51"/>
        <v>0</v>
      </c>
      <c r="V2849" s="875"/>
      <c r="W2849" s="875"/>
      <c r="X2849" s="876"/>
      <c r="Y2849" s="866">
        <f>S1SHTAData!R19</f>
        <v>0</v>
      </c>
      <c r="Z2849" s="900"/>
      <c r="AA2849" s="900"/>
      <c r="AB2849" s="867"/>
      <c r="AC2849" s="518"/>
      <c r="AD2849" s="518"/>
      <c r="AE2849" s="588"/>
      <c r="AF2849" s="529"/>
      <c r="AG2849" s="529"/>
      <c r="AH2849" s="529"/>
      <c r="AJ2849" s="595" t="b">
        <f t="shared" si="52"/>
        <v>0</v>
      </c>
    </row>
    <row r="2850" spans="1:36" hidden="1" x14ac:dyDescent="0.45">
      <c r="A2850" s="518"/>
      <c r="B2850" s="514" t="s">
        <v>1422</v>
      </c>
      <c r="C2850" s="535"/>
      <c r="D2850" s="535"/>
      <c r="E2850" s="535"/>
      <c r="F2850" s="535"/>
      <c r="G2850" s="885" t="str">
        <f>IF(S1SHTAData!L20=0,"",S1SHTAData!L20)</f>
        <v/>
      </c>
      <c r="H2850" s="885"/>
      <c r="I2850" s="890" t="str">
        <f>IF(S1SHTAData!AF20=0,"",S1SHTAData!AF20)</f>
        <v/>
      </c>
      <c r="J2850" s="891"/>
      <c r="K2850" s="939">
        <f>S1SHTAData!N20</f>
        <v>0</v>
      </c>
      <c r="L2850" s="1181"/>
      <c r="M2850" s="874">
        <f>S1SHTAData!O20</f>
        <v>0</v>
      </c>
      <c r="N2850" s="875"/>
      <c r="O2850" s="875"/>
      <c r="P2850" s="876"/>
      <c r="Q2850" s="874">
        <f>S1SHTAData!P20</f>
        <v>0</v>
      </c>
      <c r="R2850" s="875"/>
      <c r="S2850" s="875"/>
      <c r="T2850" s="876"/>
      <c r="U2850" s="874">
        <f t="shared" si="51"/>
        <v>0</v>
      </c>
      <c r="V2850" s="875"/>
      <c r="W2850" s="875"/>
      <c r="X2850" s="876"/>
      <c r="Y2850" s="866">
        <f>S1SHTAData!R20</f>
        <v>0</v>
      </c>
      <c r="Z2850" s="900"/>
      <c r="AA2850" s="900"/>
      <c r="AB2850" s="867"/>
      <c r="AC2850" s="518"/>
      <c r="AD2850" s="518"/>
      <c r="AE2850" s="588"/>
      <c r="AF2850" s="529"/>
      <c r="AG2850" s="529"/>
      <c r="AH2850" s="529"/>
      <c r="AJ2850" s="595" t="b">
        <f t="shared" si="52"/>
        <v>0</v>
      </c>
    </row>
    <row r="2851" spans="1:36" hidden="1" x14ac:dyDescent="0.45">
      <c r="A2851" s="518"/>
      <c r="B2851" s="514" t="s">
        <v>1423</v>
      </c>
      <c r="C2851" s="535"/>
      <c r="D2851" s="535"/>
      <c r="E2851" s="535"/>
      <c r="F2851" s="535"/>
      <c r="G2851" s="885" t="str">
        <f>IF(S1SHTAData!L21=0,"",S1SHTAData!L21)</f>
        <v/>
      </c>
      <c r="H2851" s="885"/>
      <c r="I2851" s="890" t="str">
        <f>IF(S1SHTAData!AF21=0,"",S1SHTAData!AF21)</f>
        <v/>
      </c>
      <c r="J2851" s="891"/>
      <c r="K2851" s="939">
        <f>S1SHTAData!N21</f>
        <v>0</v>
      </c>
      <c r="L2851" s="1181"/>
      <c r="M2851" s="874">
        <f>S1SHTAData!O21</f>
        <v>0</v>
      </c>
      <c r="N2851" s="875"/>
      <c r="O2851" s="875"/>
      <c r="P2851" s="876"/>
      <c r="Q2851" s="874">
        <f>S1SHTAData!P21</f>
        <v>0</v>
      </c>
      <c r="R2851" s="875"/>
      <c r="S2851" s="875"/>
      <c r="T2851" s="876"/>
      <c r="U2851" s="874">
        <f t="shared" si="51"/>
        <v>0</v>
      </c>
      <c r="V2851" s="875"/>
      <c r="W2851" s="875"/>
      <c r="X2851" s="876"/>
      <c r="Y2851" s="866">
        <f>S1SHTAData!R21</f>
        <v>0</v>
      </c>
      <c r="Z2851" s="900"/>
      <c r="AA2851" s="900"/>
      <c r="AB2851" s="867"/>
      <c r="AC2851" s="518"/>
      <c r="AD2851" s="518"/>
      <c r="AE2851" s="588"/>
      <c r="AF2851" s="529"/>
      <c r="AG2851" s="529"/>
      <c r="AH2851" s="529"/>
      <c r="AJ2851" s="595" t="b">
        <f t="shared" si="52"/>
        <v>0</v>
      </c>
    </row>
    <row r="2852" spans="1:36" hidden="1" x14ac:dyDescent="0.45">
      <c r="A2852" s="518"/>
      <c r="B2852" s="514" t="s">
        <v>1424</v>
      </c>
      <c r="C2852" s="535"/>
      <c r="D2852" s="535"/>
      <c r="E2852" s="535"/>
      <c r="F2852" s="535"/>
      <c r="G2852" s="885" t="str">
        <f>IF(S1SHTAData!L22=0,"",S1SHTAData!L22)</f>
        <v/>
      </c>
      <c r="H2852" s="885"/>
      <c r="I2852" s="890" t="str">
        <f>IF(S1SHTAData!AF22=0,"",S1SHTAData!AF22)</f>
        <v/>
      </c>
      <c r="J2852" s="891"/>
      <c r="K2852" s="939">
        <f>S1SHTAData!N22</f>
        <v>0</v>
      </c>
      <c r="L2852" s="1181"/>
      <c r="M2852" s="874">
        <f>S1SHTAData!O22</f>
        <v>0</v>
      </c>
      <c r="N2852" s="875"/>
      <c r="O2852" s="875"/>
      <c r="P2852" s="876"/>
      <c r="Q2852" s="874">
        <f>S1SHTAData!P22</f>
        <v>0</v>
      </c>
      <c r="R2852" s="875"/>
      <c r="S2852" s="875"/>
      <c r="T2852" s="876"/>
      <c r="U2852" s="874">
        <f t="shared" si="51"/>
        <v>0</v>
      </c>
      <c r="V2852" s="875"/>
      <c r="W2852" s="875"/>
      <c r="X2852" s="876"/>
      <c r="Y2852" s="866">
        <f>S1SHTAData!R22</f>
        <v>0</v>
      </c>
      <c r="Z2852" s="900"/>
      <c r="AA2852" s="900"/>
      <c r="AB2852" s="867"/>
      <c r="AC2852" s="518"/>
      <c r="AD2852" s="518"/>
      <c r="AE2852" s="588"/>
      <c r="AF2852" s="529"/>
      <c r="AG2852" s="529"/>
      <c r="AH2852" s="529"/>
      <c r="AJ2852" s="595" t="b">
        <f t="shared" si="52"/>
        <v>0</v>
      </c>
    </row>
    <row r="2853" spans="1:36" hidden="1" x14ac:dyDescent="0.45">
      <c r="A2853" s="518"/>
      <c r="B2853" s="514" t="s">
        <v>1425</v>
      </c>
      <c r="C2853" s="535"/>
      <c r="D2853" s="535"/>
      <c r="E2853" s="535"/>
      <c r="F2853" s="535"/>
      <c r="G2853" s="885" t="str">
        <f>IF(S1SHTAData!L23=0,"",S1SHTAData!L23)</f>
        <v/>
      </c>
      <c r="H2853" s="885"/>
      <c r="I2853" s="890" t="str">
        <f>IF(S1SHTAData!AF23=0,"",S1SHTAData!AF23)</f>
        <v/>
      </c>
      <c r="J2853" s="891"/>
      <c r="K2853" s="939">
        <f>S1SHTAData!N23</f>
        <v>0</v>
      </c>
      <c r="L2853" s="1181"/>
      <c r="M2853" s="874">
        <f>S1SHTAData!O23</f>
        <v>0</v>
      </c>
      <c r="N2853" s="875"/>
      <c r="O2853" s="875"/>
      <c r="P2853" s="876"/>
      <c r="Q2853" s="874">
        <f>S1SHTAData!P23</f>
        <v>0</v>
      </c>
      <c r="R2853" s="875"/>
      <c r="S2853" s="875"/>
      <c r="T2853" s="876"/>
      <c r="U2853" s="874">
        <f t="shared" si="51"/>
        <v>0</v>
      </c>
      <c r="V2853" s="875"/>
      <c r="W2853" s="875"/>
      <c r="X2853" s="876"/>
      <c r="Y2853" s="866">
        <f>S1SHTAData!R23</f>
        <v>0</v>
      </c>
      <c r="Z2853" s="900"/>
      <c r="AA2853" s="900"/>
      <c r="AB2853" s="867"/>
      <c r="AC2853" s="518"/>
      <c r="AD2853" s="518"/>
      <c r="AE2853" s="588"/>
      <c r="AF2853" s="529"/>
      <c r="AG2853" s="529"/>
      <c r="AH2853" s="529"/>
      <c r="AJ2853" s="595" t="b">
        <f t="shared" si="52"/>
        <v>0</v>
      </c>
    </row>
    <row r="2854" spans="1:36" hidden="1" x14ac:dyDescent="0.45">
      <c r="A2854" s="518"/>
      <c r="B2854" s="514" t="s">
        <v>1426</v>
      </c>
      <c r="C2854" s="535"/>
      <c r="D2854" s="535"/>
      <c r="E2854" s="535"/>
      <c r="F2854" s="535"/>
      <c r="G2854" s="885" t="str">
        <f>IF(S1SHTAData!L24=0,"",S1SHTAData!L24)</f>
        <v/>
      </c>
      <c r="H2854" s="885"/>
      <c r="I2854" s="890" t="str">
        <f>IF(S1SHTAData!AF24=0,"",S1SHTAData!AF24)</f>
        <v/>
      </c>
      <c r="J2854" s="891"/>
      <c r="K2854" s="939">
        <f>S1SHTAData!N24</f>
        <v>0</v>
      </c>
      <c r="L2854" s="1181"/>
      <c r="M2854" s="874">
        <f>S1SHTAData!O24</f>
        <v>0</v>
      </c>
      <c r="N2854" s="875"/>
      <c r="O2854" s="875"/>
      <c r="P2854" s="876"/>
      <c r="Q2854" s="874">
        <f>S1SHTAData!P24</f>
        <v>0</v>
      </c>
      <c r="R2854" s="875"/>
      <c r="S2854" s="875"/>
      <c r="T2854" s="876"/>
      <c r="U2854" s="874">
        <f t="shared" si="51"/>
        <v>0</v>
      </c>
      <c r="V2854" s="875"/>
      <c r="W2854" s="875"/>
      <c r="X2854" s="876"/>
      <c r="Y2854" s="866">
        <f>S1SHTAData!R24</f>
        <v>0</v>
      </c>
      <c r="Z2854" s="900"/>
      <c r="AA2854" s="900"/>
      <c r="AB2854" s="867"/>
      <c r="AC2854" s="518"/>
      <c r="AD2854" s="518"/>
      <c r="AE2854" s="588"/>
      <c r="AF2854" s="529"/>
      <c r="AG2854" s="529"/>
      <c r="AH2854" s="529"/>
      <c r="AJ2854" s="595" t="b">
        <f t="shared" si="52"/>
        <v>0</v>
      </c>
    </row>
    <row r="2855" spans="1:36" hidden="1" x14ac:dyDescent="0.45">
      <c r="A2855" s="518"/>
      <c r="B2855" s="514" t="s">
        <v>1427</v>
      </c>
      <c r="C2855" s="535"/>
      <c r="D2855" s="535"/>
      <c r="E2855" s="535"/>
      <c r="F2855" s="535"/>
      <c r="G2855" s="885" t="str">
        <f>IF(S1SHTAData!L25=0,"",S1SHTAData!L25)</f>
        <v/>
      </c>
      <c r="H2855" s="885"/>
      <c r="I2855" s="890" t="str">
        <f>IF(S1SHTAData!AF25=0,"",S1SHTAData!AF25)</f>
        <v/>
      </c>
      <c r="J2855" s="891"/>
      <c r="K2855" s="939">
        <f>S1SHTAData!N25</f>
        <v>0</v>
      </c>
      <c r="L2855" s="1181"/>
      <c r="M2855" s="874">
        <f>S1SHTAData!O25</f>
        <v>0</v>
      </c>
      <c r="N2855" s="875"/>
      <c r="O2855" s="875"/>
      <c r="P2855" s="876"/>
      <c r="Q2855" s="874">
        <f>S1SHTAData!P25</f>
        <v>0</v>
      </c>
      <c r="R2855" s="875"/>
      <c r="S2855" s="875"/>
      <c r="T2855" s="876"/>
      <c r="U2855" s="874">
        <f t="shared" si="51"/>
        <v>0</v>
      </c>
      <c r="V2855" s="875"/>
      <c r="W2855" s="875"/>
      <c r="X2855" s="876"/>
      <c r="Y2855" s="866">
        <f>S1SHTAData!R25</f>
        <v>0</v>
      </c>
      <c r="Z2855" s="900"/>
      <c r="AA2855" s="900"/>
      <c r="AB2855" s="867"/>
      <c r="AC2855" s="518"/>
      <c r="AD2855" s="518"/>
      <c r="AE2855" s="588"/>
      <c r="AF2855" s="529"/>
      <c r="AG2855" s="529"/>
      <c r="AH2855" s="529"/>
      <c r="AJ2855" s="595" t="b">
        <f t="shared" si="52"/>
        <v>0</v>
      </c>
    </row>
    <row r="2856" spans="1:36" hidden="1" x14ac:dyDescent="0.45">
      <c r="A2856" s="518"/>
      <c r="B2856" s="514" t="s">
        <v>1428</v>
      </c>
      <c r="C2856" s="535"/>
      <c r="D2856" s="535"/>
      <c r="E2856" s="535"/>
      <c r="F2856" s="535"/>
      <c r="G2856" s="885" t="str">
        <f>IF(S1SHTAData!L26=0,"",S1SHTAData!L26)</f>
        <v/>
      </c>
      <c r="H2856" s="885"/>
      <c r="I2856" s="890" t="str">
        <f>IF(S1SHTAData!AF26=0,"",S1SHTAData!AF26)</f>
        <v/>
      </c>
      <c r="J2856" s="891"/>
      <c r="K2856" s="939">
        <f>S1SHTAData!N26</f>
        <v>0</v>
      </c>
      <c r="L2856" s="1181"/>
      <c r="M2856" s="874">
        <f>S1SHTAData!O26</f>
        <v>0</v>
      </c>
      <c r="N2856" s="875"/>
      <c r="O2856" s="875"/>
      <c r="P2856" s="876"/>
      <c r="Q2856" s="874">
        <f>S1SHTAData!P26</f>
        <v>0</v>
      </c>
      <c r="R2856" s="875"/>
      <c r="S2856" s="875"/>
      <c r="T2856" s="876"/>
      <c r="U2856" s="874">
        <f t="shared" si="51"/>
        <v>0</v>
      </c>
      <c r="V2856" s="875"/>
      <c r="W2856" s="875"/>
      <c r="X2856" s="876"/>
      <c r="Y2856" s="866">
        <f>S1SHTAData!R26</f>
        <v>0</v>
      </c>
      <c r="Z2856" s="900"/>
      <c r="AA2856" s="900"/>
      <c r="AB2856" s="867"/>
      <c r="AC2856" s="518"/>
      <c r="AD2856" s="518"/>
      <c r="AE2856" s="588"/>
      <c r="AF2856" s="529"/>
      <c r="AG2856" s="529"/>
      <c r="AH2856" s="529"/>
      <c r="AJ2856" s="595" t="b">
        <f t="shared" si="52"/>
        <v>0</v>
      </c>
    </row>
    <row r="2857" spans="1:36" hidden="1" x14ac:dyDescent="0.45">
      <c r="A2857" s="518"/>
      <c r="B2857" s="514" t="s">
        <v>1429</v>
      </c>
      <c r="C2857" s="535"/>
      <c r="D2857" s="535"/>
      <c r="E2857" s="535"/>
      <c r="F2857" s="535"/>
      <c r="G2857" s="885" t="str">
        <f>IF(S1SHTAData!L27=0,"",S1SHTAData!L27)</f>
        <v/>
      </c>
      <c r="H2857" s="885"/>
      <c r="I2857" s="890" t="str">
        <f>IF(S1SHTAData!AF27=0,"",S1SHTAData!AF27)</f>
        <v/>
      </c>
      <c r="J2857" s="891"/>
      <c r="K2857" s="939">
        <f>S1SHTAData!N27</f>
        <v>0</v>
      </c>
      <c r="L2857" s="1181"/>
      <c r="M2857" s="874">
        <f>S1SHTAData!O27</f>
        <v>0</v>
      </c>
      <c r="N2857" s="875"/>
      <c r="O2857" s="875"/>
      <c r="P2857" s="876"/>
      <c r="Q2857" s="874">
        <f>S1SHTAData!P27</f>
        <v>0</v>
      </c>
      <c r="R2857" s="875"/>
      <c r="S2857" s="875"/>
      <c r="T2857" s="876"/>
      <c r="U2857" s="874">
        <f t="shared" si="51"/>
        <v>0</v>
      </c>
      <c r="V2857" s="875"/>
      <c r="W2857" s="875"/>
      <c r="X2857" s="876"/>
      <c r="Y2857" s="866">
        <f>S1SHTAData!R27</f>
        <v>0</v>
      </c>
      <c r="Z2857" s="900"/>
      <c r="AA2857" s="900"/>
      <c r="AB2857" s="867"/>
      <c r="AC2857" s="518"/>
      <c r="AD2857" s="518"/>
      <c r="AE2857" s="588"/>
      <c r="AF2857" s="529"/>
      <c r="AG2857" s="529"/>
      <c r="AH2857" s="529"/>
      <c r="AJ2857" s="595" t="b">
        <f t="shared" si="52"/>
        <v>0</v>
      </c>
    </row>
    <row r="2858" spans="1:36" hidden="1" x14ac:dyDescent="0.45">
      <c r="A2858" s="518"/>
      <c r="B2858" s="514" t="s">
        <v>1430</v>
      </c>
      <c r="C2858" s="535"/>
      <c r="D2858" s="535"/>
      <c r="E2858" s="535"/>
      <c r="F2858" s="535"/>
      <c r="G2858" s="885" t="str">
        <f>IF(S1SHTAData!L28=0,"",S1SHTAData!L28)</f>
        <v/>
      </c>
      <c r="H2858" s="885"/>
      <c r="I2858" s="890" t="str">
        <f>IF(S1SHTAData!AF28=0,"",S1SHTAData!AF28)</f>
        <v/>
      </c>
      <c r="J2858" s="891"/>
      <c r="K2858" s="939">
        <f>S1SHTAData!N28</f>
        <v>0</v>
      </c>
      <c r="L2858" s="1181"/>
      <c r="M2858" s="874">
        <f>S1SHTAData!O28</f>
        <v>0</v>
      </c>
      <c r="N2858" s="875"/>
      <c r="O2858" s="875"/>
      <c r="P2858" s="876"/>
      <c r="Q2858" s="874">
        <f>S1SHTAData!P28</f>
        <v>0</v>
      </c>
      <c r="R2858" s="875"/>
      <c r="S2858" s="875"/>
      <c r="T2858" s="876"/>
      <c r="U2858" s="874">
        <f t="shared" si="51"/>
        <v>0</v>
      </c>
      <c r="V2858" s="875"/>
      <c r="W2858" s="875"/>
      <c r="X2858" s="876"/>
      <c r="Y2858" s="866">
        <f>S1SHTAData!R28</f>
        <v>0</v>
      </c>
      <c r="Z2858" s="900"/>
      <c r="AA2858" s="900"/>
      <c r="AB2858" s="867"/>
      <c r="AC2858" s="518"/>
      <c r="AD2858" s="518"/>
      <c r="AE2858" s="588"/>
      <c r="AF2858" s="529"/>
      <c r="AG2858" s="529"/>
      <c r="AH2858" s="529"/>
      <c r="AJ2858" s="595" t="b">
        <f t="shared" si="52"/>
        <v>0</v>
      </c>
    </row>
    <row r="2859" spans="1:36" hidden="1" x14ac:dyDescent="0.45">
      <c r="A2859" s="518"/>
      <c r="B2859" s="514" t="s">
        <v>1431</v>
      </c>
      <c r="C2859" s="535"/>
      <c r="D2859" s="535"/>
      <c r="E2859" s="535"/>
      <c r="F2859" s="535"/>
      <c r="G2859" s="885" t="str">
        <f>IF(S1SHTAData!L29=0,"",S1SHTAData!L29)</f>
        <v/>
      </c>
      <c r="H2859" s="885"/>
      <c r="I2859" s="890" t="str">
        <f>IF(S1SHTAData!AF29=0,"",S1SHTAData!AF29)</f>
        <v/>
      </c>
      <c r="J2859" s="891"/>
      <c r="K2859" s="939">
        <f>S1SHTAData!N29</f>
        <v>0</v>
      </c>
      <c r="L2859" s="1181"/>
      <c r="M2859" s="874">
        <f>S1SHTAData!O29</f>
        <v>0</v>
      </c>
      <c r="N2859" s="875"/>
      <c r="O2859" s="875"/>
      <c r="P2859" s="876"/>
      <c r="Q2859" s="874">
        <f>S1SHTAData!P29</f>
        <v>0</v>
      </c>
      <c r="R2859" s="875"/>
      <c r="S2859" s="875"/>
      <c r="T2859" s="876"/>
      <c r="U2859" s="874">
        <f t="shared" si="51"/>
        <v>0</v>
      </c>
      <c r="V2859" s="875"/>
      <c r="W2859" s="875"/>
      <c r="X2859" s="876"/>
      <c r="Y2859" s="866">
        <f>S1SHTAData!R29</f>
        <v>0</v>
      </c>
      <c r="Z2859" s="900"/>
      <c r="AA2859" s="900"/>
      <c r="AB2859" s="867"/>
      <c r="AC2859" s="518"/>
      <c r="AD2859" s="518"/>
      <c r="AE2859" s="588"/>
      <c r="AF2859" s="529"/>
      <c r="AG2859" s="529"/>
      <c r="AH2859" s="529"/>
      <c r="AJ2859" s="595" t="b">
        <f t="shared" si="52"/>
        <v>0</v>
      </c>
    </row>
    <row r="2860" spans="1:36" hidden="1" x14ac:dyDescent="0.45">
      <c r="A2860" s="518"/>
      <c r="B2860" s="514" t="s">
        <v>1432</v>
      </c>
      <c r="C2860" s="535"/>
      <c r="D2860" s="535"/>
      <c r="E2860" s="535"/>
      <c r="F2860" s="535"/>
      <c r="G2860" s="885" t="str">
        <f>IF(S1SHTAData!L30=0,"",S1SHTAData!L30)</f>
        <v/>
      </c>
      <c r="H2860" s="885"/>
      <c r="I2860" s="890" t="str">
        <f>IF(S1SHTAData!AF30=0,"",S1SHTAData!AF30)</f>
        <v/>
      </c>
      <c r="J2860" s="891"/>
      <c r="K2860" s="939">
        <f>S1SHTAData!N30</f>
        <v>0</v>
      </c>
      <c r="L2860" s="1181"/>
      <c r="M2860" s="874">
        <f>S1SHTAData!O30</f>
        <v>0</v>
      </c>
      <c r="N2860" s="875"/>
      <c r="O2860" s="875"/>
      <c r="P2860" s="876"/>
      <c r="Q2860" s="874">
        <f>S1SHTAData!P30</f>
        <v>0</v>
      </c>
      <c r="R2860" s="875"/>
      <c r="S2860" s="875"/>
      <c r="T2860" s="876"/>
      <c r="U2860" s="874">
        <f t="shared" si="51"/>
        <v>0</v>
      </c>
      <c r="V2860" s="875"/>
      <c r="W2860" s="875"/>
      <c r="X2860" s="876"/>
      <c r="Y2860" s="866">
        <f>S1SHTAData!R30</f>
        <v>0</v>
      </c>
      <c r="Z2860" s="900"/>
      <c r="AA2860" s="900"/>
      <c r="AB2860" s="867"/>
      <c r="AC2860" s="518"/>
      <c r="AD2860" s="518"/>
      <c r="AE2860" s="588"/>
      <c r="AF2860" s="529"/>
      <c r="AG2860" s="529"/>
      <c r="AH2860" s="529"/>
      <c r="AJ2860" s="595" t="b">
        <f t="shared" si="52"/>
        <v>0</v>
      </c>
    </row>
    <row r="2861" spans="1:36" hidden="1" x14ac:dyDescent="0.45">
      <c r="A2861" s="518"/>
      <c r="B2861" s="514" t="s">
        <v>1433</v>
      </c>
      <c r="C2861" s="535"/>
      <c r="D2861" s="535"/>
      <c r="E2861" s="535"/>
      <c r="F2861" s="535"/>
      <c r="G2861" s="885" t="str">
        <f>IF(S1SHTAData!L31=0,"",S1SHTAData!L31)</f>
        <v/>
      </c>
      <c r="H2861" s="885"/>
      <c r="I2861" s="890" t="str">
        <f>IF(S1SHTAData!AF31=0,"",S1SHTAData!AF31)</f>
        <v/>
      </c>
      <c r="J2861" s="891"/>
      <c r="K2861" s="939">
        <f>S1SHTAData!N31</f>
        <v>0</v>
      </c>
      <c r="L2861" s="1181"/>
      <c r="M2861" s="874">
        <f>S1SHTAData!O31</f>
        <v>0</v>
      </c>
      <c r="N2861" s="875"/>
      <c r="O2861" s="875"/>
      <c r="P2861" s="876"/>
      <c r="Q2861" s="874">
        <f>S1SHTAData!P31</f>
        <v>0</v>
      </c>
      <c r="R2861" s="875"/>
      <c r="S2861" s="875"/>
      <c r="T2861" s="876"/>
      <c r="U2861" s="874">
        <f t="shared" si="51"/>
        <v>0</v>
      </c>
      <c r="V2861" s="875"/>
      <c r="W2861" s="875"/>
      <c r="X2861" s="876"/>
      <c r="Y2861" s="866">
        <f>S1SHTAData!R31</f>
        <v>0</v>
      </c>
      <c r="Z2861" s="900"/>
      <c r="AA2861" s="900"/>
      <c r="AB2861" s="867"/>
      <c r="AC2861" s="518"/>
      <c r="AD2861" s="518"/>
      <c r="AE2861" s="588"/>
      <c r="AF2861" s="529"/>
      <c r="AG2861" s="529"/>
      <c r="AH2861" s="529"/>
      <c r="AJ2861" s="595" t="b">
        <f t="shared" si="52"/>
        <v>0</v>
      </c>
    </row>
    <row r="2862" spans="1:36" hidden="1" x14ac:dyDescent="0.45">
      <c r="A2862" s="518"/>
      <c r="B2862" s="514" t="s">
        <v>1434</v>
      </c>
      <c r="C2862" s="535"/>
      <c r="D2862" s="535"/>
      <c r="E2862" s="535"/>
      <c r="F2862" s="535"/>
      <c r="G2862" s="885" t="str">
        <f>IF(S1SHTAData!L32=0,"",S1SHTAData!L32)</f>
        <v/>
      </c>
      <c r="H2862" s="885"/>
      <c r="I2862" s="890" t="str">
        <f>IF(S1SHTAData!AF32=0,"",S1SHTAData!AF32)</f>
        <v/>
      </c>
      <c r="J2862" s="891"/>
      <c r="K2862" s="939">
        <f>S1SHTAData!N32</f>
        <v>0</v>
      </c>
      <c r="L2862" s="1181"/>
      <c r="M2862" s="874">
        <f>S1SHTAData!O32</f>
        <v>0</v>
      </c>
      <c r="N2862" s="875"/>
      <c r="O2862" s="875"/>
      <c r="P2862" s="876"/>
      <c r="Q2862" s="874">
        <f>S1SHTAData!P32</f>
        <v>0</v>
      </c>
      <c r="R2862" s="875"/>
      <c r="S2862" s="875"/>
      <c r="T2862" s="876"/>
      <c r="U2862" s="874">
        <f t="shared" si="51"/>
        <v>0</v>
      </c>
      <c r="V2862" s="875"/>
      <c r="W2862" s="875"/>
      <c r="X2862" s="876"/>
      <c r="Y2862" s="866">
        <f>S1SHTAData!R32</f>
        <v>0</v>
      </c>
      <c r="Z2862" s="900"/>
      <c r="AA2862" s="900"/>
      <c r="AB2862" s="867"/>
      <c r="AC2862" s="518"/>
      <c r="AD2862" s="518"/>
      <c r="AE2862" s="588"/>
      <c r="AF2862" s="529"/>
      <c r="AG2862" s="529"/>
      <c r="AH2862" s="529"/>
      <c r="AJ2862" s="595" t="b">
        <f t="shared" si="52"/>
        <v>0</v>
      </c>
    </row>
    <row r="2863" spans="1:36" hidden="1" x14ac:dyDescent="0.45">
      <c r="A2863" s="518"/>
      <c r="B2863" s="514" t="s">
        <v>1435</v>
      </c>
      <c r="C2863" s="535"/>
      <c r="D2863" s="535"/>
      <c r="E2863" s="535"/>
      <c r="F2863" s="535"/>
      <c r="G2863" s="885" t="str">
        <f>IF(S1SHTAData!L33=0,"",S1SHTAData!L33)</f>
        <v/>
      </c>
      <c r="H2863" s="885"/>
      <c r="I2863" s="890" t="str">
        <f>IF(S1SHTAData!AF33=0,"",S1SHTAData!AF33)</f>
        <v/>
      </c>
      <c r="J2863" s="891"/>
      <c r="K2863" s="939">
        <f>S1SHTAData!N33</f>
        <v>0</v>
      </c>
      <c r="L2863" s="1181"/>
      <c r="M2863" s="874">
        <f>S1SHTAData!O33</f>
        <v>0</v>
      </c>
      <c r="N2863" s="875"/>
      <c r="O2863" s="875"/>
      <c r="P2863" s="876"/>
      <c r="Q2863" s="874">
        <f>S1SHTAData!P33</f>
        <v>0</v>
      </c>
      <c r="R2863" s="875"/>
      <c r="S2863" s="875"/>
      <c r="T2863" s="876"/>
      <c r="U2863" s="874">
        <f t="shared" si="51"/>
        <v>0</v>
      </c>
      <c r="V2863" s="875"/>
      <c r="W2863" s="875"/>
      <c r="X2863" s="876"/>
      <c r="Y2863" s="866">
        <f>S1SHTAData!R33</f>
        <v>0</v>
      </c>
      <c r="Z2863" s="900"/>
      <c r="AA2863" s="900"/>
      <c r="AB2863" s="867"/>
      <c r="AC2863" s="518"/>
      <c r="AD2863" s="518"/>
      <c r="AE2863" s="588"/>
      <c r="AF2863" s="529"/>
      <c r="AG2863" s="529"/>
      <c r="AH2863" s="529"/>
      <c r="AJ2863" s="595" t="b">
        <f t="shared" si="52"/>
        <v>0</v>
      </c>
    </row>
    <row r="2864" spans="1:36" hidden="1" x14ac:dyDescent="0.45">
      <c r="A2864" s="518"/>
      <c r="B2864" s="514" t="s">
        <v>1436</v>
      </c>
      <c r="C2864" s="535"/>
      <c r="D2864" s="535"/>
      <c r="E2864" s="535"/>
      <c r="F2864" s="535"/>
      <c r="G2864" s="885" t="str">
        <f>IF(S1SHTAData!L34=0,"",S1SHTAData!L34)</f>
        <v/>
      </c>
      <c r="H2864" s="885"/>
      <c r="I2864" s="890" t="str">
        <f>IF(S1SHTAData!AF34=0,"",S1SHTAData!AF34)</f>
        <v/>
      </c>
      <c r="J2864" s="891"/>
      <c r="K2864" s="939">
        <f>S1SHTAData!N34</f>
        <v>0</v>
      </c>
      <c r="L2864" s="1181"/>
      <c r="M2864" s="874">
        <f>S1SHTAData!O34</f>
        <v>0</v>
      </c>
      <c r="N2864" s="875"/>
      <c r="O2864" s="875"/>
      <c r="P2864" s="876"/>
      <c r="Q2864" s="874">
        <f>S1SHTAData!P34</f>
        <v>0</v>
      </c>
      <c r="R2864" s="875"/>
      <c r="S2864" s="875"/>
      <c r="T2864" s="876"/>
      <c r="U2864" s="874">
        <f t="shared" si="51"/>
        <v>0</v>
      </c>
      <c r="V2864" s="875"/>
      <c r="W2864" s="875"/>
      <c r="X2864" s="876"/>
      <c r="Y2864" s="866">
        <f>S1SHTAData!R34</f>
        <v>0</v>
      </c>
      <c r="Z2864" s="900"/>
      <c r="AA2864" s="900"/>
      <c r="AB2864" s="867"/>
      <c r="AC2864" s="518"/>
      <c r="AD2864" s="518"/>
      <c r="AE2864" s="588"/>
      <c r="AF2864" s="529"/>
      <c r="AG2864" s="529"/>
      <c r="AH2864" s="529"/>
      <c r="AJ2864" s="595" t="b">
        <f t="shared" si="52"/>
        <v>0</v>
      </c>
    </row>
    <row r="2865" spans="1:36" hidden="1" x14ac:dyDescent="0.45">
      <c r="A2865" s="518"/>
      <c r="B2865" s="514" t="s">
        <v>1437</v>
      </c>
      <c r="C2865" s="535"/>
      <c r="D2865" s="535"/>
      <c r="E2865" s="535"/>
      <c r="F2865" s="535"/>
      <c r="G2865" s="885" t="str">
        <f>IF(S1SHTAData!L35=0,"",S1SHTAData!L35)</f>
        <v/>
      </c>
      <c r="H2865" s="885"/>
      <c r="I2865" s="890" t="str">
        <f>IF(S1SHTAData!AF35=0,"",S1SHTAData!AF35)</f>
        <v/>
      </c>
      <c r="J2865" s="891"/>
      <c r="K2865" s="939">
        <f>S1SHTAData!N35</f>
        <v>0</v>
      </c>
      <c r="L2865" s="1181"/>
      <c r="M2865" s="874">
        <f>S1SHTAData!O35</f>
        <v>0</v>
      </c>
      <c r="N2865" s="875"/>
      <c r="O2865" s="875"/>
      <c r="P2865" s="876"/>
      <c r="Q2865" s="874">
        <f>S1SHTAData!P35</f>
        <v>0</v>
      </c>
      <c r="R2865" s="875"/>
      <c r="S2865" s="875"/>
      <c r="T2865" s="876"/>
      <c r="U2865" s="874">
        <f t="shared" si="51"/>
        <v>0</v>
      </c>
      <c r="V2865" s="875"/>
      <c r="W2865" s="875"/>
      <c r="X2865" s="876"/>
      <c r="Y2865" s="866">
        <f>S1SHTAData!R35</f>
        <v>0</v>
      </c>
      <c r="Z2865" s="900"/>
      <c r="AA2865" s="900"/>
      <c r="AB2865" s="867"/>
      <c r="AC2865" s="518"/>
      <c r="AD2865" s="518"/>
      <c r="AE2865" s="588"/>
      <c r="AF2865" s="529"/>
      <c r="AG2865" s="529"/>
      <c r="AH2865" s="529"/>
      <c r="AJ2865" s="595" t="b">
        <f t="shared" si="52"/>
        <v>0</v>
      </c>
    </row>
    <row r="2866" spans="1:36" hidden="1" x14ac:dyDescent="0.45">
      <c r="A2866" s="518"/>
      <c r="B2866" s="514" t="s">
        <v>1438</v>
      </c>
      <c r="C2866" s="535"/>
      <c r="D2866" s="535"/>
      <c r="E2866" s="535"/>
      <c r="F2866" s="535"/>
      <c r="G2866" s="885" t="str">
        <f>IF(S1SHTAData!L36=0,"",S1SHTAData!L36)</f>
        <v/>
      </c>
      <c r="H2866" s="885"/>
      <c r="I2866" s="890" t="str">
        <f>IF(S1SHTAData!AF36=0,"",S1SHTAData!AF36)</f>
        <v/>
      </c>
      <c r="J2866" s="891"/>
      <c r="K2866" s="939">
        <f>S1SHTAData!N36</f>
        <v>0</v>
      </c>
      <c r="L2866" s="1181"/>
      <c r="M2866" s="874">
        <f>S1SHTAData!O36</f>
        <v>0</v>
      </c>
      <c r="N2866" s="875"/>
      <c r="O2866" s="875"/>
      <c r="P2866" s="876"/>
      <c r="Q2866" s="874">
        <f>S1SHTAData!P36</f>
        <v>0</v>
      </c>
      <c r="R2866" s="875"/>
      <c r="S2866" s="875"/>
      <c r="T2866" s="876"/>
      <c r="U2866" s="874">
        <f t="shared" si="51"/>
        <v>0</v>
      </c>
      <c r="V2866" s="875"/>
      <c r="W2866" s="875"/>
      <c r="X2866" s="876"/>
      <c r="Y2866" s="866">
        <f>S1SHTAData!R36</f>
        <v>0</v>
      </c>
      <c r="Z2866" s="900"/>
      <c r="AA2866" s="900"/>
      <c r="AB2866" s="867"/>
      <c r="AC2866" s="518"/>
      <c r="AD2866" s="518"/>
      <c r="AE2866" s="588"/>
      <c r="AF2866" s="529"/>
      <c r="AG2866" s="529"/>
      <c r="AH2866" s="529"/>
      <c r="AJ2866" s="595" t="b">
        <f t="shared" si="52"/>
        <v>0</v>
      </c>
    </row>
    <row r="2867" spans="1:36" hidden="1" x14ac:dyDescent="0.45">
      <c r="A2867" s="518"/>
      <c r="B2867" s="514" t="s">
        <v>1439</v>
      </c>
      <c r="C2867" s="535"/>
      <c r="D2867" s="535"/>
      <c r="E2867" s="535"/>
      <c r="F2867" s="535"/>
      <c r="G2867" s="885" t="str">
        <f>IF(S1SHTAData!L37=0,"",S1SHTAData!L37)</f>
        <v/>
      </c>
      <c r="H2867" s="885"/>
      <c r="I2867" s="890" t="str">
        <f>IF(S1SHTAData!AF37=0,"",S1SHTAData!AF37)</f>
        <v/>
      </c>
      <c r="J2867" s="891"/>
      <c r="K2867" s="939">
        <f>S1SHTAData!N37</f>
        <v>0</v>
      </c>
      <c r="L2867" s="1181"/>
      <c r="M2867" s="874">
        <f>S1SHTAData!O37</f>
        <v>0</v>
      </c>
      <c r="N2867" s="875"/>
      <c r="O2867" s="875"/>
      <c r="P2867" s="876"/>
      <c r="Q2867" s="874">
        <f>S1SHTAData!P37</f>
        <v>0</v>
      </c>
      <c r="R2867" s="875"/>
      <c r="S2867" s="875"/>
      <c r="T2867" s="876"/>
      <c r="U2867" s="874">
        <f t="shared" si="51"/>
        <v>0</v>
      </c>
      <c r="V2867" s="875"/>
      <c r="W2867" s="875"/>
      <c r="X2867" s="876"/>
      <c r="Y2867" s="866">
        <f>S1SHTAData!R37</f>
        <v>0</v>
      </c>
      <c r="Z2867" s="900"/>
      <c r="AA2867" s="900"/>
      <c r="AB2867" s="867"/>
      <c r="AC2867" s="518"/>
      <c r="AD2867" s="518"/>
      <c r="AE2867" s="588"/>
      <c r="AF2867" s="529"/>
      <c r="AG2867" s="529"/>
      <c r="AH2867" s="529"/>
      <c r="AJ2867" s="595" t="b">
        <f t="shared" si="52"/>
        <v>0</v>
      </c>
    </row>
    <row r="2868" spans="1:36" hidden="1" x14ac:dyDescent="0.45">
      <c r="A2868" s="518"/>
      <c r="B2868" s="514" t="s">
        <v>1440</v>
      </c>
      <c r="C2868" s="535"/>
      <c r="D2868" s="535"/>
      <c r="E2868" s="535"/>
      <c r="F2868" s="535"/>
      <c r="G2868" s="885" t="str">
        <f>IF(S1SHTAData!L38=0,"",S1SHTAData!L38)</f>
        <v/>
      </c>
      <c r="H2868" s="885"/>
      <c r="I2868" s="890" t="str">
        <f>IF(S1SHTAData!AF38=0,"",S1SHTAData!AF38)</f>
        <v/>
      </c>
      <c r="J2868" s="891"/>
      <c r="K2868" s="939">
        <f>S1SHTAData!N38</f>
        <v>0</v>
      </c>
      <c r="L2868" s="1181"/>
      <c r="M2868" s="874">
        <f>S1SHTAData!O38</f>
        <v>0</v>
      </c>
      <c r="N2868" s="875"/>
      <c r="O2868" s="875"/>
      <c r="P2868" s="876"/>
      <c r="Q2868" s="874">
        <f>S1SHTAData!P38</f>
        <v>0</v>
      </c>
      <c r="R2868" s="875"/>
      <c r="S2868" s="875"/>
      <c r="T2868" s="876"/>
      <c r="U2868" s="874">
        <f t="shared" si="51"/>
        <v>0</v>
      </c>
      <c r="V2868" s="875"/>
      <c r="W2868" s="875"/>
      <c r="X2868" s="876"/>
      <c r="Y2868" s="866">
        <f>S1SHTAData!R38</f>
        <v>0</v>
      </c>
      <c r="Z2868" s="900"/>
      <c r="AA2868" s="900"/>
      <c r="AB2868" s="867"/>
      <c r="AC2868" s="518"/>
      <c r="AD2868" s="518"/>
      <c r="AE2868" s="588"/>
      <c r="AF2868" s="529"/>
      <c r="AG2868" s="529"/>
      <c r="AH2868" s="529"/>
      <c r="AJ2868" s="595" t="b">
        <f t="shared" si="52"/>
        <v>0</v>
      </c>
    </row>
    <row r="2869" spans="1:36" hidden="1" x14ac:dyDescent="0.45">
      <c r="A2869" s="518"/>
      <c r="B2869" s="514" t="s">
        <v>1441</v>
      </c>
      <c r="C2869" s="535"/>
      <c r="D2869" s="535"/>
      <c r="E2869" s="535"/>
      <c r="F2869" s="535"/>
      <c r="G2869" s="885" t="str">
        <f>IF(S1SHTAData!L39=0,"",S1SHTAData!L39)</f>
        <v/>
      </c>
      <c r="H2869" s="885"/>
      <c r="I2869" s="890" t="str">
        <f>IF(S1SHTAData!AF39=0,"",S1SHTAData!AF39)</f>
        <v/>
      </c>
      <c r="J2869" s="891"/>
      <c r="K2869" s="939">
        <f>S1SHTAData!N39</f>
        <v>0</v>
      </c>
      <c r="L2869" s="1181"/>
      <c r="M2869" s="874">
        <f>S1SHTAData!O39</f>
        <v>0</v>
      </c>
      <c r="N2869" s="875"/>
      <c r="O2869" s="875"/>
      <c r="P2869" s="876"/>
      <c r="Q2869" s="874">
        <f>S1SHTAData!P39</f>
        <v>0</v>
      </c>
      <c r="R2869" s="875"/>
      <c r="S2869" s="875"/>
      <c r="T2869" s="876"/>
      <c r="U2869" s="874">
        <f t="shared" si="51"/>
        <v>0</v>
      </c>
      <c r="V2869" s="875"/>
      <c r="W2869" s="875"/>
      <c r="X2869" s="876"/>
      <c r="Y2869" s="866">
        <f>S1SHTAData!R39</f>
        <v>0</v>
      </c>
      <c r="Z2869" s="900"/>
      <c r="AA2869" s="900"/>
      <c r="AB2869" s="867"/>
      <c r="AC2869" s="518"/>
      <c r="AD2869" s="518"/>
      <c r="AE2869" s="588"/>
      <c r="AF2869" s="529"/>
      <c r="AG2869" s="529"/>
      <c r="AH2869" s="529"/>
      <c r="AJ2869" s="595" t="b">
        <f t="shared" si="52"/>
        <v>0</v>
      </c>
    </row>
    <row r="2870" spans="1:36" hidden="1" x14ac:dyDescent="0.45">
      <c r="A2870" s="518"/>
      <c r="B2870" s="514" t="s">
        <v>152</v>
      </c>
      <c r="C2870" s="535"/>
      <c r="D2870" s="535"/>
      <c r="E2870" s="535"/>
      <c r="F2870" s="535"/>
      <c r="G2870" s="885" t="str">
        <f>IF(S1SHTAData!L40=0,"",S1SHTAData!L40)</f>
        <v/>
      </c>
      <c r="H2870" s="885"/>
      <c r="I2870" s="890" t="str">
        <f>IF(S1SHTAData!AF40=0,"",S1SHTAData!AF40)</f>
        <v/>
      </c>
      <c r="J2870" s="891"/>
      <c r="K2870" s="939">
        <f>S1SHTAData!N40</f>
        <v>0</v>
      </c>
      <c r="L2870" s="1181"/>
      <c r="M2870" s="874">
        <f>S1SHTAData!O40</f>
        <v>0</v>
      </c>
      <c r="N2870" s="875"/>
      <c r="O2870" s="875"/>
      <c r="P2870" s="876"/>
      <c r="Q2870" s="874">
        <f>S1SHTAData!P40</f>
        <v>0</v>
      </c>
      <c r="R2870" s="875"/>
      <c r="S2870" s="875"/>
      <c r="T2870" s="876"/>
      <c r="U2870" s="874">
        <f t="shared" si="51"/>
        <v>0</v>
      </c>
      <c r="V2870" s="875"/>
      <c r="W2870" s="875"/>
      <c r="X2870" s="876"/>
      <c r="Y2870" s="866">
        <f>S1SHTAData!R40</f>
        <v>0</v>
      </c>
      <c r="Z2870" s="900"/>
      <c r="AA2870" s="900"/>
      <c r="AB2870" s="867"/>
      <c r="AC2870" s="518"/>
      <c r="AD2870" s="518"/>
      <c r="AE2870" s="588"/>
      <c r="AF2870" s="529"/>
      <c r="AG2870" s="529"/>
      <c r="AH2870" s="529"/>
      <c r="AJ2870" s="595" t="b">
        <f t="shared" si="52"/>
        <v>0</v>
      </c>
    </row>
    <row r="2871" spans="1:36" hidden="1" x14ac:dyDescent="0.45">
      <c r="A2871" s="518"/>
      <c r="B2871" s="514" t="s">
        <v>1442</v>
      </c>
      <c r="C2871" s="535"/>
      <c r="D2871" s="535"/>
      <c r="E2871" s="535"/>
      <c r="F2871" s="535"/>
      <c r="G2871" s="885" t="str">
        <f>IF(S1SHTAData!L41=0,"",S1SHTAData!L41)</f>
        <v/>
      </c>
      <c r="H2871" s="885"/>
      <c r="I2871" s="890" t="str">
        <f>IF(S1SHTAData!AF41=0,"",S1SHTAData!AF41)</f>
        <v/>
      </c>
      <c r="J2871" s="891"/>
      <c r="K2871" s="939">
        <f>S1SHTAData!N41</f>
        <v>0</v>
      </c>
      <c r="L2871" s="1181"/>
      <c r="M2871" s="874">
        <f>S1SHTAData!O41</f>
        <v>0</v>
      </c>
      <c r="N2871" s="875"/>
      <c r="O2871" s="875"/>
      <c r="P2871" s="876"/>
      <c r="Q2871" s="874">
        <f>S1SHTAData!P41</f>
        <v>0</v>
      </c>
      <c r="R2871" s="875"/>
      <c r="S2871" s="875"/>
      <c r="T2871" s="876"/>
      <c r="U2871" s="874">
        <f t="shared" si="51"/>
        <v>0</v>
      </c>
      <c r="V2871" s="875"/>
      <c r="W2871" s="875"/>
      <c r="X2871" s="876"/>
      <c r="Y2871" s="866">
        <f>S1SHTAData!R41</f>
        <v>0</v>
      </c>
      <c r="Z2871" s="900"/>
      <c r="AA2871" s="900"/>
      <c r="AB2871" s="867"/>
      <c r="AC2871" s="518"/>
      <c r="AD2871" s="518"/>
      <c r="AE2871" s="588"/>
      <c r="AF2871" s="529"/>
      <c r="AG2871" s="529"/>
      <c r="AH2871" s="529"/>
      <c r="AJ2871" s="595" t="b">
        <f t="shared" si="52"/>
        <v>0</v>
      </c>
    </row>
    <row r="2872" spans="1:36" hidden="1" x14ac:dyDescent="0.45">
      <c r="A2872" s="518"/>
      <c r="B2872" s="514" t="s">
        <v>1443</v>
      </c>
      <c r="C2872" s="535"/>
      <c r="D2872" s="535"/>
      <c r="E2872" s="535"/>
      <c r="F2872" s="535"/>
      <c r="G2872" s="885" t="str">
        <f>IF(S1SHTAData!L42=0,"",S1SHTAData!L42)</f>
        <v/>
      </c>
      <c r="H2872" s="885"/>
      <c r="I2872" s="890" t="str">
        <f>IF(S1SHTAData!AF42=0,"",S1SHTAData!AF42)</f>
        <v/>
      </c>
      <c r="J2872" s="891"/>
      <c r="K2872" s="939">
        <f>S1SHTAData!N42</f>
        <v>0</v>
      </c>
      <c r="L2872" s="1181"/>
      <c r="M2872" s="874">
        <f>S1SHTAData!O42</f>
        <v>0</v>
      </c>
      <c r="N2872" s="875"/>
      <c r="O2872" s="875"/>
      <c r="P2872" s="876"/>
      <c r="Q2872" s="874">
        <f>S1SHTAData!P42</f>
        <v>0</v>
      </c>
      <c r="R2872" s="875"/>
      <c r="S2872" s="875"/>
      <c r="T2872" s="876"/>
      <c r="U2872" s="874">
        <f t="shared" si="51"/>
        <v>0</v>
      </c>
      <c r="V2872" s="875"/>
      <c r="W2872" s="875"/>
      <c r="X2872" s="876"/>
      <c r="Y2872" s="866">
        <f>S1SHTAData!R42</f>
        <v>0</v>
      </c>
      <c r="Z2872" s="900"/>
      <c r="AA2872" s="900"/>
      <c r="AB2872" s="867"/>
      <c r="AC2872" s="518"/>
      <c r="AD2872" s="518"/>
      <c r="AE2872" s="588"/>
      <c r="AF2872" s="529"/>
      <c r="AG2872" s="529"/>
      <c r="AH2872" s="529"/>
      <c r="AJ2872" s="595" t="b">
        <f t="shared" si="52"/>
        <v>0</v>
      </c>
    </row>
    <row r="2873" spans="1:36" hidden="1" x14ac:dyDescent="0.45">
      <c r="A2873" s="518"/>
      <c r="B2873" s="514" t="s">
        <v>1444</v>
      </c>
      <c r="C2873" s="535"/>
      <c r="D2873" s="535"/>
      <c r="E2873" s="535"/>
      <c r="F2873" s="535"/>
      <c r="G2873" s="885" t="str">
        <f>IF(S1SHTAData!L43=0,"",S1SHTAData!L43)</f>
        <v/>
      </c>
      <c r="H2873" s="885"/>
      <c r="I2873" s="890" t="str">
        <f>IF(S1SHTAData!AF43=0,"",S1SHTAData!AF43)</f>
        <v/>
      </c>
      <c r="J2873" s="891"/>
      <c r="K2873" s="939">
        <f>S1SHTAData!N43</f>
        <v>0</v>
      </c>
      <c r="L2873" s="1181"/>
      <c r="M2873" s="874">
        <f>S1SHTAData!O43</f>
        <v>0</v>
      </c>
      <c r="N2873" s="875"/>
      <c r="O2873" s="875"/>
      <c r="P2873" s="876"/>
      <c r="Q2873" s="874">
        <f>S1SHTAData!P43</f>
        <v>0</v>
      </c>
      <c r="R2873" s="875"/>
      <c r="S2873" s="875"/>
      <c r="T2873" s="876"/>
      <c r="U2873" s="874">
        <f t="shared" si="51"/>
        <v>0</v>
      </c>
      <c r="V2873" s="875"/>
      <c r="W2873" s="875"/>
      <c r="X2873" s="876"/>
      <c r="Y2873" s="866">
        <f>S1SHTAData!R43</f>
        <v>0</v>
      </c>
      <c r="Z2873" s="900"/>
      <c r="AA2873" s="900"/>
      <c r="AB2873" s="867"/>
      <c r="AC2873" s="518"/>
      <c r="AD2873" s="518"/>
      <c r="AE2873" s="588"/>
      <c r="AF2873" s="529"/>
      <c r="AG2873" s="529"/>
      <c r="AH2873" s="529"/>
      <c r="AJ2873" s="595" t="b">
        <f t="shared" si="52"/>
        <v>0</v>
      </c>
    </row>
    <row r="2874" spans="1:36" hidden="1" x14ac:dyDescent="0.45">
      <c r="A2874" s="518"/>
      <c r="B2874" s="514" t="s">
        <v>1445</v>
      </c>
      <c r="C2874" s="535"/>
      <c r="D2874" s="535"/>
      <c r="E2874" s="535"/>
      <c r="F2874" s="535"/>
      <c r="G2874" s="885" t="str">
        <f>IF(S1SHTAData!L44=0,"",S1SHTAData!L44)</f>
        <v/>
      </c>
      <c r="H2874" s="885"/>
      <c r="I2874" s="890" t="str">
        <f>IF(S1SHTAData!AF44=0,"",S1SHTAData!AF44)</f>
        <v/>
      </c>
      <c r="J2874" s="891"/>
      <c r="K2874" s="939">
        <f>S1SHTAData!N44</f>
        <v>0</v>
      </c>
      <c r="L2874" s="1181"/>
      <c r="M2874" s="874">
        <f>S1SHTAData!O44</f>
        <v>0</v>
      </c>
      <c r="N2874" s="875"/>
      <c r="O2874" s="875"/>
      <c r="P2874" s="876"/>
      <c r="Q2874" s="874">
        <f>S1SHTAData!P44</f>
        <v>0</v>
      </c>
      <c r="R2874" s="875"/>
      <c r="S2874" s="875"/>
      <c r="T2874" s="876"/>
      <c r="U2874" s="874">
        <f t="shared" si="51"/>
        <v>0</v>
      </c>
      <c r="V2874" s="875"/>
      <c r="W2874" s="875"/>
      <c r="X2874" s="876"/>
      <c r="Y2874" s="866">
        <f>S1SHTAData!R44</f>
        <v>0</v>
      </c>
      <c r="Z2874" s="900"/>
      <c r="AA2874" s="900"/>
      <c r="AB2874" s="867"/>
      <c r="AC2874" s="518"/>
      <c r="AD2874" s="518"/>
      <c r="AE2874" s="588"/>
      <c r="AF2874" s="529"/>
      <c r="AG2874" s="529"/>
      <c r="AH2874" s="529"/>
      <c r="AJ2874" s="595" t="b">
        <f t="shared" si="52"/>
        <v>0</v>
      </c>
    </row>
    <row r="2875" spans="1:36" hidden="1" x14ac:dyDescent="0.45">
      <c r="A2875" s="518"/>
      <c r="B2875" s="514" t="s">
        <v>1446</v>
      </c>
      <c r="C2875" s="535"/>
      <c r="D2875" s="535"/>
      <c r="E2875" s="535"/>
      <c r="F2875" s="535"/>
      <c r="G2875" s="885" t="str">
        <f>IF(S1SHTAData!L45=0,"",S1SHTAData!L45)</f>
        <v/>
      </c>
      <c r="H2875" s="885"/>
      <c r="I2875" s="890" t="str">
        <f>IF(S1SHTAData!AF45=0,"",S1SHTAData!AF45)</f>
        <v/>
      </c>
      <c r="J2875" s="891"/>
      <c r="K2875" s="939">
        <f>S1SHTAData!N45</f>
        <v>0</v>
      </c>
      <c r="L2875" s="1181"/>
      <c r="M2875" s="874">
        <f>S1SHTAData!O45</f>
        <v>0</v>
      </c>
      <c r="N2875" s="875"/>
      <c r="O2875" s="875"/>
      <c r="P2875" s="876"/>
      <c r="Q2875" s="874">
        <f>S1SHTAData!P45</f>
        <v>0</v>
      </c>
      <c r="R2875" s="875"/>
      <c r="S2875" s="875"/>
      <c r="T2875" s="876"/>
      <c r="U2875" s="874">
        <f t="shared" si="51"/>
        <v>0</v>
      </c>
      <c r="V2875" s="875"/>
      <c r="W2875" s="875"/>
      <c r="X2875" s="876"/>
      <c r="Y2875" s="866">
        <f>S1SHTAData!R45</f>
        <v>0</v>
      </c>
      <c r="Z2875" s="900"/>
      <c r="AA2875" s="900"/>
      <c r="AB2875" s="867"/>
      <c r="AC2875" s="518"/>
      <c r="AD2875" s="518"/>
      <c r="AE2875" s="588"/>
      <c r="AF2875" s="529"/>
      <c r="AG2875" s="529"/>
      <c r="AH2875" s="529"/>
      <c r="AJ2875" s="595" t="b">
        <f t="shared" si="52"/>
        <v>0</v>
      </c>
    </row>
    <row r="2876" spans="1:36" hidden="1" x14ac:dyDescent="0.45">
      <c r="B2876" s="514" t="s">
        <v>1447</v>
      </c>
      <c r="C2876" s="535"/>
      <c r="D2876" s="535"/>
      <c r="E2876" s="535"/>
      <c r="F2876" s="535"/>
      <c r="G2876" s="885" t="str">
        <f>IF(S1SHTAData!L46=0,"",S1SHTAData!L46)</f>
        <v/>
      </c>
      <c r="H2876" s="885"/>
      <c r="I2876" s="890" t="str">
        <f>IF(S1SHTAData!AF46=0,"",S1SHTAData!AF46)</f>
        <v/>
      </c>
      <c r="J2876" s="891"/>
      <c r="K2876" s="939">
        <f>S1SHTAData!N46</f>
        <v>0</v>
      </c>
      <c r="L2876" s="1181"/>
      <c r="M2876" s="874">
        <f>S1SHTAData!O46</f>
        <v>0</v>
      </c>
      <c r="N2876" s="875"/>
      <c r="O2876" s="875"/>
      <c r="P2876" s="876"/>
      <c r="Q2876" s="874">
        <f>S1SHTAData!P46</f>
        <v>0</v>
      </c>
      <c r="R2876" s="875"/>
      <c r="S2876" s="875"/>
      <c r="T2876" s="876"/>
      <c r="U2876" s="874">
        <f t="shared" si="51"/>
        <v>0</v>
      </c>
      <c r="V2876" s="875"/>
      <c r="W2876" s="875"/>
      <c r="X2876" s="876"/>
      <c r="Y2876" s="866">
        <f>S1SHTAData!R46</f>
        <v>0</v>
      </c>
      <c r="Z2876" s="900"/>
      <c r="AA2876" s="900"/>
      <c r="AB2876" s="867"/>
      <c r="AC2876" s="518"/>
      <c r="AD2876" s="518"/>
      <c r="AE2876" s="588"/>
      <c r="AF2876" s="529"/>
      <c r="AG2876" s="529"/>
      <c r="AH2876" s="518"/>
      <c r="AJ2876" s="595" t="b">
        <f t="shared" si="52"/>
        <v>0</v>
      </c>
    </row>
    <row r="2877" spans="1:36" hidden="1" x14ac:dyDescent="0.45">
      <c r="B2877" s="514" t="s">
        <v>1448</v>
      </c>
      <c r="C2877" s="535"/>
      <c r="D2877" s="535"/>
      <c r="E2877" s="535"/>
      <c r="F2877" s="535"/>
      <c r="G2877" s="885" t="str">
        <f>IF(S1SHTAData!L47=0,"",S1SHTAData!L47)</f>
        <v/>
      </c>
      <c r="H2877" s="885"/>
      <c r="I2877" s="890" t="str">
        <f>IF(S1SHTAData!AF47=0,"",S1SHTAData!AF47)</f>
        <v/>
      </c>
      <c r="J2877" s="891"/>
      <c r="K2877" s="939">
        <f>S1SHTAData!N47</f>
        <v>0</v>
      </c>
      <c r="L2877" s="1181"/>
      <c r="M2877" s="874">
        <f>S1SHTAData!O47</f>
        <v>0</v>
      </c>
      <c r="N2877" s="875"/>
      <c r="O2877" s="875"/>
      <c r="P2877" s="876"/>
      <c r="Q2877" s="874">
        <f>S1SHTAData!P47</f>
        <v>0</v>
      </c>
      <c r="R2877" s="875"/>
      <c r="S2877" s="875"/>
      <c r="T2877" s="876"/>
      <c r="U2877" s="874">
        <f t="shared" si="51"/>
        <v>0</v>
      </c>
      <c r="V2877" s="875"/>
      <c r="W2877" s="875"/>
      <c r="X2877" s="876"/>
      <c r="Y2877" s="866">
        <f>S1SHTAData!R47</f>
        <v>0</v>
      </c>
      <c r="Z2877" s="900"/>
      <c r="AA2877" s="900"/>
      <c r="AB2877" s="867"/>
      <c r="AC2877" s="518"/>
      <c r="AD2877" s="518"/>
      <c r="AE2877" s="588"/>
      <c r="AF2877" s="529"/>
      <c r="AG2877" s="529"/>
      <c r="AH2877" s="518"/>
      <c r="AJ2877" s="595" t="b">
        <f t="shared" si="52"/>
        <v>0</v>
      </c>
    </row>
    <row r="2878" spans="1:36" hidden="1" x14ac:dyDescent="0.45">
      <c r="B2878" s="514" t="s">
        <v>1449</v>
      </c>
      <c r="C2878" s="535"/>
      <c r="D2878" s="535"/>
      <c r="E2878" s="535"/>
      <c r="F2878" s="535"/>
      <c r="G2878" s="885" t="str">
        <f>IF(S1SHTAData!L48=0,"",S1SHTAData!L48)</f>
        <v/>
      </c>
      <c r="H2878" s="885"/>
      <c r="I2878" s="890" t="str">
        <f>IF(S1SHTAData!AF48=0,"",S1SHTAData!AF48)</f>
        <v/>
      </c>
      <c r="J2878" s="891"/>
      <c r="K2878" s="939">
        <f>S1SHTAData!N48</f>
        <v>0</v>
      </c>
      <c r="L2878" s="1181"/>
      <c r="M2878" s="874">
        <f>S1SHTAData!O48</f>
        <v>0</v>
      </c>
      <c r="N2878" s="875"/>
      <c r="O2878" s="875"/>
      <c r="P2878" s="876"/>
      <c r="Q2878" s="874">
        <f>S1SHTAData!P48</f>
        <v>0</v>
      </c>
      <c r="R2878" s="875"/>
      <c r="S2878" s="875"/>
      <c r="T2878" s="876"/>
      <c r="U2878" s="874">
        <f t="shared" si="51"/>
        <v>0</v>
      </c>
      <c r="V2878" s="875"/>
      <c r="W2878" s="875"/>
      <c r="X2878" s="876"/>
      <c r="Y2878" s="866">
        <f>S1SHTAData!R48</f>
        <v>0</v>
      </c>
      <c r="Z2878" s="900"/>
      <c r="AA2878" s="900"/>
      <c r="AB2878" s="867"/>
      <c r="AC2878" s="518"/>
      <c r="AD2878" s="518"/>
      <c r="AE2878" s="588"/>
      <c r="AF2878" s="529"/>
      <c r="AG2878" s="529"/>
      <c r="AH2878" s="518"/>
      <c r="AJ2878" s="595" t="b">
        <f t="shared" si="52"/>
        <v>0</v>
      </c>
    </row>
    <row r="2879" spans="1:36" hidden="1" x14ac:dyDescent="0.45">
      <c r="B2879" s="514" t="s">
        <v>1450</v>
      </c>
      <c r="C2879" s="535"/>
      <c r="D2879" s="535"/>
      <c r="E2879" s="535"/>
      <c r="F2879" s="535"/>
      <c r="G2879" s="885" t="str">
        <f>IF(S1SHTAData!L49=0,"",S1SHTAData!L49)</f>
        <v/>
      </c>
      <c r="H2879" s="885"/>
      <c r="I2879" s="890" t="str">
        <f>IF(S1SHTAData!AF49=0,"",S1SHTAData!AF49)</f>
        <v/>
      </c>
      <c r="J2879" s="891"/>
      <c r="K2879" s="939">
        <f>S1SHTAData!N49</f>
        <v>0</v>
      </c>
      <c r="L2879" s="1181"/>
      <c r="M2879" s="874">
        <f>S1SHTAData!O49</f>
        <v>0</v>
      </c>
      <c r="N2879" s="875"/>
      <c r="O2879" s="875"/>
      <c r="P2879" s="876"/>
      <c r="Q2879" s="874">
        <f>S1SHTAData!P49</f>
        <v>0</v>
      </c>
      <c r="R2879" s="875"/>
      <c r="S2879" s="875"/>
      <c r="T2879" s="876"/>
      <c r="U2879" s="874">
        <f t="shared" si="51"/>
        <v>0</v>
      </c>
      <c r="V2879" s="875"/>
      <c r="W2879" s="875"/>
      <c r="X2879" s="876"/>
      <c r="Y2879" s="866">
        <f>S1SHTAData!R49</f>
        <v>0</v>
      </c>
      <c r="Z2879" s="900"/>
      <c r="AA2879" s="900"/>
      <c r="AB2879" s="867"/>
      <c r="AC2879" s="518"/>
      <c r="AD2879" s="518"/>
      <c r="AE2879" s="588"/>
      <c r="AF2879" s="529"/>
      <c r="AG2879" s="529"/>
      <c r="AH2879" s="518"/>
      <c r="AJ2879" s="595" t="b">
        <f t="shared" si="52"/>
        <v>0</v>
      </c>
    </row>
    <row r="2880" spans="1:36" hidden="1" x14ac:dyDescent="0.45">
      <c r="B2880" s="514" t="s">
        <v>1451</v>
      </c>
      <c r="C2880" s="535"/>
      <c r="D2880" s="535"/>
      <c r="E2880" s="535"/>
      <c r="F2880" s="535"/>
      <c r="G2880" s="885" t="str">
        <f>IF(S1SHTAData!L50=0,"",S1SHTAData!L50)</f>
        <v/>
      </c>
      <c r="H2880" s="885"/>
      <c r="I2880" s="890" t="str">
        <f>IF(S1SHTAData!AF50=0,"",S1SHTAData!AF50)</f>
        <v/>
      </c>
      <c r="J2880" s="891"/>
      <c r="K2880" s="939">
        <f>S1SHTAData!N50</f>
        <v>0</v>
      </c>
      <c r="L2880" s="1181"/>
      <c r="M2880" s="874">
        <f>S1SHTAData!O50</f>
        <v>0</v>
      </c>
      <c r="N2880" s="875"/>
      <c r="O2880" s="875"/>
      <c r="P2880" s="876"/>
      <c r="Q2880" s="874">
        <f>S1SHTAData!P50</f>
        <v>0</v>
      </c>
      <c r="R2880" s="875"/>
      <c r="S2880" s="875"/>
      <c r="T2880" s="876"/>
      <c r="U2880" s="874">
        <f t="shared" si="51"/>
        <v>0</v>
      </c>
      <c r="V2880" s="875"/>
      <c r="W2880" s="875"/>
      <c r="X2880" s="876"/>
      <c r="Y2880" s="866">
        <f>S1SHTAData!R50</f>
        <v>0</v>
      </c>
      <c r="Z2880" s="900"/>
      <c r="AA2880" s="900"/>
      <c r="AB2880" s="867"/>
      <c r="AC2880" s="518"/>
      <c r="AD2880" s="518"/>
      <c r="AE2880" s="588"/>
      <c r="AF2880" s="529"/>
      <c r="AG2880" s="529"/>
      <c r="AH2880" s="518"/>
      <c r="AJ2880" s="595" t="b">
        <f t="shared" si="52"/>
        <v>0</v>
      </c>
    </row>
    <row r="2881" spans="1:36" hidden="1" x14ac:dyDescent="0.45">
      <c r="B2881" s="514" t="s">
        <v>1452</v>
      </c>
      <c r="C2881" s="535"/>
      <c r="D2881" s="535"/>
      <c r="E2881" s="535"/>
      <c r="F2881" s="535"/>
      <c r="G2881" s="885" t="str">
        <f>IF(S1SHTAData!L51=0,"",S1SHTAData!L51)</f>
        <v/>
      </c>
      <c r="H2881" s="885"/>
      <c r="I2881" s="890" t="str">
        <f>IF(S1SHTAData!AF51=0,"",S1SHTAData!AF51)</f>
        <v/>
      </c>
      <c r="J2881" s="891"/>
      <c r="K2881" s="939">
        <f>S1SHTAData!N51</f>
        <v>0</v>
      </c>
      <c r="L2881" s="1181"/>
      <c r="M2881" s="874">
        <f>S1SHTAData!O51</f>
        <v>0</v>
      </c>
      <c r="N2881" s="875"/>
      <c r="O2881" s="875"/>
      <c r="P2881" s="876"/>
      <c r="Q2881" s="874">
        <f>S1SHTAData!P51</f>
        <v>0</v>
      </c>
      <c r="R2881" s="875"/>
      <c r="S2881" s="875"/>
      <c r="T2881" s="876"/>
      <c r="U2881" s="874">
        <f t="shared" si="51"/>
        <v>0</v>
      </c>
      <c r="V2881" s="875"/>
      <c r="W2881" s="875"/>
      <c r="X2881" s="876"/>
      <c r="Y2881" s="866">
        <f>S1SHTAData!R51</f>
        <v>0</v>
      </c>
      <c r="Z2881" s="900"/>
      <c r="AA2881" s="900"/>
      <c r="AB2881" s="867"/>
      <c r="AC2881" s="518"/>
      <c r="AD2881" s="518"/>
      <c r="AE2881" s="588"/>
      <c r="AF2881" s="529"/>
      <c r="AG2881" s="529"/>
      <c r="AH2881" s="518"/>
      <c r="AJ2881" s="595" t="b">
        <f t="shared" si="52"/>
        <v>0</v>
      </c>
    </row>
    <row r="2882" spans="1:36" hidden="1" x14ac:dyDescent="0.45">
      <c r="B2882" s="514" t="s">
        <v>1453</v>
      </c>
      <c r="C2882" s="535"/>
      <c r="D2882" s="535"/>
      <c r="E2882" s="535"/>
      <c r="F2882" s="535"/>
      <c r="G2882" s="885" t="str">
        <f>IF(S1SHTAData!L52=0,"",S1SHTAData!L52)</f>
        <v/>
      </c>
      <c r="H2882" s="885"/>
      <c r="I2882" s="890" t="str">
        <f>IF(S1SHTAData!AF52=0,"",S1SHTAData!AF52)</f>
        <v/>
      </c>
      <c r="J2882" s="891"/>
      <c r="K2882" s="939">
        <f>S1SHTAData!N52</f>
        <v>0</v>
      </c>
      <c r="L2882" s="1181"/>
      <c r="M2882" s="874">
        <f>S1SHTAData!O52</f>
        <v>0</v>
      </c>
      <c r="N2882" s="875"/>
      <c r="O2882" s="875"/>
      <c r="P2882" s="876"/>
      <c r="Q2882" s="874">
        <f>S1SHTAData!P52</f>
        <v>0</v>
      </c>
      <c r="R2882" s="875"/>
      <c r="S2882" s="875"/>
      <c r="T2882" s="876"/>
      <c r="U2882" s="874">
        <f t="shared" si="51"/>
        <v>0</v>
      </c>
      <c r="V2882" s="875"/>
      <c r="W2882" s="875"/>
      <c r="X2882" s="876"/>
      <c r="Y2882" s="866">
        <f>S1SHTAData!R52</f>
        <v>0</v>
      </c>
      <c r="Z2882" s="900"/>
      <c r="AA2882" s="900"/>
      <c r="AB2882" s="867"/>
      <c r="AC2882" s="518"/>
      <c r="AD2882" s="518"/>
      <c r="AE2882" s="588"/>
      <c r="AF2882" s="529"/>
      <c r="AG2882" s="529"/>
      <c r="AH2882" s="518"/>
      <c r="AJ2882" s="595" t="b">
        <f t="shared" si="52"/>
        <v>0</v>
      </c>
    </row>
    <row r="2883" spans="1:36" hidden="1" x14ac:dyDescent="0.45">
      <c r="B2883" s="514" t="s">
        <v>1454</v>
      </c>
      <c r="C2883" s="535"/>
      <c r="D2883" s="535"/>
      <c r="E2883" s="535"/>
      <c r="F2883" s="535"/>
      <c r="G2883" s="885" t="str">
        <f>IF(S1SHTAData!L53=0,"",S1SHTAData!L53)</f>
        <v/>
      </c>
      <c r="H2883" s="885"/>
      <c r="I2883" s="890" t="str">
        <f>IF(S1SHTAData!AF53=0,"",S1SHTAData!AF53)</f>
        <v/>
      </c>
      <c r="J2883" s="891"/>
      <c r="K2883" s="939">
        <f>S1SHTAData!N53</f>
        <v>0</v>
      </c>
      <c r="L2883" s="1181"/>
      <c r="M2883" s="874">
        <f>S1SHTAData!O53</f>
        <v>0</v>
      </c>
      <c r="N2883" s="875"/>
      <c r="O2883" s="875"/>
      <c r="P2883" s="876"/>
      <c r="Q2883" s="874">
        <f>S1SHTAData!P53</f>
        <v>0</v>
      </c>
      <c r="R2883" s="875"/>
      <c r="S2883" s="875"/>
      <c r="T2883" s="876"/>
      <c r="U2883" s="874">
        <f t="shared" si="51"/>
        <v>0</v>
      </c>
      <c r="V2883" s="875"/>
      <c r="W2883" s="875"/>
      <c r="X2883" s="876"/>
      <c r="Y2883" s="866">
        <f>S1SHTAData!R53</f>
        <v>0</v>
      </c>
      <c r="Z2883" s="900"/>
      <c r="AA2883" s="900"/>
      <c r="AB2883" s="867"/>
      <c r="AC2883" s="518"/>
      <c r="AD2883" s="518"/>
      <c r="AE2883" s="588"/>
      <c r="AF2883" s="529"/>
      <c r="AG2883" s="529"/>
      <c r="AH2883" s="518"/>
      <c r="AJ2883" s="595" t="b">
        <f t="shared" si="52"/>
        <v>0</v>
      </c>
    </row>
    <row r="2884" spans="1:36" hidden="1" x14ac:dyDescent="0.45">
      <c r="B2884" s="514" t="s">
        <v>1455</v>
      </c>
      <c r="C2884" s="535"/>
      <c r="D2884" s="535"/>
      <c r="E2884" s="535"/>
      <c r="F2884" s="535"/>
      <c r="G2884" s="885" t="str">
        <f>IF(S1SHTAData!L54=0,"",S1SHTAData!L54)</f>
        <v/>
      </c>
      <c r="H2884" s="885"/>
      <c r="I2884" s="890" t="str">
        <f>IF(S1SHTAData!AF54=0,"",S1SHTAData!AF54)</f>
        <v/>
      </c>
      <c r="J2884" s="891"/>
      <c r="K2884" s="939">
        <f>S1SHTAData!N54</f>
        <v>0</v>
      </c>
      <c r="L2884" s="1181"/>
      <c r="M2884" s="874">
        <f>S1SHTAData!O54</f>
        <v>0</v>
      </c>
      <c r="N2884" s="875"/>
      <c r="O2884" s="875"/>
      <c r="P2884" s="876"/>
      <c r="Q2884" s="874">
        <f>S1SHTAData!P54</f>
        <v>0</v>
      </c>
      <c r="R2884" s="875"/>
      <c r="S2884" s="875"/>
      <c r="T2884" s="876"/>
      <c r="U2884" s="874">
        <f t="shared" si="51"/>
        <v>0</v>
      </c>
      <c r="V2884" s="875"/>
      <c r="W2884" s="875"/>
      <c r="X2884" s="876"/>
      <c r="Y2884" s="866">
        <f>S1SHTAData!R54</f>
        <v>0</v>
      </c>
      <c r="Z2884" s="900"/>
      <c r="AA2884" s="900"/>
      <c r="AB2884" s="867"/>
      <c r="AC2884" s="518"/>
      <c r="AD2884" s="518"/>
      <c r="AE2884" s="588"/>
      <c r="AF2884" s="529"/>
      <c r="AG2884" s="529"/>
      <c r="AH2884" s="518"/>
      <c r="AJ2884" s="595" t="b">
        <f t="shared" si="52"/>
        <v>0</v>
      </c>
    </row>
    <row r="2885" spans="1:36" hidden="1" x14ac:dyDescent="0.45">
      <c r="B2885" s="514" t="s">
        <v>1456</v>
      </c>
      <c r="C2885" s="535"/>
      <c r="D2885" s="535"/>
      <c r="E2885" s="535"/>
      <c r="F2885" s="535"/>
      <c r="G2885" s="885" t="str">
        <f>IF(S1SHTAData!L55=0,"",S1SHTAData!L55)</f>
        <v/>
      </c>
      <c r="H2885" s="885"/>
      <c r="I2885" s="890" t="str">
        <f>IF(S1SHTAData!AF55=0,"",S1SHTAData!AF55)</f>
        <v/>
      </c>
      <c r="J2885" s="891"/>
      <c r="K2885" s="939">
        <f>S1SHTAData!N55</f>
        <v>0</v>
      </c>
      <c r="L2885" s="1181"/>
      <c r="M2885" s="874">
        <f>S1SHTAData!O55</f>
        <v>0</v>
      </c>
      <c r="N2885" s="875"/>
      <c r="O2885" s="875"/>
      <c r="P2885" s="876"/>
      <c r="Q2885" s="874">
        <f>S1SHTAData!P55</f>
        <v>0</v>
      </c>
      <c r="R2885" s="875"/>
      <c r="S2885" s="875"/>
      <c r="T2885" s="876"/>
      <c r="U2885" s="874">
        <f t="shared" si="51"/>
        <v>0</v>
      </c>
      <c r="V2885" s="875"/>
      <c r="W2885" s="875"/>
      <c r="X2885" s="876"/>
      <c r="Y2885" s="866">
        <f>S1SHTAData!R55</f>
        <v>0</v>
      </c>
      <c r="Z2885" s="900"/>
      <c r="AA2885" s="900"/>
      <c r="AB2885" s="867"/>
      <c r="AC2885" s="518"/>
      <c r="AD2885" s="518"/>
      <c r="AE2885" s="588"/>
      <c r="AF2885" s="529"/>
      <c r="AG2885" s="529"/>
      <c r="AH2885" s="518"/>
      <c r="AJ2885" s="595" t="b">
        <f t="shared" si="52"/>
        <v>0</v>
      </c>
    </row>
    <row r="2886" spans="1:36" hidden="1" x14ac:dyDescent="0.45">
      <c r="B2886" s="514" t="s">
        <v>1457</v>
      </c>
      <c r="C2886" s="535"/>
      <c r="D2886" s="535"/>
      <c r="E2886" s="535"/>
      <c r="F2886" s="535"/>
      <c r="G2886" s="885" t="str">
        <f>IF(S1SHTAData!L56=0,"",S1SHTAData!L56)</f>
        <v/>
      </c>
      <c r="H2886" s="885"/>
      <c r="I2886" s="890" t="str">
        <f>IF(S1SHTAData!AF56=0,"",S1SHTAData!AF56)</f>
        <v/>
      </c>
      <c r="J2886" s="891"/>
      <c r="K2886" s="939">
        <f>S1SHTAData!N56</f>
        <v>0</v>
      </c>
      <c r="L2886" s="1181"/>
      <c r="M2886" s="874">
        <f>S1SHTAData!O56</f>
        <v>0</v>
      </c>
      <c r="N2886" s="875"/>
      <c r="O2886" s="875"/>
      <c r="P2886" s="876"/>
      <c r="Q2886" s="874">
        <f>S1SHTAData!P56</f>
        <v>0</v>
      </c>
      <c r="R2886" s="875"/>
      <c r="S2886" s="875"/>
      <c r="T2886" s="876"/>
      <c r="U2886" s="874">
        <f t="shared" si="51"/>
        <v>0</v>
      </c>
      <c r="V2886" s="875"/>
      <c r="W2886" s="875"/>
      <c r="X2886" s="876"/>
      <c r="Y2886" s="866">
        <f>S1SHTAData!R56</f>
        <v>0</v>
      </c>
      <c r="Z2886" s="900"/>
      <c r="AA2886" s="900"/>
      <c r="AB2886" s="867"/>
      <c r="AC2886" s="518"/>
      <c r="AD2886" s="518"/>
      <c r="AE2886" s="588"/>
      <c r="AF2886" s="529"/>
      <c r="AG2886" s="529"/>
      <c r="AH2886" s="518"/>
      <c r="AJ2886" s="595" t="b">
        <f t="shared" si="52"/>
        <v>0</v>
      </c>
    </row>
    <row r="2887" spans="1:36" hidden="1" x14ac:dyDescent="0.45">
      <c r="B2887" s="514" t="s">
        <v>1458</v>
      </c>
      <c r="C2887" s="535"/>
      <c r="D2887" s="535"/>
      <c r="E2887" s="535"/>
      <c r="F2887" s="535"/>
      <c r="G2887" s="885" t="str">
        <f>IF(S1SHTAData!L57=0,"",S1SHTAData!L57)</f>
        <v/>
      </c>
      <c r="H2887" s="885"/>
      <c r="I2887" s="890" t="str">
        <f>IF(S1SHTAData!AF57=0,"",S1SHTAData!AF57)</f>
        <v/>
      </c>
      <c r="J2887" s="891"/>
      <c r="K2887" s="939">
        <f>S1SHTAData!N57</f>
        <v>0</v>
      </c>
      <c r="L2887" s="1181"/>
      <c r="M2887" s="874">
        <f>S1SHTAData!O57</f>
        <v>0</v>
      </c>
      <c r="N2887" s="875"/>
      <c r="O2887" s="875"/>
      <c r="P2887" s="876"/>
      <c r="Q2887" s="874">
        <f>S1SHTAData!P57</f>
        <v>0</v>
      </c>
      <c r="R2887" s="875"/>
      <c r="S2887" s="875"/>
      <c r="T2887" s="876"/>
      <c r="U2887" s="874">
        <f t="shared" si="51"/>
        <v>0</v>
      </c>
      <c r="V2887" s="875"/>
      <c r="W2887" s="875"/>
      <c r="X2887" s="876"/>
      <c r="Y2887" s="866">
        <f>S1SHTAData!R57</f>
        <v>0</v>
      </c>
      <c r="Z2887" s="900"/>
      <c r="AA2887" s="900"/>
      <c r="AB2887" s="867"/>
      <c r="AC2887" s="518"/>
      <c r="AD2887" s="518"/>
      <c r="AE2887" s="588"/>
      <c r="AF2887" s="529"/>
      <c r="AG2887" s="529"/>
      <c r="AH2887" s="518"/>
      <c r="AJ2887" s="595" t="b">
        <f t="shared" si="52"/>
        <v>0</v>
      </c>
    </row>
    <row r="2888" spans="1:36" hidden="1" x14ac:dyDescent="0.45">
      <c r="B2888" s="514" t="s">
        <v>1459</v>
      </c>
      <c r="C2888" s="535"/>
      <c r="D2888" s="535"/>
      <c r="E2888" s="535"/>
      <c r="F2888" s="535"/>
      <c r="G2888" s="885" t="str">
        <f>IF(S1SHTAData!L58=0,"",S1SHTAData!L58)</f>
        <v/>
      </c>
      <c r="H2888" s="885"/>
      <c r="I2888" s="890" t="str">
        <f>IF(S1SHTAData!AF58=0,"",S1SHTAData!AF58)</f>
        <v/>
      </c>
      <c r="J2888" s="891"/>
      <c r="K2888" s="939">
        <f>S1SHTAData!N58</f>
        <v>0</v>
      </c>
      <c r="L2888" s="1181"/>
      <c r="M2888" s="874">
        <f>S1SHTAData!O58</f>
        <v>0</v>
      </c>
      <c r="N2888" s="875"/>
      <c r="O2888" s="875"/>
      <c r="P2888" s="876"/>
      <c r="Q2888" s="874">
        <f>S1SHTAData!P58</f>
        <v>0</v>
      </c>
      <c r="R2888" s="875"/>
      <c r="S2888" s="875"/>
      <c r="T2888" s="876"/>
      <c r="U2888" s="874">
        <f t="shared" si="51"/>
        <v>0</v>
      </c>
      <c r="V2888" s="875"/>
      <c r="W2888" s="875"/>
      <c r="X2888" s="876"/>
      <c r="Y2888" s="866">
        <f>S1SHTAData!R58</f>
        <v>0</v>
      </c>
      <c r="Z2888" s="900"/>
      <c r="AA2888" s="900"/>
      <c r="AB2888" s="867"/>
      <c r="AC2888" s="518"/>
      <c r="AD2888" s="518"/>
      <c r="AE2888" s="588"/>
      <c r="AF2888" s="529"/>
      <c r="AG2888" s="529"/>
      <c r="AH2888" s="518"/>
      <c r="AJ2888" s="595" t="b">
        <f t="shared" si="52"/>
        <v>0</v>
      </c>
    </row>
    <row r="2889" spans="1:36" hidden="1" x14ac:dyDescent="0.45">
      <c r="A2889" s="518"/>
      <c r="B2889" s="514" t="s">
        <v>1460</v>
      </c>
      <c r="C2889" s="535"/>
      <c r="D2889" s="535"/>
      <c r="E2889" s="535"/>
      <c r="F2889" s="535"/>
      <c r="G2889" s="885" t="str">
        <f>IF(S1SHTAData!L59=0,"",S1SHTAData!L59)</f>
        <v/>
      </c>
      <c r="H2889" s="885"/>
      <c r="I2889" s="890" t="str">
        <f>IF(S1SHTAData!AF59=0,"",S1SHTAData!AF59)</f>
        <v/>
      </c>
      <c r="J2889" s="891"/>
      <c r="K2889" s="939">
        <f>S1SHTAData!N59</f>
        <v>0</v>
      </c>
      <c r="L2889" s="1181"/>
      <c r="M2889" s="874">
        <f>S1SHTAData!O59</f>
        <v>0</v>
      </c>
      <c r="N2889" s="875"/>
      <c r="O2889" s="875"/>
      <c r="P2889" s="876"/>
      <c r="Q2889" s="874">
        <f>S1SHTAData!P59</f>
        <v>0</v>
      </c>
      <c r="R2889" s="875"/>
      <c r="S2889" s="875"/>
      <c r="T2889" s="876"/>
      <c r="U2889" s="874">
        <f t="shared" si="51"/>
        <v>0</v>
      </c>
      <c r="V2889" s="875"/>
      <c r="W2889" s="875"/>
      <c r="X2889" s="876"/>
      <c r="Y2889" s="866">
        <f>S1SHTAData!R59</f>
        <v>0</v>
      </c>
      <c r="Z2889" s="900"/>
      <c r="AA2889" s="900"/>
      <c r="AB2889" s="867"/>
      <c r="AC2889" s="518"/>
      <c r="AD2889" s="518"/>
      <c r="AE2889" s="588"/>
      <c r="AF2889" s="529"/>
      <c r="AG2889" s="529"/>
      <c r="AH2889" s="518"/>
      <c r="AJ2889" s="595" t="b">
        <f t="shared" si="52"/>
        <v>0</v>
      </c>
    </row>
    <row r="2890" spans="1:36" hidden="1" x14ac:dyDescent="0.45">
      <c r="A2890" s="518"/>
      <c r="B2890" s="514" t="s">
        <v>1461</v>
      </c>
      <c r="C2890" s="535"/>
      <c r="D2890" s="535"/>
      <c r="E2890" s="535"/>
      <c r="F2890" s="535"/>
      <c r="G2890" s="885" t="str">
        <f>IF(S1SHTAData!L60=0,"",S1SHTAData!L60)</f>
        <v/>
      </c>
      <c r="H2890" s="885"/>
      <c r="I2890" s="890" t="str">
        <f>IF(S1SHTAData!AF60=0,"",S1SHTAData!AF60)</f>
        <v/>
      </c>
      <c r="J2890" s="891"/>
      <c r="K2890" s="939">
        <f>S1SHTAData!N60</f>
        <v>0</v>
      </c>
      <c r="L2890" s="1181"/>
      <c r="M2890" s="874">
        <f>S1SHTAData!O60</f>
        <v>0</v>
      </c>
      <c r="N2890" s="875"/>
      <c r="O2890" s="875"/>
      <c r="P2890" s="876"/>
      <c r="Q2890" s="874">
        <f>S1SHTAData!P60</f>
        <v>0</v>
      </c>
      <c r="R2890" s="875"/>
      <c r="S2890" s="875"/>
      <c r="T2890" s="876"/>
      <c r="U2890" s="874">
        <f t="shared" si="51"/>
        <v>0</v>
      </c>
      <c r="V2890" s="875"/>
      <c r="W2890" s="875"/>
      <c r="X2890" s="876"/>
      <c r="Y2890" s="866">
        <f>S1SHTAData!R60</f>
        <v>0</v>
      </c>
      <c r="Z2890" s="900"/>
      <c r="AA2890" s="900"/>
      <c r="AB2890" s="867"/>
      <c r="AC2890" s="518"/>
      <c r="AD2890" s="518"/>
      <c r="AE2890" s="588"/>
      <c r="AF2890" s="529"/>
      <c r="AG2890" s="529"/>
      <c r="AH2890" s="518"/>
      <c r="AJ2890" s="595" t="b">
        <f t="shared" si="52"/>
        <v>0</v>
      </c>
    </row>
    <row r="2891" spans="1:36" hidden="1" x14ac:dyDescent="0.45">
      <c r="A2891" s="518"/>
      <c r="B2891" s="518"/>
      <c r="C2891" s="518"/>
      <c r="D2891" s="518"/>
      <c r="E2891" s="518"/>
      <c r="F2891" s="518"/>
      <c r="G2891" s="518"/>
      <c r="H2891" s="518"/>
      <c r="I2891" s="518"/>
      <c r="J2891" s="518"/>
      <c r="K2891" s="518"/>
      <c r="L2891" s="518"/>
      <c r="M2891" s="518"/>
      <c r="N2891" s="518"/>
      <c r="O2891" s="518"/>
      <c r="P2891" s="518"/>
      <c r="Q2891" s="518"/>
      <c r="R2891" s="518"/>
      <c r="S2891" s="518"/>
      <c r="T2891" s="518"/>
      <c r="U2891" s="518"/>
      <c r="V2891" s="518"/>
      <c r="W2891" s="518"/>
      <c r="X2891" s="518"/>
      <c r="Y2891" s="518"/>
      <c r="Z2891" s="518"/>
      <c r="AA2891" s="518"/>
      <c r="AB2891" s="518"/>
      <c r="AC2891" s="518"/>
      <c r="AD2891" s="518"/>
      <c r="AE2891" s="518"/>
      <c r="AF2891" s="518"/>
      <c r="AG2891" s="518"/>
      <c r="AH2891" s="518"/>
      <c r="AJ2891" s="595" t="b">
        <f>AJ2826</f>
        <v>0</v>
      </c>
    </row>
    <row r="2892" spans="1:36" hidden="1" x14ac:dyDescent="0.45">
      <c r="A2892" s="518"/>
      <c r="B2892" s="917" t="s">
        <v>173</v>
      </c>
      <c r="C2892" s="918"/>
      <c r="D2892" s="918"/>
      <c r="E2892" s="918"/>
      <c r="F2892" s="918"/>
      <c r="G2892" s="931"/>
      <c r="H2892" s="919">
        <f>S1_SHTA_UnrestrictedTotalRequested</f>
        <v>0</v>
      </c>
      <c r="I2892" s="920"/>
      <c r="J2892" s="920"/>
      <c r="K2892" s="920"/>
      <c r="L2892" s="920"/>
      <c r="M2892" s="920"/>
      <c r="N2892" s="921"/>
      <c r="O2892" s="518"/>
      <c r="P2892" s="518"/>
      <c r="Q2892" s="518"/>
      <c r="R2892" s="518"/>
      <c r="S2892" s="518"/>
      <c r="T2892" s="518"/>
      <c r="U2892" s="518"/>
      <c r="V2892" s="518"/>
      <c r="W2892" s="518"/>
      <c r="X2892" s="518"/>
      <c r="Y2892" s="518"/>
      <c r="Z2892" s="518"/>
      <c r="AA2892" s="518"/>
      <c r="AB2892" s="518"/>
      <c r="AC2892" s="518"/>
      <c r="AD2892" s="518"/>
      <c r="AE2892" s="518"/>
      <c r="AF2892" s="518"/>
      <c r="AG2892" s="518"/>
      <c r="AH2892" s="518"/>
      <c r="AJ2892" s="595"/>
    </row>
    <row r="2893" spans="1:36" hidden="1" x14ac:dyDescent="0.45">
      <c r="A2893" s="518"/>
      <c r="B2893" s="602"/>
      <c r="C2893" s="602"/>
      <c r="D2893" s="602"/>
      <c r="E2893" s="602"/>
      <c r="F2893" s="602"/>
      <c r="G2893" s="602"/>
      <c r="H2893" s="602"/>
      <c r="I2893" s="602"/>
      <c r="J2893" s="602"/>
      <c r="K2893" s="602"/>
      <c r="L2893" s="602"/>
      <c r="M2893" s="602"/>
      <c r="N2893" s="602"/>
      <c r="O2893" s="602"/>
      <c r="P2893" s="602"/>
      <c r="Q2893" s="602"/>
      <c r="R2893" s="602"/>
      <c r="S2893" s="602"/>
      <c r="T2893" s="602"/>
      <c r="U2893" s="602"/>
      <c r="V2893" s="602"/>
      <c r="W2893" s="602"/>
      <c r="X2893" s="602"/>
      <c r="Y2893" s="602"/>
      <c r="Z2893" s="602"/>
      <c r="AA2893" s="602"/>
      <c r="AB2893" s="602"/>
      <c r="AC2893" s="602"/>
      <c r="AD2893" s="602"/>
      <c r="AE2893" s="602"/>
      <c r="AF2893" s="602"/>
      <c r="AG2893" s="602"/>
      <c r="AH2893" s="518"/>
      <c r="AJ2893" s="595"/>
    </row>
    <row r="2894" spans="1:36" hidden="1" x14ac:dyDescent="0.45">
      <c r="A2894" s="518"/>
      <c r="B2894" s="518" t="s">
        <v>1854</v>
      </c>
      <c r="C2894" s="518"/>
      <c r="D2894" s="518"/>
      <c r="E2894" s="518"/>
      <c r="F2894" s="518"/>
      <c r="G2894" s="518"/>
      <c r="H2894" s="518"/>
      <c r="I2894" s="518"/>
      <c r="J2894" s="518"/>
      <c r="K2894" s="518"/>
      <c r="L2894" s="518"/>
      <c r="M2894" s="518"/>
      <c r="N2894" s="518"/>
      <c r="O2894" s="518"/>
      <c r="P2894" s="518"/>
      <c r="Q2894" s="518"/>
      <c r="R2894" s="518"/>
      <c r="S2894" s="518"/>
      <c r="T2894" s="518"/>
      <c r="U2894" s="518"/>
      <c r="V2894" s="518"/>
      <c r="W2894" s="518"/>
      <c r="X2894" s="518"/>
      <c r="Y2894" s="518"/>
      <c r="Z2894" s="518"/>
      <c r="AA2894" s="518"/>
      <c r="AB2894" s="518"/>
      <c r="AC2894" s="518"/>
      <c r="AD2894" s="518"/>
      <c r="AE2894" s="518"/>
      <c r="AF2894" s="518"/>
      <c r="AG2894" s="518"/>
      <c r="AH2894" s="518"/>
      <c r="AJ2894" s="595"/>
    </row>
    <row r="2895" spans="1:36" hidden="1" x14ac:dyDescent="0.45">
      <c r="A2895" s="518"/>
      <c r="B2895" s="932" t="s">
        <v>174</v>
      </c>
      <c r="C2895" s="933"/>
      <c r="D2895" s="933"/>
      <c r="E2895" s="933"/>
      <c r="F2895" s="933"/>
      <c r="G2895" s="933"/>
      <c r="H2895" s="933"/>
      <c r="I2895" s="933"/>
      <c r="J2895" s="933"/>
      <c r="K2895" s="933"/>
      <c r="L2895" s="933"/>
      <c r="M2895" s="933"/>
      <c r="N2895" s="934"/>
      <c r="O2895" s="878"/>
      <c r="P2895" s="879"/>
      <c r="Q2895" s="880"/>
      <c r="R2895" s="518"/>
      <c r="S2895" s="518"/>
      <c r="T2895" s="518"/>
      <c r="U2895" s="518"/>
      <c r="V2895" s="518"/>
      <c r="W2895" s="518"/>
      <c r="X2895" s="518"/>
      <c r="Y2895" s="518"/>
      <c r="Z2895" s="518"/>
      <c r="AA2895" s="518"/>
      <c r="AB2895" s="518"/>
      <c r="AC2895" s="518"/>
      <c r="AD2895" s="518"/>
      <c r="AE2895" s="518"/>
      <c r="AF2895" s="518"/>
      <c r="AG2895" s="518"/>
      <c r="AH2895" s="518"/>
      <c r="AJ2895" s="595"/>
    </row>
    <row r="2896" spans="1:36" hidden="1" x14ac:dyDescent="0.45">
      <c r="A2896" s="518"/>
      <c r="B2896" s="932" t="s">
        <v>175</v>
      </c>
      <c r="C2896" s="933"/>
      <c r="D2896" s="933"/>
      <c r="E2896" s="933"/>
      <c r="F2896" s="933"/>
      <c r="G2896" s="933"/>
      <c r="H2896" s="933"/>
      <c r="I2896" s="933"/>
      <c r="J2896" s="933"/>
      <c r="K2896" s="933"/>
      <c r="L2896" s="933"/>
      <c r="M2896" s="933"/>
      <c r="N2896" s="934"/>
      <c r="O2896" s="878"/>
      <c r="P2896" s="879"/>
      <c r="Q2896" s="880"/>
      <c r="R2896" s="518"/>
      <c r="S2896" s="518"/>
      <c r="T2896" s="518"/>
      <c r="U2896" s="518"/>
      <c r="V2896" s="518"/>
      <c r="W2896" s="518"/>
      <c r="X2896" s="518"/>
      <c r="Y2896" s="518"/>
      <c r="Z2896" s="518"/>
      <c r="AA2896" s="518"/>
      <c r="AB2896" s="518"/>
      <c r="AC2896" s="518"/>
      <c r="AD2896" s="518"/>
      <c r="AE2896" s="518"/>
      <c r="AF2896" s="518"/>
      <c r="AG2896" s="518"/>
      <c r="AH2896" s="518"/>
      <c r="AJ2896" s="595"/>
    </row>
    <row r="2897" spans="1:36" hidden="1" x14ac:dyDescent="0.45">
      <c r="A2897" s="518"/>
      <c r="B2897" s="932" t="s">
        <v>176</v>
      </c>
      <c r="C2897" s="933"/>
      <c r="D2897" s="933"/>
      <c r="E2897" s="933"/>
      <c r="F2897" s="933"/>
      <c r="G2897" s="933"/>
      <c r="H2897" s="933"/>
      <c r="I2897" s="933"/>
      <c r="J2897" s="933"/>
      <c r="K2897" s="933"/>
      <c r="L2897" s="933"/>
      <c r="M2897" s="933"/>
      <c r="N2897" s="934"/>
      <c r="O2897" s="878"/>
      <c r="P2897" s="879"/>
      <c r="Q2897" s="880"/>
      <c r="R2897" s="518"/>
      <c r="S2897" s="518"/>
      <c r="T2897" s="518"/>
      <c r="U2897" s="518"/>
      <c r="V2897" s="518"/>
      <c r="W2897" s="518"/>
      <c r="X2897" s="518"/>
      <c r="Y2897" s="518"/>
      <c r="Z2897" s="518"/>
      <c r="AA2897" s="518"/>
      <c r="AB2897" s="518"/>
      <c r="AC2897" s="518"/>
      <c r="AD2897" s="518"/>
      <c r="AE2897" s="518"/>
      <c r="AF2897" s="518"/>
      <c r="AG2897" s="518"/>
      <c r="AH2897" s="518"/>
      <c r="AJ2897" s="595"/>
    </row>
    <row r="2898" spans="1:36" hidden="1" x14ac:dyDescent="0.45">
      <c r="A2898" s="518"/>
      <c r="B2898" s="932" t="s">
        <v>177</v>
      </c>
      <c r="C2898" s="933"/>
      <c r="D2898" s="933"/>
      <c r="E2898" s="933"/>
      <c r="F2898" s="933"/>
      <c r="G2898" s="933"/>
      <c r="H2898" s="933"/>
      <c r="I2898" s="933"/>
      <c r="J2898" s="933"/>
      <c r="K2898" s="933"/>
      <c r="L2898" s="933"/>
      <c r="M2898" s="933"/>
      <c r="N2898" s="934"/>
      <c r="O2898" s="878"/>
      <c r="P2898" s="879"/>
      <c r="Q2898" s="880"/>
      <c r="R2898" s="518"/>
      <c r="S2898" s="518"/>
      <c r="T2898" s="518"/>
      <c r="U2898" s="518"/>
      <c r="V2898" s="518"/>
      <c r="W2898" s="518"/>
      <c r="X2898" s="518"/>
      <c r="Y2898" s="518"/>
      <c r="Z2898" s="518"/>
      <c r="AA2898" s="518"/>
      <c r="AB2898" s="518"/>
      <c r="AC2898" s="518"/>
      <c r="AD2898" s="518"/>
      <c r="AE2898" s="518"/>
      <c r="AF2898" s="518"/>
      <c r="AG2898" s="518"/>
      <c r="AH2898" s="518"/>
      <c r="AJ2898" s="595"/>
    </row>
    <row r="2899" spans="1:36" hidden="1" x14ac:dyDescent="0.45">
      <c r="A2899" s="518"/>
      <c r="B2899" s="932" t="s">
        <v>178</v>
      </c>
      <c r="C2899" s="933"/>
      <c r="D2899" s="933"/>
      <c r="E2899" s="933"/>
      <c r="F2899" s="933"/>
      <c r="G2899" s="933"/>
      <c r="H2899" s="933"/>
      <c r="I2899" s="933"/>
      <c r="J2899" s="933"/>
      <c r="K2899" s="933"/>
      <c r="L2899" s="933"/>
      <c r="M2899" s="933"/>
      <c r="N2899" s="934"/>
      <c r="O2899" s="878"/>
      <c r="P2899" s="879"/>
      <c r="Q2899" s="880"/>
      <c r="R2899" s="518"/>
      <c r="S2899" s="518"/>
      <c r="T2899" s="518"/>
      <c r="U2899" s="518"/>
      <c r="V2899" s="518"/>
      <c r="W2899" s="518"/>
      <c r="X2899" s="518"/>
      <c r="Y2899" s="518"/>
      <c r="Z2899" s="518"/>
      <c r="AA2899" s="518"/>
      <c r="AB2899" s="518"/>
      <c r="AC2899" s="518"/>
      <c r="AD2899" s="518"/>
      <c r="AE2899" s="518"/>
      <c r="AF2899" s="518"/>
      <c r="AG2899" s="518"/>
      <c r="AH2899" s="518"/>
      <c r="AJ2899" s="595"/>
    </row>
    <row r="2900" spans="1:36" hidden="1" x14ac:dyDescent="0.45">
      <c r="A2900" s="518"/>
      <c r="B2900" s="932" t="s">
        <v>179</v>
      </c>
      <c r="C2900" s="933"/>
      <c r="D2900" s="933"/>
      <c r="E2900" s="933"/>
      <c r="F2900" s="933"/>
      <c r="G2900" s="933"/>
      <c r="H2900" s="933"/>
      <c r="I2900" s="933"/>
      <c r="J2900" s="933"/>
      <c r="K2900" s="933"/>
      <c r="L2900" s="933"/>
      <c r="M2900" s="933"/>
      <c r="N2900" s="934"/>
      <c r="O2900" s="878"/>
      <c r="P2900" s="879"/>
      <c r="Q2900" s="880"/>
      <c r="R2900" s="518"/>
      <c r="S2900" s="518"/>
      <c r="T2900" s="518"/>
      <c r="U2900" s="518"/>
      <c r="V2900" s="518"/>
      <c r="W2900" s="518"/>
      <c r="X2900" s="518"/>
      <c r="Y2900" s="518"/>
      <c r="Z2900" s="518"/>
      <c r="AA2900" s="518"/>
      <c r="AB2900" s="518"/>
      <c r="AC2900" s="518"/>
      <c r="AD2900" s="518"/>
      <c r="AE2900" s="518"/>
      <c r="AF2900" s="518"/>
      <c r="AG2900" s="518"/>
      <c r="AH2900" s="518"/>
      <c r="AJ2900" s="595"/>
    </row>
    <row r="2901" spans="1:36" hidden="1" x14ac:dyDescent="0.45">
      <c r="A2901" s="518"/>
      <c r="B2901" s="932" t="s">
        <v>180</v>
      </c>
      <c r="C2901" s="933"/>
      <c r="D2901" s="933"/>
      <c r="E2901" s="933"/>
      <c r="F2901" s="933"/>
      <c r="G2901" s="933"/>
      <c r="H2901" s="933"/>
      <c r="I2901" s="933"/>
      <c r="J2901" s="933"/>
      <c r="K2901" s="933"/>
      <c r="L2901" s="933"/>
      <c r="M2901" s="933"/>
      <c r="N2901" s="934"/>
      <c r="O2901" s="878"/>
      <c r="P2901" s="879"/>
      <c r="Q2901" s="880"/>
      <c r="R2901" s="518"/>
      <c r="S2901" s="518"/>
      <c r="T2901" s="518"/>
      <c r="U2901" s="518"/>
      <c r="V2901" s="518"/>
      <c r="W2901" s="518"/>
      <c r="X2901" s="518"/>
      <c r="Y2901" s="518"/>
      <c r="Z2901" s="518"/>
      <c r="AA2901" s="518"/>
      <c r="AB2901" s="518"/>
      <c r="AC2901" s="518"/>
      <c r="AD2901" s="518"/>
      <c r="AE2901" s="518"/>
      <c r="AF2901" s="518"/>
      <c r="AG2901" s="518"/>
      <c r="AH2901" s="518"/>
      <c r="AJ2901" s="595"/>
    </row>
    <row r="2902" spans="1:36" hidden="1" x14ac:dyDescent="0.45">
      <c r="A2902" s="518"/>
      <c r="B2902" s="932" t="s">
        <v>1808</v>
      </c>
      <c r="C2902" s="933"/>
      <c r="D2902" s="933"/>
      <c r="E2902" s="933"/>
      <c r="F2902" s="933"/>
      <c r="G2902" s="933"/>
      <c r="H2902" s="933"/>
      <c r="I2902" s="933"/>
      <c r="J2902" s="933"/>
      <c r="K2902" s="933"/>
      <c r="L2902" s="933"/>
      <c r="M2902" s="933"/>
      <c r="N2902" s="934"/>
      <c r="O2902" s="878"/>
      <c r="P2902" s="879"/>
      <c r="Q2902" s="880"/>
      <c r="R2902" s="518"/>
      <c r="S2902" s="518"/>
      <c r="T2902" s="518"/>
      <c r="U2902" s="518"/>
      <c r="V2902" s="518"/>
      <c r="W2902" s="518"/>
      <c r="X2902" s="518"/>
      <c r="Y2902" s="518"/>
      <c r="Z2902" s="518"/>
      <c r="AA2902" s="518"/>
      <c r="AB2902" s="518"/>
      <c r="AC2902" s="518"/>
      <c r="AD2902" s="518"/>
      <c r="AE2902" s="518"/>
      <c r="AF2902" s="518"/>
      <c r="AG2902" s="518"/>
      <c r="AH2902" s="518"/>
      <c r="AJ2902" s="595"/>
    </row>
    <row r="2903" spans="1:36" hidden="1" x14ac:dyDescent="0.45">
      <c r="A2903" s="518"/>
      <c r="B2903" s="1168" t="s">
        <v>181</v>
      </c>
      <c r="C2903" s="1169"/>
      <c r="D2903" s="1169"/>
      <c r="E2903" s="1169"/>
      <c r="F2903" s="1169"/>
      <c r="G2903" s="1169"/>
      <c r="H2903" s="1169"/>
      <c r="I2903" s="1169"/>
      <c r="J2903" s="1169"/>
      <c r="K2903" s="1169"/>
      <c r="L2903" s="1169"/>
      <c r="M2903" s="1169"/>
      <c r="N2903" s="1170"/>
      <c r="O2903" s="927"/>
      <c r="P2903" s="928"/>
      <c r="Q2903" s="929"/>
      <c r="R2903" s="518"/>
      <c r="S2903" s="518"/>
      <c r="T2903" s="518"/>
      <c r="U2903" s="518"/>
      <c r="V2903" s="518"/>
      <c r="W2903" s="518"/>
      <c r="X2903" s="518"/>
      <c r="Y2903" s="518"/>
      <c r="Z2903" s="518"/>
      <c r="AA2903" s="518"/>
      <c r="AB2903" s="518"/>
      <c r="AC2903" s="518"/>
      <c r="AD2903" s="518"/>
      <c r="AE2903" s="518"/>
      <c r="AF2903" s="518"/>
      <c r="AG2903" s="518"/>
      <c r="AH2903" s="518"/>
      <c r="AJ2903" s="595"/>
    </row>
    <row r="2904" spans="1:36" hidden="1" x14ac:dyDescent="0.45">
      <c r="A2904" s="518"/>
      <c r="B2904" s="1171" t="s">
        <v>182</v>
      </c>
      <c r="C2904" s="1172"/>
      <c r="D2904" s="1172"/>
      <c r="E2904" s="1172"/>
      <c r="F2904" s="1172"/>
      <c r="G2904" s="1172"/>
      <c r="H2904" s="1172"/>
      <c r="I2904" s="1172"/>
      <c r="J2904" s="1172"/>
      <c r="K2904" s="1172"/>
      <c r="L2904" s="1172"/>
      <c r="M2904" s="1172"/>
      <c r="N2904" s="1173"/>
      <c r="O2904" s="878">
        <f>SUM(O2895:Q2902)-O2903</f>
        <v>0</v>
      </c>
      <c r="P2904" s="879"/>
      <c r="Q2904" s="880"/>
      <c r="R2904" s="518"/>
      <c r="S2904" s="518"/>
      <c r="T2904" s="518"/>
      <c r="U2904" s="518"/>
      <c r="V2904" s="518"/>
      <c r="W2904" s="518"/>
      <c r="X2904" s="518"/>
      <c r="Y2904" s="518"/>
      <c r="Z2904" s="518"/>
      <c r="AA2904" s="518"/>
      <c r="AB2904" s="518"/>
      <c r="AC2904" s="518"/>
      <c r="AD2904" s="518"/>
      <c r="AE2904" s="518"/>
      <c r="AF2904" s="518"/>
      <c r="AG2904" s="518"/>
      <c r="AH2904" s="518"/>
      <c r="AJ2904" s="595"/>
    </row>
    <row r="2905" spans="1:36" hidden="1" x14ac:dyDescent="0.45">
      <c r="A2905" s="518"/>
      <c r="B2905" s="517"/>
      <c r="C2905" s="517"/>
      <c r="D2905" s="517"/>
      <c r="E2905" s="517"/>
      <c r="F2905" s="517"/>
      <c r="G2905" s="517"/>
      <c r="H2905" s="517"/>
      <c r="I2905" s="517"/>
      <c r="J2905" s="517"/>
      <c r="K2905" s="517"/>
      <c r="L2905" s="517"/>
      <c r="M2905" s="517"/>
      <c r="N2905" s="517"/>
      <c r="O2905" s="532"/>
      <c r="P2905" s="532"/>
      <c r="Q2905" s="532"/>
      <c r="R2905" s="518"/>
      <c r="S2905" s="533"/>
      <c r="T2905" s="533"/>
      <c r="U2905" s="533"/>
      <c r="V2905" s="533"/>
      <c r="W2905" s="533"/>
      <c r="X2905" s="533"/>
      <c r="Y2905" s="533"/>
      <c r="Z2905" s="533"/>
      <c r="AA2905" s="533"/>
      <c r="AB2905" s="533"/>
      <c r="AC2905" s="533"/>
      <c r="AD2905" s="533"/>
      <c r="AE2905" s="533"/>
      <c r="AF2905" s="533"/>
      <c r="AG2905" s="533"/>
      <c r="AH2905" s="518"/>
      <c r="AJ2905" s="595"/>
    </row>
    <row r="2906" spans="1:36" ht="200.15" hidden="1" customHeight="1" x14ac:dyDescent="0.45">
      <c r="A2906" s="518"/>
      <c r="B2906" s="1174" t="s">
        <v>183</v>
      </c>
      <c r="C2906" s="1175"/>
      <c r="D2906" s="1175"/>
      <c r="E2906" s="1175"/>
      <c r="F2906" s="1175"/>
      <c r="G2906" s="1175"/>
      <c r="H2906" s="1175"/>
      <c r="I2906" s="1175"/>
      <c r="J2906" s="1175"/>
      <c r="K2906" s="1175"/>
      <c r="L2906" s="1175"/>
      <c r="M2906" s="1175"/>
      <c r="N2906" s="1175"/>
      <c r="O2906" s="1175"/>
      <c r="P2906" s="1175"/>
      <c r="Q2906" s="1175"/>
      <c r="R2906" s="1175"/>
      <c r="S2906" s="1175"/>
      <c r="T2906" s="1175"/>
      <c r="U2906" s="1175"/>
      <c r="V2906" s="1175"/>
      <c r="W2906" s="1175"/>
      <c r="X2906" s="1175"/>
      <c r="Y2906" s="1175"/>
      <c r="Z2906" s="1175"/>
      <c r="AA2906" s="1175"/>
      <c r="AB2906" s="1175"/>
      <c r="AC2906" s="1175"/>
      <c r="AD2906" s="1175"/>
      <c r="AE2906" s="1175"/>
      <c r="AF2906" s="1175"/>
      <c r="AG2906" s="1176"/>
      <c r="AH2906" s="518"/>
      <c r="AJ2906" s="595"/>
    </row>
    <row r="2907" spans="1:36" hidden="1" x14ac:dyDescent="0.45">
      <c r="A2907" s="518"/>
      <c r="B2907" s="518"/>
      <c r="C2907" s="518"/>
      <c r="D2907" s="518"/>
      <c r="E2907" s="518"/>
      <c r="F2907" s="518"/>
      <c r="G2907" s="518"/>
      <c r="H2907" s="518"/>
      <c r="I2907" s="518"/>
      <c r="J2907" s="518"/>
      <c r="K2907" s="518"/>
      <c r="L2907" s="518"/>
      <c r="M2907" s="518"/>
      <c r="N2907" s="518"/>
      <c r="O2907" s="518"/>
      <c r="P2907" s="518"/>
      <c r="Q2907" s="518"/>
      <c r="R2907" s="518"/>
      <c r="S2907" s="518"/>
      <c r="T2907" s="518"/>
      <c r="U2907" s="518"/>
      <c r="V2907" s="518"/>
      <c r="W2907" s="518"/>
      <c r="X2907" s="518"/>
      <c r="Y2907" s="518"/>
      <c r="Z2907" s="518"/>
      <c r="AA2907" s="518"/>
      <c r="AB2907" s="518"/>
      <c r="AC2907" s="518"/>
      <c r="AD2907" s="518"/>
      <c r="AE2907" s="518"/>
      <c r="AF2907" s="518"/>
      <c r="AG2907" s="518"/>
      <c r="AH2907" s="518"/>
      <c r="AJ2907" s="595"/>
    </row>
    <row r="2908" spans="1:36" hidden="1" x14ac:dyDescent="0.45">
      <c r="A2908" s="518"/>
      <c r="B2908" s="518"/>
      <c r="C2908" s="518"/>
      <c r="D2908" s="518"/>
      <c r="E2908" s="518"/>
      <c r="F2908" s="518"/>
      <c r="G2908" s="518"/>
      <c r="H2908" s="518"/>
      <c r="I2908" s="518"/>
      <c r="J2908" s="518"/>
      <c r="K2908" s="518"/>
      <c r="L2908" s="518"/>
      <c r="M2908" s="518"/>
      <c r="N2908" s="518"/>
      <c r="O2908" s="518"/>
      <c r="P2908" s="518"/>
      <c r="Q2908" s="518"/>
      <c r="R2908" s="518"/>
      <c r="S2908" s="518"/>
      <c r="T2908" s="518"/>
      <c r="U2908" s="518"/>
      <c r="V2908" s="518"/>
      <c r="W2908" s="518"/>
      <c r="X2908" s="518"/>
      <c r="Y2908" s="518"/>
      <c r="Z2908" s="518"/>
      <c r="AA2908" s="518"/>
      <c r="AB2908" s="518"/>
      <c r="AC2908" s="518"/>
      <c r="AD2908" s="518"/>
      <c r="AE2908" s="518"/>
      <c r="AF2908" s="518"/>
      <c r="AG2908" s="518"/>
      <c r="AH2908" s="518"/>
      <c r="AJ2908" s="595" t="b">
        <f>AND(AJ$2770,S1_SHTA_RuralTotalRequested&gt;0)</f>
        <v>0</v>
      </c>
    </row>
    <row r="2909" spans="1:36" hidden="1" x14ac:dyDescent="0.45">
      <c r="A2909" s="518"/>
      <c r="B2909" s="923" t="s">
        <v>1836</v>
      </c>
      <c r="C2909" s="923"/>
      <c r="D2909" s="923"/>
      <c r="E2909" s="923"/>
      <c r="F2909" s="923"/>
      <c r="G2909" s="923"/>
      <c r="H2909" s="923"/>
      <c r="I2909" s="923"/>
      <c r="J2909" s="923"/>
      <c r="K2909" s="923"/>
      <c r="L2909" s="923"/>
      <c r="M2909" s="923"/>
      <c r="N2909" s="923"/>
      <c r="O2909" s="923"/>
      <c r="P2909" s="923"/>
      <c r="Q2909" s="923"/>
      <c r="R2909" s="923"/>
      <c r="S2909" s="923"/>
      <c r="T2909" s="923"/>
      <c r="U2909" s="923"/>
      <c r="V2909" s="923"/>
      <c r="W2909" s="923"/>
      <c r="X2909" s="923"/>
      <c r="Y2909" s="923"/>
      <c r="Z2909" s="923"/>
      <c r="AA2909" s="923"/>
      <c r="AB2909" s="923"/>
      <c r="AC2909" s="923"/>
      <c r="AD2909" s="923"/>
      <c r="AE2909" s="923"/>
      <c r="AF2909" s="923"/>
      <c r="AG2909" s="923"/>
      <c r="AH2909" s="518"/>
      <c r="AJ2909" s="595"/>
    </row>
    <row r="2910" spans="1:36" hidden="1" x14ac:dyDescent="0.45">
      <c r="A2910" s="518"/>
      <c r="B2910" s="924" t="s">
        <v>1832</v>
      </c>
      <c r="C2910" s="924"/>
      <c r="D2910" s="924"/>
      <c r="E2910" s="924"/>
      <c r="F2910" s="924"/>
      <c r="G2910" s="924"/>
      <c r="H2910" s="924"/>
      <c r="I2910" s="924"/>
      <c r="J2910" s="924"/>
      <c r="K2910" s="924"/>
      <c r="L2910" s="924"/>
      <c r="M2910" s="924"/>
      <c r="N2910" s="924"/>
      <c r="O2910" s="924"/>
      <c r="P2910" s="924"/>
      <c r="Q2910" s="924"/>
      <c r="R2910" s="924"/>
      <c r="S2910" s="924"/>
      <c r="T2910" s="924"/>
      <c r="U2910" s="924"/>
      <c r="V2910" s="924"/>
      <c r="W2910" s="924"/>
      <c r="X2910" s="924"/>
      <c r="Y2910" s="924"/>
      <c r="Z2910" s="924"/>
      <c r="AA2910" s="924"/>
      <c r="AB2910" s="924"/>
      <c r="AC2910" s="924"/>
      <c r="AD2910" s="924"/>
      <c r="AE2910" s="924"/>
      <c r="AF2910" s="924"/>
      <c r="AG2910" s="924"/>
      <c r="AH2910" s="518"/>
      <c r="AJ2910" s="595"/>
    </row>
    <row r="2911" spans="1:36" hidden="1" x14ac:dyDescent="0.45">
      <c r="A2911" s="518"/>
      <c r="B2911" s="602"/>
      <c r="C2911" s="602"/>
      <c r="D2911" s="602"/>
      <c r="E2911" s="602"/>
      <c r="F2911" s="602"/>
      <c r="G2911" s="602"/>
      <c r="H2911" s="602"/>
      <c r="I2911" s="602"/>
      <c r="J2911" s="602"/>
      <c r="K2911" s="602"/>
      <c r="L2911" s="602"/>
      <c r="M2911" s="602"/>
      <c r="N2911" s="602"/>
      <c r="O2911" s="602"/>
      <c r="P2911" s="602"/>
      <c r="Q2911" s="602"/>
      <c r="R2911" s="602"/>
      <c r="S2911" s="602"/>
      <c r="T2911" s="602"/>
      <c r="U2911" s="602"/>
      <c r="V2911" s="602"/>
      <c r="W2911" s="602"/>
      <c r="X2911" s="602"/>
      <c r="Y2911" s="602"/>
      <c r="Z2911" s="602"/>
      <c r="AA2911" s="602"/>
      <c r="AB2911" s="602"/>
      <c r="AC2911" s="602"/>
      <c r="AD2911" s="602"/>
      <c r="AE2911" s="602"/>
      <c r="AF2911" s="602"/>
      <c r="AG2911" s="602"/>
      <c r="AH2911" s="518"/>
      <c r="AJ2911" s="595"/>
    </row>
    <row r="2912" spans="1:36" hidden="1" x14ac:dyDescent="0.45">
      <c r="A2912" s="518"/>
      <c r="B2912" s="518" t="s">
        <v>1853</v>
      </c>
      <c r="C2912" s="518"/>
      <c r="D2912" s="518"/>
      <c r="E2912" s="518"/>
      <c r="F2912" s="518"/>
      <c r="G2912" s="518"/>
      <c r="H2912" s="518"/>
      <c r="I2912" s="518"/>
      <c r="J2912" s="518"/>
      <c r="K2912" s="518"/>
      <c r="L2912" s="518"/>
      <c r="M2912" s="518"/>
      <c r="N2912" s="518"/>
      <c r="O2912" s="518"/>
      <c r="P2912" s="518"/>
      <c r="Q2912" s="518"/>
      <c r="R2912" s="518"/>
      <c r="S2912" s="518"/>
      <c r="T2912" s="518"/>
      <c r="U2912" s="518"/>
      <c r="V2912" s="518"/>
      <c r="W2912" s="518"/>
      <c r="X2912" s="518"/>
      <c r="Y2912" s="518"/>
      <c r="Z2912" s="518"/>
      <c r="AA2912" s="518"/>
      <c r="AB2912" s="518"/>
      <c r="AC2912" s="518"/>
      <c r="AD2912" s="518"/>
      <c r="AE2912" s="518"/>
      <c r="AF2912" s="518"/>
      <c r="AG2912" s="518"/>
      <c r="AH2912" s="518"/>
      <c r="AJ2912" s="595"/>
    </row>
    <row r="2913" spans="1:36" hidden="1" x14ac:dyDescent="0.45">
      <c r="A2913" s="518"/>
      <c r="B2913" s="862" t="s">
        <v>108</v>
      </c>
      <c r="C2913" s="863"/>
      <c r="D2913" s="863"/>
      <c r="E2913" s="863"/>
      <c r="F2913" s="892"/>
      <c r="G2913" s="872" t="s">
        <v>1487</v>
      </c>
      <c r="H2913" s="872"/>
      <c r="I2913" s="935" t="s">
        <v>1777</v>
      </c>
      <c r="J2913" s="1053"/>
      <c r="K2913" s="872" t="s">
        <v>91</v>
      </c>
      <c r="L2913" s="872"/>
      <c r="M2913" s="862" t="s">
        <v>110</v>
      </c>
      <c r="N2913" s="863"/>
      <c r="O2913" s="863"/>
      <c r="P2913" s="892"/>
      <c r="Q2913" s="862" t="s">
        <v>212</v>
      </c>
      <c r="R2913" s="863"/>
      <c r="S2913" s="863"/>
      <c r="T2913" s="892"/>
      <c r="U2913" s="862" t="s">
        <v>113</v>
      </c>
      <c r="V2913" s="863"/>
      <c r="W2913" s="863"/>
      <c r="X2913" s="892"/>
      <c r="Y2913" s="1182" t="s">
        <v>114</v>
      </c>
      <c r="Z2913" s="1058"/>
      <c r="AA2913" s="1058"/>
      <c r="AB2913" s="1059"/>
      <c r="AC2913" s="518"/>
      <c r="AD2913" s="518"/>
      <c r="AE2913" s="569"/>
      <c r="AF2913" s="529"/>
      <c r="AG2913" s="529"/>
      <c r="AH2913" s="529"/>
      <c r="AJ2913" s="595"/>
    </row>
    <row r="2914" spans="1:36" hidden="1" x14ac:dyDescent="0.45">
      <c r="A2914" s="518"/>
      <c r="B2914" s="864"/>
      <c r="C2914" s="865"/>
      <c r="D2914" s="865"/>
      <c r="E2914" s="865"/>
      <c r="F2914" s="893"/>
      <c r="G2914" s="872"/>
      <c r="H2914" s="872"/>
      <c r="I2914" s="937"/>
      <c r="J2914" s="1054"/>
      <c r="K2914" s="872"/>
      <c r="L2914" s="872"/>
      <c r="M2914" s="864"/>
      <c r="N2914" s="865"/>
      <c r="O2914" s="865"/>
      <c r="P2914" s="893"/>
      <c r="Q2914" s="864"/>
      <c r="R2914" s="865"/>
      <c r="S2914" s="865"/>
      <c r="T2914" s="893"/>
      <c r="U2914" s="864"/>
      <c r="V2914" s="865"/>
      <c r="W2914" s="865"/>
      <c r="X2914" s="893"/>
      <c r="Y2914" s="1060"/>
      <c r="Z2914" s="1061"/>
      <c r="AA2914" s="1061"/>
      <c r="AB2914" s="1062"/>
      <c r="AC2914" s="518"/>
      <c r="AD2914" s="518"/>
      <c r="AE2914" s="569"/>
      <c r="AF2914" s="529"/>
      <c r="AG2914" s="529"/>
      <c r="AH2914" s="529"/>
      <c r="AJ2914" s="595"/>
    </row>
    <row r="2915" spans="1:36" hidden="1" x14ac:dyDescent="0.45">
      <c r="A2915" s="518"/>
      <c r="B2915" s="514" t="s">
        <v>1405</v>
      </c>
      <c r="C2915" s="535"/>
      <c r="D2915" s="535"/>
      <c r="E2915" s="535"/>
      <c r="F2915" s="535"/>
      <c r="G2915" s="885" t="str">
        <f>IF(S1SHTAData!L3=0,"",S1SHTAData!L3)</f>
        <v/>
      </c>
      <c r="H2915" s="885"/>
      <c r="I2915" s="890" t="str">
        <f>IF(S1SHTAData!AF3=0,"",S1SHTAData!AF3)</f>
        <v/>
      </c>
      <c r="J2915" s="891"/>
      <c r="K2915" s="1181" t="str">
        <f>IF(S1SHTAData!W3=0,"",S1SHTAData!W3)</f>
        <v/>
      </c>
      <c r="L2915" s="1181"/>
      <c r="M2915" s="874" t="str">
        <f>IF(S1SHTAData!X3=0,"",S1SHTAData!X3)</f>
        <v/>
      </c>
      <c r="N2915" s="875"/>
      <c r="O2915" s="875"/>
      <c r="P2915" s="876"/>
      <c r="Q2915" s="874" t="str">
        <f>IF(S1SHTAData!Y3=0,"",S1SHTAData!Y3)</f>
        <v/>
      </c>
      <c r="R2915" s="875"/>
      <c r="S2915" s="875"/>
      <c r="T2915" s="876"/>
      <c r="U2915" s="874">
        <f>SUM(M2915:T2915)</f>
        <v>0</v>
      </c>
      <c r="V2915" s="875"/>
      <c r="W2915" s="875"/>
      <c r="X2915" s="876"/>
      <c r="Y2915" s="866" t="str">
        <f>IF(S1SHTAData!AA3=0,"",S1SHTAData!AA3)</f>
        <v/>
      </c>
      <c r="Z2915" s="900"/>
      <c r="AA2915" s="900"/>
      <c r="AB2915" s="867"/>
      <c r="AC2915" s="518"/>
      <c r="AD2915" s="518"/>
      <c r="AE2915" s="588"/>
      <c r="AF2915" s="529"/>
      <c r="AG2915" s="529"/>
      <c r="AH2915" s="529"/>
      <c r="AJ2915" s="595" t="b">
        <f>AND(AJ$2908,U2915&gt;0)</f>
        <v>0</v>
      </c>
    </row>
    <row r="2916" spans="1:36" hidden="1" x14ac:dyDescent="0.45">
      <c r="A2916" s="518"/>
      <c r="B2916" s="514" t="s">
        <v>1406</v>
      </c>
      <c r="C2916" s="535"/>
      <c r="D2916" s="535"/>
      <c r="E2916" s="535"/>
      <c r="F2916" s="535"/>
      <c r="G2916" s="885" t="str">
        <f>IF(S1SHTAData!L4=0,"",S1SHTAData!L4)</f>
        <v/>
      </c>
      <c r="H2916" s="885"/>
      <c r="I2916" s="890" t="str">
        <f>IF(S1SHTAData!AF4=0,"",S1SHTAData!AF4)</f>
        <v/>
      </c>
      <c r="J2916" s="891"/>
      <c r="K2916" s="1181" t="str">
        <f>IF(S1SHTAData!W4=0,"",S1SHTAData!W4)</f>
        <v/>
      </c>
      <c r="L2916" s="1181"/>
      <c r="M2916" s="874" t="str">
        <f>IF(S1SHTAData!X4=0,"",S1SHTAData!X4)</f>
        <v/>
      </c>
      <c r="N2916" s="875"/>
      <c r="O2916" s="875"/>
      <c r="P2916" s="876"/>
      <c r="Q2916" s="874" t="str">
        <f>IF(S1SHTAData!Y4=0,"",S1SHTAData!Y4)</f>
        <v/>
      </c>
      <c r="R2916" s="875"/>
      <c r="S2916" s="875"/>
      <c r="T2916" s="876"/>
      <c r="U2916" s="874">
        <f t="shared" ref="U2916:U2972" si="53">SUM(M2916:T2916)</f>
        <v>0</v>
      </c>
      <c r="V2916" s="875"/>
      <c r="W2916" s="875"/>
      <c r="X2916" s="876"/>
      <c r="Y2916" s="866" t="str">
        <f>IF(S1SHTAData!AA4=0,"",S1SHTAData!AA4)</f>
        <v/>
      </c>
      <c r="Z2916" s="900"/>
      <c r="AA2916" s="900"/>
      <c r="AB2916" s="867"/>
      <c r="AC2916" s="518"/>
      <c r="AD2916" s="518"/>
      <c r="AE2916" s="588"/>
      <c r="AF2916" s="529"/>
      <c r="AG2916" s="529"/>
      <c r="AH2916" s="529"/>
      <c r="AJ2916" s="595" t="b">
        <f t="shared" ref="AJ2916:AJ2972" si="54">AND(AJ$2908,U2916&gt;0)</f>
        <v>0</v>
      </c>
    </row>
    <row r="2917" spans="1:36" hidden="1" x14ac:dyDescent="0.45">
      <c r="A2917" s="518"/>
      <c r="B2917" s="514" t="s">
        <v>1407</v>
      </c>
      <c r="C2917" s="535"/>
      <c r="D2917" s="535"/>
      <c r="E2917" s="535"/>
      <c r="F2917" s="535"/>
      <c r="G2917" s="885" t="str">
        <f>IF(S1SHTAData!L5=0,"",S1SHTAData!L5)</f>
        <v/>
      </c>
      <c r="H2917" s="885"/>
      <c r="I2917" s="890" t="str">
        <f>IF(S1SHTAData!AF5=0,"",S1SHTAData!AF5)</f>
        <v/>
      </c>
      <c r="J2917" s="891"/>
      <c r="K2917" s="1181" t="str">
        <f>IF(S1SHTAData!W5=0,"",S1SHTAData!W5)</f>
        <v/>
      </c>
      <c r="L2917" s="1181"/>
      <c r="M2917" s="874" t="str">
        <f>IF(S1SHTAData!X5=0,"",S1SHTAData!X5)</f>
        <v/>
      </c>
      <c r="N2917" s="875"/>
      <c r="O2917" s="875"/>
      <c r="P2917" s="876"/>
      <c r="Q2917" s="874" t="str">
        <f>IF(S1SHTAData!Y5=0,"",S1SHTAData!Y5)</f>
        <v/>
      </c>
      <c r="R2917" s="875"/>
      <c r="S2917" s="875"/>
      <c r="T2917" s="876"/>
      <c r="U2917" s="874">
        <f t="shared" si="53"/>
        <v>0</v>
      </c>
      <c r="V2917" s="875"/>
      <c r="W2917" s="875"/>
      <c r="X2917" s="876"/>
      <c r="Y2917" s="866" t="str">
        <f>IF(S1SHTAData!AA5=0,"",S1SHTAData!AA5)</f>
        <v/>
      </c>
      <c r="Z2917" s="900"/>
      <c r="AA2917" s="900"/>
      <c r="AB2917" s="867"/>
      <c r="AC2917" s="518"/>
      <c r="AD2917" s="518"/>
      <c r="AE2917" s="588"/>
      <c r="AF2917" s="529"/>
      <c r="AG2917" s="529"/>
      <c r="AH2917" s="529"/>
      <c r="AJ2917" s="595" t="b">
        <f t="shared" si="54"/>
        <v>0</v>
      </c>
    </row>
    <row r="2918" spans="1:36" hidden="1" x14ac:dyDescent="0.45">
      <c r="A2918" s="518"/>
      <c r="B2918" s="514" t="s">
        <v>1408</v>
      </c>
      <c r="C2918" s="535"/>
      <c r="D2918" s="535"/>
      <c r="E2918" s="535"/>
      <c r="F2918" s="535"/>
      <c r="G2918" s="885" t="str">
        <f>IF(S1SHTAData!L6=0,"",S1SHTAData!L6)</f>
        <v/>
      </c>
      <c r="H2918" s="885"/>
      <c r="I2918" s="890" t="str">
        <f>IF(S1SHTAData!AF6=0,"",S1SHTAData!AF6)</f>
        <v/>
      </c>
      <c r="J2918" s="891"/>
      <c r="K2918" s="1181" t="str">
        <f>IF(S1SHTAData!W6=0,"",S1SHTAData!W6)</f>
        <v/>
      </c>
      <c r="L2918" s="1181"/>
      <c r="M2918" s="874" t="str">
        <f>IF(S1SHTAData!X6=0,"",S1SHTAData!X6)</f>
        <v/>
      </c>
      <c r="N2918" s="875"/>
      <c r="O2918" s="875"/>
      <c r="P2918" s="876"/>
      <c r="Q2918" s="874" t="str">
        <f>IF(S1SHTAData!Y6=0,"",S1SHTAData!Y6)</f>
        <v/>
      </c>
      <c r="R2918" s="875"/>
      <c r="S2918" s="875"/>
      <c r="T2918" s="876"/>
      <c r="U2918" s="874">
        <f t="shared" si="53"/>
        <v>0</v>
      </c>
      <c r="V2918" s="875"/>
      <c r="W2918" s="875"/>
      <c r="X2918" s="876"/>
      <c r="Y2918" s="866" t="str">
        <f>IF(S1SHTAData!AA6=0,"",S1SHTAData!AA6)</f>
        <v/>
      </c>
      <c r="Z2918" s="900"/>
      <c r="AA2918" s="900"/>
      <c r="AB2918" s="867"/>
      <c r="AC2918" s="518"/>
      <c r="AD2918" s="518"/>
      <c r="AE2918" s="588"/>
      <c r="AF2918" s="529"/>
      <c r="AG2918" s="529"/>
      <c r="AH2918" s="529"/>
      <c r="AJ2918" s="595" t="b">
        <f t="shared" si="54"/>
        <v>0</v>
      </c>
    </row>
    <row r="2919" spans="1:36" hidden="1" x14ac:dyDescent="0.45">
      <c r="A2919" s="518"/>
      <c r="B2919" s="514" t="s">
        <v>1409</v>
      </c>
      <c r="C2919" s="535"/>
      <c r="D2919" s="535"/>
      <c r="E2919" s="535"/>
      <c r="F2919" s="535"/>
      <c r="G2919" s="885" t="str">
        <f>IF(S1SHTAData!L7=0,"",S1SHTAData!L7)</f>
        <v/>
      </c>
      <c r="H2919" s="885"/>
      <c r="I2919" s="890" t="str">
        <f>IF(S1SHTAData!AF7=0,"",S1SHTAData!AF7)</f>
        <v/>
      </c>
      <c r="J2919" s="891"/>
      <c r="K2919" s="1181" t="str">
        <f>IF(S1SHTAData!W7=0,"",S1SHTAData!W7)</f>
        <v/>
      </c>
      <c r="L2919" s="1181"/>
      <c r="M2919" s="874" t="str">
        <f>IF(S1SHTAData!X7=0,"",S1SHTAData!X7)</f>
        <v/>
      </c>
      <c r="N2919" s="875"/>
      <c r="O2919" s="875"/>
      <c r="P2919" s="876"/>
      <c r="Q2919" s="874" t="str">
        <f>IF(S1SHTAData!Y7=0,"",S1SHTAData!Y7)</f>
        <v/>
      </c>
      <c r="R2919" s="875"/>
      <c r="S2919" s="875"/>
      <c r="T2919" s="876"/>
      <c r="U2919" s="874">
        <f t="shared" si="53"/>
        <v>0</v>
      </c>
      <c r="V2919" s="875"/>
      <c r="W2919" s="875"/>
      <c r="X2919" s="876"/>
      <c r="Y2919" s="866" t="str">
        <f>IF(S1SHTAData!AA7=0,"",S1SHTAData!AA7)</f>
        <v/>
      </c>
      <c r="Z2919" s="900"/>
      <c r="AA2919" s="900"/>
      <c r="AB2919" s="867"/>
      <c r="AC2919" s="518"/>
      <c r="AD2919" s="518"/>
      <c r="AE2919" s="588"/>
      <c r="AF2919" s="529"/>
      <c r="AG2919" s="529"/>
      <c r="AH2919" s="529"/>
      <c r="AJ2919" s="595" t="b">
        <f t="shared" si="54"/>
        <v>0</v>
      </c>
    </row>
    <row r="2920" spans="1:36" hidden="1" x14ac:dyDescent="0.45">
      <c r="A2920" s="518"/>
      <c r="B2920" s="514" t="s">
        <v>1410</v>
      </c>
      <c r="C2920" s="535"/>
      <c r="D2920" s="535"/>
      <c r="E2920" s="535"/>
      <c r="F2920" s="535"/>
      <c r="G2920" s="885" t="str">
        <f>IF(S1SHTAData!L8=0,"",S1SHTAData!L8)</f>
        <v/>
      </c>
      <c r="H2920" s="885"/>
      <c r="I2920" s="890" t="str">
        <f>IF(S1SHTAData!AF8=0,"",S1SHTAData!AF8)</f>
        <v/>
      </c>
      <c r="J2920" s="891"/>
      <c r="K2920" s="1181" t="str">
        <f>IF(S1SHTAData!W8=0,"",S1SHTAData!W8)</f>
        <v/>
      </c>
      <c r="L2920" s="1181"/>
      <c r="M2920" s="874" t="str">
        <f>IF(S1SHTAData!X8=0,"",S1SHTAData!X8)</f>
        <v/>
      </c>
      <c r="N2920" s="875"/>
      <c r="O2920" s="875"/>
      <c r="P2920" s="876"/>
      <c r="Q2920" s="874" t="str">
        <f>IF(S1SHTAData!Y8=0,"",S1SHTAData!Y8)</f>
        <v/>
      </c>
      <c r="R2920" s="875"/>
      <c r="S2920" s="875"/>
      <c r="T2920" s="876"/>
      <c r="U2920" s="874">
        <f t="shared" si="53"/>
        <v>0</v>
      </c>
      <c r="V2920" s="875"/>
      <c r="W2920" s="875"/>
      <c r="X2920" s="876"/>
      <c r="Y2920" s="866" t="str">
        <f>IF(S1SHTAData!AA8=0,"",S1SHTAData!AA8)</f>
        <v/>
      </c>
      <c r="Z2920" s="900"/>
      <c r="AA2920" s="900"/>
      <c r="AB2920" s="867"/>
      <c r="AC2920" s="518"/>
      <c r="AD2920" s="518"/>
      <c r="AE2920" s="588"/>
      <c r="AF2920" s="529"/>
      <c r="AG2920" s="529"/>
      <c r="AH2920" s="529"/>
      <c r="AJ2920" s="595" t="b">
        <f t="shared" si="54"/>
        <v>0</v>
      </c>
    </row>
    <row r="2921" spans="1:36" hidden="1" x14ac:dyDescent="0.45">
      <c r="A2921" s="518"/>
      <c r="B2921" s="514" t="s">
        <v>1411</v>
      </c>
      <c r="C2921" s="535"/>
      <c r="D2921" s="535"/>
      <c r="E2921" s="535"/>
      <c r="F2921" s="535"/>
      <c r="G2921" s="885" t="str">
        <f>IF(S1SHTAData!L9=0,"",S1SHTAData!L9)</f>
        <v/>
      </c>
      <c r="H2921" s="885"/>
      <c r="I2921" s="890" t="str">
        <f>IF(S1SHTAData!AF9=0,"",S1SHTAData!AF9)</f>
        <v/>
      </c>
      <c r="J2921" s="891"/>
      <c r="K2921" s="1181" t="str">
        <f>IF(S1SHTAData!W9=0,"",S1SHTAData!W9)</f>
        <v/>
      </c>
      <c r="L2921" s="1181"/>
      <c r="M2921" s="874" t="str">
        <f>IF(S1SHTAData!X9=0,"",S1SHTAData!X9)</f>
        <v/>
      </c>
      <c r="N2921" s="875"/>
      <c r="O2921" s="875"/>
      <c r="P2921" s="876"/>
      <c r="Q2921" s="874" t="str">
        <f>IF(S1SHTAData!Y9=0,"",S1SHTAData!Y9)</f>
        <v/>
      </c>
      <c r="R2921" s="875"/>
      <c r="S2921" s="875"/>
      <c r="T2921" s="876"/>
      <c r="U2921" s="874">
        <f t="shared" si="53"/>
        <v>0</v>
      </c>
      <c r="V2921" s="875"/>
      <c r="W2921" s="875"/>
      <c r="X2921" s="876"/>
      <c r="Y2921" s="866" t="str">
        <f>IF(S1SHTAData!AA9=0,"",S1SHTAData!AA9)</f>
        <v/>
      </c>
      <c r="Z2921" s="900"/>
      <c r="AA2921" s="900"/>
      <c r="AB2921" s="867"/>
      <c r="AC2921" s="518"/>
      <c r="AD2921" s="518"/>
      <c r="AE2921" s="588"/>
      <c r="AF2921" s="529"/>
      <c r="AG2921" s="529"/>
      <c r="AH2921" s="529"/>
      <c r="AJ2921" s="595" t="b">
        <f t="shared" si="54"/>
        <v>0</v>
      </c>
    </row>
    <row r="2922" spans="1:36" hidden="1" x14ac:dyDescent="0.45">
      <c r="A2922" s="518"/>
      <c r="B2922" s="514" t="s">
        <v>1412</v>
      </c>
      <c r="C2922" s="535"/>
      <c r="D2922" s="535"/>
      <c r="E2922" s="535"/>
      <c r="F2922" s="535"/>
      <c r="G2922" s="885" t="str">
        <f>IF(S1SHTAData!L10=0,"",S1SHTAData!L10)</f>
        <v/>
      </c>
      <c r="H2922" s="885"/>
      <c r="I2922" s="890" t="str">
        <f>IF(S1SHTAData!AF10=0,"",S1SHTAData!AF10)</f>
        <v/>
      </c>
      <c r="J2922" s="891"/>
      <c r="K2922" s="1181" t="str">
        <f>IF(S1SHTAData!W10=0,"",S1SHTAData!W10)</f>
        <v/>
      </c>
      <c r="L2922" s="1181"/>
      <c r="M2922" s="874" t="str">
        <f>IF(S1SHTAData!X10=0,"",S1SHTAData!X10)</f>
        <v/>
      </c>
      <c r="N2922" s="875"/>
      <c r="O2922" s="875"/>
      <c r="P2922" s="876"/>
      <c r="Q2922" s="874" t="str">
        <f>IF(S1SHTAData!Y10=0,"",S1SHTAData!Y10)</f>
        <v/>
      </c>
      <c r="R2922" s="875"/>
      <c r="S2922" s="875"/>
      <c r="T2922" s="876"/>
      <c r="U2922" s="874">
        <f t="shared" si="53"/>
        <v>0</v>
      </c>
      <c r="V2922" s="875"/>
      <c r="W2922" s="875"/>
      <c r="X2922" s="876"/>
      <c r="Y2922" s="866" t="str">
        <f>IF(S1SHTAData!AA10=0,"",S1SHTAData!AA10)</f>
        <v/>
      </c>
      <c r="Z2922" s="900"/>
      <c r="AA2922" s="900"/>
      <c r="AB2922" s="867"/>
      <c r="AC2922" s="518"/>
      <c r="AD2922" s="518"/>
      <c r="AE2922" s="588"/>
      <c r="AF2922" s="529"/>
      <c r="AG2922" s="529"/>
      <c r="AH2922" s="529"/>
      <c r="AJ2922" s="595" t="b">
        <f t="shared" si="54"/>
        <v>0</v>
      </c>
    </row>
    <row r="2923" spans="1:36" hidden="1" x14ac:dyDescent="0.45">
      <c r="A2923" s="518"/>
      <c r="B2923" s="514" t="s">
        <v>1413</v>
      </c>
      <c r="C2923" s="535"/>
      <c r="D2923" s="535"/>
      <c r="E2923" s="535"/>
      <c r="F2923" s="535"/>
      <c r="G2923" s="885" t="str">
        <f>IF(S1SHTAData!L11=0,"",S1SHTAData!L11)</f>
        <v/>
      </c>
      <c r="H2923" s="885"/>
      <c r="I2923" s="890" t="str">
        <f>IF(S1SHTAData!AF11=0,"",S1SHTAData!AF11)</f>
        <v/>
      </c>
      <c r="J2923" s="891"/>
      <c r="K2923" s="1181" t="str">
        <f>IF(S1SHTAData!W11=0,"",S1SHTAData!W11)</f>
        <v/>
      </c>
      <c r="L2923" s="1181"/>
      <c r="M2923" s="874" t="str">
        <f>IF(S1SHTAData!X11=0,"",S1SHTAData!X11)</f>
        <v/>
      </c>
      <c r="N2923" s="875"/>
      <c r="O2923" s="875"/>
      <c r="P2923" s="876"/>
      <c r="Q2923" s="874" t="str">
        <f>IF(S1SHTAData!Y11=0,"",S1SHTAData!Y11)</f>
        <v/>
      </c>
      <c r="R2923" s="875"/>
      <c r="S2923" s="875"/>
      <c r="T2923" s="876"/>
      <c r="U2923" s="874">
        <f t="shared" si="53"/>
        <v>0</v>
      </c>
      <c r="V2923" s="875"/>
      <c r="W2923" s="875"/>
      <c r="X2923" s="876"/>
      <c r="Y2923" s="866" t="str">
        <f>IF(S1SHTAData!AA11=0,"",S1SHTAData!AA11)</f>
        <v/>
      </c>
      <c r="Z2923" s="900"/>
      <c r="AA2923" s="900"/>
      <c r="AB2923" s="867"/>
      <c r="AC2923" s="518"/>
      <c r="AD2923" s="518"/>
      <c r="AE2923" s="588"/>
      <c r="AF2923" s="529"/>
      <c r="AG2923" s="529"/>
      <c r="AH2923" s="529"/>
      <c r="AJ2923" s="595" t="b">
        <f t="shared" si="54"/>
        <v>0</v>
      </c>
    </row>
    <row r="2924" spans="1:36" hidden="1" x14ac:dyDescent="0.45">
      <c r="A2924" s="518"/>
      <c r="B2924" s="514" t="s">
        <v>1414</v>
      </c>
      <c r="C2924" s="535"/>
      <c r="D2924" s="535"/>
      <c r="E2924" s="535"/>
      <c r="F2924" s="535"/>
      <c r="G2924" s="885" t="str">
        <f>IF(S1SHTAData!L12=0,"",S1SHTAData!L12)</f>
        <v/>
      </c>
      <c r="H2924" s="885"/>
      <c r="I2924" s="890" t="str">
        <f>IF(S1SHTAData!AF12=0,"",S1SHTAData!AF12)</f>
        <v/>
      </c>
      <c r="J2924" s="891"/>
      <c r="K2924" s="1181" t="str">
        <f>IF(S1SHTAData!W12=0,"",S1SHTAData!W12)</f>
        <v/>
      </c>
      <c r="L2924" s="1181"/>
      <c r="M2924" s="874" t="str">
        <f>IF(S1SHTAData!X12=0,"",S1SHTAData!X12)</f>
        <v/>
      </c>
      <c r="N2924" s="875"/>
      <c r="O2924" s="875"/>
      <c r="P2924" s="876"/>
      <c r="Q2924" s="874" t="str">
        <f>IF(S1SHTAData!Y12=0,"",S1SHTAData!Y12)</f>
        <v/>
      </c>
      <c r="R2924" s="875"/>
      <c r="S2924" s="875"/>
      <c r="T2924" s="876"/>
      <c r="U2924" s="874">
        <f t="shared" si="53"/>
        <v>0</v>
      </c>
      <c r="V2924" s="875"/>
      <c r="W2924" s="875"/>
      <c r="X2924" s="876"/>
      <c r="Y2924" s="866" t="str">
        <f>IF(S1SHTAData!AA12=0,"",S1SHTAData!AA12)</f>
        <v/>
      </c>
      <c r="Z2924" s="900"/>
      <c r="AA2924" s="900"/>
      <c r="AB2924" s="867"/>
      <c r="AC2924" s="518"/>
      <c r="AD2924" s="518"/>
      <c r="AE2924" s="588"/>
      <c r="AF2924" s="529"/>
      <c r="AG2924" s="529"/>
      <c r="AH2924" s="529"/>
      <c r="AJ2924" s="595" t="b">
        <f t="shared" si="54"/>
        <v>0</v>
      </c>
    </row>
    <row r="2925" spans="1:36" hidden="1" x14ac:dyDescent="0.45">
      <c r="A2925" s="518"/>
      <c r="B2925" s="514" t="s">
        <v>1415</v>
      </c>
      <c r="C2925" s="535"/>
      <c r="D2925" s="535"/>
      <c r="E2925" s="535"/>
      <c r="F2925" s="535"/>
      <c r="G2925" s="885" t="str">
        <f>IF(S1SHTAData!L13=0,"",S1SHTAData!L13)</f>
        <v/>
      </c>
      <c r="H2925" s="885"/>
      <c r="I2925" s="890" t="str">
        <f>IF(S1SHTAData!AF13=0,"",S1SHTAData!AF13)</f>
        <v/>
      </c>
      <c r="J2925" s="891"/>
      <c r="K2925" s="1181" t="str">
        <f>IF(S1SHTAData!W13=0,"",S1SHTAData!W13)</f>
        <v/>
      </c>
      <c r="L2925" s="1181"/>
      <c r="M2925" s="874" t="str">
        <f>IF(S1SHTAData!X13=0,"",S1SHTAData!X13)</f>
        <v/>
      </c>
      <c r="N2925" s="875"/>
      <c r="O2925" s="875"/>
      <c r="P2925" s="876"/>
      <c r="Q2925" s="874" t="str">
        <f>IF(S1SHTAData!Y13=0,"",S1SHTAData!Y13)</f>
        <v/>
      </c>
      <c r="R2925" s="875"/>
      <c r="S2925" s="875"/>
      <c r="T2925" s="876"/>
      <c r="U2925" s="874">
        <f t="shared" si="53"/>
        <v>0</v>
      </c>
      <c r="V2925" s="875"/>
      <c r="W2925" s="875"/>
      <c r="X2925" s="876"/>
      <c r="Y2925" s="866" t="str">
        <f>IF(S1SHTAData!AA13=0,"",S1SHTAData!AA13)</f>
        <v/>
      </c>
      <c r="Z2925" s="900"/>
      <c r="AA2925" s="900"/>
      <c r="AB2925" s="867"/>
      <c r="AC2925" s="518"/>
      <c r="AD2925" s="518"/>
      <c r="AE2925" s="588"/>
      <c r="AF2925" s="529"/>
      <c r="AG2925" s="529"/>
      <c r="AH2925" s="529"/>
      <c r="AJ2925" s="595" t="b">
        <f t="shared" si="54"/>
        <v>0</v>
      </c>
    </row>
    <row r="2926" spans="1:36" hidden="1" x14ac:dyDescent="0.45">
      <c r="A2926" s="518"/>
      <c r="B2926" s="514" t="s">
        <v>1416</v>
      </c>
      <c r="C2926" s="535"/>
      <c r="D2926" s="535"/>
      <c r="E2926" s="535"/>
      <c r="F2926" s="535"/>
      <c r="G2926" s="885" t="str">
        <f>IF(S1SHTAData!L14=0,"",S1SHTAData!L14)</f>
        <v/>
      </c>
      <c r="H2926" s="885"/>
      <c r="I2926" s="890" t="str">
        <f>IF(S1SHTAData!AF14=0,"",S1SHTAData!AF14)</f>
        <v/>
      </c>
      <c r="J2926" s="891"/>
      <c r="K2926" s="1181" t="str">
        <f>IF(S1SHTAData!W14=0,"",S1SHTAData!W14)</f>
        <v/>
      </c>
      <c r="L2926" s="1181"/>
      <c r="M2926" s="874" t="str">
        <f>IF(S1SHTAData!X14=0,"",S1SHTAData!X14)</f>
        <v/>
      </c>
      <c r="N2926" s="875"/>
      <c r="O2926" s="875"/>
      <c r="P2926" s="876"/>
      <c r="Q2926" s="874" t="str">
        <f>IF(S1SHTAData!Y14=0,"",S1SHTAData!Y14)</f>
        <v/>
      </c>
      <c r="R2926" s="875"/>
      <c r="S2926" s="875"/>
      <c r="T2926" s="876"/>
      <c r="U2926" s="874">
        <f t="shared" si="53"/>
        <v>0</v>
      </c>
      <c r="V2926" s="875"/>
      <c r="W2926" s="875"/>
      <c r="X2926" s="876"/>
      <c r="Y2926" s="866" t="str">
        <f>IF(S1SHTAData!AA14=0,"",S1SHTAData!AA14)</f>
        <v/>
      </c>
      <c r="Z2926" s="900"/>
      <c r="AA2926" s="900"/>
      <c r="AB2926" s="867"/>
      <c r="AC2926" s="518"/>
      <c r="AD2926" s="518"/>
      <c r="AE2926" s="588"/>
      <c r="AF2926" s="529"/>
      <c r="AG2926" s="529"/>
      <c r="AH2926" s="529"/>
      <c r="AJ2926" s="595" t="b">
        <f t="shared" si="54"/>
        <v>0</v>
      </c>
    </row>
    <row r="2927" spans="1:36" hidden="1" x14ac:dyDescent="0.45">
      <c r="A2927" s="518"/>
      <c r="B2927" s="514" t="s">
        <v>1417</v>
      </c>
      <c r="C2927" s="535"/>
      <c r="D2927" s="535"/>
      <c r="E2927" s="535"/>
      <c r="F2927" s="535"/>
      <c r="G2927" s="885" t="str">
        <f>IF(S1SHTAData!L15=0,"",S1SHTAData!L15)</f>
        <v/>
      </c>
      <c r="H2927" s="885"/>
      <c r="I2927" s="890" t="str">
        <f>IF(S1SHTAData!AF15=0,"",S1SHTAData!AF15)</f>
        <v/>
      </c>
      <c r="J2927" s="891"/>
      <c r="K2927" s="1181" t="str">
        <f>IF(S1SHTAData!W15=0,"",S1SHTAData!W15)</f>
        <v/>
      </c>
      <c r="L2927" s="1181"/>
      <c r="M2927" s="874" t="str">
        <f>IF(S1SHTAData!X15=0,"",S1SHTAData!X15)</f>
        <v/>
      </c>
      <c r="N2927" s="875"/>
      <c r="O2927" s="875"/>
      <c r="P2927" s="876"/>
      <c r="Q2927" s="874" t="str">
        <f>IF(S1SHTAData!Y15=0,"",S1SHTAData!Y15)</f>
        <v/>
      </c>
      <c r="R2927" s="875"/>
      <c r="S2927" s="875"/>
      <c r="T2927" s="876"/>
      <c r="U2927" s="874">
        <f t="shared" si="53"/>
        <v>0</v>
      </c>
      <c r="V2927" s="875"/>
      <c r="W2927" s="875"/>
      <c r="X2927" s="876"/>
      <c r="Y2927" s="866" t="str">
        <f>IF(S1SHTAData!AA15=0,"",S1SHTAData!AA15)</f>
        <v/>
      </c>
      <c r="Z2927" s="900"/>
      <c r="AA2927" s="900"/>
      <c r="AB2927" s="867"/>
      <c r="AC2927" s="518"/>
      <c r="AD2927" s="518"/>
      <c r="AE2927" s="588"/>
      <c r="AF2927" s="529"/>
      <c r="AG2927" s="529"/>
      <c r="AH2927" s="529"/>
      <c r="AJ2927" s="595" t="b">
        <f t="shared" si="54"/>
        <v>0</v>
      </c>
    </row>
    <row r="2928" spans="1:36" hidden="1" x14ac:dyDescent="0.45">
      <c r="A2928" s="518"/>
      <c r="B2928" s="514" t="s">
        <v>1418</v>
      </c>
      <c r="C2928" s="535"/>
      <c r="D2928" s="535"/>
      <c r="E2928" s="535"/>
      <c r="F2928" s="535"/>
      <c r="G2928" s="885" t="str">
        <f>IF(S1SHTAData!L16=0,"",S1SHTAData!L16)</f>
        <v/>
      </c>
      <c r="H2928" s="885"/>
      <c r="I2928" s="890" t="str">
        <f>IF(S1SHTAData!AF16=0,"",S1SHTAData!AF16)</f>
        <v/>
      </c>
      <c r="J2928" s="891"/>
      <c r="K2928" s="1181" t="str">
        <f>IF(S1SHTAData!W16=0,"",S1SHTAData!W16)</f>
        <v/>
      </c>
      <c r="L2928" s="1181"/>
      <c r="M2928" s="874" t="str">
        <f>IF(S1SHTAData!X16=0,"",S1SHTAData!X16)</f>
        <v/>
      </c>
      <c r="N2928" s="875"/>
      <c r="O2928" s="875"/>
      <c r="P2928" s="876"/>
      <c r="Q2928" s="874" t="str">
        <f>IF(S1SHTAData!Y16=0,"",S1SHTAData!Y16)</f>
        <v/>
      </c>
      <c r="R2928" s="875"/>
      <c r="S2928" s="875"/>
      <c r="T2928" s="876"/>
      <c r="U2928" s="874">
        <f t="shared" si="53"/>
        <v>0</v>
      </c>
      <c r="V2928" s="875"/>
      <c r="W2928" s="875"/>
      <c r="X2928" s="876"/>
      <c r="Y2928" s="866" t="str">
        <f>IF(S1SHTAData!AA16=0,"",S1SHTAData!AA16)</f>
        <v/>
      </c>
      <c r="Z2928" s="900"/>
      <c r="AA2928" s="900"/>
      <c r="AB2928" s="867"/>
      <c r="AC2928" s="518"/>
      <c r="AD2928" s="518"/>
      <c r="AE2928" s="588"/>
      <c r="AF2928" s="529"/>
      <c r="AG2928" s="529"/>
      <c r="AH2928" s="529"/>
      <c r="AJ2928" s="595" t="b">
        <f t="shared" si="54"/>
        <v>0</v>
      </c>
    </row>
    <row r="2929" spans="1:36" hidden="1" x14ac:dyDescent="0.45">
      <c r="A2929" s="518"/>
      <c r="B2929" s="514" t="s">
        <v>1419</v>
      </c>
      <c r="C2929" s="535"/>
      <c r="D2929" s="535"/>
      <c r="E2929" s="535"/>
      <c r="F2929" s="535"/>
      <c r="G2929" s="885" t="str">
        <f>IF(S1SHTAData!L17=0,"",S1SHTAData!L17)</f>
        <v/>
      </c>
      <c r="H2929" s="885"/>
      <c r="I2929" s="890" t="str">
        <f>IF(S1SHTAData!AF17=0,"",S1SHTAData!AF17)</f>
        <v/>
      </c>
      <c r="J2929" s="891"/>
      <c r="K2929" s="1181" t="str">
        <f>IF(S1SHTAData!W17=0,"",S1SHTAData!W17)</f>
        <v/>
      </c>
      <c r="L2929" s="1181"/>
      <c r="M2929" s="874" t="str">
        <f>IF(S1SHTAData!X17=0,"",S1SHTAData!X17)</f>
        <v/>
      </c>
      <c r="N2929" s="875"/>
      <c r="O2929" s="875"/>
      <c r="P2929" s="876"/>
      <c r="Q2929" s="874" t="str">
        <f>IF(S1SHTAData!Y17=0,"",S1SHTAData!Y17)</f>
        <v/>
      </c>
      <c r="R2929" s="875"/>
      <c r="S2929" s="875"/>
      <c r="T2929" s="876"/>
      <c r="U2929" s="874">
        <f t="shared" si="53"/>
        <v>0</v>
      </c>
      <c r="V2929" s="875"/>
      <c r="W2929" s="875"/>
      <c r="X2929" s="876"/>
      <c r="Y2929" s="866" t="str">
        <f>IF(S1SHTAData!AA17=0,"",S1SHTAData!AA17)</f>
        <v/>
      </c>
      <c r="Z2929" s="900"/>
      <c r="AA2929" s="900"/>
      <c r="AB2929" s="867"/>
      <c r="AC2929" s="518"/>
      <c r="AD2929" s="518"/>
      <c r="AE2929" s="588"/>
      <c r="AF2929" s="529"/>
      <c r="AG2929" s="529"/>
      <c r="AH2929" s="529"/>
      <c r="AJ2929" s="595" t="b">
        <f t="shared" si="54"/>
        <v>0</v>
      </c>
    </row>
    <row r="2930" spans="1:36" hidden="1" x14ac:dyDescent="0.45">
      <c r="A2930" s="518"/>
      <c r="B2930" s="514" t="s">
        <v>1420</v>
      </c>
      <c r="C2930" s="535"/>
      <c r="D2930" s="535"/>
      <c r="E2930" s="535"/>
      <c r="F2930" s="535"/>
      <c r="G2930" s="885" t="str">
        <f>IF(S1SHTAData!L18=0,"",S1SHTAData!L18)</f>
        <v/>
      </c>
      <c r="H2930" s="885"/>
      <c r="I2930" s="890" t="str">
        <f>IF(S1SHTAData!AF18=0,"",S1SHTAData!AF18)</f>
        <v/>
      </c>
      <c r="J2930" s="891"/>
      <c r="K2930" s="1181" t="str">
        <f>IF(S1SHTAData!W18=0,"",S1SHTAData!W18)</f>
        <v/>
      </c>
      <c r="L2930" s="1181"/>
      <c r="M2930" s="874" t="str">
        <f>IF(S1SHTAData!X18=0,"",S1SHTAData!X18)</f>
        <v/>
      </c>
      <c r="N2930" s="875"/>
      <c r="O2930" s="875"/>
      <c r="P2930" s="876"/>
      <c r="Q2930" s="874" t="str">
        <f>IF(S1SHTAData!Y18=0,"",S1SHTAData!Y18)</f>
        <v/>
      </c>
      <c r="R2930" s="875"/>
      <c r="S2930" s="875"/>
      <c r="T2930" s="876"/>
      <c r="U2930" s="874">
        <f t="shared" si="53"/>
        <v>0</v>
      </c>
      <c r="V2930" s="875"/>
      <c r="W2930" s="875"/>
      <c r="X2930" s="876"/>
      <c r="Y2930" s="866" t="str">
        <f>IF(S1SHTAData!AA18=0,"",S1SHTAData!AA18)</f>
        <v/>
      </c>
      <c r="Z2930" s="900"/>
      <c r="AA2930" s="900"/>
      <c r="AB2930" s="867"/>
      <c r="AC2930" s="518"/>
      <c r="AD2930" s="518"/>
      <c r="AE2930" s="588"/>
      <c r="AF2930" s="529"/>
      <c r="AG2930" s="529"/>
      <c r="AH2930" s="529"/>
      <c r="AJ2930" s="595" t="b">
        <f t="shared" si="54"/>
        <v>0</v>
      </c>
    </row>
    <row r="2931" spans="1:36" hidden="1" x14ac:dyDescent="0.45">
      <c r="A2931" s="518"/>
      <c r="B2931" s="514" t="s">
        <v>1421</v>
      </c>
      <c r="C2931" s="535"/>
      <c r="D2931" s="535"/>
      <c r="E2931" s="535"/>
      <c r="F2931" s="535"/>
      <c r="G2931" s="885" t="str">
        <f>IF(S1SHTAData!L19=0,"",S1SHTAData!L19)</f>
        <v/>
      </c>
      <c r="H2931" s="885"/>
      <c r="I2931" s="890" t="str">
        <f>IF(S1SHTAData!AF19=0,"",S1SHTAData!AF19)</f>
        <v/>
      </c>
      <c r="J2931" s="891"/>
      <c r="K2931" s="1181" t="str">
        <f>IF(S1SHTAData!W19=0,"",S1SHTAData!W19)</f>
        <v/>
      </c>
      <c r="L2931" s="1181"/>
      <c r="M2931" s="874" t="str">
        <f>IF(S1SHTAData!X19=0,"",S1SHTAData!X19)</f>
        <v/>
      </c>
      <c r="N2931" s="875"/>
      <c r="O2931" s="875"/>
      <c r="P2931" s="876"/>
      <c r="Q2931" s="874" t="str">
        <f>IF(S1SHTAData!Y19=0,"",S1SHTAData!Y19)</f>
        <v/>
      </c>
      <c r="R2931" s="875"/>
      <c r="S2931" s="875"/>
      <c r="T2931" s="876"/>
      <c r="U2931" s="874">
        <f t="shared" si="53"/>
        <v>0</v>
      </c>
      <c r="V2931" s="875"/>
      <c r="W2931" s="875"/>
      <c r="X2931" s="876"/>
      <c r="Y2931" s="866" t="str">
        <f>IF(S1SHTAData!AA19=0,"",S1SHTAData!AA19)</f>
        <v/>
      </c>
      <c r="Z2931" s="900"/>
      <c r="AA2931" s="900"/>
      <c r="AB2931" s="867"/>
      <c r="AC2931" s="518"/>
      <c r="AD2931" s="518"/>
      <c r="AE2931" s="588"/>
      <c r="AF2931" s="529"/>
      <c r="AG2931" s="529"/>
      <c r="AH2931" s="529"/>
      <c r="AJ2931" s="595" t="b">
        <f t="shared" si="54"/>
        <v>0</v>
      </c>
    </row>
    <row r="2932" spans="1:36" hidden="1" x14ac:dyDescent="0.45">
      <c r="A2932" s="518"/>
      <c r="B2932" s="514" t="s">
        <v>1422</v>
      </c>
      <c r="C2932" s="535"/>
      <c r="D2932" s="535"/>
      <c r="E2932" s="535"/>
      <c r="F2932" s="535"/>
      <c r="G2932" s="885" t="str">
        <f>IF(S1SHTAData!L20=0,"",S1SHTAData!L20)</f>
        <v/>
      </c>
      <c r="H2932" s="885"/>
      <c r="I2932" s="890" t="str">
        <f>IF(S1SHTAData!AF20=0,"",S1SHTAData!AF20)</f>
        <v/>
      </c>
      <c r="J2932" s="891"/>
      <c r="K2932" s="1181" t="str">
        <f>IF(S1SHTAData!W20=0,"",S1SHTAData!W20)</f>
        <v/>
      </c>
      <c r="L2932" s="1181"/>
      <c r="M2932" s="874" t="str">
        <f>IF(S1SHTAData!X20=0,"",S1SHTAData!X20)</f>
        <v/>
      </c>
      <c r="N2932" s="875"/>
      <c r="O2932" s="875"/>
      <c r="P2932" s="876"/>
      <c r="Q2932" s="874" t="str">
        <f>IF(S1SHTAData!Y20=0,"",S1SHTAData!Y20)</f>
        <v/>
      </c>
      <c r="R2932" s="875"/>
      <c r="S2932" s="875"/>
      <c r="T2932" s="876"/>
      <c r="U2932" s="874">
        <f t="shared" si="53"/>
        <v>0</v>
      </c>
      <c r="V2932" s="875"/>
      <c r="W2932" s="875"/>
      <c r="X2932" s="876"/>
      <c r="Y2932" s="866" t="str">
        <f>IF(S1SHTAData!AA20=0,"",S1SHTAData!AA20)</f>
        <v/>
      </c>
      <c r="Z2932" s="900"/>
      <c r="AA2932" s="900"/>
      <c r="AB2932" s="867"/>
      <c r="AC2932" s="518"/>
      <c r="AD2932" s="518"/>
      <c r="AE2932" s="588"/>
      <c r="AF2932" s="529"/>
      <c r="AG2932" s="529"/>
      <c r="AH2932" s="529"/>
      <c r="AJ2932" s="595" t="b">
        <f t="shared" si="54"/>
        <v>0</v>
      </c>
    </row>
    <row r="2933" spans="1:36" hidden="1" x14ac:dyDescent="0.45">
      <c r="A2933" s="518"/>
      <c r="B2933" s="514" t="s">
        <v>1423</v>
      </c>
      <c r="C2933" s="535"/>
      <c r="D2933" s="535"/>
      <c r="E2933" s="535"/>
      <c r="F2933" s="535"/>
      <c r="G2933" s="885" t="str">
        <f>IF(S1SHTAData!L21=0,"",S1SHTAData!L21)</f>
        <v/>
      </c>
      <c r="H2933" s="885"/>
      <c r="I2933" s="890" t="str">
        <f>IF(S1SHTAData!AF21=0,"",S1SHTAData!AF21)</f>
        <v/>
      </c>
      <c r="J2933" s="891"/>
      <c r="K2933" s="1181" t="str">
        <f>IF(S1SHTAData!W21=0,"",S1SHTAData!W21)</f>
        <v/>
      </c>
      <c r="L2933" s="1181"/>
      <c r="M2933" s="874" t="str">
        <f>IF(S1SHTAData!X21=0,"",S1SHTAData!X21)</f>
        <v/>
      </c>
      <c r="N2933" s="875"/>
      <c r="O2933" s="875"/>
      <c r="P2933" s="876"/>
      <c r="Q2933" s="874" t="str">
        <f>IF(S1SHTAData!Y21=0,"",S1SHTAData!Y21)</f>
        <v/>
      </c>
      <c r="R2933" s="875"/>
      <c r="S2933" s="875"/>
      <c r="T2933" s="876"/>
      <c r="U2933" s="874">
        <f t="shared" si="53"/>
        <v>0</v>
      </c>
      <c r="V2933" s="875"/>
      <c r="W2933" s="875"/>
      <c r="X2933" s="876"/>
      <c r="Y2933" s="866" t="str">
        <f>IF(S1SHTAData!AA21=0,"",S1SHTAData!AA21)</f>
        <v/>
      </c>
      <c r="Z2933" s="900"/>
      <c r="AA2933" s="900"/>
      <c r="AB2933" s="867"/>
      <c r="AC2933" s="518"/>
      <c r="AD2933" s="518"/>
      <c r="AE2933" s="588"/>
      <c r="AF2933" s="529"/>
      <c r="AG2933" s="529"/>
      <c r="AH2933" s="529"/>
      <c r="AJ2933" s="595" t="b">
        <f t="shared" si="54"/>
        <v>0</v>
      </c>
    </row>
    <row r="2934" spans="1:36" hidden="1" x14ac:dyDescent="0.45">
      <c r="A2934" s="518"/>
      <c r="B2934" s="514" t="s">
        <v>1424</v>
      </c>
      <c r="C2934" s="535"/>
      <c r="D2934" s="535"/>
      <c r="E2934" s="535"/>
      <c r="F2934" s="535"/>
      <c r="G2934" s="885" t="str">
        <f>IF(S1SHTAData!L22=0,"",S1SHTAData!L22)</f>
        <v/>
      </c>
      <c r="H2934" s="885"/>
      <c r="I2934" s="890" t="str">
        <f>IF(S1SHTAData!AF22=0,"",S1SHTAData!AF22)</f>
        <v/>
      </c>
      <c r="J2934" s="891"/>
      <c r="K2934" s="1181" t="str">
        <f>IF(S1SHTAData!W22=0,"",S1SHTAData!W22)</f>
        <v/>
      </c>
      <c r="L2934" s="1181"/>
      <c r="M2934" s="874" t="str">
        <f>IF(S1SHTAData!X22=0,"",S1SHTAData!X22)</f>
        <v/>
      </c>
      <c r="N2934" s="875"/>
      <c r="O2934" s="875"/>
      <c r="P2934" s="876"/>
      <c r="Q2934" s="874" t="str">
        <f>IF(S1SHTAData!Y22=0,"",S1SHTAData!Y22)</f>
        <v/>
      </c>
      <c r="R2934" s="875"/>
      <c r="S2934" s="875"/>
      <c r="T2934" s="876"/>
      <c r="U2934" s="874">
        <f t="shared" si="53"/>
        <v>0</v>
      </c>
      <c r="V2934" s="875"/>
      <c r="W2934" s="875"/>
      <c r="X2934" s="876"/>
      <c r="Y2934" s="866" t="str">
        <f>IF(S1SHTAData!AA22=0,"",S1SHTAData!AA22)</f>
        <v/>
      </c>
      <c r="Z2934" s="900"/>
      <c r="AA2934" s="900"/>
      <c r="AB2934" s="867"/>
      <c r="AC2934" s="518"/>
      <c r="AD2934" s="518"/>
      <c r="AE2934" s="588"/>
      <c r="AF2934" s="529"/>
      <c r="AG2934" s="529"/>
      <c r="AH2934" s="529"/>
      <c r="AJ2934" s="595" t="b">
        <f t="shared" si="54"/>
        <v>0</v>
      </c>
    </row>
    <row r="2935" spans="1:36" hidden="1" x14ac:dyDescent="0.45">
      <c r="A2935" s="518"/>
      <c r="B2935" s="514" t="s">
        <v>1425</v>
      </c>
      <c r="C2935" s="535"/>
      <c r="D2935" s="535"/>
      <c r="E2935" s="535"/>
      <c r="F2935" s="535"/>
      <c r="G2935" s="885" t="str">
        <f>IF(S1SHTAData!L23=0,"",S1SHTAData!L23)</f>
        <v/>
      </c>
      <c r="H2935" s="885"/>
      <c r="I2935" s="890" t="str">
        <f>IF(S1SHTAData!AF23=0,"",S1SHTAData!AF23)</f>
        <v/>
      </c>
      <c r="J2935" s="891"/>
      <c r="K2935" s="1181" t="str">
        <f>IF(S1SHTAData!W23=0,"",S1SHTAData!W23)</f>
        <v/>
      </c>
      <c r="L2935" s="1181"/>
      <c r="M2935" s="874" t="str">
        <f>IF(S1SHTAData!X23=0,"",S1SHTAData!X23)</f>
        <v/>
      </c>
      <c r="N2935" s="875"/>
      <c r="O2935" s="875"/>
      <c r="P2935" s="876"/>
      <c r="Q2935" s="874" t="str">
        <f>IF(S1SHTAData!Y23=0,"",S1SHTAData!Y23)</f>
        <v/>
      </c>
      <c r="R2935" s="875"/>
      <c r="S2935" s="875"/>
      <c r="T2935" s="876"/>
      <c r="U2935" s="874">
        <f t="shared" si="53"/>
        <v>0</v>
      </c>
      <c r="V2935" s="875"/>
      <c r="W2935" s="875"/>
      <c r="X2935" s="876"/>
      <c r="Y2935" s="866" t="str">
        <f>IF(S1SHTAData!AA23=0,"",S1SHTAData!AA23)</f>
        <v/>
      </c>
      <c r="Z2935" s="900"/>
      <c r="AA2935" s="900"/>
      <c r="AB2935" s="867"/>
      <c r="AC2935" s="518"/>
      <c r="AD2935" s="518"/>
      <c r="AE2935" s="588"/>
      <c r="AF2935" s="529"/>
      <c r="AG2935" s="529"/>
      <c r="AH2935" s="529"/>
      <c r="AJ2935" s="595" t="b">
        <f t="shared" si="54"/>
        <v>0</v>
      </c>
    </row>
    <row r="2936" spans="1:36" hidden="1" x14ac:dyDescent="0.45">
      <c r="A2936" s="518"/>
      <c r="B2936" s="514" t="s">
        <v>1426</v>
      </c>
      <c r="C2936" s="535"/>
      <c r="D2936" s="535"/>
      <c r="E2936" s="535"/>
      <c r="F2936" s="535"/>
      <c r="G2936" s="885" t="str">
        <f>IF(S1SHTAData!L24=0,"",S1SHTAData!L24)</f>
        <v/>
      </c>
      <c r="H2936" s="885"/>
      <c r="I2936" s="890" t="str">
        <f>IF(S1SHTAData!AF24=0,"",S1SHTAData!AF24)</f>
        <v/>
      </c>
      <c r="J2936" s="891"/>
      <c r="K2936" s="1181" t="str">
        <f>IF(S1SHTAData!W24=0,"",S1SHTAData!W24)</f>
        <v/>
      </c>
      <c r="L2936" s="1181"/>
      <c r="M2936" s="874" t="str">
        <f>IF(S1SHTAData!X24=0,"",S1SHTAData!X24)</f>
        <v/>
      </c>
      <c r="N2936" s="875"/>
      <c r="O2936" s="875"/>
      <c r="P2936" s="876"/>
      <c r="Q2936" s="874" t="str">
        <f>IF(S1SHTAData!Y24=0,"",S1SHTAData!Y24)</f>
        <v/>
      </c>
      <c r="R2936" s="875"/>
      <c r="S2936" s="875"/>
      <c r="T2936" s="876"/>
      <c r="U2936" s="874">
        <f t="shared" si="53"/>
        <v>0</v>
      </c>
      <c r="V2936" s="875"/>
      <c r="W2936" s="875"/>
      <c r="X2936" s="876"/>
      <c r="Y2936" s="866" t="str">
        <f>IF(S1SHTAData!AA24=0,"",S1SHTAData!AA24)</f>
        <v/>
      </c>
      <c r="Z2936" s="900"/>
      <c r="AA2936" s="900"/>
      <c r="AB2936" s="867"/>
      <c r="AC2936" s="518"/>
      <c r="AD2936" s="518"/>
      <c r="AE2936" s="588"/>
      <c r="AF2936" s="529"/>
      <c r="AG2936" s="529"/>
      <c r="AH2936" s="529"/>
      <c r="AJ2936" s="595" t="b">
        <f t="shared" si="54"/>
        <v>0</v>
      </c>
    </row>
    <row r="2937" spans="1:36" hidden="1" x14ac:dyDescent="0.45">
      <c r="A2937" s="518"/>
      <c r="B2937" s="514" t="s">
        <v>1427</v>
      </c>
      <c r="C2937" s="535"/>
      <c r="D2937" s="535"/>
      <c r="E2937" s="535"/>
      <c r="F2937" s="535"/>
      <c r="G2937" s="885" t="str">
        <f>IF(S1SHTAData!L25=0,"",S1SHTAData!L25)</f>
        <v/>
      </c>
      <c r="H2937" s="885"/>
      <c r="I2937" s="890" t="str">
        <f>IF(S1SHTAData!AF25=0,"",S1SHTAData!AF25)</f>
        <v/>
      </c>
      <c r="J2937" s="891"/>
      <c r="K2937" s="1181" t="str">
        <f>IF(S1SHTAData!W25=0,"",S1SHTAData!W25)</f>
        <v/>
      </c>
      <c r="L2937" s="1181"/>
      <c r="M2937" s="874" t="str">
        <f>IF(S1SHTAData!X25=0,"",S1SHTAData!X25)</f>
        <v/>
      </c>
      <c r="N2937" s="875"/>
      <c r="O2937" s="875"/>
      <c r="P2937" s="876"/>
      <c r="Q2937" s="874" t="str">
        <f>IF(S1SHTAData!Y25=0,"",S1SHTAData!Y25)</f>
        <v/>
      </c>
      <c r="R2937" s="875"/>
      <c r="S2937" s="875"/>
      <c r="T2937" s="876"/>
      <c r="U2937" s="874">
        <f t="shared" si="53"/>
        <v>0</v>
      </c>
      <c r="V2937" s="875"/>
      <c r="W2937" s="875"/>
      <c r="X2937" s="876"/>
      <c r="Y2937" s="866" t="str">
        <f>IF(S1SHTAData!AA25=0,"",S1SHTAData!AA25)</f>
        <v/>
      </c>
      <c r="Z2937" s="900"/>
      <c r="AA2937" s="900"/>
      <c r="AB2937" s="867"/>
      <c r="AC2937" s="518"/>
      <c r="AD2937" s="518"/>
      <c r="AE2937" s="588"/>
      <c r="AF2937" s="529"/>
      <c r="AG2937" s="529"/>
      <c r="AH2937" s="529"/>
      <c r="AJ2937" s="595" t="b">
        <f t="shared" si="54"/>
        <v>0</v>
      </c>
    </row>
    <row r="2938" spans="1:36" hidden="1" x14ac:dyDescent="0.45">
      <c r="A2938" s="518"/>
      <c r="B2938" s="514" t="s">
        <v>1428</v>
      </c>
      <c r="C2938" s="535"/>
      <c r="D2938" s="535"/>
      <c r="E2938" s="535"/>
      <c r="F2938" s="535"/>
      <c r="G2938" s="885" t="str">
        <f>IF(S1SHTAData!L26=0,"",S1SHTAData!L26)</f>
        <v/>
      </c>
      <c r="H2938" s="885"/>
      <c r="I2938" s="890" t="str">
        <f>IF(S1SHTAData!AF26=0,"",S1SHTAData!AF26)</f>
        <v/>
      </c>
      <c r="J2938" s="891"/>
      <c r="K2938" s="1181" t="str">
        <f>IF(S1SHTAData!W26=0,"",S1SHTAData!W26)</f>
        <v/>
      </c>
      <c r="L2938" s="1181"/>
      <c r="M2938" s="874" t="str">
        <f>IF(S1SHTAData!X26=0,"",S1SHTAData!X26)</f>
        <v/>
      </c>
      <c r="N2938" s="875"/>
      <c r="O2938" s="875"/>
      <c r="P2938" s="876"/>
      <c r="Q2938" s="874" t="str">
        <f>IF(S1SHTAData!Y26=0,"",S1SHTAData!Y26)</f>
        <v/>
      </c>
      <c r="R2938" s="875"/>
      <c r="S2938" s="875"/>
      <c r="T2938" s="876"/>
      <c r="U2938" s="874">
        <f t="shared" si="53"/>
        <v>0</v>
      </c>
      <c r="V2938" s="875"/>
      <c r="W2938" s="875"/>
      <c r="X2938" s="876"/>
      <c r="Y2938" s="866" t="str">
        <f>IF(S1SHTAData!AA26=0,"",S1SHTAData!AA26)</f>
        <v/>
      </c>
      <c r="Z2938" s="900"/>
      <c r="AA2938" s="900"/>
      <c r="AB2938" s="867"/>
      <c r="AC2938" s="518"/>
      <c r="AD2938" s="518"/>
      <c r="AE2938" s="588"/>
      <c r="AF2938" s="529"/>
      <c r="AG2938" s="529"/>
      <c r="AH2938" s="529"/>
      <c r="AJ2938" s="595" t="b">
        <f t="shared" si="54"/>
        <v>0</v>
      </c>
    </row>
    <row r="2939" spans="1:36" hidden="1" x14ac:dyDescent="0.45">
      <c r="A2939" s="518"/>
      <c r="B2939" s="514" t="s">
        <v>1429</v>
      </c>
      <c r="C2939" s="535"/>
      <c r="D2939" s="535"/>
      <c r="E2939" s="535"/>
      <c r="F2939" s="535"/>
      <c r="G2939" s="885" t="str">
        <f>IF(S1SHTAData!L27=0,"",S1SHTAData!L27)</f>
        <v/>
      </c>
      <c r="H2939" s="885"/>
      <c r="I2939" s="890" t="str">
        <f>IF(S1SHTAData!AF27=0,"",S1SHTAData!AF27)</f>
        <v/>
      </c>
      <c r="J2939" s="891"/>
      <c r="K2939" s="1181" t="str">
        <f>IF(S1SHTAData!W27=0,"",S1SHTAData!W27)</f>
        <v/>
      </c>
      <c r="L2939" s="1181"/>
      <c r="M2939" s="874" t="str">
        <f>IF(S1SHTAData!X27=0,"",S1SHTAData!X27)</f>
        <v/>
      </c>
      <c r="N2939" s="875"/>
      <c r="O2939" s="875"/>
      <c r="P2939" s="876"/>
      <c r="Q2939" s="874" t="str">
        <f>IF(S1SHTAData!Y27=0,"",S1SHTAData!Y27)</f>
        <v/>
      </c>
      <c r="R2939" s="875"/>
      <c r="S2939" s="875"/>
      <c r="T2939" s="876"/>
      <c r="U2939" s="874">
        <f t="shared" si="53"/>
        <v>0</v>
      </c>
      <c r="V2939" s="875"/>
      <c r="W2939" s="875"/>
      <c r="X2939" s="876"/>
      <c r="Y2939" s="866" t="str">
        <f>IF(S1SHTAData!AA27=0,"",S1SHTAData!AA27)</f>
        <v/>
      </c>
      <c r="Z2939" s="900"/>
      <c r="AA2939" s="900"/>
      <c r="AB2939" s="867"/>
      <c r="AC2939" s="518"/>
      <c r="AD2939" s="518"/>
      <c r="AE2939" s="588"/>
      <c r="AF2939" s="529"/>
      <c r="AG2939" s="529"/>
      <c r="AH2939" s="529"/>
      <c r="AJ2939" s="595" t="b">
        <f t="shared" si="54"/>
        <v>0</v>
      </c>
    </row>
    <row r="2940" spans="1:36" hidden="1" x14ac:dyDescent="0.45">
      <c r="A2940" s="518"/>
      <c r="B2940" s="514" t="s">
        <v>1430</v>
      </c>
      <c r="C2940" s="535"/>
      <c r="D2940" s="535"/>
      <c r="E2940" s="535"/>
      <c r="F2940" s="535"/>
      <c r="G2940" s="885" t="str">
        <f>IF(S1SHTAData!L28=0,"",S1SHTAData!L28)</f>
        <v/>
      </c>
      <c r="H2940" s="885"/>
      <c r="I2940" s="890" t="str">
        <f>IF(S1SHTAData!AF28=0,"",S1SHTAData!AF28)</f>
        <v/>
      </c>
      <c r="J2940" s="891"/>
      <c r="K2940" s="1181" t="str">
        <f>IF(S1SHTAData!W28=0,"",S1SHTAData!W28)</f>
        <v/>
      </c>
      <c r="L2940" s="1181"/>
      <c r="M2940" s="874" t="str">
        <f>IF(S1SHTAData!X28=0,"",S1SHTAData!X28)</f>
        <v/>
      </c>
      <c r="N2940" s="875"/>
      <c r="O2940" s="875"/>
      <c r="P2940" s="876"/>
      <c r="Q2940" s="874" t="str">
        <f>IF(S1SHTAData!Y28=0,"",S1SHTAData!Y28)</f>
        <v/>
      </c>
      <c r="R2940" s="875"/>
      <c r="S2940" s="875"/>
      <c r="T2940" s="876"/>
      <c r="U2940" s="874">
        <f t="shared" si="53"/>
        <v>0</v>
      </c>
      <c r="V2940" s="875"/>
      <c r="W2940" s="875"/>
      <c r="X2940" s="876"/>
      <c r="Y2940" s="866" t="str">
        <f>IF(S1SHTAData!AA28=0,"",S1SHTAData!AA28)</f>
        <v/>
      </c>
      <c r="Z2940" s="900"/>
      <c r="AA2940" s="900"/>
      <c r="AB2940" s="867"/>
      <c r="AC2940" s="518"/>
      <c r="AD2940" s="518"/>
      <c r="AE2940" s="588"/>
      <c r="AF2940" s="529"/>
      <c r="AG2940" s="529"/>
      <c r="AH2940" s="529"/>
      <c r="AJ2940" s="595" t="b">
        <f t="shared" si="54"/>
        <v>0</v>
      </c>
    </row>
    <row r="2941" spans="1:36" hidden="1" x14ac:dyDescent="0.45">
      <c r="A2941" s="518"/>
      <c r="B2941" s="514" t="s">
        <v>1431</v>
      </c>
      <c r="C2941" s="535"/>
      <c r="D2941" s="535"/>
      <c r="E2941" s="535"/>
      <c r="F2941" s="535"/>
      <c r="G2941" s="885" t="str">
        <f>IF(S1SHTAData!L29=0,"",S1SHTAData!L29)</f>
        <v/>
      </c>
      <c r="H2941" s="885"/>
      <c r="I2941" s="890" t="str">
        <f>IF(S1SHTAData!AF29=0,"",S1SHTAData!AF29)</f>
        <v/>
      </c>
      <c r="J2941" s="891"/>
      <c r="K2941" s="1181" t="str">
        <f>IF(S1SHTAData!W29=0,"",S1SHTAData!W29)</f>
        <v/>
      </c>
      <c r="L2941" s="1181"/>
      <c r="M2941" s="874" t="str">
        <f>IF(S1SHTAData!X29=0,"",S1SHTAData!X29)</f>
        <v/>
      </c>
      <c r="N2941" s="875"/>
      <c r="O2941" s="875"/>
      <c r="P2941" s="876"/>
      <c r="Q2941" s="874" t="str">
        <f>IF(S1SHTAData!Y29=0,"",S1SHTAData!Y29)</f>
        <v/>
      </c>
      <c r="R2941" s="875"/>
      <c r="S2941" s="875"/>
      <c r="T2941" s="876"/>
      <c r="U2941" s="874">
        <f t="shared" si="53"/>
        <v>0</v>
      </c>
      <c r="V2941" s="875"/>
      <c r="W2941" s="875"/>
      <c r="X2941" s="876"/>
      <c r="Y2941" s="866" t="str">
        <f>IF(S1SHTAData!AA29=0,"",S1SHTAData!AA29)</f>
        <v/>
      </c>
      <c r="Z2941" s="900"/>
      <c r="AA2941" s="900"/>
      <c r="AB2941" s="867"/>
      <c r="AC2941" s="518"/>
      <c r="AD2941" s="518"/>
      <c r="AE2941" s="588"/>
      <c r="AF2941" s="529"/>
      <c r="AG2941" s="529"/>
      <c r="AH2941" s="529"/>
      <c r="AJ2941" s="595" t="b">
        <f t="shared" si="54"/>
        <v>0</v>
      </c>
    </row>
    <row r="2942" spans="1:36" hidden="1" x14ac:dyDescent="0.45">
      <c r="A2942" s="518"/>
      <c r="B2942" s="514" t="s">
        <v>1432</v>
      </c>
      <c r="C2942" s="535"/>
      <c r="D2942" s="535"/>
      <c r="E2942" s="535"/>
      <c r="F2942" s="535"/>
      <c r="G2942" s="885" t="str">
        <f>IF(S1SHTAData!L30=0,"",S1SHTAData!L30)</f>
        <v/>
      </c>
      <c r="H2942" s="885"/>
      <c r="I2942" s="890" t="str">
        <f>IF(S1SHTAData!AF30=0,"",S1SHTAData!AF30)</f>
        <v/>
      </c>
      <c r="J2942" s="891"/>
      <c r="K2942" s="1181" t="str">
        <f>IF(S1SHTAData!W30=0,"",S1SHTAData!W30)</f>
        <v/>
      </c>
      <c r="L2942" s="1181"/>
      <c r="M2942" s="874" t="str">
        <f>IF(S1SHTAData!X30=0,"",S1SHTAData!X30)</f>
        <v/>
      </c>
      <c r="N2942" s="875"/>
      <c r="O2942" s="875"/>
      <c r="P2942" s="876"/>
      <c r="Q2942" s="874" t="str">
        <f>IF(S1SHTAData!Y30=0,"",S1SHTAData!Y30)</f>
        <v/>
      </c>
      <c r="R2942" s="875"/>
      <c r="S2942" s="875"/>
      <c r="T2942" s="876"/>
      <c r="U2942" s="874">
        <f t="shared" si="53"/>
        <v>0</v>
      </c>
      <c r="V2942" s="875"/>
      <c r="W2942" s="875"/>
      <c r="X2942" s="876"/>
      <c r="Y2942" s="866" t="str">
        <f>IF(S1SHTAData!AA30=0,"",S1SHTAData!AA30)</f>
        <v/>
      </c>
      <c r="Z2942" s="900"/>
      <c r="AA2942" s="900"/>
      <c r="AB2942" s="867"/>
      <c r="AC2942" s="518"/>
      <c r="AD2942" s="518"/>
      <c r="AE2942" s="588"/>
      <c r="AF2942" s="529"/>
      <c r="AG2942" s="529"/>
      <c r="AH2942" s="529"/>
      <c r="AJ2942" s="595" t="b">
        <f t="shared" si="54"/>
        <v>0</v>
      </c>
    </row>
    <row r="2943" spans="1:36" hidden="1" x14ac:dyDescent="0.45">
      <c r="A2943" s="518"/>
      <c r="B2943" s="514" t="s">
        <v>1433</v>
      </c>
      <c r="C2943" s="535"/>
      <c r="D2943" s="535"/>
      <c r="E2943" s="535"/>
      <c r="F2943" s="535"/>
      <c r="G2943" s="885" t="str">
        <f>IF(S1SHTAData!L31=0,"",S1SHTAData!L31)</f>
        <v/>
      </c>
      <c r="H2943" s="885"/>
      <c r="I2943" s="890" t="str">
        <f>IF(S1SHTAData!AF31=0,"",S1SHTAData!AF31)</f>
        <v/>
      </c>
      <c r="J2943" s="891"/>
      <c r="K2943" s="1181" t="str">
        <f>IF(S1SHTAData!W31=0,"",S1SHTAData!W31)</f>
        <v/>
      </c>
      <c r="L2943" s="1181"/>
      <c r="M2943" s="874" t="str">
        <f>IF(S1SHTAData!X31=0,"",S1SHTAData!X31)</f>
        <v/>
      </c>
      <c r="N2943" s="875"/>
      <c r="O2943" s="875"/>
      <c r="P2943" s="876"/>
      <c r="Q2943" s="874" t="str">
        <f>IF(S1SHTAData!Y31=0,"",S1SHTAData!Y31)</f>
        <v/>
      </c>
      <c r="R2943" s="875"/>
      <c r="S2943" s="875"/>
      <c r="T2943" s="876"/>
      <c r="U2943" s="874">
        <f t="shared" si="53"/>
        <v>0</v>
      </c>
      <c r="V2943" s="875"/>
      <c r="W2943" s="875"/>
      <c r="X2943" s="876"/>
      <c r="Y2943" s="866" t="str">
        <f>IF(S1SHTAData!AA31=0,"",S1SHTAData!AA31)</f>
        <v/>
      </c>
      <c r="Z2943" s="900"/>
      <c r="AA2943" s="900"/>
      <c r="AB2943" s="867"/>
      <c r="AC2943" s="518"/>
      <c r="AD2943" s="518"/>
      <c r="AE2943" s="588"/>
      <c r="AF2943" s="529"/>
      <c r="AG2943" s="529"/>
      <c r="AH2943" s="529"/>
      <c r="AJ2943" s="595" t="b">
        <f t="shared" si="54"/>
        <v>0</v>
      </c>
    </row>
    <row r="2944" spans="1:36" hidden="1" x14ac:dyDescent="0.45">
      <c r="A2944" s="518"/>
      <c r="B2944" s="514" t="s">
        <v>1434</v>
      </c>
      <c r="C2944" s="535"/>
      <c r="D2944" s="535"/>
      <c r="E2944" s="535"/>
      <c r="F2944" s="535"/>
      <c r="G2944" s="885" t="str">
        <f>IF(S1SHTAData!L32=0,"",S1SHTAData!L32)</f>
        <v/>
      </c>
      <c r="H2944" s="885"/>
      <c r="I2944" s="890" t="str">
        <f>IF(S1SHTAData!AF32=0,"",S1SHTAData!AF32)</f>
        <v/>
      </c>
      <c r="J2944" s="891"/>
      <c r="K2944" s="1181" t="str">
        <f>IF(S1SHTAData!W32=0,"",S1SHTAData!W32)</f>
        <v/>
      </c>
      <c r="L2944" s="1181"/>
      <c r="M2944" s="874" t="str">
        <f>IF(S1SHTAData!X32=0,"",S1SHTAData!X32)</f>
        <v/>
      </c>
      <c r="N2944" s="875"/>
      <c r="O2944" s="875"/>
      <c r="P2944" s="876"/>
      <c r="Q2944" s="874" t="str">
        <f>IF(S1SHTAData!Y32=0,"",S1SHTAData!Y32)</f>
        <v/>
      </c>
      <c r="R2944" s="875"/>
      <c r="S2944" s="875"/>
      <c r="T2944" s="876"/>
      <c r="U2944" s="874">
        <f t="shared" si="53"/>
        <v>0</v>
      </c>
      <c r="V2944" s="875"/>
      <c r="W2944" s="875"/>
      <c r="X2944" s="876"/>
      <c r="Y2944" s="866" t="str">
        <f>IF(S1SHTAData!AA32=0,"",S1SHTAData!AA32)</f>
        <v/>
      </c>
      <c r="Z2944" s="900"/>
      <c r="AA2944" s="900"/>
      <c r="AB2944" s="867"/>
      <c r="AC2944" s="518"/>
      <c r="AD2944" s="518"/>
      <c r="AE2944" s="588"/>
      <c r="AF2944" s="529"/>
      <c r="AG2944" s="529"/>
      <c r="AH2944" s="529"/>
      <c r="AJ2944" s="595" t="b">
        <f t="shared" si="54"/>
        <v>0</v>
      </c>
    </row>
    <row r="2945" spans="1:36" hidden="1" x14ac:dyDescent="0.45">
      <c r="A2945" s="518"/>
      <c r="B2945" s="514" t="s">
        <v>1435</v>
      </c>
      <c r="C2945" s="535"/>
      <c r="D2945" s="535"/>
      <c r="E2945" s="535"/>
      <c r="F2945" s="535"/>
      <c r="G2945" s="885" t="str">
        <f>IF(S1SHTAData!L33=0,"",S1SHTAData!L33)</f>
        <v/>
      </c>
      <c r="H2945" s="885"/>
      <c r="I2945" s="890" t="str">
        <f>IF(S1SHTAData!AF33=0,"",S1SHTAData!AF33)</f>
        <v/>
      </c>
      <c r="J2945" s="891"/>
      <c r="K2945" s="1181" t="str">
        <f>IF(S1SHTAData!W33=0,"",S1SHTAData!W33)</f>
        <v/>
      </c>
      <c r="L2945" s="1181"/>
      <c r="M2945" s="874" t="str">
        <f>IF(S1SHTAData!X33=0,"",S1SHTAData!X33)</f>
        <v/>
      </c>
      <c r="N2945" s="875"/>
      <c r="O2945" s="875"/>
      <c r="P2945" s="876"/>
      <c r="Q2945" s="874" t="str">
        <f>IF(S1SHTAData!Y33=0,"",S1SHTAData!Y33)</f>
        <v/>
      </c>
      <c r="R2945" s="875"/>
      <c r="S2945" s="875"/>
      <c r="T2945" s="876"/>
      <c r="U2945" s="874">
        <f t="shared" si="53"/>
        <v>0</v>
      </c>
      <c r="V2945" s="875"/>
      <c r="W2945" s="875"/>
      <c r="X2945" s="876"/>
      <c r="Y2945" s="866" t="str">
        <f>IF(S1SHTAData!AA33=0,"",S1SHTAData!AA33)</f>
        <v/>
      </c>
      <c r="Z2945" s="900"/>
      <c r="AA2945" s="900"/>
      <c r="AB2945" s="867"/>
      <c r="AC2945" s="518"/>
      <c r="AD2945" s="518"/>
      <c r="AE2945" s="588"/>
      <c r="AF2945" s="529"/>
      <c r="AG2945" s="529"/>
      <c r="AH2945" s="529"/>
      <c r="AJ2945" s="595" t="b">
        <f t="shared" si="54"/>
        <v>0</v>
      </c>
    </row>
    <row r="2946" spans="1:36" hidden="1" x14ac:dyDescent="0.45">
      <c r="A2946" s="518"/>
      <c r="B2946" s="514" t="s">
        <v>1436</v>
      </c>
      <c r="C2946" s="535"/>
      <c r="D2946" s="535"/>
      <c r="E2946" s="535"/>
      <c r="F2946" s="535"/>
      <c r="G2946" s="885" t="str">
        <f>IF(S1SHTAData!L34=0,"",S1SHTAData!L34)</f>
        <v/>
      </c>
      <c r="H2946" s="885"/>
      <c r="I2946" s="890" t="str">
        <f>IF(S1SHTAData!AF34=0,"",S1SHTAData!AF34)</f>
        <v/>
      </c>
      <c r="J2946" s="891"/>
      <c r="K2946" s="1181" t="str">
        <f>IF(S1SHTAData!W34=0,"",S1SHTAData!W34)</f>
        <v/>
      </c>
      <c r="L2946" s="1181"/>
      <c r="M2946" s="874" t="str">
        <f>IF(S1SHTAData!X34=0,"",S1SHTAData!X34)</f>
        <v/>
      </c>
      <c r="N2946" s="875"/>
      <c r="O2946" s="875"/>
      <c r="P2946" s="876"/>
      <c r="Q2946" s="874" t="str">
        <f>IF(S1SHTAData!Y34=0,"",S1SHTAData!Y34)</f>
        <v/>
      </c>
      <c r="R2946" s="875"/>
      <c r="S2946" s="875"/>
      <c r="T2946" s="876"/>
      <c r="U2946" s="874">
        <f t="shared" si="53"/>
        <v>0</v>
      </c>
      <c r="V2946" s="875"/>
      <c r="W2946" s="875"/>
      <c r="X2946" s="876"/>
      <c r="Y2946" s="866" t="str">
        <f>IF(S1SHTAData!AA34=0,"",S1SHTAData!AA34)</f>
        <v/>
      </c>
      <c r="Z2946" s="900"/>
      <c r="AA2946" s="900"/>
      <c r="AB2946" s="867"/>
      <c r="AC2946" s="518"/>
      <c r="AD2946" s="518"/>
      <c r="AE2946" s="588"/>
      <c r="AF2946" s="529"/>
      <c r="AG2946" s="529"/>
      <c r="AH2946" s="529"/>
      <c r="AJ2946" s="595" t="b">
        <f t="shared" si="54"/>
        <v>0</v>
      </c>
    </row>
    <row r="2947" spans="1:36" hidden="1" x14ac:dyDescent="0.45">
      <c r="A2947" s="518"/>
      <c r="B2947" s="514" t="s">
        <v>1437</v>
      </c>
      <c r="C2947" s="535"/>
      <c r="D2947" s="535"/>
      <c r="E2947" s="535"/>
      <c r="F2947" s="535"/>
      <c r="G2947" s="885" t="str">
        <f>IF(S1SHTAData!L35=0,"",S1SHTAData!L35)</f>
        <v/>
      </c>
      <c r="H2947" s="885"/>
      <c r="I2947" s="890" t="str">
        <f>IF(S1SHTAData!AF35=0,"",S1SHTAData!AF35)</f>
        <v/>
      </c>
      <c r="J2947" s="891"/>
      <c r="K2947" s="1181" t="str">
        <f>IF(S1SHTAData!W35=0,"",S1SHTAData!W35)</f>
        <v/>
      </c>
      <c r="L2947" s="1181"/>
      <c r="M2947" s="874" t="str">
        <f>IF(S1SHTAData!X35=0,"",S1SHTAData!X35)</f>
        <v/>
      </c>
      <c r="N2947" s="875"/>
      <c r="O2947" s="875"/>
      <c r="P2947" s="876"/>
      <c r="Q2947" s="874" t="str">
        <f>IF(S1SHTAData!Y35=0,"",S1SHTAData!Y35)</f>
        <v/>
      </c>
      <c r="R2947" s="875"/>
      <c r="S2947" s="875"/>
      <c r="T2947" s="876"/>
      <c r="U2947" s="874">
        <f t="shared" si="53"/>
        <v>0</v>
      </c>
      <c r="V2947" s="875"/>
      <c r="W2947" s="875"/>
      <c r="X2947" s="876"/>
      <c r="Y2947" s="866" t="str">
        <f>IF(S1SHTAData!AA35=0,"",S1SHTAData!AA35)</f>
        <v/>
      </c>
      <c r="Z2947" s="900"/>
      <c r="AA2947" s="900"/>
      <c r="AB2947" s="867"/>
      <c r="AC2947" s="518"/>
      <c r="AD2947" s="518"/>
      <c r="AE2947" s="588"/>
      <c r="AF2947" s="529"/>
      <c r="AG2947" s="529"/>
      <c r="AH2947" s="529"/>
      <c r="AJ2947" s="595" t="b">
        <f t="shared" si="54"/>
        <v>0</v>
      </c>
    </row>
    <row r="2948" spans="1:36" hidden="1" x14ac:dyDescent="0.45">
      <c r="A2948" s="518"/>
      <c r="B2948" s="514" t="s">
        <v>1438</v>
      </c>
      <c r="C2948" s="535"/>
      <c r="D2948" s="535"/>
      <c r="E2948" s="535"/>
      <c r="F2948" s="535"/>
      <c r="G2948" s="885" t="str">
        <f>IF(S1SHTAData!L36=0,"",S1SHTAData!L36)</f>
        <v/>
      </c>
      <c r="H2948" s="885"/>
      <c r="I2948" s="890" t="str">
        <f>IF(S1SHTAData!AF36=0,"",S1SHTAData!AF36)</f>
        <v/>
      </c>
      <c r="J2948" s="891"/>
      <c r="K2948" s="1181" t="str">
        <f>IF(S1SHTAData!W36=0,"",S1SHTAData!W36)</f>
        <v/>
      </c>
      <c r="L2948" s="1181"/>
      <c r="M2948" s="874" t="str">
        <f>IF(S1SHTAData!X36=0,"",S1SHTAData!X36)</f>
        <v/>
      </c>
      <c r="N2948" s="875"/>
      <c r="O2948" s="875"/>
      <c r="P2948" s="876"/>
      <c r="Q2948" s="874" t="str">
        <f>IF(S1SHTAData!Y36=0,"",S1SHTAData!Y36)</f>
        <v/>
      </c>
      <c r="R2948" s="875"/>
      <c r="S2948" s="875"/>
      <c r="T2948" s="876"/>
      <c r="U2948" s="874">
        <f t="shared" si="53"/>
        <v>0</v>
      </c>
      <c r="V2948" s="875"/>
      <c r="W2948" s="875"/>
      <c r="X2948" s="876"/>
      <c r="Y2948" s="866" t="str">
        <f>IF(S1SHTAData!AA36=0,"",S1SHTAData!AA36)</f>
        <v/>
      </c>
      <c r="Z2948" s="900"/>
      <c r="AA2948" s="900"/>
      <c r="AB2948" s="867"/>
      <c r="AC2948" s="518"/>
      <c r="AD2948" s="518"/>
      <c r="AE2948" s="588"/>
      <c r="AF2948" s="529"/>
      <c r="AG2948" s="529"/>
      <c r="AH2948" s="529"/>
      <c r="AJ2948" s="595" t="b">
        <f t="shared" si="54"/>
        <v>0</v>
      </c>
    </row>
    <row r="2949" spans="1:36" hidden="1" x14ac:dyDescent="0.45">
      <c r="A2949" s="518"/>
      <c r="B2949" s="514" t="s">
        <v>1439</v>
      </c>
      <c r="C2949" s="535"/>
      <c r="D2949" s="535"/>
      <c r="E2949" s="535"/>
      <c r="F2949" s="535"/>
      <c r="G2949" s="885" t="str">
        <f>IF(S1SHTAData!L37=0,"",S1SHTAData!L37)</f>
        <v/>
      </c>
      <c r="H2949" s="885"/>
      <c r="I2949" s="890" t="str">
        <f>IF(S1SHTAData!AF37=0,"",S1SHTAData!AF37)</f>
        <v/>
      </c>
      <c r="J2949" s="891"/>
      <c r="K2949" s="1181" t="str">
        <f>IF(S1SHTAData!W37=0,"",S1SHTAData!W37)</f>
        <v/>
      </c>
      <c r="L2949" s="1181"/>
      <c r="M2949" s="874" t="str">
        <f>IF(S1SHTAData!X37=0,"",S1SHTAData!X37)</f>
        <v/>
      </c>
      <c r="N2949" s="875"/>
      <c r="O2949" s="875"/>
      <c r="P2949" s="876"/>
      <c r="Q2949" s="874" t="str">
        <f>IF(S1SHTAData!Y37=0,"",S1SHTAData!Y37)</f>
        <v/>
      </c>
      <c r="R2949" s="875"/>
      <c r="S2949" s="875"/>
      <c r="T2949" s="876"/>
      <c r="U2949" s="874">
        <f t="shared" si="53"/>
        <v>0</v>
      </c>
      <c r="V2949" s="875"/>
      <c r="W2949" s="875"/>
      <c r="X2949" s="876"/>
      <c r="Y2949" s="866" t="str">
        <f>IF(S1SHTAData!AA37=0,"",S1SHTAData!AA37)</f>
        <v/>
      </c>
      <c r="Z2949" s="900"/>
      <c r="AA2949" s="900"/>
      <c r="AB2949" s="867"/>
      <c r="AC2949" s="518"/>
      <c r="AD2949" s="518"/>
      <c r="AE2949" s="588"/>
      <c r="AF2949" s="529"/>
      <c r="AG2949" s="529"/>
      <c r="AH2949" s="529"/>
      <c r="AJ2949" s="595" t="b">
        <f t="shared" si="54"/>
        <v>0</v>
      </c>
    </row>
    <row r="2950" spans="1:36" hidden="1" x14ac:dyDescent="0.45">
      <c r="A2950" s="518"/>
      <c r="B2950" s="514" t="s">
        <v>1440</v>
      </c>
      <c r="C2950" s="535"/>
      <c r="D2950" s="535"/>
      <c r="E2950" s="535"/>
      <c r="F2950" s="535"/>
      <c r="G2950" s="885" t="str">
        <f>IF(S1SHTAData!L38=0,"",S1SHTAData!L38)</f>
        <v/>
      </c>
      <c r="H2950" s="885"/>
      <c r="I2950" s="890" t="str">
        <f>IF(S1SHTAData!AF38=0,"",S1SHTAData!AF38)</f>
        <v/>
      </c>
      <c r="J2950" s="891"/>
      <c r="K2950" s="1181" t="str">
        <f>IF(S1SHTAData!W38=0,"",S1SHTAData!W38)</f>
        <v/>
      </c>
      <c r="L2950" s="1181"/>
      <c r="M2950" s="874" t="str">
        <f>IF(S1SHTAData!X38=0,"",S1SHTAData!X38)</f>
        <v/>
      </c>
      <c r="N2950" s="875"/>
      <c r="O2950" s="875"/>
      <c r="P2950" s="876"/>
      <c r="Q2950" s="874" t="str">
        <f>IF(S1SHTAData!Y38=0,"",S1SHTAData!Y38)</f>
        <v/>
      </c>
      <c r="R2950" s="875"/>
      <c r="S2950" s="875"/>
      <c r="T2950" s="876"/>
      <c r="U2950" s="874">
        <f t="shared" si="53"/>
        <v>0</v>
      </c>
      <c r="V2950" s="875"/>
      <c r="W2950" s="875"/>
      <c r="X2950" s="876"/>
      <c r="Y2950" s="866" t="str">
        <f>IF(S1SHTAData!AA38=0,"",S1SHTAData!AA38)</f>
        <v/>
      </c>
      <c r="Z2950" s="900"/>
      <c r="AA2950" s="900"/>
      <c r="AB2950" s="867"/>
      <c r="AC2950" s="518"/>
      <c r="AD2950" s="518"/>
      <c r="AE2950" s="588"/>
      <c r="AF2950" s="529"/>
      <c r="AG2950" s="529"/>
      <c r="AH2950" s="529"/>
      <c r="AJ2950" s="595" t="b">
        <f t="shared" si="54"/>
        <v>0</v>
      </c>
    </row>
    <row r="2951" spans="1:36" hidden="1" x14ac:dyDescent="0.45">
      <c r="A2951" s="518"/>
      <c r="B2951" s="514" t="s">
        <v>1441</v>
      </c>
      <c r="C2951" s="535"/>
      <c r="D2951" s="535"/>
      <c r="E2951" s="535"/>
      <c r="F2951" s="535"/>
      <c r="G2951" s="885" t="str">
        <f>IF(S1SHTAData!L39=0,"",S1SHTAData!L39)</f>
        <v/>
      </c>
      <c r="H2951" s="885"/>
      <c r="I2951" s="890" t="str">
        <f>IF(S1SHTAData!AF39=0,"",S1SHTAData!AF39)</f>
        <v/>
      </c>
      <c r="J2951" s="891"/>
      <c r="K2951" s="1181" t="str">
        <f>IF(S1SHTAData!W39=0,"",S1SHTAData!W39)</f>
        <v/>
      </c>
      <c r="L2951" s="1181"/>
      <c r="M2951" s="874" t="str">
        <f>IF(S1SHTAData!X39=0,"",S1SHTAData!X39)</f>
        <v/>
      </c>
      <c r="N2951" s="875"/>
      <c r="O2951" s="875"/>
      <c r="P2951" s="876"/>
      <c r="Q2951" s="874" t="str">
        <f>IF(S1SHTAData!Y39=0,"",S1SHTAData!Y39)</f>
        <v/>
      </c>
      <c r="R2951" s="875"/>
      <c r="S2951" s="875"/>
      <c r="T2951" s="876"/>
      <c r="U2951" s="874">
        <f t="shared" si="53"/>
        <v>0</v>
      </c>
      <c r="V2951" s="875"/>
      <c r="W2951" s="875"/>
      <c r="X2951" s="876"/>
      <c r="Y2951" s="866" t="str">
        <f>IF(S1SHTAData!AA39=0,"",S1SHTAData!AA39)</f>
        <v/>
      </c>
      <c r="Z2951" s="900"/>
      <c r="AA2951" s="900"/>
      <c r="AB2951" s="867"/>
      <c r="AC2951" s="518"/>
      <c r="AD2951" s="518"/>
      <c r="AE2951" s="588"/>
      <c r="AF2951" s="529"/>
      <c r="AG2951" s="529"/>
      <c r="AH2951" s="529"/>
      <c r="AJ2951" s="595" t="b">
        <f t="shared" si="54"/>
        <v>0</v>
      </c>
    </row>
    <row r="2952" spans="1:36" hidden="1" x14ac:dyDescent="0.45">
      <c r="A2952" s="518"/>
      <c r="B2952" s="514" t="s">
        <v>152</v>
      </c>
      <c r="C2952" s="535"/>
      <c r="D2952" s="535"/>
      <c r="E2952" s="535"/>
      <c r="F2952" s="535"/>
      <c r="G2952" s="885" t="str">
        <f>IF(S1SHTAData!L40=0,"",S1SHTAData!L40)</f>
        <v/>
      </c>
      <c r="H2952" s="885"/>
      <c r="I2952" s="890" t="str">
        <f>IF(S1SHTAData!AF40=0,"",S1SHTAData!AF40)</f>
        <v/>
      </c>
      <c r="J2952" s="891"/>
      <c r="K2952" s="1181" t="str">
        <f>IF(S1SHTAData!W40=0,"",S1SHTAData!W40)</f>
        <v/>
      </c>
      <c r="L2952" s="1181"/>
      <c r="M2952" s="874" t="str">
        <f>IF(S1SHTAData!X40=0,"",S1SHTAData!X40)</f>
        <v/>
      </c>
      <c r="N2952" s="875"/>
      <c r="O2952" s="875"/>
      <c r="P2952" s="876"/>
      <c r="Q2952" s="874" t="str">
        <f>IF(S1SHTAData!Y40=0,"",S1SHTAData!Y40)</f>
        <v/>
      </c>
      <c r="R2952" s="875"/>
      <c r="S2952" s="875"/>
      <c r="T2952" s="876"/>
      <c r="U2952" s="874">
        <f t="shared" si="53"/>
        <v>0</v>
      </c>
      <c r="V2952" s="875"/>
      <c r="W2952" s="875"/>
      <c r="X2952" s="876"/>
      <c r="Y2952" s="866" t="str">
        <f>IF(S1SHTAData!AA40=0,"",S1SHTAData!AA40)</f>
        <v/>
      </c>
      <c r="Z2952" s="900"/>
      <c r="AA2952" s="900"/>
      <c r="AB2952" s="867"/>
      <c r="AC2952" s="518"/>
      <c r="AD2952" s="518"/>
      <c r="AE2952" s="588"/>
      <c r="AF2952" s="529"/>
      <c r="AG2952" s="529"/>
      <c r="AH2952" s="529"/>
      <c r="AJ2952" s="595" t="b">
        <f t="shared" si="54"/>
        <v>0</v>
      </c>
    </row>
    <row r="2953" spans="1:36" hidden="1" x14ac:dyDescent="0.45">
      <c r="A2953" s="518"/>
      <c r="B2953" s="514" t="s">
        <v>1442</v>
      </c>
      <c r="C2953" s="535"/>
      <c r="D2953" s="535"/>
      <c r="E2953" s="535"/>
      <c r="F2953" s="535"/>
      <c r="G2953" s="885" t="str">
        <f>IF(S1SHTAData!L41=0,"",S1SHTAData!L41)</f>
        <v/>
      </c>
      <c r="H2953" s="885"/>
      <c r="I2953" s="890" t="str">
        <f>IF(S1SHTAData!AF41=0,"",S1SHTAData!AF41)</f>
        <v/>
      </c>
      <c r="J2953" s="891"/>
      <c r="K2953" s="1181" t="str">
        <f>IF(S1SHTAData!W41=0,"",S1SHTAData!W41)</f>
        <v/>
      </c>
      <c r="L2953" s="1181"/>
      <c r="M2953" s="874" t="str">
        <f>IF(S1SHTAData!X41=0,"",S1SHTAData!X41)</f>
        <v/>
      </c>
      <c r="N2953" s="875"/>
      <c r="O2953" s="875"/>
      <c r="P2953" s="876"/>
      <c r="Q2953" s="874" t="str">
        <f>IF(S1SHTAData!Y41=0,"",S1SHTAData!Y41)</f>
        <v/>
      </c>
      <c r="R2953" s="875"/>
      <c r="S2953" s="875"/>
      <c r="T2953" s="876"/>
      <c r="U2953" s="874">
        <f t="shared" si="53"/>
        <v>0</v>
      </c>
      <c r="V2953" s="875"/>
      <c r="W2953" s="875"/>
      <c r="X2953" s="876"/>
      <c r="Y2953" s="866" t="str">
        <f>IF(S1SHTAData!AA41=0,"",S1SHTAData!AA41)</f>
        <v/>
      </c>
      <c r="Z2953" s="900"/>
      <c r="AA2953" s="900"/>
      <c r="AB2953" s="867"/>
      <c r="AC2953" s="518"/>
      <c r="AD2953" s="518"/>
      <c r="AE2953" s="588"/>
      <c r="AF2953" s="529"/>
      <c r="AG2953" s="529"/>
      <c r="AH2953" s="529"/>
      <c r="AJ2953" s="595" t="b">
        <f t="shared" si="54"/>
        <v>0</v>
      </c>
    </row>
    <row r="2954" spans="1:36" hidden="1" x14ac:dyDescent="0.45">
      <c r="A2954" s="518"/>
      <c r="B2954" s="514" t="s">
        <v>1443</v>
      </c>
      <c r="C2954" s="535"/>
      <c r="D2954" s="535"/>
      <c r="E2954" s="535"/>
      <c r="F2954" s="535"/>
      <c r="G2954" s="885" t="str">
        <f>IF(S1SHTAData!L42=0,"",S1SHTAData!L42)</f>
        <v/>
      </c>
      <c r="H2954" s="885"/>
      <c r="I2954" s="890" t="str">
        <f>IF(S1SHTAData!AF42=0,"",S1SHTAData!AF42)</f>
        <v/>
      </c>
      <c r="J2954" s="891"/>
      <c r="K2954" s="1181" t="str">
        <f>IF(S1SHTAData!W42=0,"",S1SHTAData!W42)</f>
        <v/>
      </c>
      <c r="L2954" s="1181"/>
      <c r="M2954" s="874" t="str">
        <f>IF(S1SHTAData!X42=0,"",S1SHTAData!X42)</f>
        <v/>
      </c>
      <c r="N2954" s="875"/>
      <c r="O2954" s="875"/>
      <c r="P2954" s="876"/>
      <c r="Q2954" s="874" t="str">
        <f>IF(S1SHTAData!Y42=0,"",S1SHTAData!Y42)</f>
        <v/>
      </c>
      <c r="R2954" s="875"/>
      <c r="S2954" s="875"/>
      <c r="T2954" s="876"/>
      <c r="U2954" s="874">
        <f t="shared" si="53"/>
        <v>0</v>
      </c>
      <c r="V2954" s="875"/>
      <c r="W2954" s="875"/>
      <c r="X2954" s="876"/>
      <c r="Y2954" s="866" t="str">
        <f>IF(S1SHTAData!AA42=0,"",S1SHTAData!AA42)</f>
        <v/>
      </c>
      <c r="Z2954" s="900"/>
      <c r="AA2954" s="900"/>
      <c r="AB2954" s="867"/>
      <c r="AC2954" s="518"/>
      <c r="AD2954" s="518"/>
      <c r="AE2954" s="588"/>
      <c r="AF2954" s="529"/>
      <c r="AG2954" s="529"/>
      <c r="AH2954" s="529"/>
      <c r="AJ2954" s="595" t="b">
        <f t="shared" si="54"/>
        <v>0</v>
      </c>
    </row>
    <row r="2955" spans="1:36" hidden="1" x14ac:dyDescent="0.45">
      <c r="A2955" s="518"/>
      <c r="B2955" s="514" t="s">
        <v>1444</v>
      </c>
      <c r="C2955" s="535"/>
      <c r="D2955" s="535"/>
      <c r="E2955" s="535"/>
      <c r="F2955" s="535"/>
      <c r="G2955" s="885" t="str">
        <f>IF(S1SHTAData!L43=0,"",S1SHTAData!L43)</f>
        <v/>
      </c>
      <c r="H2955" s="885"/>
      <c r="I2955" s="890" t="str">
        <f>IF(S1SHTAData!AF43=0,"",S1SHTAData!AF43)</f>
        <v/>
      </c>
      <c r="J2955" s="891"/>
      <c r="K2955" s="1181" t="str">
        <f>IF(S1SHTAData!W43=0,"",S1SHTAData!W43)</f>
        <v/>
      </c>
      <c r="L2955" s="1181"/>
      <c r="M2955" s="874" t="str">
        <f>IF(S1SHTAData!X43=0,"",S1SHTAData!X43)</f>
        <v/>
      </c>
      <c r="N2955" s="875"/>
      <c r="O2955" s="875"/>
      <c r="P2955" s="876"/>
      <c r="Q2955" s="874" t="str">
        <f>IF(S1SHTAData!Y43=0,"",S1SHTAData!Y43)</f>
        <v/>
      </c>
      <c r="R2955" s="875"/>
      <c r="S2955" s="875"/>
      <c r="T2955" s="876"/>
      <c r="U2955" s="874">
        <f t="shared" si="53"/>
        <v>0</v>
      </c>
      <c r="V2955" s="875"/>
      <c r="W2955" s="875"/>
      <c r="X2955" s="876"/>
      <c r="Y2955" s="866" t="str">
        <f>IF(S1SHTAData!AA43=0,"",S1SHTAData!AA43)</f>
        <v/>
      </c>
      <c r="Z2955" s="900"/>
      <c r="AA2955" s="900"/>
      <c r="AB2955" s="867"/>
      <c r="AC2955" s="518"/>
      <c r="AD2955" s="518"/>
      <c r="AE2955" s="588"/>
      <c r="AF2955" s="529"/>
      <c r="AG2955" s="529"/>
      <c r="AH2955" s="529"/>
      <c r="AJ2955" s="595" t="b">
        <f t="shared" si="54"/>
        <v>0</v>
      </c>
    </row>
    <row r="2956" spans="1:36" hidden="1" x14ac:dyDescent="0.45">
      <c r="A2956" s="518"/>
      <c r="B2956" s="514" t="s">
        <v>1445</v>
      </c>
      <c r="C2956" s="535"/>
      <c r="D2956" s="535"/>
      <c r="E2956" s="535"/>
      <c r="F2956" s="535"/>
      <c r="G2956" s="885" t="str">
        <f>IF(S1SHTAData!L44=0,"",S1SHTAData!L44)</f>
        <v/>
      </c>
      <c r="H2956" s="885"/>
      <c r="I2956" s="890" t="str">
        <f>IF(S1SHTAData!AF44=0,"",S1SHTAData!AF44)</f>
        <v/>
      </c>
      <c r="J2956" s="891"/>
      <c r="K2956" s="1181" t="str">
        <f>IF(S1SHTAData!W44=0,"",S1SHTAData!W44)</f>
        <v/>
      </c>
      <c r="L2956" s="1181"/>
      <c r="M2956" s="874" t="str">
        <f>IF(S1SHTAData!X44=0,"",S1SHTAData!X44)</f>
        <v/>
      </c>
      <c r="N2956" s="875"/>
      <c r="O2956" s="875"/>
      <c r="P2956" s="876"/>
      <c r="Q2956" s="874" t="str">
        <f>IF(S1SHTAData!Y44=0,"",S1SHTAData!Y44)</f>
        <v/>
      </c>
      <c r="R2956" s="875"/>
      <c r="S2956" s="875"/>
      <c r="T2956" s="876"/>
      <c r="U2956" s="874">
        <f t="shared" si="53"/>
        <v>0</v>
      </c>
      <c r="V2956" s="875"/>
      <c r="W2956" s="875"/>
      <c r="X2956" s="876"/>
      <c r="Y2956" s="866" t="str">
        <f>IF(S1SHTAData!AA44=0,"",S1SHTAData!AA44)</f>
        <v/>
      </c>
      <c r="Z2956" s="900"/>
      <c r="AA2956" s="900"/>
      <c r="AB2956" s="867"/>
      <c r="AC2956" s="518"/>
      <c r="AD2956" s="518"/>
      <c r="AE2956" s="588"/>
      <c r="AF2956" s="529"/>
      <c r="AG2956" s="529"/>
      <c r="AH2956" s="529"/>
      <c r="AJ2956" s="595" t="b">
        <f t="shared" si="54"/>
        <v>0</v>
      </c>
    </row>
    <row r="2957" spans="1:36" hidden="1" x14ac:dyDescent="0.45">
      <c r="A2957" s="518"/>
      <c r="B2957" s="514" t="s">
        <v>1446</v>
      </c>
      <c r="C2957" s="535"/>
      <c r="D2957" s="535"/>
      <c r="E2957" s="535"/>
      <c r="F2957" s="535"/>
      <c r="G2957" s="885" t="str">
        <f>IF(S1SHTAData!L45=0,"",S1SHTAData!L45)</f>
        <v/>
      </c>
      <c r="H2957" s="885"/>
      <c r="I2957" s="890" t="str">
        <f>IF(S1SHTAData!AF45=0,"",S1SHTAData!AF45)</f>
        <v/>
      </c>
      <c r="J2957" s="891"/>
      <c r="K2957" s="1181" t="str">
        <f>IF(S1SHTAData!W45=0,"",S1SHTAData!W45)</f>
        <v/>
      </c>
      <c r="L2957" s="1181"/>
      <c r="M2957" s="874" t="str">
        <f>IF(S1SHTAData!X45=0,"",S1SHTAData!X45)</f>
        <v/>
      </c>
      <c r="N2957" s="875"/>
      <c r="O2957" s="875"/>
      <c r="P2957" s="876"/>
      <c r="Q2957" s="874" t="str">
        <f>IF(S1SHTAData!Y45=0,"",S1SHTAData!Y45)</f>
        <v/>
      </c>
      <c r="R2957" s="875"/>
      <c r="S2957" s="875"/>
      <c r="T2957" s="876"/>
      <c r="U2957" s="874">
        <f t="shared" si="53"/>
        <v>0</v>
      </c>
      <c r="V2957" s="875"/>
      <c r="W2957" s="875"/>
      <c r="X2957" s="876"/>
      <c r="Y2957" s="866" t="str">
        <f>IF(S1SHTAData!AA45=0,"",S1SHTAData!AA45)</f>
        <v/>
      </c>
      <c r="Z2957" s="900"/>
      <c r="AA2957" s="900"/>
      <c r="AB2957" s="867"/>
      <c r="AC2957" s="518"/>
      <c r="AD2957" s="518"/>
      <c r="AE2957" s="588"/>
      <c r="AF2957" s="529"/>
      <c r="AG2957" s="529"/>
      <c r="AH2957" s="529"/>
      <c r="AJ2957" s="595" t="b">
        <f t="shared" si="54"/>
        <v>0</v>
      </c>
    </row>
    <row r="2958" spans="1:36" hidden="1" x14ac:dyDescent="0.45">
      <c r="B2958" s="514" t="s">
        <v>1447</v>
      </c>
      <c r="C2958" s="535"/>
      <c r="D2958" s="535"/>
      <c r="E2958" s="535"/>
      <c r="F2958" s="535"/>
      <c r="G2958" s="885" t="str">
        <f>IF(S1SHTAData!L46=0,"",S1SHTAData!L46)</f>
        <v/>
      </c>
      <c r="H2958" s="885"/>
      <c r="I2958" s="890" t="str">
        <f>IF(S1SHTAData!AF46=0,"",S1SHTAData!AF46)</f>
        <v/>
      </c>
      <c r="J2958" s="891"/>
      <c r="K2958" s="1181" t="str">
        <f>IF(S1SHTAData!W46=0,"",S1SHTAData!W46)</f>
        <v/>
      </c>
      <c r="L2958" s="1181"/>
      <c r="M2958" s="874" t="str">
        <f>IF(S1SHTAData!X46=0,"",S1SHTAData!X46)</f>
        <v/>
      </c>
      <c r="N2958" s="875"/>
      <c r="O2958" s="875"/>
      <c r="P2958" s="876"/>
      <c r="Q2958" s="874" t="str">
        <f>IF(S1SHTAData!Y46=0,"",S1SHTAData!Y46)</f>
        <v/>
      </c>
      <c r="R2958" s="875"/>
      <c r="S2958" s="875"/>
      <c r="T2958" s="876"/>
      <c r="U2958" s="874">
        <f t="shared" si="53"/>
        <v>0</v>
      </c>
      <c r="V2958" s="875"/>
      <c r="W2958" s="875"/>
      <c r="X2958" s="876"/>
      <c r="Y2958" s="866" t="str">
        <f>IF(S1SHTAData!AA46=0,"",S1SHTAData!AA46)</f>
        <v/>
      </c>
      <c r="Z2958" s="900"/>
      <c r="AA2958" s="900"/>
      <c r="AB2958" s="867"/>
      <c r="AC2958" s="518"/>
      <c r="AD2958" s="518"/>
      <c r="AE2958" s="588"/>
      <c r="AF2958" s="529"/>
      <c r="AG2958" s="529"/>
      <c r="AH2958" s="518"/>
      <c r="AJ2958" s="595" t="b">
        <f t="shared" si="54"/>
        <v>0</v>
      </c>
    </row>
    <row r="2959" spans="1:36" hidden="1" x14ac:dyDescent="0.45">
      <c r="B2959" s="514" t="s">
        <v>1448</v>
      </c>
      <c r="C2959" s="535"/>
      <c r="D2959" s="535"/>
      <c r="E2959" s="535"/>
      <c r="F2959" s="535"/>
      <c r="G2959" s="885" t="str">
        <f>IF(S1SHTAData!L47=0,"",S1SHTAData!L47)</f>
        <v/>
      </c>
      <c r="H2959" s="885"/>
      <c r="I2959" s="890" t="str">
        <f>IF(S1SHTAData!AF47=0,"",S1SHTAData!AF47)</f>
        <v/>
      </c>
      <c r="J2959" s="891"/>
      <c r="K2959" s="1181" t="str">
        <f>IF(S1SHTAData!W47=0,"",S1SHTAData!W47)</f>
        <v/>
      </c>
      <c r="L2959" s="1181"/>
      <c r="M2959" s="874" t="str">
        <f>IF(S1SHTAData!X47=0,"",S1SHTAData!X47)</f>
        <v/>
      </c>
      <c r="N2959" s="875"/>
      <c r="O2959" s="875"/>
      <c r="P2959" s="876"/>
      <c r="Q2959" s="874" t="str">
        <f>IF(S1SHTAData!Y47=0,"",S1SHTAData!Y47)</f>
        <v/>
      </c>
      <c r="R2959" s="875"/>
      <c r="S2959" s="875"/>
      <c r="T2959" s="876"/>
      <c r="U2959" s="874">
        <f t="shared" si="53"/>
        <v>0</v>
      </c>
      <c r="V2959" s="875"/>
      <c r="W2959" s="875"/>
      <c r="X2959" s="876"/>
      <c r="Y2959" s="866" t="str">
        <f>IF(S1SHTAData!AA47=0,"",S1SHTAData!AA47)</f>
        <v/>
      </c>
      <c r="Z2959" s="900"/>
      <c r="AA2959" s="900"/>
      <c r="AB2959" s="867"/>
      <c r="AC2959" s="518"/>
      <c r="AD2959" s="518"/>
      <c r="AE2959" s="588"/>
      <c r="AF2959" s="529"/>
      <c r="AG2959" s="529"/>
      <c r="AH2959" s="518"/>
      <c r="AJ2959" s="595" t="b">
        <f t="shared" si="54"/>
        <v>0</v>
      </c>
    </row>
    <row r="2960" spans="1:36" hidden="1" x14ac:dyDescent="0.45">
      <c r="B2960" s="514" t="s">
        <v>1449</v>
      </c>
      <c r="C2960" s="535"/>
      <c r="D2960" s="535"/>
      <c r="E2960" s="535"/>
      <c r="F2960" s="535"/>
      <c r="G2960" s="885" t="str">
        <f>IF(S1SHTAData!L48=0,"",S1SHTAData!L48)</f>
        <v/>
      </c>
      <c r="H2960" s="885"/>
      <c r="I2960" s="890" t="str">
        <f>IF(S1SHTAData!AF48=0,"",S1SHTAData!AF48)</f>
        <v/>
      </c>
      <c r="J2960" s="891"/>
      <c r="K2960" s="1181" t="str">
        <f>IF(S1SHTAData!W48=0,"",S1SHTAData!W48)</f>
        <v/>
      </c>
      <c r="L2960" s="1181"/>
      <c r="M2960" s="874" t="str">
        <f>IF(S1SHTAData!X48=0,"",S1SHTAData!X48)</f>
        <v/>
      </c>
      <c r="N2960" s="875"/>
      <c r="O2960" s="875"/>
      <c r="P2960" s="876"/>
      <c r="Q2960" s="874" t="str">
        <f>IF(S1SHTAData!Y48=0,"",S1SHTAData!Y48)</f>
        <v/>
      </c>
      <c r="R2960" s="875"/>
      <c r="S2960" s="875"/>
      <c r="T2960" s="876"/>
      <c r="U2960" s="874">
        <f t="shared" si="53"/>
        <v>0</v>
      </c>
      <c r="V2960" s="875"/>
      <c r="W2960" s="875"/>
      <c r="X2960" s="876"/>
      <c r="Y2960" s="866" t="str">
        <f>IF(S1SHTAData!AA48=0,"",S1SHTAData!AA48)</f>
        <v/>
      </c>
      <c r="Z2960" s="900"/>
      <c r="AA2960" s="900"/>
      <c r="AB2960" s="867"/>
      <c r="AC2960" s="518"/>
      <c r="AD2960" s="518"/>
      <c r="AE2960" s="588"/>
      <c r="AF2960" s="529"/>
      <c r="AG2960" s="529"/>
      <c r="AH2960" s="518"/>
      <c r="AJ2960" s="595" t="b">
        <f t="shared" si="54"/>
        <v>0</v>
      </c>
    </row>
    <row r="2961" spans="1:36" hidden="1" x14ac:dyDescent="0.45">
      <c r="B2961" s="514" t="s">
        <v>1450</v>
      </c>
      <c r="C2961" s="535"/>
      <c r="D2961" s="535"/>
      <c r="E2961" s="535"/>
      <c r="F2961" s="535"/>
      <c r="G2961" s="885" t="str">
        <f>IF(S1SHTAData!L49=0,"",S1SHTAData!L49)</f>
        <v/>
      </c>
      <c r="H2961" s="885"/>
      <c r="I2961" s="890" t="str">
        <f>IF(S1SHTAData!AF49=0,"",S1SHTAData!AF49)</f>
        <v/>
      </c>
      <c r="J2961" s="891"/>
      <c r="K2961" s="1181" t="str">
        <f>IF(S1SHTAData!W49=0,"",S1SHTAData!W49)</f>
        <v/>
      </c>
      <c r="L2961" s="1181"/>
      <c r="M2961" s="874" t="str">
        <f>IF(S1SHTAData!X49=0,"",S1SHTAData!X49)</f>
        <v/>
      </c>
      <c r="N2961" s="875"/>
      <c r="O2961" s="875"/>
      <c r="P2961" s="876"/>
      <c r="Q2961" s="874" t="str">
        <f>IF(S1SHTAData!Y49=0,"",S1SHTAData!Y49)</f>
        <v/>
      </c>
      <c r="R2961" s="875"/>
      <c r="S2961" s="875"/>
      <c r="T2961" s="876"/>
      <c r="U2961" s="874">
        <f t="shared" si="53"/>
        <v>0</v>
      </c>
      <c r="V2961" s="875"/>
      <c r="W2961" s="875"/>
      <c r="X2961" s="876"/>
      <c r="Y2961" s="866" t="str">
        <f>IF(S1SHTAData!AA49=0,"",S1SHTAData!AA49)</f>
        <v/>
      </c>
      <c r="Z2961" s="900"/>
      <c r="AA2961" s="900"/>
      <c r="AB2961" s="867"/>
      <c r="AC2961" s="518"/>
      <c r="AD2961" s="518"/>
      <c r="AE2961" s="588"/>
      <c r="AF2961" s="529"/>
      <c r="AG2961" s="529"/>
      <c r="AH2961" s="518"/>
      <c r="AJ2961" s="595" t="b">
        <f t="shared" si="54"/>
        <v>0</v>
      </c>
    </row>
    <row r="2962" spans="1:36" hidden="1" x14ac:dyDescent="0.45">
      <c r="B2962" s="514" t="s">
        <v>1451</v>
      </c>
      <c r="C2962" s="535"/>
      <c r="D2962" s="535"/>
      <c r="E2962" s="535"/>
      <c r="F2962" s="535"/>
      <c r="G2962" s="885" t="str">
        <f>IF(S1SHTAData!L50=0,"",S1SHTAData!L50)</f>
        <v/>
      </c>
      <c r="H2962" s="885"/>
      <c r="I2962" s="890" t="str">
        <f>IF(S1SHTAData!AF50=0,"",S1SHTAData!AF50)</f>
        <v/>
      </c>
      <c r="J2962" s="891"/>
      <c r="K2962" s="1181" t="str">
        <f>IF(S1SHTAData!W50=0,"",S1SHTAData!W50)</f>
        <v/>
      </c>
      <c r="L2962" s="1181"/>
      <c r="M2962" s="874" t="str">
        <f>IF(S1SHTAData!X50=0,"",S1SHTAData!X50)</f>
        <v/>
      </c>
      <c r="N2962" s="875"/>
      <c r="O2962" s="875"/>
      <c r="P2962" s="876"/>
      <c r="Q2962" s="874" t="str">
        <f>IF(S1SHTAData!Y50=0,"",S1SHTAData!Y50)</f>
        <v/>
      </c>
      <c r="R2962" s="875"/>
      <c r="S2962" s="875"/>
      <c r="T2962" s="876"/>
      <c r="U2962" s="874">
        <f t="shared" si="53"/>
        <v>0</v>
      </c>
      <c r="V2962" s="875"/>
      <c r="W2962" s="875"/>
      <c r="X2962" s="876"/>
      <c r="Y2962" s="866" t="str">
        <f>IF(S1SHTAData!AA50=0,"",S1SHTAData!AA50)</f>
        <v/>
      </c>
      <c r="Z2962" s="900"/>
      <c r="AA2962" s="900"/>
      <c r="AB2962" s="867"/>
      <c r="AC2962" s="518"/>
      <c r="AD2962" s="518"/>
      <c r="AE2962" s="588"/>
      <c r="AF2962" s="529"/>
      <c r="AG2962" s="529"/>
      <c r="AH2962" s="518"/>
      <c r="AJ2962" s="595" t="b">
        <f t="shared" si="54"/>
        <v>0</v>
      </c>
    </row>
    <row r="2963" spans="1:36" hidden="1" x14ac:dyDescent="0.45">
      <c r="B2963" s="514" t="s">
        <v>1452</v>
      </c>
      <c r="C2963" s="535"/>
      <c r="D2963" s="535"/>
      <c r="E2963" s="535"/>
      <c r="F2963" s="535"/>
      <c r="G2963" s="885" t="str">
        <f>IF(S1SHTAData!L51=0,"",S1SHTAData!L51)</f>
        <v/>
      </c>
      <c r="H2963" s="885"/>
      <c r="I2963" s="890" t="str">
        <f>IF(S1SHTAData!AF51=0,"",S1SHTAData!AF51)</f>
        <v/>
      </c>
      <c r="J2963" s="891"/>
      <c r="K2963" s="1181" t="str">
        <f>IF(S1SHTAData!W51=0,"",S1SHTAData!W51)</f>
        <v/>
      </c>
      <c r="L2963" s="1181"/>
      <c r="M2963" s="874" t="str">
        <f>IF(S1SHTAData!X51=0,"",S1SHTAData!X51)</f>
        <v/>
      </c>
      <c r="N2963" s="875"/>
      <c r="O2963" s="875"/>
      <c r="P2963" s="876"/>
      <c r="Q2963" s="874" t="str">
        <f>IF(S1SHTAData!Y51=0,"",S1SHTAData!Y51)</f>
        <v/>
      </c>
      <c r="R2963" s="875"/>
      <c r="S2963" s="875"/>
      <c r="T2963" s="876"/>
      <c r="U2963" s="874">
        <f t="shared" si="53"/>
        <v>0</v>
      </c>
      <c r="V2963" s="875"/>
      <c r="W2963" s="875"/>
      <c r="X2963" s="876"/>
      <c r="Y2963" s="866" t="str">
        <f>IF(S1SHTAData!AA51=0,"",S1SHTAData!AA51)</f>
        <v/>
      </c>
      <c r="Z2963" s="900"/>
      <c r="AA2963" s="900"/>
      <c r="AB2963" s="867"/>
      <c r="AC2963" s="518"/>
      <c r="AD2963" s="518"/>
      <c r="AE2963" s="588"/>
      <c r="AF2963" s="529"/>
      <c r="AG2963" s="529"/>
      <c r="AH2963" s="518"/>
      <c r="AJ2963" s="595" t="b">
        <f t="shared" si="54"/>
        <v>0</v>
      </c>
    </row>
    <row r="2964" spans="1:36" hidden="1" x14ac:dyDescent="0.45">
      <c r="B2964" s="514" t="s">
        <v>1453</v>
      </c>
      <c r="C2964" s="535"/>
      <c r="D2964" s="535"/>
      <c r="E2964" s="535"/>
      <c r="F2964" s="535"/>
      <c r="G2964" s="885" t="str">
        <f>IF(S1SHTAData!L52=0,"",S1SHTAData!L52)</f>
        <v/>
      </c>
      <c r="H2964" s="885"/>
      <c r="I2964" s="890" t="str">
        <f>IF(S1SHTAData!AF52=0,"",S1SHTAData!AF52)</f>
        <v/>
      </c>
      <c r="J2964" s="891"/>
      <c r="K2964" s="1181" t="str">
        <f>IF(S1SHTAData!W52=0,"",S1SHTAData!W52)</f>
        <v/>
      </c>
      <c r="L2964" s="1181"/>
      <c r="M2964" s="874" t="str">
        <f>IF(S1SHTAData!X52=0,"",S1SHTAData!X52)</f>
        <v/>
      </c>
      <c r="N2964" s="875"/>
      <c r="O2964" s="875"/>
      <c r="P2964" s="876"/>
      <c r="Q2964" s="874" t="str">
        <f>IF(S1SHTAData!Y52=0,"",S1SHTAData!Y52)</f>
        <v/>
      </c>
      <c r="R2964" s="875"/>
      <c r="S2964" s="875"/>
      <c r="T2964" s="876"/>
      <c r="U2964" s="874">
        <f t="shared" si="53"/>
        <v>0</v>
      </c>
      <c r="V2964" s="875"/>
      <c r="W2964" s="875"/>
      <c r="X2964" s="876"/>
      <c r="Y2964" s="866" t="str">
        <f>IF(S1SHTAData!AA52=0,"",S1SHTAData!AA52)</f>
        <v/>
      </c>
      <c r="Z2964" s="900"/>
      <c r="AA2964" s="900"/>
      <c r="AB2964" s="867"/>
      <c r="AC2964" s="518"/>
      <c r="AD2964" s="518"/>
      <c r="AE2964" s="588"/>
      <c r="AF2964" s="529"/>
      <c r="AG2964" s="529"/>
      <c r="AH2964" s="518"/>
      <c r="AJ2964" s="595" t="b">
        <f t="shared" si="54"/>
        <v>0</v>
      </c>
    </row>
    <row r="2965" spans="1:36" hidden="1" x14ac:dyDescent="0.45">
      <c r="B2965" s="514" t="s">
        <v>1454</v>
      </c>
      <c r="C2965" s="535"/>
      <c r="D2965" s="535"/>
      <c r="E2965" s="535"/>
      <c r="F2965" s="535"/>
      <c r="G2965" s="885" t="str">
        <f>IF(S1SHTAData!L53=0,"",S1SHTAData!L53)</f>
        <v/>
      </c>
      <c r="H2965" s="885"/>
      <c r="I2965" s="890" t="str">
        <f>IF(S1SHTAData!AF53=0,"",S1SHTAData!AF53)</f>
        <v/>
      </c>
      <c r="J2965" s="891"/>
      <c r="K2965" s="1181" t="str">
        <f>IF(S1SHTAData!W53=0,"",S1SHTAData!W53)</f>
        <v/>
      </c>
      <c r="L2965" s="1181"/>
      <c r="M2965" s="874" t="str">
        <f>IF(S1SHTAData!X53=0,"",S1SHTAData!X53)</f>
        <v/>
      </c>
      <c r="N2965" s="875"/>
      <c r="O2965" s="875"/>
      <c r="P2965" s="876"/>
      <c r="Q2965" s="874" t="str">
        <f>IF(S1SHTAData!Y53=0,"",S1SHTAData!Y53)</f>
        <v/>
      </c>
      <c r="R2965" s="875"/>
      <c r="S2965" s="875"/>
      <c r="T2965" s="876"/>
      <c r="U2965" s="874">
        <f t="shared" si="53"/>
        <v>0</v>
      </c>
      <c r="V2965" s="875"/>
      <c r="W2965" s="875"/>
      <c r="X2965" s="876"/>
      <c r="Y2965" s="866" t="str">
        <f>IF(S1SHTAData!AA53=0,"",S1SHTAData!AA53)</f>
        <v/>
      </c>
      <c r="Z2965" s="900"/>
      <c r="AA2965" s="900"/>
      <c r="AB2965" s="867"/>
      <c r="AC2965" s="518"/>
      <c r="AD2965" s="518"/>
      <c r="AE2965" s="588"/>
      <c r="AF2965" s="529"/>
      <c r="AG2965" s="529"/>
      <c r="AH2965" s="518"/>
      <c r="AJ2965" s="595" t="b">
        <f t="shared" si="54"/>
        <v>0</v>
      </c>
    </row>
    <row r="2966" spans="1:36" hidden="1" x14ac:dyDescent="0.45">
      <c r="B2966" s="514" t="s">
        <v>1455</v>
      </c>
      <c r="C2966" s="535"/>
      <c r="D2966" s="535"/>
      <c r="E2966" s="535"/>
      <c r="F2966" s="535"/>
      <c r="G2966" s="885" t="str">
        <f>IF(S1SHTAData!L54=0,"",S1SHTAData!L54)</f>
        <v/>
      </c>
      <c r="H2966" s="885"/>
      <c r="I2966" s="890" t="str">
        <f>IF(S1SHTAData!AF54=0,"",S1SHTAData!AF54)</f>
        <v/>
      </c>
      <c r="J2966" s="891"/>
      <c r="K2966" s="1181" t="str">
        <f>IF(S1SHTAData!W54=0,"",S1SHTAData!W54)</f>
        <v/>
      </c>
      <c r="L2966" s="1181"/>
      <c r="M2966" s="874" t="str">
        <f>IF(S1SHTAData!X54=0,"",S1SHTAData!X54)</f>
        <v/>
      </c>
      <c r="N2966" s="875"/>
      <c r="O2966" s="875"/>
      <c r="P2966" s="876"/>
      <c r="Q2966" s="874" t="str">
        <f>IF(S1SHTAData!Y54=0,"",S1SHTAData!Y54)</f>
        <v/>
      </c>
      <c r="R2966" s="875"/>
      <c r="S2966" s="875"/>
      <c r="T2966" s="876"/>
      <c r="U2966" s="874">
        <f t="shared" si="53"/>
        <v>0</v>
      </c>
      <c r="V2966" s="875"/>
      <c r="W2966" s="875"/>
      <c r="X2966" s="876"/>
      <c r="Y2966" s="866" t="str">
        <f>IF(S1SHTAData!AA54=0,"",S1SHTAData!AA54)</f>
        <v/>
      </c>
      <c r="Z2966" s="900"/>
      <c r="AA2966" s="900"/>
      <c r="AB2966" s="867"/>
      <c r="AC2966" s="518"/>
      <c r="AD2966" s="518"/>
      <c r="AE2966" s="588"/>
      <c r="AF2966" s="529"/>
      <c r="AG2966" s="529"/>
      <c r="AH2966" s="518"/>
      <c r="AJ2966" s="595" t="b">
        <f t="shared" si="54"/>
        <v>0</v>
      </c>
    </row>
    <row r="2967" spans="1:36" hidden="1" x14ac:dyDescent="0.45">
      <c r="B2967" s="514" t="s">
        <v>1456</v>
      </c>
      <c r="C2967" s="535"/>
      <c r="D2967" s="535"/>
      <c r="E2967" s="535"/>
      <c r="F2967" s="535"/>
      <c r="G2967" s="885" t="str">
        <f>IF(S1SHTAData!L55=0,"",S1SHTAData!L55)</f>
        <v/>
      </c>
      <c r="H2967" s="885"/>
      <c r="I2967" s="890" t="str">
        <f>IF(S1SHTAData!AF55=0,"",S1SHTAData!AF55)</f>
        <v/>
      </c>
      <c r="J2967" s="891"/>
      <c r="K2967" s="1181" t="str">
        <f>IF(S1SHTAData!W55=0,"",S1SHTAData!W55)</f>
        <v/>
      </c>
      <c r="L2967" s="1181"/>
      <c r="M2967" s="874" t="str">
        <f>IF(S1SHTAData!X55=0,"",S1SHTAData!X55)</f>
        <v/>
      </c>
      <c r="N2967" s="875"/>
      <c r="O2967" s="875"/>
      <c r="P2967" s="876"/>
      <c r="Q2967" s="874" t="str">
        <f>IF(S1SHTAData!Y55=0,"",S1SHTAData!Y55)</f>
        <v/>
      </c>
      <c r="R2967" s="875"/>
      <c r="S2967" s="875"/>
      <c r="T2967" s="876"/>
      <c r="U2967" s="874">
        <f t="shared" si="53"/>
        <v>0</v>
      </c>
      <c r="V2967" s="875"/>
      <c r="W2967" s="875"/>
      <c r="X2967" s="876"/>
      <c r="Y2967" s="866" t="str">
        <f>IF(S1SHTAData!AA55=0,"",S1SHTAData!AA55)</f>
        <v/>
      </c>
      <c r="Z2967" s="900"/>
      <c r="AA2967" s="900"/>
      <c r="AB2967" s="867"/>
      <c r="AC2967" s="518"/>
      <c r="AD2967" s="518"/>
      <c r="AE2967" s="588"/>
      <c r="AF2967" s="529"/>
      <c r="AG2967" s="529"/>
      <c r="AH2967" s="518"/>
      <c r="AJ2967" s="595" t="b">
        <f t="shared" si="54"/>
        <v>0</v>
      </c>
    </row>
    <row r="2968" spans="1:36" hidden="1" x14ac:dyDescent="0.45">
      <c r="B2968" s="514" t="s">
        <v>1457</v>
      </c>
      <c r="C2968" s="535"/>
      <c r="D2968" s="535"/>
      <c r="E2968" s="535"/>
      <c r="F2968" s="535"/>
      <c r="G2968" s="885" t="str">
        <f>IF(S1SHTAData!L56=0,"",S1SHTAData!L56)</f>
        <v/>
      </c>
      <c r="H2968" s="885"/>
      <c r="I2968" s="890" t="str">
        <f>IF(S1SHTAData!AF56=0,"",S1SHTAData!AF56)</f>
        <v/>
      </c>
      <c r="J2968" s="891"/>
      <c r="K2968" s="1181" t="str">
        <f>IF(S1SHTAData!W56=0,"",S1SHTAData!W56)</f>
        <v/>
      </c>
      <c r="L2968" s="1181"/>
      <c r="M2968" s="874" t="str">
        <f>IF(S1SHTAData!X56=0,"",S1SHTAData!X56)</f>
        <v/>
      </c>
      <c r="N2968" s="875"/>
      <c r="O2968" s="875"/>
      <c r="P2968" s="876"/>
      <c r="Q2968" s="874" t="str">
        <f>IF(S1SHTAData!Y56=0,"",S1SHTAData!Y56)</f>
        <v/>
      </c>
      <c r="R2968" s="875"/>
      <c r="S2968" s="875"/>
      <c r="T2968" s="876"/>
      <c r="U2968" s="874">
        <f t="shared" si="53"/>
        <v>0</v>
      </c>
      <c r="V2968" s="875"/>
      <c r="W2968" s="875"/>
      <c r="X2968" s="876"/>
      <c r="Y2968" s="866" t="str">
        <f>IF(S1SHTAData!AA56=0,"",S1SHTAData!AA56)</f>
        <v/>
      </c>
      <c r="Z2968" s="900"/>
      <c r="AA2968" s="900"/>
      <c r="AB2968" s="867"/>
      <c r="AC2968" s="518"/>
      <c r="AD2968" s="518"/>
      <c r="AE2968" s="588"/>
      <c r="AF2968" s="529"/>
      <c r="AG2968" s="529"/>
      <c r="AH2968" s="518"/>
      <c r="AJ2968" s="595" t="b">
        <f t="shared" si="54"/>
        <v>0</v>
      </c>
    </row>
    <row r="2969" spans="1:36" hidden="1" x14ac:dyDescent="0.45">
      <c r="B2969" s="514" t="s">
        <v>1458</v>
      </c>
      <c r="C2969" s="535"/>
      <c r="D2969" s="535"/>
      <c r="E2969" s="535"/>
      <c r="F2969" s="535"/>
      <c r="G2969" s="885" t="str">
        <f>IF(S1SHTAData!L57=0,"",S1SHTAData!L57)</f>
        <v/>
      </c>
      <c r="H2969" s="885"/>
      <c r="I2969" s="890" t="str">
        <f>IF(S1SHTAData!AF57=0,"",S1SHTAData!AF57)</f>
        <v/>
      </c>
      <c r="J2969" s="891"/>
      <c r="K2969" s="1181" t="str">
        <f>IF(S1SHTAData!W57=0,"",S1SHTAData!W57)</f>
        <v/>
      </c>
      <c r="L2969" s="1181"/>
      <c r="M2969" s="874" t="str">
        <f>IF(S1SHTAData!X57=0,"",S1SHTAData!X57)</f>
        <v/>
      </c>
      <c r="N2969" s="875"/>
      <c r="O2969" s="875"/>
      <c r="P2969" s="876"/>
      <c r="Q2969" s="874" t="str">
        <f>IF(S1SHTAData!Y57=0,"",S1SHTAData!Y57)</f>
        <v/>
      </c>
      <c r="R2969" s="875"/>
      <c r="S2969" s="875"/>
      <c r="T2969" s="876"/>
      <c r="U2969" s="874">
        <f t="shared" si="53"/>
        <v>0</v>
      </c>
      <c r="V2969" s="875"/>
      <c r="W2969" s="875"/>
      <c r="X2969" s="876"/>
      <c r="Y2969" s="866" t="str">
        <f>IF(S1SHTAData!AA57=0,"",S1SHTAData!AA57)</f>
        <v/>
      </c>
      <c r="Z2969" s="900"/>
      <c r="AA2969" s="900"/>
      <c r="AB2969" s="867"/>
      <c r="AC2969" s="518"/>
      <c r="AD2969" s="518"/>
      <c r="AE2969" s="588"/>
      <c r="AF2969" s="529"/>
      <c r="AG2969" s="529"/>
      <c r="AH2969" s="518"/>
      <c r="AJ2969" s="595" t="b">
        <f t="shared" si="54"/>
        <v>0</v>
      </c>
    </row>
    <row r="2970" spans="1:36" hidden="1" x14ac:dyDescent="0.45">
      <c r="B2970" s="514" t="s">
        <v>1459</v>
      </c>
      <c r="C2970" s="535"/>
      <c r="D2970" s="535"/>
      <c r="E2970" s="535"/>
      <c r="F2970" s="535"/>
      <c r="G2970" s="885" t="str">
        <f>IF(S1SHTAData!L58=0,"",S1SHTAData!L58)</f>
        <v/>
      </c>
      <c r="H2970" s="885"/>
      <c r="I2970" s="890" t="str">
        <f>IF(S1SHTAData!AF58=0,"",S1SHTAData!AF58)</f>
        <v/>
      </c>
      <c r="J2970" s="891"/>
      <c r="K2970" s="1181" t="str">
        <f>IF(S1SHTAData!W58=0,"",S1SHTAData!W58)</f>
        <v/>
      </c>
      <c r="L2970" s="1181"/>
      <c r="M2970" s="874" t="str">
        <f>IF(S1SHTAData!X58=0,"",S1SHTAData!X58)</f>
        <v/>
      </c>
      <c r="N2970" s="875"/>
      <c r="O2970" s="875"/>
      <c r="P2970" s="876"/>
      <c r="Q2970" s="874" t="str">
        <f>IF(S1SHTAData!Y58=0,"",S1SHTAData!Y58)</f>
        <v/>
      </c>
      <c r="R2970" s="875"/>
      <c r="S2970" s="875"/>
      <c r="T2970" s="876"/>
      <c r="U2970" s="874">
        <f t="shared" si="53"/>
        <v>0</v>
      </c>
      <c r="V2970" s="875"/>
      <c r="W2970" s="875"/>
      <c r="X2970" s="876"/>
      <c r="Y2970" s="866" t="str">
        <f>IF(S1SHTAData!AA58=0,"",S1SHTAData!AA58)</f>
        <v/>
      </c>
      <c r="Z2970" s="900"/>
      <c r="AA2970" s="900"/>
      <c r="AB2970" s="867"/>
      <c r="AC2970" s="518"/>
      <c r="AD2970" s="518"/>
      <c r="AE2970" s="588"/>
      <c r="AF2970" s="529"/>
      <c r="AG2970" s="529"/>
      <c r="AH2970" s="518"/>
      <c r="AJ2970" s="595" t="b">
        <f t="shared" si="54"/>
        <v>0</v>
      </c>
    </row>
    <row r="2971" spans="1:36" hidden="1" x14ac:dyDescent="0.45">
      <c r="A2971" s="518"/>
      <c r="B2971" s="514" t="s">
        <v>1460</v>
      </c>
      <c r="C2971" s="535"/>
      <c r="D2971" s="535"/>
      <c r="E2971" s="535"/>
      <c r="F2971" s="535"/>
      <c r="G2971" s="885" t="str">
        <f>IF(S1SHTAData!L59=0,"",S1SHTAData!L59)</f>
        <v/>
      </c>
      <c r="H2971" s="885"/>
      <c r="I2971" s="890" t="str">
        <f>IF(S1SHTAData!AF59=0,"",S1SHTAData!AF59)</f>
        <v/>
      </c>
      <c r="J2971" s="891"/>
      <c r="K2971" s="1181" t="str">
        <f>IF(S1SHTAData!W59=0,"",S1SHTAData!W59)</f>
        <v/>
      </c>
      <c r="L2971" s="1181"/>
      <c r="M2971" s="874" t="str">
        <f>IF(S1SHTAData!X59=0,"",S1SHTAData!X59)</f>
        <v/>
      </c>
      <c r="N2971" s="875"/>
      <c r="O2971" s="875"/>
      <c r="P2971" s="876"/>
      <c r="Q2971" s="874" t="str">
        <f>IF(S1SHTAData!Y59=0,"",S1SHTAData!Y59)</f>
        <v/>
      </c>
      <c r="R2971" s="875"/>
      <c r="S2971" s="875"/>
      <c r="T2971" s="876"/>
      <c r="U2971" s="874">
        <f t="shared" si="53"/>
        <v>0</v>
      </c>
      <c r="V2971" s="875"/>
      <c r="W2971" s="875"/>
      <c r="X2971" s="876"/>
      <c r="Y2971" s="866" t="str">
        <f>IF(S1SHTAData!AA59=0,"",S1SHTAData!AA59)</f>
        <v/>
      </c>
      <c r="Z2971" s="900"/>
      <c r="AA2971" s="900"/>
      <c r="AB2971" s="867"/>
      <c r="AC2971" s="518"/>
      <c r="AD2971" s="518"/>
      <c r="AE2971" s="588"/>
      <c r="AF2971" s="529"/>
      <c r="AG2971" s="529"/>
      <c r="AH2971" s="518"/>
      <c r="AJ2971" s="595" t="b">
        <f t="shared" si="54"/>
        <v>0</v>
      </c>
    </row>
    <row r="2972" spans="1:36" hidden="1" x14ac:dyDescent="0.45">
      <c r="A2972" s="518"/>
      <c r="B2972" s="514" t="s">
        <v>1461</v>
      </c>
      <c r="C2972" s="535"/>
      <c r="D2972" s="535"/>
      <c r="E2972" s="535"/>
      <c r="F2972" s="535"/>
      <c r="G2972" s="885" t="str">
        <f>IF(S1SHTAData!L60=0,"",S1SHTAData!L60)</f>
        <v/>
      </c>
      <c r="H2972" s="885"/>
      <c r="I2972" s="890" t="str">
        <f>IF(S1SHTAData!AF60=0,"",S1SHTAData!AF60)</f>
        <v/>
      </c>
      <c r="J2972" s="891"/>
      <c r="K2972" s="1181" t="str">
        <f>IF(S1SHTAData!W60=0,"",S1SHTAData!W60)</f>
        <v/>
      </c>
      <c r="L2972" s="1181"/>
      <c r="M2972" s="874" t="str">
        <f>IF(S1SHTAData!X60=0,"",S1SHTAData!X60)</f>
        <v/>
      </c>
      <c r="N2972" s="875"/>
      <c r="O2972" s="875"/>
      <c r="P2972" s="876"/>
      <c r="Q2972" s="874" t="str">
        <f>IF(S1SHTAData!Y60=0,"",S1SHTAData!Y60)</f>
        <v/>
      </c>
      <c r="R2972" s="875"/>
      <c r="S2972" s="875"/>
      <c r="T2972" s="876"/>
      <c r="U2972" s="874">
        <f t="shared" si="53"/>
        <v>0</v>
      </c>
      <c r="V2972" s="875"/>
      <c r="W2972" s="875"/>
      <c r="X2972" s="876"/>
      <c r="Y2972" s="866" t="str">
        <f>IF(S1SHTAData!AA60=0,"",S1SHTAData!AA60)</f>
        <v/>
      </c>
      <c r="Z2972" s="900"/>
      <c r="AA2972" s="900"/>
      <c r="AB2972" s="867"/>
      <c r="AC2972" s="518"/>
      <c r="AD2972" s="518"/>
      <c r="AE2972" s="588"/>
      <c r="AF2972" s="529"/>
      <c r="AG2972" s="529"/>
      <c r="AH2972" s="518"/>
      <c r="AJ2972" s="595" t="b">
        <f t="shared" si="54"/>
        <v>0</v>
      </c>
    </row>
    <row r="2973" spans="1:36" hidden="1" x14ac:dyDescent="0.45">
      <c r="A2973" s="518"/>
      <c r="B2973" s="518"/>
      <c r="C2973" s="518"/>
      <c r="D2973" s="518"/>
      <c r="E2973" s="518"/>
      <c r="F2973" s="518"/>
      <c r="G2973" s="518"/>
      <c r="H2973" s="518"/>
      <c r="I2973" s="518"/>
      <c r="J2973" s="518"/>
      <c r="K2973" s="518"/>
      <c r="L2973" s="518"/>
      <c r="M2973" s="518"/>
      <c r="N2973" s="518"/>
      <c r="O2973" s="518"/>
      <c r="P2973" s="518"/>
      <c r="Q2973" s="518"/>
      <c r="R2973" s="518"/>
      <c r="S2973" s="518"/>
      <c r="T2973" s="518"/>
      <c r="U2973" s="518"/>
      <c r="V2973" s="518"/>
      <c r="W2973" s="518"/>
      <c r="X2973" s="518"/>
      <c r="Y2973" s="518"/>
      <c r="Z2973" s="518"/>
      <c r="AA2973" s="518"/>
      <c r="AB2973" s="518"/>
      <c r="AC2973" s="518"/>
      <c r="AD2973" s="518"/>
      <c r="AE2973" s="518"/>
      <c r="AF2973" s="518"/>
      <c r="AG2973" s="518"/>
      <c r="AH2973" s="518"/>
      <c r="AJ2973" s="595" t="b">
        <f>AJ2908</f>
        <v>0</v>
      </c>
    </row>
    <row r="2974" spans="1:36" hidden="1" x14ac:dyDescent="0.45">
      <c r="A2974" s="518"/>
      <c r="B2974" s="917" t="s">
        <v>173</v>
      </c>
      <c r="C2974" s="918"/>
      <c r="D2974" s="918"/>
      <c r="E2974" s="918"/>
      <c r="F2974" s="918"/>
      <c r="G2974" s="931"/>
      <c r="H2974" s="919">
        <v>202500</v>
      </c>
      <c r="I2974" s="920"/>
      <c r="J2974" s="920"/>
      <c r="K2974" s="920"/>
      <c r="L2974" s="920"/>
      <c r="M2974" s="920"/>
      <c r="N2974" s="921"/>
      <c r="O2974" s="518"/>
      <c r="P2974" s="518"/>
      <c r="Q2974" s="518"/>
      <c r="R2974" s="518"/>
      <c r="S2974" s="518"/>
      <c r="T2974" s="518"/>
      <c r="U2974" s="518"/>
      <c r="V2974" s="518"/>
      <c r="W2974" s="518"/>
      <c r="X2974" s="518"/>
      <c r="Y2974" s="518"/>
      <c r="Z2974" s="518"/>
      <c r="AA2974" s="518"/>
      <c r="AB2974" s="518"/>
      <c r="AC2974" s="518"/>
      <c r="AD2974" s="518"/>
      <c r="AE2974" s="518"/>
      <c r="AF2974" s="518"/>
      <c r="AG2974" s="518"/>
      <c r="AH2974" s="518"/>
      <c r="AJ2974" s="595"/>
    </row>
    <row r="2975" spans="1:36" hidden="1" x14ac:dyDescent="0.45">
      <c r="A2975" s="518"/>
      <c r="B2975" s="541"/>
      <c r="C2975" s="541"/>
      <c r="D2975" s="541"/>
      <c r="E2975" s="541"/>
      <c r="F2975" s="541"/>
      <c r="G2975" s="541"/>
      <c r="H2975" s="541"/>
      <c r="I2975" s="541"/>
      <c r="J2975" s="541"/>
      <c r="K2975" s="541"/>
      <c r="L2975" s="541"/>
      <c r="M2975" s="541"/>
      <c r="N2975" s="541"/>
      <c r="O2975" s="541"/>
      <c r="P2975" s="541"/>
      <c r="Q2975" s="518"/>
      <c r="R2975" s="518"/>
      <c r="S2975" s="518"/>
      <c r="T2975" s="518"/>
      <c r="U2975" s="518"/>
      <c r="V2975" s="518"/>
      <c r="W2975" s="518"/>
      <c r="X2975" s="518"/>
      <c r="Y2975" s="518"/>
      <c r="Z2975" s="518"/>
      <c r="AA2975" s="518"/>
      <c r="AB2975" s="518"/>
      <c r="AC2975" s="518"/>
      <c r="AD2975" s="518"/>
      <c r="AE2975" s="518"/>
      <c r="AF2975" s="518"/>
      <c r="AG2975" s="518"/>
      <c r="AH2975" s="518"/>
      <c r="AJ2975" s="595"/>
    </row>
    <row r="2976" spans="1:36" hidden="1" x14ac:dyDescent="0.45">
      <c r="A2976" s="518"/>
      <c r="B2976" s="518" t="s">
        <v>1854</v>
      </c>
      <c r="C2976" s="518"/>
      <c r="D2976" s="518"/>
      <c r="E2976" s="518"/>
      <c r="F2976" s="518"/>
      <c r="G2976" s="518"/>
      <c r="H2976" s="518"/>
      <c r="I2976" s="518"/>
      <c r="J2976" s="518"/>
      <c r="K2976" s="518"/>
      <c r="L2976" s="518"/>
      <c r="M2976" s="518"/>
      <c r="N2976" s="518"/>
      <c r="O2976" s="518"/>
      <c r="P2976" s="518"/>
      <c r="Q2976" s="518"/>
      <c r="R2976" s="518"/>
      <c r="S2976" s="518"/>
      <c r="T2976" s="518"/>
      <c r="U2976" s="518"/>
      <c r="V2976" s="518"/>
      <c r="W2976" s="518"/>
      <c r="X2976" s="518"/>
      <c r="Y2976" s="518"/>
      <c r="Z2976" s="518"/>
      <c r="AA2976" s="518"/>
      <c r="AB2976" s="518"/>
      <c r="AC2976" s="518"/>
      <c r="AD2976" s="518"/>
      <c r="AE2976" s="518"/>
      <c r="AF2976" s="518"/>
      <c r="AG2976" s="518"/>
      <c r="AH2976" s="518"/>
      <c r="AJ2976" s="595"/>
    </row>
    <row r="2977" spans="1:37" hidden="1" x14ac:dyDescent="0.45">
      <c r="A2977" s="518"/>
      <c r="B2977" s="932" t="s">
        <v>174</v>
      </c>
      <c r="C2977" s="933"/>
      <c r="D2977" s="933"/>
      <c r="E2977" s="933"/>
      <c r="F2977" s="933"/>
      <c r="G2977" s="933"/>
      <c r="H2977" s="933"/>
      <c r="I2977" s="933"/>
      <c r="J2977" s="933"/>
      <c r="K2977" s="933"/>
      <c r="L2977" s="933"/>
      <c r="M2977" s="933"/>
      <c r="N2977" s="934"/>
      <c r="O2977" s="878"/>
      <c r="P2977" s="879"/>
      <c r="Q2977" s="880"/>
      <c r="R2977" s="518"/>
      <c r="S2977" s="518"/>
      <c r="T2977" s="518"/>
      <c r="U2977" s="518"/>
      <c r="V2977" s="518"/>
      <c r="W2977" s="518"/>
      <c r="X2977" s="518"/>
      <c r="Y2977" s="518"/>
      <c r="Z2977" s="518"/>
      <c r="AA2977" s="518"/>
      <c r="AB2977" s="518"/>
      <c r="AC2977" s="518"/>
      <c r="AD2977" s="518"/>
      <c r="AE2977" s="518"/>
      <c r="AF2977" s="518"/>
      <c r="AG2977" s="518"/>
      <c r="AH2977" s="518"/>
      <c r="AJ2977" s="595"/>
    </row>
    <row r="2978" spans="1:37" hidden="1" x14ac:dyDescent="0.45">
      <c r="A2978" s="518"/>
      <c r="B2978" s="932" t="s">
        <v>175</v>
      </c>
      <c r="C2978" s="933"/>
      <c r="D2978" s="933"/>
      <c r="E2978" s="933"/>
      <c r="F2978" s="933"/>
      <c r="G2978" s="933"/>
      <c r="H2978" s="933"/>
      <c r="I2978" s="933"/>
      <c r="J2978" s="933"/>
      <c r="K2978" s="933"/>
      <c r="L2978" s="933"/>
      <c r="M2978" s="933"/>
      <c r="N2978" s="934"/>
      <c r="O2978" s="878"/>
      <c r="P2978" s="879"/>
      <c r="Q2978" s="880"/>
      <c r="R2978" s="518"/>
      <c r="S2978" s="518"/>
      <c r="T2978" s="518"/>
      <c r="U2978" s="518"/>
      <c r="V2978" s="518"/>
      <c r="W2978" s="518"/>
      <c r="X2978" s="518"/>
      <c r="Y2978" s="518"/>
      <c r="Z2978" s="518"/>
      <c r="AA2978" s="518"/>
      <c r="AB2978" s="518"/>
      <c r="AC2978" s="518"/>
      <c r="AD2978" s="518"/>
      <c r="AE2978" s="518"/>
      <c r="AF2978" s="518"/>
      <c r="AG2978" s="518"/>
      <c r="AH2978" s="518"/>
      <c r="AJ2978" s="595"/>
    </row>
    <row r="2979" spans="1:37" hidden="1" x14ac:dyDescent="0.45">
      <c r="A2979" s="518"/>
      <c r="B2979" s="932" t="s">
        <v>176</v>
      </c>
      <c r="C2979" s="933"/>
      <c r="D2979" s="933"/>
      <c r="E2979" s="933"/>
      <c r="F2979" s="933"/>
      <c r="G2979" s="933"/>
      <c r="H2979" s="933"/>
      <c r="I2979" s="933"/>
      <c r="J2979" s="933"/>
      <c r="K2979" s="933"/>
      <c r="L2979" s="933"/>
      <c r="M2979" s="933"/>
      <c r="N2979" s="934"/>
      <c r="O2979" s="878"/>
      <c r="P2979" s="879"/>
      <c r="Q2979" s="880"/>
      <c r="R2979" s="518"/>
      <c r="S2979" s="518"/>
      <c r="T2979" s="518"/>
      <c r="U2979" s="518"/>
      <c r="V2979" s="518"/>
      <c r="W2979" s="518"/>
      <c r="X2979" s="518"/>
      <c r="Y2979" s="518"/>
      <c r="Z2979" s="518"/>
      <c r="AA2979" s="518"/>
      <c r="AB2979" s="518"/>
      <c r="AC2979" s="518"/>
      <c r="AD2979" s="518"/>
      <c r="AE2979" s="518"/>
      <c r="AF2979" s="518"/>
      <c r="AG2979" s="518"/>
      <c r="AH2979" s="518"/>
      <c r="AJ2979" s="595"/>
    </row>
    <row r="2980" spans="1:37" hidden="1" x14ac:dyDescent="0.45">
      <c r="A2980" s="518"/>
      <c r="B2980" s="932" t="s">
        <v>177</v>
      </c>
      <c r="C2980" s="933"/>
      <c r="D2980" s="933"/>
      <c r="E2980" s="933"/>
      <c r="F2980" s="933"/>
      <c r="G2980" s="933"/>
      <c r="H2980" s="933"/>
      <c r="I2980" s="933"/>
      <c r="J2980" s="933"/>
      <c r="K2980" s="933"/>
      <c r="L2980" s="933"/>
      <c r="M2980" s="933"/>
      <c r="N2980" s="934"/>
      <c r="O2980" s="878"/>
      <c r="P2980" s="879"/>
      <c r="Q2980" s="880"/>
      <c r="R2980" s="518"/>
      <c r="S2980" s="518"/>
      <c r="T2980" s="518"/>
      <c r="U2980" s="518"/>
      <c r="V2980" s="518"/>
      <c r="W2980" s="518"/>
      <c r="X2980" s="518"/>
      <c r="Y2980" s="518"/>
      <c r="Z2980" s="518"/>
      <c r="AA2980" s="518"/>
      <c r="AB2980" s="518"/>
      <c r="AC2980" s="518"/>
      <c r="AD2980" s="518"/>
      <c r="AE2980" s="518"/>
      <c r="AF2980" s="518"/>
      <c r="AG2980" s="518"/>
      <c r="AH2980" s="518"/>
      <c r="AJ2980" s="595"/>
    </row>
    <row r="2981" spans="1:37" hidden="1" x14ac:dyDescent="0.45">
      <c r="A2981" s="518"/>
      <c r="B2981" s="932" t="s">
        <v>178</v>
      </c>
      <c r="C2981" s="933"/>
      <c r="D2981" s="933"/>
      <c r="E2981" s="933"/>
      <c r="F2981" s="933"/>
      <c r="G2981" s="933"/>
      <c r="H2981" s="933"/>
      <c r="I2981" s="933"/>
      <c r="J2981" s="933"/>
      <c r="K2981" s="933"/>
      <c r="L2981" s="933"/>
      <c r="M2981" s="933"/>
      <c r="N2981" s="934"/>
      <c r="O2981" s="878"/>
      <c r="P2981" s="879"/>
      <c r="Q2981" s="880"/>
      <c r="R2981" s="518"/>
      <c r="S2981" s="518"/>
      <c r="T2981" s="518"/>
      <c r="U2981" s="518"/>
      <c r="V2981" s="518"/>
      <c r="W2981" s="518"/>
      <c r="X2981" s="518"/>
      <c r="Y2981" s="518"/>
      <c r="Z2981" s="518"/>
      <c r="AA2981" s="518"/>
      <c r="AB2981" s="518"/>
      <c r="AC2981" s="518"/>
      <c r="AD2981" s="518"/>
      <c r="AE2981" s="518"/>
      <c r="AF2981" s="518"/>
      <c r="AG2981" s="518"/>
      <c r="AH2981" s="518"/>
      <c r="AJ2981" s="595"/>
    </row>
    <row r="2982" spans="1:37" hidden="1" x14ac:dyDescent="0.45">
      <c r="A2982" s="518"/>
      <c r="B2982" s="932" t="s">
        <v>179</v>
      </c>
      <c r="C2982" s="933"/>
      <c r="D2982" s="933"/>
      <c r="E2982" s="933"/>
      <c r="F2982" s="933"/>
      <c r="G2982" s="933"/>
      <c r="H2982" s="933"/>
      <c r="I2982" s="933"/>
      <c r="J2982" s="933"/>
      <c r="K2982" s="933"/>
      <c r="L2982" s="933"/>
      <c r="M2982" s="933"/>
      <c r="N2982" s="934"/>
      <c r="O2982" s="878"/>
      <c r="P2982" s="879"/>
      <c r="Q2982" s="880"/>
      <c r="R2982" s="518"/>
      <c r="S2982" s="518"/>
      <c r="T2982" s="518"/>
      <c r="U2982" s="518"/>
      <c r="V2982" s="518"/>
      <c r="W2982" s="518"/>
      <c r="X2982" s="518"/>
      <c r="Y2982" s="518"/>
      <c r="Z2982" s="518"/>
      <c r="AA2982" s="518"/>
      <c r="AB2982" s="518"/>
      <c r="AC2982" s="518"/>
      <c r="AD2982" s="518"/>
      <c r="AE2982" s="518"/>
      <c r="AF2982" s="518"/>
      <c r="AG2982" s="518"/>
      <c r="AH2982" s="518"/>
      <c r="AJ2982" s="595"/>
    </row>
    <row r="2983" spans="1:37" hidden="1" x14ac:dyDescent="0.45">
      <c r="A2983" s="518"/>
      <c r="B2983" s="932" t="s">
        <v>180</v>
      </c>
      <c r="C2983" s="933"/>
      <c r="D2983" s="933"/>
      <c r="E2983" s="933"/>
      <c r="F2983" s="933"/>
      <c r="G2983" s="933"/>
      <c r="H2983" s="933"/>
      <c r="I2983" s="933"/>
      <c r="J2983" s="933"/>
      <c r="K2983" s="933"/>
      <c r="L2983" s="933"/>
      <c r="M2983" s="933"/>
      <c r="N2983" s="934"/>
      <c r="O2983" s="878"/>
      <c r="P2983" s="879"/>
      <c r="Q2983" s="880"/>
      <c r="R2983" s="518"/>
      <c r="S2983" s="518"/>
      <c r="T2983" s="518"/>
      <c r="U2983" s="518"/>
      <c r="V2983" s="518"/>
      <c r="W2983" s="518"/>
      <c r="X2983" s="518"/>
      <c r="Y2983" s="518"/>
      <c r="Z2983" s="518"/>
      <c r="AA2983" s="518"/>
      <c r="AB2983" s="518"/>
      <c r="AC2983" s="518"/>
      <c r="AD2983" s="518"/>
      <c r="AE2983" s="518"/>
      <c r="AF2983" s="518"/>
      <c r="AG2983" s="518"/>
      <c r="AH2983" s="518"/>
      <c r="AJ2983" s="595"/>
    </row>
    <row r="2984" spans="1:37" hidden="1" x14ac:dyDescent="0.45">
      <c r="A2984" s="518"/>
      <c r="B2984" s="932" t="s">
        <v>1808</v>
      </c>
      <c r="C2984" s="933"/>
      <c r="D2984" s="933"/>
      <c r="E2984" s="933"/>
      <c r="F2984" s="933"/>
      <c r="G2984" s="933"/>
      <c r="H2984" s="933"/>
      <c r="I2984" s="933"/>
      <c r="J2984" s="933"/>
      <c r="K2984" s="933"/>
      <c r="L2984" s="933"/>
      <c r="M2984" s="933"/>
      <c r="N2984" s="934"/>
      <c r="O2984" s="878"/>
      <c r="P2984" s="879"/>
      <c r="Q2984" s="880"/>
      <c r="R2984" s="518"/>
      <c r="S2984" s="518"/>
      <c r="T2984" s="518"/>
      <c r="U2984" s="518"/>
      <c r="V2984" s="518"/>
      <c r="W2984" s="518"/>
      <c r="X2984" s="518"/>
      <c r="Y2984" s="518"/>
      <c r="Z2984" s="518"/>
      <c r="AA2984" s="518"/>
      <c r="AB2984" s="518"/>
      <c r="AC2984" s="518"/>
      <c r="AD2984" s="518"/>
      <c r="AE2984" s="518"/>
      <c r="AF2984" s="518"/>
      <c r="AG2984" s="518"/>
      <c r="AH2984" s="518"/>
      <c r="AJ2984" s="595"/>
    </row>
    <row r="2985" spans="1:37" hidden="1" x14ac:dyDescent="0.45">
      <c r="A2985" s="518"/>
      <c r="B2985" s="1168" t="s">
        <v>181</v>
      </c>
      <c r="C2985" s="1169"/>
      <c r="D2985" s="1169"/>
      <c r="E2985" s="1169"/>
      <c r="F2985" s="1169"/>
      <c r="G2985" s="1169"/>
      <c r="H2985" s="1169"/>
      <c r="I2985" s="1169"/>
      <c r="J2985" s="1169"/>
      <c r="K2985" s="1169"/>
      <c r="L2985" s="1169"/>
      <c r="M2985" s="1169"/>
      <c r="N2985" s="1170"/>
      <c r="O2985" s="927"/>
      <c r="P2985" s="928"/>
      <c r="Q2985" s="929"/>
      <c r="R2985" s="518"/>
      <c r="S2985" s="518"/>
      <c r="T2985" s="518"/>
      <c r="U2985" s="518"/>
      <c r="V2985" s="518"/>
      <c r="W2985" s="518"/>
      <c r="X2985" s="518"/>
      <c r="Y2985" s="518"/>
      <c r="Z2985" s="518"/>
      <c r="AA2985" s="518"/>
      <c r="AB2985" s="518"/>
      <c r="AC2985" s="518"/>
      <c r="AD2985" s="518"/>
      <c r="AE2985" s="518"/>
      <c r="AF2985" s="518"/>
      <c r="AG2985" s="518"/>
      <c r="AH2985" s="518"/>
      <c r="AJ2985" s="595"/>
    </row>
    <row r="2986" spans="1:37" hidden="1" x14ac:dyDescent="0.45">
      <c r="A2986" s="518"/>
      <c r="B2986" s="1171" t="s">
        <v>182</v>
      </c>
      <c r="C2986" s="1172"/>
      <c r="D2986" s="1172"/>
      <c r="E2986" s="1172"/>
      <c r="F2986" s="1172"/>
      <c r="G2986" s="1172"/>
      <c r="H2986" s="1172"/>
      <c r="I2986" s="1172"/>
      <c r="J2986" s="1172"/>
      <c r="K2986" s="1172"/>
      <c r="L2986" s="1172"/>
      <c r="M2986" s="1172"/>
      <c r="N2986" s="1173"/>
      <c r="O2986" s="878">
        <f>SUM(O2977:Q2984)-O2985</f>
        <v>0</v>
      </c>
      <c r="P2986" s="879"/>
      <c r="Q2986" s="880"/>
      <c r="R2986" s="518"/>
      <c r="S2986" s="518"/>
      <c r="T2986" s="518"/>
      <c r="U2986" s="518"/>
      <c r="V2986" s="518"/>
      <c r="W2986" s="518"/>
      <c r="X2986" s="518"/>
      <c r="Y2986" s="518"/>
      <c r="Z2986" s="518"/>
      <c r="AA2986" s="518"/>
      <c r="AB2986" s="518"/>
      <c r="AC2986" s="518"/>
      <c r="AD2986" s="518"/>
      <c r="AE2986" s="518"/>
      <c r="AF2986" s="518"/>
      <c r="AG2986" s="518"/>
      <c r="AH2986" s="518"/>
      <c r="AJ2986" s="595"/>
    </row>
    <row r="2987" spans="1:37" hidden="1" x14ac:dyDescent="0.45">
      <c r="A2987" s="518"/>
      <c r="B2987" s="517"/>
      <c r="C2987" s="517"/>
      <c r="D2987" s="517"/>
      <c r="E2987" s="517"/>
      <c r="F2987" s="517"/>
      <c r="G2987" s="517"/>
      <c r="H2987" s="517"/>
      <c r="I2987" s="517"/>
      <c r="J2987" s="517"/>
      <c r="K2987" s="517"/>
      <c r="L2987" s="517"/>
      <c r="M2987" s="517"/>
      <c r="N2987" s="517"/>
      <c r="O2987" s="532"/>
      <c r="P2987" s="532"/>
      <c r="Q2987" s="532"/>
      <c r="R2987" s="518"/>
      <c r="S2987" s="533"/>
      <c r="T2987" s="533"/>
      <c r="U2987" s="533"/>
      <c r="V2987" s="533"/>
      <c r="W2987" s="533"/>
      <c r="X2987" s="533"/>
      <c r="Y2987" s="533"/>
      <c r="Z2987" s="533"/>
      <c r="AA2987" s="533"/>
      <c r="AB2987" s="533"/>
      <c r="AC2987" s="533"/>
      <c r="AD2987" s="533"/>
      <c r="AE2987" s="533"/>
      <c r="AF2987" s="533"/>
      <c r="AG2987" s="533"/>
      <c r="AH2987" s="518"/>
      <c r="AJ2987" s="595"/>
    </row>
    <row r="2988" spans="1:37" ht="200.15" hidden="1" customHeight="1" x14ac:dyDescent="0.45">
      <c r="A2988" s="518"/>
      <c r="B2988" s="1174" t="s">
        <v>183</v>
      </c>
      <c r="C2988" s="1175"/>
      <c r="D2988" s="1175"/>
      <c r="E2988" s="1175"/>
      <c r="F2988" s="1175"/>
      <c r="G2988" s="1175"/>
      <c r="H2988" s="1175"/>
      <c r="I2988" s="1175"/>
      <c r="J2988" s="1175"/>
      <c r="K2988" s="1175"/>
      <c r="L2988" s="1175"/>
      <c r="M2988" s="1175"/>
      <c r="N2988" s="1175"/>
      <c r="O2988" s="1175"/>
      <c r="P2988" s="1175"/>
      <c r="Q2988" s="1175"/>
      <c r="R2988" s="1175"/>
      <c r="S2988" s="1175"/>
      <c r="T2988" s="1175"/>
      <c r="U2988" s="1175"/>
      <c r="V2988" s="1175"/>
      <c r="W2988" s="1175"/>
      <c r="X2988" s="1175"/>
      <c r="Y2988" s="1175"/>
      <c r="Z2988" s="1175"/>
      <c r="AA2988" s="1175"/>
      <c r="AB2988" s="1175"/>
      <c r="AC2988" s="1175"/>
      <c r="AD2988" s="1175"/>
      <c r="AE2988" s="1175"/>
      <c r="AF2988" s="1175"/>
      <c r="AG2988" s="1176"/>
      <c r="AH2988" s="518"/>
      <c r="AJ2988" s="595"/>
    </row>
    <row r="2989" spans="1:37" hidden="1" x14ac:dyDescent="0.45">
      <c r="A2989" s="518"/>
      <c r="B2989" s="518"/>
      <c r="C2989" s="518"/>
      <c r="D2989" s="518"/>
      <c r="E2989" s="518"/>
      <c r="F2989" s="518"/>
      <c r="G2989" s="518"/>
      <c r="H2989" s="518"/>
      <c r="I2989" s="518"/>
      <c r="J2989" s="518"/>
      <c r="K2989" s="518"/>
      <c r="L2989" s="518"/>
      <c r="M2989" s="518"/>
      <c r="N2989" s="518"/>
      <c r="O2989" s="518"/>
      <c r="P2989" s="518"/>
      <c r="Q2989" s="518"/>
      <c r="R2989" s="518"/>
      <c r="S2989" s="518"/>
      <c r="T2989" s="518"/>
      <c r="U2989" s="518"/>
      <c r="V2989" s="518"/>
      <c r="W2989" s="518"/>
      <c r="X2989" s="518"/>
      <c r="Y2989" s="518"/>
      <c r="Z2989" s="518"/>
      <c r="AA2989" s="518"/>
      <c r="AB2989" s="518"/>
      <c r="AC2989" s="518"/>
      <c r="AD2989" s="518"/>
      <c r="AE2989" s="518"/>
      <c r="AF2989" s="518"/>
      <c r="AG2989" s="518"/>
      <c r="AH2989" s="518"/>
      <c r="AJ2989" s="595"/>
    </row>
    <row r="2990" spans="1:37" hidden="1" x14ac:dyDescent="0.45">
      <c r="A2990" s="518"/>
      <c r="B2990" s="518"/>
      <c r="C2990" s="518"/>
      <c r="D2990" s="518"/>
      <c r="E2990" s="518"/>
      <c r="F2990" s="518"/>
      <c r="G2990" s="518"/>
      <c r="H2990" s="518"/>
      <c r="I2990" s="518"/>
      <c r="J2990" s="518"/>
      <c r="K2990" s="518"/>
      <c r="L2990" s="518"/>
      <c r="M2990" s="518"/>
      <c r="N2990" s="518"/>
      <c r="O2990" s="518"/>
      <c r="P2990" s="518"/>
      <c r="Q2990" s="518"/>
      <c r="R2990" s="518"/>
      <c r="S2990" s="518"/>
      <c r="T2990" s="518"/>
      <c r="U2990" s="518"/>
      <c r="V2990" s="518"/>
      <c r="W2990" s="518"/>
      <c r="X2990" s="518"/>
      <c r="Y2990" s="518"/>
      <c r="Z2990" s="518"/>
      <c r="AA2990" s="518"/>
      <c r="AB2990" s="518"/>
      <c r="AC2990" s="518"/>
      <c r="AD2990" s="518"/>
      <c r="AE2990" s="518"/>
      <c r="AF2990" s="518"/>
      <c r="AG2990" s="518"/>
      <c r="AH2990" s="518"/>
      <c r="AJ2990" s="595" t="b" cm="1">
        <f t="array" ref="AJ2990">AND(
APP_ApplyingForSerna="Yes",
S1_ER_EligibleApplicant,
S1_PDL_CompletionStatus="Final/Complete",
S1_PDL_TotalRequested&gt;0)</f>
        <v>0</v>
      </c>
      <c r="AK2990" s="462" t="str">
        <f>B2991</f>
        <v>Serna Homeownership Project Development Loan</v>
      </c>
    </row>
    <row r="2991" spans="1:37" hidden="1" x14ac:dyDescent="0.45">
      <c r="A2991" s="518"/>
      <c r="B2991" s="907" t="s">
        <v>1838</v>
      </c>
      <c r="C2991" s="907"/>
      <c r="D2991" s="907"/>
      <c r="E2991" s="907"/>
      <c r="F2991" s="907"/>
      <c r="G2991" s="907"/>
      <c r="H2991" s="907"/>
      <c r="I2991" s="907"/>
      <c r="J2991" s="907"/>
      <c r="K2991" s="907"/>
      <c r="L2991" s="907"/>
      <c r="M2991" s="907"/>
      <c r="N2991" s="907"/>
      <c r="O2991" s="907"/>
      <c r="P2991" s="907"/>
      <c r="Q2991" s="907"/>
      <c r="R2991" s="907"/>
      <c r="S2991" s="907"/>
      <c r="T2991" s="907"/>
      <c r="U2991" s="907"/>
      <c r="V2991" s="907"/>
      <c r="W2991" s="907"/>
      <c r="X2991" s="907"/>
      <c r="Y2991" s="907"/>
      <c r="Z2991" s="907"/>
      <c r="AA2991" s="907"/>
      <c r="AB2991" s="907"/>
      <c r="AC2991" s="907"/>
      <c r="AD2991" s="907"/>
      <c r="AE2991" s="907"/>
      <c r="AF2991" s="907"/>
      <c r="AG2991" s="907"/>
      <c r="AH2991" s="518"/>
      <c r="AJ2991" s="595"/>
    </row>
    <row r="2992" spans="1:37" hidden="1" x14ac:dyDescent="0.45">
      <c r="A2992" s="518"/>
      <c r="B2992" s="517"/>
      <c r="C2992" s="517"/>
      <c r="D2992" s="517"/>
      <c r="E2992" s="517"/>
      <c r="F2992" s="517"/>
      <c r="G2992" s="517"/>
      <c r="H2992" s="517"/>
      <c r="I2992" s="517"/>
      <c r="J2992" s="517"/>
      <c r="K2992" s="517"/>
      <c r="L2992" s="517"/>
      <c r="M2992" s="517"/>
      <c r="N2992" s="517"/>
      <c r="O2992" s="517"/>
      <c r="P2992" s="517"/>
      <c r="Q2992" s="517"/>
      <c r="R2992" s="517"/>
      <c r="S2992" s="517"/>
      <c r="T2992" s="517"/>
      <c r="U2992" s="517"/>
      <c r="V2992" s="517"/>
      <c r="W2992" s="517"/>
      <c r="X2992" s="517"/>
      <c r="Y2992" s="517"/>
      <c r="Z2992" s="517"/>
      <c r="AA2992" s="517"/>
      <c r="AB2992" s="517"/>
      <c r="AC2992" s="517"/>
      <c r="AD2992" s="517"/>
      <c r="AE2992" s="517"/>
      <c r="AF2992" s="517"/>
      <c r="AG2992" s="517"/>
      <c r="AH2992" s="518"/>
      <c r="AJ2992" s="595"/>
    </row>
    <row r="2993" spans="1:36" hidden="1" x14ac:dyDescent="0.45">
      <c r="A2993" s="518"/>
      <c r="B2993" s="923" t="s">
        <v>88</v>
      </c>
      <c r="C2993" s="923"/>
      <c r="D2993" s="923"/>
      <c r="E2993" s="923"/>
      <c r="F2993" s="923"/>
      <c r="G2993" s="923"/>
      <c r="H2993" s="923"/>
      <c r="I2993" s="1177"/>
      <c r="J2993" s="1178"/>
      <c r="K2993" s="1178"/>
      <c r="L2993" s="1178"/>
      <c r="M2993" s="1178"/>
      <c r="N2993" s="1178"/>
      <c r="O2993" s="1179"/>
      <c r="P2993" s="517"/>
      <c r="Q2993" s="517"/>
      <c r="R2993" s="517"/>
      <c r="S2993" s="517"/>
      <c r="T2993" s="517"/>
      <c r="U2993" s="517"/>
      <c r="V2993" s="517"/>
      <c r="W2993" s="517"/>
      <c r="X2993" s="517"/>
      <c r="Y2993" s="517"/>
      <c r="Z2993" s="517"/>
      <c r="AA2993" s="517"/>
      <c r="AB2993" s="517"/>
      <c r="AC2993" s="517"/>
      <c r="AD2993" s="517"/>
      <c r="AE2993" s="517"/>
      <c r="AF2993" s="1180"/>
      <c r="AG2993" s="1180"/>
      <c r="AH2993" s="518"/>
      <c r="AJ2993" s="595"/>
    </row>
    <row r="2994" spans="1:36" hidden="1" x14ac:dyDescent="0.45">
      <c r="A2994" s="518"/>
      <c r="B2994" s="518"/>
      <c r="C2994" s="518"/>
      <c r="D2994" s="518"/>
      <c r="E2994" s="518"/>
      <c r="F2994" s="518"/>
      <c r="G2994" s="518"/>
      <c r="H2994" s="518"/>
      <c r="I2994" s="518"/>
      <c r="J2994" s="518"/>
      <c r="K2994" s="518"/>
      <c r="L2994" s="518"/>
      <c r="M2994" s="518"/>
      <c r="N2994" s="518"/>
      <c r="O2994" s="518"/>
      <c r="P2994" s="518"/>
      <c r="Q2994" s="518"/>
      <c r="R2994" s="518"/>
      <c r="S2994" s="518"/>
      <c r="T2994" s="518"/>
      <c r="U2994" s="518"/>
      <c r="V2994" s="518"/>
      <c r="W2994" s="518"/>
      <c r="X2994" s="518"/>
      <c r="Y2994" s="518"/>
      <c r="Z2994" s="518"/>
      <c r="AA2994" s="518"/>
      <c r="AB2994" s="518"/>
      <c r="AC2994" s="518"/>
      <c r="AD2994" s="518"/>
      <c r="AE2994" s="518"/>
      <c r="AF2994" s="518"/>
      <c r="AG2994" s="518"/>
      <c r="AH2994" s="518"/>
      <c r="AJ2994" s="595"/>
    </row>
    <row r="2995" spans="1:36" ht="40.5" hidden="1" customHeight="1" x14ac:dyDescent="0.45">
      <c r="A2995" s="518"/>
      <c r="B2995" s="1124" t="s">
        <v>1491</v>
      </c>
      <c r="C2995" s="1125"/>
      <c r="D2995" s="1125"/>
      <c r="E2995" s="1125"/>
      <c r="F2995" s="1125"/>
      <c r="G2995" s="1125"/>
      <c r="H2995" s="1125"/>
      <c r="I2995" s="1125"/>
      <c r="J2995" s="1125"/>
      <c r="K2995" s="1125"/>
      <c r="L2995" s="1125"/>
      <c r="M2995" s="1125"/>
      <c r="N2995" s="1125"/>
      <c r="O2995" s="1125"/>
      <c r="P2995" s="1125"/>
      <c r="Q2995" s="1125"/>
      <c r="R2995" s="1125"/>
      <c r="S2995" s="1125"/>
      <c r="T2995" s="1125"/>
      <c r="U2995" s="1125"/>
      <c r="V2995" s="1125"/>
      <c r="W2995" s="1125"/>
      <c r="X2995" s="1125"/>
      <c r="Y2995" s="1125"/>
      <c r="Z2995" s="1125"/>
      <c r="AA2995" s="1125"/>
      <c r="AB2995" s="1125"/>
      <c r="AC2995" s="1125"/>
      <c r="AD2995" s="1125"/>
      <c r="AE2995" s="573"/>
      <c r="AF2995" s="1123"/>
      <c r="AG2995" s="1123"/>
      <c r="AH2995" s="518"/>
      <c r="AJ2995" s="595"/>
    </row>
    <row r="2996" spans="1:36" hidden="1" x14ac:dyDescent="0.45">
      <c r="A2996" s="518"/>
      <c r="B2996" s="518"/>
      <c r="C2996" s="518"/>
      <c r="D2996" s="518"/>
      <c r="E2996" s="518"/>
      <c r="F2996" s="518"/>
      <c r="G2996" s="518"/>
      <c r="H2996" s="518"/>
      <c r="I2996" s="518"/>
      <c r="J2996" s="518"/>
      <c r="K2996" s="518"/>
      <c r="L2996" s="518"/>
      <c r="M2996" s="518"/>
      <c r="N2996" s="518"/>
      <c r="O2996" s="518"/>
      <c r="P2996" s="518"/>
      <c r="Q2996" s="518"/>
      <c r="R2996" s="518"/>
      <c r="S2996" s="518"/>
      <c r="T2996" s="518"/>
      <c r="U2996" s="518"/>
      <c r="V2996" s="518"/>
      <c r="W2996" s="518"/>
      <c r="X2996" s="518"/>
      <c r="Y2996" s="518"/>
      <c r="Z2996" s="518"/>
      <c r="AA2996" s="518"/>
      <c r="AB2996" s="518"/>
      <c r="AC2996" s="518"/>
      <c r="AD2996" s="518"/>
      <c r="AE2996" s="518"/>
      <c r="AF2996" s="518"/>
      <c r="AG2996" s="518"/>
      <c r="AH2996" s="518"/>
      <c r="AJ2996" s="595"/>
    </row>
    <row r="2997" spans="1:36" hidden="1" x14ac:dyDescent="0.45">
      <c r="A2997" s="518"/>
      <c r="B2997" s="1137" t="s">
        <v>90</v>
      </c>
      <c r="C2997" s="1138"/>
      <c r="D2997" s="1138"/>
      <c r="E2997" s="1138"/>
      <c r="F2997" s="1138"/>
      <c r="G2997" s="1138"/>
      <c r="H2997" s="1138"/>
      <c r="I2997" s="1138"/>
      <c r="J2997" s="1138"/>
      <c r="K2997" s="1138"/>
      <c r="L2997" s="1138"/>
      <c r="M2997" s="1138"/>
      <c r="N2997" s="1138"/>
      <c r="O2997" s="1138"/>
      <c r="P2997" s="1138"/>
      <c r="Q2997" s="1138"/>
      <c r="R2997" s="1138"/>
      <c r="S2997" s="1138"/>
      <c r="T2997" s="1138"/>
      <c r="U2997" s="1138"/>
      <c r="V2997" s="1138"/>
      <c r="W2997" s="1138"/>
      <c r="X2997" s="1138"/>
      <c r="Y2997" s="1138"/>
      <c r="Z2997" s="1139"/>
      <c r="AA2997" s="1143" t="s">
        <v>91</v>
      </c>
      <c r="AB2997" s="1143"/>
      <c r="AC2997" s="1143"/>
      <c r="AD2997" s="1144" t="s">
        <v>1492</v>
      </c>
      <c r="AE2997" s="1145"/>
      <c r="AF2997" s="1145"/>
      <c r="AG2997" s="1146"/>
      <c r="AH2997" s="518"/>
      <c r="AJ2997" s="595"/>
    </row>
    <row r="2998" spans="1:36" hidden="1" x14ac:dyDescent="0.45">
      <c r="A2998" s="518"/>
      <c r="B2998" s="1140"/>
      <c r="C2998" s="1141"/>
      <c r="D2998" s="1141"/>
      <c r="E2998" s="1141"/>
      <c r="F2998" s="1141"/>
      <c r="G2998" s="1141"/>
      <c r="H2998" s="1141"/>
      <c r="I2998" s="1141"/>
      <c r="J2998" s="1141"/>
      <c r="K2998" s="1141"/>
      <c r="L2998" s="1141"/>
      <c r="M2998" s="1141"/>
      <c r="N2998" s="1141"/>
      <c r="O2998" s="1141"/>
      <c r="P2998" s="1141"/>
      <c r="Q2998" s="1141"/>
      <c r="R2998" s="1141"/>
      <c r="S2998" s="1141"/>
      <c r="T2998" s="1141"/>
      <c r="U2998" s="1141"/>
      <c r="V2998" s="1141"/>
      <c r="W2998" s="1141"/>
      <c r="X2998" s="1141"/>
      <c r="Y2998" s="1141"/>
      <c r="Z2998" s="1142"/>
      <c r="AA2998" s="1143"/>
      <c r="AB2998" s="1143"/>
      <c r="AC2998" s="1143"/>
      <c r="AD2998" s="1147"/>
      <c r="AE2998" s="1148"/>
      <c r="AF2998" s="1148"/>
      <c r="AG2998" s="1149"/>
      <c r="AH2998" s="518"/>
      <c r="AJ2998" s="595"/>
    </row>
    <row r="2999" spans="1:36" hidden="1" x14ac:dyDescent="0.45">
      <c r="A2999" s="518"/>
      <c r="B2999" s="1150"/>
      <c r="C2999" s="1151"/>
      <c r="D2999" s="1151"/>
      <c r="E2999" s="1151"/>
      <c r="F2999" s="1151"/>
      <c r="G2999" s="1151"/>
      <c r="H2999" s="1151"/>
      <c r="I2999" s="1151"/>
      <c r="J2999" s="1151"/>
      <c r="K2999" s="1151"/>
      <c r="L2999" s="1151"/>
      <c r="M2999" s="1151"/>
      <c r="N2999" s="1151"/>
      <c r="O2999" s="1151"/>
      <c r="P2999" s="1151"/>
      <c r="Q2999" s="1151"/>
      <c r="R2999" s="1151"/>
      <c r="S2999" s="1151"/>
      <c r="T2999" s="1151"/>
      <c r="U2999" s="1151"/>
      <c r="V2999" s="1151"/>
      <c r="W2999" s="1151"/>
      <c r="X2999" s="1151"/>
      <c r="Y2999" s="1151"/>
      <c r="Z2999" s="1152"/>
      <c r="AA2999" s="894"/>
      <c r="AB2999" s="895"/>
      <c r="AC2999" s="896"/>
      <c r="AD2999" s="1156"/>
      <c r="AE2999" s="1157"/>
      <c r="AF2999" s="1157"/>
      <c r="AG2999" s="1158"/>
      <c r="AH2999" s="518"/>
      <c r="AJ2999" s="595"/>
    </row>
    <row r="3000" spans="1:36" hidden="1" x14ac:dyDescent="0.45">
      <c r="A3000" s="518"/>
      <c r="B3000" s="1153"/>
      <c r="C3000" s="1154"/>
      <c r="D3000" s="1154"/>
      <c r="E3000" s="1154"/>
      <c r="F3000" s="1154"/>
      <c r="G3000" s="1154"/>
      <c r="H3000" s="1154"/>
      <c r="I3000" s="1154"/>
      <c r="J3000" s="1154"/>
      <c r="K3000" s="1154"/>
      <c r="L3000" s="1154"/>
      <c r="M3000" s="1154"/>
      <c r="N3000" s="1154"/>
      <c r="O3000" s="1154"/>
      <c r="P3000" s="1154"/>
      <c r="Q3000" s="1154"/>
      <c r="R3000" s="1154"/>
      <c r="S3000" s="1154"/>
      <c r="T3000" s="1154"/>
      <c r="U3000" s="1154"/>
      <c r="V3000" s="1154"/>
      <c r="W3000" s="1154"/>
      <c r="X3000" s="1154"/>
      <c r="Y3000" s="1154"/>
      <c r="Z3000" s="1155"/>
      <c r="AA3000" s="897"/>
      <c r="AB3000" s="898"/>
      <c r="AC3000" s="899"/>
      <c r="AD3000" s="1159"/>
      <c r="AE3000" s="1160"/>
      <c r="AF3000" s="1160"/>
      <c r="AG3000" s="1161"/>
      <c r="AH3000" s="518"/>
      <c r="AJ3000" s="595"/>
    </row>
    <row r="3001" spans="1:36" hidden="1" x14ac:dyDescent="0.45">
      <c r="A3001" s="518"/>
      <c r="B3001" s="1162"/>
      <c r="C3001" s="1163"/>
      <c r="D3001" s="1163"/>
      <c r="E3001" s="1163"/>
      <c r="F3001" s="1163"/>
      <c r="G3001" s="1163"/>
      <c r="H3001" s="1163"/>
      <c r="I3001" s="1163"/>
      <c r="J3001" s="1163"/>
      <c r="K3001" s="1163"/>
      <c r="L3001" s="1163"/>
      <c r="M3001" s="1163"/>
      <c r="N3001" s="1163"/>
      <c r="O3001" s="1163"/>
      <c r="P3001" s="1163"/>
      <c r="Q3001" s="1163"/>
      <c r="R3001" s="1163"/>
      <c r="S3001" s="1163"/>
      <c r="T3001" s="1163"/>
      <c r="U3001" s="1163"/>
      <c r="V3001" s="1163"/>
      <c r="W3001" s="1163"/>
      <c r="X3001" s="1163"/>
      <c r="Y3001" s="1163"/>
      <c r="Z3001" s="1164"/>
      <c r="AA3001" s="894"/>
      <c r="AB3001" s="895"/>
      <c r="AC3001" s="896"/>
      <c r="AD3001" s="1156"/>
      <c r="AE3001" s="1157"/>
      <c r="AF3001" s="1157"/>
      <c r="AG3001" s="1158"/>
      <c r="AH3001" s="518"/>
      <c r="AJ3001" s="595"/>
    </row>
    <row r="3002" spans="1:36" hidden="1" x14ac:dyDescent="0.45">
      <c r="A3002" s="518"/>
      <c r="B3002" s="1165"/>
      <c r="C3002" s="1166"/>
      <c r="D3002" s="1166"/>
      <c r="E3002" s="1166"/>
      <c r="F3002" s="1166"/>
      <c r="G3002" s="1166"/>
      <c r="H3002" s="1166"/>
      <c r="I3002" s="1166"/>
      <c r="J3002" s="1166"/>
      <c r="K3002" s="1166"/>
      <c r="L3002" s="1166"/>
      <c r="M3002" s="1166"/>
      <c r="N3002" s="1166"/>
      <c r="O3002" s="1166"/>
      <c r="P3002" s="1166"/>
      <c r="Q3002" s="1166"/>
      <c r="R3002" s="1166"/>
      <c r="S3002" s="1166"/>
      <c r="T3002" s="1166"/>
      <c r="U3002" s="1166"/>
      <c r="V3002" s="1166"/>
      <c r="W3002" s="1166"/>
      <c r="X3002" s="1166"/>
      <c r="Y3002" s="1166"/>
      <c r="Z3002" s="1167"/>
      <c r="AA3002" s="897"/>
      <c r="AB3002" s="898"/>
      <c r="AC3002" s="899"/>
      <c r="AD3002" s="1159"/>
      <c r="AE3002" s="1160"/>
      <c r="AF3002" s="1160"/>
      <c r="AG3002" s="1161"/>
      <c r="AH3002" s="518"/>
      <c r="AJ3002" s="595"/>
    </row>
    <row r="3003" spans="1:36" hidden="1" x14ac:dyDescent="0.45">
      <c r="A3003" s="518"/>
      <c r="B3003" s="1162"/>
      <c r="C3003" s="1163"/>
      <c r="D3003" s="1163"/>
      <c r="E3003" s="1163"/>
      <c r="F3003" s="1163"/>
      <c r="G3003" s="1163"/>
      <c r="H3003" s="1163"/>
      <c r="I3003" s="1163"/>
      <c r="J3003" s="1163"/>
      <c r="K3003" s="1163"/>
      <c r="L3003" s="1163"/>
      <c r="M3003" s="1163"/>
      <c r="N3003" s="1163"/>
      <c r="O3003" s="1163"/>
      <c r="P3003" s="1163"/>
      <c r="Q3003" s="1163"/>
      <c r="R3003" s="1163"/>
      <c r="S3003" s="1163"/>
      <c r="T3003" s="1163"/>
      <c r="U3003" s="1163"/>
      <c r="V3003" s="1163"/>
      <c r="W3003" s="1163"/>
      <c r="X3003" s="1163"/>
      <c r="Y3003" s="1163"/>
      <c r="Z3003" s="1164"/>
      <c r="AA3003" s="894"/>
      <c r="AB3003" s="895"/>
      <c r="AC3003" s="896"/>
      <c r="AD3003" s="1156"/>
      <c r="AE3003" s="1157"/>
      <c r="AF3003" s="1157"/>
      <c r="AG3003" s="1158"/>
      <c r="AH3003" s="518"/>
      <c r="AJ3003" s="595"/>
    </row>
    <row r="3004" spans="1:36" hidden="1" x14ac:dyDescent="0.45">
      <c r="A3004" s="518"/>
      <c r="B3004" s="1165"/>
      <c r="C3004" s="1166"/>
      <c r="D3004" s="1166"/>
      <c r="E3004" s="1166"/>
      <c r="F3004" s="1166"/>
      <c r="G3004" s="1166"/>
      <c r="H3004" s="1166"/>
      <c r="I3004" s="1166"/>
      <c r="J3004" s="1166"/>
      <c r="K3004" s="1166"/>
      <c r="L3004" s="1166"/>
      <c r="M3004" s="1166"/>
      <c r="N3004" s="1166"/>
      <c r="O3004" s="1166"/>
      <c r="P3004" s="1166"/>
      <c r="Q3004" s="1166"/>
      <c r="R3004" s="1166"/>
      <c r="S3004" s="1166"/>
      <c r="T3004" s="1166"/>
      <c r="U3004" s="1166"/>
      <c r="V3004" s="1166"/>
      <c r="W3004" s="1166"/>
      <c r="X3004" s="1166"/>
      <c r="Y3004" s="1166"/>
      <c r="Z3004" s="1167"/>
      <c r="AA3004" s="897"/>
      <c r="AB3004" s="898"/>
      <c r="AC3004" s="899"/>
      <c r="AD3004" s="1159"/>
      <c r="AE3004" s="1160"/>
      <c r="AF3004" s="1160"/>
      <c r="AG3004" s="1161"/>
      <c r="AH3004" s="518"/>
      <c r="AJ3004" s="595"/>
    </row>
    <row r="3005" spans="1:36" hidden="1" x14ac:dyDescent="0.45">
      <c r="A3005" s="518"/>
      <c r="B3005" s="1162"/>
      <c r="C3005" s="1163"/>
      <c r="D3005" s="1163"/>
      <c r="E3005" s="1163"/>
      <c r="F3005" s="1163"/>
      <c r="G3005" s="1163"/>
      <c r="H3005" s="1163"/>
      <c r="I3005" s="1163"/>
      <c r="J3005" s="1163"/>
      <c r="K3005" s="1163"/>
      <c r="L3005" s="1163"/>
      <c r="M3005" s="1163"/>
      <c r="N3005" s="1163"/>
      <c r="O3005" s="1163"/>
      <c r="P3005" s="1163"/>
      <c r="Q3005" s="1163"/>
      <c r="R3005" s="1163"/>
      <c r="S3005" s="1163"/>
      <c r="T3005" s="1163"/>
      <c r="U3005" s="1163"/>
      <c r="V3005" s="1163"/>
      <c r="W3005" s="1163"/>
      <c r="X3005" s="1163"/>
      <c r="Y3005" s="1163"/>
      <c r="Z3005" s="1164"/>
      <c r="AA3005" s="894"/>
      <c r="AB3005" s="895"/>
      <c r="AC3005" s="896"/>
      <c r="AD3005" s="1156"/>
      <c r="AE3005" s="1157"/>
      <c r="AF3005" s="1157"/>
      <c r="AG3005" s="1158"/>
      <c r="AH3005" s="518"/>
      <c r="AJ3005" s="595"/>
    </row>
    <row r="3006" spans="1:36" hidden="1" x14ac:dyDescent="0.45">
      <c r="A3006" s="518"/>
      <c r="B3006" s="1165"/>
      <c r="C3006" s="1166"/>
      <c r="D3006" s="1166"/>
      <c r="E3006" s="1166"/>
      <c r="F3006" s="1166"/>
      <c r="G3006" s="1166"/>
      <c r="H3006" s="1166"/>
      <c r="I3006" s="1166"/>
      <c r="J3006" s="1166"/>
      <c r="K3006" s="1166"/>
      <c r="L3006" s="1166"/>
      <c r="M3006" s="1166"/>
      <c r="N3006" s="1166"/>
      <c r="O3006" s="1166"/>
      <c r="P3006" s="1166"/>
      <c r="Q3006" s="1166"/>
      <c r="R3006" s="1166"/>
      <c r="S3006" s="1166"/>
      <c r="T3006" s="1166"/>
      <c r="U3006" s="1166"/>
      <c r="V3006" s="1166"/>
      <c r="W3006" s="1166"/>
      <c r="X3006" s="1166"/>
      <c r="Y3006" s="1166"/>
      <c r="Z3006" s="1167"/>
      <c r="AA3006" s="897"/>
      <c r="AB3006" s="898"/>
      <c r="AC3006" s="899"/>
      <c r="AD3006" s="1159"/>
      <c r="AE3006" s="1160"/>
      <c r="AF3006" s="1160"/>
      <c r="AG3006" s="1161"/>
      <c r="AH3006" s="518"/>
      <c r="AJ3006" s="595"/>
    </row>
    <row r="3007" spans="1:36" hidden="1" x14ac:dyDescent="0.45">
      <c r="A3007" s="518"/>
      <c r="B3007" s="1162"/>
      <c r="C3007" s="1163"/>
      <c r="D3007" s="1163"/>
      <c r="E3007" s="1163"/>
      <c r="F3007" s="1163"/>
      <c r="G3007" s="1163"/>
      <c r="H3007" s="1163"/>
      <c r="I3007" s="1163"/>
      <c r="J3007" s="1163"/>
      <c r="K3007" s="1163"/>
      <c r="L3007" s="1163"/>
      <c r="M3007" s="1163"/>
      <c r="N3007" s="1163"/>
      <c r="O3007" s="1163"/>
      <c r="P3007" s="1163"/>
      <c r="Q3007" s="1163"/>
      <c r="R3007" s="1163"/>
      <c r="S3007" s="1163"/>
      <c r="T3007" s="1163"/>
      <c r="U3007" s="1163"/>
      <c r="V3007" s="1163"/>
      <c r="W3007" s="1163"/>
      <c r="X3007" s="1163"/>
      <c r="Y3007" s="1163"/>
      <c r="Z3007" s="1164"/>
      <c r="AA3007" s="894"/>
      <c r="AB3007" s="895"/>
      <c r="AC3007" s="896"/>
      <c r="AD3007" s="1156"/>
      <c r="AE3007" s="1157"/>
      <c r="AF3007" s="1157"/>
      <c r="AG3007" s="1158"/>
      <c r="AH3007" s="518"/>
      <c r="AJ3007" s="595"/>
    </row>
    <row r="3008" spans="1:36" hidden="1" x14ac:dyDescent="0.45">
      <c r="A3008" s="518"/>
      <c r="B3008" s="1165"/>
      <c r="C3008" s="1166"/>
      <c r="D3008" s="1166"/>
      <c r="E3008" s="1166"/>
      <c r="F3008" s="1166"/>
      <c r="G3008" s="1166"/>
      <c r="H3008" s="1166"/>
      <c r="I3008" s="1166"/>
      <c r="J3008" s="1166"/>
      <c r="K3008" s="1166"/>
      <c r="L3008" s="1166"/>
      <c r="M3008" s="1166"/>
      <c r="N3008" s="1166"/>
      <c r="O3008" s="1166"/>
      <c r="P3008" s="1166"/>
      <c r="Q3008" s="1166"/>
      <c r="R3008" s="1166"/>
      <c r="S3008" s="1166"/>
      <c r="T3008" s="1166"/>
      <c r="U3008" s="1166"/>
      <c r="V3008" s="1166"/>
      <c r="W3008" s="1166"/>
      <c r="X3008" s="1166"/>
      <c r="Y3008" s="1166"/>
      <c r="Z3008" s="1167"/>
      <c r="AA3008" s="897"/>
      <c r="AB3008" s="898"/>
      <c r="AC3008" s="899"/>
      <c r="AD3008" s="1159"/>
      <c r="AE3008" s="1160"/>
      <c r="AF3008" s="1160"/>
      <c r="AG3008" s="1161"/>
      <c r="AH3008" s="518"/>
      <c r="AJ3008" s="595"/>
    </row>
    <row r="3009" spans="1:36" hidden="1" x14ac:dyDescent="0.45">
      <c r="A3009" s="518"/>
      <c r="B3009" s="518"/>
      <c r="C3009" s="518"/>
      <c r="D3009" s="518"/>
      <c r="E3009" s="518"/>
      <c r="F3009" s="518"/>
      <c r="G3009" s="518"/>
      <c r="H3009" s="518"/>
      <c r="I3009" s="518"/>
      <c r="J3009" s="518"/>
      <c r="K3009" s="518"/>
      <c r="L3009" s="518"/>
      <c r="M3009" s="518"/>
      <c r="N3009" s="518"/>
      <c r="O3009" s="518"/>
      <c r="P3009" s="518"/>
      <c r="Q3009" s="518"/>
      <c r="R3009" s="518"/>
      <c r="S3009" s="518"/>
      <c r="T3009" s="518"/>
      <c r="U3009" s="518"/>
      <c r="V3009" s="518"/>
      <c r="W3009" s="518"/>
      <c r="X3009" s="518"/>
      <c r="Y3009" s="518"/>
      <c r="Z3009" s="518"/>
      <c r="AA3009" s="518"/>
      <c r="AB3009" s="518"/>
      <c r="AC3009" s="518"/>
      <c r="AD3009" s="518"/>
      <c r="AE3009" s="518"/>
      <c r="AF3009" s="518"/>
      <c r="AG3009" s="518"/>
      <c r="AH3009" s="518"/>
      <c r="AJ3009" s="595"/>
    </row>
    <row r="3010" spans="1:36" ht="41.5" hidden="1" customHeight="1" x14ac:dyDescent="0.45">
      <c r="A3010" s="518"/>
      <c r="B3010" s="1121" t="s">
        <v>1493</v>
      </c>
      <c r="C3010" s="1122"/>
      <c r="D3010" s="1122"/>
      <c r="E3010" s="1122"/>
      <c r="F3010" s="1122"/>
      <c r="G3010" s="1122"/>
      <c r="H3010" s="1122"/>
      <c r="I3010" s="1122"/>
      <c r="J3010" s="1122"/>
      <c r="K3010" s="1122"/>
      <c r="L3010" s="1122"/>
      <c r="M3010" s="1122"/>
      <c r="N3010" s="1122"/>
      <c r="O3010" s="1122"/>
      <c r="P3010" s="1122"/>
      <c r="Q3010" s="1122"/>
      <c r="R3010" s="1122"/>
      <c r="S3010" s="1122"/>
      <c r="T3010" s="1122"/>
      <c r="U3010" s="1122"/>
      <c r="V3010" s="1122"/>
      <c r="W3010" s="1122"/>
      <c r="X3010" s="1122"/>
      <c r="Y3010" s="1122"/>
      <c r="Z3010" s="1122"/>
      <c r="AA3010" s="1122"/>
      <c r="AB3010" s="1122"/>
      <c r="AC3010" s="1122"/>
      <c r="AD3010" s="1122"/>
      <c r="AE3010" s="528"/>
      <c r="AF3010" s="1123"/>
      <c r="AG3010" s="1123"/>
      <c r="AH3010" s="518"/>
      <c r="AJ3010" s="595"/>
    </row>
    <row r="3011" spans="1:36" hidden="1" x14ac:dyDescent="0.45">
      <c r="A3011" s="518"/>
      <c r="B3011" s="1121" t="s">
        <v>1494</v>
      </c>
      <c r="C3011" s="1122"/>
      <c r="D3011" s="1122"/>
      <c r="E3011" s="1122"/>
      <c r="F3011" s="1122"/>
      <c r="G3011" s="1122"/>
      <c r="H3011" s="1122"/>
      <c r="I3011" s="1122"/>
      <c r="J3011" s="1122"/>
      <c r="K3011" s="1122"/>
      <c r="L3011" s="1122"/>
      <c r="M3011" s="1122"/>
      <c r="N3011" s="1122"/>
      <c r="O3011" s="1122"/>
      <c r="P3011" s="1122"/>
      <c r="Q3011" s="1122"/>
      <c r="R3011" s="1122"/>
      <c r="S3011" s="1122"/>
      <c r="T3011" s="1122"/>
      <c r="U3011" s="1122"/>
      <c r="V3011" s="1122"/>
      <c r="W3011" s="1122"/>
      <c r="X3011" s="1122"/>
      <c r="Y3011" s="1122"/>
      <c r="Z3011" s="1122"/>
      <c r="AA3011" s="1122"/>
      <c r="AB3011" s="1122"/>
      <c r="AC3011" s="1122"/>
      <c r="AD3011" s="1122"/>
      <c r="AE3011" s="528"/>
      <c r="AF3011" s="1123"/>
      <c r="AG3011" s="1123"/>
      <c r="AH3011" s="518"/>
      <c r="AJ3011" s="595"/>
    </row>
    <row r="3012" spans="1:36" ht="28.5" hidden="1" customHeight="1" x14ac:dyDescent="0.45">
      <c r="A3012" s="518"/>
      <c r="B3012" s="1121" t="s">
        <v>1495</v>
      </c>
      <c r="C3012" s="1122"/>
      <c r="D3012" s="1122"/>
      <c r="E3012" s="1122"/>
      <c r="F3012" s="1122"/>
      <c r="G3012" s="1122"/>
      <c r="H3012" s="1122"/>
      <c r="I3012" s="1122"/>
      <c r="J3012" s="1122"/>
      <c r="K3012" s="1122"/>
      <c r="L3012" s="1122"/>
      <c r="M3012" s="1122"/>
      <c r="N3012" s="1122"/>
      <c r="O3012" s="1122"/>
      <c r="P3012" s="1122"/>
      <c r="Q3012" s="1122"/>
      <c r="R3012" s="1122"/>
      <c r="S3012" s="1122"/>
      <c r="T3012" s="1122"/>
      <c r="U3012" s="1122"/>
      <c r="V3012" s="1122"/>
      <c r="W3012" s="1122"/>
      <c r="X3012" s="1122"/>
      <c r="Y3012" s="1122"/>
      <c r="Z3012" s="1122"/>
      <c r="AA3012" s="1122"/>
      <c r="AB3012" s="1122"/>
      <c r="AC3012" s="1122"/>
      <c r="AD3012" s="1122"/>
      <c r="AE3012" s="528"/>
      <c r="AF3012" s="1123"/>
      <c r="AG3012" s="1123"/>
      <c r="AH3012" s="518"/>
      <c r="AJ3012" s="595"/>
    </row>
    <row r="3013" spans="1:36" ht="28.5" hidden="1" customHeight="1" x14ac:dyDescent="0.45">
      <c r="A3013" s="518"/>
      <c r="B3013" s="1121" t="s">
        <v>1496</v>
      </c>
      <c r="C3013" s="1122"/>
      <c r="D3013" s="1122"/>
      <c r="E3013" s="1122"/>
      <c r="F3013" s="1122"/>
      <c r="G3013" s="1122"/>
      <c r="H3013" s="1122"/>
      <c r="I3013" s="1122"/>
      <c r="J3013" s="1122"/>
      <c r="K3013" s="1122"/>
      <c r="L3013" s="1122"/>
      <c r="M3013" s="1122"/>
      <c r="N3013" s="1122"/>
      <c r="O3013" s="1122"/>
      <c r="P3013" s="1122"/>
      <c r="Q3013" s="1122"/>
      <c r="R3013" s="1122"/>
      <c r="S3013" s="1122"/>
      <c r="T3013" s="1122"/>
      <c r="U3013" s="1122"/>
      <c r="V3013" s="1122"/>
      <c r="W3013" s="1122"/>
      <c r="X3013" s="1122"/>
      <c r="Y3013" s="1122"/>
      <c r="Z3013" s="1122"/>
      <c r="AA3013" s="1122"/>
      <c r="AB3013" s="1122"/>
      <c r="AC3013" s="1122"/>
      <c r="AD3013" s="1122"/>
      <c r="AE3013" s="528"/>
      <c r="AF3013" s="1123"/>
      <c r="AG3013" s="1123"/>
      <c r="AH3013" s="518"/>
      <c r="AJ3013" s="595"/>
    </row>
    <row r="3014" spans="1:36" ht="28.5" hidden="1" customHeight="1" x14ac:dyDescent="0.45">
      <c r="A3014" s="518"/>
      <c r="B3014" s="1124" t="s">
        <v>1497</v>
      </c>
      <c r="C3014" s="1125"/>
      <c r="D3014" s="1125"/>
      <c r="E3014" s="1125"/>
      <c r="F3014" s="1125"/>
      <c r="G3014" s="1125"/>
      <c r="H3014" s="1125"/>
      <c r="I3014" s="1125"/>
      <c r="J3014" s="1125"/>
      <c r="K3014" s="1125"/>
      <c r="L3014" s="1125"/>
      <c r="M3014" s="1125"/>
      <c r="N3014" s="1125"/>
      <c r="O3014" s="1125"/>
      <c r="P3014" s="1125"/>
      <c r="Q3014" s="1125"/>
      <c r="R3014" s="1125"/>
      <c r="S3014" s="1125"/>
      <c r="T3014" s="1125"/>
      <c r="U3014" s="1125"/>
      <c r="V3014" s="1125"/>
      <c r="W3014" s="1125"/>
      <c r="X3014" s="1125"/>
      <c r="Y3014" s="1125"/>
      <c r="Z3014" s="1125"/>
      <c r="AA3014" s="1125"/>
      <c r="AB3014" s="1125"/>
      <c r="AC3014" s="1125"/>
      <c r="AD3014" s="1125"/>
      <c r="AE3014" s="573"/>
      <c r="AF3014" s="1123"/>
      <c r="AG3014" s="1123"/>
      <c r="AH3014" s="518"/>
      <c r="AJ3014" s="595"/>
    </row>
    <row r="3015" spans="1:36" hidden="1" x14ac:dyDescent="0.45">
      <c r="A3015" s="518"/>
      <c r="B3015" s="522"/>
      <c r="C3015" s="522"/>
      <c r="D3015" s="522"/>
      <c r="E3015" s="522"/>
      <c r="F3015" s="522"/>
      <c r="G3015" s="522"/>
      <c r="H3015" s="522"/>
      <c r="I3015" s="522"/>
      <c r="J3015" s="522"/>
      <c r="K3015" s="522"/>
      <c r="L3015" s="522"/>
      <c r="M3015" s="522"/>
      <c r="N3015" s="522"/>
      <c r="O3015" s="522"/>
      <c r="P3015" s="522"/>
      <c r="Q3015" s="522"/>
      <c r="R3015" s="522"/>
      <c r="S3015" s="522"/>
      <c r="T3015" s="522"/>
      <c r="U3015" s="522"/>
      <c r="V3015" s="522"/>
      <c r="W3015" s="522"/>
      <c r="X3015" s="522"/>
      <c r="Y3015" s="522"/>
      <c r="Z3015" s="522"/>
      <c r="AA3015" s="522"/>
      <c r="AB3015" s="522"/>
      <c r="AC3015" s="522"/>
      <c r="AD3015" s="522"/>
      <c r="AE3015" s="518"/>
      <c r="AF3015" s="524"/>
      <c r="AG3015" s="524"/>
      <c r="AH3015" s="518"/>
      <c r="AJ3015" s="595"/>
    </row>
    <row r="3016" spans="1:36" hidden="1" x14ac:dyDescent="0.45">
      <c r="A3016" s="518"/>
      <c r="B3016" s="518"/>
      <c r="C3016" s="518"/>
      <c r="D3016" s="518"/>
      <c r="E3016" s="518"/>
      <c r="F3016" s="518"/>
      <c r="G3016" s="518"/>
      <c r="H3016" s="518"/>
      <c r="I3016" s="518"/>
      <c r="J3016" s="518"/>
      <c r="K3016" s="518"/>
      <c r="L3016" s="518"/>
      <c r="M3016" s="518"/>
      <c r="N3016" s="518"/>
      <c r="O3016" s="518"/>
      <c r="P3016" s="518"/>
      <c r="Q3016" s="518"/>
      <c r="R3016" s="518"/>
      <c r="S3016" s="518"/>
      <c r="T3016" s="518"/>
      <c r="U3016" s="518"/>
      <c r="V3016" s="518"/>
      <c r="W3016" s="518"/>
      <c r="X3016" s="518"/>
      <c r="Y3016" s="518"/>
      <c r="Z3016" s="518"/>
      <c r="AA3016" s="518"/>
      <c r="AB3016" s="518"/>
      <c r="AC3016" s="518"/>
      <c r="AD3016" s="518"/>
      <c r="AE3016" s="518"/>
      <c r="AF3016" s="518"/>
      <c r="AG3016" s="518"/>
      <c r="AH3016" s="518"/>
      <c r="AJ3016" s="595"/>
    </row>
    <row r="3017" spans="1:36" hidden="1" x14ac:dyDescent="0.45">
      <c r="A3017" s="518"/>
      <c r="B3017" s="907" t="s">
        <v>25</v>
      </c>
      <c r="C3017" s="907"/>
      <c r="D3017" s="907"/>
      <c r="E3017" s="907"/>
      <c r="F3017" s="907"/>
      <c r="G3017" s="907"/>
      <c r="H3017" s="907"/>
      <c r="I3017" s="907"/>
      <c r="J3017" s="907"/>
      <c r="K3017" s="907"/>
      <c r="L3017" s="907"/>
      <c r="M3017" s="907"/>
      <c r="N3017" s="907"/>
      <c r="O3017" s="907"/>
      <c r="P3017" s="907"/>
      <c r="Q3017" s="907"/>
      <c r="R3017" s="907"/>
      <c r="S3017" s="907"/>
      <c r="T3017" s="907"/>
      <c r="U3017" s="907"/>
      <c r="V3017" s="907"/>
      <c r="W3017" s="907"/>
      <c r="X3017" s="907"/>
      <c r="Y3017" s="907"/>
      <c r="Z3017" s="907"/>
      <c r="AA3017" s="907"/>
      <c r="AB3017" s="907"/>
      <c r="AC3017" s="907"/>
      <c r="AD3017" s="907"/>
      <c r="AE3017" s="907"/>
      <c r="AF3017" s="907"/>
      <c r="AG3017" s="907"/>
      <c r="AH3017" s="518"/>
      <c r="AJ3017" s="595"/>
    </row>
    <row r="3018" spans="1:36" hidden="1" x14ac:dyDescent="0.45">
      <c r="A3018" s="518"/>
      <c r="B3018" s="907" t="str">
        <f>B2991</f>
        <v>Serna Homeownership Project Development Loan</v>
      </c>
      <c r="C3018" s="907"/>
      <c r="D3018" s="907"/>
      <c r="E3018" s="907"/>
      <c r="F3018" s="907"/>
      <c r="G3018" s="907"/>
      <c r="H3018" s="907"/>
      <c r="I3018" s="907"/>
      <c r="J3018" s="907"/>
      <c r="K3018" s="907"/>
      <c r="L3018" s="907"/>
      <c r="M3018" s="907"/>
      <c r="N3018" s="907"/>
      <c r="O3018" s="907"/>
      <c r="P3018" s="907"/>
      <c r="Q3018" s="907"/>
      <c r="R3018" s="907"/>
      <c r="S3018" s="907"/>
      <c r="T3018" s="907"/>
      <c r="U3018" s="907"/>
      <c r="V3018" s="907"/>
      <c r="W3018" s="907"/>
      <c r="X3018" s="907"/>
      <c r="Y3018" s="907"/>
      <c r="Z3018" s="907"/>
      <c r="AA3018" s="907"/>
      <c r="AB3018" s="907"/>
      <c r="AC3018" s="907"/>
      <c r="AD3018" s="907"/>
      <c r="AE3018" s="907"/>
      <c r="AF3018" s="907"/>
      <c r="AG3018" s="907"/>
      <c r="AH3018" s="518"/>
      <c r="AJ3018" s="595"/>
    </row>
    <row r="3019" spans="1:36" hidden="1" x14ac:dyDescent="0.45">
      <c r="A3019" s="518"/>
      <c r="B3019" s="518"/>
      <c r="C3019" s="518"/>
      <c r="D3019" s="518"/>
      <c r="E3019" s="518"/>
      <c r="F3019" s="518"/>
      <c r="G3019" s="518"/>
      <c r="H3019" s="518"/>
      <c r="I3019" s="518"/>
      <c r="J3019" s="518"/>
      <c r="K3019" s="518"/>
      <c r="L3019" s="518"/>
      <c r="M3019" s="518"/>
      <c r="N3019" s="518"/>
      <c r="O3019" s="518"/>
      <c r="P3019" s="518"/>
      <c r="Q3019" s="518"/>
      <c r="R3019" s="518"/>
      <c r="S3019" s="518"/>
      <c r="T3019" s="518"/>
      <c r="U3019" s="518"/>
      <c r="V3019" s="518"/>
      <c r="W3019" s="518"/>
      <c r="X3019" s="518"/>
      <c r="Y3019" s="518"/>
      <c r="Z3019" s="518"/>
      <c r="AA3019" s="518"/>
      <c r="AB3019" s="518"/>
      <c r="AC3019" s="518"/>
      <c r="AD3019" s="518"/>
      <c r="AE3019" s="518"/>
      <c r="AF3019" s="518"/>
      <c r="AG3019" s="518"/>
      <c r="AH3019" s="518"/>
      <c r="AJ3019" s="595"/>
    </row>
    <row r="3020" spans="1:36" hidden="1" x14ac:dyDescent="0.45">
      <c r="A3020" s="518"/>
      <c r="B3020" s="517" t="s">
        <v>1513</v>
      </c>
      <c r="C3020" s="517"/>
      <c r="D3020" s="517"/>
      <c r="E3020" s="517"/>
      <c r="F3020" s="1126"/>
      <c r="G3020" s="1127"/>
      <c r="H3020" s="1127"/>
      <c r="I3020" s="1127"/>
      <c r="J3020" s="1127"/>
      <c r="K3020" s="1127"/>
      <c r="L3020" s="1127"/>
      <c r="M3020" s="1127"/>
      <c r="N3020" s="1127"/>
      <c r="O3020" s="1127"/>
      <c r="P3020" s="1127"/>
      <c r="Q3020" s="1128"/>
      <c r="R3020" s="590" t="s">
        <v>1500</v>
      </c>
      <c r="S3020" s="531"/>
      <c r="T3020" s="531"/>
      <c r="U3020" s="517"/>
      <c r="V3020" s="1135"/>
      <c r="W3020" s="1135"/>
      <c r="X3020" s="1135"/>
      <c r="Y3020" s="1135"/>
      <c r="Z3020" s="1135"/>
      <c r="AA3020" s="1135"/>
      <c r="AB3020" s="1135"/>
      <c r="AC3020" s="1135"/>
      <c r="AD3020" s="1135"/>
      <c r="AE3020" s="1135"/>
      <c r="AF3020" s="1135"/>
      <c r="AG3020" s="1135"/>
      <c r="AH3020" s="518"/>
      <c r="AJ3020" s="595"/>
    </row>
    <row r="3021" spans="1:36" hidden="1" x14ac:dyDescent="0.45">
      <c r="A3021" s="518"/>
      <c r="B3021" s="517"/>
      <c r="C3021" s="517"/>
      <c r="D3021" s="517"/>
      <c r="E3021" s="517"/>
      <c r="F3021" s="1129"/>
      <c r="G3021" s="1130"/>
      <c r="H3021" s="1130"/>
      <c r="I3021" s="1130"/>
      <c r="J3021" s="1130"/>
      <c r="K3021" s="1130"/>
      <c r="L3021" s="1130"/>
      <c r="M3021" s="1130"/>
      <c r="N3021" s="1130"/>
      <c r="O3021" s="1130"/>
      <c r="P3021" s="1130"/>
      <c r="Q3021" s="1131"/>
      <c r="R3021" s="590" t="s">
        <v>1498</v>
      </c>
      <c r="S3021" s="531"/>
      <c r="T3021" s="531"/>
      <c r="U3021" s="517"/>
      <c r="V3021" s="1136"/>
      <c r="W3021" s="1136"/>
      <c r="X3021" s="1136"/>
      <c r="Y3021" s="1136"/>
      <c r="Z3021" s="1136"/>
      <c r="AA3021" s="1136"/>
      <c r="AB3021" s="1136"/>
      <c r="AC3021" s="1136"/>
      <c r="AD3021" s="1136"/>
      <c r="AE3021" s="1136"/>
      <c r="AF3021" s="1136"/>
      <c r="AG3021" s="1136"/>
      <c r="AH3021" s="518"/>
      <c r="AJ3021" s="595"/>
    </row>
    <row r="3022" spans="1:36" hidden="1" x14ac:dyDescent="0.45">
      <c r="A3022" s="518"/>
      <c r="B3022" s="462"/>
      <c r="C3022" s="517"/>
      <c r="D3022" s="517"/>
      <c r="E3022" s="517"/>
      <c r="F3022" s="1132"/>
      <c r="G3022" s="1133"/>
      <c r="H3022" s="1133"/>
      <c r="I3022" s="1133"/>
      <c r="J3022" s="1133"/>
      <c r="K3022" s="1133"/>
      <c r="L3022" s="1133"/>
      <c r="M3022" s="1133"/>
      <c r="N3022" s="1133"/>
      <c r="O3022" s="1133"/>
      <c r="P3022" s="1133"/>
      <c r="Q3022" s="1134"/>
      <c r="R3022" s="590" t="s">
        <v>1499</v>
      </c>
      <c r="S3022" s="531"/>
      <c r="T3022" s="531"/>
      <c r="U3022" s="517"/>
      <c r="V3022" s="1136"/>
      <c r="W3022" s="1136"/>
      <c r="X3022" s="1136"/>
      <c r="Y3022" s="1136"/>
      <c r="Z3022" s="1136"/>
      <c r="AA3022" s="1136"/>
      <c r="AB3022" s="1136"/>
      <c r="AC3022" s="1136"/>
      <c r="AD3022" s="1136"/>
      <c r="AE3022" s="1136"/>
      <c r="AF3022" s="1136"/>
      <c r="AG3022" s="1136"/>
      <c r="AH3022" s="518"/>
      <c r="AJ3022" s="595"/>
    </row>
    <row r="3023" spans="1:36" hidden="1" x14ac:dyDescent="0.45">
      <c r="A3023" s="518"/>
      <c r="B3023" s="518"/>
      <c r="C3023" s="518"/>
      <c r="D3023" s="518"/>
      <c r="E3023" s="518"/>
      <c r="F3023" s="518"/>
      <c r="G3023" s="518"/>
      <c r="H3023" s="518"/>
      <c r="I3023" s="518"/>
      <c r="J3023" s="518"/>
      <c r="K3023" s="518"/>
      <c r="L3023" s="518"/>
      <c r="M3023" s="518"/>
      <c r="N3023" s="518"/>
      <c r="O3023" s="518"/>
      <c r="P3023" s="518"/>
      <c r="Q3023" s="518"/>
      <c r="R3023" s="522"/>
      <c r="S3023" s="522"/>
      <c r="T3023" s="522"/>
      <c r="U3023" s="522"/>
      <c r="V3023" s="522"/>
      <c r="W3023" s="522"/>
      <c r="X3023" s="522"/>
      <c r="Y3023" s="522"/>
      <c r="Z3023" s="522"/>
      <c r="AA3023" s="522"/>
      <c r="AB3023" s="522"/>
      <c r="AC3023" s="522"/>
      <c r="AD3023" s="518"/>
      <c r="AE3023" s="518"/>
      <c r="AF3023" s="518"/>
      <c r="AG3023" s="518"/>
      <c r="AH3023" s="518"/>
      <c r="AJ3023" s="595"/>
    </row>
    <row r="3024" spans="1:36" hidden="1" x14ac:dyDescent="0.45">
      <c r="A3024" s="518"/>
      <c r="B3024" s="907" t="s">
        <v>1501</v>
      </c>
      <c r="C3024" s="907"/>
      <c r="D3024" s="907"/>
      <c r="E3024" s="907"/>
      <c r="F3024" s="907"/>
      <c r="G3024" s="907"/>
      <c r="H3024" s="907"/>
      <c r="I3024" s="522"/>
      <c r="J3024" s="537"/>
      <c r="K3024" s="537"/>
      <c r="L3024" s="537"/>
      <c r="M3024" s="522"/>
      <c r="N3024" s="522"/>
      <c r="O3024" s="522"/>
      <c r="P3024" s="522"/>
      <c r="Q3024" s="522"/>
      <c r="R3024" s="522"/>
      <c r="S3024" s="522"/>
      <c r="T3024" s="522"/>
      <c r="U3024" s="522"/>
      <c r="V3024" s="522"/>
      <c r="W3024" s="522"/>
      <c r="X3024" s="522"/>
      <c r="Y3024" s="522"/>
      <c r="Z3024" s="522"/>
      <c r="AA3024" s="522"/>
      <c r="AB3024" s="522"/>
      <c r="AC3024" s="522"/>
      <c r="AD3024" s="522"/>
      <c r="AE3024" s="522"/>
      <c r="AF3024" s="522"/>
      <c r="AG3024" s="522"/>
      <c r="AH3024" s="518"/>
      <c r="AJ3024" s="595"/>
    </row>
    <row r="3025" spans="1:36" hidden="1" x14ac:dyDescent="0.45">
      <c r="A3025" s="518"/>
      <c r="B3025" s="1085" t="s">
        <v>28</v>
      </c>
      <c r="C3025" s="1086"/>
      <c r="D3025" s="1086"/>
      <c r="E3025" s="1086"/>
      <c r="F3025" s="1086"/>
      <c r="G3025" s="1086"/>
      <c r="H3025" s="1086"/>
      <c r="I3025" s="1086"/>
      <c r="J3025" s="1086"/>
      <c r="K3025" s="1086"/>
      <c r="L3025" s="1086"/>
      <c r="M3025" s="1086"/>
      <c r="N3025" s="1086"/>
      <c r="O3025" s="1087"/>
      <c r="P3025" s="1085" t="s">
        <v>29</v>
      </c>
      <c r="Q3025" s="1086"/>
      <c r="R3025" s="1086"/>
      <c r="S3025" s="1086"/>
      <c r="T3025" s="1086"/>
      <c r="U3025" s="1087"/>
      <c r="V3025" s="1117" t="s">
        <v>1505</v>
      </c>
      <c r="W3025" s="1117"/>
      <c r="X3025" s="1117"/>
      <c r="Y3025" s="1085" t="s">
        <v>1504</v>
      </c>
      <c r="Z3025" s="1086"/>
      <c r="AA3025" s="1087"/>
      <c r="AB3025" s="1118" t="s">
        <v>1503</v>
      </c>
      <c r="AC3025" s="1119"/>
      <c r="AD3025" s="1120"/>
      <c r="AE3025" s="1118" t="s">
        <v>1502</v>
      </c>
      <c r="AF3025" s="1119"/>
      <c r="AG3025" s="1120"/>
      <c r="AH3025" s="518"/>
      <c r="AJ3025" s="595"/>
    </row>
    <row r="3026" spans="1:36" hidden="1" x14ac:dyDescent="0.45">
      <c r="A3026" s="518"/>
      <c r="B3026" s="1114"/>
      <c r="C3026" s="1115"/>
      <c r="D3026" s="1115"/>
      <c r="E3026" s="1115"/>
      <c r="F3026" s="1115"/>
      <c r="G3026" s="1115"/>
      <c r="H3026" s="1115"/>
      <c r="I3026" s="1115"/>
      <c r="J3026" s="1115"/>
      <c r="K3026" s="1115"/>
      <c r="L3026" s="1115"/>
      <c r="M3026" s="1115"/>
      <c r="N3026" s="1115"/>
      <c r="O3026" s="1116"/>
      <c r="P3026" s="1104"/>
      <c r="Q3026" s="1105"/>
      <c r="R3026" s="1105"/>
      <c r="S3026" s="1105"/>
      <c r="T3026" s="1105"/>
      <c r="U3026" s="1106"/>
      <c r="V3026" s="901"/>
      <c r="W3026" s="901"/>
      <c r="X3026" s="901"/>
      <c r="Y3026" s="1104"/>
      <c r="Z3026" s="1105"/>
      <c r="AA3026" s="1106"/>
      <c r="AB3026" s="1066"/>
      <c r="AC3026" s="1067"/>
      <c r="AD3026" s="1068"/>
      <c r="AE3026" s="1066"/>
      <c r="AF3026" s="1067"/>
      <c r="AG3026" s="1068"/>
      <c r="AH3026" s="518"/>
      <c r="AJ3026" s="595"/>
    </row>
    <row r="3027" spans="1:36" hidden="1" x14ac:dyDescent="0.45">
      <c r="A3027" s="518"/>
      <c r="B3027" s="1114"/>
      <c r="C3027" s="1115"/>
      <c r="D3027" s="1115"/>
      <c r="E3027" s="1115"/>
      <c r="F3027" s="1115"/>
      <c r="G3027" s="1115"/>
      <c r="H3027" s="1115"/>
      <c r="I3027" s="1115"/>
      <c r="J3027" s="1115"/>
      <c r="K3027" s="1115"/>
      <c r="L3027" s="1115"/>
      <c r="M3027" s="1115"/>
      <c r="N3027" s="1115"/>
      <c r="O3027" s="1116"/>
      <c r="P3027" s="1104"/>
      <c r="Q3027" s="1105"/>
      <c r="R3027" s="1105"/>
      <c r="S3027" s="1105"/>
      <c r="T3027" s="1105"/>
      <c r="U3027" s="1106"/>
      <c r="V3027" s="901"/>
      <c r="W3027" s="901"/>
      <c r="X3027" s="901"/>
      <c r="Y3027" s="1104"/>
      <c r="Z3027" s="1105"/>
      <c r="AA3027" s="1106"/>
      <c r="AB3027" s="1066"/>
      <c r="AC3027" s="1067"/>
      <c r="AD3027" s="1068"/>
      <c r="AE3027" s="1066"/>
      <c r="AF3027" s="1067"/>
      <c r="AG3027" s="1068"/>
      <c r="AH3027" s="518"/>
      <c r="AJ3027" s="595"/>
    </row>
    <row r="3028" spans="1:36" hidden="1" x14ac:dyDescent="0.45">
      <c r="A3028" s="518"/>
      <c r="B3028" s="1114"/>
      <c r="C3028" s="1115"/>
      <c r="D3028" s="1115"/>
      <c r="E3028" s="1115"/>
      <c r="F3028" s="1115"/>
      <c r="G3028" s="1115"/>
      <c r="H3028" s="1115"/>
      <c r="I3028" s="1115"/>
      <c r="J3028" s="1115"/>
      <c r="K3028" s="1115"/>
      <c r="L3028" s="1115"/>
      <c r="M3028" s="1115"/>
      <c r="N3028" s="1115"/>
      <c r="O3028" s="1116"/>
      <c r="P3028" s="1104"/>
      <c r="Q3028" s="1105"/>
      <c r="R3028" s="1105"/>
      <c r="S3028" s="1105"/>
      <c r="T3028" s="1105"/>
      <c r="U3028" s="1106"/>
      <c r="V3028" s="901"/>
      <c r="W3028" s="901"/>
      <c r="X3028" s="901"/>
      <c r="Y3028" s="1104"/>
      <c r="Z3028" s="1105"/>
      <c r="AA3028" s="1106"/>
      <c r="AB3028" s="1066"/>
      <c r="AC3028" s="1067"/>
      <c r="AD3028" s="1068"/>
      <c r="AE3028" s="1066"/>
      <c r="AF3028" s="1067"/>
      <c r="AG3028" s="1068"/>
      <c r="AH3028" s="518"/>
      <c r="AJ3028" s="595"/>
    </row>
    <row r="3029" spans="1:36" hidden="1" x14ac:dyDescent="0.45">
      <c r="A3029" s="518"/>
      <c r="B3029" s="1114"/>
      <c r="C3029" s="1115"/>
      <c r="D3029" s="1115"/>
      <c r="E3029" s="1115"/>
      <c r="F3029" s="1115"/>
      <c r="G3029" s="1115"/>
      <c r="H3029" s="1115"/>
      <c r="I3029" s="1115"/>
      <c r="J3029" s="1115"/>
      <c r="K3029" s="1115"/>
      <c r="L3029" s="1115"/>
      <c r="M3029" s="1115"/>
      <c r="N3029" s="1115"/>
      <c r="O3029" s="1116"/>
      <c r="P3029" s="1104"/>
      <c r="Q3029" s="1105"/>
      <c r="R3029" s="1105"/>
      <c r="S3029" s="1105"/>
      <c r="T3029" s="1105"/>
      <c r="U3029" s="1106"/>
      <c r="V3029" s="901"/>
      <c r="W3029" s="901"/>
      <c r="X3029" s="901"/>
      <c r="Y3029" s="1104"/>
      <c r="Z3029" s="1105"/>
      <c r="AA3029" s="1106"/>
      <c r="AB3029" s="1066"/>
      <c r="AC3029" s="1067"/>
      <c r="AD3029" s="1068"/>
      <c r="AE3029" s="1066"/>
      <c r="AF3029" s="1067"/>
      <c r="AG3029" s="1068"/>
      <c r="AH3029" s="518"/>
      <c r="AJ3029" s="595"/>
    </row>
    <row r="3030" spans="1:36" hidden="1" x14ac:dyDescent="0.45">
      <c r="A3030" s="518"/>
      <c r="B3030" s="1104"/>
      <c r="C3030" s="1105"/>
      <c r="D3030" s="1105"/>
      <c r="E3030" s="1105"/>
      <c r="F3030" s="1105"/>
      <c r="G3030" s="1105"/>
      <c r="H3030" s="1105"/>
      <c r="I3030" s="1105"/>
      <c r="J3030" s="1105"/>
      <c r="K3030" s="1105"/>
      <c r="L3030" s="1105"/>
      <c r="M3030" s="1105"/>
      <c r="N3030" s="1105"/>
      <c r="O3030" s="1106"/>
      <c r="P3030" s="1104"/>
      <c r="Q3030" s="1105"/>
      <c r="R3030" s="1105"/>
      <c r="S3030" s="1105"/>
      <c r="T3030" s="1105"/>
      <c r="U3030" s="1106"/>
      <c r="V3030" s="901"/>
      <c r="W3030" s="901"/>
      <c r="X3030" s="901"/>
      <c r="Y3030" s="1104"/>
      <c r="Z3030" s="1105"/>
      <c r="AA3030" s="1106"/>
      <c r="AB3030" s="1066"/>
      <c r="AC3030" s="1067"/>
      <c r="AD3030" s="1068"/>
      <c r="AE3030" s="1066"/>
      <c r="AF3030" s="1067"/>
      <c r="AG3030" s="1068"/>
      <c r="AH3030" s="518"/>
      <c r="AJ3030" s="595"/>
    </row>
    <row r="3031" spans="1:36" hidden="1" x14ac:dyDescent="0.45">
      <c r="A3031" s="518"/>
      <c r="B3031" s="1104"/>
      <c r="C3031" s="1105"/>
      <c r="D3031" s="1105"/>
      <c r="E3031" s="1105"/>
      <c r="F3031" s="1105"/>
      <c r="G3031" s="1105"/>
      <c r="H3031" s="1105"/>
      <c r="I3031" s="1105"/>
      <c r="J3031" s="1105"/>
      <c r="K3031" s="1105"/>
      <c r="L3031" s="1105"/>
      <c r="M3031" s="1105"/>
      <c r="N3031" s="1105"/>
      <c r="O3031" s="1106"/>
      <c r="P3031" s="1104"/>
      <c r="Q3031" s="1105"/>
      <c r="R3031" s="1105"/>
      <c r="S3031" s="1105"/>
      <c r="T3031" s="1105"/>
      <c r="U3031" s="1106"/>
      <c r="V3031" s="901"/>
      <c r="W3031" s="901"/>
      <c r="X3031" s="901"/>
      <c r="Y3031" s="1104"/>
      <c r="Z3031" s="1105"/>
      <c r="AA3031" s="1106"/>
      <c r="AB3031" s="1066"/>
      <c r="AC3031" s="1067"/>
      <c r="AD3031" s="1068"/>
      <c r="AE3031" s="1066"/>
      <c r="AF3031" s="1067"/>
      <c r="AG3031" s="1068"/>
      <c r="AH3031" s="518"/>
      <c r="AJ3031" s="595"/>
    </row>
    <row r="3032" spans="1:36" hidden="1" x14ac:dyDescent="0.45">
      <c r="A3032" s="518"/>
      <c r="B3032" s="1104"/>
      <c r="C3032" s="1105"/>
      <c r="D3032" s="1105"/>
      <c r="E3032" s="1105"/>
      <c r="F3032" s="1105"/>
      <c r="G3032" s="1105"/>
      <c r="H3032" s="1105"/>
      <c r="I3032" s="1105"/>
      <c r="J3032" s="1105"/>
      <c r="K3032" s="1105"/>
      <c r="L3032" s="1105"/>
      <c r="M3032" s="1105"/>
      <c r="N3032" s="1105"/>
      <c r="O3032" s="1106"/>
      <c r="P3032" s="1104"/>
      <c r="Q3032" s="1105"/>
      <c r="R3032" s="1105"/>
      <c r="S3032" s="1105"/>
      <c r="T3032" s="1105"/>
      <c r="U3032" s="1106"/>
      <c r="V3032" s="901"/>
      <c r="W3032" s="901"/>
      <c r="X3032" s="901"/>
      <c r="Y3032" s="1104"/>
      <c r="Z3032" s="1105"/>
      <c r="AA3032" s="1106"/>
      <c r="AB3032" s="1066"/>
      <c r="AC3032" s="1067"/>
      <c r="AD3032" s="1068"/>
      <c r="AE3032" s="1066"/>
      <c r="AF3032" s="1067"/>
      <c r="AG3032" s="1068"/>
      <c r="AH3032" s="518"/>
      <c r="AJ3032" s="595"/>
    </row>
    <row r="3033" spans="1:36" hidden="1" x14ac:dyDescent="0.45">
      <c r="A3033" s="518"/>
      <c r="B3033" s="1104"/>
      <c r="C3033" s="1105"/>
      <c r="D3033" s="1105"/>
      <c r="E3033" s="1105"/>
      <c r="F3033" s="1105"/>
      <c r="G3033" s="1105"/>
      <c r="H3033" s="1105"/>
      <c r="I3033" s="1105"/>
      <c r="J3033" s="1105"/>
      <c r="K3033" s="1105"/>
      <c r="L3033" s="1105"/>
      <c r="M3033" s="1105"/>
      <c r="N3033" s="1105"/>
      <c r="O3033" s="1106"/>
      <c r="P3033" s="1104"/>
      <c r="Q3033" s="1105"/>
      <c r="R3033" s="1105"/>
      <c r="S3033" s="1105"/>
      <c r="T3033" s="1105"/>
      <c r="U3033" s="1106"/>
      <c r="V3033" s="901"/>
      <c r="W3033" s="901"/>
      <c r="X3033" s="901"/>
      <c r="Y3033" s="1104"/>
      <c r="Z3033" s="1105"/>
      <c r="AA3033" s="1106"/>
      <c r="AB3033" s="1066"/>
      <c r="AC3033" s="1067"/>
      <c r="AD3033" s="1068"/>
      <c r="AE3033" s="1066"/>
      <c r="AF3033" s="1067"/>
      <c r="AG3033" s="1068"/>
      <c r="AH3033" s="518"/>
      <c r="AJ3033" s="595"/>
    </row>
    <row r="3034" spans="1:36" hidden="1" x14ac:dyDescent="0.45">
      <c r="A3034" s="518"/>
      <c r="B3034" s="1104"/>
      <c r="C3034" s="1105"/>
      <c r="D3034" s="1105"/>
      <c r="E3034" s="1105"/>
      <c r="F3034" s="1105"/>
      <c r="G3034" s="1105"/>
      <c r="H3034" s="1105"/>
      <c r="I3034" s="1105"/>
      <c r="J3034" s="1105"/>
      <c r="K3034" s="1105"/>
      <c r="L3034" s="1105"/>
      <c r="M3034" s="1105"/>
      <c r="N3034" s="1105"/>
      <c r="O3034" s="1106"/>
      <c r="P3034" s="1104"/>
      <c r="Q3034" s="1105"/>
      <c r="R3034" s="1105"/>
      <c r="S3034" s="1105"/>
      <c r="T3034" s="1105"/>
      <c r="U3034" s="1106"/>
      <c r="V3034" s="901"/>
      <c r="W3034" s="901"/>
      <c r="X3034" s="901"/>
      <c r="Y3034" s="1104"/>
      <c r="Z3034" s="1105"/>
      <c r="AA3034" s="1106"/>
      <c r="AB3034" s="1066"/>
      <c r="AC3034" s="1067"/>
      <c r="AD3034" s="1068"/>
      <c r="AE3034" s="1066"/>
      <c r="AF3034" s="1067"/>
      <c r="AG3034" s="1068"/>
      <c r="AH3034" s="518"/>
      <c r="AJ3034" s="595"/>
    </row>
    <row r="3035" spans="1:36" hidden="1" x14ac:dyDescent="0.45">
      <c r="A3035" s="518"/>
      <c r="B3035" s="1104"/>
      <c r="C3035" s="1105"/>
      <c r="D3035" s="1105"/>
      <c r="E3035" s="1105"/>
      <c r="F3035" s="1105"/>
      <c r="G3035" s="1105"/>
      <c r="H3035" s="1105"/>
      <c r="I3035" s="1105"/>
      <c r="J3035" s="1105"/>
      <c r="K3035" s="1105"/>
      <c r="L3035" s="1105"/>
      <c r="M3035" s="1105"/>
      <c r="N3035" s="1105"/>
      <c r="O3035" s="1106"/>
      <c r="P3035" s="1104"/>
      <c r="Q3035" s="1105"/>
      <c r="R3035" s="1105"/>
      <c r="S3035" s="1105"/>
      <c r="T3035" s="1105"/>
      <c r="U3035" s="1106"/>
      <c r="V3035" s="901"/>
      <c r="W3035" s="901"/>
      <c r="X3035" s="901"/>
      <c r="Y3035" s="1104"/>
      <c r="Z3035" s="1105"/>
      <c r="AA3035" s="1106"/>
      <c r="AB3035" s="1066"/>
      <c r="AC3035" s="1067"/>
      <c r="AD3035" s="1068"/>
      <c r="AE3035" s="1066"/>
      <c r="AF3035" s="1067"/>
      <c r="AG3035" s="1068"/>
      <c r="AH3035" s="518"/>
      <c r="AJ3035" s="595"/>
    </row>
    <row r="3036" spans="1:36" hidden="1" x14ac:dyDescent="0.45">
      <c r="A3036" s="518"/>
      <c r="B3036" s="537"/>
      <c r="C3036" s="522"/>
      <c r="D3036" s="522"/>
      <c r="E3036" s="517"/>
      <c r="F3036" s="517"/>
      <c r="G3036" s="517"/>
      <c r="H3036" s="517"/>
      <c r="I3036" s="522"/>
      <c r="J3036" s="537"/>
      <c r="K3036" s="537"/>
      <c r="L3036" s="537"/>
      <c r="M3036" s="522"/>
      <c r="N3036" s="522"/>
      <c r="O3036" s="522"/>
      <c r="P3036" s="522"/>
      <c r="Q3036" s="522"/>
      <c r="R3036" s="522"/>
      <c r="S3036" s="522"/>
      <c r="T3036" s="522"/>
      <c r="U3036" s="522"/>
      <c r="V3036" s="522"/>
      <c r="W3036" s="522"/>
      <c r="X3036" s="522"/>
      <c r="Y3036" s="522"/>
      <c r="Z3036" s="522"/>
      <c r="AA3036" s="522"/>
      <c r="AB3036" s="522"/>
      <c r="AC3036" s="522"/>
      <c r="AD3036" s="522"/>
      <c r="AE3036" s="522"/>
      <c r="AF3036" s="522"/>
      <c r="AG3036" s="522"/>
      <c r="AH3036" s="518"/>
      <c r="AJ3036" s="595"/>
    </row>
    <row r="3037" spans="1:36" hidden="1" x14ac:dyDescent="0.45">
      <c r="A3037" s="518"/>
      <c r="B3037" s="907" t="s">
        <v>1506</v>
      </c>
      <c r="C3037" s="907"/>
      <c r="D3037" s="907"/>
      <c r="E3037" s="907"/>
      <c r="F3037" s="907"/>
      <c r="G3037" s="907"/>
      <c r="H3037" s="907"/>
      <c r="I3037" s="518"/>
      <c r="J3037" s="518"/>
      <c r="K3037" s="518"/>
      <c r="L3037" s="518"/>
      <c r="M3037" s="522"/>
      <c r="N3037" s="522"/>
      <c r="O3037" s="522"/>
      <c r="P3037" s="522"/>
      <c r="Q3037" s="522"/>
      <c r="R3037" s="522"/>
      <c r="S3037" s="522"/>
      <c r="T3037" s="522"/>
      <c r="U3037" s="522"/>
      <c r="V3037" s="522"/>
      <c r="W3037" s="522"/>
      <c r="X3037" s="522"/>
      <c r="Y3037" s="522"/>
      <c r="Z3037" s="522"/>
      <c r="AA3037" s="522"/>
      <c r="AB3037" s="522"/>
      <c r="AC3037" s="522"/>
      <c r="AD3037" s="518"/>
      <c r="AE3037" s="518"/>
      <c r="AF3037" s="518"/>
      <c r="AG3037" s="518"/>
      <c r="AH3037" s="518"/>
      <c r="AJ3037" s="595"/>
    </row>
    <row r="3038" spans="1:36" hidden="1" x14ac:dyDescent="0.45">
      <c r="A3038" s="518"/>
      <c r="B3038" s="984" t="s">
        <v>1508</v>
      </c>
      <c r="C3038" s="984"/>
      <c r="D3038" s="984"/>
      <c r="E3038" s="984"/>
      <c r="F3038" s="984"/>
      <c r="G3038" s="984"/>
      <c r="H3038" s="984"/>
      <c r="I3038" s="984"/>
      <c r="J3038" s="984"/>
      <c r="K3038" s="984"/>
      <c r="L3038" s="984"/>
      <c r="M3038" s="984"/>
      <c r="N3038" s="984"/>
      <c r="O3038" s="984"/>
      <c r="P3038" s="984"/>
      <c r="Q3038" s="984"/>
      <c r="R3038" s="984"/>
      <c r="S3038" s="984"/>
      <c r="T3038" s="984"/>
      <c r="U3038" s="984"/>
      <c r="V3038" s="984"/>
      <c r="W3038" s="984"/>
      <c r="X3038" s="984"/>
      <c r="Y3038" s="984"/>
      <c r="Z3038" s="984"/>
      <c r="AA3038" s="984"/>
      <c r="AB3038" s="984"/>
      <c r="AC3038" s="1113"/>
      <c r="AD3038" s="1100"/>
      <c r="AE3038" s="1101"/>
      <c r="AF3038" s="1101"/>
      <c r="AG3038" s="1102"/>
      <c r="AH3038" s="518"/>
      <c r="AJ3038" s="595"/>
    </row>
    <row r="3039" spans="1:36" hidden="1" x14ac:dyDescent="0.45">
      <c r="A3039" s="518"/>
      <c r="B3039" s="907" t="s">
        <v>1507</v>
      </c>
      <c r="C3039" s="907"/>
      <c r="D3039" s="907"/>
      <c r="E3039" s="907"/>
      <c r="F3039" s="907"/>
      <c r="G3039" s="907"/>
      <c r="H3039" s="907"/>
      <c r="I3039" s="518"/>
      <c r="J3039" s="518"/>
      <c r="K3039" s="518"/>
      <c r="L3039" s="518"/>
      <c r="M3039" s="522"/>
      <c r="N3039" s="522"/>
      <c r="O3039" s="522"/>
      <c r="P3039" s="522"/>
      <c r="Q3039" s="522"/>
      <c r="R3039" s="522"/>
      <c r="S3039" s="522"/>
      <c r="T3039" s="522"/>
      <c r="U3039" s="522"/>
      <c r="V3039" s="522"/>
      <c r="W3039" s="522"/>
      <c r="X3039" s="522"/>
      <c r="Y3039" s="522"/>
      <c r="Z3039" s="522"/>
      <c r="AA3039" s="522"/>
      <c r="AB3039" s="522"/>
      <c r="AC3039" s="522"/>
      <c r="AD3039" s="518"/>
      <c r="AE3039" s="518"/>
      <c r="AF3039" s="518"/>
      <c r="AG3039" s="518"/>
      <c r="AH3039" s="518"/>
      <c r="AJ3039" s="595"/>
    </row>
    <row r="3040" spans="1:36" hidden="1" x14ac:dyDescent="0.45">
      <c r="A3040" s="518"/>
      <c r="B3040" s="984" t="s">
        <v>1839</v>
      </c>
      <c r="C3040" s="984"/>
      <c r="D3040" s="984"/>
      <c r="E3040" s="984"/>
      <c r="F3040" s="984"/>
      <c r="G3040" s="984"/>
      <c r="H3040" s="984"/>
      <c r="I3040" s="984"/>
      <c r="J3040" s="984"/>
      <c r="K3040" s="984"/>
      <c r="L3040" s="984"/>
      <c r="M3040" s="984"/>
      <c r="N3040" s="984"/>
      <c r="O3040" s="984"/>
      <c r="P3040" s="984"/>
      <c r="Q3040" s="984"/>
      <c r="R3040" s="984"/>
      <c r="S3040" s="984"/>
      <c r="T3040" s="984"/>
      <c r="U3040" s="984"/>
      <c r="V3040" s="984"/>
      <c r="W3040" s="984"/>
      <c r="X3040" s="984"/>
      <c r="Y3040" s="984"/>
      <c r="Z3040" s="984"/>
      <c r="AA3040" s="984"/>
      <c r="AB3040" s="984"/>
      <c r="AC3040" s="984"/>
      <c r="AD3040" s="1100"/>
      <c r="AE3040" s="1101"/>
      <c r="AF3040" s="1101"/>
      <c r="AG3040" s="1102"/>
      <c r="AH3040" s="518"/>
      <c r="AJ3040" s="595"/>
    </row>
    <row r="3041" spans="1:36" hidden="1" x14ac:dyDescent="0.45">
      <c r="A3041" s="518"/>
      <c r="B3041" s="984"/>
      <c r="C3041" s="984"/>
      <c r="D3041" s="984"/>
      <c r="E3041" s="984"/>
      <c r="F3041" s="984"/>
      <c r="G3041" s="984"/>
      <c r="H3041" s="984"/>
      <c r="I3041" s="984"/>
      <c r="J3041" s="984"/>
      <c r="K3041" s="984"/>
      <c r="L3041" s="984"/>
      <c r="M3041" s="984"/>
      <c r="N3041" s="984"/>
      <c r="O3041" s="984"/>
      <c r="P3041" s="984"/>
      <c r="Q3041" s="984"/>
      <c r="R3041" s="984"/>
      <c r="S3041" s="984"/>
      <c r="T3041" s="984"/>
      <c r="U3041" s="984"/>
      <c r="V3041" s="984"/>
      <c r="W3041" s="984"/>
      <c r="X3041" s="984"/>
      <c r="Y3041" s="984"/>
      <c r="Z3041" s="984"/>
      <c r="AA3041" s="984"/>
      <c r="AB3041" s="984"/>
      <c r="AC3041" s="984"/>
      <c r="AD3041" s="522"/>
      <c r="AE3041" s="522"/>
      <c r="AF3041" s="522"/>
      <c r="AG3041" s="522"/>
      <c r="AH3041" s="518"/>
      <c r="AJ3041" s="595"/>
    </row>
    <row r="3042" spans="1:36" hidden="1" x14ac:dyDescent="0.45">
      <c r="A3042" s="518"/>
      <c r="B3042" s="975"/>
      <c r="C3042" s="976"/>
      <c r="D3042" s="976"/>
      <c r="E3042" s="976"/>
      <c r="F3042" s="976"/>
      <c r="G3042" s="976"/>
      <c r="H3042" s="976"/>
      <c r="I3042" s="976"/>
      <c r="J3042" s="976"/>
      <c r="K3042" s="976"/>
      <c r="L3042" s="976"/>
      <c r="M3042" s="976"/>
      <c r="N3042" s="976"/>
      <c r="O3042" s="976"/>
      <c r="P3042" s="976"/>
      <c r="Q3042" s="976"/>
      <c r="R3042" s="976"/>
      <c r="S3042" s="976"/>
      <c r="T3042" s="976"/>
      <c r="U3042" s="976"/>
      <c r="V3042" s="976"/>
      <c r="W3042" s="976"/>
      <c r="X3042" s="976"/>
      <c r="Y3042" s="976"/>
      <c r="Z3042" s="976"/>
      <c r="AA3042" s="976"/>
      <c r="AB3042" s="976"/>
      <c r="AC3042" s="976"/>
      <c r="AD3042" s="976"/>
      <c r="AE3042" s="976"/>
      <c r="AF3042" s="976"/>
      <c r="AG3042" s="977"/>
      <c r="AH3042" s="518"/>
      <c r="AJ3042" s="595"/>
    </row>
    <row r="3043" spans="1:36" hidden="1" x14ac:dyDescent="0.45">
      <c r="A3043" s="518"/>
      <c r="B3043" s="978"/>
      <c r="C3043" s="979"/>
      <c r="D3043" s="979"/>
      <c r="E3043" s="979"/>
      <c r="F3043" s="979"/>
      <c r="G3043" s="979"/>
      <c r="H3043" s="979"/>
      <c r="I3043" s="979"/>
      <c r="J3043" s="979"/>
      <c r="K3043" s="979"/>
      <c r="L3043" s="979"/>
      <c r="M3043" s="979"/>
      <c r="N3043" s="979"/>
      <c r="O3043" s="979"/>
      <c r="P3043" s="979"/>
      <c r="Q3043" s="979"/>
      <c r="R3043" s="979"/>
      <c r="S3043" s="979"/>
      <c r="T3043" s="979"/>
      <c r="U3043" s="979"/>
      <c r="V3043" s="979"/>
      <c r="W3043" s="979"/>
      <c r="X3043" s="979"/>
      <c r="Y3043" s="979"/>
      <c r="Z3043" s="979"/>
      <c r="AA3043" s="979"/>
      <c r="AB3043" s="979"/>
      <c r="AC3043" s="979"/>
      <c r="AD3043" s="979"/>
      <c r="AE3043" s="979"/>
      <c r="AF3043" s="979"/>
      <c r="AG3043" s="980"/>
      <c r="AH3043" s="518"/>
      <c r="AJ3043" s="595"/>
    </row>
    <row r="3044" spans="1:36" hidden="1" x14ac:dyDescent="0.45">
      <c r="A3044" s="518"/>
      <c r="B3044" s="981"/>
      <c r="C3044" s="982"/>
      <c r="D3044" s="982"/>
      <c r="E3044" s="982"/>
      <c r="F3044" s="982"/>
      <c r="G3044" s="982"/>
      <c r="H3044" s="982"/>
      <c r="I3044" s="982"/>
      <c r="J3044" s="982"/>
      <c r="K3044" s="982"/>
      <c r="L3044" s="982"/>
      <c r="M3044" s="982"/>
      <c r="N3044" s="982"/>
      <c r="O3044" s="982"/>
      <c r="P3044" s="982"/>
      <c r="Q3044" s="982"/>
      <c r="R3044" s="982"/>
      <c r="S3044" s="982"/>
      <c r="T3044" s="982"/>
      <c r="U3044" s="982"/>
      <c r="V3044" s="982"/>
      <c r="W3044" s="982"/>
      <c r="X3044" s="982"/>
      <c r="Y3044" s="982"/>
      <c r="Z3044" s="982"/>
      <c r="AA3044" s="982"/>
      <c r="AB3044" s="982"/>
      <c r="AC3044" s="982"/>
      <c r="AD3044" s="982"/>
      <c r="AE3044" s="982"/>
      <c r="AF3044" s="982"/>
      <c r="AG3044" s="983"/>
      <c r="AH3044" s="518"/>
      <c r="AJ3044" s="595"/>
    </row>
    <row r="3045" spans="1:36" hidden="1" x14ac:dyDescent="0.45">
      <c r="A3045" s="518"/>
      <c r="B3045" s="531"/>
      <c r="C3045" s="531"/>
      <c r="D3045" s="531"/>
      <c r="E3045" s="531"/>
      <c r="F3045" s="531"/>
      <c r="G3045" s="531"/>
      <c r="H3045" s="531"/>
      <c r="I3045" s="531"/>
      <c r="J3045" s="531"/>
      <c r="K3045" s="531"/>
      <c r="L3045" s="531"/>
      <c r="M3045" s="531"/>
      <c r="N3045" s="531"/>
      <c r="O3045" s="531"/>
      <c r="P3045" s="531"/>
      <c r="Q3045" s="531"/>
      <c r="R3045" s="531"/>
      <c r="S3045" s="531"/>
      <c r="T3045" s="531"/>
      <c r="U3045" s="531"/>
      <c r="V3045" s="531"/>
      <c r="W3045" s="531"/>
      <c r="X3045" s="531"/>
      <c r="Y3045" s="531"/>
      <c r="Z3045" s="531"/>
      <c r="AA3045" s="531"/>
      <c r="AB3045" s="531"/>
      <c r="AC3045" s="531"/>
      <c r="AD3045" s="522"/>
      <c r="AE3045" s="522"/>
      <c r="AF3045" s="522"/>
      <c r="AG3045" s="522"/>
      <c r="AH3045" s="518"/>
      <c r="AJ3045" s="595"/>
    </row>
    <row r="3046" spans="1:36" hidden="1" x14ac:dyDescent="0.45">
      <c r="A3046" s="518"/>
      <c r="B3046" s="545" t="s">
        <v>1592</v>
      </c>
      <c r="C3046" s="545"/>
      <c r="D3046" s="545"/>
      <c r="E3046" s="545"/>
      <c r="F3046" s="545"/>
      <c r="G3046" s="545"/>
      <c r="H3046" s="545"/>
      <c r="I3046" s="545"/>
      <c r="J3046" s="545"/>
      <c r="K3046" s="545"/>
      <c r="L3046" s="545"/>
      <c r="M3046" s="545"/>
      <c r="N3046" s="545"/>
      <c r="O3046" s="545"/>
      <c r="P3046" s="545"/>
      <c r="Q3046" s="545"/>
      <c r="R3046" s="545"/>
      <c r="S3046" s="545"/>
      <c r="T3046" s="545"/>
      <c r="U3046" s="545"/>
      <c r="V3046" s="545"/>
      <c r="W3046" s="545"/>
      <c r="X3046" s="545"/>
      <c r="Y3046" s="545"/>
      <c r="Z3046" s="545"/>
      <c r="AA3046" s="545"/>
      <c r="AB3046" s="545"/>
      <c r="AC3046" s="545"/>
      <c r="AD3046" s="545"/>
      <c r="AE3046" s="545"/>
      <c r="AF3046" s="545"/>
      <c r="AG3046" s="545"/>
      <c r="AH3046" s="518"/>
      <c r="AJ3046" s="595"/>
    </row>
    <row r="3047" spans="1:36" ht="24" hidden="1" customHeight="1" x14ac:dyDescent="0.45">
      <c r="A3047" s="518"/>
      <c r="B3047" s="984" t="s">
        <v>1840</v>
      </c>
      <c r="C3047" s="984"/>
      <c r="D3047" s="984"/>
      <c r="E3047" s="984"/>
      <c r="F3047" s="984"/>
      <c r="G3047" s="984"/>
      <c r="H3047" s="984"/>
      <c r="I3047" s="984"/>
      <c r="J3047" s="984"/>
      <c r="K3047" s="984"/>
      <c r="L3047" s="984"/>
      <c r="M3047" s="984"/>
      <c r="N3047" s="984"/>
      <c r="O3047" s="984"/>
      <c r="P3047" s="984"/>
      <c r="Q3047" s="984"/>
      <c r="R3047" s="984"/>
      <c r="S3047" s="984"/>
      <c r="T3047" s="984"/>
      <c r="U3047" s="984"/>
      <c r="V3047" s="984"/>
      <c r="W3047" s="984"/>
      <c r="X3047" s="984"/>
      <c r="Y3047" s="984"/>
      <c r="Z3047" s="984"/>
      <c r="AA3047" s="984"/>
      <c r="AB3047" s="984"/>
      <c r="AC3047" s="567"/>
      <c r="AD3047" s="1100"/>
      <c r="AE3047" s="1101"/>
      <c r="AF3047" s="1101"/>
      <c r="AG3047" s="1102"/>
      <c r="AH3047" s="518"/>
      <c r="AJ3047" s="595"/>
    </row>
    <row r="3048" spans="1:36" hidden="1" x14ac:dyDescent="0.45">
      <c r="A3048" s="518"/>
      <c r="B3048" s="531"/>
      <c r="C3048" s="531"/>
      <c r="D3048" s="531"/>
      <c r="E3048" s="531"/>
      <c r="F3048" s="531"/>
      <c r="G3048" s="531"/>
      <c r="H3048" s="531"/>
      <c r="I3048" s="531"/>
      <c r="J3048" s="531"/>
      <c r="K3048" s="531"/>
      <c r="L3048" s="531"/>
      <c r="M3048" s="531"/>
      <c r="N3048" s="531"/>
      <c r="O3048" s="531"/>
      <c r="P3048" s="531"/>
      <c r="Q3048" s="531"/>
      <c r="R3048" s="531"/>
      <c r="S3048" s="531"/>
      <c r="T3048" s="531"/>
      <c r="U3048" s="531"/>
      <c r="V3048" s="531"/>
      <c r="W3048" s="531"/>
      <c r="X3048" s="531"/>
      <c r="Y3048" s="531"/>
      <c r="Z3048" s="531"/>
      <c r="AA3048" s="531"/>
      <c r="AB3048" s="531"/>
      <c r="AC3048" s="531"/>
      <c r="AD3048" s="538"/>
      <c r="AE3048" s="538"/>
      <c r="AF3048" s="538"/>
      <c r="AG3048" s="538"/>
      <c r="AH3048" s="518"/>
      <c r="AJ3048" s="595"/>
    </row>
    <row r="3049" spans="1:36" hidden="1" x14ac:dyDescent="0.45">
      <c r="A3049" s="518"/>
      <c r="B3049" s="907" t="s">
        <v>1509</v>
      </c>
      <c r="C3049" s="907"/>
      <c r="D3049" s="907"/>
      <c r="E3049" s="907"/>
      <c r="F3049" s="907"/>
      <c r="G3049" s="907"/>
      <c r="H3049" s="907"/>
      <c r="I3049" s="531"/>
      <c r="J3049" s="531"/>
      <c r="K3049" s="531"/>
      <c r="L3049" s="531"/>
      <c r="M3049" s="531"/>
      <c r="N3049" s="531"/>
      <c r="O3049" s="531"/>
      <c r="P3049" s="531"/>
      <c r="Q3049" s="531"/>
      <c r="R3049" s="531"/>
      <c r="S3049" s="531"/>
      <c r="T3049" s="531"/>
      <c r="U3049" s="531"/>
      <c r="V3049" s="531"/>
      <c r="W3049" s="531"/>
      <c r="X3049" s="531"/>
      <c r="Y3049" s="531"/>
      <c r="Z3049" s="531"/>
      <c r="AA3049" s="531"/>
      <c r="AB3049" s="531"/>
      <c r="AC3049" s="531"/>
      <c r="AD3049" s="538"/>
      <c r="AE3049" s="538"/>
      <c r="AF3049" s="538"/>
      <c r="AG3049" s="538"/>
      <c r="AH3049" s="518"/>
      <c r="AJ3049" s="595"/>
    </row>
    <row r="3050" spans="1:36" hidden="1" x14ac:dyDescent="0.45">
      <c r="A3050" s="518"/>
      <c r="B3050" s="1103" t="s">
        <v>1511</v>
      </c>
      <c r="C3050" s="1103"/>
      <c r="D3050" s="1103"/>
      <c r="E3050" s="1103"/>
      <c r="F3050" s="1103"/>
      <c r="G3050" s="1103"/>
      <c r="H3050" s="1103"/>
      <c r="I3050" s="1104"/>
      <c r="J3050" s="1105"/>
      <c r="K3050" s="1106"/>
      <c r="L3050" s="532"/>
      <c r="M3050" s="544" t="s">
        <v>1510</v>
      </c>
      <c r="N3050" s="532"/>
      <c r="O3050" s="532"/>
      <c r="P3050" s="532"/>
      <c r="Q3050" s="532"/>
      <c r="R3050" s="1107"/>
      <c r="S3050" s="1108"/>
      <c r="T3050" s="1109"/>
      <c r="U3050" s="532"/>
      <c r="V3050" s="544" t="s">
        <v>1512</v>
      </c>
      <c r="W3050" s="532"/>
      <c r="X3050" s="532"/>
      <c r="Y3050" s="532"/>
      <c r="Z3050" s="532"/>
      <c r="AA3050" s="532"/>
      <c r="AB3050" s="532"/>
      <c r="AC3050" s="532"/>
      <c r="AD3050" s="1110"/>
      <c r="AE3050" s="1110"/>
      <c r="AF3050" s="1110"/>
      <c r="AG3050" s="1110"/>
      <c r="AH3050" s="518"/>
      <c r="AJ3050" s="595"/>
    </row>
    <row r="3051" spans="1:36" hidden="1" x14ac:dyDescent="0.45">
      <c r="A3051" s="518"/>
      <c r="B3051" s="531"/>
      <c r="C3051" s="531"/>
      <c r="D3051" s="531"/>
      <c r="E3051" s="531"/>
      <c r="F3051" s="531"/>
      <c r="G3051" s="531"/>
      <c r="H3051" s="531"/>
      <c r="I3051" s="518"/>
      <c r="J3051" s="518"/>
      <c r="K3051" s="518"/>
      <c r="L3051" s="518"/>
      <c r="M3051" s="518"/>
      <c r="N3051" s="518"/>
      <c r="O3051" s="518"/>
      <c r="P3051" s="518"/>
      <c r="Q3051" s="518"/>
      <c r="R3051" s="518"/>
      <c r="S3051" s="518"/>
      <c r="T3051" s="518"/>
      <c r="U3051" s="531"/>
      <c r="V3051" s="531"/>
      <c r="W3051" s="531"/>
      <c r="X3051" s="531"/>
      <c r="Y3051" s="531"/>
      <c r="Z3051" s="531"/>
      <c r="AA3051" s="518"/>
      <c r="AB3051" s="518"/>
      <c r="AC3051" s="518"/>
      <c r="AD3051" s="518"/>
      <c r="AE3051" s="518"/>
      <c r="AF3051" s="518"/>
      <c r="AG3051" s="538"/>
      <c r="AH3051" s="518"/>
      <c r="AJ3051" s="595"/>
    </row>
    <row r="3052" spans="1:36" hidden="1" x14ac:dyDescent="0.45">
      <c r="A3052" s="518"/>
      <c r="B3052" s="907" t="s">
        <v>1514</v>
      </c>
      <c r="C3052" s="907"/>
      <c r="D3052" s="907"/>
      <c r="E3052" s="907"/>
      <c r="F3052" s="907"/>
      <c r="G3052" s="907"/>
      <c r="H3052" s="907"/>
      <c r="I3052" s="518"/>
      <c r="J3052" s="518"/>
      <c r="K3052" s="518"/>
      <c r="L3052" s="518"/>
      <c r="M3052" s="518"/>
      <c r="N3052" s="518"/>
      <c r="O3052" s="518"/>
      <c r="P3052" s="518"/>
      <c r="Q3052" s="518"/>
      <c r="R3052" s="518"/>
      <c r="S3052" s="518"/>
      <c r="T3052" s="518"/>
      <c r="U3052" s="531"/>
      <c r="V3052" s="531"/>
      <c r="W3052" s="531"/>
      <c r="X3052" s="531"/>
      <c r="Y3052" s="531"/>
      <c r="Z3052" s="531"/>
      <c r="AA3052" s="518"/>
      <c r="AB3052" s="518"/>
      <c r="AC3052" s="518"/>
      <c r="AD3052" s="518"/>
      <c r="AE3052" s="518"/>
      <c r="AF3052" s="518"/>
      <c r="AG3052" s="538"/>
      <c r="AH3052" s="518"/>
      <c r="AJ3052" s="595"/>
    </row>
    <row r="3053" spans="1:36" hidden="1" x14ac:dyDescent="0.45">
      <c r="A3053" s="518"/>
      <c r="B3053" s="544" t="s">
        <v>1515</v>
      </c>
      <c r="C3053" s="547"/>
      <c r="D3053" s="547"/>
      <c r="E3053" s="547"/>
      <c r="F3053" s="547"/>
      <c r="G3053" s="547"/>
      <c r="H3053" s="547"/>
      <c r="I3053" s="532"/>
      <c r="J3053" s="532"/>
      <c r="K3053" s="532"/>
      <c r="L3053" s="908"/>
      <c r="M3053" s="908"/>
      <c r="N3053" s="908"/>
      <c r="O3053" s="908"/>
      <c r="P3053" s="908"/>
      <c r="Q3053" s="532"/>
      <c r="R3053" s="532"/>
      <c r="S3053" s="544" t="s">
        <v>1516</v>
      </c>
      <c r="T3053" s="547"/>
      <c r="U3053" s="547"/>
      <c r="V3053" s="547"/>
      <c r="W3053" s="547"/>
      <c r="X3053" s="547"/>
      <c r="Y3053" s="547"/>
      <c r="Z3053" s="547"/>
      <c r="AA3053" s="547"/>
      <c r="AB3053" s="547"/>
      <c r="AC3053" s="908"/>
      <c r="AD3053" s="908"/>
      <c r="AE3053" s="908"/>
      <c r="AF3053" s="908"/>
      <c r="AG3053" s="908"/>
      <c r="AH3053" s="518"/>
      <c r="AJ3053" s="595"/>
    </row>
    <row r="3054" spans="1:36" hidden="1" x14ac:dyDescent="0.45">
      <c r="A3054" s="518"/>
      <c r="B3054" s="543"/>
      <c r="C3054" s="531"/>
      <c r="D3054" s="531"/>
      <c r="E3054" s="531"/>
      <c r="F3054" s="531"/>
      <c r="G3054" s="531"/>
      <c r="H3054" s="531"/>
      <c r="I3054" s="518"/>
      <c r="J3054" s="518"/>
      <c r="K3054" s="518"/>
      <c r="L3054" s="546"/>
      <c r="M3054" s="546"/>
      <c r="N3054" s="546"/>
      <c r="O3054" s="546"/>
      <c r="P3054" s="546"/>
      <c r="Q3054" s="518"/>
      <c r="R3054" s="518"/>
      <c r="S3054" s="543"/>
      <c r="T3054" s="531"/>
      <c r="U3054" s="531"/>
      <c r="V3054" s="531"/>
      <c r="W3054" s="531"/>
      <c r="X3054" s="531"/>
      <c r="Y3054" s="531"/>
      <c r="Z3054" s="531"/>
      <c r="AA3054" s="531"/>
      <c r="AB3054" s="531"/>
      <c r="AC3054" s="546"/>
      <c r="AD3054" s="546"/>
      <c r="AE3054" s="546"/>
      <c r="AF3054" s="546"/>
      <c r="AG3054" s="546"/>
      <c r="AH3054" s="518"/>
      <c r="AJ3054" s="595"/>
    </row>
    <row r="3055" spans="1:36" hidden="1" x14ac:dyDescent="0.45">
      <c r="A3055" s="518"/>
      <c r="B3055" s="907" t="s">
        <v>1517</v>
      </c>
      <c r="C3055" s="907"/>
      <c r="D3055" s="907"/>
      <c r="E3055" s="907"/>
      <c r="F3055" s="907"/>
      <c r="G3055" s="907"/>
      <c r="H3055" s="907"/>
      <c r="I3055" s="907"/>
      <c r="J3055" s="907"/>
      <c r="K3055" s="907"/>
      <c r="L3055" s="907"/>
      <c r="M3055" s="517"/>
      <c r="N3055" s="517"/>
      <c r="O3055" s="517"/>
      <c r="P3055" s="517"/>
      <c r="Q3055" s="517"/>
      <c r="R3055" s="517"/>
      <c r="S3055" s="517"/>
      <c r="T3055" s="517"/>
      <c r="U3055" s="517"/>
      <c r="V3055" s="517"/>
      <c r="W3055" s="517"/>
      <c r="X3055" s="517"/>
      <c r="Y3055" s="517"/>
      <c r="Z3055" s="517"/>
      <c r="AA3055" s="517"/>
      <c r="AB3055" s="517"/>
      <c r="AC3055" s="517"/>
      <c r="AD3055" s="517"/>
      <c r="AE3055" s="517"/>
      <c r="AF3055" s="517"/>
      <c r="AG3055" s="517"/>
      <c r="AH3055" s="518"/>
      <c r="AJ3055" s="595"/>
    </row>
    <row r="3056" spans="1:36" hidden="1" x14ac:dyDescent="0.45">
      <c r="A3056" s="518"/>
      <c r="B3056" s="1103" t="s">
        <v>1518</v>
      </c>
      <c r="C3056" s="1103"/>
      <c r="D3056" s="1111"/>
      <c r="E3056" s="1038"/>
      <c r="F3056" s="1112"/>
      <c r="G3056" s="548"/>
      <c r="H3056" s="1103" t="s">
        <v>1519</v>
      </c>
      <c r="I3056" s="1103"/>
      <c r="J3056" s="1103"/>
      <c r="K3056" s="1038"/>
      <c r="L3056" s="1112"/>
      <c r="N3056" s="984" t="s">
        <v>1593</v>
      </c>
      <c r="O3056" s="984"/>
      <c r="P3056" s="984"/>
      <c r="Q3056" s="984"/>
      <c r="R3056" s="984"/>
      <c r="S3056" s="1091"/>
      <c r="T3056" s="1092"/>
      <c r="U3056" s="1092"/>
      <c r="V3056" s="1092"/>
      <c r="W3056" s="1092"/>
      <c r="X3056" s="1092"/>
      <c r="Y3056" s="1092"/>
      <c r="Z3056" s="1092"/>
      <c r="AA3056" s="1092"/>
      <c r="AB3056" s="1092"/>
      <c r="AC3056" s="1092"/>
      <c r="AD3056" s="1092"/>
      <c r="AE3056" s="1092"/>
      <c r="AF3056" s="1092"/>
      <c r="AG3056" s="1093"/>
      <c r="AH3056" s="518"/>
      <c r="AJ3056" s="595"/>
    </row>
    <row r="3057" spans="1:36" hidden="1" x14ac:dyDescent="0.45">
      <c r="A3057" s="518"/>
      <c r="B3057" s="1103" t="s">
        <v>1520</v>
      </c>
      <c r="C3057" s="1103"/>
      <c r="D3057" s="1103"/>
      <c r="E3057" s="1038"/>
      <c r="F3057" s="1112"/>
      <c r="G3057" s="532"/>
      <c r="H3057" s="1103" t="s">
        <v>1521</v>
      </c>
      <c r="I3057" s="1103"/>
      <c r="J3057" s="1103"/>
      <c r="K3057" s="1038"/>
      <c r="L3057" s="1112"/>
      <c r="M3057" s="518"/>
      <c r="N3057" s="984"/>
      <c r="O3057" s="984"/>
      <c r="P3057" s="984"/>
      <c r="Q3057" s="984"/>
      <c r="R3057" s="984"/>
      <c r="S3057" s="1094"/>
      <c r="T3057" s="1095"/>
      <c r="U3057" s="1095"/>
      <c r="V3057" s="1095"/>
      <c r="W3057" s="1095"/>
      <c r="X3057" s="1095"/>
      <c r="Y3057" s="1095"/>
      <c r="Z3057" s="1095"/>
      <c r="AA3057" s="1095"/>
      <c r="AB3057" s="1095"/>
      <c r="AC3057" s="1095"/>
      <c r="AD3057" s="1095"/>
      <c r="AE3057" s="1095"/>
      <c r="AF3057" s="1095"/>
      <c r="AG3057" s="1096"/>
      <c r="AH3057" s="518"/>
      <c r="AJ3057" s="595"/>
    </row>
    <row r="3058" spans="1:36" hidden="1" x14ac:dyDescent="0.45">
      <c r="A3058" s="518"/>
      <c r="B3058" s="543"/>
      <c r="C3058" s="531"/>
      <c r="D3058" s="531"/>
      <c r="E3058" s="531"/>
      <c r="F3058" s="531"/>
      <c r="G3058" s="531"/>
      <c r="H3058" s="531"/>
      <c r="I3058" s="518"/>
      <c r="J3058" s="518"/>
      <c r="K3058" s="518"/>
      <c r="L3058" s="546"/>
      <c r="M3058" s="546"/>
      <c r="N3058" s="546"/>
      <c r="O3058" s="546"/>
      <c r="P3058" s="546"/>
      <c r="Q3058" s="518"/>
      <c r="R3058" s="518"/>
      <c r="S3058" s="543"/>
      <c r="T3058" s="531"/>
      <c r="U3058" s="531"/>
      <c r="V3058" s="531"/>
      <c r="W3058" s="531"/>
      <c r="X3058" s="531"/>
      <c r="Y3058" s="531"/>
      <c r="Z3058" s="531"/>
      <c r="AA3058" s="531"/>
      <c r="AB3058" s="531"/>
      <c r="AC3058" s="546"/>
      <c r="AD3058" s="546"/>
      <c r="AE3058" s="546"/>
      <c r="AF3058" s="546"/>
      <c r="AG3058" s="546"/>
      <c r="AH3058" s="518"/>
      <c r="AJ3058" s="595"/>
    </row>
    <row r="3059" spans="1:36" hidden="1" x14ac:dyDescent="0.45">
      <c r="A3059" s="518"/>
      <c r="B3059" s="518"/>
      <c r="C3059" s="518"/>
      <c r="D3059" s="518"/>
      <c r="E3059" s="518"/>
      <c r="F3059" s="518"/>
      <c r="G3059" s="518"/>
      <c r="H3059" s="518"/>
      <c r="I3059" s="518"/>
      <c r="J3059" s="518"/>
      <c r="K3059" s="518"/>
      <c r="L3059" s="518"/>
      <c r="M3059" s="518"/>
      <c r="N3059" s="518"/>
      <c r="O3059" s="518"/>
      <c r="P3059" s="518"/>
      <c r="Q3059" s="518"/>
      <c r="R3059" s="518"/>
      <c r="S3059" s="518"/>
      <c r="T3059" s="518"/>
      <c r="U3059" s="518"/>
      <c r="V3059" s="518"/>
      <c r="W3059" s="518"/>
      <c r="X3059" s="518"/>
      <c r="Y3059" s="518"/>
      <c r="Z3059" s="518"/>
      <c r="AA3059" s="518"/>
      <c r="AB3059" s="518"/>
      <c r="AC3059" s="518"/>
      <c r="AD3059" s="518"/>
      <c r="AE3059" s="518"/>
      <c r="AF3059" s="518"/>
      <c r="AG3059" s="518"/>
      <c r="AH3059" s="518"/>
      <c r="AJ3059" s="595"/>
    </row>
    <row r="3060" spans="1:36" hidden="1" x14ac:dyDescent="0.45">
      <c r="A3060" s="518"/>
      <c r="B3060" s="907" t="s">
        <v>25</v>
      </c>
      <c r="C3060" s="907"/>
      <c r="D3060" s="907"/>
      <c r="E3060" s="907"/>
      <c r="F3060" s="907"/>
      <c r="G3060" s="907"/>
      <c r="H3060" s="907"/>
      <c r="I3060" s="907"/>
      <c r="J3060" s="907"/>
      <c r="K3060" s="907"/>
      <c r="L3060" s="907"/>
      <c r="M3060" s="907"/>
      <c r="N3060" s="907"/>
      <c r="O3060" s="907"/>
      <c r="P3060" s="907"/>
      <c r="Q3060" s="907"/>
      <c r="R3060" s="907"/>
      <c r="S3060" s="907"/>
      <c r="T3060" s="907"/>
      <c r="U3060" s="907"/>
      <c r="V3060" s="907"/>
      <c r="W3060" s="907"/>
      <c r="X3060" s="907"/>
      <c r="Y3060" s="907"/>
      <c r="Z3060" s="907"/>
      <c r="AA3060" s="907"/>
      <c r="AB3060" s="907"/>
      <c r="AC3060" s="907"/>
      <c r="AD3060" s="907"/>
      <c r="AE3060" s="907"/>
      <c r="AF3060" s="907"/>
      <c r="AG3060" s="907"/>
      <c r="AH3060" s="518"/>
      <c r="AJ3060" s="595"/>
    </row>
    <row r="3061" spans="1:36" hidden="1" x14ac:dyDescent="0.45">
      <c r="A3061" s="518"/>
      <c r="B3061" s="907" t="str">
        <f>B3018</f>
        <v>Serna Homeownership Project Development Loan</v>
      </c>
      <c r="C3061" s="907"/>
      <c r="D3061" s="907"/>
      <c r="E3061" s="907"/>
      <c r="F3061" s="907"/>
      <c r="G3061" s="907"/>
      <c r="H3061" s="907"/>
      <c r="I3061" s="907"/>
      <c r="J3061" s="907"/>
      <c r="K3061" s="907"/>
      <c r="L3061" s="907"/>
      <c r="M3061" s="907"/>
      <c r="N3061" s="907"/>
      <c r="O3061" s="907"/>
      <c r="P3061" s="907"/>
      <c r="Q3061" s="907"/>
      <c r="R3061" s="907"/>
      <c r="S3061" s="907"/>
      <c r="T3061" s="907"/>
      <c r="U3061" s="907"/>
      <c r="V3061" s="907"/>
      <c r="W3061" s="907"/>
      <c r="X3061" s="907"/>
      <c r="Y3061" s="907"/>
      <c r="Z3061" s="907"/>
      <c r="AA3061" s="907"/>
      <c r="AB3061" s="907"/>
      <c r="AC3061" s="907"/>
      <c r="AD3061" s="907"/>
      <c r="AE3061" s="907"/>
      <c r="AF3061" s="907"/>
      <c r="AG3061" s="907"/>
      <c r="AH3061" s="518"/>
      <c r="AJ3061" s="595"/>
    </row>
    <row r="3062" spans="1:36" hidden="1" x14ac:dyDescent="0.45">
      <c r="A3062" s="518"/>
      <c r="B3062" s="518"/>
      <c r="C3062" s="518"/>
      <c r="D3062" s="518"/>
      <c r="E3062" s="518"/>
      <c r="F3062" s="518"/>
      <c r="G3062" s="518"/>
      <c r="H3062" s="518"/>
      <c r="I3062" s="518"/>
      <c r="J3062" s="518"/>
      <c r="K3062" s="518"/>
      <c r="L3062" s="518"/>
      <c r="M3062" s="518"/>
      <c r="N3062" s="518"/>
      <c r="O3062" s="518"/>
      <c r="P3062" s="518"/>
      <c r="Q3062" s="518"/>
      <c r="R3062" s="518"/>
      <c r="S3062" s="518"/>
      <c r="T3062" s="518"/>
      <c r="U3062" s="518"/>
      <c r="V3062" s="518"/>
      <c r="W3062" s="518"/>
      <c r="X3062" s="518"/>
      <c r="Y3062" s="518"/>
      <c r="Z3062" s="518"/>
      <c r="AA3062" s="518"/>
      <c r="AB3062" s="518"/>
      <c r="AC3062" s="518"/>
      <c r="AD3062" s="518"/>
      <c r="AE3062" s="518"/>
      <c r="AF3062" s="518"/>
      <c r="AG3062" s="518"/>
      <c r="AH3062" s="518"/>
      <c r="AJ3062" s="595"/>
    </row>
    <row r="3063" spans="1:36" hidden="1" x14ac:dyDescent="0.45">
      <c r="A3063" s="518"/>
      <c r="B3063" s="907" t="s">
        <v>1522</v>
      </c>
      <c r="C3063" s="907"/>
      <c r="D3063" s="907"/>
      <c r="E3063" s="907"/>
      <c r="F3063" s="907"/>
      <c r="G3063" s="907"/>
      <c r="H3063" s="907"/>
      <c r="I3063" s="907"/>
      <c r="J3063" s="907"/>
      <c r="K3063" s="907"/>
      <c r="L3063" s="907"/>
      <c r="M3063" s="907"/>
      <c r="N3063" s="907"/>
      <c r="O3063" s="907"/>
      <c r="P3063" s="907"/>
      <c r="Q3063" s="907"/>
      <c r="R3063" s="907"/>
      <c r="S3063" s="907"/>
      <c r="T3063" s="907"/>
      <c r="U3063" s="907"/>
      <c r="V3063" s="907"/>
      <c r="W3063" s="907"/>
      <c r="X3063" s="907"/>
      <c r="Y3063" s="907"/>
      <c r="Z3063" s="907"/>
      <c r="AA3063" s="907"/>
      <c r="AB3063" s="907"/>
      <c r="AC3063" s="907"/>
      <c r="AD3063" s="907"/>
      <c r="AE3063" s="907"/>
      <c r="AF3063" s="907"/>
      <c r="AG3063" s="907"/>
      <c r="AH3063" s="518"/>
      <c r="AJ3063" s="595"/>
    </row>
    <row r="3064" spans="1:36" hidden="1" x14ac:dyDescent="0.45">
      <c r="A3064" s="518"/>
      <c r="B3064" s="987" t="s">
        <v>1523</v>
      </c>
      <c r="C3064" s="987"/>
      <c r="D3064" s="987"/>
      <c r="E3064" s="987"/>
      <c r="F3064" s="987"/>
      <c r="G3064" s="987"/>
      <c r="H3064" s="987"/>
      <c r="I3064" s="987"/>
      <c r="J3064" s="987"/>
      <c r="K3064" s="987"/>
      <c r="L3064" s="987"/>
      <c r="M3064" s="987"/>
      <c r="N3064" s="987"/>
      <c r="O3064" s="987"/>
      <c r="P3064" s="987"/>
      <c r="Q3064" s="987"/>
      <c r="R3064" s="987"/>
      <c r="S3064" s="987"/>
      <c r="T3064" s="987"/>
      <c r="U3064" s="987"/>
      <c r="V3064" s="987"/>
      <c r="W3064" s="987"/>
      <c r="X3064" s="987"/>
      <c r="Y3064" s="987"/>
      <c r="Z3064" s="987"/>
      <c r="AA3064" s="987"/>
      <c r="AB3064" s="987"/>
      <c r="AC3064" s="987"/>
      <c r="AD3064" s="987"/>
      <c r="AE3064" s="987"/>
      <c r="AF3064" s="987"/>
      <c r="AG3064" s="987"/>
      <c r="AH3064" s="518"/>
      <c r="AJ3064" s="595"/>
    </row>
    <row r="3065" spans="1:36" hidden="1" x14ac:dyDescent="0.45">
      <c r="A3065" s="518"/>
      <c r="B3065" s="1091"/>
      <c r="C3065" s="1092"/>
      <c r="D3065" s="1092"/>
      <c r="E3065" s="1092"/>
      <c r="F3065" s="1092"/>
      <c r="G3065" s="1092"/>
      <c r="H3065" s="1092"/>
      <c r="I3065" s="1092"/>
      <c r="J3065" s="1092"/>
      <c r="K3065" s="1092"/>
      <c r="L3065" s="1092"/>
      <c r="M3065" s="1092"/>
      <c r="N3065" s="1092"/>
      <c r="O3065" s="1092"/>
      <c r="P3065" s="1092"/>
      <c r="Q3065" s="1092"/>
      <c r="R3065" s="1092"/>
      <c r="S3065" s="1092"/>
      <c r="T3065" s="1092"/>
      <c r="U3065" s="1092"/>
      <c r="V3065" s="1092"/>
      <c r="W3065" s="1092"/>
      <c r="X3065" s="1092"/>
      <c r="Y3065" s="1092"/>
      <c r="Z3065" s="1092"/>
      <c r="AA3065" s="1092"/>
      <c r="AB3065" s="1092"/>
      <c r="AC3065" s="1092"/>
      <c r="AD3065" s="1092"/>
      <c r="AE3065" s="1092"/>
      <c r="AF3065" s="1092"/>
      <c r="AG3065" s="1093"/>
      <c r="AH3065" s="518"/>
      <c r="AJ3065" s="595"/>
    </row>
    <row r="3066" spans="1:36" hidden="1" x14ac:dyDescent="0.45">
      <c r="A3066" s="518"/>
      <c r="B3066" s="1094"/>
      <c r="C3066" s="1095"/>
      <c r="D3066" s="1095"/>
      <c r="E3066" s="1095"/>
      <c r="F3066" s="1095"/>
      <c r="G3066" s="1095"/>
      <c r="H3066" s="1095"/>
      <c r="I3066" s="1095"/>
      <c r="J3066" s="1095"/>
      <c r="K3066" s="1095"/>
      <c r="L3066" s="1095"/>
      <c r="M3066" s="1095"/>
      <c r="N3066" s="1095"/>
      <c r="O3066" s="1095"/>
      <c r="P3066" s="1095"/>
      <c r="Q3066" s="1095"/>
      <c r="R3066" s="1095"/>
      <c r="S3066" s="1095"/>
      <c r="T3066" s="1095"/>
      <c r="U3066" s="1095"/>
      <c r="V3066" s="1095"/>
      <c r="W3066" s="1095"/>
      <c r="X3066" s="1095"/>
      <c r="Y3066" s="1095"/>
      <c r="Z3066" s="1095"/>
      <c r="AA3066" s="1095"/>
      <c r="AB3066" s="1095"/>
      <c r="AC3066" s="1095"/>
      <c r="AD3066" s="1095"/>
      <c r="AE3066" s="1095"/>
      <c r="AF3066" s="1095"/>
      <c r="AG3066" s="1096"/>
      <c r="AH3066" s="518"/>
      <c r="AJ3066" s="595"/>
    </row>
    <row r="3067" spans="1:36" hidden="1" x14ac:dyDescent="0.45">
      <c r="A3067" s="518"/>
      <c r="B3067" s="539"/>
      <c r="C3067" s="539"/>
      <c r="D3067" s="539"/>
      <c r="E3067" s="539"/>
      <c r="F3067" s="539"/>
      <c r="G3067" s="539"/>
      <c r="H3067" s="539"/>
      <c r="I3067" s="539"/>
      <c r="J3067" s="539"/>
      <c r="K3067" s="539"/>
      <c r="L3067" s="539"/>
      <c r="M3067" s="539"/>
      <c r="N3067" s="539"/>
      <c r="O3067" s="539"/>
      <c r="P3067" s="540"/>
      <c r="Q3067" s="540"/>
      <c r="R3067" s="540"/>
      <c r="S3067" s="540"/>
      <c r="T3067" s="540"/>
      <c r="U3067" s="540"/>
      <c r="V3067" s="540"/>
      <c r="W3067" s="540"/>
      <c r="X3067" s="540"/>
      <c r="Y3067" s="540"/>
      <c r="Z3067" s="540"/>
      <c r="AA3067" s="540"/>
      <c r="AB3067" s="540"/>
      <c r="AC3067" s="540"/>
      <c r="AD3067" s="540"/>
      <c r="AE3067" s="540"/>
      <c r="AF3067" s="540"/>
      <c r="AG3067" s="540"/>
      <c r="AH3067" s="518"/>
      <c r="AJ3067" s="595"/>
    </row>
    <row r="3068" spans="1:36" hidden="1" x14ac:dyDescent="0.45">
      <c r="A3068" s="518"/>
      <c r="B3068" s="907" t="s">
        <v>1524</v>
      </c>
      <c r="C3068" s="907"/>
      <c r="D3068" s="907"/>
      <c r="E3068" s="907"/>
      <c r="F3068" s="907"/>
      <c r="G3068" s="907"/>
      <c r="H3068" s="907"/>
      <c r="I3068" s="907"/>
      <c r="J3068" s="907"/>
      <c r="K3068" s="907"/>
      <c r="L3068" s="907"/>
      <c r="M3068" s="907"/>
      <c r="N3068" s="907"/>
      <c r="O3068" s="907"/>
      <c r="P3068" s="907"/>
      <c r="Q3068" s="907"/>
      <c r="R3068" s="907"/>
      <c r="S3068" s="907"/>
      <c r="T3068" s="907"/>
      <c r="U3068" s="907"/>
      <c r="V3068" s="907"/>
      <c r="W3068" s="907"/>
      <c r="X3068" s="907"/>
      <c r="Y3068" s="907"/>
      <c r="Z3068" s="907"/>
      <c r="AA3068" s="907"/>
      <c r="AB3068" s="907"/>
      <c r="AC3068" s="907"/>
      <c r="AD3068" s="907"/>
      <c r="AE3068" s="907"/>
      <c r="AF3068" s="907"/>
      <c r="AG3068" s="907"/>
      <c r="AH3068" s="518"/>
      <c r="AJ3068" s="595"/>
    </row>
    <row r="3069" spans="1:36" hidden="1" x14ac:dyDescent="0.45">
      <c r="A3069" s="518"/>
      <c r="B3069" s="984" t="s">
        <v>1783</v>
      </c>
      <c r="C3069" s="984"/>
      <c r="D3069" s="984"/>
      <c r="E3069" s="984"/>
      <c r="F3069" s="984"/>
      <c r="G3069" s="984"/>
      <c r="H3069" s="984"/>
      <c r="I3069" s="984"/>
      <c r="J3069" s="984"/>
      <c r="K3069" s="984"/>
      <c r="L3069" s="984"/>
      <c r="M3069" s="984"/>
      <c r="N3069" s="984"/>
      <c r="O3069" s="984"/>
      <c r="P3069" s="984"/>
      <c r="Q3069" s="984"/>
      <c r="R3069" s="984"/>
      <c r="S3069" s="984"/>
      <c r="T3069" s="984"/>
      <c r="U3069" s="984"/>
      <c r="V3069" s="984"/>
      <c r="W3069" s="984"/>
      <c r="X3069" s="984"/>
      <c r="Y3069" s="984"/>
      <c r="Z3069" s="984"/>
      <c r="AA3069" s="540"/>
      <c r="AB3069" s="1066"/>
      <c r="AC3069" s="1068"/>
      <c r="AD3069" s="1097"/>
      <c r="AE3069" s="1097"/>
      <c r="AF3069" s="1097"/>
      <c r="AG3069" s="1097"/>
      <c r="AH3069" s="518"/>
      <c r="AJ3069" s="595"/>
    </row>
    <row r="3070" spans="1:36" hidden="1" x14ac:dyDescent="0.45">
      <c r="A3070" s="518"/>
      <c r="B3070" s="984"/>
      <c r="C3070" s="984"/>
      <c r="D3070" s="984"/>
      <c r="E3070" s="984"/>
      <c r="F3070" s="984"/>
      <c r="G3070" s="984"/>
      <c r="H3070" s="984"/>
      <c r="I3070" s="984"/>
      <c r="J3070" s="984"/>
      <c r="K3070" s="984"/>
      <c r="L3070" s="984"/>
      <c r="M3070" s="984"/>
      <c r="N3070" s="984"/>
      <c r="O3070" s="984"/>
      <c r="P3070" s="984"/>
      <c r="Q3070" s="984"/>
      <c r="R3070" s="984"/>
      <c r="S3070" s="984"/>
      <c r="T3070" s="984"/>
      <c r="U3070" s="984"/>
      <c r="V3070" s="984"/>
      <c r="W3070" s="984"/>
      <c r="X3070" s="984"/>
      <c r="Y3070" s="984"/>
      <c r="Z3070" s="984"/>
      <c r="AA3070" s="540"/>
      <c r="AB3070" s="592"/>
      <c r="AC3070" s="592"/>
      <c r="AD3070" s="592"/>
      <c r="AE3070" s="592"/>
      <c r="AF3070" s="592"/>
      <c r="AG3070" s="592"/>
      <c r="AH3070" s="518"/>
      <c r="AJ3070" s="595"/>
    </row>
    <row r="3071" spans="1:36" hidden="1" x14ac:dyDescent="0.45">
      <c r="A3071" s="518"/>
      <c r="B3071" s="987" t="s">
        <v>1784</v>
      </c>
      <c r="C3071" s="987"/>
      <c r="D3071" s="987"/>
      <c r="E3071" s="987"/>
      <c r="F3071" s="987"/>
      <c r="G3071" s="987"/>
      <c r="H3071" s="987"/>
      <c r="I3071" s="987"/>
      <c r="J3071" s="987"/>
      <c r="K3071" s="987"/>
      <c r="L3071" s="987"/>
      <c r="M3071" s="987"/>
      <c r="N3071" s="987"/>
      <c r="O3071" s="987"/>
      <c r="P3071" s="987"/>
      <c r="Q3071" s="987"/>
      <c r="R3071" s="987"/>
      <c r="S3071" s="987"/>
      <c r="T3071" s="987"/>
      <c r="U3071" s="987"/>
      <c r="V3071" s="987"/>
      <c r="W3071" s="987"/>
      <c r="X3071" s="987"/>
      <c r="Y3071" s="987"/>
      <c r="Z3071" s="987"/>
      <c r="AA3071" s="540"/>
      <c r="AB3071" s="1066"/>
      <c r="AC3071" s="1068"/>
      <c r="AD3071" s="1097"/>
      <c r="AE3071" s="1097"/>
      <c r="AF3071" s="1097"/>
      <c r="AG3071" s="1097"/>
      <c r="AH3071" s="518"/>
      <c r="AJ3071" s="595"/>
    </row>
    <row r="3072" spans="1:36" hidden="1" x14ac:dyDescent="0.45">
      <c r="A3072" s="518"/>
      <c r="B3072" s="987"/>
      <c r="C3072" s="987"/>
      <c r="D3072" s="987"/>
      <c r="E3072" s="987"/>
      <c r="F3072" s="987"/>
      <c r="G3072" s="987"/>
      <c r="H3072" s="987"/>
      <c r="I3072" s="987"/>
      <c r="J3072" s="987"/>
      <c r="K3072" s="987"/>
      <c r="L3072" s="987"/>
      <c r="M3072" s="987"/>
      <c r="N3072" s="987"/>
      <c r="O3072" s="987"/>
      <c r="P3072" s="987"/>
      <c r="Q3072" s="987"/>
      <c r="R3072" s="987"/>
      <c r="S3072" s="987"/>
      <c r="T3072" s="987"/>
      <c r="U3072" s="987"/>
      <c r="V3072" s="987"/>
      <c r="W3072" s="987"/>
      <c r="X3072" s="987"/>
      <c r="Y3072" s="987"/>
      <c r="Z3072" s="987"/>
      <c r="AA3072" s="540"/>
      <c r="AB3072" s="540"/>
      <c r="AC3072" s="540"/>
      <c r="AD3072" s="540"/>
      <c r="AE3072" s="540"/>
      <c r="AF3072" s="540"/>
      <c r="AG3072" s="540"/>
      <c r="AH3072" s="518"/>
      <c r="AJ3072" s="595"/>
    </row>
    <row r="3073" spans="1:36" hidden="1" x14ac:dyDescent="0.45">
      <c r="A3073" s="518"/>
      <c r="B3073" s="907" t="s">
        <v>1525</v>
      </c>
      <c r="C3073" s="907"/>
      <c r="D3073" s="907"/>
      <c r="E3073" s="907"/>
      <c r="F3073" s="907"/>
      <c r="G3073" s="907"/>
      <c r="H3073" s="907"/>
      <c r="I3073" s="907"/>
      <c r="J3073" s="907"/>
      <c r="K3073" s="907"/>
      <c r="L3073" s="907"/>
      <c r="M3073" s="907"/>
      <c r="N3073" s="907"/>
      <c r="O3073" s="907"/>
      <c r="P3073" s="907"/>
      <c r="Q3073" s="907"/>
      <c r="R3073" s="907"/>
      <c r="S3073" s="907"/>
      <c r="T3073" s="907"/>
      <c r="U3073" s="907"/>
      <c r="V3073" s="907"/>
      <c r="W3073" s="907"/>
      <c r="X3073" s="907"/>
      <c r="Y3073" s="907"/>
      <c r="Z3073" s="907"/>
      <c r="AA3073" s="907"/>
      <c r="AB3073" s="907"/>
      <c r="AC3073" s="907"/>
      <c r="AD3073" s="907"/>
      <c r="AE3073" s="907"/>
      <c r="AF3073" s="907"/>
      <c r="AG3073" s="907"/>
      <c r="AH3073" s="518"/>
      <c r="AJ3073" s="595"/>
    </row>
    <row r="3074" spans="1:36" hidden="1" x14ac:dyDescent="0.45">
      <c r="A3074" s="518"/>
      <c r="B3074" s="1098" t="s">
        <v>1529</v>
      </c>
      <c r="C3074" s="1098"/>
      <c r="D3074" s="1098"/>
      <c r="E3074" s="1098"/>
      <c r="F3074" s="1098"/>
      <c r="G3074" s="1098"/>
      <c r="H3074" s="1098"/>
      <c r="I3074" s="1098"/>
      <c r="J3074" s="1098"/>
      <c r="K3074" s="1098"/>
      <c r="L3074" s="1098"/>
      <c r="M3074" s="1098"/>
      <c r="N3074" s="1098"/>
      <c r="O3074" s="1098"/>
      <c r="P3074" s="1098"/>
      <c r="Q3074" s="1098"/>
      <c r="R3074" s="1098"/>
      <c r="S3074" s="1098"/>
      <c r="T3074" s="1098"/>
      <c r="U3074" s="1098"/>
      <c r="V3074" s="1098"/>
      <c r="W3074" s="1098"/>
      <c r="X3074" s="1098"/>
      <c r="Y3074" s="1098"/>
      <c r="Z3074" s="1098"/>
      <c r="AA3074" s="1098"/>
      <c r="AB3074" s="1098"/>
      <c r="AC3074" s="1099"/>
      <c r="AD3074" s="1066"/>
      <c r="AE3074" s="1067"/>
      <c r="AF3074" s="1067"/>
      <c r="AG3074" s="1068"/>
      <c r="AH3074" s="518"/>
      <c r="AJ3074" s="595"/>
    </row>
    <row r="3075" spans="1:36" hidden="1" x14ac:dyDescent="0.45">
      <c r="A3075" s="518"/>
      <c r="B3075" s="568"/>
      <c r="C3075" s="568"/>
      <c r="D3075" s="568"/>
      <c r="E3075" s="568"/>
      <c r="F3075" s="568"/>
      <c r="G3075" s="568"/>
      <c r="H3075" s="568"/>
      <c r="I3075" s="568"/>
      <c r="J3075" s="568"/>
      <c r="K3075" s="568"/>
      <c r="L3075" s="568"/>
      <c r="M3075" s="568"/>
      <c r="N3075" s="568"/>
      <c r="O3075" s="568"/>
      <c r="P3075" s="568"/>
      <c r="Q3075" s="568"/>
      <c r="R3075" s="568"/>
      <c r="S3075" s="568"/>
      <c r="T3075" s="568"/>
      <c r="U3075" s="568"/>
      <c r="V3075" s="568"/>
      <c r="W3075" s="568"/>
      <c r="X3075" s="568"/>
      <c r="Y3075" s="568"/>
      <c r="Z3075" s="568"/>
      <c r="AA3075" s="568"/>
      <c r="AB3075" s="568"/>
      <c r="AC3075" s="568"/>
      <c r="AD3075" s="568"/>
      <c r="AE3075" s="568"/>
      <c r="AF3075" s="568"/>
      <c r="AG3075" s="568"/>
      <c r="AH3075" s="518"/>
      <c r="AJ3075" s="595"/>
    </row>
    <row r="3076" spans="1:36" hidden="1" x14ac:dyDescent="0.45">
      <c r="A3076" s="518"/>
      <c r="B3076" s="1091"/>
      <c r="C3076" s="1092"/>
      <c r="D3076" s="1092"/>
      <c r="E3076" s="1092"/>
      <c r="F3076" s="1092"/>
      <c r="G3076" s="1092"/>
      <c r="H3076" s="1092"/>
      <c r="I3076" s="1092"/>
      <c r="J3076" s="1092"/>
      <c r="K3076" s="1092"/>
      <c r="L3076" s="1092"/>
      <c r="M3076" s="1092"/>
      <c r="N3076" s="1092"/>
      <c r="O3076" s="1092"/>
      <c r="P3076" s="1092"/>
      <c r="Q3076" s="1092"/>
      <c r="R3076" s="1092"/>
      <c r="S3076" s="1092"/>
      <c r="T3076" s="1092"/>
      <c r="U3076" s="1092"/>
      <c r="V3076" s="1092"/>
      <c r="W3076" s="1092"/>
      <c r="X3076" s="1092"/>
      <c r="Y3076" s="1092"/>
      <c r="Z3076" s="1092"/>
      <c r="AA3076" s="1092"/>
      <c r="AB3076" s="1092"/>
      <c r="AC3076" s="1092"/>
      <c r="AD3076" s="1092"/>
      <c r="AE3076" s="1092"/>
      <c r="AF3076" s="1092"/>
      <c r="AG3076" s="1093"/>
      <c r="AH3076" s="518"/>
      <c r="AJ3076" s="595"/>
    </row>
    <row r="3077" spans="1:36" hidden="1" x14ac:dyDescent="0.45">
      <c r="A3077" s="518"/>
      <c r="B3077" s="1094"/>
      <c r="C3077" s="1095"/>
      <c r="D3077" s="1095"/>
      <c r="E3077" s="1095"/>
      <c r="F3077" s="1095"/>
      <c r="G3077" s="1095"/>
      <c r="H3077" s="1095"/>
      <c r="I3077" s="1095"/>
      <c r="J3077" s="1095"/>
      <c r="K3077" s="1095"/>
      <c r="L3077" s="1095"/>
      <c r="M3077" s="1095"/>
      <c r="N3077" s="1095"/>
      <c r="O3077" s="1095"/>
      <c r="P3077" s="1095"/>
      <c r="Q3077" s="1095"/>
      <c r="R3077" s="1095"/>
      <c r="S3077" s="1095"/>
      <c r="T3077" s="1095"/>
      <c r="U3077" s="1095"/>
      <c r="V3077" s="1095"/>
      <c r="W3077" s="1095"/>
      <c r="X3077" s="1095"/>
      <c r="Y3077" s="1095"/>
      <c r="Z3077" s="1095"/>
      <c r="AA3077" s="1095"/>
      <c r="AB3077" s="1095"/>
      <c r="AC3077" s="1095"/>
      <c r="AD3077" s="1095"/>
      <c r="AE3077" s="1095"/>
      <c r="AF3077" s="1095"/>
      <c r="AG3077" s="1096"/>
      <c r="AH3077" s="518"/>
      <c r="AJ3077" s="595"/>
    </row>
    <row r="3078" spans="1:36" hidden="1" x14ac:dyDescent="0.45">
      <c r="A3078" s="518"/>
      <c r="B3078" s="531"/>
      <c r="C3078" s="531"/>
      <c r="D3078" s="531"/>
      <c r="E3078" s="531"/>
      <c r="F3078" s="531"/>
      <c r="G3078" s="531"/>
      <c r="H3078" s="531"/>
      <c r="I3078" s="531"/>
      <c r="J3078" s="531"/>
      <c r="K3078" s="531"/>
      <c r="L3078" s="531"/>
      <c r="M3078" s="531"/>
      <c r="N3078" s="531"/>
      <c r="O3078" s="531"/>
      <c r="P3078" s="531"/>
      <c r="Q3078" s="531"/>
      <c r="R3078" s="531"/>
      <c r="S3078" s="531"/>
      <c r="T3078" s="531"/>
      <c r="U3078" s="531"/>
      <c r="V3078" s="531"/>
      <c r="W3078" s="531"/>
      <c r="X3078" s="531"/>
      <c r="Y3078" s="531"/>
      <c r="Z3078" s="531"/>
      <c r="AA3078" s="531"/>
      <c r="AB3078" s="531"/>
      <c r="AC3078" s="531"/>
      <c r="AD3078" s="538"/>
      <c r="AE3078" s="538"/>
      <c r="AF3078" s="538"/>
      <c r="AG3078" s="538"/>
      <c r="AH3078" s="518"/>
      <c r="AJ3078" s="595"/>
    </row>
    <row r="3079" spans="1:36" hidden="1" x14ac:dyDescent="0.45">
      <c r="A3079" s="518"/>
      <c r="B3079" s="907" t="s">
        <v>1526</v>
      </c>
      <c r="C3079" s="907"/>
      <c r="D3079" s="907"/>
      <c r="E3079" s="907"/>
      <c r="F3079" s="907"/>
      <c r="G3079" s="907"/>
      <c r="H3079" s="907"/>
      <c r="I3079" s="907"/>
      <c r="J3079" s="907"/>
      <c r="K3079" s="907"/>
      <c r="L3079" s="907"/>
      <c r="M3079" s="907"/>
      <c r="N3079" s="907"/>
      <c r="O3079" s="907"/>
      <c r="P3079" s="907"/>
      <c r="Q3079" s="907"/>
      <c r="R3079" s="907"/>
      <c r="S3079" s="907"/>
      <c r="T3079" s="907"/>
      <c r="U3079" s="907"/>
      <c r="V3079" s="907"/>
      <c r="W3079" s="907"/>
      <c r="X3079" s="907"/>
      <c r="Y3079" s="907"/>
      <c r="Z3079" s="907"/>
      <c r="AA3079" s="907"/>
      <c r="AB3079" s="907"/>
      <c r="AC3079" s="907"/>
      <c r="AD3079" s="907"/>
      <c r="AE3079" s="907"/>
      <c r="AF3079" s="907"/>
      <c r="AG3079" s="907"/>
      <c r="AH3079" s="518"/>
      <c r="AJ3079" s="595"/>
    </row>
    <row r="3080" spans="1:36" hidden="1" x14ac:dyDescent="0.45">
      <c r="A3080" s="518"/>
      <c r="B3080" s="544" t="s">
        <v>1527</v>
      </c>
      <c r="C3080" s="531"/>
      <c r="D3080" s="531"/>
      <c r="E3080" s="531"/>
      <c r="F3080" s="531"/>
      <c r="G3080" s="531"/>
      <c r="H3080" s="531"/>
      <c r="I3080" s="531"/>
      <c r="J3080" s="531"/>
      <c r="K3080" s="531"/>
      <c r="L3080" s="531"/>
      <c r="M3080" s="531"/>
      <c r="N3080" s="531"/>
      <c r="O3080" s="531"/>
      <c r="P3080" s="531"/>
      <c r="Q3080" s="531"/>
      <c r="R3080" s="531"/>
      <c r="S3080" s="531"/>
      <c r="T3080" s="531"/>
      <c r="U3080" s="531"/>
      <c r="V3080" s="531"/>
      <c r="W3080" s="531"/>
      <c r="X3080" s="531"/>
      <c r="Y3080" s="531"/>
      <c r="Z3080" s="531"/>
      <c r="AA3080" s="531"/>
      <c r="AB3080" s="531"/>
      <c r="AC3080" s="531"/>
      <c r="AD3080" s="1066"/>
      <c r="AE3080" s="1067"/>
      <c r="AF3080" s="1067"/>
      <c r="AG3080" s="1068"/>
      <c r="AH3080" s="518"/>
      <c r="AJ3080" s="595"/>
    </row>
    <row r="3081" spans="1:36" hidden="1" x14ac:dyDescent="0.45">
      <c r="A3081" s="518"/>
      <c r="B3081" s="531"/>
      <c r="C3081" s="531"/>
      <c r="D3081" s="531"/>
      <c r="E3081" s="531"/>
      <c r="F3081" s="531"/>
      <c r="G3081" s="531"/>
      <c r="H3081" s="531"/>
      <c r="I3081" s="531"/>
      <c r="J3081" s="531"/>
      <c r="K3081" s="531"/>
      <c r="L3081" s="531"/>
      <c r="M3081" s="531"/>
      <c r="N3081" s="531"/>
      <c r="O3081" s="531"/>
      <c r="P3081" s="531"/>
      <c r="Q3081" s="531"/>
      <c r="R3081" s="531"/>
      <c r="S3081" s="531"/>
      <c r="T3081" s="531"/>
      <c r="U3081" s="531"/>
      <c r="V3081" s="531"/>
      <c r="W3081" s="531"/>
      <c r="X3081" s="531"/>
      <c r="Y3081" s="531"/>
      <c r="Z3081" s="531"/>
      <c r="AA3081" s="531"/>
      <c r="AB3081" s="531"/>
      <c r="AC3081" s="531"/>
      <c r="AD3081" s="522"/>
      <c r="AE3081" s="522"/>
      <c r="AF3081" s="522"/>
      <c r="AG3081" s="522"/>
      <c r="AH3081" s="518"/>
      <c r="AJ3081" s="595"/>
    </row>
    <row r="3082" spans="1:36" hidden="1" x14ac:dyDescent="0.45">
      <c r="A3082" s="518"/>
      <c r="B3082" s="907" t="s">
        <v>1528</v>
      </c>
      <c r="C3082" s="907"/>
      <c r="D3082" s="907"/>
      <c r="E3082" s="907"/>
      <c r="F3082" s="907"/>
      <c r="G3082" s="907"/>
      <c r="H3082" s="907"/>
      <c r="I3082" s="907"/>
      <c r="J3082" s="907"/>
      <c r="K3082" s="907"/>
      <c r="L3082" s="907"/>
      <c r="M3082" s="907"/>
      <c r="N3082" s="907"/>
      <c r="O3082" s="907"/>
      <c r="P3082" s="907"/>
      <c r="Q3082" s="907"/>
      <c r="R3082" s="907"/>
      <c r="S3082" s="907"/>
      <c r="T3082" s="907"/>
      <c r="U3082" s="907"/>
      <c r="V3082" s="907"/>
      <c r="W3082" s="907"/>
      <c r="X3082" s="907"/>
      <c r="Y3082" s="907"/>
      <c r="Z3082" s="907"/>
      <c r="AA3082" s="907"/>
      <c r="AB3082" s="907"/>
      <c r="AC3082" s="907"/>
      <c r="AD3082" s="907"/>
      <c r="AE3082" s="907"/>
      <c r="AF3082" s="907"/>
      <c r="AG3082" s="907"/>
      <c r="AH3082" s="518"/>
      <c r="AJ3082" s="595"/>
    </row>
    <row r="3083" spans="1:36" hidden="1" x14ac:dyDescent="0.45">
      <c r="A3083" s="518"/>
      <c r="B3083" s="544" t="s">
        <v>1531</v>
      </c>
      <c r="C3083" s="547"/>
      <c r="D3083" s="547"/>
      <c r="E3083" s="547"/>
      <c r="F3083" s="547"/>
      <c r="G3083" s="547"/>
      <c r="H3083" s="547"/>
      <c r="I3083" s="547"/>
      <c r="J3083" s="547"/>
      <c r="K3083" s="1069"/>
      <c r="L3083" s="1070"/>
      <c r="M3083" s="1070"/>
      <c r="N3083" s="1070"/>
      <c r="O3083" s="1070"/>
      <c r="P3083" s="1070"/>
      <c r="Q3083" s="1070"/>
      <c r="R3083" s="1070"/>
      <c r="S3083" s="1070"/>
      <c r="T3083" s="1070"/>
      <c r="U3083" s="1070"/>
      <c r="V3083" s="1070"/>
      <c r="W3083" s="1070"/>
      <c r="X3083" s="1071"/>
      <c r="Y3083" s="547"/>
      <c r="Z3083" s="1072" t="s">
        <v>1530</v>
      </c>
      <c r="AA3083" s="1072"/>
      <c r="AB3083" s="1072"/>
      <c r="AC3083" s="1073"/>
      <c r="AD3083" s="1074"/>
      <c r="AE3083" s="1075"/>
      <c r="AF3083" s="1075"/>
      <c r="AG3083" s="1076"/>
      <c r="AH3083" s="518"/>
      <c r="AJ3083" s="595"/>
    </row>
    <row r="3084" spans="1:36" hidden="1" x14ac:dyDescent="0.45">
      <c r="A3084" s="518"/>
      <c r="B3084" s="544" t="s">
        <v>1532</v>
      </c>
      <c r="C3084" s="531"/>
      <c r="D3084" s="531"/>
      <c r="E3084" s="531"/>
      <c r="F3084" s="531"/>
      <c r="G3084" s="531"/>
      <c r="H3084" s="531"/>
      <c r="I3084" s="531"/>
      <c r="J3084" s="531"/>
      <c r="S3084" s="531"/>
      <c r="T3084" s="531"/>
      <c r="U3084" s="531"/>
      <c r="V3084" s="531"/>
      <c r="W3084" s="531"/>
      <c r="X3084" s="531"/>
      <c r="Y3084" s="518"/>
      <c r="Z3084" s="518"/>
      <c r="AA3084" s="518"/>
      <c r="AB3084" s="518"/>
      <c r="AC3084" s="518"/>
      <c r="AD3084" s="518"/>
      <c r="AE3084" s="518"/>
      <c r="AF3084" s="518"/>
      <c r="AG3084" s="531"/>
      <c r="AH3084" s="518"/>
      <c r="AJ3084" s="595"/>
    </row>
    <row r="3085" spans="1:36" hidden="1" x14ac:dyDescent="0.45">
      <c r="A3085" s="518"/>
      <c r="B3085" s="1077"/>
      <c r="C3085" s="1078"/>
      <c r="D3085" s="1078"/>
      <c r="E3085" s="1078"/>
      <c r="F3085" s="1078"/>
      <c r="G3085" s="1078"/>
      <c r="H3085" s="1078"/>
      <c r="I3085" s="1078"/>
      <c r="J3085" s="1078"/>
      <c r="K3085" s="1078"/>
      <c r="L3085" s="1078"/>
      <c r="M3085" s="1078"/>
      <c r="N3085" s="1078"/>
      <c r="O3085" s="1078"/>
      <c r="P3085" s="1078"/>
      <c r="Q3085" s="1078"/>
      <c r="R3085" s="1078"/>
      <c r="S3085" s="1078"/>
      <c r="T3085" s="1078"/>
      <c r="U3085" s="1078"/>
      <c r="V3085" s="1078"/>
      <c r="W3085" s="1078"/>
      <c r="X3085" s="1078"/>
      <c r="Y3085" s="1078"/>
      <c r="Z3085" s="1078"/>
      <c r="AA3085" s="1078"/>
      <c r="AB3085" s="1078"/>
      <c r="AC3085" s="1078"/>
      <c r="AD3085" s="1078"/>
      <c r="AE3085" s="1078"/>
      <c r="AF3085" s="1078"/>
      <c r="AG3085" s="1079"/>
      <c r="AH3085" s="518"/>
      <c r="AJ3085" s="595"/>
    </row>
    <row r="3086" spans="1:36" hidden="1" x14ac:dyDescent="0.45">
      <c r="A3086" s="518"/>
      <c r="B3086" s="1080"/>
      <c r="C3086" s="1081"/>
      <c r="D3086" s="1081"/>
      <c r="E3086" s="1081"/>
      <c r="F3086" s="1081"/>
      <c r="G3086" s="1081"/>
      <c r="H3086" s="1081"/>
      <c r="I3086" s="1081"/>
      <c r="J3086" s="1081"/>
      <c r="K3086" s="1081"/>
      <c r="L3086" s="1081"/>
      <c r="M3086" s="1081"/>
      <c r="N3086" s="1081"/>
      <c r="O3086" s="1081"/>
      <c r="P3086" s="1081"/>
      <c r="Q3086" s="1081"/>
      <c r="R3086" s="1081"/>
      <c r="S3086" s="1081"/>
      <c r="T3086" s="1081"/>
      <c r="U3086" s="1081"/>
      <c r="V3086" s="1081"/>
      <c r="W3086" s="1081"/>
      <c r="X3086" s="1081"/>
      <c r="Y3086" s="1081"/>
      <c r="Z3086" s="1081"/>
      <c r="AA3086" s="1081"/>
      <c r="AB3086" s="1081"/>
      <c r="AC3086" s="1081"/>
      <c r="AD3086" s="1081"/>
      <c r="AE3086" s="1081"/>
      <c r="AF3086" s="1081"/>
      <c r="AG3086" s="1082"/>
      <c r="AH3086" s="518"/>
      <c r="AJ3086" s="595"/>
    </row>
    <row r="3087" spans="1:36" hidden="1" x14ac:dyDescent="0.45">
      <c r="A3087" s="518"/>
      <c r="B3087" s="541"/>
      <c r="C3087" s="541"/>
      <c r="D3087" s="541"/>
      <c r="E3087" s="541"/>
      <c r="F3087" s="541"/>
      <c r="G3087" s="541"/>
      <c r="H3087" s="541"/>
      <c r="I3087" s="541"/>
      <c r="J3087" s="541"/>
      <c r="K3087" s="541"/>
      <c r="L3087" s="541"/>
      <c r="M3087" s="541"/>
      <c r="N3087" s="541"/>
      <c r="O3087" s="541"/>
      <c r="P3087" s="541"/>
      <c r="Q3087" s="541"/>
      <c r="R3087" s="541"/>
      <c r="S3087" s="541"/>
      <c r="T3087" s="541"/>
      <c r="U3087" s="541"/>
      <c r="V3087" s="541"/>
      <c r="W3087" s="541"/>
      <c r="X3087" s="541"/>
      <c r="Y3087" s="541"/>
      <c r="Z3087" s="541"/>
      <c r="AA3087" s="541"/>
      <c r="AB3087" s="541"/>
      <c r="AC3087" s="541"/>
      <c r="AD3087" s="541"/>
      <c r="AE3087" s="541"/>
      <c r="AF3087" s="541"/>
      <c r="AG3087" s="541"/>
      <c r="AH3087" s="518"/>
      <c r="AJ3087" s="595"/>
    </row>
    <row r="3088" spans="1:36" hidden="1" x14ac:dyDescent="0.45">
      <c r="A3088" s="518"/>
      <c r="B3088" s="1083" t="s">
        <v>1533</v>
      </c>
      <c r="C3088" s="1083"/>
      <c r="D3088" s="1083"/>
      <c r="E3088" s="1083"/>
      <c r="F3088" s="1083"/>
      <c r="G3088" s="1083"/>
      <c r="H3088" s="1083"/>
      <c r="I3088" s="1083"/>
      <c r="J3088" s="1083"/>
      <c r="K3088" s="1083"/>
      <c r="L3088" s="1083"/>
      <c r="M3088" s="1083"/>
      <c r="N3088" s="1083"/>
      <c r="O3088" s="1083"/>
      <c r="P3088" s="1083"/>
      <c r="Q3088" s="1083"/>
      <c r="R3088" s="1083"/>
      <c r="S3088" s="1083"/>
      <c r="T3088" s="1083"/>
      <c r="U3088" s="1083"/>
      <c r="V3088" s="1083"/>
      <c r="W3088" s="1083"/>
      <c r="X3088" s="1083"/>
      <c r="Y3088" s="1083"/>
      <c r="Z3088" s="1083"/>
      <c r="AA3088" s="1083"/>
      <c r="AB3088" s="1083"/>
      <c r="AC3088" s="1083"/>
      <c r="AD3088" s="1083"/>
      <c r="AE3088" s="1083"/>
      <c r="AF3088" s="1083"/>
      <c r="AG3088" s="1083"/>
      <c r="AH3088" s="518"/>
      <c r="AJ3088" s="595"/>
    </row>
    <row r="3089" spans="1:36" hidden="1" x14ac:dyDescent="0.45">
      <c r="A3089" s="518"/>
      <c r="B3089" s="544" t="s">
        <v>1534</v>
      </c>
      <c r="C3089" s="549"/>
      <c r="D3089" s="549"/>
      <c r="E3089" s="549"/>
      <c r="F3089" s="549"/>
      <c r="G3089" s="549"/>
      <c r="H3089" s="549"/>
      <c r="I3089" s="549"/>
      <c r="J3089" s="549"/>
      <c r="K3089" s="549"/>
      <c r="L3089" s="549"/>
      <c r="M3089" s="549"/>
      <c r="N3089" s="549"/>
      <c r="O3089" s="549"/>
      <c r="P3089" s="549"/>
      <c r="Q3089" s="549"/>
      <c r="R3089" s="549"/>
      <c r="S3089" s="549"/>
      <c r="T3089" s="549"/>
      <c r="U3089" s="549"/>
      <c r="V3089" s="549"/>
      <c r="W3089" s="549"/>
      <c r="X3089" s="549"/>
      <c r="Y3089" s="549"/>
      <c r="Z3089" s="1084"/>
      <c r="AA3089" s="1084"/>
      <c r="AB3089" s="1084"/>
      <c r="AC3089" s="1084"/>
      <c r="AD3089" s="518"/>
      <c r="AE3089" s="518"/>
      <c r="AF3089" s="518"/>
      <c r="AG3089" s="538"/>
      <c r="AH3089" s="518"/>
      <c r="AJ3089" s="595"/>
    </row>
    <row r="3090" spans="1:36" hidden="1" x14ac:dyDescent="0.45">
      <c r="A3090" s="518"/>
      <c r="B3090" s="544" t="s">
        <v>1535</v>
      </c>
      <c r="C3090" s="549"/>
      <c r="D3090" s="549"/>
      <c r="E3090" s="549"/>
      <c r="F3090" s="549"/>
      <c r="G3090" s="549"/>
      <c r="H3090" s="549"/>
      <c r="I3090" s="549"/>
      <c r="J3090" s="549"/>
      <c r="K3090" s="549"/>
      <c r="L3090" s="549"/>
      <c r="M3090" s="549"/>
      <c r="N3090" s="549"/>
      <c r="O3090" s="549"/>
      <c r="P3090" s="549"/>
      <c r="Q3090" s="549"/>
      <c r="R3090" s="549"/>
      <c r="S3090" s="549"/>
      <c r="T3090" s="549"/>
      <c r="U3090" s="549"/>
      <c r="V3090" s="549"/>
      <c r="W3090" s="549"/>
      <c r="X3090" s="549"/>
      <c r="Y3090" s="549"/>
      <c r="Z3090" s="1084"/>
      <c r="AA3090" s="1084"/>
      <c r="AB3090" s="1084"/>
      <c r="AC3090" s="1084"/>
      <c r="AD3090" s="518"/>
      <c r="AE3090" s="518"/>
      <c r="AF3090" s="518"/>
      <c r="AG3090" s="538"/>
      <c r="AH3090" s="518"/>
      <c r="AJ3090" s="595"/>
    </row>
    <row r="3091" spans="1:36" hidden="1" x14ac:dyDescent="0.45">
      <c r="A3091" s="518"/>
      <c r="B3091" s="544" t="s">
        <v>1536</v>
      </c>
      <c r="C3091" s="549"/>
      <c r="D3091" s="549"/>
      <c r="E3091" s="549"/>
      <c r="F3091" s="549"/>
      <c r="G3091" s="549"/>
      <c r="H3091" s="549"/>
      <c r="I3091" s="549"/>
      <c r="J3091" s="549"/>
      <c r="K3091" s="549"/>
      <c r="L3091" s="549"/>
      <c r="M3091" s="549"/>
      <c r="N3091" s="549"/>
      <c r="O3091" s="549"/>
      <c r="P3091" s="549"/>
      <c r="Q3091" s="549"/>
      <c r="R3091" s="549"/>
      <c r="S3091" s="549"/>
      <c r="T3091" s="549"/>
      <c r="U3091" s="549"/>
      <c r="V3091" s="549"/>
      <c r="W3091" s="549"/>
      <c r="X3091" s="549"/>
      <c r="Y3091" s="549"/>
      <c r="Z3091" s="1084"/>
      <c r="AA3091" s="1084"/>
      <c r="AB3091" s="1084"/>
      <c r="AC3091" s="1084"/>
      <c r="AD3091" s="518"/>
      <c r="AE3091" s="518"/>
      <c r="AF3091" s="518"/>
      <c r="AG3091" s="538"/>
      <c r="AH3091" s="518"/>
      <c r="AJ3091" s="595"/>
    </row>
    <row r="3092" spans="1:36" hidden="1" x14ac:dyDescent="0.45">
      <c r="A3092" s="518"/>
      <c r="B3092" s="544" t="s">
        <v>1537</v>
      </c>
      <c r="C3092" s="544"/>
      <c r="D3092" s="544"/>
      <c r="E3092" s="544"/>
      <c r="F3092" s="544"/>
      <c r="G3092" s="544"/>
      <c r="H3092" s="544"/>
      <c r="I3092" s="549"/>
      <c r="J3092" s="549"/>
      <c r="K3092" s="549"/>
      <c r="L3092" s="549"/>
      <c r="M3092" s="549"/>
      <c r="N3092" s="549"/>
      <c r="O3092" s="549"/>
      <c r="P3092" s="549"/>
      <c r="Q3092" s="549"/>
      <c r="R3092" s="549"/>
      <c r="S3092" s="549"/>
      <c r="T3092" s="549"/>
      <c r="U3092" s="549"/>
      <c r="V3092" s="549"/>
      <c r="W3092" s="549"/>
      <c r="X3092" s="549"/>
      <c r="Y3092" s="549"/>
      <c r="Z3092" s="1084"/>
      <c r="AA3092" s="1084"/>
      <c r="AB3092" s="1084"/>
      <c r="AC3092" s="1084"/>
      <c r="AD3092" s="518"/>
      <c r="AE3092" s="518"/>
      <c r="AF3092" s="518"/>
      <c r="AG3092" s="538"/>
      <c r="AH3092" s="518"/>
      <c r="AJ3092" s="595"/>
    </row>
    <row r="3093" spans="1:36" hidden="1" x14ac:dyDescent="0.45">
      <c r="A3093" s="518"/>
      <c r="B3093" s="544" t="s">
        <v>1538</v>
      </c>
      <c r="C3093" s="544"/>
      <c r="D3093" s="544"/>
      <c r="E3093" s="544"/>
      <c r="F3093" s="544"/>
      <c r="G3093" s="544"/>
      <c r="H3093" s="544"/>
      <c r="I3093" s="544"/>
      <c r="J3093" s="544"/>
      <c r="K3093" s="544"/>
      <c r="L3093" s="544"/>
      <c r="M3093" s="544"/>
      <c r="N3093" s="544"/>
      <c r="O3093" s="544"/>
      <c r="P3093" s="544"/>
      <c r="Q3093" s="544"/>
      <c r="R3093" s="544"/>
      <c r="S3093" s="544"/>
      <c r="T3093" s="544"/>
      <c r="U3093" s="544"/>
      <c r="V3093" s="544"/>
      <c r="W3093" s="544"/>
      <c r="X3093" s="544"/>
      <c r="Y3093" s="544"/>
      <c r="Z3093" s="1084"/>
      <c r="AA3093" s="1084"/>
      <c r="AB3093" s="1084"/>
      <c r="AC3093" s="1084"/>
      <c r="AD3093" s="518"/>
      <c r="AE3093" s="518"/>
      <c r="AF3093" s="518"/>
      <c r="AG3093" s="538"/>
      <c r="AH3093" s="518"/>
      <c r="AJ3093" s="595"/>
    </row>
    <row r="3094" spans="1:36" hidden="1" x14ac:dyDescent="0.45">
      <c r="A3094" s="518"/>
      <c r="B3094" s="544" t="s">
        <v>1539</v>
      </c>
      <c r="C3094" s="549"/>
      <c r="D3094" s="549"/>
      <c r="E3094" s="549"/>
      <c r="F3094" s="549"/>
      <c r="G3094" s="549"/>
      <c r="H3094" s="549"/>
      <c r="I3094" s="544"/>
      <c r="J3094" s="544"/>
      <c r="K3094" s="544"/>
      <c r="L3094" s="544"/>
      <c r="M3094" s="544"/>
      <c r="N3094" s="544"/>
      <c r="O3094" s="544"/>
      <c r="P3094" s="544"/>
      <c r="Q3094" s="544"/>
      <c r="R3094" s="544"/>
      <c r="S3094" s="544"/>
      <c r="T3094" s="544"/>
      <c r="U3094" s="549"/>
      <c r="V3094" s="549"/>
      <c r="W3094" s="549"/>
      <c r="X3094" s="549"/>
      <c r="Y3094" s="549"/>
      <c r="Z3094" s="1084"/>
      <c r="AA3094" s="1084"/>
      <c r="AB3094" s="1084"/>
      <c r="AC3094" s="1084"/>
      <c r="AD3094" s="518"/>
      <c r="AE3094" s="518"/>
      <c r="AF3094" s="518"/>
      <c r="AG3094" s="538"/>
      <c r="AH3094" s="518"/>
      <c r="AJ3094" s="595"/>
    </row>
    <row r="3095" spans="1:36" hidden="1" x14ac:dyDescent="0.45">
      <c r="A3095" s="518"/>
      <c r="B3095" s="517"/>
      <c r="C3095" s="517"/>
      <c r="D3095" s="517"/>
      <c r="E3095" s="517"/>
      <c r="F3095" s="517"/>
      <c r="G3095" s="517"/>
      <c r="H3095" s="517"/>
      <c r="I3095" s="518"/>
      <c r="J3095" s="518"/>
      <c r="K3095" s="518"/>
      <c r="L3095" s="518"/>
      <c r="M3095" s="518"/>
      <c r="N3095" s="518"/>
      <c r="O3095" s="518"/>
      <c r="P3095" s="518"/>
      <c r="Q3095" s="518"/>
      <c r="R3095" s="518"/>
      <c r="S3095" s="518"/>
      <c r="T3095" s="518"/>
      <c r="U3095" s="531"/>
      <c r="V3095" s="531"/>
      <c r="W3095" s="531"/>
      <c r="X3095" s="531"/>
      <c r="Y3095" s="531"/>
      <c r="Z3095" s="531"/>
      <c r="AA3095" s="518"/>
      <c r="AB3095" s="518"/>
      <c r="AC3095" s="518"/>
      <c r="AD3095" s="518"/>
      <c r="AE3095" s="518"/>
      <c r="AF3095" s="518"/>
      <c r="AG3095" s="538"/>
      <c r="AH3095" s="518"/>
      <c r="AJ3095" s="595"/>
    </row>
    <row r="3096" spans="1:36" hidden="1" x14ac:dyDescent="0.45">
      <c r="A3096" s="518"/>
      <c r="B3096" s="518"/>
      <c r="C3096" s="518"/>
      <c r="D3096" s="518"/>
      <c r="E3096" s="518"/>
      <c r="F3096" s="518"/>
      <c r="G3096" s="518"/>
      <c r="H3096" s="518"/>
      <c r="I3096" s="518"/>
      <c r="J3096" s="518"/>
      <c r="K3096" s="518"/>
      <c r="L3096" s="518"/>
      <c r="M3096" s="518"/>
      <c r="N3096" s="518"/>
      <c r="O3096" s="518"/>
      <c r="P3096" s="518"/>
      <c r="Q3096" s="518"/>
      <c r="R3096" s="518"/>
      <c r="S3096" s="518"/>
      <c r="T3096" s="518"/>
      <c r="U3096" s="518"/>
      <c r="V3096" s="518"/>
      <c r="W3096" s="518"/>
      <c r="X3096" s="518"/>
      <c r="Y3096" s="518"/>
      <c r="Z3096" s="518"/>
      <c r="AA3096" s="518"/>
      <c r="AB3096" s="518"/>
      <c r="AC3096" s="518"/>
      <c r="AD3096" s="518"/>
      <c r="AE3096" s="518"/>
      <c r="AF3096" s="518"/>
      <c r="AG3096" s="518"/>
      <c r="AH3096" s="518"/>
      <c r="AJ3096" s="595"/>
    </row>
    <row r="3097" spans="1:36" hidden="1" x14ac:dyDescent="0.45">
      <c r="A3097" s="518"/>
      <c r="B3097" s="907" t="s">
        <v>25</v>
      </c>
      <c r="C3097" s="907"/>
      <c r="D3097" s="907"/>
      <c r="E3097" s="907"/>
      <c r="F3097" s="907"/>
      <c r="G3097" s="907"/>
      <c r="H3097" s="907"/>
      <c r="I3097" s="907"/>
      <c r="J3097" s="907"/>
      <c r="K3097" s="907"/>
      <c r="L3097" s="907"/>
      <c r="M3097" s="907"/>
      <c r="N3097" s="907"/>
      <c r="O3097" s="907"/>
      <c r="P3097" s="907"/>
      <c r="Q3097" s="907"/>
      <c r="R3097" s="907"/>
      <c r="S3097" s="907"/>
      <c r="T3097" s="907"/>
      <c r="U3097" s="907"/>
      <c r="V3097" s="907"/>
      <c r="W3097" s="907"/>
      <c r="X3097" s="907"/>
      <c r="Y3097" s="907"/>
      <c r="Z3097" s="907"/>
      <c r="AA3097" s="907"/>
      <c r="AB3097" s="907"/>
      <c r="AC3097" s="907"/>
      <c r="AD3097" s="907"/>
      <c r="AE3097" s="907"/>
      <c r="AF3097" s="907"/>
      <c r="AG3097" s="907"/>
      <c r="AH3097" s="518"/>
      <c r="AJ3097" s="595"/>
    </row>
    <row r="3098" spans="1:36" hidden="1" x14ac:dyDescent="0.45">
      <c r="A3098" s="518"/>
      <c r="B3098" s="907" t="str">
        <f>B3061</f>
        <v>Serna Homeownership Project Development Loan</v>
      </c>
      <c r="C3098" s="907"/>
      <c r="D3098" s="907"/>
      <c r="E3098" s="907"/>
      <c r="F3098" s="907"/>
      <c r="G3098" s="907"/>
      <c r="H3098" s="907"/>
      <c r="I3098" s="907"/>
      <c r="J3098" s="907"/>
      <c r="K3098" s="907"/>
      <c r="L3098" s="907"/>
      <c r="M3098" s="907"/>
      <c r="N3098" s="907"/>
      <c r="O3098" s="907"/>
      <c r="P3098" s="907"/>
      <c r="Q3098" s="907"/>
      <c r="R3098" s="907"/>
      <c r="S3098" s="907"/>
      <c r="T3098" s="907"/>
      <c r="U3098" s="907"/>
      <c r="V3098" s="907"/>
      <c r="W3098" s="907"/>
      <c r="X3098" s="907"/>
      <c r="Y3098" s="907"/>
      <c r="Z3098" s="907"/>
      <c r="AA3098" s="907"/>
      <c r="AB3098" s="907"/>
      <c r="AC3098" s="907"/>
      <c r="AD3098" s="907"/>
      <c r="AE3098" s="907"/>
      <c r="AF3098" s="907"/>
      <c r="AG3098" s="907"/>
      <c r="AH3098" s="518"/>
      <c r="AJ3098" s="595"/>
    </row>
    <row r="3099" spans="1:36" hidden="1" x14ac:dyDescent="0.45">
      <c r="A3099" s="518"/>
      <c r="B3099" s="518"/>
      <c r="C3099" s="518"/>
      <c r="D3099" s="518"/>
      <c r="E3099" s="518"/>
      <c r="F3099" s="518"/>
      <c r="G3099" s="518"/>
      <c r="H3099" s="518"/>
      <c r="I3099" s="518"/>
      <c r="J3099" s="518"/>
      <c r="K3099" s="518"/>
      <c r="L3099" s="518"/>
      <c r="M3099" s="518"/>
      <c r="N3099" s="518"/>
      <c r="O3099" s="518"/>
      <c r="P3099" s="518"/>
      <c r="Q3099" s="518"/>
      <c r="R3099" s="518"/>
      <c r="S3099" s="518"/>
      <c r="T3099" s="518"/>
      <c r="U3099" s="518"/>
      <c r="V3099" s="518"/>
      <c r="W3099" s="518"/>
      <c r="X3099" s="518"/>
      <c r="Y3099" s="518"/>
      <c r="Z3099" s="518"/>
      <c r="AA3099" s="518"/>
      <c r="AB3099" s="518"/>
      <c r="AC3099" s="518"/>
      <c r="AD3099" s="518"/>
      <c r="AE3099" s="518"/>
      <c r="AF3099" s="518"/>
      <c r="AG3099" s="518"/>
      <c r="AH3099" s="518"/>
      <c r="AJ3099" s="595"/>
    </row>
    <row r="3100" spans="1:36" hidden="1" x14ac:dyDescent="0.45">
      <c r="A3100" s="518"/>
      <c r="B3100" s="907" t="s">
        <v>1540</v>
      </c>
      <c r="C3100" s="907"/>
      <c r="D3100" s="907"/>
      <c r="E3100" s="907"/>
      <c r="F3100" s="907"/>
      <c r="G3100" s="907"/>
      <c r="H3100" s="907"/>
      <c r="I3100" s="907"/>
      <c r="J3100" s="907"/>
      <c r="K3100" s="907"/>
      <c r="L3100" s="907"/>
      <c r="M3100" s="907"/>
      <c r="N3100" s="907"/>
      <c r="O3100" s="907"/>
      <c r="P3100" s="907"/>
      <c r="Q3100" s="907"/>
      <c r="R3100" s="907"/>
      <c r="S3100" s="907"/>
      <c r="T3100" s="907"/>
      <c r="U3100" s="907"/>
      <c r="V3100" s="907"/>
      <c r="W3100" s="907"/>
      <c r="X3100" s="907"/>
      <c r="Y3100" s="907"/>
      <c r="Z3100" s="907"/>
      <c r="AA3100" s="907"/>
      <c r="AB3100" s="907"/>
      <c r="AC3100" s="907"/>
      <c r="AD3100" s="907"/>
      <c r="AE3100" s="907"/>
      <c r="AF3100" s="907"/>
      <c r="AG3100" s="907"/>
      <c r="AH3100" s="518"/>
      <c r="AJ3100" s="595"/>
    </row>
    <row r="3101" spans="1:36" hidden="1" x14ac:dyDescent="0.45">
      <c r="A3101" s="518"/>
      <c r="B3101" s="517"/>
      <c r="C3101" s="517"/>
      <c r="D3101" s="517"/>
      <c r="E3101" s="517"/>
      <c r="F3101" s="517"/>
      <c r="G3101" s="517"/>
      <c r="H3101" s="517"/>
      <c r="I3101" s="517"/>
      <c r="J3101" s="517"/>
      <c r="K3101" s="517"/>
      <c r="L3101" s="517"/>
      <c r="M3101" s="517"/>
      <c r="N3101" s="517"/>
      <c r="O3101" s="517"/>
      <c r="P3101" s="517"/>
      <c r="Q3101" s="517"/>
      <c r="R3101" s="517"/>
      <c r="S3101" s="517"/>
      <c r="T3101" s="517"/>
      <c r="U3101" s="517"/>
      <c r="V3101" s="517"/>
      <c r="W3101" s="517"/>
      <c r="X3101" s="517"/>
      <c r="Y3101" s="517"/>
      <c r="Z3101" s="517"/>
      <c r="AA3101" s="517"/>
      <c r="AB3101" s="517"/>
      <c r="AC3101" s="517"/>
      <c r="AD3101" s="517"/>
      <c r="AE3101" s="517"/>
      <c r="AF3101" s="517"/>
      <c r="AG3101" s="517"/>
      <c r="AH3101" s="518"/>
      <c r="AJ3101" s="595"/>
    </row>
    <row r="3102" spans="1:36" hidden="1" x14ac:dyDescent="0.45">
      <c r="A3102" s="518"/>
      <c r="B3102" s="1085" t="s">
        <v>1541</v>
      </c>
      <c r="C3102" s="1086"/>
      <c r="D3102" s="1086"/>
      <c r="E3102" s="1086"/>
      <c r="F3102" s="1086"/>
      <c r="G3102" s="1086"/>
      <c r="H3102" s="1086"/>
      <c r="I3102" s="1086"/>
      <c r="J3102" s="1086"/>
      <c r="K3102" s="1086"/>
      <c r="L3102" s="1086"/>
      <c r="M3102" s="1086"/>
      <c r="N3102" s="1086"/>
      <c r="O3102" s="1087"/>
      <c r="P3102" s="1088" t="s">
        <v>1544</v>
      </c>
      <c r="Q3102" s="1089"/>
      <c r="R3102" s="1089"/>
      <c r="S3102" s="1090"/>
      <c r="T3102" s="1085" t="s">
        <v>1543</v>
      </c>
      <c r="U3102" s="1086"/>
      <c r="V3102" s="1086"/>
      <c r="W3102" s="1086"/>
      <c r="X3102" s="1086"/>
      <c r="Y3102" s="1086"/>
      <c r="Z3102" s="1087"/>
      <c r="AA3102" s="1085" t="s">
        <v>1542</v>
      </c>
      <c r="AB3102" s="1086"/>
      <c r="AC3102" s="1086"/>
      <c r="AD3102" s="1086"/>
      <c r="AE3102" s="1086"/>
      <c r="AF3102" s="1086"/>
      <c r="AG3102" s="1087"/>
      <c r="AH3102" s="518"/>
      <c r="AJ3102" s="595"/>
    </row>
    <row r="3103" spans="1:36" hidden="1" x14ac:dyDescent="0.45">
      <c r="A3103" s="518"/>
      <c r="B3103" s="990"/>
      <c r="C3103" s="991"/>
      <c r="D3103" s="991"/>
      <c r="E3103" s="991"/>
      <c r="F3103" s="991"/>
      <c r="G3103" s="991"/>
      <c r="H3103" s="991"/>
      <c r="I3103" s="991"/>
      <c r="J3103" s="991"/>
      <c r="K3103" s="991"/>
      <c r="L3103" s="991"/>
      <c r="M3103" s="991"/>
      <c r="N3103" s="991"/>
      <c r="O3103" s="992"/>
      <c r="P3103" s="1050"/>
      <c r="Q3103" s="1051"/>
      <c r="R3103" s="1051"/>
      <c r="S3103" s="1052"/>
      <c r="T3103" s="990"/>
      <c r="U3103" s="991"/>
      <c r="V3103" s="991"/>
      <c r="W3103" s="991"/>
      <c r="X3103" s="991"/>
      <c r="Y3103" s="991"/>
      <c r="Z3103" s="992"/>
      <c r="AA3103" s="1063" t="s">
        <v>1583</v>
      </c>
      <c r="AB3103" s="1064"/>
      <c r="AC3103" s="1064"/>
      <c r="AD3103" s="1064"/>
      <c r="AE3103" s="1064"/>
      <c r="AF3103" s="1064"/>
      <c r="AG3103" s="1065"/>
      <c r="AH3103" s="518"/>
      <c r="AJ3103" s="595"/>
    </row>
    <row r="3104" spans="1:36" hidden="1" x14ac:dyDescent="0.45">
      <c r="A3104" s="518"/>
      <c r="B3104" s="990"/>
      <c r="C3104" s="991"/>
      <c r="D3104" s="991"/>
      <c r="E3104" s="991"/>
      <c r="F3104" s="991"/>
      <c r="G3104" s="991"/>
      <c r="H3104" s="991"/>
      <c r="I3104" s="991"/>
      <c r="J3104" s="991"/>
      <c r="K3104" s="991"/>
      <c r="L3104" s="991"/>
      <c r="M3104" s="991"/>
      <c r="N3104" s="991"/>
      <c r="O3104" s="992"/>
      <c r="P3104" s="1050"/>
      <c r="Q3104" s="1051"/>
      <c r="R3104" s="1051"/>
      <c r="S3104" s="1052"/>
      <c r="T3104" s="990"/>
      <c r="U3104" s="991"/>
      <c r="V3104" s="991"/>
      <c r="W3104" s="991"/>
      <c r="X3104" s="991"/>
      <c r="Y3104" s="991"/>
      <c r="Z3104" s="992"/>
      <c r="AA3104" s="1063" t="s">
        <v>1584</v>
      </c>
      <c r="AB3104" s="1064"/>
      <c r="AC3104" s="1064"/>
      <c r="AD3104" s="1064"/>
      <c r="AE3104" s="1064"/>
      <c r="AF3104" s="1064"/>
      <c r="AG3104" s="1065"/>
      <c r="AH3104" s="518"/>
      <c r="AJ3104" s="595"/>
    </row>
    <row r="3105" spans="1:36" hidden="1" x14ac:dyDescent="0.45">
      <c r="A3105" s="518"/>
      <c r="B3105" s="990"/>
      <c r="C3105" s="991"/>
      <c r="D3105" s="991"/>
      <c r="E3105" s="991"/>
      <c r="F3105" s="991"/>
      <c r="G3105" s="991"/>
      <c r="H3105" s="991"/>
      <c r="I3105" s="991"/>
      <c r="J3105" s="991"/>
      <c r="K3105" s="991"/>
      <c r="L3105" s="991"/>
      <c r="M3105" s="991"/>
      <c r="N3105" s="991"/>
      <c r="O3105" s="992"/>
      <c r="P3105" s="1050"/>
      <c r="Q3105" s="1051"/>
      <c r="R3105" s="1051"/>
      <c r="S3105" s="1052"/>
      <c r="T3105" s="990"/>
      <c r="U3105" s="991"/>
      <c r="V3105" s="991"/>
      <c r="W3105" s="991"/>
      <c r="X3105" s="991"/>
      <c r="Y3105" s="991"/>
      <c r="Z3105" s="992"/>
      <c r="AA3105" s="1063" t="s">
        <v>1585</v>
      </c>
      <c r="AB3105" s="1064"/>
      <c r="AC3105" s="1064"/>
      <c r="AD3105" s="1064"/>
      <c r="AE3105" s="1064"/>
      <c r="AF3105" s="1064"/>
      <c r="AG3105" s="1065"/>
      <c r="AH3105" s="518"/>
      <c r="AJ3105" s="595"/>
    </row>
    <row r="3106" spans="1:36" hidden="1" x14ac:dyDescent="0.45">
      <c r="A3106" s="518"/>
      <c r="B3106" s="990"/>
      <c r="C3106" s="991"/>
      <c r="D3106" s="991"/>
      <c r="E3106" s="991"/>
      <c r="F3106" s="991"/>
      <c r="G3106" s="991"/>
      <c r="H3106" s="991"/>
      <c r="I3106" s="991"/>
      <c r="J3106" s="991"/>
      <c r="K3106" s="991"/>
      <c r="L3106" s="991"/>
      <c r="M3106" s="991"/>
      <c r="N3106" s="991"/>
      <c r="O3106" s="992"/>
      <c r="P3106" s="1050"/>
      <c r="Q3106" s="1051"/>
      <c r="R3106" s="1051"/>
      <c r="S3106" s="1052"/>
      <c r="T3106" s="990"/>
      <c r="U3106" s="991"/>
      <c r="V3106" s="991"/>
      <c r="W3106" s="991"/>
      <c r="X3106" s="991"/>
      <c r="Y3106" s="991"/>
      <c r="Z3106" s="992"/>
      <c r="AA3106" s="990"/>
      <c r="AB3106" s="991"/>
      <c r="AC3106" s="991"/>
      <c r="AD3106" s="991"/>
      <c r="AE3106" s="991"/>
      <c r="AF3106" s="991"/>
      <c r="AG3106" s="992"/>
      <c r="AH3106" s="518"/>
      <c r="AJ3106" s="595"/>
    </row>
    <row r="3107" spans="1:36" hidden="1" x14ac:dyDescent="0.45">
      <c r="A3107" s="518"/>
      <c r="B3107" s="990"/>
      <c r="C3107" s="991"/>
      <c r="D3107" s="991"/>
      <c r="E3107" s="991"/>
      <c r="F3107" s="991"/>
      <c r="G3107" s="991"/>
      <c r="H3107" s="991"/>
      <c r="I3107" s="991"/>
      <c r="J3107" s="991"/>
      <c r="K3107" s="991"/>
      <c r="L3107" s="991"/>
      <c r="M3107" s="991"/>
      <c r="N3107" s="991"/>
      <c r="O3107" s="992"/>
      <c r="P3107" s="1050"/>
      <c r="Q3107" s="1051"/>
      <c r="R3107" s="1051"/>
      <c r="S3107" s="1052"/>
      <c r="T3107" s="990"/>
      <c r="U3107" s="991"/>
      <c r="V3107" s="991"/>
      <c r="W3107" s="991"/>
      <c r="X3107" s="991"/>
      <c r="Y3107" s="991"/>
      <c r="Z3107" s="992"/>
      <c r="AA3107" s="990"/>
      <c r="AB3107" s="991"/>
      <c r="AC3107" s="991"/>
      <c r="AD3107" s="991"/>
      <c r="AE3107" s="991"/>
      <c r="AF3107" s="991"/>
      <c r="AG3107" s="992"/>
      <c r="AH3107" s="518"/>
      <c r="AJ3107" s="595"/>
    </row>
    <row r="3108" spans="1:36" hidden="1" x14ac:dyDescent="0.45">
      <c r="A3108" s="518"/>
      <c r="B3108" s="990"/>
      <c r="C3108" s="991"/>
      <c r="D3108" s="991"/>
      <c r="E3108" s="991"/>
      <c r="F3108" s="991"/>
      <c r="G3108" s="991"/>
      <c r="H3108" s="991"/>
      <c r="I3108" s="991"/>
      <c r="J3108" s="991"/>
      <c r="K3108" s="991"/>
      <c r="L3108" s="991"/>
      <c r="M3108" s="991"/>
      <c r="N3108" s="991"/>
      <c r="O3108" s="992"/>
      <c r="P3108" s="1050"/>
      <c r="Q3108" s="1051"/>
      <c r="R3108" s="1051"/>
      <c r="S3108" s="1052"/>
      <c r="T3108" s="990"/>
      <c r="U3108" s="991"/>
      <c r="V3108" s="991"/>
      <c r="W3108" s="991"/>
      <c r="X3108" s="991"/>
      <c r="Y3108" s="991"/>
      <c r="Z3108" s="992"/>
      <c r="AA3108" s="990"/>
      <c r="AB3108" s="991"/>
      <c r="AC3108" s="991"/>
      <c r="AD3108" s="991"/>
      <c r="AE3108" s="991"/>
      <c r="AF3108" s="991"/>
      <c r="AG3108" s="992"/>
      <c r="AH3108" s="518"/>
      <c r="AJ3108" s="595"/>
    </row>
    <row r="3109" spans="1:36" hidden="1" x14ac:dyDescent="0.45">
      <c r="A3109" s="518"/>
      <c r="B3109" s="542"/>
      <c r="C3109" s="542"/>
      <c r="D3109" s="542"/>
      <c r="E3109" s="542"/>
      <c r="F3109" s="542"/>
      <c r="G3109" s="542"/>
      <c r="H3109" s="542"/>
      <c r="I3109" s="542"/>
      <c r="J3109" s="542"/>
      <c r="K3109" s="542"/>
      <c r="L3109" s="542"/>
      <c r="M3109" s="542"/>
      <c r="N3109" s="542"/>
      <c r="O3109" s="542"/>
      <c r="P3109" s="542"/>
      <c r="Q3109" s="542"/>
      <c r="R3109" s="542"/>
      <c r="S3109" s="542"/>
      <c r="T3109" s="542"/>
      <c r="U3109" s="542"/>
      <c r="V3109" s="542"/>
      <c r="W3109" s="542"/>
      <c r="X3109" s="542"/>
      <c r="Y3109" s="542"/>
      <c r="Z3109" s="542"/>
      <c r="AA3109" s="542"/>
      <c r="AB3109" s="542"/>
      <c r="AC3109" s="542"/>
      <c r="AD3109" s="542"/>
      <c r="AE3109" s="542"/>
      <c r="AF3109" s="542"/>
      <c r="AG3109" s="542"/>
      <c r="AH3109" s="518"/>
      <c r="AJ3109" s="595"/>
    </row>
    <row r="3110" spans="1:36" hidden="1" x14ac:dyDescent="0.45">
      <c r="A3110" s="518"/>
      <c r="B3110" s="907" t="s">
        <v>1545</v>
      </c>
      <c r="C3110" s="907"/>
      <c r="D3110" s="907"/>
      <c r="E3110" s="907"/>
      <c r="F3110" s="907"/>
      <c r="G3110" s="907"/>
      <c r="H3110" s="907"/>
      <c r="I3110" s="907"/>
      <c r="J3110" s="907"/>
      <c r="K3110" s="907"/>
      <c r="L3110" s="907"/>
      <c r="M3110" s="907"/>
      <c r="N3110" s="907"/>
      <c r="O3110" s="907"/>
      <c r="P3110" s="907"/>
      <c r="Q3110" s="907"/>
      <c r="R3110" s="907"/>
      <c r="S3110" s="907"/>
      <c r="T3110" s="907"/>
      <c r="U3110" s="907"/>
      <c r="V3110" s="907"/>
      <c r="W3110" s="907"/>
      <c r="X3110" s="907"/>
      <c r="Y3110" s="907"/>
      <c r="Z3110" s="907"/>
      <c r="AA3110" s="907"/>
      <c r="AB3110" s="907"/>
      <c r="AC3110" s="907"/>
      <c r="AD3110" s="907"/>
      <c r="AE3110" s="907"/>
      <c r="AF3110" s="907"/>
      <c r="AG3110" s="907"/>
      <c r="AH3110" s="518"/>
      <c r="AJ3110" s="595"/>
    </row>
    <row r="3111" spans="1:36" hidden="1" x14ac:dyDescent="0.45">
      <c r="A3111" s="518"/>
      <c r="B3111" s="517"/>
      <c r="C3111" s="517"/>
      <c r="D3111" s="517"/>
      <c r="E3111" s="517"/>
      <c r="F3111" s="517"/>
      <c r="G3111" s="517"/>
      <c r="H3111" s="517"/>
      <c r="I3111" s="517"/>
      <c r="J3111" s="517"/>
      <c r="K3111" s="517"/>
      <c r="L3111" s="517"/>
      <c r="M3111" s="517"/>
      <c r="N3111" s="517"/>
      <c r="O3111" s="517"/>
      <c r="P3111" s="517"/>
      <c r="Q3111" s="517"/>
      <c r="R3111" s="517"/>
      <c r="S3111" s="517"/>
      <c r="T3111" s="517"/>
      <c r="U3111" s="517"/>
      <c r="V3111" s="517"/>
      <c r="W3111" s="517"/>
      <c r="X3111" s="517"/>
      <c r="Y3111" s="517"/>
      <c r="Z3111" s="517"/>
      <c r="AA3111" s="517"/>
      <c r="AB3111" s="517"/>
      <c r="AC3111" s="517"/>
      <c r="AD3111" s="517"/>
      <c r="AE3111" s="517"/>
      <c r="AF3111" s="517"/>
      <c r="AG3111" s="517"/>
      <c r="AH3111" s="518"/>
      <c r="AJ3111" s="595"/>
    </row>
    <row r="3112" spans="1:36" hidden="1" x14ac:dyDescent="0.45">
      <c r="A3112" s="518"/>
      <c r="B3112" s="935" t="s">
        <v>1546</v>
      </c>
      <c r="C3112" s="936"/>
      <c r="D3112" s="936"/>
      <c r="E3112" s="936"/>
      <c r="F3112" s="1053"/>
      <c r="G3112" s="935" t="s">
        <v>1547</v>
      </c>
      <c r="H3112" s="1055"/>
      <c r="I3112" s="935" t="s">
        <v>1548</v>
      </c>
      <c r="J3112" s="936"/>
      <c r="K3112" s="936"/>
      <c r="L3112" s="936"/>
      <c r="M3112" s="1053"/>
      <c r="N3112" s="935" t="s">
        <v>1549</v>
      </c>
      <c r="O3112" s="1055"/>
      <c r="P3112" s="935" t="s">
        <v>1550</v>
      </c>
      <c r="Q3112" s="1055"/>
      <c r="R3112" s="935" t="s">
        <v>1551</v>
      </c>
      <c r="S3112" s="936"/>
      <c r="T3112" s="936"/>
      <c r="U3112" s="936"/>
      <c r="V3112" s="1053"/>
      <c r="W3112" s="935" t="s">
        <v>1552</v>
      </c>
      <c r="X3112" s="936"/>
      <c r="Y3112" s="1053"/>
      <c r="Z3112" s="935" t="s">
        <v>1847</v>
      </c>
      <c r="AA3112" s="936"/>
      <c r="AB3112" s="1053"/>
      <c r="AC3112" s="862" t="s">
        <v>1848</v>
      </c>
      <c r="AD3112" s="1058"/>
      <c r="AE3112" s="1058"/>
      <c r="AF3112" s="1058"/>
      <c r="AG3112" s="1059"/>
      <c r="AH3112" s="518"/>
      <c r="AJ3112" s="595"/>
    </row>
    <row r="3113" spans="1:36" hidden="1" x14ac:dyDescent="0.45">
      <c r="A3113" s="518"/>
      <c r="B3113" s="937"/>
      <c r="C3113" s="938"/>
      <c r="D3113" s="938"/>
      <c r="E3113" s="938"/>
      <c r="F3113" s="1054"/>
      <c r="G3113" s="1056"/>
      <c r="H3113" s="1057"/>
      <c r="I3113" s="937"/>
      <c r="J3113" s="938"/>
      <c r="K3113" s="938"/>
      <c r="L3113" s="938"/>
      <c r="M3113" s="1054"/>
      <c r="N3113" s="1056"/>
      <c r="O3113" s="1057"/>
      <c r="P3113" s="1056"/>
      <c r="Q3113" s="1057"/>
      <c r="R3113" s="937"/>
      <c r="S3113" s="938"/>
      <c r="T3113" s="938"/>
      <c r="U3113" s="938"/>
      <c r="V3113" s="1054"/>
      <c r="W3113" s="937"/>
      <c r="X3113" s="938"/>
      <c r="Y3113" s="1054"/>
      <c r="Z3113" s="937"/>
      <c r="AA3113" s="938"/>
      <c r="AB3113" s="1054"/>
      <c r="AC3113" s="1060"/>
      <c r="AD3113" s="1061"/>
      <c r="AE3113" s="1061"/>
      <c r="AF3113" s="1061"/>
      <c r="AG3113" s="1062"/>
      <c r="AH3113" s="518"/>
      <c r="AJ3113" s="595"/>
    </row>
    <row r="3114" spans="1:36" hidden="1" x14ac:dyDescent="0.45">
      <c r="A3114" s="518"/>
      <c r="B3114" s="963"/>
      <c r="C3114" s="964"/>
      <c r="D3114" s="964"/>
      <c r="E3114" s="964"/>
      <c r="F3114" s="965"/>
      <c r="G3114" s="1042"/>
      <c r="H3114" s="1043"/>
      <c r="I3114" s="1044"/>
      <c r="J3114" s="1045"/>
      <c r="K3114" s="1045"/>
      <c r="L3114" s="1045"/>
      <c r="M3114" s="1046"/>
      <c r="N3114" s="1042"/>
      <c r="O3114" s="1043"/>
      <c r="P3114" s="1042"/>
      <c r="Q3114" s="1043"/>
      <c r="R3114" s="963"/>
      <c r="S3114" s="964"/>
      <c r="T3114" s="964"/>
      <c r="U3114" s="964"/>
      <c r="V3114" s="965"/>
      <c r="W3114" s="963"/>
      <c r="X3114" s="964"/>
      <c r="Y3114" s="965"/>
      <c r="Z3114" s="1047"/>
      <c r="AA3114" s="1048"/>
      <c r="AB3114" s="1049"/>
      <c r="AC3114" s="1038"/>
      <c r="AD3114" s="991"/>
      <c r="AE3114" s="991"/>
      <c r="AF3114" s="991"/>
      <c r="AG3114" s="992"/>
      <c r="AH3114" s="518"/>
      <c r="AJ3114" s="595"/>
    </row>
    <row r="3115" spans="1:36" hidden="1" x14ac:dyDescent="0.45">
      <c r="A3115" s="518"/>
      <c r="B3115" s="963"/>
      <c r="C3115" s="964"/>
      <c r="D3115" s="964"/>
      <c r="E3115" s="964"/>
      <c r="F3115" s="965"/>
      <c r="G3115" s="1042"/>
      <c r="H3115" s="1043"/>
      <c r="I3115" s="1044"/>
      <c r="J3115" s="1045"/>
      <c r="K3115" s="1045"/>
      <c r="L3115" s="1045"/>
      <c r="M3115" s="1046"/>
      <c r="N3115" s="1042"/>
      <c r="O3115" s="1043"/>
      <c r="P3115" s="1042"/>
      <c r="Q3115" s="1043"/>
      <c r="R3115" s="963"/>
      <c r="S3115" s="964"/>
      <c r="T3115" s="964"/>
      <c r="U3115" s="964"/>
      <c r="V3115" s="965"/>
      <c r="W3115" s="963"/>
      <c r="X3115" s="964"/>
      <c r="Y3115" s="965"/>
      <c r="Z3115" s="1047"/>
      <c r="AA3115" s="1048"/>
      <c r="AB3115" s="1049"/>
      <c r="AC3115" s="1038"/>
      <c r="AD3115" s="991"/>
      <c r="AE3115" s="991"/>
      <c r="AF3115" s="991"/>
      <c r="AG3115" s="992"/>
      <c r="AH3115" s="518"/>
      <c r="AJ3115" s="595"/>
    </row>
    <row r="3116" spans="1:36" hidden="1" x14ac:dyDescent="0.45">
      <c r="A3116" s="518"/>
      <c r="B3116" s="963"/>
      <c r="C3116" s="964"/>
      <c r="D3116" s="964"/>
      <c r="E3116" s="964"/>
      <c r="F3116" s="965"/>
      <c r="G3116" s="1042"/>
      <c r="H3116" s="1043"/>
      <c r="I3116" s="1044"/>
      <c r="J3116" s="1045"/>
      <c r="K3116" s="1045"/>
      <c r="L3116" s="1045"/>
      <c r="M3116" s="1046"/>
      <c r="N3116" s="1042"/>
      <c r="O3116" s="1043"/>
      <c r="P3116" s="1042"/>
      <c r="Q3116" s="1043"/>
      <c r="R3116" s="963"/>
      <c r="S3116" s="964"/>
      <c r="T3116" s="964"/>
      <c r="U3116" s="964"/>
      <c r="V3116" s="965"/>
      <c r="W3116" s="963"/>
      <c r="X3116" s="964"/>
      <c r="Y3116" s="965"/>
      <c r="Z3116" s="1047"/>
      <c r="AA3116" s="1048"/>
      <c r="AB3116" s="1049"/>
      <c r="AC3116" s="1038"/>
      <c r="AD3116" s="991"/>
      <c r="AE3116" s="991"/>
      <c r="AF3116" s="991"/>
      <c r="AG3116" s="992"/>
      <c r="AH3116" s="518"/>
      <c r="AJ3116" s="595"/>
    </row>
    <row r="3117" spans="1:36" hidden="1" x14ac:dyDescent="0.45">
      <c r="A3117" s="518"/>
      <c r="B3117" s="963"/>
      <c r="C3117" s="964"/>
      <c r="D3117" s="964"/>
      <c r="E3117" s="964"/>
      <c r="F3117" s="965"/>
      <c r="G3117" s="1042"/>
      <c r="H3117" s="1043"/>
      <c r="I3117" s="1044"/>
      <c r="J3117" s="1045"/>
      <c r="K3117" s="1045"/>
      <c r="L3117" s="1045"/>
      <c r="M3117" s="1046"/>
      <c r="N3117" s="1042"/>
      <c r="O3117" s="1043"/>
      <c r="P3117" s="1042"/>
      <c r="Q3117" s="1043"/>
      <c r="R3117" s="963"/>
      <c r="S3117" s="964"/>
      <c r="T3117" s="964"/>
      <c r="U3117" s="964"/>
      <c r="V3117" s="965"/>
      <c r="W3117" s="963"/>
      <c r="X3117" s="964"/>
      <c r="Y3117" s="965"/>
      <c r="Z3117" s="1047"/>
      <c r="AA3117" s="1048"/>
      <c r="AB3117" s="1049"/>
      <c r="AC3117" s="1038"/>
      <c r="AD3117" s="991"/>
      <c r="AE3117" s="991"/>
      <c r="AF3117" s="991"/>
      <c r="AG3117" s="992"/>
      <c r="AH3117" s="518"/>
      <c r="AJ3117" s="595"/>
    </row>
    <row r="3118" spans="1:36" hidden="1" x14ac:dyDescent="0.45">
      <c r="A3118" s="518"/>
      <c r="B3118" s="963"/>
      <c r="C3118" s="964"/>
      <c r="D3118" s="964"/>
      <c r="E3118" s="964"/>
      <c r="F3118" s="965"/>
      <c r="G3118" s="1042"/>
      <c r="H3118" s="1043"/>
      <c r="I3118" s="1044"/>
      <c r="J3118" s="1045"/>
      <c r="K3118" s="1045"/>
      <c r="L3118" s="1045"/>
      <c r="M3118" s="1046"/>
      <c r="N3118" s="1042"/>
      <c r="O3118" s="1043"/>
      <c r="P3118" s="1042"/>
      <c r="Q3118" s="1043"/>
      <c r="R3118" s="963"/>
      <c r="S3118" s="964"/>
      <c r="T3118" s="964"/>
      <c r="U3118" s="964"/>
      <c r="V3118" s="965"/>
      <c r="W3118" s="963"/>
      <c r="X3118" s="964"/>
      <c r="Y3118" s="965"/>
      <c r="Z3118" s="1047"/>
      <c r="AA3118" s="1048"/>
      <c r="AB3118" s="1049"/>
      <c r="AC3118" s="1038"/>
      <c r="AD3118" s="991"/>
      <c r="AE3118" s="991"/>
      <c r="AF3118" s="991"/>
      <c r="AG3118" s="992"/>
      <c r="AH3118" s="518"/>
      <c r="AJ3118" s="595"/>
    </row>
    <row r="3119" spans="1:36" hidden="1" x14ac:dyDescent="0.45">
      <c r="A3119" s="518"/>
      <c r="B3119" s="963"/>
      <c r="C3119" s="964"/>
      <c r="D3119" s="964"/>
      <c r="E3119" s="964"/>
      <c r="F3119" s="965"/>
      <c r="G3119" s="1042"/>
      <c r="H3119" s="1043"/>
      <c r="I3119" s="1044"/>
      <c r="J3119" s="1045"/>
      <c r="K3119" s="1045"/>
      <c r="L3119" s="1045"/>
      <c r="M3119" s="1046"/>
      <c r="N3119" s="1042"/>
      <c r="O3119" s="1043"/>
      <c r="P3119" s="1042"/>
      <c r="Q3119" s="1043"/>
      <c r="R3119" s="963"/>
      <c r="S3119" s="964"/>
      <c r="T3119" s="964"/>
      <c r="U3119" s="964"/>
      <c r="V3119" s="965"/>
      <c r="W3119" s="963"/>
      <c r="X3119" s="964"/>
      <c r="Y3119" s="965"/>
      <c r="Z3119" s="1047"/>
      <c r="AA3119" s="1048"/>
      <c r="AB3119" s="1049"/>
      <c r="AC3119" s="1038"/>
      <c r="AD3119" s="991"/>
      <c r="AE3119" s="991"/>
      <c r="AF3119" s="991"/>
      <c r="AG3119" s="992"/>
      <c r="AH3119" s="518"/>
      <c r="AJ3119" s="595"/>
    </row>
    <row r="3120" spans="1:36" hidden="1" x14ac:dyDescent="0.45">
      <c r="A3120" s="518"/>
      <c r="B3120" s="963"/>
      <c r="C3120" s="964"/>
      <c r="D3120" s="964"/>
      <c r="E3120" s="964"/>
      <c r="F3120" s="965"/>
      <c r="G3120" s="1042"/>
      <c r="H3120" s="1043"/>
      <c r="I3120" s="1044"/>
      <c r="J3120" s="1045"/>
      <c r="K3120" s="1045"/>
      <c r="L3120" s="1045"/>
      <c r="M3120" s="1046"/>
      <c r="N3120" s="1042"/>
      <c r="O3120" s="1043"/>
      <c r="P3120" s="1042"/>
      <c r="Q3120" s="1043"/>
      <c r="R3120" s="963"/>
      <c r="S3120" s="964"/>
      <c r="T3120" s="964"/>
      <c r="U3120" s="964"/>
      <c r="V3120" s="965"/>
      <c r="W3120" s="963"/>
      <c r="X3120" s="964"/>
      <c r="Y3120" s="965"/>
      <c r="Z3120" s="1047"/>
      <c r="AA3120" s="1048"/>
      <c r="AB3120" s="1049"/>
      <c r="AC3120" s="1038"/>
      <c r="AD3120" s="991"/>
      <c r="AE3120" s="991"/>
      <c r="AF3120" s="991"/>
      <c r="AG3120" s="992"/>
      <c r="AH3120" s="518"/>
      <c r="AJ3120" s="595"/>
    </row>
    <row r="3121" spans="1:36" hidden="1" x14ac:dyDescent="0.45">
      <c r="A3121" s="518"/>
      <c r="B3121" s="963"/>
      <c r="C3121" s="964"/>
      <c r="D3121" s="964"/>
      <c r="E3121" s="964"/>
      <c r="F3121" s="965"/>
      <c r="G3121" s="1042"/>
      <c r="H3121" s="1043"/>
      <c r="I3121" s="1044"/>
      <c r="J3121" s="1045"/>
      <c r="K3121" s="1045"/>
      <c r="L3121" s="1045"/>
      <c r="M3121" s="1046"/>
      <c r="N3121" s="1042"/>
      <c r="O3121" s="1043"/>
      <c r="P3121" s="1042"/>
      <c r="Q3121" s="1043"/>
      <c r="R3121" s="963"/>
      <c r="S3121" s="964"/>
      <c r="T3121" s="964"/>
      <c r="U3121" s="964"/>
      <c r="V3121" s="965"/>
      <c r="W3121" s="963"/>
      <c r="X3121" s="964"/>
      <c r="Y3121" s="965"/>
      <c r="Z3121" s="1047"/>
      <c r="AA3121" s="1048"/>
      <c r="AB3121" s="1049"/>
      <c r="AC3121" s="1038"/>
      <c r="AD3121" s="991"/>
      <c r="AE3121" s="991"/>
      <c r="AF3121" s="991"/>
      <c r="AG3121" s="992"/>
      <c r="AH3121" s="518"/>
      <c r="AJ3121" s="595"/>
    </row>
    <row r="3122" spans="1:36" hidden="1" x14ac:dyDescent="0.45">
      <c r="A3122" s="518"/>
      <c r="B3122" s="963"/>
      <c r="C3122" s="964"/>
      <c r="D3122" s="964"/>
      <c r="E3122" s="964"/>
      <c r="F3122" s="965"/>
      <c r="G3122" s="1042"/>
      <c r="H3122" s="1043"/>
      <c r="I3122" s="1044"/>
      <c r="J3122" s="1045"/>
      <c r="K3122" s="1045"/>
      <c r="L3122" s="1045"/>
      <c r="M3122" s="1046"/>
      <c r="N3122" s="1042"/>
      <c r="O3122" s="1043"/>
      <c r="P3122" s="1042"/>
      <c r="Q3122" s="1043"/>
      <c r="R3122" s="963"/>
      <c r="S3122" s="964"/>
      <c r="T3122" s="964"/>
      <c r="U3122" s="964"/>
      <c r="V3122" s="965"/>
      <c r="W3122" s="963"/>
      <c r="X3122" s="964"/>
      <c r="Y3122" s="965"/>
      <c r="Z3122" s="1047"/>
      <c r="AA3122" s="1048"/>
      <c r="AB3122" s="1049"/>
      <c r="AC3122" s="1038"/>
      <c r="AD3122" s="991"/>
      <c r="AE3122" s="991"/>
      <c r="AF3122" s="991"/>
      <c r="AG3122" s="992"/>
      <c r="AH3122" s="518"/>
      <c r="AJ3122" s="595"/>
    </row>
    <row r="3123" spans="1:36" hidden="1" x14ac:dyDescent="0.45">
      <c r="A3123" s="518"/>
      <c r="B3123" s="963"/>
      <c r="C3123" s="964"/>
      <c r="D3123" s="964"/>
      <c r="E3123" s="964"/>
      <c r="F3123" s="965"/>
      <c r="G3123" s="1042"/>
      <c r="H3123" s="1043"/>
      <c r="I3123" s="1044"/>
      <c r="J3123" s="1045"/>
      <c r="K3123" s="1045"/>
      <c r="L3123" s="1045"/>
      <c r="M3123" s="1046"/>
      <c r="N3123" s="1042"/>
      <c r="O3123" s="1043"/>
      <c r="P3123" s="1042"/>
      <c r="Q3123" s="1043"/>
      <c r="R3123" s="963"/>
      <c r="S3123" s="964"/>
      <c r="T3123" s="964"/>
      <c r="U3123" s="964"/>
      <c r="V3123" s="965"/>
      <c r="W3123" s="963"/>
      <c r="X3123" s="964"/>
      <c r="Y3123" s="965"/>
      <c r="Z3123" s="1047"/>
      <c r="AA3123" s="1048"/>
      <c r="AB3123" s="1049"/>
      <c r="AC3123" s="1038"/>
      <c r="AD3123" s="991"/>
      <c r="AE3123" s="991"/>
      <c r="AF3123" s="991"/>
      <c r="AG3123" s="992"/>
      <c r="AH3123" s="518"/>
      <c r="AJ3123" s="595"/>
    </row>
    <row r="3124" spans="1:36" hidden="1" x14ac:dyDescent="0.45">
      <c r="A3124" s="518"/>
      <c r="B3124" s="531"/>
      <c r="C3124" s="531"/>
      <c r="D3124" s="531"/>
      <c r="E3124" s="531"/>
      <c r="F3124" s="531"/>
      <c r="G3124" s="531"/>
      <c r="H3124" s="531"/>
      <c r="I3124" s="531"/>
      <c r="J3124" s="531"/>
      <c r="K3124" s="531"/>
      <c r="L3124" s="531"/>
      <c r="M3124" s="531"/>
      <c r="N3124" s="531"/>
      <c r="O3124" s="531"/>
      <c r="P3124" s="531"/>
      <c r="Q3124" s="531"/>
      <c r="R3124" s="531"/>
      <c r="S3124" s="531"/>
      <c r="T3124" s="531"/>
      <c r="U3124" s="531"/>
      <c r="V3124" s="531"/>
      <c r="W3124" s="531"/>
      <c r="X3124" s="531"/>
      <c r="Y3124" s="531"/>
      <c r="Z3124" s="531"/>
      <c r="AA3124" s="531"/>
      <c r="AB3124" s="531"/>
      <c r="AC3124" s="531"/>
      <c r="AD3124" s="522"/>
      <c r="AE3124" s="522"/>
      <c r="AF3124" s="522"/>
      <c r="AG3124" s="522"/>
      <c r="AH3124" s="518"/>
      <c r="AJ3124" s="595"/>
    </row>
    <row r="3125" spans="1:36" hidden="1" x14ac:dyDescent="0.45">
      <c r="A3125" s="518"/>
      <c r="B3125" s="518"/>
      <c r="C3125" s="518"/>
      <c r="D3125" s="518"/>
      <c r="E3125" s="518"/>
      <c r="F3125" s="518"/>
      <c r="G3125" s="518"/>
      <c r="H3125" s="518"/>
      <c r="I3125" s="518"/>
      <c r="J3125" s="518"/>
      <c r="K3125" s="518"/>
      <c r="L3125" s="518"/>
      <c r="M3125" s="518"/>
      <c r="N3125" s="518"/>
      <c r="O3125" s="518"/>
      <c r="P3125" s="518"/>
      <c r="Q3125" s="518"/>
      <c r="R3125" s="518"/>
      <c r="S3125" s="518"/>
      <c r="T3125" s="518"/>
      <c r="U3125" s="518"/>
      <c r="V3125" s="518"/>
      <c r="W3125" s="518"/>
      <c r="X3125" s="518"/>
      <c r="Y3125" s="518"/>
      <c r="Z3125" s="518"/>
      <c r="AA3125" s="518"/>
      <c r="AB3125" s="518"/>
      <c r="AC3125" s="518"/>
      <c r="AD3125" s="518"/>
      <c r="AE3125" s="518"/>
      <c r="AF3125" s="518"/>
      <c r="AG3125" s="518"/>
      <c r="AH3125" s="518"/>
      <c r="AJ3125" s="595"/>
    </row>
    <row r="3126" spans="1:36" hidden="1" x14ac:dyDescent="0.45">
      <c r="A3126" s="518"/>
      <c r="B3126" s="907" t="s">
        <v>25</v>
      </c>
      <c r="C3126" s="907"/>
      <c r="D3126" s="907"/>
      <c r="E3126" s="907"/>
      <c r="F3126" s="907"/>
      <c r="G3126" s="907"/>
      <c r="H3126" s="907"/>
      <c r="I3126" s="907"/>
      <c r="J3126" s="907"/>
      <c r="K3126" s="907"/>
      <c r="L3126" s="907"/>
      <c r="M3126" s="907"/>
      <c r="N3126" s="907"/>
      <c r="O3126" s="907"/>
      <c r="P3126" s="907"/>
      <c r="Q3126" s="907"/>
      <c r="R3126" s="907"/>
      <c r="S3126" s="907"/>
      <c r="T3126" s="907"/>
      <c r="U3126" s="907"/>
      <c r="V3126" s="907"/>
      <c r="W3126" s="907"/>
      <c r="X3126" s="907"/>
      <c r="Y3126" s="907"/>
      <c r="Z3126" s="907"/>
      <c r="AA3126" s="907"/>
      <c r="AB3126" s="907"/>
      <c r="AC3126" s="907"/>
      <c r="AD3126" s="907"/>
      <c r="AE3126" s="907"/>
      <c r="AF3126" s="907"/>
      <c r="AG3126" s="907"/>
      <c r="AH3126" s="518"/>
      <c r="AJ3126" s="595"/>
    </row>
    <row r="3127" spans="1:36" hidden="1" x14ac:dyDescent="0.45">
      <c r="A3127" s="518"/>
      <c r="B3127" s="907" t="str">
        <f>B3098</f>
        <v>Serna Homeownership Project Development Loan</v>
      </c>
      <c r="C3127" s="907"/>
      <c r="D3127" s="907"/>
      <c r="E3127" s="907"/>
      <c r="F3127" s="907"/>
      <c r="G3127" s="907"/>
      <c r="H3127" s="907"/>
      <c r="I3127" s="907"/>
      <c r="J3127" s="907"/>
      <c r="K3127" s="907"/>
      <c r="L3127" s="907"/>
      <c r="M3127" s="907"/>
      <c r="N3127" s="907"/>
      <c r="O3127" s="907"/>
      <c r="P3127" s="907"/>
      <c r="Q3127" s="907"/>
      <c r="R3127" s="907"/>
      <c r="S3127" s="907"/>
      <c r="T3127" s="907"/>
      <c r="U3127" s="907"/>
      <c r="V3127" s="907"/>
      <c r="W3127" s="907"/>
      <c r="X3127" s="907"/>
      <c r="Y3127" s="907"/>
      <c r="Z3127" s="907"/>
      <c r="AA3127" s="907"/>
      <c r="AB3127" s="907"/>
      <c r="AC3127" s="907"/>
      <c r="AD3127" s="907"/>
      <c r="AE3127" s="907"/>
      <c r="AF3127" s="907"/>
      <c r="AG3127" s="907"/>
      <c r="AH3127" s="518"/>
      <c r="AJ3127" s="595"/>
    </row>
    <row r="3128" spans="1:36" hidden="1" x14ac:dyDescent="0.45">
      <c r="A3128" s="518"/>
      <c r="B3128" s="531"/>
      <c r="C3128" s="531"/>
      <c r="D3128" s="531"/>
      <c r="E3128" s="531"/>
      <c r="F3128" s="531"/>
      <c r="G3128" s="531"/>
      <c r="H3128" s="531"/>
      <c r="I3128" s="531"/>
      <c r="J3128" s="531"/>
      <c r="K3128" s="531"/>
      <c r="L3128" s="531"/>
      <c r="M3128" s="531"/>
      <c r="N3128" s="531"/>
      <c r="O3128" s="531"/>
      <c r="P3128" s="531"/>
      <c r="Q3128" s="531"/>
      <c r="R3128" s="531"/>
      <c r="S3128" s="531"/>
      <c r="T3128" s="531"/>
      <c r="U3128" s="531"/>
      <c r="V3128" s="531"/>
      <c r="W3128" s="531"/>
      <c r="X3128" s="531"/>
      <c r="Y3128" s="531"/>
      <c r="Z3128" s="531"/>
      <c r="AA3128" s="531"/>
      <c r="AB3128" s="531"/>
      <c r="AC3128" s="531"/>
      <c r="AD3128" s="522"/>
      <c r="AE3128" s="522"/>
      <c r="AF3128" s="522"/>
      <c r="AG3128" s="522"/>
      <c r="AH3128" s="518"/>
      <c r="AJ3128" s="595"/>
    </row>
    <row r="3129" spans="1:36" hidden="1" x14ac:dyDescent="0.45">
      <c r="A3129" s="518"/>
      <c r="B3129" s="907" t="s">
        <v>1594</v>
      </c>
      <c r="C3129" s="907"/>
      <c r="D3129" s="907"/>
      <c r="E3129" s="907"/>
      <c r="F3129" s="907"/>
      <c r="G3129" s="907"/>
      <c r="H3129" s="907"/>
      <c r="I3129" s="907"/>
      <c r="J3129" s="907"/>
      <c r="K3129" s="907"/>
      <c r="L3129" s="907"/>
      <c r="M3129" s="907"/>
      <c r="N3129" s="907"/>
      <c r="O3129" s="907"/>
      <c r="P3129" s="907"/>
      <c r="Q3129" s="907"/>
      <c r="R3129" s="907"/>
      <c r="S3129" s="907"/>
      <c r="T3129" s="907"/>
      <c r="U3129" s="907"/>
      <c r="V3129" s="907"/>
      <c r="W3129" s="907"/>
      <c r="X3129" s="907"/>
      <c r="Y3129" s="907"/>
      <c r="Z3129" s="907"/>
      <c r="AA3129" s="907"/>
      <c r="AB3129" s="907"/>
      <c r="AC3129" s="907"/>
      <c r="AD3129" s="907"/>
      <c r="AE3129" s="907"/>
      <c r="AF3129" s="907"/>
      <c r="AG3129" s="907"/>
      <c r="AH3129" s="518"/>
      <c r="AJ3129" s="595"/>
    </row>
    <row r="3130" spans="1:36" hidden="1" x14ac:dyDescent="0.45">
      <c r="A3130" s="518"/>
      <c r="B3130" s="517"/>
      <c r="C3130" s="517"/>
      <c r="D3130" s="517"/>
      <c r="E3130" s="517"/>
      <c r="F3130" s="517"/>
      <c r="G3130" s="517"/>
      <c r="H3130" s="517"/>
      <c r="I3130" s="517"/>
      <c r="J3130" s="517"/>
      <c r="K3130" s="517"/>
      <c r="L3130" s="517"/>
      <c r="M3130" s="517"/>
      <c r="N3130" s="517"/>
      <c r="O3130" s="517"/>
      <c r="P3130" s="517"/>
      <c r="Q3130" s="517"/>
      <c r="R3130" s="517"/>
      <c r="S3130" s="517"/>
      <c r="T3130" s="517"/>
      <c r="U3130" s="517"/>
      <c r="V3130" s="517"/>
      <c r="W3130" s="517"/>
      <c r="X3130" s="517"/>
      <c r="Y3130" s="517"/>
      <c r="Z3130" s="517"/>
      <c r="AA3130" s="517"/>
      <c r="AB3130" s="517"/>
      <c r="AC3130" s="517"/>
      <c r="AD3130" s="517"/>
      <c r="AE3130" s="517"/>
      <c r="AF3130" s="517"/>
      <c r="AG3130" s="517"/>
      <c r="AH3130" s="518"/>
      <c r="AJ3130" s="595"/>
    </row>
    <row r="3131" spans="1:36" ht="16" hidden="1" customHeight="1" x14ac:dyDescent="0.45">
      <c r="A3131" s="518"/>
      <c r="B3131" s="996" t="s">
        <v>1841</v>
      </c>
      <c r="C3131" s="998"/>
      <c r="D3131" s="1023" t="s">
        <v>1556</v>
      </c>
      <c r="E3131" s="1025"/>
      <c r="F3131" s="1023" t="s">
        <v>1561</v>
      </c>
      <c r="G3131" s="1024"/>
      <c r="H3131" s="1024"/>
      <c r="I3131" s="1024"/>
      <c r="J3131" s="1024"/>
      <c r="K3131" s="1024"/>
      <c r="L3131" s="1024"/>
      <c r="M3131" s="1024"/>
      <c r="N3131" s="1024"/>
      <c r="O3131" s="1024"/>
      <c r="P3131" s="1024"/>
      <c r="Q3131" s="1024"/>
      <c r="R3131" s="1024"/>
      <c r="S3131" s="1024"/>
      <c r="T3131" s="1024"/>
      <c r="U3131" s="1024"/>
      <c r="V3131" s="1025"/>
      <c r="W3131" s="996" t="s">
        <v>1560</v>
      </c>
      <c r="X3131" s="997"/>
      <c r="Y3131" s="997"/>
      <c r="Z3131" s="998"/>
      <c r="AA3131" s="1023" t="s">
        <v>1559</v>
      </c>
      <c r="AB3131" s="998"/>
      <c r="AC3131" s="1014" t="s">
        <v>1845</v>
      </c>
      <c r="AD3131" s="1016"/>
      <c r="AE3131" s="1014" t="s">
        <v>1557</v>
      </c>
      <c r="AF3131" s="1015"/>
      <c r="AG3131" s="1016"/>
      <c r="AH3131" s="518"/>
      <c r="AJ3131" s="595"/>
    </row>
    <row r="3132" spans="1:36" hidden="1" x14ac:dyDescent="0.45">
      <c r="A3132" s="518"/>
      <c r="B3132" s="1002"/>
      <c r="C3132" s="1004"/>
      <c r="D3132" s="1029"/>
      <c r="E3132" s="1031"/>
      <c r="F3132" s="1029"/>
      <c r="G3132" s="1030"/>
      <c r="H3132" s="1030"/>
      <c r="I3132" s="1030"/>
      <c r="J3132" s="1030"/>
      <c r="K3132" s="1030"/>
      <c r="L3132" s="1030"/>
      <c r="M3132" s="1030"/>
      <c r="N3132" s="1030"/>
      <c r="O3132" s="1030"/>
      <c r="P3132" s="1030"/>
      <c r="Q3132" s="1030"/>
      <c r="R3132" s="1030"/>
      <c r="S3132" s="1030"/>
      <c r="T3132" s="1030"/>
      <c r="U3132" s="1030"/>
      <c r="V3132" s="1031"/>
      <c r="W3132" s="1002"/>
      <c r="X3132" s="1003"/>
      <c r="Y3132" s="1003"/>
      <c r="Z3132" s="1004"/>
      <c r="AA3132" s="1002"/>
      <c r="AB3132" s="1004"/>
      <c r="AC3132" s="1020"/>
      <c r="AD3132" s="1022"/>
      <c r="AE3132" s="1020"/>
      <c r="AF3132" s="1021"/>
      <c r="AG3132" s="1022"/>
      <c r="AH3132" s="518"/>
      <c r="AJ3132" s="595"/>
    </row>
    <row r="3133" spans="1:36" hidden="1" x14ac:dyDescent="0.45">
      <c r="A3133" s="518"/>
      <c r="B3133" s="990"/>
      <c r="C3133" s="992"/>
      <c r="D3133" s="1038"/>
      <c r="E3133" s="1039"/>
      <c r="F3133" s="1032" t="s">
        <v>1717</v>
      </c>
      <c r="G3133" s="1033"/>
      <c r="H3133" s="1033"/>
      <c r="I3133" s="1033"/>
      <c r="J3133" s="1033"/>
      <c r="K3133" s="1033"/>
      <c r="L3133" s="1033"/>
      <c r="M3133" s="1033"/>
      <c r="N3133" s="1033"/>
      <c r="O3133" s="1033"/>
      <c r="P3133" s="1033"/>
      <c r="Q3133" s="1033"/>
      <c r="R3133" s="1033"/>
      <c r="S3133" s="1033"/>
      <c r="T3133" s="1033"/>
      <c r="U3133" s="1033"/>
      <c r="V3133" s="1034"/>
      <c r="W3133" s="993"/>
      <c r="X3133" s="994"/>
      <c r="Y3133" s="994"/>
      <c r="Z3133" s="995"/>
      <c r="AA3133" s="1040"/>
      <c r="AB3133" s="1041"/>
      <c r="AC3133" s="990"/>
      <c r="AD3133" s="992"/>
      <c r="AE3133" s="993"/>
      <c r="AF3133" s="994"/>
      <c r="AG3133" s="995"/>
      <c r="AH3133" s="518"/>
      <c r="AJ3133" s="595"/>
    </row>
    <row r="3134" spans="1:36" hidden="1" x14ac:dyDescent="0.45">
      <c r="A3134" s="518"/>
      <c r="B3134" s="990"/>
      <c r="C3134" s="992"/>
      <c r="D3134" s="1038"/>
      <c r="E3134" s="1039"/>
      <c r="F3134" s="1035"/>
      <c r="G3134" s="1036"/>
      <c r="H3134" s="1036"/>
      <c r="I3134" s="1036"/>
      <c r="J3134" s="1036"/>
      <c r="K3134" s="1036"/>
      <c r="L3134" s="1036"/>
      <c r="M3134" s="1036"/>
      <c r="N3134" s="1036"/>
      <c r="O3134" s="1036"/>
      <c r="P3134" s="1036"/>
      <c r="Q3134" s="1036"/>
      <c r="R3134" s="1036"/>
      <c r="S3134" s="1036"/>
      <c r="T3134" s="1036"/>
      <c r="U3134" s="1036"/>
      <c r="V3134" s="1037"/>
      <c r="W3134" s="993"/>
      <c r="X3134" s="994"/>
      <c r="Y3134" s="994"/>
      <c r="Z3134" s="995"/>
      <c r="AA3134" s="1040"/>
      <c r="AB3134" s="1041"/>
      <c r="AC3134" s="990"/>
      <c r="AD3134" s="992"/>
      <c r="AE3134" s="993"/>
      <c r="AF3134" s="994"/>
      <c r="AG3134" s="995"/>
      <c r="AH3134" s="518"/>
      <c r="AJ3134" s="595"/>
    </row>
    <row r="3135" spans="1:36" hidden="1" x14ac:dyDescent="0.45">
      <c r="A3135" s="518"/>
      <c r="B3135" s="990"/>
      <c r="C3135" s="992"/>
      <c r="D3135" s="1038"/>
      <c r="E3135" s="1039"/>
      <c r="F3135" s="1035"/>
      <c r="G3135" s="1036"/>
      <c r="H3135" s="1036"/>
      <c r="I3135" s="1036"/>
      <c r="J3135" s="1036"/>
      <c r="K3135" s="1036"/>
      <c r="L3135" s="1036"/>
      <c r="M3135" s="1036"/>
      <c r="N3135" s="1036"/>
      <c r="O3135" s="1036"/>
      <c r="P3135" s="1036"/>
      <c r="Q3135" s="1036"/>
      <c r="R3135" s="1036"/>
      <c r="S3135" s="1036"/>
      <c r="T3135" s="1036"/>
      <c r="U3135" s="1036"/>
      <c r="V3135" s="1037"/>
      <c r="W3135" s="993"/>
      <c r="X3135" s="994"/>
      <c r="Y3135" s="994"/>
      <c r="Z3135" s="995"/>
      <c r="AA3135" s="1040"/>
      <c r="AB3135" s="1041"/>
      <c r="AC3135" s="990"/>
      <c r="AD3135" s="992"/>
      <c r="AE3135" s="993"/>
      <c r="AF3135" s="994"/>
      <c r="AG3135" s="995"/>
      <c r="AH3135" s="518"/>
      <c r="AJ3135" s="595"/>
    </row>
    <row r="3136" spans="1:36" hidden="1" x14ac:dyDescent="0.45">
      <c r="A3136" s="518"/>
      <c r="B3136" s="990"/>
      <c r="C3136" s="992"/>
      <c r="D3136" s="1038"/>
      <c r="E3136" s="1039"/>
      <c r="F3136" s="1035"/>
      <c r="G3136" s="1036"/>
      <c r="H3136" s="1036"/>
      <c r="I3136" s="1036"/>
      <c r="J3136" s="1036"/>
      <c r="K3136" s="1036"/>
      <c r="L3136" s="1036"/>
      <c r="M3136" s="1036"/>
      <c r="N3136" s="1036"/>
      <c r="O3136" s="1036"/>
      <c r="P3136" s="1036"/>
      <c r="Q3136" s="1036"/>
      <c r="R3136" s="1036"/>
      <c r="S3136" s="1036"/>
      <c r="T3136" s="1036"/>
      <c r="U3136" s="1036"/>
      <c r="V3136" s="1037"/>
      <c r="W3136" s="993"/>
      <c r="X3136" s="994"/>
      <c r="Y3136" s="994"/>
      <c r="Z3136" s="995"/>
      <c r="AA3136" s="1040"/>
      <c r="AB3136" s="1041"/>
      <c r="AC3136" s="990"/>
      <c r="AD3136" s="992"/>
      <c r="AE3136" s="993"/>
      <c r="AF3136" s="994"/>
      <c r="AG3136" s="995"/>
      <c r="AH3136" s="518"/>
      <c r="AJ3136" s="595"/>
    </row>
    <row r="3137" spans="1:36" hidden="1" x14ac:dyDescent="0.45">
      <c r="A3137" s="518"/>
      <c r="B3137" s="990"/>
      <c r="C3137" s="992"/>
      <c r="D3137" s="1038"/>
      <c r="E3137" s="1039"/>
      <c r="F3137" s="1035"/>
      <c r="G3137" s="1036"/>
      <c r="H3137" s="1036"/>
      <c r="I3137" s="1036"/>
      <c r="J3137" s="1036"/>
      <c r="K3137" s="1036"/>
      <c r="L3137" s="1036"/>
      <c r="M3137" s="1036"/>
      <c r="N3137" s="1036"/>
      <c r="O3137" s="1036"/>
      <c r="P3137" s="1036"/>
      <c r="Q3137" s="1036"/>
      <c r="R3137" s="1036"/>
      <c r="S3137" s="1036"/>
      <c r="T3137" s="1036"/>
      <c r="U3137" s="1036"/>
      <c r="V3137" s="1037"/>
      <c r="W3137" s="993"/>
      <c r="X3137" s="994"/>
      <c r="Y3137" s="994"/>
      <c r="Z3137" s="995"/>
      <c r="AA3137" s="1040"/>
      <c r="AB3137" s="1041"/>
      <c r="AC3137" s="990"/>
      <c r="AD3137" s="992"/>
      <c r="AE3137" s="993"/>
      <c r="AF3137" s="994"/>
      <c r="AG3137" s="995"/>
      <c r="AH3137" s="518"/>
      <c r="AJ3137" s="595"/>
    </row>
    <row r="3138" spans="1:36" hidden="1" x14ac:dyDescent="0.45">
      <c r="A3138" s="518"/>
      <c r="B3138" s="990"/>
      <c r="C3138" s="992"/>
      <c r="D3138" s="1038"/>
      <c r="E3138" s="1039"/>
      <c r="F3138" s="1035"/>
      <c r="G3138" s="1036"/>
      <c r="H3138" s="1036"/>
      <c r="I3138" s="1036"/>
      <c r="J3138" s="1036"/>
      <c r="K3138" s="1036"/>
      <c r="L3138" s="1036"/>
      <c r="M3138" s="1036"/>
      <c r="N3138" s="1036"/>
      <c r="O3138" s="1036"/>
      <c r="P3138" s="1036"/>
      <c r="Q3138" s="1036"/>
      <c r="R3138" s="1036"/>
      <c r="S3138" s="1036"/>
      <c r="T3138" s="1036"/>
      <c r="U3138" s="1036"/>
      <c r="V3138" s="1037"/>
      <c r="W3138" s="993"/>
      <c r="X3138" s="994"/>
      <c r="Y3138" s="994"/>
      <c r="Z3138" s="995"/>
      <c r="AA3138" s="1040"/>
      <c r="AB3138" s="1041"/>
      <c r="AC3138" s="990"/>
      <c r="AD3138" s="992"/>
      <c r="AE3138" s="993"/>
      <c r="AF3138" s="994"/>
      <c r="AG3138" s="995"/>
      <c r="AH3138" s="518"/>
      <c r="AJ3138" s="595"/>
    </row>
    <row r="3139" spans="1:36" hidden="1" x14ac:dyDescent="0.45">
      <c r="A3139" s="518"/>
      <c r="B3139" s="518"/>
      <c r="C3139" s="531"/>
      <c r="D3139" s="531"/>
      <c r="E3139" s="531"/>
      <c r="F3139" s="531"/>
      <c r="G3139" s="531"/>
      <c r="H3139" s="531"/>
      <c r="I3139" s="531"/>
      <c r="J3139" s="531"/>
      <c r="K3139" s="531"/>
      <c r="L3139" s="531"/>
      <c r="M3139" s="531"/>
      <c r="N3139" s="531"/>
      <c r="O3139" s="531"/>
      <c r="P3139" s="531"/>
      <c r="Q3139" s="531"/>
      <c r="R3139" s="531"/>
      <c r="S3139" s="531"/>
      <c r="T3139" s="531"/>
      <c r="U3139" s="531"/>
      <c r="V3139" s="531"/>
      <c r="W3139" s="531"/>
      <c r="X3139" s="531"/>
      <c r="Y3139" s="531"/>
      <c r="Z3139" s="531"/>
      <c r="AA3139" s="531"/>
      <c r="AB3139" s="531"/>
      <c r="AC3139" s="531"/>
      <c r="AD3139" s="538"/>
      <c r="AE3139" s="538"/>
      <c r="AF3139" s="518"/>
      <c r="AG3139" s="518"/>
      <c r="AH3139" s="518"/>
      <c r="AJ3139" s="595"/>
    </row>
    <row r="3140" spans="1:36" hidden="1" x14ac:dyDescent="0.45">
      <c r="A3140" s="518"/>
      <c r="B3140" s="996" t="s">
        <v>1562</v>
      </c>
      <c r="C3140" s="997"/>
      <c r="D3140" s="997"/>
      <c r="E3140" s="997"/>
      <c r="F3140" s="997"/>
      <c r="G3140" s="997"/>
      <c r="H3140" s="997"/>
      <c r="I3140" s="997"/>
      <c r="J3140" s="997"/>
      <c r="K3140" s="997"/>
      <c r="L3140" s="998"/>
      <c r="M3140" s="1005" t="str">
        <f>IF(F3133=0,"",F3133)</f>
        <v>Serna</v>
      </c>
      <c r="N3140" s="1006"/>
      <c r="O3140" s="1007"/>
      <c r="P3140" s="1005" t="str">
        <f>IF(F3134=0,"",F3134)</f>
        <v/>
      </c>
      <c r="Q3140" s="1006"/>
      <c r="R3140" s="1007"/>
      <c r="S3140" s="1005" t="str">
        <f>IF(F3135=0,"",F3135)</f>
        <v/>
      </c>
      <c r="T3140" s="1006"/>
      <c r="U3140" s="1007"/>
      <c r="V3140" s="1005" t="str">
        <f>IF(F3136=0,"",F3136)</f>
        <v/>
      </c>
      <c r="W3140" s="1006"/>
      <c r="X3140" s="1007"/>
      <c r="Y3140" s="1005" t="str">
        <f>IF(F3137=0,"",F3137)</f>
        <v/>
      </c>
      <c r="Z3140" s="1006"/>
      <c r="AA3140" s="1007"/>
      <c r="AB3140" s="1005" t="str">
        <f>IF(F3138=0,"",F3138)</f>
        <v/>
      </c>
      <c r="AC3140" s="1006"/>
      <c r="AD3140" s="1007"/>
      <c r="AE3140" s="1023" t="s">
        <v>1577</v>
      </c>
      <c r="AF3140" s="1024"/>
      <c r="AG3140" s="1025"/>
      <c r="AH3140" s="518"/>
      <c r="AJ3140" s="595"/>
    </row>
    <row r="3141" spans="1:36" hidden="1" x14ac:dyDescent="0.45">
      <c r="A3141" s="518"/>
      <c r="B3141" s="999"/>
      <c r="C3141" s="1000"/>
      <c r="D3141" s="1000"/>
      <c r="E3141" s="1000"/>
      <c r="F3141" s="1000"/>
      <c r="G3141" s="1000"/>
      <c r="H3141" s="1000"/>
      <c r="I3141" s="1000"/>
      <c r="J3141" s="1000"/>
      <c r="K3141" s="1000"/>
      <c r="L3141" s="1001"/>
      <c r="M3141" s="1008"/>
      <c r="N3141" s="1009"/>
      <c r="O3141" s="1010"/>
      <c r="P3141" s="1008"/>
      <c r="Q3141" s="1009"/>
      <c r="R3141" s="1010"/>
      <c r="S3141" s="1008"/>
      <c r="T3141" s="1009"/>
      <c r="U3141" s="1010"/>
      <c r="V3141" s="1008"/>
      <c r="W3141" s="1009"/>
      <c r="X3141" s="1010"/>
      <c r="Y3141" s="1008"/>
      <c r="Z3141" s="1009"/>
      <c r="AA3141" s="1010"/>
      <c r="AB3141" s="1008"/>
      <c r="AC3141" s="1009"/>
      <c r="AD3141" s="1010"/>
      <c r="AE3141" s="1026"/>
      <c r="AF3141" s="1027"/>
      <c r="AG3141" s="1028"/>
      <c r="AH3141" s="518"/>
      <c r="AJ3141" s="595"/>
    </row>
    <row r="3142" spans="1:36" hidden="1" x14ac:dyDescent="0.45">
      <c r="A3142" s="518"/>
      <c r="B3142" s="1002"/>
      <c r="C3142" s="1003"/>
      <c r="D3142" s="1003"/>
      <c r="E3142" s="1003"/>
      <c r="F3142" s="1003"/>
      <c r="G3142" s="1003"/>
      <c r="H3142" s="1003"/>
      <c r="I3142" s="1003"/>
      <c r="J3142" s="1003"/>
      <c r="K3142" s="1003"/>
      <c r="L3142" s="1004"/>
      <c r="M3142" s="1011"/>
      <c r="N3142" s="1012"/>
      <c r="O3142" s="1013"/>
      <c r="P3142" s="1011"/>
      <c r="Q3142" s="1012"/>
      <c r="R3142" s="1013"/>
      <c r="S3142" s="1011"/>
      <c r="T3142" s="1012"/>
      <c r="U3142" s="1013"/>
      <c r="V3142" s="1011"/>
      <c r="W3142" s="1012"/>
      <c r="X3142" s="1013"/>
      <c r="Y3142" s="1011"/>
      <c r="Z3142" s="1012"/>
      <c r="AA3142" s="1013"/>
      <c r="AB3142" s="1011"/>
      <c r="AC3142" s="1012"/>
      <c r="AD3142" s="1013"/>
      <c r="AE3142" s="1029"/>
      <c r="AF3142" s="1030"/>
      <c r="AG3142" s="1031"/>
      <c r="AH3142" s="518"/>
      <c r="AJ3142" s="595"/>
    </row>
    <row r="3143" spans="1:36" hidden="1" x14ac:dyDescent="0.45">
      <c r="A3143" s="518"/>
      <c r="B3143" s="944" t="s">
        <v>1563</v>
      </c>
      <c r="C3143" s="944"/>
      <c r="D3143" s="944"/>
      <c r="E3143" s="944"/>
      <c r="F3143" s="944"/>
      <c r="G3143" s="944"/>
      <c r="H3143" s="944"/>
      <c r="I3143" s="944"/>
      <c r="J3143" s="944"/>
      <c r="K3143" s="944"/>
      <c r="L3143" s="944"/>
      <c r="M3143" s="945"/>
      <c r="N3143" s="946"/>
      <c r="O3143" s="947"/>
      <c r="P3143" s="945"/>
      <c r="Q3143" s="946"/>
      <c r="R3143" s="947"/>
      <c r="S3143" s="945"/>
      <c r="T3143" s="946"/>
      <c r="U3143" s="947"/>
      <c r="V3143" s="945"/>
      <c r="W3143" s="946"/>
      <c r="X3143" s="947"/>
      <c r="Y3143" s="945"/>
      <c r="Z3143" s="946"/>
      <c r="AA3143" s="947"/>
      <c r="AB3143" s="945"/>
      <c r="AC3143" s="946"/>
      <c r="AD3143" s="947"/>
      <c r="AE3143" s="960">
        <f>SUM(M3143:AD3143)</f>
        <v>0</v>
      </c>
      <c r="AF3143" s="961"/>
      <c r="AG3143" s="962"/>
      <c r="AJ3143" s="595"/>
    </row>
    <row r="3144" spans="1:36" hidden="1" x14ac:dyDescent="0.45">
      <c r="A3144" s="518"/>
      <c r="B3144" s="944" t="s">
        <v>1564</v>
      </c>
      <c r="C3144" s="944"/>
      <c r="D3144" s="944"/>
      <c r="E3144" s="944"/>
      <c r="F3144" s="944"/>
      <c r="G3144" s="944"/>
      <c r="H3144" s="944"/>
      <c r="I3144" s="944"/>
      <c r="J3144" s="944"/>
      <c r="K3144" s="944"/>
      <c r="L3144" s="944"/>
      <c r="M3144" s="945"/>
      <c r="N3144" s="946"/>
      <c r="O3144" s="947"/>
      <c r="P3144" s="945"/>
      <c r="Q3144" s="946"/>
      <c r="R3144" s="947"/>
      <c r="S3144" s="945"/>
      <c r="T3144" s="946"/>
      <c r="U3144" s="947"/>
      <c r="V3144" s="945"/>
      <c r="W3144" s="946"/>
      <c r="X3144" s="947"/>
      <c r="Y3144" s="945"/>
      <c r="Z3144" s="946"/>
      <c r="AA3144" s="947"/>
      <c r="AB3144" s="945"/>
      <c r="AC3144" s="946"/>
      <c r="AD3144" s="947"/>
      <c r="AE3144" s="960">
        <f t="shared" ref="AE3144:AE3160" si="55">SUM(M3144:AD3144)</f>
        <v>0</v>
      </c>
      <c r="AF3144" s="961"/>
      <c r="AG3144" s="962"/>
      <c r="AH3144" s="518"/>
      <c r="AJ3144" s="595"/>
    </row>
    <row r="3145" spans="1:36" hidden="1" x14ac:dyDescent="0.45">
      <c r="A3145" s="518"/>
      <c r="B3145" s="944" t="s">
        <v>1565</v>
      </c>
      <c r="C3145" s="944"/>
      <c r="D3145" s="944"/>
      <c r="E3145" s="944"/>
      <c r="F3145" s="944"/>
      <c r="G3145" s="944"/>
      <c r="H3145" s="944"/>
      <c r="I3145" s="944"/>
      <c r="J3145" s="944"/>
      <c r="K3145" s="944"/>
      <c r="L3145" s="944"/>
      <c r="M3145" s="945"/>
      <c r="N3145" s="946"/>
      <c r="O3145" s="947"/>
      <c r="P3145" s="945"/>
      <c r="Q3145" s="946"/>
      <c r="R3145" s="947"/>
      <c r="S3145" s="945"/>
      <c r="T3145" s="946"/>
      <c r="U3145" s="947"/>
      <c r="V3145" s="945"/>
      <c r="W3145" s="946"/>
      <c r="X3145" s="947"/>
      <c r="Y3145" s="945"/>
      <c r="Z3145" s="946"/>
      <c r="AA3145" s="947"/>
      <c r="AB3145" s="945"/>
      <c r="AC3145" s="946"/>
      <c r="AD3145" s="947"/>
      <c r="AE3145" s="960">
        <f t="shared" si="55"/>
        <v>0</v>
      </c>
      <c r="AF3145" s="961"/>
      <c r="AG3145" s="962"/>
      <c r="AH3145" s="518"/>
      <c r="AJ3145" s="595"/>
    </row>
    <row r="3146" spans="1:36" hidden="1" x14ac:dyDescent="0.45">
      <c r="A3146" s="518"/>
      <c r="B3146" s="944" t="s">
        <v>1566</v>
      </c>
      <c r="C3146" s="944"/>
      <c r="D3146" s="944"/>
      <c r="E3146" s="944"/>
      <c r="F3146" s="944"/>
      <c r="G3146" s="944"/>
      <c r="H3146" s="944"/>
      <c r="I3146" s="944"/>
      <c r="J3146" s="944"/>
      <c r="K3146" s="944"/>
      <c r="L3146" s="944"/>
      <c r="M3146" s="945"/>
      <c r="N3146" s="946"/>
      <c r="O3146" s="947"/>
      <c r="P3146" s="945"/>
      <c r="Q3146" s="946"/>
      <c r="R3146" s="947"/>
      <c r="S3146" s="945"/>
      <c r="T3146" s="946"/>
      <c r="U3146" s="947"/>
      <c r="V3146" s="945"/>
      <c r="W3146" s="946"/>
      <c r="X3146" s="947"/>
      <c r="Y3146" s="945"/>
      <c r="Z3146" s="946"/>
      <c r="AA3146" s="947"/>
      <c r="AB3146" s="945"/>
      <c r="AC3146" s="946"/>
      <c r="AD3146" s="947"/>
      <c r="AE3146" s="960">
        <f t="shared" si="55"/>
        <v>0</v>
      </c>
      <c r="AF3146" s="961"/>
      <c r="AG3146" s="962"/>
      <c r="AH3146" s="518"/>
      <c r="AJ3146" s="595"/>
    </row>
    <row r="3147" spans="1:36" hidden="1" x14ac:dyDescent="0.45">
      <c r="A3147" s="518"/>
      <c r="B3147" s="944" t="s">
        <v>1567</v>
      </c>
      <c r="C3147" s="944"/>
      <c r="D3147" s="944"/>
      <c r="E3147" s="944"/>
      <c r="F3147" s="944"/>
      <c r="G3147" s="944"/>
      <c r="H3147" s="944"/>
      <c r="I3147" s="944"/>
      <c r="J3147" s="944"/>
      <c r="K3147" s="944"/>
      <c r="L3147" s="944"/>
      <c r="M3147" s="945"/>
      <c r="N3147" s="946"/>
      <c r="O3147" s="947"/>
      <c r="P3147" s="945"/>
      <c r="Q3147" s="946"/>
      <c r="R3147" s="947"/>
      <c r="S3147" s="945"/>
      <c r="T3147" s="946"/>
      <c r="U3147" s="947"/>
      <c r="V3147" s="945"/>
      <c r="W3147" s="946"/>
      <c r="X3147" s="947"/>
      <c r="Y3147" s="945"/>
      <c r="Z3147" s="946"/>
      <c r="AA3147" s="947"/>
      <c r="AB3147" s="945"/>
      <c r="AC3147" s="946"/>
      <c r="AD3147" s="947"/>
      <c r="AE3147" s="960">
        <f t="shared" si="55"/>
        <v>0</v>
      </c>
      <c r="AF3147" s="961"/>
      <c r="AG3147" s="962"/>
      <c r="AH3147" s="518"/>
      <c r="AJ3147" s="595"/>
    </row>
    <row r="3148" spans="1:36" hidden="1" x14ac:dyDescent="0.45">
      <c r="A3148" s="518"/>
      <c r="B3148" s="944" t="s">
        <v>1568</v>
      </c>
      <c r="C3148" s="944"/>
      <c r="D3148" s="944"/>
      <c r="E3148" s="944"/>
      <c r="F3148" s="944"/>
      <c r="G3148" s="944"/>
      <c r="H3148" s="944"/>
      <c r="I3148" s="944"/>
      <c r="J3148" s="944"/>
      <c r="K3148" s="944"/>
      <c r="L3148" s="944"/>
      <c r="M3148" s="945"/>
      <c r="N3148" s="946"/>
      <c r="O3148" s="947"/>
      <c r="P3148" s="945"/>
      <c r="Q3148" s="946"/>
      <c r="R3148" s="947"/>
      <c r="S3148" s="945"/>
      <c r="T3148" s="946"/>
      <c r="U3148" s="947"/>
      <c r="V3148" s="945"/>
      <c r="W3148" s="946"/>
      <c r="X3148" s="947"/>
      <c r="Y3148" s="945"/>
      <c r="Z3148" s="946"/>
      <c r="AA3148" s="947"/>
      <c r="AB3148" s="945"/>
      <c r="AC3148" s="946"/>
      <c r="AD3148" s="947"/>
      <c r="AE3148" s="960">
        <f t="shared" si="55"/>
        <v>0</v>
      </c>
      <c r="AF3148" s="961"/>
      <c r="AG3148" s="962"/>
      <c r="AH3148" s="518"/>
      <c r="AJ3148" s="595"/>
    </row>
    <row r="3149" spans="1:36" hidden="1" x14ac:dyDescent="0.45">
      <c r="A3149" s="518"/>
      <c r="B3149" s="944" t="s">
        <v>1569</v>
      </c>
      <c r="C3149" s="944"/>
      <c r="D3149" s="944"/>
      <c r="E3149" s="944"/>
      <c r="F3149" s="944"/>
      <c r="G3149" s="944"/>
      <c r="H3149" s="944"/>
      <c r="I3149" s="944"/>
      <c r="J3149" s="944"/>
      <c r="K3149" s="944"/>
      <c r="L3149" s="944"/>
      <c r="M3149" s="945"/>
      <c r="N3149" s="946"/>
      <c r="O3149" s="947"/>
      <c r="P3149" s="945"/>
      <c r="Q3149" s="946"/>
      <c r="R3149" s="947"/>
      <c r="S3149" s="945"/>
      <c r="T3149" s="946"/>
      <c r="U3149" s="947"/>
      <c r="V3149" s="945"/>
      <c r="W3149" s="946"/>
      <c r="X3149" s="947"/>
      <c r="Y3149" s="945"/>
      <c r="Z3149" s="946"/>
      <c r="AA3149" s="947"/>
      <c r="AB3149" s="945"/>
      <c r="AC3149" s="946"/>
      <c r="AD3149" s="947"/>
      <c r="AE3149" s="960">
        <f t="shared" si="55"/>
        <v>0</v>
      </c>
      <c r="AF3149" s="961"/>
      <c r="AG3149" s="962"/>
      <c r="AH3149" s="518"/>
      <c r="AJ3149" s="595"/>
    </row>
    <row r="3150" spans="1:36" hidden="1" x14ac:dyDescent="0.45">
      <c r="A3150" s="518"/>
      <c r="B3150" s="944" t="s">
        <v>1570</v>
      </c>
      <c r="C3150" s="944"/>
      <c r="D3150" s="944"/>
      <c r="E3150" s="944"/>
      <c r="F3150" s="944"/>
      <c r="G3150" s="944"/>
      <c r="H3150" s="944"/>
      <c r="I3150" s="944"/>
      <c r="J3150" s="944"/>
      <c r="K3150" s="944"/>
      <c r="L3150" s="944"/>
      <c r="M3150" s="945"/>
      <c r="N3150" s="946"/>
      <c r="O3150" s="947"/>
      <c r="P3150" s="945"/>
      <c r="Q3150" s="946"/>
      <c r="R3150" s="947"/>
      <c r="S3150" s="945"/>
      <c r="T3150" s="946"/>
      <c r="U3150" s="947"/>
      <c r="V3150" s="945"/>
      <c r="W3150" s="946"/>
      <c r="X3150" s="947"/>
      <c r="Y3150" s="945"/>
      <c r="Z3150" s="946"/>
      <c r="AA3150" s="947"/>
      <c r="AB3150" s="945"/>
      <c r="AC3150" s="946"/>
      <c r="AD3150" s="947"/>
      <c r="AE3150" s="960">
        <f t="shared" si="55"/>
        <v>0</v>
      </c>
      <c r="AF3150" s="961"/>
      <c r="AG3150" s="962"/>
      <c r="AH3150" s="518"/>
      <c r="AJ3150" s="595"/>
    </row>
    <row r="3151" spans="1:36" hidden="1" x14ac:dyDescent="0.45">
      <c r="A3151" s="518"/>
      <c r="B3151" s="944" t="s">
        <v>1571</v>
      </c>
      <c r="C3151" s="944"/>
      <c r="D3151" s="944"/>
      <c r="E3151" s="944"/>
      <c r="F3151" s="944"/>
      <c r="G3151" s="944"/>
      <c r="H3151" s="944"/>
      <c r="I3151" s="944"/>
      <c r="J3151" s="944"/>
      <c r="K3151" s="944"/>
      <c r="L3151" s="944"/>
      <c r="M3151" s="945"/>
      <c r="N3151" s="946"/>
      <c r="O3151" s="947"/>
      <c r="P3151" s="945"/>
      <c r="Q3151" s="946"/>
      <c r="R3151" s="947"/>
      <c r="S3151" s="945"/>
      <c r="T3151" s="946"/>
      <c r="U3151" s="947"/>
      <c r="V3151" s="945"/>
      <c r="W3151" s="946"/>
      <c r="X3151" s="947"/>
      <c r="Y3151" s="945"/>
      <c r="Z3151" s="946"/>
      <c r="AA3151" s="947"/>
      <c r="AB3151" s="945"/>
      <c r="AC3151" s="946"/>
      <c r="AD3151" s="947"/>
      <c r="AE3151" s="960">
        <f t="shared" si="55"/>
        <v>0</v>
      </c>
      <c r="AF3151" s="961"/>
      <c r="AG3151" s="962"/>
      <c r="AH3151" s="518"/>
      <c r="AJ3151" s="595"/>
    </row>
    <row r="3152" spans="1:36" hidden="1" x14ac:dyDescent="0.45">
      <c r="A3152" s="518"/>
      <c r="B3152" s="944" t="s">
        <v>1572</v>
      </c>
      <c r="C3152" s="944"/>
      <c r="D3152" s="944"/>
      <c r="E3152" s="944"/>
      <c r="F3152" s="944"/>
      <c r="G3152" s="944"/>
      <c r="H3152" s="944"/>
      <c r="I3152" s="944"/>
      <c r="J3152" s="944"/>
      <c r="K3152" s="944"/>
      <c r="L3152" s="944"/>
      <c r="M3152" s="945"/>
      <c r="N3152" s="946"/>
      <c r="O3152" s="947"/>
      <c r="P3152" s="945"/>
      <c r="Q3152" s="946"/>
      <c r="R3152" s="947"/>
      <c r="S3152" s="945"/>
      <c r="T3152" s="946"/>
      <c r="U3152" s="947"/>
      <c r="V3152" s="945"/>
      <c r="W3152" s="946"/>
      <c r="X3152" s="947"/>
      <c r="Y3152" s="945"/>
      <c r="Z3152" s="946"/>
      <c r="AA3152" s="947"/>
      <c r="AB3152" s="945"/>
      <c r="AC3152" s="946"/>
      <c r="AD3152" s="947"/>
      <c r="AE3152" s="960">
        <f t="shared" si="55"/>
        <v>0</v>
      </c>
      <c r="AF3152" s="961"/>
      <c r="AG3152" s="962"/>
      <c r="AH3152" s="518"/>
      <c r="AJ3152" s="595"/>
    </row>
    <row r="3153" spans="1:36" hidden="1" x14ac:dyDescent="0.45">
      <c r="A3153" s="518"/>
      <c r="B3153" s="944" t="s">
        <v>1573</v>
      </c>
      <c r="C3153" s="944"/>
      <c r="D3153" s="944"/>
      <c r="E3153" s="944"/>
      <c r="F3153" s="944"/>
      <c r="G3153" s="944"/>
      <c r="H3153" s="944"/>
      <c r="I3153" s="944"/>
      <c r="J3153" s="944"/>
      <c r="K3153" s="944"/>
      <c r="L3153" s="944"/>
      <c r="M3153" s="945"/>
      <c r="N3153" s="946"/>
      <c r="O3153" s="947"/>
      <c r="P3153" s="945"/>
      <c r="Q3153" s="946"/>
      <c r="R3153" s="947"/>
      <c r="S3153" s="945"/>
      <c r="T3153" s="946"/>
      <c r="U3153" s="947"/>
      <c r="V3153" s="945"/>
      <c r="W3153" s="946"/>
      <c r="X3153" s="947"/>
      <c r="Y3153" s="945"/>
      <c r="Z3153" s="946"/>
      <c r="AA3153" s="947"/>
      <c r="AB3153" s="945"/>
      <c r="AC3153" s="946"/>
      <c r="AD3153" s="947"/>
      <c r="AE3153" s="960">
        <f t="shared" si="55"/>
        <v>0</v>
      </c>
      <c r="AF3153" s="961"/>
      <c r="AG3153" s="962"/>
      <c r="AH3153" s="518"/>
      <c r="AJ3153" s="595"/>
    </row>
    <row r="3154" spans="1:36" hidden="1" x14ac:dyDescent="0.45">
      <c r="A3154" s="518"/>
      <c r="B3154" s="944" t="s">
        <v>1574</v>
      </c>
      <c r="C3154" s="944"/>
      <c r="D3154" s="944"/>
      <c r="E3154" s="944"/>
      <c r="F3154" s="944"/>
      <c r="G3154" s="944"/>
      <c r="H3154" s="944"/>
      <c r="I3154" s="944"/>
      <c r="J3154" s="944"/>
      <c r="K3154" s="944"/>
      <c r="L3154" s="944"/>
      <c r="M3154" s="945"/>
      <c r="N3154" s="946"/>
      <c r="O3154" s="947"/>
      <c r="P3154" s="945"/>
      <c r="Q3154" s="946"/>
      <c r="R3154" s="947"/>
      <c r="S3154" s="945"/>
      <c r="T3154" s="946"/>
      <c r="U3154" s="947"/>
      <c r="V3154" s="945"/>
      <c r="W3154" s="946"/>
      <c r="X3154" s="947"/>
      <c r="Y3154" s="945"/>
      <c r="Z3154" s="946"/>
      <c r="AA3154" s="947"/>
      <c r="AB3154" s="945"/>
      <c r="AC3154" s="946"/>
      <c r="AD3154" s="947"/>
      <c r="AE3154" s="960">
        <f>SUM(M3154:AD3154)</f>
        <v>0</v>
      </c>
      <c r="AF3154" s="961"/>
      <c r="AG3154" s="962"/>
      <c r="AH3154" s="518"/>
      <c r="AJ3154" s="595"/>
    </row>
    <row r="3155" spans="1:36" hidden="1" x14ac:dyDescent="0.45">
      <c r="A3155" s="518"/>
      <c r="B3155" s="944" t="s">
        <v>1576</v>
      </c>
      <c r="C3155" s="944"/>
      <c r="D3155" s="944"/>
      <c r="E3155" s="944"/>
      <c r="F3155" s="944"/>
      <c r="G3155" s="944"/>
      <c r="H3155" s="944"/>
      <c r="I3155" s="944"/>
      <c r="J3155" s="944"/>
      <c r="K3155" s="944"/>
      <c r="L3155" s="944"/>
      <c r="M3155" s="945"/>
      <c r="N3155" s="946"/>
      <c r="O3155" s="947"/>
      <c r="P3155" s="945"/>
      <c r="Q3155" s="946"/>
      <c r="R3155" s="947"/>
      <c r="S3155" s="945"/>
      <c r="T3155" s="946"/>
      <c r="U3155" s="947"/>
      <c r="V3155" s="945"/>
      <c r="W3155" s="946"/>
      <c r="X3155" s="947"/>
      <c r="Y3155" s="945"/>
      <c r="Z3155" s="946"/>
      <c r="AA3155" s="947"/>
      <c r="AB3155" s="945"/>
      <c r="AC3155" s="946"/>
      <c r="AD3155" s="947"/>
      <c r="AE3155" s="960">
        <f t="shared" si="55"/>
        <v>0</v>
      </c>
      <c r="AF3155" s="961"/>
      <c r="AG3155" s="962"/>
      <c r="AH3155" s="518"/>
      <c r="AJ3155" s="595"/>
    </row>
    <row r="3156" spans="1:36" hidden="1" x14ac:dyDescent="0.45">
      <c r="A3156" s="518"/>
      <c r="B3156" s="944" t="s">
        <v>1844</v>
      </c>
      <c r="C3156" s="944"/>
      <c r="D3156" s="944"/>
      <c r="E3156" s="944"/>
      <c r="F3156" s="944"/>
      <c r="G3156" s="944"/>
      <c r="H3156" s="944"/>
      <c r="I3156" s="944"/>
      <c r="J3156" s="944"/>
      <c r="K3156" s="944"/>
      <c r="L3156" s="944"/>
      <c r="M3156" s="945"/>
      <c r="N3156" s="946"/>
      <c r="O3156" s="947"/>
      <c r="P3156" s="945"/>
      <c r="Q3156" s="946"/>
      <c r="R3156" s="947"/>
      <c r="S3156" s="945"/>
      <c r="T3156" s="946"/>
      <c r="U3156" s="947"/>
      <c r="V3156" s="945"/>
      <c r="W3156" s="946"/>
      <c r="X3156" s="947"/>
      <c r="Y3156" s="945"/>
      <c r="Z3156" s="946"/>
      <c r="AA3156" s="947"/>
      <c r="AB3156" s="945"/>
      <c r="AC3156" s="946"/>
      <c r="AD3156" s="947"/>
      <c r="AE3156" s="960">
        <f t="shared" si="55"/>
        <v>0</v>
      </c>
      <c r="AF3156" s="961"/>
      <c r="AG3156" s="962"/>
      <c r="AH3156" s="518"/>
      <c r="AJ3156" s="595"/>
    </row>
    <row r="3157" spans="1:36" hidden="1" x14ac:dyDescent="0.45">
      <c r="A3157" s="518"/>
      <c r="B3157" s="948"/>
      <c r="C3157" s="948"/>
      <c r="D3157" s="948"/>
      <c r="E3157" s="948"/>
      <c r="F3157" s="948"/>
      <c r="G3157" s="948"/>
      <c r="H3157" s="948"/>
      <c r="I3157" s="948"/>
      <c r="J3157" s="948"/>
      <c r="K3157" s="948"/>
      <c r="L3157" s="948"/>
      <c r="M3157" s="945"/>
      <c r="N3157" s="946"/>
      <c r="O3157" s="947"/>
      <c r="P3157" s="945"/>
      <c r="Q3157" s="946"/>
      <c r="R3157" s="947"/>
      <c r="S3157" s="945"/>
      <c r="T3157" s="946"/>
      <c r="U3157" s="947"/>
      <c r="V3157" s="945"/>
      <c r="W3157" s="946"/>
      <c r="X3157" s="947"/>
      <c r="Y3157" s="945"/>
      <c r="Z3157" s="946"/>
      <c r="AA3157" s="947"/>
      <c r="AB3157" s="945"/>
      <c r="AC3157" s="946"/>
      <c r="AD3157" s="947"/>
      <c r="AE3157" s="960">
        <f>SUM(M3157:AD3157)</f>
        <v>0</v>
      </c>
      <c r="AF3157" s="961"/>
      <c r="AG3157" s="962"/>
      <c r="AH3157" s="518"/>
      <c r="AJ3157" s="595"/>
    </row>
    <row r="3158" spans="1:36" hidden="1" x14ac:dyDescent="0.45">
      <c r="A3158" s="518"/>
      <c r="B3158" s="948"/>
      <c r="C3158" s="948"/>
      <c r="D3158" s="948"/>
      <c r="E3158" s="948"/>
      <c r="F3158" s="948"/>
      <c r="G3158" s="948"/>
      <c r="H3158" s="948"/>
      <c r="I3158" s="948"/>
      <c r="J3158" s="948"/>
      <c r="K3158" s="948"/>
      <c r="L3158" s="948"/>
      <c r="M3158" s="945"/>
      <c r="N3158" s="946"/>
      <c r="O3158" s="947"/>
      <c r="P3158" s="945"/>
      <c r="Q3158" s="946"/>
      <c r="R3158" s="947"/>
      <c r="S3158" s="945"/>
      <c r="T3158" s="946"/>
      <c r="U3158" s="947"/>
      <c r="V3158" s="945"/>
      <c r="W3158" s="946"/>
      <c r="X3158" s="947"/>
      <c r="Y3158" s="945"/>
      <c r="Z3158" s="946"/>
      <c r="AA3158" s="947"/>
      <c r="AB3158" s="945"/>
      <c r="AC3158" s="946"/>
      <c r="AD3158" s="947"/>
      <c r="AE3158" s="960">
        <f>SUM(M3158:AD3158)</f>
        <v>0</v>
      </c>
      <c r="AF3158" s="961"/>
      <c r="AG3158" s="962"/>
      <c r="AH3158" s="518"/>
      <c r="AJ3158" s="595"/>
    </row>
    <row r="3159" spans="1:36" hidden="1" x14ac:dyDescent="0.45">
      <c r="A3159" s="518"/>
      <c r="B3159" s="948"/>
      <c r="C3159" s="948"/>
      <c r="D3159" s="948"/>
      <c r="E3159" s="948"/>
      <c r="F3159" s="948"/>
      <c r="G3159" s="948"/>
      <c r="H3159" s="948"/>
      <c r="I3159" s="948"/>
      <c r="J3159" s="948"/>
      <c r="K3159" s="948"/>
      <c r="L3159" s="948"/>
      <c r="M3159" s="945"/>
      <c r="N3159" s="946"/>
      <c r="O3159" s="947"/>
      <c r="P3159" s="945"/>
      <c r="Q3159" s="946"/>
      <c r="R3159" s="947"/>
      <c r="S3159" s="945"/>
      <c r="T3159" s="946"/>
      <c r="U3159" s="947"/>
      <c r="V3159" s="945"/>
      <c r="W3159" s="946"/>
      <c r="X3159" s="947"/>
      <c r="Y3159" s="945"/>
      <c r="Z3159" s="946"/>
      <c r="AA3159" s="947"/>
      <c r="AB3159" s="945"/>
      <c r="AC3159" s="946"/>
      <c r="AD3159" s="947"/>
      <c r="AE3159" s="960">
        <f>SUM(M3159:AD3159)</f>
        <v>0</v>
      </c>
      <c r="AF3159" s="961"/>
      <c r="AG3159" s="962"/>
      <c r="AH3159" s="518"/>
      <c r="AJ3159" s="595"/>
    </row>
    <row r="3160" spans="1:36" hidden="1" x14ac:dyDescent="0.45">
      <c r="A3160" s="518"/>
      <c r="B3160" s="989" t="s">
        <v>1577</v>
      </c>
      <c r="C3160" s="989"/>
      <c r="D3160" s="989"/>
      <c r="E3160" s="989"/>
      <c r="F3160" s="989"/>
      <c r="G3160" s="989"/>
      <c r="H3160" s="989"/>
      <c r="I3160" s="989"/>
      <c r="J3160" s="989"/>
      <c r="K3160" s="989"/>
      <c r="L3160" s="989"/>
      <c r="M3160" s="960">
        <f>SUM(M3143:O3159)</f>
        <v>0</v>
      </c>
      <c r="N3160" s="961"/>
      <c r="O3160" s="962"/>
      <c r="P3160" s="960">
        <f>SUM(P3143:R3159)</f>
        <v>0</v>
      </c>
      <c r="Q3160" s="961"/>
      <c r="R3160" s="962"/>
      <c r="S3160" s="960">
        <f>SUM(S3143:U3159)</f>
        <v>0</v>
      </c>
      <c r="T3160" s="961"/>
      <c r="U3160" s="962"/>
      <c r="V3160" s="960">
        <f>SUM(V3143:X3159)</f>
        <v>0</v>
      </c>
      <c r="W3160" s="961"/>
      <c r="X3160" s="962"/>
      <c r="Y3160" s="960">
        <f>SUM(Y3143:AA3159)</f>
        <v>0</v>
      </c>
      <c r="Z3160" s="961"/>
      <c r="AA3160" s="962"/>
      <c r="AB3160" s="960">
        <f>SUM(AB3143:AD3159)</f>
        <v>0</v>
      </c>
      <c r="AC3160" s="961"/>
      <c r="AD3160" s="962"/>
      <c r="AE3160" s="960">
        <f t="shared" si="55"/>
        <v>0</v>
      </c>
      <c r="AF3160" s="961"/>
      <c r="AG3160" s="962"/>
      <c r="AH3160" s="518"/>
      <c r="AJ3160" s="595"/>
    </row>
    <row r="3161" spans="1:36" hidden="1" x14ac:dyDescent="0.45">
      <c r="A3161" s="518"/>
      <c r="B3161" s="517"/>
      <c r="C3161" s="517"/>
      <c r="D3161" s="517"/>
      <c r="E3161" s="517"/>
      <c r="F3161" s="517"/>
      <c r="G3161" s="517"/>
      <c r="H3161" s="517"/>
      <c r="I3161" s="518"/>
      <c r="J3161" s="518"/>
      <c r="K3161" s="518"/>
      <c r="L3161" s="518"/>
      <c r="M3161" s="518"/>
      <c r="N3161" s="518"/>
      <c r="O3161" s="518"/>
      <c r="P3161" s="518"/>
      <c r="Q3161" s="518"/>
      <c r="R3161" s="518"/>
      <c r="S3161" s="518"/>
      <c r="T3161" s="518"/>
      <c r="U3161" s="531"/>
      <c r="V3161" s="531"/>
      <c r="W3161" s="531"/>
      <c r="X3161" s="531"/>
      <c r="Y3161" s="531"/>
      <c r="Z3161" s="531"/>
      <c r="AA3161" s="518"/>
      <c r="AB3161" s="518"/>
      <c r="AC3161" s="518"/>
      <c r="AD3161" s="518"/>
      <c r="AE3161" s="518"/>
      <c r="AF3161" s="518"/>
      <c r="AG3161" s="538"/>
      <c r="AH3161" s="518"/>
      <c r="AJ3161" s="595"/>
    </row>
    <row r="3162" spans="1:36" hidden="1" x14ac:dyDescent="0.45">
      <c r="A3162" s="518"/>
      <c r="B3162" s="518"/>
      <c r="C3162" s="518"/>
      <c r="D3162" s="518"/>
      <c r="E3162" s="518"/>
      <c r="F3162" s="518"/>
      <c r="G3162" s="518"/>
      <c r="H3162" s="518"/>
      <c r="I3162" s="518"/>
      <c r="J3162" s="518"/>
      <c r="K3162" s="518"/>
      <c r="L3162" s="518"/>
      <c r="M3162" s="518"/>
      <c r="N3162" s="518"/>
      <c r="O3162" s="518"/>
      <c r="P3162" s="518"/>
      <c r="Q3162" s="518"/>
      <c r="R3162" s="518"/>
      <c r="S3162" s="518"/>
      <c r="T3162" s="518"/>
      <c r="U3162" s="518"/>
      <c r="V3162" s="518"/>
      <c r="W3162" s="518"/>
      <c r="X3162" s="518"/>
      <c r="Y3162" s="518"/>
      <c r="Z3162" s="518"/>
      <c r="AA3162" s="518"/>
      <c r="AB3162" s="518"/>
      <c r="AC3162" s="518"/>
      <c r="AD3162" s="518"/>
      <c r="AE3162" s="518"/>
      <c r="AF3162" s="518"/>
      <c r="AG3162" s="518"/>
      <c r="AH3162" s="518"/>
      <c r="AJ3162" s="595"/>
    </row>
    <row r="3163" spans="1:36" hidden="1" x14ac:dyDescent="0.45">
      <c r="A3163" s="518"/>
      <c r="B3163" s="907" t="s">
        <v>25</v>
      </c>
      <c r="C3163" s="907"/>
      <c r="D3163" s="907"/>
      <c r="E3163" s="907"/>
      <c r="F3163" s="907"/>
      <c r="G3163" s="907"/>
      <c r="H3163" s="907"/>
      <c r="I3163" s="907"/>
      <c r="J3163" s="907"/>
      <c r="K3163" s="907"/>
      <c r="L3163" s="907"/>
      <c r="M3163" s="907"/>
      <c r="N3163" s="907"/>
      <c r="O3163" s="907"/>
      <c r="P3163" s="907"/>
      <c r="Q3163" s="907"/>
      <c r="R3163" s="907"/>
      <c r="S3163" s="907"/>
      <c r="T3163" s="907"/>
      <c r="U3163" s="907"/>
      <c r="V3163" s="907"/>
      <c r="W3163" s="907"/>
      <c r="X3163" s="907"/>
      <c r="Y3163" s="907"/>
      <c r="Z3163" s="907"/>
      <c r="AA3163" s="907"/>
      <c r="AB3163" s="907"/>
      <c r="AC3163" s="907"/>
      <c r="AD3163" s="907"/>
      <c r="AE3163" s="907"/>
      <c r="AF3163" s="907"/>
      <c r="AG3163" s="907"/>
      <c r="AH3163" s="518"/>
      <c r="AJ3163" s="595"/>
    </row>
    <row r="3164" spans="1:36" hidden="1" x14ac:dyDescent="0.45">
      <c r="A3164" s="518"/>
      <c r="B3164" s="907" t="str">
        <f>B3127</f>
        <v>Serna Homeownership Project Development Loan</v>
      </c>
      <c r="C3164" s="907"/>
      <c r="D3164" s="907"/>
      <c r="E3164" s="907"/>
      <c r="F3164" s="907"/>
      <c r="G3164" s="907"/>
      <c r="H3164" s="907"/>
      <c r="I3164" s="907"/>
      <c r="J3164" s="907"/>
      <c r="K3164" s="907"/>
      <c r="L3164" s="907"/>
      <c r="M3164" s="907"/>
      <c r="N3164" s="907"/>
      <c r="O3164" s="907"/>
      <c r="P3164" s="907"/>
      <c r="Q3164" s="907"/>
      <c r="R3164" s="907"/>
      <c r="S3164" s="907"/>
      <c r="T3164" s="907"/>
      <c r="U3164" s="907"/>
      <c r="V3164" s="907"/>
      <c r="W3164" s="907"/>
      <c r="X3164" s="907"/>
      <c r="Y3164" s="907"/>
      <c r="Z3164" s="907"/>
      <c r="AA3164" s="907"/>
      <c r="AB3164" s="907"/>
      <c r="AC3164" s="907"/>
      <c r="AD3164" s="907"/>
      <c r="AE3164" s="907"/>
      <c r="AF3164" s="907"/>
      <c r="AG3164" s="907"/>
      <c r="AH3164" s="518"/>
      <c r="AJ3164" s="595"/>
    </row>
    <row r="3165" spans="1:36" hidden="1" x14ac:dyDescent="0.45">
      <c r="A3165" s="518"/>
      <c r="B3165" s="531"/>
      <c r="C3165" s="531"/>
      <c r="D3165" s="531"/>
      <c r="E3165" s="531"/>
      <c r="F3165" s="531"/>
      <c r="G3165" s="531"/>
      <c r="H3165" s="531"/>
      <c r="I3165" s="531"/>
      <c r="J3165" s="531"/>
      <c r="K3165" s="531"/>
      <c r="L3165" s="531"/>
      <c r="M3165" s="531"/>
      <c r="N3165" s="531"/>
      <c r="O3165" s="531"/>
      <c r="P3165" s="531"/>
      <c r="Q3165" s="531"/>
      <c r="R3165" s="531"/>
      <c r="S3165" s="531"/>
      <c r="T3165" s="531"/>
      <c r="U3165" s="531"/>
      <c r="V3165" s="531"/>
      <c r="W3165" s="531"/>
      <c r="X3165" s="531"/>
      <c r="Y3165" s="531"/>
      <c r="Z3165" s="531"/>
      <c r="AA3165" s="531"/>
      <c r="AB3165" s="531"/>
      <c r="AC3165" s="531"/>
      <c r="AD3165" s="522"/>
      <c r="AE3165" s="522"/>
      <c r="AF3165" s="522"/>
      <c r="AG3165" s="522"/>
      <c r="AH3165" s="518"/>
      <c r="AJ3165" s="595"/>
    </row>
    <row r="3166" spans="1:36" hidden="1" x14ac:dyDescent="0.45">
      <c r="A3166" s="518"/>
      <c r="B3166" s="907" t="s">
        <v>1578</v>
      </c>
      <c r="C3166" s="907"/>
      <c r="D3166" s="907"/>
      <c r="E3166" s="907"/>
      <c r="F3166" s="907"/>
      <c r="G3166" s="907"/>
      <c r="H3166" s="907"/>
      <c r="I3166" s="907"/>
      <c r="J3166" s="907"/>
      <c r="K3166" s="907"/>
      <c r="L3166" s="907"/>
      <c r="M3166" s="907"/>
      <c r="N3166" s="907"/>
      <c r="O3166" s="907"/>
      <c r="P3166" s="907"/>
      <c r="Q3166" s="907"/>
      <c r="R3166" s="907"/>
      <c r="S3166" s="907"/>
      <c r="T3166" s="907"/>
      <c r="U3166" s="907"/>
      <c r="V3166" s="907"/>
      <c r="W3166" s="907"/>
      <c r="X3166" s="907"/>
      <c r="Y3166" s="907"/>
      <c r="Z3166" s="907"/>
      <c r="AA3166" s="907"/>
      <c r="AB3166" s="907"/>
      <c r="AC3166" s="907"/>
      <c r="AD3166" s="907"/>
      <c r="AE3166" s="907"/>
      <c r="AF3166" s="907"/>
      <c r="AG3166" s="907"/>
      <c r="AH3166" s="518"/>
      <c r="AJ3166" s="595"/>
    </row>
    <row r="3167" spans="1:36" hidden="1" x14ac:dyDescent="0.45">
      <c r="A3167" s="518"/>
      <c r="B3167" s="517"/>
      <c r="C3167" s="517"/>
      <c r="D3167" s="517"/>
      <c r="E3167" s="517"/>
      <c r="F3167" s="517"/>
      <c r="G3167" s="517"/>
      <c r="H3167" s="517"/>
      <c r="I3167" s="517"/>
      <c r="J3167" s="517"/>
      <c r="K3167" s="517"/>
      <c r="L3167" s="517"/>
      <c r="M3167" s="517"/>
      <c r="N3167" s="517"/>
      <c r="O3167" s="517"/>
      <c r="P3167" s="517"/>
      <c r="Q3167" s="517"/>
      <c r="R3167" s="517"/>
      <c r="S3167" s="517"/>
      <c r="T3167" s="517"/>
      <c r="U3167" s="517"/>
      <c r="V3167" s="517"/>
      <c r="W3167" s="517"/>
      <c r="X3167" s="517"/>
      <c r="Y3167" s="517"/>
      <c r="Z3167" s="517"/>
      <c r="AA3167" s="517"/>
      <c r="AB3167" s="517"/>
      <c r="AC3167" s="517"/>
      <c r="AD3167" s="517"/>
      <c r="AE3167" s="517"/>
      <c r="AF3167" s="517"/>
      <c r="AG3167" s="517"/>
      <c r="AH3167" s="518"/>
      <c r="AJ3167" s="595"/>
    </row>
    <row r="3168" spans="1:36" ht="16" hidden="1" customHeight="1" x14ac:dyDescent="0.45">
      <c r="A3168" s="518"/>
      <c r="B3168" s="1349" t="s">
        <v>1841</v>
      </c>
      <c r="C3168" s="1349"/>
      <c r="D3168" s="1350" t="s">
        <v>1556</v>
      </c>
      <c r="E3168" s="1350"/>
      <c r="F3168" s="1350" t="s">
        <v>1561</v>
      </c>
      <c r="G3168" s="1350"/>
      <c r="H3168" s="1350"/>
      <c r="I3168" s="1350"/>
      <c r="J3168" s="1350"/>
      <c r="K3168" s="1350"/>
      <c r="L3168" s="1350"/>
      <c r="M3168" s="1350"/>
      <c r="N3168" s="1350"/>
      <c r="O3168" s="1350"/>
      <c r="P3168" s="1350"/>
      <c r="Q3168" s="1350"/>
      <c r="R3168" s="1350"/>
      <c r="S3168" s="1350"/>
      <c r="T3168" s="1350"/>
      <c r="U3168" s="1350"/>
      <c r="V3168" s="1350"/>
      <c r="W3168" s="1349" t="s">
        <v>1560</v>
      </c>
      <c r="X3168" s="1349"/>
      <c r="Y3168" s="1349"/>
      <c r="Z3168" s="1349"/>
      <c r="AA3168" s="1350" t="s">
        <v>1559</v>
      </c>
      <c r="AB3168" s="1349"/>
      <c r="AC3168" s="1351" t="s">
        <v>1845</v>
      </c>
      <c r="AD3168" s="1351"/>
      <c r="AE3168" s="1351" t="s">
        <v>1557</v>
      </c>
      <c r="AF3168" s="1351"/>
      <c r="AG3168" s="1351"/>
      <c r="AH3168" s="518"/>
      <c r="AJ3168" s="595"/>
    </row>
    <row r="3169" spans="1:36" hidden="1" x14ac:dyDescent="0.45">
      <c r="A3169" s="518"/>
      <c r="B3169" s="1349"/>
      <c r="C3169" s="1349"/>
      <c r="D3169" s="1350"/>
      <c r="E3169" s="1350"/>
      <c r="F3169" s="1350"/>
      <c r="G3169" s="1350"/>
      <c r="H3169" s="1350"/>
      <c r="I3169" s="1350"/>
      <c r="J3169" s="1350"/>
      <c r="K3169" s="1350"/>
      <c r="L3169" s="1350"/>
      <c r="M3169" s="1350"/>
      <c r="N3169" s="1350"/>
      <c r="O3169" s="1350"/>
      <c r="P3169" s="1350"/>
      <c r="Q3169" s="1350"/>
      <c r="R3169" s="1350"/>
      <c r="S3169" s="1350"/>
      <c r="T3169" s="1350"/>
      <c r="U3169" s="1350"/>
      <c r="V3169" s="1350"/>
      <c r="W3169" s="1349"/>
      <c r="X3169" s="1349"/>
      <c r="Y3169" s="1349"/>
      <c r="Z3169" s="1349"/>
      <c r="AA3169" s="1349"/>
      <c r="AB3169" s="1349"/>
      <c r="AC3169" s="1351"/>
      <c r="AD3169" s="1351"/>
      <c r="AE3169" s="1351"/>
      <c r="AF3169" s="1351"/>
      <c r="AG3169" s="1351"/>
      <c r="AH3169" s="518"/>
      <c r="AJ3169" s="595"/>
    </row>
    <row r="3170" spans="1:36" hidden="1" x14ac:dyDescent="0.45">
      <c r="A3170" s="518"/>
      <c r="B3170" s="1352"/>
      <c r="C3170" s="1352"/>
      <c r="D3170" s="1353"/>
      <c r="E3170" s="1353"/>
      <c r="F3170" s="1032" t="s">
        <v>1717</v>
      </c>
      <c r="G3170" s="1033"/>
      <c r="H3170" s="1033"/>
      <c r="I3170" s="1033"/>
      <c r="J3170" s="1033"/>
      <c r="K3170" s="1033"/>
      <c r="L3170" s="1033"/>
      <c r="M3170" s="1033"/>
      <c r="N3170" s="1033"/>
      <c r="O3170" s="1033"/>
      <c r="P3170" s="1033"/>
      <c r="Q3170" s="1033"/>
      <c r="R3170" s="1033"/>
      <c r="S3170" s="1033"/>
      <c r="T3170" s="1033"/>
      <c r="U3170" s="1033"/>
      <c r="V3170" s="1034"/>
      <c r="W3170" s="952"/>
      <c r="X3170" s="953"/>
      <c r="Y3170" s="953"/>
      <c r="Z3170" s="954"/>
      <c r="AA3170" s="1354"/>
      <c r="AB3170" s="1354"/>
      <c r="AC3170" s="1353"/>
      <c r="AD3170" s="1353"/>
      <c r="AE3170" s="1353"/>
      <c r="AF3170" s="1353"/>
      <c r="AG3170" s="1353"/>
      <c r="AH3170" s="518"/>
      <c r="AJ3170" s="595"/>
    </row>
    <row r="3171" spans="1:36" hidden="1" x14ac:dyDescent="0.45">
      <c r="A3171" s="518"/>
      <c r="B3171" s="1352"/>
      <c r="C3171" s="1352"/>
      <c r="D3171" s="1353"/>
      <c r="E3171" s="1353"/>
      <c r="F3171" s="988"/>
      <c r="G3171" s="988"/>
      <c r="H3171" s="988"/>
      <c r="I3171" s="988"/>
      <c r="J3171" s="988"/>
      <c r="K3171" s="988"/>
      <c r="L3171" s="988"/>
      <c r="M3171" s="988"/>
      <c r="N3171" s="988"/>
      <c r="O3171" s="988"/>
      <c r="P3171" s="988"/>
      <c r="Q3171" s="988"/>
      <c r="R3171" s="988"/>
      <c r="S3171" s="988"/>
      <c r="T3171" s="988"/>
      <c r="U3171" s="988"/>
      <c r="V3171" s="988"/>
      <c r="W3171" s="952"/>
      <c r="X3171" s="953"/>
      <c r="Y3171" s="953"/>
      <c r="Z3171" s="954"/>
      <c r="AA3171" s="1354"/>
      <c r="AB3171" s="1354"/>
      <c r="AC3171" s="1353"/>
      <c r="AD3171" s="1353"/>
      <c r="AE3171" s="1353"/>
      <c r="AF3171" s="1353"/>
      <c r="AG3171" s="1353"/>
      <c r="AH3171" s="518"/>
      <c r="AJ3171" s="595"/>
    </row>
    <row r="3172" spans="1:36" hidden="1" x14ac:dyDescent="0.45">
      <c r="A3172" s="518"/>
      <c r="B3172" s="1352"/>
      <c r="C3172" s="1352"/>
      <c r="D3172" s="1353"/>
      <c r="E3172" s="1353"/>
      <c r="F3172" s="988"/>
      <c r="G3172" s="988"/>
      <c r="H3172" s="988"/>
      <c r="I3172" s="988"/>
      <c r="J3172" s="988"/>
      <c r="K3172" s="988"/>
      <c r="L3172" s="988"/>
      <c r="M3172" s="988"/>
      <c r="N3172" s="988"/>
      <c r="O3172" s="988"/>
      <c r="P3172" s="988"/>
      <c r="Q3172" s="988"/>
      <c r="R3172" s="988"/>
      <c r="S3172" s="988"/>
      <c r="T3172" s="988"/>
      <c r="U3172" s="988"/>
      <c r="V3172" s="988"/>
      <c r="W3172" s="952"/>
      <c r="X3172" s="953"/>
      <c r="Y3172" s="953"/>
      <c r="Z3172" s="954"/>
      <c r="AA3172" s="1354"/>
      <c r="AB3172" s="1354"/>
      <c r="AC3172" s="1353"/>
      <c r="AD3172" s="1353"/>
      <c r="AE3172" s="1353"/>
      <c r="AF3172" s="1353"/>
      <c r="AG3172" s="1353"/>
      <c r="AH3172" s="518"/>
      <c r="AJ3172" s="595"/>
    </row>
    <row r="3173" spans="1:36" hidden="1" x14ac:dyDescent="0.45">
      <c r="A3173" s="518"/>
      <c r="B3173" s="1352"/>
      <c r="C3173" s="1352"/>
      <c r="D3173" s="1353"/>
      <c r="E3173" s="1353"/>
      <c r="F3173" s="988"/>
      <c r="G3173" s="988"/>
      <c r="H3173" s="988"/>
      <c r="I3173" s="988"/>
      <c r="J3173" s="988"/>
      <c r="K3173" s="988"/>
      <c r="L3173" s="988"/>
      <c r="M3173" s="988"/>
      <c r="N3173" s="988"/>
      <c r="O3173" s="988"/>
      <c r="P3173" s="988"/>
      <c r="Q3173" s="988"/>
      <c r="R3173" s="988"/>
      <c r="S3173" s="988"/>
      <c r="T3173" s="988"/>
      <c r="U3173" s="988"/>
      <c r="V3173" s="988"/>
      <c r="W3173" s="952"/>
      <c r="X3173" s="953"/>
      <c r="Y3173" s="953"/>
      <c r="Z3173" s="954"/>
      <c r="AA3173" s="1354"/>
      <c r="AB3173" s="1354"/>
      <c r="AC3173" s="1353"/>
      <c r="AD3173" s="1353"/>
      <c r="AE3173" s="1353"/>
      <c r="AF3173" s="1353"/>
      <c r="AG3173" s="1353"/>
      <c r="AH3173" s="518"/>
      <c r="AJ3173" s="595"/>
    </row>
    <row r="3174" spans="1:36" hidden="1" x14ac:dyDescent="0.45">
      <c r="A3174" s="518"/>
      <c r="B3174" s="1352"/>
      <c r="C3174" s="1352"/>
      <c r="D3174" s="1353"/>
      <c r="E3174" s="1353"/>
      <c r="F3174" s="988"/>
      <c r="G3174" s="988"/>
      <c r="H3174" s="988"/>
      <c r="I3174" s="988"/>
      <c r="J3174" s="988"/>
      <c r="K3174" s="988"/>
      <c r="L3174" s="988"/>
      <c r="M3174" s="988"/>
      <c r="N3174" s="988"/>
      <c r="O3174" s="988"/>
      <c r="P3174" s="988"/>
      <c r="Q3174" s="988"/>
      <c r="R3174" s="988"/>
      <c r="S3174" s="988"/>
      <c r="T3174" s="988"/>
      <c r="U3174" s="988"/>
      <c r="V3174" s="988"/>
      <c r="W3174" s="952"/>
      <c r="X3174" s="953"/>
      <c r="Y3174" s="953"/>
      <c r="Z3174" s="954"/>
      <c r="AA3174" s="1354"/>
      <c r="AB3174" s="1354"/>
      <c r="AC3174" s="1353"/>
      <c r="AD3174" s="1353"/>
      <c r="AE3174" s="1353"/>
      <c r="AF3174" s="1353"/>
      <c r="AG3174" s="1353"/>
      <c r="AH3174" s="518"/>
      <c r="AJ3174" s="595"/>
    </row>
    <row r="3175" spans="1:36" hidden="1" x14ac:dyDescent="0.45">
      <c r="A3175" s="518"/>
      <c r="B3175" s="1352"/>
      <c r="C3175" s="1352"/>
      <c r="D3175" s="1353"/>
      <c r="E3175" s="1353"/>
      <c r="F3175" s="988"/>
      <c r="G3175" s="988"/>
      <c r="H3175" s="988"/>
      <c r="I3175" s="988"/>
      <c r="J3175" s="988"/>
      <c r="K3175" s="988"/>
      <c r="L3175" s="988"/>
      <c r="M3175" s="988"/>
      <c r="N3175" s="988"/>
      <c r="O3175" s="988"/>
      <c r="P3175" s="988"/>
      <c r="Q3175" s="988"/>
      <c r="R3175" s="988"/>
      <c r="S3175" s="988"/>
      <c r="T3175" s="988"/>
      <c r="U3175" s="988"/>
      <c r="V3175" s="988"/>
      <c r="W3175" s="952"/>
      <c r="X3175" s="953"/>
      <c r="Y3175" s="953"/>
      <c r="Z3175" s="954"/>
      <c r="AA3175" s="1354"/>
      <c r="AB3175" s="1354"/>
      <c r="AC3175" s="1353"/>
      <c r="AD3175" s="1353"/>
      <c r="AE3175" s="1353"/>
      <c r="AF3175" s="1353"/>
      <c r="AG3175" s="1353"/>
      <c r="AH3175" s="518"/>
      <c r="AJ3175" s="595"/>
    </row>
    <row r="3176" spans="1:36" hidden="1" x14ac:dyDescent="0.45">
      <c r="A3176" s="518"/>
      <c r="B3176" s="518"/>
      <c r="C3176" s="531"/>
      <c r="D3176" s="531"/>
      <c r="E3176" s="531"/>
      <c r="F3176" s="531"/>
      <c r="G3176" s="531"/>
      <c r="H3176" s="531"/>
      <c r="I3176" s="531"/>
      <c r="J3176" s="531"/>
      <c r="K3176" s="531"/>
      <c r="L3176" s="531"/>
      <c r="M3176" s="531"/>
      <c r="N3176" s="531"/>
      <c r="O3176" s="531"/>
      <c r="P3176" s="531"/>
      <c r="Q3176" s="531"/>
      <c r="R3176" s="531"/>
      <c r="S3176" s="531"/>
      <c r="T3176" s="531"/>
      <c r="U3176" s="531"/>
      <c r="V3176" s="531"/>
      <c r="W3176" s="531"/>
      <c r="X3176" s="531"/>
      <c r="Y3176" s="531"/>
      <c r="Z3176" s="531"/>
      <c r="AA3176" s="531"/>
      <c r="AB3176" s="531"/>
      <c r="AC3176" s="531"/>
      <c r="AD3176" s="538"/>
      <c r="AE3176" s="538"/>
      <c r="AF3176" s="518"/>
      <c r="AG3176" s="518"/>
      <c r="AH3176" s="518"/>
      <c r="AJ3176" s="595"/>
    </row>
    <row r="3177" spans="1:36" hidden="1" x14ac:dyDescent="0.45">
      <c r="A3177" s="518"/>
      <c r="B3177" s="996" t="s">
        <v>1562</v>
      </c>
      <c r="C3177" s="997"/>
      <c r="D3177" s="997"/>
      <c r="E3177" s="997"/>
      <c r="F3177" s="997"/>
      <c r="G3177" s="997"/>
      <c r="H3177" s="997"/>
      <c r="I3177" s="997"/>
      <c r="J3177" s="997"/>
      <c r="K3177" s="997"/>
      <c r="L3177" s="998"/>
      <c r="M3177" s="1005" t="str">
        <f>IF(F3170=0,"",F3170)</f>
        <v>Serna</v>
      </c>
      <c r="N3177" s="1006"/>
      <c r="O3177" s="1007"/>
      <c r="P3177" s="1005" t="str">
        <f>IF(F3171=0,"",F3171)</f>
        <v/>
      </c>
      <c r="Q3177" s="1006"/>
      <c r="R3177" s="1007"/>
      <c r="S3177" s="1005" t="str">
        <f>IF(F3172=0,"",F3172)</f>
        <v/>
      </c>
      <c r="T3177" s="1006"/>
      <c r="U3177" s="1007"/>
      <c r="V3177" s="1005" t="str">
        <f>IF(F3173=0,"",F3173)</f>
        <v/>
      </c>
      <c r="W3177" s="1006"/>
      <c r="X3177" s="1007"/>
      <c r="Y3177" s="1005" t="str">
        <f>IF(F3174=0,"",F3174)</f>
        <v/>
      </c>
      <c r="Z3177" s="1006"/>
      <c r="AA3177" s="1007"/>
      <c r="AB3177" s="1005" t="str">
        <f>IF(F3175=0,"",F3175)</f>
        <v/>
      </c>
      <c r="AC3177" s="1006"/>
      <c r="AD3177" s="1007"/>
      <c r="AE3177" s="1023" t="s">
        <v>1577</v>
      </c>
      <c r="AF3177" s="1024"/>
      <c r="AG3177" s="1025"/>
      <c r="AH3177" s="518"/>
      <c r="AJ3177" s="595"/>
    </row>
    <row r="3178" spans="1:36" hidden="1" x14ac:dyDescent="0.45">
      <c r="A3178" s="518"/>
      <c r="B3178" s="999"/>
      <c r="C3178" s="1000"/>
      <c r="D3178" s="1000"/>
      <c r="E3178" s="1000"/>
      <c r="F3178" s="1000"/>
      <c r="G3178" s="1000"/>
      <c r="H3178" s="1000"/>
      <c r="I3178" s="1000"/>
      <c r="J3178" s="1000"/>
      <c r="K3178" s="1000"/>
      <c r="L3178" s="1001"/>
      <c r="M3178" s="1008"/>
      <c r="N3178" s="1009"/>
      <c r="O3178" s="1010"/>
      <c r="P3178" s="1008"/>
      <c r="Q3178" s="1009"/>
      <c r="R3178" s="1010"/>
      <c r="S3178" s="1008"/>
      <c r="T3178" s="1009"/>
      <c r="U3178" s="1010"/>
      <c r="V3178" s="1008"/>
      <c r="W3178" s="1009"/>
      <c r="X3178" s="1010"/>
      <c r="Y3178" s="1008"/>
      <c r="Z3178" s="1009"/>
      <c r="AA3178" s="1010"/>
      <c r="AB3178" s="1008"/>
      <c r="AC3178" s="1009"/>
      <c r="AD3178" s="1010"/>
      <c r="AE3178" s="1026"/>
      <c r="AF3178" s="1027"/>
      <c r="AG3178" s="1028"/>
      <c r="AH3178" s="518"/>
      <c r="AJ3178" s="595"/>
    </row>
    <row r="3179" spans="1:36" hidden="1" x14ac:dyDescent="0.45">
      <c r="A3179" s="518"/>
      <c r="B3179" s="1002"/>
      <c r="C3179" s="1003"/>
      <c r="D3179" s="1003"/>
      <c r="E3179" s="1003"/>
      <c r="F3179" s="1003"/>
      <c r="G3179" s="1003"/>
      <c r="H3179" s="1003"/>
      <c r="I3179" s="1003"/>
      <c r="J3179" s="1003"/>
      <c r="K3179" s="1003"/>
      <c r="L3179" s="1004"/>
      <c r="M3179" s="1011"/>
      <c r="N3179" s="1012"/>
      <c r="O3179" s="1013"/>
      <c r="P3179" s="1011"/>
      <c r="Q3179" s="1012"/>
      <c r="R3179" s="1013"/>
      <c r="S3179" s="1011"/>
      <c r="T3179" s="1012"/>
      <c r="U3179" s="1013"/>
      <c r="V3179" s="1011"/>
      <c r="W3179" s="1012"/>
      <c r="X3179" s="1013"/>
      <c r="Y3179" s="1011"/>
      <c r="Z3179" s="1012"/>
      <c r="AA3179" s="1013"/>
      <c r="AB3179" s="1011"/>
      <c r="AC3179" s="1012"/>
      <c r="AD3179" s="1013"/>
      <c r="AE3179" s="1029"/>
      <c r="AF3179" s="1030"/>
      <c r="AG3179" s="1031"/>
      <c r="AH3179" s="518"/>
      <c r="AJ3179" s="595"/>
    </row>
    <row r="3180" spans="1:36" hidden="1" x14ac:dyDescent="0.45">
      <c r="A3180" s="518"/>
      <c r="B3180" s="944" t="s">
        <v>1563</v>
      </c>
      <c r="C3180" s="944"/>
      <c r="D3180" s="944"/>
      <c r="E3180" s="944"/>
      <c r="F3180" s="944"/>
      <c r="G3180" s="944"/>
      <c r="H3180" s="944"/>
      <c r="I3180" s="944"/>
      <c r="J3180" s="944"/>
      <c r="K3180" s="944"/>
      <c r="L3180" s="944"/>
      <c r="M3180" s="945"/>
      <c r="N3180" s="946"/>
      <c r="O3180" s="947"/>
      <c r="P3180" s="945"/>
      <c r="Q3180" s="946"/>
      <c r="R3180" s="947"/>
      <c r="S3180" s="945"/>
      <c r="T3180" s="946"/>
      <c r="U3180" s="947"/>
      <c r="V3180" s="945"/>
      <c r="W3180" s="946"/>
      <c r="X3180" s="947"/>
      <c r="Y3180" s="945"/>
      <c r="Z3180" s="946"/>
      <c r="AA3180" s="947"/>
      <c r="AB3180" s="945"/>
      <c r="AC3180" s="946"/>
      <c r="AD3180" s="947"/>
      <c r="AE3180" s="960">
        <f>SUM(M3180:AD3180)</f>
        <v>0</v>
      </c>
      <c r="AF3180" s="961"/>
      <c r="AG3180" s="962"/>
      <c r="AJ3180" s="595"/>
    </row>
    <row r="3181" spans="1:36" hidden="1" x14ac:dyDescent="0.45">
      <c r="A3181" s="518"/>
      <c r="B3181" s="944" t="s">
        <v>1564</v>
      </c>
      <c r="C3181" s="944"/>
      <c r="D3181" s="944"/>
      <c r="E3181" s="944"/>
      <c r="F3181" s="944"/>
      <c r="G3181" s="944"/>
      <c r="H3181" s="944"/>
      <c r="I3181" s="944"/>
      <c r="J3181" s="944"/>
      <c r="K3181" s="944"/>
      <c r="L3181" s="944"/>
      <c r="M3181" s="945"/>
      <c r="N3181" s="946"/>
      <c r="O3181" s="947"/>
      <c r="P3181" s="945"/>
      <c r="Q3181" s="946"/>
      <c r="R3181" s="947"/>
      <c r="S3181" s="945"/>
      <c r="T3181" s="946"/>
      <c r="U3181" s="947"/>
      <c r="V3181" s="945"/>
      <c r="W3181" s="946"/>
      <c r="X3181" s="947"/>
      <c r="Y3181" s="945"/>
      <c r="Z3181" s="946"/>
      <c r="AA3181" s="947"/>
      <c r="AB3181" s="945"/>
      <c r="AC3181" s="946"/>
      <c r="AD3181" s="947"/>
      <c r="AE3181" s="960">
        <f t="shared" ref="AE3181:AE3197" si="56">SUM(M3181:AD3181)</f>
        <v>0</v>
      </c>
      <c r="AF3181" s="961"/>
      <c r="AG3181" s="962"/>
      <c r="AH3181" s="518"/>
      <c r="AJ3181" s="595"/>
    </row>
    <row r="3182" spans="1:36" hidden="1" x14ac:dyDescent="0.45">
      <c r="A3182" s="518"/>
      <c r="B3182" s="944" t="s">
        <v>1565</v>
      </c>
      <c r="C3182" s="944"/>
      <c r="D3182" s="944"/>
      <c r="E3182" s="944"/>
      <c r="F3182" s="944"/>
      <c r="G3182" s="944"/>
      <c r="H3182" s="944"/>
      <c r="I3182" s="944"/>
      <c r="J3182" s="944"/>
      <c r="K3182" s="944"/>
      <c r="L3182" s="944"/>
      <c r="M3182" s="945"/>
      <c r="N3182" s="946"/>
      <c r="O3182" s="947"/>
      <c r="P3182" s="945"/>
      <c r="Q3182" s="946"/>
      <c r="R3182" s="947"/>
      <c r="S3182" s="945"/>
      <c r="T3182" s="946"/>
      <c r="U3182" s="947"/>
      <c r="V3182" s="945"/>
      <c r="W3182" s="946"/>
      <c r="X3182" s="947"/>
      <c r="Y3182" s="945"/>
      <c r="Z3182" s="946"/>
      <c r="AA3182" s="947"/>
      <c r="AB3182" s="945"/>
      <c r="AC3182" s="946"/>
      <c r="AD3182" s="947"/>
      <c r="AE3182" s="960">
        <f t="shared" si="56"/>
        <v>0</v>
      </c>
      <c r="AF3182" s="961"/>
      <c r="AG3182" s="962"/>
      <c r="AH3182" s="518"/>
      <c r="AJ3182" s="595"/>
    </row>
    <row r="3183" spans="1:36" hidden="1" x14ac:dyDescent="0.45">
      <c r="A3183" s="518"/>
      <c r="B3183" s="944" t="s">
        <v>1566</v>
      </c>
      <c r="C3183" s="944"/>
      <c r="D3183" s="944"/>
      <c r="E3183" s="944"/>
      <c r="F3183" s="944"/>
      <c r="G3183" s="944"/>
      <c r="H3183" s="944"/>
      <c r="I3183" s="944"/>
      <c r="J3183" s="944"/>
      <c r="K3183" s="944"/>
      <c r="L3183" s="944"/>
      <c r="M3183" s="945"/>
      <c r="N3183" s="946"/>
      <c r="O3183" s="947"/>
      <c r="P3183" s="945"/>
      <c r="Q3183" s="946"/>
      <c r="R3183" s="947"/>
      <c r="S3183" s="945"/>
      <c r="T3183" s="946"/>
      <c r="U3183" s="947"/>
      <c r="V3183" s="945"/>
      <c r="W3183" s="946"/>
      <c r="X3183" s="947"/>
      <c r="Y3183" s="945"/>
      <c r="Z3183" s="946"/>
      <c r="AA3183" s="947"/>
      <c r="AB3183" s="945"/>
      <c r="AC3183" s="946"/>
      <c r="AD3183" s="947"/>
      <c r="AE3183" s="960">
        <f t="shared" si="56"/>
        <v>0</v>
      </c>
      <c r="AF3183" s="961"/>
      <c r="AG3183" s="962"/>
      <c r="AH3183" s="518"/>
      <c r="AJ3183" s="595"/>
    </row>
    <row r="3184" spans="1:36" hidden="1" x14ac:dyDescent="0.45">
      <c r="A3184" s="518"/>
      <c r="B3184" s="944" t="s">
        <v>1567</v>
      </c>
      <c r="C3184" s="944"/>
      <c r="D3184" s="944"/>
      <c r="E3184" s="944"/>
      <c r="F3184" s="944"/>
      <c r="G3184" s="944"/>
      <c r="H3184" s="944"/>
      <c r="I3184" s="944"/>
      <c r="J3184" s="944"/>
      <c r="K3184" s="944"/>
      <c r="L3184" s="944"/>
      <c r="M3184" s="945"/>
      <c r="N3184" s="946"/>
      <c r="O3184" s="947"/>
      <c r="P3184" s="945"/>
      <c r="Q3184" s="946"/>
      <c r="R3184" s="947"/>
      <c r="S3184" s="945"/>
      <c r="T3184" s="946"/>
      <c r="U3184" s="947"/>
      <c r="V3184" s="945"/>
      <c r="W3184" s="946"/>
      <c r="X3184" s="947"/>
      <c r="Y3184" s="945"/>
      <c r="Z3184" s="946"/>
      <c r="AA3184" s="947"/>
      <c r="AB3184" s="945"/>
      <c r="AC3184" s="946"/>
      <c r="AD3184" s="947"/>
      <c r="AE3184" s="960">
        <f t="shared" si="56"/>
        <v>0</v>
      </c>
      <c r="AF3184" s="961"/>
      <c r="AG3184" s="962"/>
      <c r="AH3184" s="518"/>
      <c r="AJ3184" s="595"/>
    </row>
    <row r="3185" spans="1:36" hidden="1" x14ac:dyDescent="0.45">
      <c r="A3185" s="518"/>
      <c r="B3185" s="944" t="s">
        <v>1568</v>
      </c>
      <c r="C3185" s="944"/>
      <c r="D3185" s="944"/>
      <c r="E3185" s="944"/>
      <c r="F3185" s="944"/>
      <c r="G3185" s="944"/>
      <c r="H3185" s="944"/>
      <c r="I3185" s="944"/>
      <c r="J3185" s="944"/>
      <c r="K3185" s="944"/>
      <c r="L3185" s="944"/>
      <c r="M3185" s="945"/>
      <c r="N3185" s="946"/>
      <c r="O3185" s="947"/>
      <c r="P3185" s="945"/>
      <c r="Q3185" s="946"/>
      <c r="R3185" s="947"/>
      <c r="S3185" s="945"/>
      <c r="T3185" s="946"/>
      <c r="U3185" s="947"/>
      <c r="V3185" s="945"/>
      <c r="W3185" s="946"/>
      <c r="X3185" s="947"/>
      <c r="Y3185" s="945"/>
      <c r="Z3185" s="946"/>
      <c r="AA3185" s="947"/>
      <c r="AB3185" s="945"/>
      <c r="AC3185" s="946"/>
      <c r="AD3185" s="947"/>
      <c r="AE3185" s="960">
        <f t="shared" si="56"/>
        <v>0</v>
      </c>
      <c r="AF3185" s="961"/>
      <c r="AG3185" s="962"/>
      <c r="AH3185" s="518"/>
      <c r="AJ3185" s="595"/>
    </row>
    <row r="3186" spans="1:36" hidden="1" x14ac:dyDescent="0.45">
      <c r="A3186" s="518"/>
      <c r="B3186" s="944" t="s">
        <v>1569</v>
      </c>
      <c r="C3186" s="944"/>
      <c r="D3186" s="944"/>
      <c r="E3186" s="944"/>
      <c r="F3186" s="944"/>
      <c r="G3186" s="944"/>
      <c r="H3186" s="944"/>
      <c r="I3186" s="944"/>
      <c r="J3186" s="944"/>
      <c r="K3186" s="944"/>
      <c r="L3186" s="944"/>
      <c r="M3186" s="945"/>
      <c r="N3186" s="946"/>
      <c r="O3186" s="947"/>
      <c r="P3186" s="945"/>
      <c r="Q3186" s="946"/>
      <c r="R3186" s="947"/>
      <c r="S3186" s="945"/>
      <c r="T3186" s="946"/>
      <c r="U3186" s="947"/>
      <c r="V3186" s="945"/>
      <c r="W3186" s="946"/>
      <c r="X3186" s="947"/>
      <c r="Y3186" s="945"/>
      <c r="Z3186" s="946"/>
      <c r="AA3186" s="947"/>
      <c r="AB3186" s="945"/>
      <c r="AC3186" s="946"/>
      <c r="AD3186" s="947"/>
      <c r="AE3186" s="960">
        <f>SUM(M3186:AD3186)</f>
        <v>0</v>
      </c>
      <c r="AF3186" s="961"/>
      <c r="AG3186" s="962"/>
      <c r="AH3186" s="518"/>
      <c r="AJ3186" s="595"/>
    </row>
    <row r="3187" spans="1:36" hidden="1" x14ac:dyDescent="0.45">
      <c r="A3187" s="518"/>
      <c r="B3187" s="944" t="s">
        <v>1570</v>
      </c>
      <c r="C3187" s="944"/>
      <c r="D3187" s="944"/>
      <c r="E3187" s="944"/>
      <c r="F3187" s="944"/>
      <c r="G3187" s="944"/>
      <c r="H3187" s="944"/>
      <c r="I3187" s="944"/>
      <c r="J3187" s="944"/>
      <c r="K3187" s="944"/>
      <c r="L3187" s="944"/>
      <c r="M3187" s="945"/>
      <c r="N3187" s="946"/>
      <c r="O3187" s="947"/>
      <c r="P3187" s="945"/>
      <c r="Q3187" s="946"/>
      <c r="R3187" s="947"/>
      <c r="S3187" s="945"/>
      <c r="T3187" s="946"/>
      <c r="U3187" s="947"/>
      <c r="V3187" s="945"/>
      <c r="W3187" s="946"/>
      <c r="X3187" s="947"/>
      <c r="Y3187" s="945"/>
      <c r="Z3187" s="946"/>
      <c r="AA3187" s="947"/>
      <c r="AB3187" s="945"/>
      <c r="AC3187" s="946"/>
      <c r="AD3187" s="947"/>
      <c r="AE3187" s="960">
        <f t="shared" si="56"/>
        <v>0</v>
      </c>
      <c r="AF3187" s="961"/>
      <c r="AG3187" s="962"/>
      <c r="AH3187" s="518"/>
      <c r="AJ3187" s="595"/>
    </row>
    <row r="3188" spans="1:36" hidden="1" x14ac:dyDescent="0.45">
      <c r="A3188" s="518"/>
      <c r="B3188" s="944" t="s">
        <v>1571</v>
      </c>
      <c r="C3188" s="944"/>
      <c r="D3188" s="944"/>
      <c r="E3188" s="944"/>
      <c r="F3188" s="944"/>
      <c r="G3188" s="944"/>
      <c r="H3188" s="944"/>
      <c r="I3188" s="944"/>
      <c r="J3188" s="944"/>
      <c r="K3188" s="944"/>
      <c r="L3188" s="944"/>
      <c r="M3188" s="945"/>
      <c r="N3188" s="946"/>
      <c r="O3188" s="947"/>
      <c r="P3188" s="945"/>
      <c r="Q3188" s="946"/>
      <c r="R3188" s="947"/>
      <c r="S3188" s="945"/>
      <c r="T3188" s="946"/>
      <c r="U3188" s="947"/>
      <c r="V3188" s="945"/>
      <c r="W3188" s="946"/>
      <c r="X3188" s="947"/>
      <c r="Y3188" s="945"/>
      <c r="Z3188" s="946"/>
      <c r="AA3188" s="947"/>
      <c r="AB3188" s="945"/>
      <c r="AC3188" s="946"/>
      <c r="AD3188" s="947"/>
      <c r="AE3188" s="960">
        <f t="shared" si="56"/>
        <v>0</v>
      </c>
      <c r="AF3188" s="961"/>
      <c r="AG3188" s="962"/>
      <c r="AH3188" s="518"/>
      <c r="AJ3188" s="595"/>
    </row>
    <row r="3189" spans="1:36" hidden="1" x14ac:dyDescent="0.45">
      <c r="A3189" s="518"/>
      <c r="B3189" s="944" t="s">
        <v>1572</v>
      </c>
      <c r="C3189" s="944"/>
      <c r="D3189" s="944"/>
      <c r="E3189" s="944"/>
      <c r="F3189" s="944"/>
      <c r="G3189" s="944"/>
      <c r="H3189" s="944"/>
      <c r="I3189" s="944"/>
      <c r="J3189" s="944"/>
      <c r="K3189" s="944"/>
      <c r="L3189" s="944"/>
      <c r="M3189" s="945"/>
      <c r="N3189" s="946"/>
      <c r="O3189" s="947"/>
      <c r="P3189" s="945"/>
      <c r="Q3189" s="946"/>
      <c r="R3189" s="947"/>
      <c r="S3189" s="945"/>
      <c r="T3189" s="946"/>
      <c r="U3189" s="947"/>
      <c r="V3189" s="945"/>
      <c r="W3189" s="946"/>
      <c r="X3189" s="947"/>
      <c r="Y3189" s="945"/>
      <c r="Z3189" s="946"/>
      <c r="AA3189" s="947"/>
      <c r="AB3189" s="945"/>
      <c r="AC3189" s="946"/>
      <c r="AD3189" s="947"/>
      <c r="AE3189" s="960">
        <f t="shared" si="56"/>
        <v>0</v>
      </c>
      <c r="AF3189" s="961"/>
      <c r="AG3189" s="962"/>
      <c r="AH3189" s="518"/>
      <c r="AJ3189" s="595"/>
    </row>
    <row r="3190" spans="1:36" hidden="1" x14ac:dyDescent="0.45">
      <c r="A3190" s="518"/>
      <c r="B3190" s="944" t="s">
        <v>1573</v>
      </c>
      <c r="C3190" s="944"/>
      <c r="D3190" s="944"/>
      <c r="E3190" s="944"/>
      <c r="F3190" s="944"/>
      <c r="G3190" s="944"/>
      <c r="H3190" s="944"/>
      <c r="I3190" s="944"/>
      <c r="J3190" s="944"/>
      <c r="K3190" s="944"/>
      <c r="L3190" s="944"/>
      <c r="M3190" s="945"/>
      <c r="N3190" s="946"/>
      <c r="O3190" s="947"/>
      <c r="P3190" s="945"/>
      <c r="Q3190" s="946"/>
      <c r="R3190" s="947"/>
      <c r="S3190" s="945"/>
      <c r="T3190" s="946"/>
      <c r="U3190" s="947"/>
      <c r="V3190" s="945"/>
      <c r="W3190" s="946"/>
      <c r="X3190" s="947"/>
      <c r="Y3190" s="945"/>
      <c r="Z3190" s="946"/>
      <c r="AA3190" s="947"/>
      <c r="AB3190" s="945"/>
      <c r="AC3190" s="946"/>
      <c r="AD3190" s="947"/>
      <c r="AE3190" s="960">
        <f t="shared" si="56"/>
        <v>0</v>
      </c>
      <c r="AF3190" s="961"/>
      <c r="AG3190" s="962"/>
      <c r="AH3190" s="518"/>
      <c r="AJ3190" s="595"/>
    </row>
    <row r="3191" spans="1:36" hidden="1" x14ac:dyDescent="0.45">
      <c r="A3191" s="518"/>
      <c r="B3191" s="944" t="s">
        <v>1574</v>
      </c>
      <c r="C3191" s="944"/>
      <c r="D3191" s="944"/>
      <c r="E3191" s="944"/>
      <c r="F3191" s="944"/>
      <c r="G3191" s="944"/>
      <c r="H3191" s="944"/>
      <c r="I3191" s="944"/>
      <c r="J3191" s="944"/>
      <c r="K3191" s="944"/>
      <c r="L3191" s="944"/>
      <c r="M3191" s="945"/>
      <c r="N3191" s="946"/>
      <c r="O3191" s="947"/>
      <c r="P3191" s="945"/>
      <c r="Q3191" s="946"/>
      <c r="R3191" s="947"/>
      <c r="S3191" s="945"/>
      <c r="T3191" s="946"/>
      <c r="U3191" s="947"/>
      <c r="V3191" s="945"/>
      <c r="W3191" s="946"/>
      <c r="X3191" s="947"/>
      <c r="Y3191" s="945"/>
      <c r="Z3191" s="946"/>
      <c r="AA3191" s="947"/>
      <c r="AB3191" s="945"/>
      <c r="AC3191" s="946"/>
      <c r="AD3191" s="947"/>
      <c r="AE3191" s="960">
        <f t="shared" si="56"/>
        <v>0</v>
      </c>
      <c r="AF3191" s="961"/>
      <c r="AG3191" s="962"/>
      <c r="AH3191" s="518"/>
      <c r="AJ3191" s="595"/>
    </row>
    <row r="3192" spans="1:36" hidden="1" x14ac:dyDescent="0.45">
      <c r="A3192" s="518"/>
      <c r="B3192" s="944" t="s">
        <v>1576</v>
      </c>
      <c r="C3192" s="944"/>
      <c r="D3192" s="944"/>
      <c r="E3192" s="944"/>
      <c r="F3192" s="944"/>
      <c r="G3192" s="944"/>
      <c r="H3192" s="944"/>
      <c r="I3192" s="944"/>
      <c r="J3192" s="944"/>
      <c r="K3192" s="944"/>
      <c r="L3192" s="944"/>
      <c r="M3192" s="945"/>
      <c r="N3192" s="946"/>
      <c r="O3192" s="947"/>
      <c r="P3192" s="945"/>
      <c r="Q3192" s="946"/>
      <c r="R3192" s="947"/>
      <c r="S3192" s="945"/>
      <c r="T3192" s="946"/>
      <c r="U3192" s="947"/>
      <c r="V3192" s="945"/>
      <c r="W3192" s="946"/>
      <c r="X3192" s="947"/>
      <c r="Y3192" s="945"/>
      <c r="Z3192" s="946"/>
      <c r="AA3192" s="947"/>
      <c r="AB3192" s="945"/>
      <c r="AC3192" s="946"/>
      <c r="AD3192" s="947"/>
      <c r="AE3192" s="960">
        <f t="shared" si="56"/>
        <v>0</v>
      </c>
      <c r="AF3192" s="961"/>
      <c r="AG3192" s="962"/>
      <c r="AH3192" s="518"/>
      <c r="AJ3192" s="595"/>
    </row>
    <row r="3193" spans="1:36" hidden="1" x14ac:dyDescent="0.45">
      <c r="A3193" s="518"/>
      <c r="B3193" s="944" t="s">
        <v>1844</v>
      </c>
      <c r="C3193" s="944"/>
      <c r="D3193" s="944"/>
      <c r="E3193" s="944"/>
      <c r="F3193" s="944"/>
      <c r="G3193" s="944"/>
      <c r="H3193" s="944"/>
      <c r="I3193" s="944"/>
      <c r="J3193" s="944"/>
      <c r="K3193" s="944"/>
      <c r="L3193" s="944"/>
      <c r="M3193" s="945"/>
      <c r="N3193" s="946"/>
      <c r="O3193" s="947"/>
      <c r="P3193" s="945"/>
      <c r="Q3193" s="946"/>
      <c r="R3193" s="947"/>
      <c r="S3193" s="945"/>
      <c r="T3193" s="946"/>
      <c r="U3193" s="947"/>
      <c r="V3193" s="945"/>
      <c r="W3193" s="946"/>
      <c r="X3193" s="947"/>
      <c r="Y3193" s="945"/>
      <c r="Z3193" s="946"/>
      <c r="AA3193" s="947"/>
      <c r="AB3193" s="945"/>
      <c r="AC3193" s="946"/>
      <c r="AD3193" s="947"/>
      <c r="AE3193" s="960">
        <f t="shared" si="56"/>
        <v>0</v>
      </c>
      <c r="AF3193" s="961"/>
      <c r="AG3193" s="962"/>
      <c r="AH3193" s="518"/>
      <c r="AJ3193" s="595"/>
    </row>
    <row r="3194" spans="1:36" hidden="1" x14ac:dyDescent="0.45">
      <c r="A3194" s="518"/>
      <c r="B3194" s="948"/>
      <c r="C3194" s="948"/>
      <c r="D3194" s="948"/>
      <c r="E3194" s="948"/>
      <c r="F3194" s="948"/>
      <c r="G3194" s="948"/>
      <c r="H3194" s="948"/>
      <c r="I3194" s="948"/>
      <c r="J3194" s="948"/>
      <c r="K3194" s="948"/>
      <c r="L3194" s="948"/>
      <c r="M3194" s="945"/>
      <c r="N3194" s="946"/>
      <c r="O3194" s="947"/>
      <c r="P3194" s="945"/>
      <c r="Q3194" s="946"/>
      <c r="R3194" s="947"/>
      <c r="S3194" s="945"/>
      <c r="T3194" s="946"/>
      <c r="U3194" s="947"/>
      <c r="V3194" s="945"/>
      <c r="W3194" s="946"/>
      <c r="X3194" s="947"/>
      <c r="Y3194" s="945"/>
      <c r="Z3194" s="946"/>
      <c r="AA3194" s="947"/>
      <c r="AB3194" s="945"/>
      <c r="AC3194" s="946"/>
      <c r="AD3194" s="947"/>
      <c r="AE3194" s="960">
        <f t="shared" si="56"/>
        <v>0</v>
      </c>
      <c r="AF3194" s="961"/>
      <c r="AG3194" s="962"/>
      <c r="AH3194" s="518"/>
      <c r="AJ3194" s="595"/>
    </row>
    <row r="3195" spans="1:36" hidden="1" x14ac:dyDescent="0.45">
      <c r="A3195" s="518"/>
      <c r="B3195" s="948"/>
      <c r="C3195" s="948"/>
      <c r="D3195" s="948"/>
      <c r="E3195" s="948"/>
      <c r="F3195" s="948"/>
      <c r="G3195" s="948"/>
      <c r="H3195" s="948"/>
      <c r="I3195" s="948"/>
      <c r="J3195" s="948"/>
      <c r="K3195" s="948"/>
      <c r="L3195" s="948"/>
      <c r="M3195" s="945"/>
      <c r="N3195" s="946"/>
      <c r="O3195" s="947"/>
      <c r="P3195" s="945"/>
      <c r="Q3195" s="946"/>
      <c r="R3195" s="947"/>
      <c r="S3195" s="945"/>
      <c r="T3195" s="946"/>
      <c r="U3195" s="947"/>
      <c r="V3195" s="945"/>
      <c r="W3195" s="946"/>
      <c r="X3195" s="947"/>
      <c r="Y3195" s="945"/>
      <c r="Z3195" s="946"/>
      <c r="AA3195" s="947"/>
      <c r="AB3195" s="945"/>
      <c r="AC3195" s="946"/>
      <c r="AD3195" s="947"/>
      <c r="AE3195" s="960">
        <f t="shared" si="56"/>
        <v>0</v>
      </c>
      <c r="AF3195" s="961"/>
      <c r="AG3195" s="962"/>
      <c r="AH3195" s="518"/>
      <c r="AJ3195" s="595"/>
    </row>
    <row r="3196" spans="1:36" hidden="1" x14ac:dyDescent="0.45">
      <c r="A3196" s="518"/>
      <c r="B3196" s="948"/>
      <c r="C3196" s="948"/>
      <c r="D3196" s="948"/>
      <c r="E3196" s="948"/>
      <c r="F3196" s="948"/>
      <c r="G3196" s="948"/>
      <c r="H3196" s="948"/>
      <c r="I3196" s="948"/>
      <c r="J3196" s="948"/>
      <c r="K3196" s="948"/>
      <c r="L3196" s="948"/>
      <c r="M3196" s="945"/>
      <c r="N3196" s="946"/>
      <c r="O3196" s="947"/>
      <c r="P3196" s="945"/>
      <c r="Q3196" s="946"/>
      <c r="R3196" s="947"/>
      <c r="S3196" s="945"/>
      <c r="T3196" s="946"/>
      <c r="U3196" s="947"/>
      <c r="V3196" s="945"/>
      <c r="W3196" s="946"/>
      <c r="X3196" s="947"/>
      <c r="Y3196" s="945"/>
      <c r="Z3196" s="946"/>
      <c r="AA3196" s="947"/>
      <c r="AB3196" s="945"/>
      <c r="AC3196" s="946"/>
      <c r="AD3196" s="947"/>
      <c r="AE3196" s="960">
        <f t="shared" si="56"/>
        <v>0</v>
      </c>
      <c r="AF3196" s="961"/>
      <c r="AG3196" s="962"/>
      <c r="AH3196" s="518"/>
      <c r="AJ3196" s="595"/>
    </row>
    <row r="3197" spans="1:36" hidden="1" x14ac:dyDescent="0.45">
      <c r="A3197" s="518"/>
      <c r="B3197" s="989" t="s">
        <v>1577</v>
      </c>
      <c r="C3197" s="989"/>
      <c r="D3197" s="989"/>
      <c r="E3197" s="989"/>
      <c r="F3197" s="989"/>
      <c r="G3197" s="989"/>
      <c r="H3197" s="989"/>
      <c r="I3197" s="989"/>
      <c r="J3197" s="989"/>
      <c r="K3197" s="989"/>
      <c r="L3197" s="989"/>
      <c r="M3197" s="960">
        <f>SUM(M3180:O3196)</f>
        <v>0</v>
      </c>
      <c r="N3197" s="961"/>
      <c r="O3197" s="962"/>
      <c r="P3197" s="960">
        <f>SUM(P3180:R3196)</f>
        <v>0</v>
      </c>
      <c r="Q3197" s="961"/>
      <c r="R3197" s="962"/>
      <c r="S3197" s="960">
        <f>SUM(S3180:U3196)</f>
        <v>0</v>
      </c>
      <c r="T3197" s="961"/>
      <c r="U3197" s="962"/>
      <c r="V3197" s="960">
        <f>SUM(V3180:X3196)</f>
        <v>0</v>
      </c>
      <c r="W3197" s="961"/>
      <c r="X3197" s="962"/>
      <c r="Y3197" s="960">
        <f>SUM(Y3180:AA3196)</f>
        <v>0</v>
      </c>
      <c r="Z3197" s="961"/>
      <c r="AA3197" s="962"/>
      <c r="AB3197" s="960">
        <f>SUM(AB3180:AD3196)</f>
        <v>0</v>
      </c>
      <c r="AC3197" s="961"/>
      <c r="AD3197" s="962"/>
      <c r="AE3197" s="960">
        <f t="shared" si="56"/>
        <v>0</v>
      </c>
      <c r="AF3197" s="961"/>
      <c r="AG3197" s="962"/>
      <c r="AH3197" s="518"/>
      <c r="AJ3197" s="595"/>
    </row>
    <row r="3198" spans="1:36" hidden="1" x14ac:dyDescent="0.45">
      <c r="A3198" s="518"/>
      <c r="B3198" s="550"/>
      <c r="C3198" s="550"/>
      <c r="D3198" s="550"/>
      <c r="E3198" s="550"/>
      <c r="F3198" s="550"/>
      <c r="G3198" s="550"/>
      <c r="H3198" s="550"/>
      <c r="I3198" s="550"/>
      <c r="J3198" s="550"/>
      <c r="K3198" s="550"/>
      <c r="L3198" s="550"/>
      <c r="M3198" s="551"/>
      <c r="N3198" s="551"/>
      <c r="O3198" s="551"/>
      <c r="P3198" s="551"/>
      <c r="Q3198" s="551"/>
      <c r="R3198" s="551"/>
      <c r="S3198" s="551"/>
      <c r="T3198" s="551"/>
      <c r="U3198" s="551"/>
      <c r="V3198" s="551"/>
      <c r="W3198" s="551"/>
      <c r="X3198" s="551"/>
      <c r="Y3198" s="551"/>
      <c r="Z3198" s="551"/>
      <c r="AA3198" s="551"/>
      <c r="AB3198" s="551"/>
      <c r="AC3198" s="551"/>
      <c r="AD3198" s="551"/>
      <c r="AE3198" s="551"/>
      <c r="AF3198" s="551"/>
      <c r="AG3198" s="551"/>
      <c r="AH3198" s="518"/>
      <c r="AJ3198" s="595"/>
    </row>
    <row r="3199" spans="1:36" hidden="1" x14ac:dyDescent="0.45">
      <c r="A3199" s="518"/>
      <c r="B3199" s="518"/>
      <c r="C3199" s="518"/>
      <c r="D3199" s="518"/>
      <c r="E3199" s="518"/>
      <c r="F3199" s="518"/>
      <c r="G3199" s="518"/>
      <c r="H3199" s="518"/>
      <c r="I3199" s="518"/>
      <c r="J3199" s="518"/>
      <c r="K3199" s="518"/>
      <c r="L3199" s="518"/>
      <c r="M3199" s="518"/>
      <c r="N3199" s="518"/>
      <c r="O3199" s="518"/>
      <c r="P3199" s="518"/>
      <c r="Q3199" s="518"/>
      <c r="R3199" s="518"/>
      <c r="S3199" s="518"/>
      <c r="T3199" s="518"/>
      <c r="U3199" s="518"/>
      <c r="V3199" s="518"/>
      <c r="W3199" s="518"/>
      <c r="X3199" s="518"/>
      <c r="Y3199" s="518"/>
      <c r="Z3199" s="518"/>
      <c r="AA3199" s="518"/>
      <c r="AB3199" s="518"/>
      <c r="AC3199" s="518"/>
      <c r="AD3199" s="518"/>
      <c r="AE3199" s="518"/>
      <c r="AF3199" s="518"/>
      <c r="AG3199" s="518"/>
      <c r="AH3199" s="518"/>
      <c r="AJ3199" s="595"/>
    </row>
    <row r="3200" spans="1:36" hidden="1" x14ac:dyDescent="0.45">
      <c r="A3200" s="518"/>
      <c r="B3200" s="907" t="s">
        <v>25</v>
      </c>
      <c r="C3200" s="907"/>
      <c r="D3200" s="907"/>
      <c r="E3200" s="907"/>
      <c r="F3200" s="907"/>
      <c r="G3200" s="907"/>
      <c r="H3200" s="907"/>
      <c r="I3200" s="907"/>
      <c r="J3200" s="907"/>
      <c r="K3200" s="907"/>
      <c r="L3200" s="907"/>
      <c r="M3200" s="907"/>
      <c r="N3200" s="907"/>
      <c r="O3200" s="907"/>
      <c r="P3200" s="907"/>
      <c r="Q3200" s="907"/>
      <c r="R3200" s="907"/>
      <c r="S3200" s="907"/>
      <c r="T3200" s="907"/>
      <c r="U3200" s="907"/>
      <c r="V3200" s="907"/>
      <c r="W3200" s="907"/>
      <c r="X3200" s="907"/>
      <c r="Y3200" s="907"/>
      <c r="Z3200" s="907"/>
      <c r="AA3200" s="907"/>
      <c r="AB3200" s="907"/>
      <c r="AC3200" s="907"/>
      <c r="AD3200" s="907"/>
      <c r="AE3200" s="907"/>
      <c r="AF3200" s="907"/>
      <c r="AG3200" s="907"/>
      <c r="AH3200" s="518"/>
      <c r="AJ3200" s="595"/>
    </row>
    <row r="3201" spans="1:36" hidden="1" x14ac:dyDescent="0.45">
      <c r="A3201" s="518"/>
      <c r="B3201" s="907" t="str">
        <f>B3164</f>
        <v>Serna Homeownership Project Development Loan</v>
      </c>
      <c r="C3201" s="907"/>
      <c r="D3201" s="907"/>
      <c r="E3201" s="907"/>
      <c r="F3201" s="907"/>
      <c r="G3201" s="907"/>
      <c r="H3201" s="907"/>
      <c r="I3201" s="907"/>
      <c r="J3201" s="907"/>
      <c r="K3201" s="907"/>
      <c r="L3201" s="907"/>
      <c r="M3201" s="907"/>
      <c r="N3201" s="907"/>
      <c r="O3201" s="907"/>
      <c r="P3201" s="907"/>
      <c r="Q3201" s="907"/>
      <c r="R3201" s="907"/>
      <c r="S3201" s="907"/>
      <c r="T3201" s="907"/>
      <c r="U3201" s="907"/>
      <c r="V3201" s="907"/>
      <c r="W3201" s="907"/>
      <c r="X3201" s="907"/>
      <c r="Y3201" s="907"/>
      <c r="Z3201" s="907"/>
      <c r="AA3201" s="907"/>
      <c r="AB3201" s="907"/>
      <c r="AC3201" s="907"/>
      <c r="AD3201" s="907"/>
      <c r="AE3201" s="907"/>
      <c r="AF3201" s="907"/>
      <c r="AG3201" s="907"/>
      <c r="AH3201" s="518"/>
      <c r="AJ3201" s="595"/>
    </row>
    <row r="3202" spans="1:36" hidden="1" x14ac:dyDescent="0.45">
      <c r="A3202" s="518"/>
      <c r="B3202" s="531"/>
      <c r="C3202" s="531"/>
      <c r="D3202" s="531"/>
      <c r="E3202" s="531"/>
      <c r="F3202" s="531"/>
      <c r="G3202" s="531"/>
      <c r="H3202" s="531"/>
      <c r="I3202" s="531"/>
      <c r="J3202" s="531"/>
      <c r="K3202" s="531"/>
      <c r="L3202" s="531"/>
      <c r="M3202" s="531"/>
      <c r="N3202" s="531"/>
      <c r="O3202" s="531"/>
      <c r="P3202" s="531"/>
      <c r="Q3202" s="531"/>
      <c r="R3202" s="531"/>
      <c r="S3202" s="531"/>
      <c r="T3202" s="531"/>
      <c r="U3202" s="531"/>
      <c r="V3202" s="531"/>
      <c r="W3202" s="531"/>
      <c r="X3202" s="531"/>
      <c r="Y3202" s="531"/>
      <c r="Z3202" s="531"/>
      <c r="AA3202" s="531"/>
      <c r="AB3202" s="531"/>
      <c r="AC3202" s="531"/>
      <c r="AD3202" s="522"/>
      <c r="AE3202" s="522"/>
      <c r="AF3202" s="522"/>
      <c r="AG3202" s="522"/>
      <c r="AH3202" s="518"/>
      <c r="AJ3202" s="595"/>
    </row>
    <row r="3203" spans="1:36" hidden="1" x14ac:dyDescent="0.45">
      <c r="A3203" s="518"/>
      <c r="B3203" s="907" t="s">
        <v>1579</v>
      </c>
      <c r="C3203" s="907"/>
      <c r="D3203" s="907"/>
      <c r="E3203" s="907"/>
      <c r="F3203" s="907"/>
      <c r="G3203" s="907"/>
      <c r="H3203" s="907"/>
      <c r="I3203" s="907"/>
      <c r="J3203" s="907"/>
      <c r="K3203" s="907"/>
      <c r="L3203" s="907"/>
      <c r="M3203" s="907"/>
      <c r="N3203" s="907"/>
      <c r="O3203" s="907"/>
      <c r="P3203" s="907"/>
      <c r="Q3203" s="907"/>
      <c r="R3203" s="907"/>
      <c r="S3203" s="907"/>
      <c r="T3203" s="907"/>
      <c r="U3203" s="907"/>
      <c r="V3203" s="907"/>
      <c r="W3203" s="907"/>
      <c r="X3203" s="907"/>
      <c r="Y3203" s="907"/>
      <c r="Z3203" s="907"/>
      <c r="AA3203" s="907"/>
      <c r="AB3203" s="907"/>
      <c r="AC3203" s="907"/>
      <c r="AD3203" s="907"/>
      <c r="AE3203" s="907"/>
      <c r="AF3203" s="907"/>
      <c r="AG3203" s="907"/>
      <c r="AH3203" s="518"/>
      <c r="AJ3203" s="595"/>
    </row>
    <row r="3204" spans="1:36" hidden="1" x14ac:dyDescent="0.45">
      <c r="A3204" s="518"/>
      <c r="B3204" s="517"/>
      <c r="C3204" s="517"/>
      <c r="D3204" s="517"/>
      <c r="E3204" s="517"/>
      <c r="F3204" s="517"/>
      <c r="G3204" s="517"/>
      <c r="H3204" s="517"/>
      <c r="I3204" s="517"/>
      <c r="J3204" s="517"/>
      <c r="K3204" s="517"/>
      <c r="L3204" s="517"/>
      <c r="M3204" s="517"/>
      <c r="N3204" s="517"/>
      <c r="O3204" s="517"/>
      <c r="P3204" s="517"/>
      <c r="Q3204" s="517"/>
      <c r="R3204" s="517"/>
      <c r="S3204" s="517"/>
      <c r="T3204" s="517"/>
      <c r="U3204" s="517"/>
      <c r="V3204" s="517"/>
      <c r="W3204" s="517"/>
      <c r="X3204" s="517"/>
      <c r="Y3204" s="517"/>
      <c r="Z3204" s="517"/>
      <c r="AA3204" s="517"/>
      <c r="AB3204" s="517"/>
      <c r="AC3204" s="517"/>
      <c r="AD3204" s="517"/>
      <c r="AE3204" s="517"/>
      <c r="AF3204" s="517"/>
      <c r="AG3204" s="517"/>
      <c r="AH3204" s="518"/>
      <c r="AJ3204" s="595"/>
    </row>
    <row r="3205" spans="1:36" ht="16" hidden="1" customHeight="1" x14ac:dyDescent="0.45">
      <c r="A3205" s="518"/>
      <c r="B3205" s="1343" t="s">
        <v>1841</v>
      </c>
      <c r="C3205" s="1343" t="s">
        <v>1556</v>
      </c>
      <c r="D3205" s="1023" t="s">
        <v>1561</v>
      </c>
      <c r="E3205" s="1024"/>
      <c r="F3205" s="1024"/>
      <c r="G3205" s="1024"/>
      <c r="H3205" s="1024"/>
      <c r="I3205" s="1024"/>
      <c r="J3205" s="1024"/>
      <c r="K3205" s="1025"/>
      <c r="L3205" s="996" t="s">
        <v>1560</v>
      </c>
      <c r="M3205" s="997"/>
      <c r="N3205" s="997"/>
      <c r="O3205" s="998"/>
      <c r="P3205" s="1023" t="s">
        <v>1559</v>
      </c>
      <c r="Q3205" s="998"/>
      <c r="R3205" s="1014" t="s">
        <v>1596</v>
      </c>
      <c r="S3205" s="1015"/>
      <c r="T3205" s="1015"/>
      <c r="U3205" s="1015"/>
      <c r="V3205" s="1015"/>
      <c r="W3205" s="1016"/>
      <c r="X3205" s="1014" t="s">
        <v>1597</v>
      </c>
      <c r="Y3205" s="1015"/>
      <c r="Z3205" s="1015"/>
      <c r="AA3205" s="1015"/>
      <c r="AB3205" s="1016"/>
      <c r="AC3205" s="1014" t="s">
        <v>1842</v>
      </c>
      <c r="AD3205" s="1016"/>
      <c r="AE3205" s="1014" t="s">
        <v>1843</v>
      </c>
      <c r="AF3205" s="1015"/>
      <c r="AG3205" s="1016"/>
      <c r="AH3205" s="518"/>
      <c r="AJ3205" s="595"/>
    </row>
    <row r="3206" spans="1:36" hidden="1" x14ac:dyDescent="0.45">
      <c r="A3206" s="518"/>
      <c r="B3206" s="1344"/>
      <c r="C3206" s="1344"/>
      <c r="D3206" s="1029"/>
      <c r="E3206" s="1030"/>
      <c r="F3206" s="1030"/>
      <c r="G3206" s="1030"/>
      <c r="H3206" s="1030"/>
      <c r="I3206" s="1030"/>
      <c r="J3206" s="1030"/>
      <c r="K3206" s="1031"/>
      <c r="L3206" s="1002"/>
      <c r="M3206" s="1003"/>
      <c r="N3206" s="1003"/>
      <c r="O3206" s="1004"/>
      <c r="P3206" s="1002"/>
      <c r="Q3206" s="1004"/>
      <c r="R3206" s="1020"/>
      <c r="S3206" s="1021"/>
      <c r="T3206" s="1021"/>
      <c r="U3206" s="1021"/>
      <c r="V3206" s="1021"/>
      <c r="W3206" s="1022"/>
      <c r="X3206" s="1020"/>
      <c r="Y3206" s="1021"/>
      <c r="Z3206" s="1021"/>
      <c r="AA3206" s="1021"/>
      <c r="AB3206" s="1022"/>
      <c r="AC3206" s="1020"/>
      <c r="AD3206" s="1022"/>
      <c r="AE3206" s="1020"/>
      <c r="AF3206" s="1021"/>
      <c r="AG3206" s="1022"/>
      <c r="AH3206" s="518"/>
      <c r="AJ3206" s="595"/>
    </row>
    <row r="3207" spans="1:36" hidden="1" x14ac:dyDescent="0.45">
      <c r="A3207" s="552"/>
      <c r="B3207" s="593"/>
      <c r="C3207" s="593"/>
      <c r="D3207" s="1063" t="s">
        <v>1717</v>
      </c>
      <c r="E3207" s="1064"/>
      <c r="F3207" s="1064"/>
      <c r="G3207" s="1064"/>
      <c r="H3207" s="1064"/>
      <c r="I3207" s="1064"/>
      <c r="J3207" s="1064"/>
      <c r="K3207" s="1065"/>
      <c r="L3207" s="952"/>
      <c r="M3207" s="953"/>
      <c r="N3207" s="953"/>
      <c r="O3207" s="954"/>
      <c r="P3207" s="955"/>
      <c r="Q3207" s="956"/>
      <c r="R3207" s="957"/>
      <c r="S3207" s="958"/>
      <c r="T3207" s="958"/>
      <c r="U3207" s="958"/>
      <c r="V3207" s="958"/>
      <c r="W3207" s="959"/>
      <c r="X3207" s="990"/>
      <c r="Y3207" s="991"/>
      <c r="Z3207" s="991"/>
      <c r="AA3207" s="991"/>
      <c r="AB3207" s="992"/>
      <c r="AC3207" s="990"/>
      <c r="AD3207" s="992"/>
      <c r="AE3207" s="993"/>
      <c r="AF3207" s="994"/>
      <c r="AG3207" s="995"/>
      <c r="AH3207" s="518"/>
      <c r="AJ3207" s="595"/>
    </row>
    <row r="3208" spans="1:36" hidden="1" x14ac:dyDescent="0.45">
      <c r="A3208" s="552"/>
      <c r="B3208" s="593"/>
      <c r="C3208" s="593"/>
      <c r="D3208" s="949"/>
      <c r="E3208" s="950"/>
      <c r="F3208" s="950"/>
      <c r="G3208" s="950"/>
      <c r="H3208" s="950"/>
      <c r="I3208" s="950"/>
      <c r="J3208" s="950"/>
      <c r="K3208" s="951"/>
      <c r="L3208" s="952"/>
      <c r="M3208" s="953"/>
      <c r="N3208" s="953"/>
      <c r="O3208" s="954"/>
      <c r="P3208" s="955"/>
      <c r="Q3208" s="956"/>
      <c r="R3208" s="957"/>
      <c r="S3208" s="958"/>
      <c r="T3208" s="958"/>
      <c r="U3208" s="958"/>
      <c r="V3208" s="958"/>
      <c r="W3208" s="959"/>
      <c r="X3208" s="990"/>
      <c r="Y3208" s="991"/>
      <c r="Z3208" s="991"/>
      <c r="AA3208" s="991"/>
      <c r="AB3208" s="992"/>
      <c r="AC3208" s="990"/>
      <c r="AD3208" s="992"/>
      <c r="AE3208" s="993"/>
      <c r="AF3208" s="994"/>
      <c r="AG3208" s="995"/>
      <c r="AH3208" s="518"/>
      <c r="AJ3208" s="595"/>
    </row>
    <row r="3209" spans="1:36" hidden="1" x14ac:dyDescent="0.45">
      <c r="A3209" s="552"/>
      <c r="B3209" s="593"/>
      <c r="C3209" s="593"/>
      <c r="D3209" s="949"/>
      <c r="E3209" s="950"/>
      <c r="F3209" s="950"/>
      <c r="G3209" s="950"/>
      <c r="H3209" s="950"/>
      <c r="I3209" s="950"/>
      <c r="J3209" s="950"/>
      <c r="K3209" s="951"/>
      <c r="L3209" s="952"/>
      <c r="M3209" s="953"/>
      <c r="N3209" s="953"/>
      <c r="O3209" s="954"/>
      <c r="P3209" s="955"/>
      <c r="Q3209" s="956"/>
      <c r="R3209" s="957"/>
      <c r="S3209" s="958"/>
      <c r="T3209" s="958"/>
      <c r="U3209" s="958"/>
      <c r="V3209" s="958"/>
      <c r="W3209" s="959"/>
      <c r="X3209" s="990"/>
      <c r="Y3209" s="991"/>
      <c r="Z3209" s="991"/>
      <c r="AA3209" s="991"/>
      <c r="AB3209" s="992"/>
      <c r="AC3209" s="990"/>
      <c r="AD3209" s="992"/>
      <c r="AE3209" s="993"/>
      <c r="AF3209" s="994"/>
      <c r="AG3209" s="995"/>
      <c r="AH3209" s="518"/>
      <c r="AJ3209" s="595"/>
    </row>
    <row r="3210" spans="1:36" hidden="1" x14ac:dyDescent="0.45">
      <c r="A3210" s="552"/>
      <c r="B3210" s="593"/>
      <c r="C3210" s="593"/>
      <c r="D3210" s="949"/>
      <c r="E3210" s="950"/>
      <c r="F3210" s="950"/>
      <c r="G3210" s="950"/>
      <c r="H3210" s="950"/>
      <c r="I3210" s="950"/>
      <c r="J3210" s="950"/>
      <c r="K3210" s="951"/>
      <c r="L3210" s="952"/>
      <c r="M3210" s="953"/>
      <c r="N3210" s="953"/>
      <c r="O3210" s="954"/>
      <c r="P3210" s="955"/>
      <c r="Q3210" s="956"/>
      <c r="R3210" s="957"/>
      <c r="S3210" s="958"/>
      <c r="T3210" s="958"/>
      <c r="U3210" s="958"/>
      <c r="V3210" s="958"/>
      <c r="W3210" s="959"/>
      <c r="X3210" s="990"/>
      <c r="Y3210" s="991"/>
      <c r="Z3210" s="991"/>
      <c r="AA3210" s="991"/>
      <c r="AB3210" s="992"/>
      <c r="AC3210" s="990"/>
      <c r="AD3210" s="992"/>
      <c r="AE3210" s="993"/>
      <c r="AF3210" s="994"/>
      <c r="AG3210" s="995"/>
      <c r="AH3210" s="518"/>
      <c r="AJ3210" s="595"/>
    </row>
    <row r="3211" spans="1:36" hidden="1" x14ac:dyDescent="0.45">
      <c r="A3211" s="552"/>
      <c r="B3211" s="593"/>
      <c r="C3211" s="593"/>
      <c r="D3211" s="949"/>
      <c r="E3211" s="950"/>
      <c r="F3211" s="950"/>
      <c r="G3211" s="950"/>
      <c r="H3211" s="950"/>
      <c r="I3211" s="950"/>
      <c r="J3211" s="950"/>
      <c r="K3211" s="951"/>
      <c r="L3211" s="952"/>
      <c r="M3211" s="953"/>
      <c r="N3211" s="953"/>
      <c r="O3211" s="954"/>
      <c r="P3211" s="955"/>
      <c r="Q3211" s="956"/>
      <c r="R3211" s="957"/>
      <c r="S3211" s="958"/>
      <c r="T3211" s="958"/>
      <c r="U3211" s="958"/>
      <c r="V3211" s="958"/>
      <c r="W3211" s="959"/>
      <c r="X3211" s="990"/>
      <c r="Y3211" s="991"/>
      <c r="Z3211" s="991"/>
      <c r="AA3211" s="991"/>
      <c r="AB3211" s="992"/>
      <c r="AC3211" s="990"/>
      <c r="AD3211" s="992"/>
      <c r="AE3211" s="993"/>
      <c r="AF3211" s="994"/>
      <c r="AG3211" s="995"/>
      <c r="AH3211" s="518"/>
      <c r="AJ3211" s="595"/>
    </row>
    <row r="3212" spans="1:36" hidden="1" x14ac:dyDescent="0.45">
      <c r="A3212" s="552"/>
      <c r="B3212" s="593"/>
      <c r="C3212" s="593"/>
      <c r="D3212" s="949"/>
      <c r="E3212" s="950"/>
      <c r="F3212" s="950"/>
      <c r="G3212" s="950"/>
      <c r="H3212" s="950"/>
      <c r="I3212" s="950"/>
      <c r="J3212" s="950"/>
      <c r="K3212" s="951"/>
      <c r="L3212" s="952"/>
      <c r="M3212" s="953"/>
      <c r="N3212" s="953"/>
      <c r="O3212" s="954"/>
      <c r="P3212" s="955"/>
      <c r="Q3212" s="956"/>
      <c r="R3212" s="957"/>
      <c r="S3212" s="958"/>
      <c r="T3212" s="958"/>
      <c r="U3212" s="958"/>
      <c r="V3212" s="958"/>
      <c r="W3212" s="959"/>
      <c r="X3212" s="990"/>
      <c r="Y3212" s="991"/>
      <c r="Z3212" s="991"/>
      <c r="AA3212" s="991"/>
      <c r="AB3212" s="992"/>
      <c r="AC3212" s="990"/>
      <c r="AD3212" s="992"/>
      <c r="AE3212" s="993"/>
      <c r="AF3212" s="994"/>
      <c r="AG3212" s="995"/>
      <c r="AJ3212" s="595"/>
    </row>
    <row r="3213" spans="1:36" hidden="1" x14ac:dyDescent="0.45">
      <c r="A3213" s="532"/>
      <c r="B3213" s="553"/>
      <c r="C3213" s="553"/>
      <c r="D3213" s="553"/>
      <c r="E3213" s="553"/>
      <c r="F3213" s="553"/>
      <c r="G3213" s="553"/>
      <c r="H3213" s="553"/>
      <c r="I3213" s="553"/>
      <c r="J3213" s="553"/>
      <c r="K3213" s="553"/>
      <c r="L3213" s="553"/>
      <c r="M3213" s="553"/>
      <c r="N3213" s="553"/>
      <c r="O3213" s="553"/>
      <c r="P3213" s="553"/>
      <c r="Q3213" s="553"/>
      <c r="R3213" s="553"/>
      <c r="S3213" s="553"/>
      <c r="T3213" s="553"/>
      <c r="U3213" s="553"/>
      <c r="V3213" s="553"/>
      <c r="W3213" s="553"/>
      <c r="X3213" s="553"/>
      <c r="Y3213" s="553"/>
      <c r="Z3213" s="553"/>
      <c r="AA3213" s="553"/>
      <c r="AB3213" s="553"/>
      <c r="AC3213" s="553"/>
      <c r="AD3213" s="553"/>
      <c r="AE3213" s="553"/>
      <c r="AF3213" s="553"/>
      <c r="AG3213" s="553"/>
      <c r="AJ3213" s="595"/>
    </row>
    <row r="3214" spans="1:36" ht="16" hidden="1" customHeight="1" x14ac:dyDescent="0.45">
      <c r="A3214" s="518"/>
      <c r="B3214" s="996" t="s">
        <v>1562</v>
      </c>
      <c r="C3214" s="997"/>
      <c r="D3214" s="997"/>
      <c r="E3214" s="997"/>
      <c r="F3214" s="997"/>
      <c r="G3214" s="997"/>
      <c r="H3214" s="997"/>
      <c r="I3214" s="997"/>
      <c r="J3214" s="997"/>
      <c r="K3214" s="997"/>
      <c r="L3214" s="998"/>
      <c r="M3214" s="1005" t="str">
        <f>IF(D3207=0,"",D3207)</f>
        <v>Serna</v>
      </c>
      <c r="N3214" s="1006"/>
      <c r="O3214" s="1007"/>
      <c r="P3214" s="1005" t="str">
        <f>IF(D3208=0,"",D3208)</f>
        <v/>
      </c>
      <c r="Q3214" s="1006"/>
      <c r="R3214" s="1007"/>
      <c r="S3214" s="1005" t="str">
        <f>IF(D3209=0,"",D3209)</f>
        <v/>
      </c>
      <c r="T3214" s="1006"/>
      <c r="U3214" s="1007"/>
      <c r="V3214" s="1005" t="str">
        <f>IF(D3210=0,"",D3210)</f>
        <v/>
      </c>
      <c r="W3214" s="1006"/>
      <c r="X3214" s="1007"/>
      <c r="Y3214" s="1005" t="str">
        <f>IF(D3211=0,"",D3211)</f>
        <v/>
      </c>
      <c r="Z3214" s="1006"/>
      <c r="AA3214" s="1007"/>
      <c r="AB3214" s="1005" t="str">
        <f>IF(D3212=0,"",D3212)</f>
        <v/>
      </c>
      <c r="AC3214" s="1006"/>
      <c r="AD3214" s="1007"/>
      <c r="AE3214" s="1014" t="s">
        <v>1577</v>
      </c>
      <c r="AF3214" s="1015"/>
      <c r="AG3214" s="1016"/>
      <c r="AH3214" s="518"/>
      <c r="AJ3214" s="595"/>
    </row>
    <row r="3215" spans="1:36" hidden="1" x14ac:dyDescent="0.45">
      <c r="A3215" s="518"/>
      <c r="B3215" s="999"/>
      <c r="C3215" s="1000"/>
      <c r="D3215" s="1000"/>
      <c r="E3215" s="1000"/>
      <c r="F3215" s="1000"/>
      <c r="G3215" s="1000"/>
      <c r="H3215" s="1000"/>
      <c r="I3215" s="1000"/>
      <c r="J3215" s="1000"/>
      <c r="K3215" s="1000"/>
      <c r="L3215" s="1001"/>
      <c r="M3215" s="1008"/>
      <c r="N3215" s="1009"/>
      <c r="O3215" s="1010"/>
      <c r="P3215" s="1008"/>
      <c r="Q3215" s="1009"/>
      <c r="R3215" s="1010"/>
      <c r="S3215" s="1008"/>
      <c r="T3215" s="1009"/>
      <c r="U3215" s="1010"/>
      <c r="V3215" s="1008"/>
      <c r="W3215" s="1009"/>
      <c r="X3215" s="1010"/>
      <c r="Y3215" s="1008"/>
      <c r="Z3215" s="1009"/>
      <c r="AA3215" s="1010"/>
      <c r="AB3215" s="1008"/>
      <c r="AC3215" s="1009"/>
      <c r="AD3215" s="1010"/>
      <c r="AE3215" s="1017"/>
      <c r="AF3215" s="1018"/>
      <c r="AG3215" s="1019"/>
      <c r="AH3215" s="518"/>
      <c r="AJ3215" s="595"/>
    </row>
    <row r="3216" spans="1:36" hidden="1" x14ac:dyDescent="0.45">
      <c r="A3216" s="518"/>
      <c r="B3216" s="1002"/>
      <c r="C3216" s="1003"/>
      <c r="D3216" s="1003"/>
      <c r="E3216" s="1003"/>
      <c r="F3216" s="1003"/>
      <c r="G3216" s="1003"/>
      <c r="H3216" s="1003"/>
      <c r="I3216" s="1003"/>
      <c r="J3216" s="1003"/>
      <c r="K3216" s="1003"/>
      <c r="L3216" s="1004"/>
      <c r="M3216" s="1011"/>
      <c r="N3216" s="1012"/>
      <c r="O3216" s="1013"/>
      <c r="P3216" s="1011"/>
      <c r="Q3216" s="1012"/>
      <c r="R3216" s="1013"/>
      <c r="S3216" s="1011"/>
      <c r="T3216" s="1012"/>
      <c r="U3216" s="1013"/>
      <c r="V3216" s="1011"/>
      <c r="W3216" s="1012"/>
      <c r="X3216" s="1013"/>
      <c r="Y3216" s="1011"/>
      <c r="Z3216" s="1012"/>
      <c r="AA3216" s="1013"/>
      <c r="AB3216" s="1011"/>
      <c r="AC3216" s="1012"/>
      <c r="AD3216" s="1013"/>
      <c r="AE3216" s="1020"/>
      <c r="AF3216" s="1021"/>
      <c r="AG3216" s="1022"/>
      <c r="AH3216" s="518"/>
      <c r="AJ3216" s="595"/>
    </row>
    <row r="3217" spans="1:36" hidden="1" x14ac:dyDescent="0.45">
      <c r="A3217" s="518"/>
      <c r="B3217" s="944" t="s">
        <v>1563</v>
      </c>
      <c r="C3217" s="944"/>
      <c r="D3217" s="944"/>
      <c r="E3217" s="944"/>
      <c r="F3217" s="944"/>
      <c r="G3217" s="944"/>
      <c r="H3217" s="944"/>
      <c r="I3217" s="944"/>
      <c r="J3217" s="944"/>
      <c r="K3217" s="944"/>
      <c r="L3217" s="944"/>
      <c r="M3217" s="945"/>
      <c r="N3217" s="946"/>
      <c r="O3217" s="947"/>
      <c r="P3217" s="945"/>
      <c r="Q3217" s="946"/>
      <c r="R3217" s="947"/>
      <c r="S3217" s="945"/>
      <c r="T3217" s="946"/>
      <c r="U3217" s="947"/>
      <c r="V3217" s="945"/>
      <c r="W3217" s="946"/>
      <c r="X3217" s="947"/>
      <c r="Y3217" s="945"/>
      <c r="Z3217" s="946"/>
      <c r="AA3217" s="947"/>
      <c r="AB3217" s="945"/>
      <c r="AC3217" s="946"/>
      <c r="AD3217" s="947"/>
      <c r="AE3217" s="960">
        <f>SUM(M3217:AD3217)</f>
        <v>0</v>
      </c>
      <c r="AF3217" s="961"/>
      <c r="AG3217" s="962"/>
      <c r="AJ3217" s="595"/>
    </row>
    <row r="3218" spans="1:36" hidden="1" x14ac:dyDescent="0.45">
      <c r="A3218" s="518"/>
      <c r="B3218" s="944" t="s">
        <v>1564</v>
      </c>
      <c r="C3218" s="944"/>
      <c r="D3218" s="944"/>
      <c r="E3218" s="944"/>
      <c r="F3218" s="944"/>
      <c r="G3218" s="944"/>
      <c r="H3218" s="944"/>
      <c r="I3218" s="944"/>
      <c r="J3218" s="944"/>
      <c r="K3218" s="944"/>
      <c r="L3218" s="944"/>
      <c r="M3218" s="945"/>
      <c r="N3218" s="946"/>
      <c r="O3218" s="947"/>
      <c r="P3218" s="945"/>
      <c r="Q3218" s="946"/>
      <c r="R3218" s="947"/>
      <c r="S3218" s="945"/>
      <c r="T3218" s="946"/>
      <c r="U3218" s="947"/>
      <c r="V3218" s="945"/>
      <c r="W3218" s="946"/>
      <c r="X3218" s="947"/>
      <c r="Y3218" s="945"/>
      <c r="Z3218" s="946"/>
      <c r="AA3218" s="947"/>
      <c r="AB3218" s="945"/>
      <c r="AC3218" s="946"/>
      <c r="AD3218" s="947"/>
      <c r="AE3218" s="960">
        <f t="shared" ref="AE3218:AE3234" si="57">SUM(M3218:AD3218)</f>
        <v>0</v>
      </c>
      <c r="AF3218" s="961"/>
      <c r="AG3218" s="962"/>
      <c r="AH3218" s="518"/>
      <c r="AJ3218" s="595"/>
    </row>
    <row r="3219" spans="1:36" hidden="1" x14ac:dyDescent="0.45">
      <c r="A3219" s="518"/>
      <c r="B3219" s="944" t="s">
        <v>1565</v>
      </c>
      <c r="C3219" s="944"/>
      <c r="D3219" s="944"/>
      <c r="E3219" s="944"/>
      <c r="F3219" s="944"/>
      <c r="G3219" s="944"/>
      <c r="H3219" s="944"/>
      <c r="I3219" s="944"/>
      <c r="J3219" s="944"/>
      <c r="K3219" s="944"/>
      <c r="L3219" s="944"/>
      <c r="M3219" s="945"/>
      <c r="N3219" s="946"/>
      <c r="O3219" s="947"/>
      <c r="P3219" s="945"/>
      <c r="Q3219" s="946"/>
      <c r="R3219" s="947"/>
      <c r="S3219" s="945"/>
      <c r="T3219" s="946"/>
      <c r="U3219" s="947"/>
      <c r="V3219" s="945"/>
      <c r="W3219" s="946"/>
      <c r="X3219" s="947"/>
      <c r="Y3219" s="945"/>
      <c r="Z3219" s="946"/>
      <c r="AA3219" s="947"/>
      <c r="AB3219" s="945"/>
      <c r="AC3219" s="946"/>
      <c r="AD3219" s="947"/>
      <c r="AE3219" s="960">
        <f t="shared" si="57"/>
        <v>0</v>
      </c>
      <c r="AF3219" s="961"/>
      <c r="AG3219" s="962"/>
      <c r="AH3219" s="518"/>
      <c r="AJ3219" s="595"/>
    </row>
    <row r="3220" spans="1:36" hidden="1" x14ac:dyDescent="0.45">
      <c r="A3220" s="518"/>
      <c r="B3220" s="944" t="s">
        <v>1566</v>
      </c>
      <c r="C3220" s="944"/>
      <c r="D3220" s="944"/>
      <c r="E3220" s="944"/>
      <c r="F3220" s="944"/>
      <c r="G3220" s="944"/>
      <c r="H3220" s="944"/>
      <c r="I3220" s="944"/>
      <c r="J3220" s="944"/>
      <c r="K3220" s="944"/>
      <c r="L3220" s="944"/>
      <c r="M3220" s="945"/>
      <c r="N3220" s="946"/>
      <c r="O3220" s="947"/>
      <c r="P3220" s="945"/>
      <c r="Q3220" s="946"/>
      <c r="R3220" s="947"/>
      <c r="S3220" s="945"/>
      <c r="T3220" s="946"/>
      <c r="U3220" s="947"/>
      <c r="V3220" s="945"/>
      <c r="W3220" s="946"/>
      <c r="X3220" s="947"/>
      <c r="Y3220" s="945"/>
      <c r="Z3220" s="946"/>
      <c r="AA3220" s="947"/>
      <c r="AB3220" s="945"/>
      <c r="AC3220" s="946"/>
      <c r="AD3220" s="947"/>
      <c r="AE3220" s="960">
        <f t="shared" si="57"/>
        <v>0</v>
      </c>
      <c r="AF3220" s="961"/>
      <c r="AG3220" s="962"/>
      <c r="AH3220" s="518"/>
      <c r="AJ3220" s="595"/>
    </row>
    <row r="3221" spans="1:36" hidden="1" x14ac:dyDescent="0.45">
      <c r="A3221" s="518"/>
      <c r="B3221" s="944" t="s">
        <v>1567</v>
      </c>
      <c r="C3221" s="944"/>
      <c r="D3221" s="944"/>
      <c r="E3221" s="944"/>
      <c r="F3221" s="944"/>
      <c r="G3221" s="944"/>
      <c r="H3221" s="944"/>
      <c r="I3221" s="944"/>
      <c r="J3221" s="944"/>
      <c r="K3221" s="944"/>
      <c r="L3221" s="944"/>
      <c r="M3221" s="945"/>
      <c r="N3221" s="946"/>
      <c r="O3221" s="947"/>
      <c r="P3221" s="945"/>
      <c r="Q3221" s="946"/>
      <c r="R3221" s="947"/>
      <c r="S3221" s="945"/>
      <c r="T3221" s="946"/>
      <c r="U3221" s="947"/>
      <c r="V3221" s="945"/>
      <c r="W3221" s="946"/>
      <c r="X3221" s="947"/>
      <c r="Y3221" s="945"/>
      <c r="Z3221" s="946"/>
      <c r="AA3221" s="947"/>
      <c r="AB3221" s="945"/>
      <c r="AC3221" s="946"/>
      <c r="AD3221" s="947"/>
      <c r="AE3221" s="960">
        <f t="shared" si="57"/>
        <v>0</v>
      </c>
      <c r="AF3221" s="961"/>
      <c r="AG3221" s="962"/>
      <c r="AH3221" s="518"/>
      <c r="AJ3221" s="595"/>
    </row>
    <row r="3222" spans="1:36" hidden="1" x14ac:dyDescent="0.45">
      <c r="A3222" s="518"/>
      <c r="B3222" s="944" t="s">
        <v>1568</v>
      </c>
      <c r="C3222" s="944"/>
      <c r="D3222" s="944"/>
      <c r="E3222" s="944"/>
      <c r="F3222" s="944"/>
      <c r="G3222" s="944"/>
      <c r="H3222" s="944"/>
      <c r="I3222" s="944"/>
      <c r="J3222" s="944"/>
      <c r="K3222" s="944"/>
      <c r="L3222" s="944"/>
      <c r="M3222" s="945"/>
      <c r="N3222" s="946"/>
      <c r="O3222" s="947"/>
      <c r="P3222" s="945"/>
      <c r="Q3222" s="946"/>
      <c r="R3222" s="947"/>
      <c r="S3222" s="945"/>
      <c r="T3222" s="946"/>
      <c r="U3222" s="947"/>
      <c r="V3222" s="945"/>
      <c r="W3222" s="946"/>
      <c r="X3222" s="947"/>
      <c r="Y3222" s="945"/>
      <c r="Z3222" s="946"/>
      <c r="AA3222" s="947"/>
      <c r="AB3222" s="945"/>
      <c r="AC3222" s="946"/>
      <c r="AD3222" s="947"/>
      <c r="AE3222" s="960">
        <f t="shared" si="57"/>
        <v>0</v>
      </c>
      <c r="AF3222" s="961"/>
      <c r="AG3222" s="962"/>
      <c r="AH3222" s="518"/>
      <c r="AJ3222" s="595"/>
    </row>
    <row r="3223" spans="1:36" hidden="1" x14ac:dyDescent="0.45">
      <c r="A3223" s="518"/>
      <c r="B3223" s="944" t="s">
        <v>1569</v>
      </c>
      <c r="C3223" s="944"/>
      <c r="D3223" s="944"/>
      <c r="E3223" s="944"/>
      <c r="F3223" s="944"/>
      <c r="G3223" s="944"/>
      <c r="H3223" s="944"/>
      <c r="I3223" s="944"/>
      <c r="J3223" s="944"/>
      <c r="K3223" s="944"/>
      <c r="L3223" s="944"/>
      <c r="M3223" s="945"/>
      <c r="N3223" s="946"/>
      <c r="O3223" s="947"/>
      <c r="P3223" s="945"/>
      <c r="Q3223" s="946"/>
      <c r="R3223" s="947"/>
      <c r="S3223" s="945"/>
      <c r="T3223" s="946"/>
      <c r="U3223" s="947"/>
      <c r="V3223" s="945"/>
      <c r="W3223" s="946"/>
      <c r="X3223" s="947"/>
      <c r="Y3223" s="945"/>
      <c r="Z3223" s="946"/>
      <c r="AA3223" s="947"/>
      <c r="AB3223" s="945"/>
      <c r="AC3223" s="946"/>
      <c r="AD3223" s="947"/>
      <c r="AE3223" s="960">
        <f t="shared" si="57"/>
        <v>0</v>
      </c>
      <c r="AF3223" s="961"/>
      <c r="AG3223" s="962"/>
      <c r="AH3223" s="518"/>
      <c r="AJ3223" s="595"/>
    </row>
    <row r="3224" spans="1:36" hidden="1" x14ac:dyDescent="0.45">
      <c r="A3224" s="518"/>
      <c r="B3224" s="944" t="s">
        <v>1570</v>
      </c>
      <c r="C3224" s="944"/>
      <c r="D3224" s="944"/>
      <c r="E3224" s="944"/>
      <c r="F3224" s="944"/>
      <c r="G3224" s="944"/>
      <c r="H3224" s="944"/>
      <c r="I3224" s="944"/>
      <c r="J3224" s="944"/>
      <c r="K3224" s="944"/>
      <c r="L3224" s="944"/>
      <c r="M3224" s="945"/>
      <c r="N3224" s="946"/>
      <c r="O3224" s="947"/>
      <c r="P3224" s="945"/>
      <c r="Q3224" s="946"/>
      <c r="R3224" s="947"/>
      <c r="S3224" s="945"/>
      <c r="T3224" s="946"/>
      <c r="U3224" s="947"/>
      <c r="V3224" s="945"/>
      <c r="W3224" s="946"/>
      <c r="X3224" s="947"/>
      <c r="Y3224" s="945"/>
      <c r="Z3224" s="946"/>
      <c r="AA3224" s="947"/>
      <c r="AB3224" s="945"/>
      <c r="AC3224" s="946"/>
      <c r="AD3224" s="947"/>
      <c r="AE3224" s="960">
        <f t="shared" si="57"/>
        <v>0</v>
      </c>
      <c r="AF3224" s="961"/>
      <c r="AG3224" s="962"/>
      <c r="AH3224" s="518"/>
      <c r="AJ3224" s="595"/>
    </row>
    <row r="3225" spans="1:36" hidden="1" x14ac:dyDescent="0.45">
      <c r="A3225" s="518"/>
      <c r="B3225" s="944" t="s">
        <v>1571</v>
      </c>
      <c r="C3225" s="944"/>
      <c r="D3225" s="944"/>
      <c r="E3225" s="944"/>
      <c r="F3225" s="944"/>
      <c r="G3225" s="944"/>
      <c r="H3225" s="944"/>
      <c r="I3225" s="944"/>
      <c r="J3225" s="944"/>
      <c r="K3225" s="944"/>
      <c r="L3225" s="944"/>
      <c r="M3225" s="945"/>
      <c r="N3225" s="946"/>
      <c r="O3225" s="947"/>
      <c r="P3225" s="945"/>
      <c r="Q3225" s="946"/>
      <c r="R3225" s="947"/>
      <c r="S3225" s="945"/>
      <c r="T3225" s="946"/>
      <c r="U3225" s="947"/>
      <c r="V3225" s="945"/>
      <c r="W3225" s="946"/>
      <c r="X3225" s="947"/>
      <c r="Y3225" s="945"/>
      <c r="Z3225" s="946"/>
      <c r="AA3225" s="947"/>
      <c r="AB3225" s="945"/>
      <c r="AC3225" s="946"/>
      <c r="AD3225" s="947"/>
      <c r="AE3225" s="960">
        <f t="shared" si="57"/>
        <v>0</v>
      </c>
      <c r="AF3225" s="961"/>
      <c r="AG3225" s="962"/>
      <c r="AH3225" s="518"/>
      <c r="AJ3225" s="595"/>
    </row>
    <row r="3226" spans="1:36" hidden="1" x14ac:dyDescent="0.45">
      <c r="A3226" s="518"/>
      <c r="B3226" s="944" t="s">
        <v>1572</v>
      </c>
      <c r="C3226" s="944"/>
      <c r="D3226" s="944"/>
      <c r="E3226" s="944"/>
      <c r="F3226" s="944"/>
      <c r="G3226" s="944"/>
      <c r="H3226" s="944"/>
      <c r="I3226" s="944"/>
      <c r="J3226" s="944"/>
      <c r="K3226" s="944"/>
      <c r="L3226" s="944"/>
      <c r="M3226" s="945"/>
      <c r="N3226" s="946"/>
      <c r="O3226" s="947"/>
      <c r="P3226" s="945"/>
      <c r="Q3226" s="946"/>
      <c r="R3226" s="947"/>
      <c r="S3226" s="945"/>
      <c r="T3226" s="946"/>
      <c r="U3226" s="947"/>
      <c r="V3226" s="945"/>
      <c r="W3226" s="946"/>
      <c r="X3226" s="947"/>
      <c r="Y3226" s="945"/>
      <c r="Z3226" s="946"/>
      <c r="AA3226" s="947"/>
      <c r="AB3226" s="945"/>
      <c r="AC3226" s="946"/>
      <c r="AD3226" s="947"/>
      <c r="AE3226" s="960">
        <f t="shared" si="57"/>
        <v>0</v>
      </c>
      <c r="AF3226" s="961"/>
      <c r="AG3226" s="962"/>
      <c r="AH3226" s="518"/>
      <c r="AJ3226" s="595"/>
    </row>
    <row r="3227" spans="1:36" hidden="1" x14ac:dyDescent="0.45">
      <c r="A3227" s="518"/>
      <c r="B3227" s="944" t="s">
        <v>1573</v>
      </c>
      <c r="C3227" s="944"/>
      <c r="D3227" s="944"/>
      <c r="E3227" s="944"/>
      <c r="F3227" s="944"/>
      <c r="G3227" s="944"/>
      <c r="H3227" s="944"/>
      <c r="I3227" s="944"/>
      <c r="J3227" s="944"/>
      <c r="K3227" s="944"/>
      <c r="L3227" s="944"/>
      <c r="M3227" s="945"/>
      <c r="N3227" s="946"/>
      <c r="O3227" s="947"/>
      <c r="P3227" s="945"/>
      <c r="Q3227" s="946"/>
      <c r="R3227" s="947"/>
      <c r="S3227" s="945"/>
      <c r="T3227" s="946"/>
      <c r="U3227" s="947"/>
      <c r="V3227" s="945"/>
      <c r="W3227" s="946"/>
      <c r="X3227" s="947"/>
      <c r="Y3227" s="945"/>
      <c r="Z3227" s="946"/>
      <c r="AA3227" s="947"/>
      <c r="AB3227" s="945"/>
      <c r="AC3227" s="946"/>
      <c r="AD3227" s="947"/>
      <c r="AE3227" s="960">
        <f t="shared" si="57"/>
        <v>0</v>
      </c>
      <c r="AF3227" s="961"/>
      <c r="AG3227" s="962"/>
      <c r="AH3227" s="518"/>
      <c r="AJ3227" s="595"/>
    </row>
    <row r="3228" spans="1:36" hidden="1" x14ac:dyDescent="0.45">
      <c r="A3228" s="518"/>
      <c r="B3228" s="944" t="s">
        <v>1574</v>
      </c>
      <c r="C3228" s="944"/>
      <c r="D3228" s="944"/>
      <c r="E3228" s="944"/>
      <c r="F3228" s="944"/>
      <c r="G3228" s="944"/>
      <c r="H3228" s="944"/>
      <c r="I3228" s="944"/>
      <c r="J3228" s="944"/>
      <c r="K3228" s="944"/>
      <c r="L3228" s="944"/>
      <c r="M3228" s="945"/>
      <c r="N3228" s="946"/>
      <c r="O3228" s="947"/>
      <c r="P3228" s="945"/>
      <c r="Q3228" s="946"/>
      <c r="R3228" s="947"/>
      <c r="S3228" s="945"/>
      <c r="T3228" s="946"/>
      <c r="U3228" s="947"/>
      <c r="V3228" s="945"/>
      <c r="W3228" s="946"/>
      <c r="X3228" s="947"/>
      <c r="Y3228" s="945"/>
      <c r="Z3228" s="946"/>
      <c r="AA3228" s="947"/>
      <c r="AB3228" s="945"/>
      <c r="AC3228" s="946"/>
      <c r="AD3228" s="947"/>
      <c r="AE3228" s="960">
        <f t="shared" si="57"/>
        <v>0</v>
      </c>
      <c r="AF3228" s="961"/>
      <c r="AG3228" s="962"/>
      <c r="AH3228" s="518"/>
      <c r="AJ3228" s="595"/>
    </row>
    <row r="3229" spans="1:36" hidden="1" x14ac:dyDescent="0.45">
      <c r="A3229" s="518"/>
      <c r="B3229" s="944" t="s">
        <v>1576</v>
      </c>
      <c r="C3229" s="944"/>
      <c r="D3229" s="944"/>
      <c r="E3229" s="944"/>
      <c r="F3229" s="944"/>
      <c r="G3229" s="944"/>
      <c r="H3229" s="944"/>
      <c r="I3229" s="944"/>
      <c r="J3229" s="944"/>
      <c r="K3229" s="944"/>
      <c r="L3229" s="944"/>
      <c r="M3229" s="945"/>
      <c r="N3229" s="946"/>
      <c r="O3229" s="947"/>
      <c r="P3229" s="945"/>
      <c r="Q3229" s="946"/>
      <c r="R3229" s="947"/>
      <c r="S3229" s="945"/>
      <c r="T3229" s="946"/>
      <c r="U3229" s="947"/>
      <c r="V3229" s="945"/>
      <c r="W3229" s="946"/>
      <c r="X3229" s="947"/>
      <c r="Y3229" s="945"/>
      <c r="Z3229" s="946"/>
      <c r="AA3229" s="947"/>
      <c r="AB3229" s="945"/>
      <c r="AC3229" s="946"/>
      <c r="AD3229" s="947"/>
      <c r="AE3229" s="960">
        <f t="shared" si="57"/>
        <v>0</v>
      </c>
      <c r="AF3229" s="961"/>
      <c r="AG3229" s="962"/>
      <c r="AH3229" s="518"/>
      <c r="AJ3229" s="595"/>
    </row>
    <row r="3230" spans="1:36" hidden="1" x14ac:dyDescent="0.45">
      <c r="A3230" s="518"/>
      <c r="B3230" s="944" t="s">
        <v>1844</v>
      </c>
      <c r="C3230" s="944"/>
      <c r="D3230" s="944"/>
      <c r="E3230" s="944"/>
      <c r="F3230" s="944"/>
      <c r="G3230" s="944"/>
      <c r="H3230" s="944"/>
      <c r="I3230" s="944"/>
      <c r="J3230" s="944"/>
      <c r="K3230" s="944"/>
      <c r="L3230" s="944"/>
      <c r="M3230" s="945"/>
      <c r="N3230" s="946"/>
      <c r="O3230" s="947"/>
      <c r="P3230" s="945"/>
      <c r="Q3230" s="946"/>
      <c r="R3230" s="947"/>
      <c r="S3230" s="945"/>
      <c r="T3230" s="946"/>
      <c r="U3230" s="947"/>
      <c r="V3230" s="945"/>
      <c r="W3230" s="946"/>
      <c r="X3230" s="947"/>
      <c r="Y3230" s="945"/>
      <c r="Z3230" s="946"/>
      <c r="AA3230" s="947"/>
      <c r="AB3230" s="945"/>
      <c r="AC3230" s="946"/>
      <c r="AD3230" s="947"/>
      <c r="AE3230" s="960">
        <f t="shared" si="57"/>
        <v>0</v>
      </c>
      <c r="AF3230" s="961"/>
      <c r="AG3230" s="962"/>
      <c r="AH3230" s="518"/>
      <c r="AJ3230" s="595"/>
    </row>
    <row r="3231" spans="1:36" hidden="1" x14ac:dyDescent="0.45">
      <c r="A3231" s="518"/>
      <c r="B3231" s="988"/>
      <c r="C3231" s="988"/>
      <c r="D3231" s="988"/>
      <c r="E3231" s="988"/>
      <c r="F3231" s="988"/>
      <c r="G3231" s="988"/>
      <c r="H3231" s="988"/>
      <c r="I3231" s="988"/>
      <c r="J3231" s="988"/>
      <c r="K3231" s="988"/>
      <c r="L3231" s="988"/>
      <c r="M3231" s="945"/>
      <c r="N3231" s="946"/>
      <c r="O3231" s="947"/>
      <c r="P3231" s="945"/>
      <c r="Q3231" s="946"/>
      <c r="R3231" s="947"/>
      <c r="S3231" s="945"/>
      <c r="T3231" s="946"/>
      <c r="U3231" s="947"/>
      <c r="V3231" s="945"/>
      <c r="W3231" s="946"/>
      <c r="X3231" s="947"/>
      <c r="Y3231" s="945"/>
      <c r="Z3231" s="946"/>
      <c r="AA3231" s="947"/>
      <c r="AB3231" s="945"/>
      <c r="AC3231" s="946"/>
      <c r="AD3231" s="947"/>
      <c r="AE3231" s="960">
        <f t="shared" si="57"/>
        <v>0</v>
      </c>
      <c r="AF3231" s="961"/>
      <c r="AG3231" s="962"/>
      <c r="AH3231" s="518"/>
      <c r="AJ3231" s="595"/>
    </row>
    <row r="3232" spans="1:36" hidden="1" x14ac:dyDescent="0.45">
      <c r="A3232" s="518"/>
      <c r="B3232" s="988"/>
      <c r="C3232" s="988"/>
      <c r="D3232" s="988"/>
      <c r="E3232" s="988"/>
      <c r="F3232" s="988"/>
      <c r="G3232" s="988"/>
      <c r="H3232" s="988"/>
      <c r="I3232" s="988"/>
      <c r="J3232" s="988"/>
      <c r="K3232" s="988"/>
      <c r="L3232" s="988"/>
      <c r="M3232" s="945"/>
      <c r="N3232" s="946"/>
      <c r="O3232" s="947"/>
      <c r="P3232" s="945"/>
      <c r="Q3232" s="946"/>
      <c r="R3232" s="947"/>
      <c r="S3232" s="945"/>
      <c r="T3232" s="946"/>
      <c r="U3232" s="947"/>
      <c r="V3232" s="945"/>
      <c r="W3232" s="946"/>
      <c r="X3232" s="947"/>
      <c r="Y3232" s="945"/>
      <c r="Z3232" s="946"/>
      <c r="AA3232" s="947"/>
      <c r="AB3232" s="945"/>
      <c r="AC3232" s="946"/>
      <c r="AD3232" s="947"/>
      <c r="AE3232" s="960">
        <f t="shared" si="57"/>
        <v>0</v>
      </c>
      <c r="AF3232" s="961"/>
      <c r="AG3232" s="962"/>
      <c r="AH3232" s="518"/>
      <c r="AJ3232" s="595"/>
    </row>
    <row r="3233" spans="1:36" hidden="1" x14ac:dyDescent="0.45">
      <c r="A3233" s="518"/>
      <c r="B3233" s="988"/>
      <c r="C3233" s="988"/>
      <c r="D3233" s="988"/>
      <c r="E3233" s="988"/>
      <c r="F3233" s="988"/>
      <c r="G3233" s="988"/>
      <c r="H3233" s="988"/>
      <c r="I3233" s="988"/>
      <c r="J3233" s="988"/>
      <c r="K3233" s="988"/>
      <c r="L3233" s="988"/>
      <c r="M3233" s="945"/>
      <c r="N3233" s="946"/>
      <c r="O3233" s="947"/>
      <c r="P3233" s="945"/>
      <c r="Q3233" s="946"/>
      <c r="R3233" s="947"/>
      <c r="S3233" s="945"/>
      <c r="T3233" s="946"/>
      <c r="U3233" s="947"/>
      <c r="V3233" s="945"/>
      <c r="W3233" s="946"/>
      <c r="X3233" s="947"/>
      <c r="Y3233" s="945"/>
      <c r="Z3233" s="946"/>
      <c r="AA3233" s="947"/>
      <c r="AB3233" s="945"/>
      <c r="AC3233" s="946"/>
      <c r="AD3233" s="947"/>
      <c r="AE3233" s="960">
        <f t="shared" si="57"/>
        <v>0</v>
      </c>
      <c r="AF3233" s="961"/>
      <c r="AG3233" s="962"/>
      <c r="AH3233" s="518"/>
      <c r="AJ3233" s="595"/>
    </row>
    <row r="3234" spans="1:36" hidden="1" x14ac:dyDescent="0.45">
      <c r="A3234" s="518"/>
      <c r="B3234" s="989" t="s">
        <v>1577</v>
      </c>
      <c r="C3234" s="989"/>
      <c r="D3234" s="989"/>
      <c r="E3234" s="989"/>
      <c r="F3234" s="989"/>
      <c r="G3234" s="989"/>
      <c r="H3234" s="989"/>
      <c r="I3234" s="989"/>
      <c r="J3234" s="989"/>
      <c r="K3234" s="989"/>
      <c r="L3234" s="989"/>
      <c r="M3234" s="960">
        <f>SUM(M3217:O3233)</f>
        <v>0</v>
      </c>
      <c r="N3234" s="961"/>
      <c r="O3234" s="962"/>
      <c r="P3234" s="960">
        <f>SUM(P3217:R3233)</f>
        <v>0</v>
      </c>
      <c r="Q3234" s="961"/>
      <c r="R3234" s="962"/>
      <c r="S3234" s="960">
        <f>SUM(S3217:U3233)</f>
        <v>0</v>
      </c>
      <c r="T3234" s="961"/>
      <c r="U3234" s="962"/>
      <c r="V3234" s="960">
        <f>SUM(V3217:X3233)</f>
        <v>0</v>
      </c>
      <c r="W3234" s="961"/>
      <c r="X3234" s="962"/>
      <c r="Y3234" s="960">
        <f>SUM(Y3217:AA3233)</f>
        <v>0</v>
      </c>
      <c r="Z3234" s="961"/>
      <c r="AA3234" s="962"/>
      <c r="AB3234" s="960">
        <f>SUM(AB3217:AD3233)</f>
        <v>0</v>
      </c>
      <c r="AC3234" s="961"/>
      <c r="AD3234" s="962"/>
      <c r="AE3234" s="960">
        <f t="shared" si="57"/>
        <v>0</v>
      </c>
      <c r="AF3234" s="961"/>
      <c r="AG3234" s="962"/>
      <c r="AH3234" s="518"/>
      <c r="AJ3234" s="595"/>
    </row>
    <row r="3235" spans="1:36" hidden="1" x14ac:dyDescent="0.45">
      <c r="A3235" s="518"/>
      <c r="B3235" s="517"/>
      <c r="C3235" s="517"/>
      <c r="D3235" s="517"/>
      <c r="E3235" s="517"/>
      <c r="F3235" s="517"/>
      <c r="G3235" s="517"/>
      <c r="H3235" s="517"/>
      <c r="I3235" s="518"/>
      <c r="J3235" s="518"/>
      <c r="K3235" s="518"/>
      <c r="L3235" s="518"/>
      <c r="M3235" s="518"/>
      <c r="N3235" s="518"/>
      <c r="O3235" s="518"/>
      <c r="P3235" s="518"/>
      <c r="Q3235" s="518"/>
      <c r="R3235" s="518"/>
      <c r="S3235" s="518"/>
      <c r="T3235" s="518"/>
      <c r="U3235" s="531"/>
      <c r="V3235" s="531"/>
      <c r="W3235" s="531"/>
      <c r="X3235" s="531"/>
      <c r="Y3235" s="531"/>
      <c r="Z3235" s="531"/>
      <c r="AA3235" s="518"/>
      <c r="AB3235" s="518"/>
      <c r="AC3235" s="518"/>
      <c r="AD3235" s="518"/>
      <c r="AE3235" s="518"/>
      <c r="AF3235" s="518"/>
      <c r="AG3235" s="538"/>
      <c r="AH3235" s="518"/>
      <c r="AJ3235" s="595"/>
    </row>
    <row r="3236" spans="1:36" hidden="1" x14ac:dyDescent="0.45">
      <c r="A3236" s="518"/>
      <c r="B3236" s="518"/>
      <c r="C3236" s="518"/>
      <c r="D3236" s="518"/>
      <c r="E3236" s="518"/>
      <c r="F3236" s="518"/>
      <c r="G3236" s="518"/>
      <c r="H3236" s="518"/>
      <c r="I3236" s="518"/>
      <c r="J3236" s="518"/>
      <c r="K3236" s="518"/>
      <c r="L3236" s="518"/>
      <c r="M3236" s="518"/>
      <c r="N3236" s="518"/>
      <c r="O3236" s="518"/>
      <c r="P3236" s="518"/>
      <c r="Q3236" s="518"/>
      <c r="R3236" s="518"/>
      <c r="S3236" s="518"/>
      <c r="T3236" s="518"/>
      <c r="U3236" s="518"/>
      <c r="V3236" s="518"/>
      <c r="W3236" s="518"/>
      <c r="X3236" s="518"/>
      <c r="Y3236" s="518"/>
      <c r="Z3236" s="518"/>
      <c r="AA3236" s="518"/>
      <c r="AB3236" s="518"/>
      <c r="AC3236" s="518"/>
      <c r="AD3236" s="518"/>
      <c r="AE3236" s="518"/>
      <c r="AF3236" s="518"/>
      <c r="AG3236" s="518"/>
      <c r="AH3236" s="518"/>
      <c r="AJ3236" s="595"/>
    </row>
    <row r="3237" spans="1:36" hidden="1" x14ac:dyDescent="0.45">
      <c r="A3237" s="518"/>
      <c r="B3237" s="907" t="s">
        <v>25</v>
      </c>
      <c r="C3237" s="907"/>
      <c r="D3237" s="907"/>
      <c r="E3237" s="907"/>
      <c r="F3237" s="907"/>
      <c r="G3237" s="907"/>
      <c r="H3237" s="907"/>
      <c r="I3237" s="907"/>
      <c r="J3237" s="907"/>
      <c r="K3237" s="907"/>
      <c r="L3237" s="907"/>
      <c r="M3237" s="907"/>
      <c r="N3237" s="907"/>
      <c r="O3237" s="907"/>
      <c r="P3237" s="907"/>
      <c r="Q3237" s="907"/>
      <c r="R3237" s="907"/>
      <c r="S3237" s="907"/>
      <c r="T3237" s="907"/>
      <c r="U3237" s="907"/>
      <c r="V3237" s="907"/>
      <c r="W3237" s="907"/>
      <c r="X3237" s="907"/>
      <c r="Y3237" s="907"/>
      <c r="Z3237" s="907"/>
      <c r="AA3237" s="907"/>
      <c r="AB3237" s="907"/>
      <c r="AC3237" s="907"/>
      <c r="AD3237" s="907"/>
      <c r="AE3237" s="907"/>
      <c r="AF3237" s="907"/>
      <c r="AG3237" s="907"/>
      <c r="AH3237" s="518"/>
      <c r="AJ3237" s="595"/>
    </row>
    <row r="3238" spans="1:36" hidden="1" x14ac:dyDescent="0.45">
      <c r="A3238" s="518"/>
      <c r="B3238" s="907" t="str">
        <f>B3201</f>
        <v>Serna Homeownership Project Development Loan</v>
      </c>
      <c r="C3238" s="907"/>
      <c r="D3238" s="907"/>
      <c r="E3238" s="907"/>
      <c r="F3238" s="907"/>
      <c r="G3238" s="907"/>
      <c r="H3238" s="907"/>
      <c r="I3238" s="907"/>
      <c r="J3238" s="907"/>
      <c r="K3238" s="907"/>
      <c r="L3238" s="907"/>
      <c r="M3238" s="907"/>
      <c r="N3238" s="907"/>
      <c r="O3238" s="907"/>
      <c r="P3238" s="907"/>
      <c r="Q3238" s="907"/>
      <c r="R3238" s="907"/>
      <c r="S3238" s="907"/>
      <c r="T3238" s="907"/>
      <c r="U3238" s="907"/>
      <c r="V3238" s="907"/>
      <c r="W3238" s="907"/>
      <c r="X3238" s="907"/>
      <c r="Y3238" s="907"/>
      <c r="Z3238" s="907"/>
      <c r="AA3238" s="907"/>
      <c r="AB3238" s="907"/>
      <c r="AC3238" s="907"/>
      <c r="AD3238" s="907"/>
      <c r="AE3238" s="907"/>
      <c r="AF3238" s="907"/>
      <c r="AG3238" s="907"/>
      <c r="AH3238" s="518"/>
      <c r="AJ3238" s="595"/>
    </row>
    <row r="3239" spans="1:36" hidden="1" x14ac:dyDescent="0.45">
      <c r="A3239" s="518"/>
      <c r="B3239" s="518"/>
      <c r="C3239" s="518"/>
      <c r="D3239" s="518"/>
      <c r="E3239" s="518"/>
      <c r="F3239" s="518"/>
      <c r="G3239" s="518"/>
      <c r="H3239" s="518"/>
      <c r="I3239" s="518"/>
      <c r="J3239" s="518"/>
      <c r="K3239" s="518"/>
      <c r="L3239" s="518"/>
      <c r="M3239" s="518"/>
      <c r="N3239" s="518"/>
      <c r="O3239" s="518"/>
      <c r="P3239" s="518"/>
      <c r="Q3239" s="518"/>
      <c r="R3239" s="518"/>
      <c r="S3239" s="518"/>
      <c r="T3239" s="518"/>
      <c r="U3239" s="518"/>
      <c r="V3239" s="518"/>
      <c r="W3239" s="518"/>
      <c r="X3239" s="518"/>
      <c r="Y3239" s="518"/>
      <c r="Z3239" s="518"/>
      <c r="AA3239" s="518"/>
      <c r="AB3239" s="518"/>
      <c r="AC3239" s="518"/>
      <c r="AD3239" s="518"/>
      <c r="AE3239" s="518"/>
      <c r="AF3239" s="518"/>
      <c r="AG3239" s="518"/>
      <c r="AH3239" s="518"/>
      <c r="AJ3239" s="595"/>
    </row>
    <row r="3240" spans="1:36" hidden="1" x14ac:dyDescent="0.45">
      <c r="A3240" s="518"/>
      <c r="B3240" s="907" t="s">
        <v>1778</v>
      </c>
      <c r="C3240" s="907"/>
      <c r="D3240" s="907"/>
      <c r="E3240" s="907"/>
      <c r="F3240" s="907"/>
      <c r="G3240" s="907"/>
      <c r="H3240" s="907"/>
      <c r="I3240" s="907"/>
      <c r="J3240" s="907"/>
      <c r="K3240" s="907"/>
      <c r="L3240" s="907"/>
      <c r="M3240" s="907"/>
      <c r="N3240" s="907"/>
      <c r="O3240" s="907"/>
      <c r="P3240" s="907"/>
      <c r="Q3240" s="907"/>
      <c r="R3240" s="907"/>
      <c r="S3240" s="907"/>
      <c r="T3240" s="907"/>
      <c r="U3240" s="907"/>
      <c r="V3240" s="907"/>
      <c r="W3240" s="907"/>
      <c r="X3240" s="907"/>
      <c r="Y3240" s="907"/>
      <c r="Z3240" s="907"/>
      <c r="AA3240" s="907"/>
      <c r="AB3240" s="907"/>
      <c r="AC3240" s="907"/>
      <c r="AD3240" s="907"/>
      <c r="AE3240" s="907"/>
      <c r="AF3240" s="907"/>
      <c r="AG3240" s="907"/>
      <c r="AH3240" s="518"/>
      <c r="AJ3240" s="595"/>
    </row>
    <row r="3241" spans="1:36" ht="44.15" hidden="1" customHeight="1" x14ac:dyDescent="0.45">
      <c r="A3241" s="518"/>
      <c r="B3241" s="984" t="s">
        <v>1846</v>
      </c>
      <c r="C3241" s="984"/>
      <c r="D3241" s="984"/>
      <c r="E3241" s="984"/>
      <c r="F3241" s="984"/>
      <c r="G3241" s="984"/>
      <c r="H3241" s="984"/>
      <c r="I3241" s="984"/>
      <c r="J3241" s="984"/>
      <c r="K3241" s="984"/>
      <c r="L3241" s="984"/>
      <c r="M3241" s="984"/>
      <c r="N3241" s="984"/>
      <c r="O3241" s="984"/>
      <c r="P3241" s="984"/>
      <c r="Q3241" s="984"/>
      <c r="R3241" s="984"/>
      <c r="S3241" s="984"/>
      <c r="T3241" s="984"/>
      <c r="U3241" s="984"/>
      <c r="V3241" s="984"/>
      <c r="W3241" s="984"/>
      <c r="X3241" s="984"/>
      <c r="Y3241" s="984"/>
      <c r="Z3241" s="984"/>
      <c r="AA3241" s="984"/>
      <c r="AB3241" s="984"/>
      <c r="AC3241" s="984"/>
      <c r="AD3241" s="984"/>
      <c r="AE3241" s="984"/>
      <c r="AF3241" s="984"/>
      <c r="AG3241" s="984"/>
      <c r="AH3241" s="518"/>
      <c r="AJ3241" s="595"/>
    </row>
    <row r="3242" spans="1:36" hidden="1" x14ac:dyDescent="0.45">
      <c r="A3242" s="518"/>
      <c r="B3242" s="975"/>
      <c r="C3242" s="976"/>
      <c r="D3242" s="976"/>
      <c r="E3242" s="976"/>
      <c r="F3242" s="976"/>
      <c r="G3242" s="976"/>
      <c r="H3242" s="976"/>
      <c r="I3242" s="976"/>
      <c r="J3242" s="976"/>
      <c r="K3242" s="976"/>
      <c r="L3242" s="976"/>
      <c r="M3242" s="976"/>
      <c r="N3242" s="976"/>
      <c r="O3242" s="976"/>
      <c r="P3242" s="976"/>
      <c r="Q3242" s="976"/>
      <c r="R3242" s="976"/>
      <c r="S3242" s="976"/>
      <c r="T3242" s="976"/>
      <c r="U3242" s="976"/>
      <c r="V3242" s="976"/>
      <c r="W3242" s="976"/>
      <c r="X3242" s="976"/>
      <c r="Y3242" s="976"/>
      <c r="Z3242" s="976"/>
      <c r="AA3242" s="976"/>
      <c r="AB3242" s="976"/>
      <c r="AC3242" s="976"/>
      <c r="AD3242" s="976"/>
      <c r="AE3242" s="976"/>
      <c r="AF3242" s="976"/>
      <c r="AG3242" s="977"/>
      <c r="AH3242" s="518"/>
      <c r="AJ3242" s="595"/>
    </row>
    <row r="3243" spans="1:36" hidden="1" x14ac:dyDescent="0.45">
      <c r="A3243" s="518"/>
      <c r="B3243" s="978"/>
      <c r="C3243" s="979"/>
      <c r="D3243" s="979"/>
      <c r="E3243" s="979"/>
      <c r="F3243" s="979"/>
      <c r="G3243" s="979"/>
      <c r="H3243" s="979"/>
      <c r="I3243" s="979"/>
      <c r="J3243" s="979"/>
      <c r="K3243" s="979"/>
      <c r="L3243" s="979"/>
      <c r="M3243" s="979"/>
      <c r="N3243" s="979"/>
      <c r="O3243" s="979"/>
      <c r="P3243" s="979"/>
      <c r="Q3243" s="979"/>
      <c r="R3243" s="979"/>
      <c r="S3243" s="979"/>
      <c r="T3243" s="979"/>
      <c r="U3243" s="979"/>
      <c r="V3243" s="979"/>
      <c r="W3243" s="979"/>
      <c r="X3243" s="979"/>
      <c r="Y3243" s="979"/>
      <c r="Z3243" s="979"/>
      <c r="AA3243" s="979"/>
      <c r="AB3243" s="979"/>
      <c r="AC3243" s="979"/>
      <c r="AD3243" s="979"/>
      <c r="AE3243" s="979"/>
      <c r="AF3243" s="979"/>
      <c r="AG3243" s="980"/>
      <c r="AH3243" s="518"/>
      <c r="AJ3243" s="595"/>
    </row>
    <row r="3244" spans="1:36" hidden="1" x14ac:dyDescent="0.45">
      <c r="A3244" s="518"/>
      <c r="B3244" s="978"/>
      <c r="C3244" s="979"/>
      <c r="D3244" s="979"/>
      <c r="E3244" s="979"/>
      <c r="F3244" s="979"/>
      <c r="G3244" s="979"/>
      <c r="H3244" s="979"/>
      <c r="I3244" s="979"/>
      <c r="J3244" s="979"/>
      <c r="K3244" s="979"/>
      <c r="L3244" s="979"/>
      <c r="M3244" s="979"/>
      <c r="N3244" s="979"/>
      <c r="O3244" s="979"/>
      <c r="P3244" s="979"/>
      <c r="Q3244" s="979"/>
      <c r="R3244" s="979"/>
      <c r="S3244" s="979"/>
      <c r="T3244" s="979"/>
      <c r="U3244" s="979"/>
      <c r="V3244" s="979"/>
      <c r="W3244" s="979"/>
      <c r="X3244" s="979"/>
      <c r="Y3244" s="979"/>
      <c r="Z3244" s="979"/>
      <c r="AA3244" s="979"/>
      <c r="AB3244" s="979"/>
      <c r="AC3244" s="979"/>
      <c r="AD3244" s="979"/>
      <c r="AE3244" s="979"/>
      <c r="AF3244" s="979"/>
      <c r="AG3244" s="980"/>
      <c r="AH3244" s="518"/>
      <c r="AJ3244" s="595"/>
    </row>
    <row r="3245" spans="1:36" hidden="1" x14ac:dyDescent="0.45">
      <c r="A3245" s="518"/>
      <c r="B3245" s="978"/>
      <c r="C3245" s="979"/>
      <c r="D3245" s="979"/>
      <c r="E3245" s="979"/>
      <c r="F3245" s="979"/>
      <c r="G3245" s="979"/>
      <c r="H3245" s="979"/>
      <c r="I3245" s="979"/>
      <c r="J3245" s="979"/>
      <c r="K3245" s="979"/>
      <c r="L3245" s="979"/>
      <c r="M3245" s="979"/>
      <c r="N3245" s="979"/>
      <c r="O3245" s="979"/>
      <c r="P3245" s="979"/>
      <c r="Q3245" s="979"/>
      <c r="R3245" s="979"/>
      <c r="S3245" s="979"/>
      <c r="T3245" s="979"/>
      <c r="U3245" s="979"/>
      <c r="V3245" s="979"/>
      <c r="W3245" s="979"/>
      <c r="X3245" s="979"/>
      <c r="Y3245" s="979"/>
      <c r="Z3245" s="979"/>
      <c r="AA3245" s="979"/>
      <c r="AB3245" s="979"/>
      <c r="AC3245" s="979"/>
      <c r="AD3245" s="979"/>
      <c r="AE3245" s="979"/>
      <c r="AF3245" s="979"/>
      <c r="AG3245" s="980"/>
      <c r="AH3245" s="518"/>
      <c r="AJ3245" s="595"/>
    </row>
    <row r="3246" spans="1:36" hidden="1" x14ac:dyDescent="0.45">
      <c r="A3246" s="518"/>
      <c r="B3246" s="978"/>
      <c r="C3246" s="979"/>
      <c r="D3246" s="979"/>
      <c r="E3246" s="979"/>
      <c r="F3246" s="979"/>
      <c r="G3246" s="979"/>
      <c r="H3246" s="979"/>
      <c r="I3246" s="979"/>
      <c r="J3246" s="979"/>
      <c r="K3246" s="979"/>
      <c r="L3246" s="979"/>
      <c r="M3246" s="979"/>
      <c r="N3246" s="979"/>
      <c r="O3246" s="979"/>
      <c r="P3246" s="979"/>
      <c r="Q3246" s="979"/>
      <c r="R3246" s="979"/>
      <c r="S3246" s="979"/>
      <c r="T3246" s="979"/>
      <c r="U3246" s="979"/>
      <c r="V3246" s="979"/>
      <c r="W3246" s="979"/>
      <c r="X3246" s="979"/>
      <c r="Y3246" s="979"/>
      <c r="Z3246" s="979"/>
      <c r="AA3246" s="979"/>
      <c r="AB3246" s="979"/>
      <c r="AC3246" s="979"/>
      <c r="AD3246" s="979"/>
      <c r="AE3246" s="979"/>
      <c r="AF3246" s="979"/>
      <c r="AG3246" s="980"/>
      <c r="AH3246" s="518"/>
      <c r="AJ3246" s="595"/>
    </row>
    <row r="3247" spans="1:36" hidden="1" x14ac:dyDescent="0.45">
      <c r="A3247" s="518"/>
      <c r="B3247" s="978"/>
      <c r="C3247" s="979"/>
      <c r="D3247" s="979"/>
      <c r="E3247" s="979"/>
      <c r="F3247" s="979"/>
      <c r="G3247" s="979"/>
      <c r="H3247" s="979"/>
      <c r="I3247" s="979"/>
      <c r="J3247" s="979"/>
      <c r="K3247" s="979"/>
      <c r="L3247" s="979"/>
      <c r="M3247" s="979"/>
      <c r="N3247" s="979"/>
      <c r="O3247" s="979"/>
      <c r="P3247" s="979"/>
      <c r="Q3247" s="979"/>
      <c r="R3247" s="979"/>
      <c r="S3247" s="979"/>
      <c r="T3247" s="979"/>
      <c r="U3247" s="979"/>
      <c r="V3247" s="979"/>
      <c r="W3247" s="979"/>
      <c r="X3247" s="979"/>
      <c r="Y3247" s="979"/>
      <c r="Z3247" s="979"/>
      <c r="AA3247" s="979"/>
      <c r="AB3247" s="979"/>
      <c r="AC3247" s="979"/>
      <c r="AD3247" s="979"/>
      <c r="AE3247" s="979"/>
      <c r="AF3247" s="979"/>
      <c r="AG3247" s="980"/>
      <c r="AH3247" s="518"/>
      <c r="AJ3247" s="595"/>
    </row>
    <row r="3248" spans="1:36" hidden="1" x14ac:dyDescent="0.45">
      <c r="A3248" s="518"/>
      <c r="B3248" s="978"/>
      <c r="C3248" s="979"/>
      <c r="D3248" s="979"/>
      <c r="E3248" s="979"/>
      <c r="F3248" s="979"/>
      <c r="G3248" s="979"/>
      <c r="H3248" s="979"/>
      <c r="I3248" s="979"/>
      <c r="J3248" s="979"/>
      <c r="K3248" s="979"/>
      <c r="L3248" s="979"/>
      <c r="M3248" s="979"/>
      <c r="N3248" s="979"/>
      <c r="O3248" s="979"/>
      <c r="P3248" s="979"/>
      <c r="Q3248" s="979"/>
      <c r="R3248" s="979"/>
      <c r="S3248" s="979"/>
      <c r="T3248" s="979"/>
      <c r="U3248" s="979"/>
      <c r="V3248" s="979"/>
      <c r="W3248" s="979"/>
      <c r="X3248" s="979"/>
      <c r="Y3248" s="979"/>
      <c r="Z3248" s="979"/>
      <c r="AA3248" s="979"/>
      <c r="AB3248" s="979"/>
      <c r="AC3248" s="979"/>
      <c r="AD3248" s="979"/>
      <c r="AE3248" s="979"/>
      <c r="AF3248" s="979"/>
      <c r="AG3248" s="980"/>
      <c r="AH3248" s="518"/>
      <c r="AJ3248" s="595"/>
    </row>
    <row r="3249" spans="1:36" hidden="1" x14ac:dyDescent="0.45">
      <c r="A3249" s="518"/>
      <c r="B3249" s="978"/>
      <c r="C3249" s="979"/>
      <c r="D3249" s="979"/>
      <c r="E3249" s="979"/>
      <c r="F3249" s="979"/>
      <c r="G3249" s="979"/>
      <c r="H3249" s="979"/>
      <c r="I3249" s="979"/>
      <c r="J3249" s="979"/>
      <c r="K3249" s="979"/>
      <c r="L3249" s="979"/>
      <c r="M3249" s="979"/>
      <c r="N3249" s="979"/>
      <c r="O3249" s="979"/>
      <c r="P3249" s="979"/>
      <c r="Q3249" s="979"/>
      <c r="R3249" s="979"/>
      <c r="S3249" s="979"/>
      <c r="T3249" s="979"/>
      <c r="U3249" s="979"/>
      <c r="V3249" s="979"/>
      <c r="W3249" s="979"/>
      <c r="X3249" s="979"/>
      <c r="Y3249" s="979"/>
      <c r="Z3249" s="979"/>
      <c r="AA3249" s="979"/>
      <c r="AB3249" s="979"/>
      <c r="AC3249" s="979"/>
      <c r="AD3249" s="979"/>
      <c r="AE3249" s="979"/>
      <c r="AF3249" s="979"/>
      <c r="AG3249" s="980"/>
      <c r="AH3249" s="518"/>
      <c r="AJ3249" s="595"/>
    </row>
    <row r="3250" spans="1:36" hidden="1" x14ac:dyDescent="0.45">
      <c r="A3250" s="518"/>
      <c r="B3250" s="978"/>
      <c r="C3250" s="979"/>
      <c r="D3250" s="979"/>
      <c r="E3250" s="979"/>
      <c r="F3250" s="979"/>
      <c r="G3250" s="979"/>
      <c r="H3250" s="979"/>
      <c r="I3250" s="979"/>
      <c r="J3250" s="979"/>
      <c r="K3250" s="979"/>
      <c r="L3250" s="979"/>
      <c r="M3250" s="979"/>
      <c r="N3250" s="979"/>
      <c r="O3250" s="979"/>
      <c r="P3250" s="979"/>
      <c r="Q3250" s="979"/>
      <c r="R3250" s="979"/>
      <c r="S3250" s="979"/>
      <c r="T3250" s="979"/>
      <c r="U3250" s="979"/>
      <c r="V3250" s="979"/>
      <c r="W3250" s="979"/>
      <c r="X3250" s="979"/>
      <c r="Y3250" s="979"/>
      <c r="Z3250" s="979"/>
      <c r="AA3250" s="979"/>
      <c r="AB3250" s="979"/>
      <c r="AC3250" s="979"/>
      <c r="AD3250" s="979"/>
      <c r="AE3250" s="979"/>
      <c r="AF3250" s="979"/>
      <c r="AG3250" s="980"/>
      <c r="AH3250" s="518"/>
      <c r="AJ3250" s="595"/>
    </row>
    <row r="3251" spans="1:36" hidden="1" x14ac:dyDescent="0.45">
      <c r="A3251" s="518"/>
      <c r="B3251" s="978"/>
      <c r="C3251" s="979"/>
      <c r="D3251" s="979"/>
      <c r="E3251" s="979"/>
      <c r="F3251" s="979"/>
      <c r="G3251" s="979"/>
      <c r="H3251" s="979"/>
      <c r="I3251" s="979"/>
      <c r="J3251" s="979"/>
      <c r="K3251" s="979"/>
      <c r="L3251" s="979"/>
      <c r="M3251" s="979"/>
      <c r="N3251" s="979"/>
      <c r="O3251" s="979"/>
      <c r="P3251" s="979"/>
      <c r="Q3251" s="979"/>
      <c r="R3251" s="979"/>
      <c r="S3251" s="979"/>
      <c r="T3251" s="979"/>
      <c r="U3251" s="979"/>
      <c r="V3251" s="979"/>
      <c r="W3251" s="979"/>
      <c r="X3251" s="979"/>
      <c r="Y3251" s="979"/>
      <c r="Z3251" s="979"/>
      <c r="AA3251" s="979"/>
      <c r="AB3251" s="979"/>
      <c r="AC3251" s="979"/>
      <c r="AD3251" s="979"/>
      <c r="AE3251" s="979"/>
      <c r="AF3251" s="979"/>
      <c r="AG3251" s="980"/>
      <c r="AH3251" s="518"/>
      <c r="AJ3251" s="595"/>
    </row>
    <row r="3252" spans="1:36" hidden="1" x14ac:dyDescent="0.45">
      <c r="A3252" s="518"/>
      <c r="B3252" s="978"/>
      <c r="C3252" s="979"/>
      <c r="D3252" s="979"/>
      <c r="E3252" s="979"/>
      <c r="F3252" s="979"/>
      <c r="G3252" s="979"/>
      <c r="H3252" s="979"/>
      <c r="I3252" s="979"/>
      <c r="J3252" s="979"/>
      <c r="K3252" s="979"/>
      <c r="L3252" s="979"/>
      <c r="M3252" s="979"/>
      <c r="N3252" s="979"/>
      <c r="O3252" s="979"/>
      <c r="P3252" s="979"/>
      <c r="Q3252" s="979"/>
      <c r="R3252" s="979"/>
      <c r="S3252" s="979"/>
      <c r="T3252" s="979"/>
      <c r="U3252" s="979"/>
      <c r="V3252" s="979"/>
      <c r="W3252" s="979"/>
      <c r="X3252" s="979"/>
      <c r="Y3252" s="979"/>
      <c r="Z3252" s="979"/>
      <c r="AA3252" s="979"/>
      <c r="AB3252" s="979"/>
      <c r="AC3252" s="979"/>
      <c r="AD3252" s="979"/>
      <c r="AE3252" s="979"/>
      <c r="AF3252" s="979"/>
      <c r="AG3252" s="980"/>
      <c r="AH3252" s="518"/>
      <c r="AJ3252" s="595"/>
    </row>
    <row r="3253" spans="1:36" hidden="1" x14ac:dyDescent="0.45">
      <c r="A3253" s="518"/>
      <c r="B3253" s="978"/>
      <c r="C3253" s="979"/>
      <c r="D3253" s="979"/>
      <c r="E3253" s="979"/>
      <c r="F3253" s="979"/>
      <c r="G3253" s="979"/>
      <c r="H3253" s="979"/>
      <c r="I3253" s="979"/>
      <c r="J3253" s="979"/>
      <c r="K3253" s="979"/>
      <c r="L3253" s="979"/>
      <c r="M3253" s="979"/>
      <c r="N3253" s="979"/>
      <c r="O3253" s="979"/>
      <c r="P3253" s="979"/>
      <c r="Q3253" s="979"/>
      <c r="R3253" s="979"/>
      <c r="S3253" s="979"/>
      <c r="T3253" s="979"/>
      <c r="U3253" s="979"/>
      <c r="V3253" s="979"/>
      <c r="W3253" s="979"/>
      <c r="X3253" s="979"/>
      <c r="Y3253" s="979"/>
      <c r="Z3253" s="979"/>
      <c r="AA3253" s="979"/>
      <c r="AB3253" s="979"/>
      <c r="AC3253" s="979"/>
      <c r="AD3253" s="979"/>
      <c r="AE3253" s="979"/>
      <c r="AF3253" s="979"/>
      <c r="AG3253" s="980"/>
      <c r="AH3253" s="518"/>
      <c r="AJ3253" s="595"/>
    </row>
    <row r="3254" spans="1:36" hidden="1" x14ac:dyDescent="0.45">
      <c r="A3254" s="518"/>
      <c r="B3254" s="978"/>
      <c r="C3254" s="979"/>
      <c r="D3254" s="979"/>
      <c r="E3254" s="979"/>
      <c r="F3254" s="979"/>
      <c r="G3254" s="979"/>
      <c r="H3254" s="979"/>
      <c r="I3254" s="979"/>
      <c r="J3254" s="979"/>
      <c r="K3254" s="979"/>
      <c r="L3254" s="979"/>
      <c r="M3254" s="979"/>
      <c r="N3254" s="979"/>
      <c r="O3254" s="979"/>
      <c r="P3254" s="979"/>
      <c r="Q3254" s="979"/>
      <c r="R3254" s="979"/>
      <c r="S3254" s="979"/>
      <c r="T3254" s="979"/>
      <c r="U3254" s="979"/>
      <c r="V3254" s="979"/>
      <c r="W3254" s="979"/>
      <c r="X3254" s="979"/>
      <c r="Y3254" s="979"/>
      <c r="Z3254" s="979"/>
      <c r="AA3254" s="979"/>
      <c r="AB3254" s="979"/>
      <c r="AC3254" s="979"/>
      <c r="AD3254" s="979"/>
      <c r="AE3254" s="979"/>
      <c r="AF3254" s="979"/>
      <c r="AG3254" s="980"/>
      <c r="AH3254" s="518"/>
      <c r="AJ3254" s="595"/>
    </row>
    <row r="3255" spans="1:36" hidden="1" x14ac:dyDescent="0.45">
      <c r="A3255" s="518"/>
      <c r="B3255" s="978"/>
      <c r="C3255" s="979"/>
      <c r="D3255" s="979"/>
      <c r="E3255" s="979"/>
      <c r="F3255" s="979"/>
      <c r="G3255" s="979"/>
      <c r="H3255" s="979"/>
      <c r="I3255" s="979"/>
      <c r="J3255" s="979"/>
      <c r="K3255" s="979"/>
      <c r="L3255" s="979"/>
      <c r="M3255" s="979"/>
      <c r="N3255" s="979"/>
      <c r="O3255" s="979"/>
      <c r="P3255" s="979"/>
      <c r="Q3255" s="979"/>
      <c r="R3255" s="979"/>
      <c r="S3255" s="979"/>
      <c r="T3255" s="979"/>
      <c r="U3255" s="979"/>
      <c r="V3255" s="979"/>
      <c r="W3255" s="979"/>
      <c r="X3255" s="979"/>
      <c r="Y3255" s="979"/>
      <c r="Z3255" s="979"/>
      <c r="AA3255" s="979"/>
      <c r="AB3255" s="979"/>
      <c r="AC3255" s="979"/>
      <c r="AD3255" s="979"/>
      <c r="AE3255" s="979"/>
      <c r="AF3255" s="979"/>
      <c r="AG3255" s="980"/>
      <c r="AH3255" s="518"/>
      <c r="AJ3255" s="595"/>
    </row>
    <row r="3256" spans="1:36" hidden="1" x14ac:dyDescent="0.45">
      <c r="A3256" s="518"/>
      <c r="B3256" s="978"/>
      <c r="C3256" s="979"/>
      <c r="D3256" s="979"/>
      <c r="E3256" s="979"/>
      <c r="F3256" s="979"/>
      <c r="G3256" s="979"/>
      <c r="H3256" s="979"/>
      <c r="I3256" s="979"/>
      <c r="J3256" s="979"/>
      <c r="K3256" s="979"/>
      <c r="L3256" s="979"/>
      <c r="M3256" s="979"/>
      <c r="N3256" s="979"/>
      <c r="O3256" s="979"/>
      <c r="P3256" s="979"/>
      <c r="Q3256" s="979"/>
      <c r="R3256" s="979"/>
      <c r="S3256" s="979"/>
      <c r="T3256" s="979"/>
      <c r="U3256" s="979"/>
      <c r="V3256" s="979"/>
      <c r="W3256" s="979"/>
      <c r="X3256" s="979"/>
      <c r="Y3256" s="979"/>
      <c r="Z3256" s="979"/>
      <c r="AA3256" s="979"/>
      <c r="AB3256" s="979"/>
      <c r="AC3256" s="979"/>
      <c r="AD3256" s="979"/>
      <c r="AE3256" s="979"/>
      <c r="AF3256" s="979"/>
      <c r="AG3256" s="980"/>
      <c r="AH3256" s="518"/>
      <c r="AJ3256" s="595"/>
    </row>
    <row r="3257" spans="1:36" hidden="1" x14ac:dyDescent="0.45">
      <c r="A3257" s="518"/>
      <c r="B3257" s="978"/>
      <c r="C3257" s="979"/>
      <c r="D3257" s="979"/>
      <c r="E3257" s="979"/>
      <c r="F3257" s="979"/>
      <c r="G3257" s="979"/>
      <c r="H3257" s="979"/>
      <c r="I3257" s="979"/>
      <c r="J3257" s="979"/>
      <c r="K3257" s="979"/>
      <c r="L3257" s="979"/>
      <c r="M3257" s="979"/>
      <c r="N3257" s="979"/>
      <c r="O3257" s="979"/>
      <c r="P3257" s="979"/>
      <c r="Q3257" s="979"/>
      <c r="R3257" s="979"/>
      <c r="S3257" s="979"/>
      <c r="T3257" s="979"/>
      <c r="U3257" s="979"/>
      <c r="V3257" s="979"/>
      <c r="W3257" s="979"/>
      <c r="X3257" s="979"/>
      <c r="Y3257" s="979"/>
      <c r="Z3257" s="979"/>
      <c r="AA3257" s="979"/>
      <c r="AB3257" s="979"/>
      <c r="AC3257" s="979"/>
      <c r="AD3257" s="979"/>
      <c r="AE3257" s="979"/>
      <c r="AF3257" s="979"/>
      <c r="AG3257" s="980"/>
      <c r="AH3257" s="518"/>
      <c r="AJ3257" s="595"/>
    </row>
    <row r="3258" spans="1:36" hidden="1" x14ac:dyDescent="0.45">
      <c r="A3258" s="518"/>
      <c r="B3258" s="978"/>
      <c r="C3258" s="979"/>
      <c r="D3258" s="979"/>
      <c r="E3258" s="979"/>
      <c r="F3258" s="979"/>
      <c r="G3258" s="979"/>
      <c r="H3258" s="979"/>
      <c r="I3258" s="979"/>
      <c r="J3258" s="979"/>
      <c r="K3258" s="979"/>
      <c r="L3258" s="979"/>
      <c r="M3258" s="979"/>
      <c r="N3258" s="979"/>
      <c r="O3258" s="979"/>
      <c r="P3258" s="979"/>
      <c r="Q3258" s="979"/>
      <c r="R3258" s="979"/>
      <c r="S3258" s="979"/>
      <c r="T3258" s="979"/>
      <c r="U3258" s="979"/>
      <c r="V3258" s="979"/>
      <c r="W3258" s="979"/>
      <c r="X3258" s="979"/>
      <c r="Y3258" s="979"/>
      <c r="Z3258" s="979"/>
      <c r="AA3258" s="979"/>
      <c r="AB3258" s="979"/>
      <c r="AC3258" s="979"/>
      <c r="AD3258" s="979"/>
      <c r="AE3258" s="979"/>
      <c r="AF3258" s="979"/>
      <c r="AG3258" s="980"/>
      <c r="AH3258" s="518"/>
      <c r="AJ3258" s="595"/>
    </row>
    <row r="3259" spans="1:36" hidden="1" x14ac:dyDescent="0.45">
      <c r="A3259" s="518"/>
      <c r="B3259" s="978"/>
      <c r="C3259" s="979"/>
      <c r="D3259" s="979"/>
      <c r="E3259" s="979"/>
      <c r="F3259" s="979"/>
      <c r="G3259" s="979"/>
      <c r="H3259" s="979"/>
      <c r="I3259" s="979"/>
      <c r="J3259" s="979"/>
      <c r="K3259" s="979"/>
      <c r="L3259" s="979"/>
      <c r="M3259" s="979"/>
      <c r="N3259" s="979"/>
      <c r="O3259" s="979"/>
      <c r="P3259" s="979"/>
      <c r="Q3259" s="979"/>
      <c r="R3259" s="979"/>
      <c r="S3259" s="979"/>
      <c r="T3259" s="979"/>
      <c r="U3259" s="979"/>
      <c r="V3259" s="979"/>
      <c r="W3259" s="979"/>
      <c r="X3259" s="979"/>
      <c r="Y3259" s="979"/>
      <c r="Z3259" s="979"/>
      <c r="AA3259" s="979"/>
      <c r="AB3259" s="979"/>
      <c r="AC3259" s="979"/>
      <c r="AD3259" s="979"/>
      <c r="AE3259" s="979"/>
      <c r="AF3259" s="979"/>
      <c r="AG3259" s="980"/>
      <c r="AH3259" s="518"/>
      <c r="AJ3259" s="595"/>
    </row>
    <row r="3260" spans="1:36" hidden="1" x14ac:dyDescent="0.45">
      <c r="A3260" s="518"/>
      <c r="B3260" s="978"/>
      <c r="C3260" s="979"/>
      <c r="D3260" s="979"/>
      <c r="E3260" s="979"/>
      <c r="F3260" s="979"/>
      <c r="G3260" s="979"/>
      <c r="H3260" s="979"/>
      <c r="I3260" s="979"/>
      <c r="J3260" s="979"/>
      <c r="K3260" s="979"/>
      <c r="L3260" s="979"/>
      <c r="M3260" s="979"/>
      <c r="N3260" s="979"/>
      <c r="O3260" s="979"/>
      <c r="P3260" s="979"/>
      <c r="Q3260" s="979"/>
      <c r="R3260" s="979"/>
      <c r="S3260" s="979"/>
      <c r="T3260" s="979"/>
      <c r="U3260" s="979"/>
      <c r="V3260" s="979"/>
      <c r="W3260" s="979"/>
      <c r="X3260" s="979"/>
      <c r="Y3260" s="979"/>
      <c r="Z3260" s="979"/>
      <c r="AA3260" s="979"/>
      <c r="AB3260" s="979"/>
      <c r="AC3260" s="979"/>
      <c r="AD3260" s="979"/>
      <c r="AE3260" s="979"/>
      <c r="AF3260" s="979"/>
      <c r="AG3260" s="980"/>
      <c r="AH3260" s="518"/>
      <c r="AJ3260" s="595"/>
    </row>
    <row r="3261" spans="1:36" hidden="1" x14ac:dyDescent="0.45">
      <c r="A3261" s="518"/>
      <c r="B3261" s="978"/>
      <c r="C3261" s="979"/>
      <c r="D3261" s="979"/>
      <c r="E3261" s="979"/>
      <c r="F3261" s="979"/>
      <c r="G3261" s="979"/>
      <c r="H3261" s="979"/>
      <c r="I3261" s="979"/>
      <c r="J3261" s="979"/>
      <c r="K3261" s="979"/>
      <c r="L3261" s="979"/>
      <c r="M3261" s="979"/>
      <c r="N3261" s="979"/>
      <c r="O3261" s="979"/>
      <c r="P3261" s="979"/>
      <c r="Q3261" s="979"/>
      <c r="R3261" s="979"/>
      <c r="S3261" s="979"/>
      <c r="T3261" s="979"/>
      <c r="U3261" s="979"/>
      <c r="V3261" s="979"/>
      <c r="W3261" s="979"/>
      <c r="X3261" s="979"/>
      <c r="Y3261" s="979"/>
      <c r="Z3261" s="979"/>
      <c r="AA3261" s="979"/>
      <c r="AB3261" s="979"/>
      <c r="AC3261" s="979"/>
      <c r="AD3261" s="979"/>
      <c r="AE3261" s="979"/>
      <c r="AF3261" s="979"/>
      <c r="AG3261" s="980"/>
      <c r="AH3261" s="518"/>
      <c r="AJ3261" s="595"/>
    </row>
    <row r="3262" spans="1:36" hidden="1" x14ac:dyDescent="0.45">
      <c r="A3262" s="518"/>
      <c r="B3262" s="978"/>
      <c r="C3262" s="979"/>
      <c r="D3262" s="979"/>
      <c r="E3262" s="979"/>
      <c r="F3262" s="979"/>
      <c r="G3262" s="979"/>
      <c r="H3262" s="979"/>
      <c r="I3262" s="979"/>
      <c r="J3262" s="979"/>
      <c r="K3262" s="979"/>
      <c r="L3262" s="979"/>
      <c r="M3262" s="979"/>
      <c r="N3262" s="979"/>
      <c r="O3262" s="979"/>
      <c r="P3262" s="979"/>
      <c r="Q3262" s="979"/>
      <c r="R3262" s="979"/>
      <c r="S3262" s="979"/>
      <c r="T3262" s="979"/>
      <c r="U3262" s="979"/>
      <c r="V3262" s="979"/>
      <c r="W3262" s="979"/>
      <c r="X3262" s="979"/>
      <c r="Y3262" s="979"/>
      <c r="Z3262" s="979"/>
      <c r="AA3262" s="979"/>
      <c r="AB3262" s="979"/>
      <c r="AC3262" s="979"/>
      <c r="AD3262" s="979"/>
      <c r="AE3262" s="979"/>
      <c r="AF3262" s="979"/>
      <c r="AG3262" s="980"/>
      <c r="AH3262" s="518"/>
      <c r="AJ3262" s="595"/>
    </row>
    <row r="3263" spans="1:36" hidden="1" x14ac:dyDescent="0.45">
      <c r="A3263" s="518"/>
      <c r="B3263" s="978"/>
      <c r="C3263" s="979"/>
      <c r="D3263" s="979"/>
      <c r="E3263" s="979"/>
      <c r="F3263" s="979"/>
      <c r="G3263" s="979"/>
      <c r="H3263" s="979"/>
      <c r="I3263" s="979"/>
      <c r="J3263" s="979"/>
      <c r="K3263" s="979"/>
      <c r="L3263" s="979"/>
      <c r="M3263" s="979"/>
      <c r="N3263" s="979"/>
      <c r="O3263" s="979"/>
      <c r="P3263" s="979"/>
      <c r="Q3263" s="979"/>
      <c r="R3263" s="979"/>
      <c r="S3263" s="979"/>
      <c r="T3263" s="979"/>
      <c r="U3263" s="979"/>
      <c r="V3263" s="979"/>
      <c r="W3263" s="979"/>
      <c r="X3263" s="979"/>
      <c r="Y3263" s="979"/>
      <c r="Z3263" s="979"/>
      <c r="AA3263" s="979"/>
      <c r="AB3263" s="979"/>
      <c r="AC3263" s="979"/>
      <c r="AD3263" s="979"/>
      <c r="AE3263" s="979"/>
      <c r="AF3263" s="979"/>
      <c r="AG3263" s="980"/>
      <c r="AH3263" s="518"/>
      <c r="AJ3263" s="595"/>
    </row>
    <row r="3264" spans="1:36" hidden="1" x14ac:dyDescent="0.45">
      <c r="A3264" s="518"/>
      <c r="B3264" s="978"/>
      <c r="C3264" s="979"/>
      <c r="D3264" s="979"/>
      <c r="E3264" s="979"/>
      <c r="F3264" s="979"/>
      <c r="G3264" s="979"/>
      <c r="H3264" s="979"/>
      <c r="I3264" s="979"/>
      <c r="J3264" s="979"/>
      <c r="K3264" s="979"/>
      <c r="L3264" s="979"/>
      <c r="M3264" s="979"/>
      <c r="N3264" s="979"/>
      <c r="O3264" s="979"/>
      <c r="P3264" s="979"/>
      <c r="Q3264" s="979"/>
      <c r="R3264" s="979"/>
      <c r="S3264" s="979"/>
      <c r="T3264" s="979"/>
      <c r="U3264" s="979"/>
      <c r="V3264" s="979"/>
      <c r="W3264" s="979"/>
      <c r="X3264" s="979"/>
      <c r="Y3264" s="979"/>
      <c r="Z3264" s="979"/>
      <c r="AA3264" s="979"/>
      <c r="AB3264" s="979"/>
      <c r="AC3264" s="979"/>
      <c r="AD3264" s="979"/>
      <c r="AE3264" s="979"/>
      <c r="AF3264" s="979"/>
      <c r="AG3264" s="980"/>
      <c r="AH3264" s="518"/>
      <c r="AJ3264" s="595"/>
    </row>
    <row r="3265" spans="1:36" hidden="1" x14ac:dyDescent="0.45">
      <c r="A3265" s="518"/>
      <c r="B3265" s="978"/>
      <c r="C3265" s="979"/>
      <c r="D3265" s="979"/>
      <c r="E3265" s="979"/>
      <c r="F3265" s="979"/>
      <c r="G3265" s="979"/>
      <c r="H3265" s="979"/>
      <c r="I3265" s="979"/>
      <c r="J3265" s="979"/>
      <c r="K3265" s="979"/>
      <c r="L3265" s="979"/>
      <c r="M3265" s="979"/>
      <c r="N3265" s="979"/>
      <c r="O3265" s="979"/>
      <c r="P3265" s="979"/>
      <c r="Q3265" s="979"/>
      <c r="R3265" s="979"/>
      <c r="S3265" s="979"/>
      <c r="T3265" s="979"/>
      <c r="U3265" s="979"/>
      <c r="V3265" s="979"/>
      <c r="W3265" s="979"/>
      <c r="X3265" s="979"/>
      <c r="Y3265" s="979"/>
      <c r="Z3265" s="979"/>
      <c r="AA3265" s="979"/>
      <c r="AB3265" s="979"/>
      <c r="AC3265" s="979"/>
      <c r="AD3265" s="979"/>
      <c r="AE3265" s="979"/>
      <c r="AF3265" s="979"/>
      <c r="AG3265" s="980"/>
      <c r="AH3265" s="518"/>
      <c r="AJ3265" s="595"/>
    </row>
    <row r="3266" spans="1:36" hidden="1" x14ac:dyDescent="0.45">
      <c r="A3266" s="518"/>
      <c r="B3266" s="978"/>
      <c r="C3266" s="979"/>
      <c r="D3266" s="979"/>
      <c r="E3266" s="979"/>
      <c r="F3266" s="979"/>
      <c r="G3266" s="979"/>
      <c r="H3266" s="979"/>
      <c r="I3266" s="979"/>
      <c r="J3266" s="979"/>
      <c r="K3266" s="979"/>
      <c r="L3266" s="979"/>
      <c r="M3266" s="979"/>
      <c r="N3266" s="979"/>
      <c r="O3266" s="979"/>
      <c r="P3266" s="979"/>
      <c r="Q3266" s="979"/>
      <c r="R3266" s="979"/>
      <c r="S3266" s="979"/>
      <c r="T3266" s="979"/>
      <c r="U3266" s="979"/>
      <c r="V3266" s="979"/>
      <c r="W3266" s="979"/>
      <c r="X3266" s="979"/>
      <c r="Y3266" s="979"/>
      <c r="Z3266" s="979"/>
      <c r="AA3266" s="979"/>
      <c r="AB3266" s="979"/>
      <c r="AC3266" s="979"/>
      <c r="AD3266" s="979"/>
      <c r="AE3266" s="979"/>
      <c r="AF3266" s="979"/>
      <c r="AG3266" s="980"/>
      <c r="AH3266" s="518"/>
      <c r="AJ3266" s="595"/>
    </row>
    <row r="3267" spans="1:36" hidden="1" x14ac:dyDescent="0.45">
      <c r="A3267" s="518"/>
      <c r="B3267" s="978"/>
      <c r="C3267" s="979"/>
      <c r="D3267" s="979"/>
      <c r="E3267" s="979"/>
      <c r="F3267" s="979"/>
      <c r="G3267" s="979"/>
      <c r="H3267" s="979"/>
      <c r="I3267" s="979"/>
      <c r="J3267" s="979"/>
      <c r="K3267" s="979"/>
      <c r="L3267" s="979"/>
      <c r="M3267" s="979"/>
      <c r="N3267" s="979"/>
      <c r="O3267" s="979"/>
      <c r="P3267" s="979"/>
      <c r="Q3267" s="979"/>
      <c r="R3267" s="979"/>
      <c r="S3267" s="979"/>
      <c r="T3267" s="979"/>
      <c r="U3267" s="979"/>
      <c r="V3267" s="979"/>
      <c r="W3267" s="979"/>
      <c r="X3267" s="979"/>
      <c r="Y3267" s="979"/>
      <c r="Z3267" s="979"/>
      <c r="AA3267" s="979"/>
      <c r="AB3267" s="979"/>
      <c r="AC3267" s="979"/>
      <c r="AD3267" s="979"/>
      <c r="AE3267" s="979"/>
      <c r="AF3267" s="979"/>
      <c r="AG3267" s="980"/>
      <c r="AH3267" s="518"/>
      <c r="AJ3267" s="595"/>
    </row>
    <row r="3268" spans="1:36" hidden="1" x14ac:dyDescent="0.45">
      <c r="A3268" s="518"/>
      <c r="B3268" s="978"/>
      <c r="C3268" s="979"/>
      <c r="D3268" s="979"/>
      <c r="E3268" s="979"/>
      <c r="F3268" s="979"/>
      <c r="G3268" s="979"/>
      <c r="H3268" s="979"/>
      <c r="I3268" s="979"/>
      <c r="J3268" s="979"/>
      <c r="K3268" s="979"/>
      <c r="L3268" s="979"/>
      <c r="M3268" s="979"/>
      <c r="N3268" s="979"/>
      <c r="O3268" s="979"/>
      <c r="P3268" s="979"/>
      <c r="Q3268" s="979"/>
      <c r="R3268" s="979"/>
      <c r="S3268" s="979"/>
      <c r="T3268" s="979"/>
      <c r="U3268" s="979"/>
      <c r="V3268" s="979"/>
      <c r="W3268" s="979"/>
      <c r="X3268" s="979"/>
      <c r="Y3268" s="979"/>
      <c r="Z3268" s="979"/>
      <c r="AA3268" s="979"/>
      <c r="AB3268" s="979"/>
      <c r="AC3268" s="979"/>
      <c r="AD3268" s="979"/>
      <c r="AE3268" s="979"/>
      <c r="AF3268" s="979"/>
      <c r="AG3268" s="980"/>
      <c r="AH3268" s="518"/>
      <c r="AJ3268" s="595"/>
    </row>
    <row r="3269" spans="1:36" hidden="1" x14ac:dyDescent="0.45">
      <c r="A3269" s="518"/>
      <c r="B3269" s="978"/>
      <c r="C3269" s="979"/>
      <c r="D3269" s="979"/>
      <c r="E3269" s="979"/>
      <c r="F3269" s="979"/>
      <c r="G3269" s="979"/>
      <c r="H3269" s="979"/>
      <c r="I3269" s="979"/>
      <c r="J3269" s="979"/>
      <c r="K3269" s="979"/>
      <c r="L3269" s="979"/>
      <c r="M3269" s="979"/>
      <c r="N3269" s="979"/>
      <c r="O3269" s="979"/>
      <c r="P3269" s="979"/>
      <c r="Q3269" s="979"/>
      <c r="R3269" s="979"/>
      <c r="S3269" s="979"/>
      <c r="T3269" s="979"/>
      <c r="U3269" s="979"/>
      <c r="V3269" s="979"/>
      <c r="W3269" s="979"/>
      <c r="X3269" s="979"/>
      <c r="Y3269" s="979"/>
      <c r="Z3269" s="979"/>
      <c r="AA3269" s="979"/>
      <c r="AB3269" s="979"/>
      <c r="AC3269" s="979"/>
      <c r="AD3269" s="979"/>
      <c r="AE3269" s="979"/>
      <c r="AF3269" s="979"/>
      <c r="AG3269" s="980"/>
      <c r="AH3269" s="518"/>
      <c r="AJ3269" s="595"/>
    </row>
    <row r="3270" spans="1:36" hidden="1" x14ac:dyDescent="0.45">
      <c r="A3270" s="518"/>
      <c r="B3270" s="978"/>
      <c r="C3270" s="979"/>
      <c r="D3270" s="979"/>
      <c r="E3270" s="979"/>
      <c r="F3270" s="979"/>
      <c r="G3270" s="979"/>
      <c r="H3270" s="979"/>
      <c r="I3270" s="979"/>
      <c r="J3270" s="979"/>
      <c r="K3270" s="979"/>
      <c r="L3270" s="979"/>
      <c r="M3270" s="979"/>
      <c r="N3270" s="979"/>
      <c r="O3270" s="979"/>
      <c r="P3270" s="979"/>
      <c r="Q3270" s="979"/>
      <c r="R3270" s="979"/>
      <c r="S3270" s="979"/>
      <c r="T3270" s="979"/>
      <c r="U3270" s="979"/>
      <c r="V3270" s="979"/>
      <c r="W3270" s="979"/>
      <c r="X3270" s="979"/>
      <c r="Y3270" s="979"/>
      <c r="Z3270" s="979"/>
      <c r="AA3270" s="979"/>
      <c r="AB3270" s="979"/>
      <c r="AC3270" s="979"/>
      <c r="AD3270" s="979"/>
      <c r="AE3270" s="979"/>
      <c r="AF3270" s="979"/>
      <c r="AG3270" s="980"/>
      <c r="AH3270" s="518"/>
      <c r="AJ3270" s="595"/>
    </row>
    <row r="3271" spans="1:36" hidden="1" x14ac:dyDescent="0.45">
      <c r="A3271" s="518"/>
      <c r="B3271" s="978"/>
      <c r="C3271" s="979"/>
      <c r="D3271" s="979"/>
      <c r="E3271" s="979"/>
      <c r="F3271" s="979"/>
      <c r="G3271" s="979"/>
      <c r="H3271" s="979"/>
      <c r="I3271" s="979"/>
      <c r="J3271" s="979"/>
      <c r="K3271" s="979"/>
      <c r="L3271" s="979"/>
      <c r="M3271" s="979"/>
      <c r="N3271" s="979"/>
      <c r="O3271" s="979"/>
      <c r="P3271" s="979"/>
      <c r="Q3271" s="979"/>
      <c r="R3271" s="979"/>
      <c r="S3271" s="979"/>
      <c r="T3271" s="979"/>
      <c r="U3271" s="979"/>
      <c r="V3271" s="979"/>
      <c r="W3271" s="979"/>
      <c r="X3271" s="979"/>
      <c r="Y3271" s="979"/>
      <c r="Z3271" s="979"/>
      <c r="AA3271" s="979"/>
      <c r="AB3271" s="979"/>
      <c r="AC3271" s="979"/>
      <c r="AD3271" s="979"/>
      <c r="AE3271" s="979"/>
      <c r="AF3271" s="979"/>
      <c r="AG3271" s="980"/>
      <c r="AH3271" s="518"/>
      <c r="AJ3271" s="595"/>
    </row>
    <row r="3272" spans="1:36" hidden="1" x14ac:dyDescent="0.45">
      <c r="A3272" s="518"/>
      <c r="B3272" s="978"/>
      <c r="C3272" s="979"/>
      <c r="D3272" s="979"/>
      <c r="E3272" s="979"/>
      <c r="F3272" s="979"/>
      <c r="G3272" s="979"/>
      <c r="H3272" s="979"/>
      <c r="I3272" s="979"/>
      <c r="J3272" s="979"/>
      <c r="K3272" s="979"/>
      <c r="L3272" s="979"/>
      <c r="M3272" s="979"/>
      <c r="N3272" s="979"/>
      <c r="O3272" s="979"/>
      <c r="P3272" s="979"/>
      <c r="Q3272" s="979"/>
      <c r="R3272" s="979"/>
      <c r="S3272" s="979"/>
      <c r="T3272" s="979"/>
      <c r="U3272" s="979"/>
      <c r="V3272" s="979"/>
      <c r="W3272" s="979"/>
      <c r="X3272" s="979"/>
      <c r="Y3272" s="979"/>
      <c r="Z3272" s="979"/>
      <c r="AA3272" s="979"/>
      <c r="AB3272" s="979"/>
      <c r="AC3272" s="979"/>
      <c r="AD3272" s="979"/>
      <c r="AE3272" s="979"/>
      <c r="AF3272" s="979"/>
      <c r="AG3272" s="980"/>
      <c r="AH3272" s="518"/>
      <c r="AJ3272" s="595"/>
    </row>
    <row r="3273" spans="1:36" hidden="1" x14ac:dyDescent="0.45">
      <c r="A3273" s="518"/>
      <c r="B3273" s="978"/>
      <c r="C3273" s="979"/>
      <c r="D3273" s="979"/>
      <c r="E3273" s="979"/>
      <c r="F3273" s="979"/>
      <c r="G3273" s="979"/>
      <c r="H3273" s="979"/>
      <c r="I3273" s="979"/>
      <c r="J3273" s="979"/>
      <c r="K3273" s="979"/>
      <c r="L3273" s="979"/>
      <c r="M3273" s="979"/>
      <c r="N3273" s="979"/>
      <c r="O3273" s="979"/>
      <c r="P3273" s="979"/>
      <c r="Q3273" s="979"/>
      <c r="R3273" s="979"/>
      <c r="S3273" s="979"/>
      <c r="T3273" s="979"/>
      <c r="U3273" s="979"/>
      <c r="V3273" s="979"/>
      <c r="W3273" s="979"/>
      <c r="X3273" s="979"/>
      <c r="Y3273" s="979"/>
      <c r="Z3273" s="979"/>
      <c r="AA3273" s="979"/>
      <c r="AB3273" s="979"/>
      <c r="AC3273" s="979"/>
      <c r="AD3273" s="979"/>
      <c r="AE3273" s="979"/>
      <c r="AF3273" s="979"/>
      <c r="AG3273" s="980"/>
      <c r="AH3273" s="518"/>
      <c r="AJ3273" s="595"/>
    </row>
    <row r="3274" spans="1:36" hidden="1" x14ac:dyDescent="0.45">
      <c r="A3274" s="518"/>
      <c r="B3274" s="978"/>
      <c r="C3274" s="979"/>
      <c r="D3274" s="979"/>
      <c r="E3274" s="979"/>
      <c r="F3274" s="979"/>
      <c r="G3274" s="979"/>
      <c r="H3274" s="979"/>
      <c r="I3274" s="979"/>
      <c r="J3274" s="979"/>
      <c r="K3274" s="979"/>
      <c r="L3274" s="979"/>
      <c r="M3274" s="979"/>
      <c r="N3274" s="979"/>
      <c r="O3274" s="979"/>
      <c r="P3274" s="979"/>
      <c r="Q3274" s="979"/>
      <c r="R3274" s="979"/>
      <c r="S3274" s="979"/>
      <c r="T3274" s="979"/>
      <c r="U3274" s="979"/>
      <c r="V3274" s="979"/>
      <c r="W3274" s="979"/>
      <c r="X3274" s="979"/>
      <c r="Y3274" s="979"/>
      <c r="Z3274" s="979"/>
      <c r="AA3274" s="979"/>
      <c r="AB3274" s="979"/>
      <c r="AC3274" s="979"/>
      <c r="AD3274" s="979"/>
      <c r="AE3274" s="979"/>
      <c r="AF3274" s="979"/>
      <c r="AG3274" s="980"/>
      <c r="AH3274" s="518"/>
      <c r="AJ3274" s="595"/>
    </row>
    <row r="3275" spans="1:36" hidden="1" x14ac:dyDescent="0.45">
      <c r="A3275" s="518"/>
      <c r="B3275" s="978"/>
      <c r="C3275" s="979"/>
      <c r="D3275" s="979"/>
      <c r="E3275" s="979"/>
      <c r="F3275" s="979"/>
      <c r="G3275" s="979"/>
      <c r="H3275" s="979"/>
      <c r="I3275" s="979"/>
      <c r="J3275" s="979"/>
      <c r="K3275" s="979"/>
      <c r="L3275" s="979"/>
      <c r="M3275" s="979"/>
      <c r="N3275" s="979"/>
      <c r="O3275" s="979"/>
      <c r="P3275" s="979"/>
      <c r="Q3275" s="979"/>
      <c r="R3275" s="979"/>
      <c r="S3275" s="979"/>
      <c r="T3275" s="979"/>
      <c r="U3275" s="979"/>
      <c r="V3275" s="979"/>
      <c r="W3275" s="979"/>
      <c r="X3275" s="979"/>
      <c r="Y3275" s="979"/>
      <c r="Z3275" s="979"/>
      <c r="AA3275" s="979"/>
      <c r="AB3275" s="979"/>
      <c r="AC3275" s="979"/>
      <c r="AD3275" s="979"/>
      <c r="AE3275" s="979"/>
      <c r="AF3275" s="979"/>
      <c r="AG3275" s="980"/>
      <c r="AH3275" s="518"/>
      <c r="AJ3275" s="595"/>
    </row>
    <row r="3276" spans="1:36" hidden="1" x14ac:dyDescent="0.45">
      <c r="A3276" s="518"/>
      <c r="B3276" s="978"/>
      <c r="C3276" s="979"/>
      <c r="D3276" s="979"/>
      <c r="E3276" s="979"/>
      <c r="F3276" s="979"/>
      <c r="G3276" s="979"/>
      <c r="H3276" s="979"/>
      <c r="I3276" s="979"/>
      <c r="J3276" s="979"/>
      <c r="K3276" s="979"/>
      <c r="L3276" s="979"/>
      <c r="M3276" s="979"/>
      <c r="N3276" s="979"/>
      <c r="O3276" s="979"/>
      <c r="P3276" s="979"/>
      <c r="Q3276" s="979"/>
      <c r="R3276" s="979"/>
      <c r="S3276" s="979"/>
      <c r="T3276" s="979"/>
      <c r="U3276" s="979"/>
      <c r="V3276" s="979"/>
      <c r="W3276" s="979"/>
      <c r="X3276" s="979"/>
      <c r="Y3276" s="979"/>
      <c r="Z3276" s="979"/>
      <c r="AA3276" s="979"/>
      <c r="AB3276" s="979"/>
      <c r="AC3276" s="979"/>
      <c r="AD3276" s="979"/>
      <c r="AE3276" s="979"/>
      <c r="AF3276" s="979"/>
      <c r="AG3276" s="980"/>
      <c r="AH3276" s="518"/>
      <c r="AJ3276" s="595"/>
    </row>
    <row r="3277" spans="1:36" hidden="1" x14ac:dyDescent="0.45">
      <c r="A3277" s="518"/>
      <c r="B3277" s="981"/>
      <c r="C3277" s="982"/>
      <c r="D3277" s="982"/>
      <c r="E3277" s="982"/>
      <c r="F3277" s="982"/>
      <c r="G3277" s="982"/>
      <c r="H3277" s="982"/>
      <c r="I3277" s="982"/>
      <c r="J3277" s="982"/>
      <c r="K3277" s="982"/>
      <c r="L3277" s="982"/>
      <c r="M3277" s="982"/>
      <c r="N3277" s="982"/>
      <c r="O3277" s="982"/>
      <c r="P3277" s="982"/>
      <c r="Q3277" s="982"/>
      <c r="R3277" s="982"/>
      <c r="S3277" s="982"/>
      <c r="T3277" s="982"/>
      <c r="U3277" s="982"/>
      <c r="V3277" s="982"/>
      <c r="W3277" s="982"/>
      <c r="X3277" s="982"/>
      <c r="Y3277" s="982"/>
      <c r="Z3277" s="982"/>
      <c r="AA3277" s="982"/>
      <c r="AB3277" s="982"/>
      <c r="AC3277" s="982"/>
      <c r="AD3277" s="982"/>
      <c r="AE3277" s="982"/>
      <c r="AF3277" s="982"/>
      <c r="AG3277" s="983"/>
      <c r="AH3277" s="518"/>
      <c r="AJ3277" s="595"/>
    </row>
    <row r="3278" spans="1:36" hidden="1" x14ac:dyDescent="0.45">
      <c r="A3278" s="518"/>
      <c r="B3278" s="518"/>
      <c r="C3278" s="518"/>
      <c r="D3278" s="518"/>
      <c r="E3278" s="518"/>
      <c r="F3278" s="518"/>
      <c r="G3278" s="518"/>
      <c r="H3278" s="518"/>
      <c r="I3278" s="518"/>
      <c r="J3278" s="518"/>
      <c r="K3278" s="518"/>
      <c r="L3278" s="518"/>
      <c r="M3278" s="518"/>
      <c r="N3278" s="518"/>
      <c r="O3278" s="518"/>
      <c r="P3278" s="518"/>
      <c r="Q3278" s="518"/>
      <c r="R3278" s="518"/>
      <c r="S3278" s="518"/>
      <c r="T3278" s="518"/>
      <c r="U3278" s="518"/>
      <c r="V3278" s="518"/>
      <c r="W3278" s="518"/>
      <c r="X3278" s="518"/>
      <c r="Y3278" s="518"/>
      <c r="Z3278" s="518"/>
      <c r="AA3278" s="518"/>
      <c r="AB3278" s="518"/>
      <c r="AC3278" s="518"/>
      <c r="AD3278" s="518"/>
      <c r="AE3278" s="518"/>
      <c r="AF3278" s="518"/>
      <c r="AG3278" s="518"/>
      <c r="AH3278" s="518"/>
      <c r="AJ3278" s="595"/>
    </row>
    <row r="3279" spans="1:36" hidden="1" x14ac:dyDescent="0.45">
      <c r="A3279" s="518"/>
      <c r="B3279" s="518"/>
      <c r="C3279" s="518"/>
      <c r="D3279" s="518"/>
      <c r="E3279" s="518"/>
      <c r="F3279" s="518"/>
      <c r="G3279" s="518"/>
      <c r="H3279" s="518"/>
      <c r="I3279" s="518"/>
      <c r="J3279" s="518"/>
      <c r="K3279" s="518"/>
      <c r="L3279" s="518"/>
      <c r="M3279" s="518"/>
      <c r="N3279" s="518"/>
      <c r="O3279" s="518"/>
      <c r="P3279" s="518"/>
      <c r="Q3279" s="518"/>
      <c r="R3279" s="518"/>
      <c r="S3279" s="518"/>
      <c r="T3279" s="518"/>
      <c r="U3279" s="518"/>
      <c r="V3279" s="518"/>
      <c r="W3279" s="518"/>
      <c r="X3279" s="518"/>
      <c r="Y3279" s="518"/>
      <c r="Z3279" s="518"/>
      <c r="AA3279" s="518"/>
      <c r="AB3279" s="518"/>
      <c r="AC3279" s="518"/>
      <c r="AD3279" s="518"/>
      <c r="AE3279" s="518"/>
      <c r="AF3279" s="518"/>
      <c r="AG3279" s="518"/>
      <c r="AH3279" s="518"/>
      <c r="AJ3279" s="595"/>
    </row>
    <row r="3280" spans="1:36" hidden="1" x14ac:dyDescent="0.45">
      <c r="A3280" s="518"/>
      <c r="B3280" s="907" t="s">
        <v>25</v>
      </c>
      <c r="C3280" s="907"/>
      <c r="D3280" s="907"/>
      <c r="E3280" s="907"/>
      <c r="F3280" s="907"/>
      <c r="G3280" s="907"/>
      <c r="H3280" s="907"/>
      <c r="I3280" s="907"/>
      <c r="J3280" s="907"/>
      <c r="K3280" s="907"/>
      <c r="L3280" s="907"/>
      <c r="M3280" s="907"/>
      <c r="N3280" s="907"/>
      <c r="O3280" s="907"/>
      <c r="P3280" s="907"/>
      <c r="Q3280" s="907"/>
      <c r="R3280" s="907"/>
      <c r="S3280" s="907"/>
      <c r="T3280" s="907"/>
      <c r="U3280" s="907"/>
      <c r="V3280" s="907"/>
      <c r="W3280" s="907"/>
      <c r="X3280" s="907"/>
      <c r="Y3280" s="907"/>
      <c r="Z3280" s="907"/>
      <c r="AA3280" s="907"/>
      <c r="AB3280" s="907"/>
      <c r="AC3280" s="907"/>
      <c r="AD3280" s="907"/>
      <c r="AE3280" s="907"/>
      <c r="AF3280" s="907"/>
      <c r="AG3280" s="907"/>
      <c r="AH3280" s="518"/>
      <c r="AJ3280" s="595"/>
    </row>
    <row r="3281" spans="1:36" hidden="1" x14ac:dyDescent="0.45">
      <c r="A3281" s="518"/>
      <c r="B3281" s="907" t="str">
        <f>B3238</f>
        <v>Serna Homeownership Project Development Loan</v>
      </c>
      <c r="C3281" s="907"/>
      <c r="D3281" s="907"/>
      <c r="E3281" s="907"/>
      <c r="F3281" s="907"/>
      <c r="G3281" s="907"/>
      <c r="H3281" s="907"/>
      <c r="I3281" s="907"/>
      <c r="J3281" s="907"/>
      <c r="K3281" s="907"/>
      <c r="L3281" s="907"/>
      <c r="M3281" s="907"/>
      <c r="N3281" s="907"/>
      <c r="O3281" s="907"/>
      <c r="P3281" s="907"/>
      <c r="Q3281" s="907"/>
      <c r="R3281" s="907"/>
      <c r="S3281" s="907"/>
      <c r="T3281" s="907"/>
      <c r="U3281" s="907"/>
      <c r="V3281" s="907"/>
      <c r="W3281" s="907"/>
      <c r="X3281" s="907"/>
      <c r="Y3281" s="907"/>
      <c r="Z3281" s="907"/>
      <c r="AA3281" s="907"/>
      <c r="AB3281" s="907"/>
      <c r="AC3281" s="907"/>
      <c r="AD3281" s="907"/>
      <c r="AE3281" s="907"/>
      <c r="AF3281" s="907"/>
      <c r="AG3281" s="907"/>
      <c r="AH3281" s="518"/>
      <c r="AJ3281" s="595"/>
    </row>
    <row r="3282" spans="1:36" hidden="1" x14ac:dyDescent="0.45">
      <c r="A3282" s="518"/>
      <c r="B3282" s="518"/>
      <c r="C3282" s="518"/>
      <c r="D3282" s="518"/>
      <c r="E3282" s="518"/>
      <c r="F3282" s="518"/>
      <c r="G3282" s="518"/>
      <c r="H3282" s="518"/>
      <c r="I3282" s="518"/>
      <c r="J3282" s="518"/>
      <c r="K3282" s="518"/>
      <c r="L3282" s="518"/>
      <c r="M3282" s="518"/>
      <c r="N3282" s="518"/>
      <c r="O3282" s="518"/>
      <c r="P3282" s="518"/>
      <c r="Q3282" s="518"/>
      <c r="R3282" s="518"/>
      <c r="S3282" s="518"/>
      <c r="T3282" s="518"/>
      <c r="U3282" s="518"/>
      <c r="V3282" s="518"/>
      <c r="W3282" s="518"/>
      <c r="X3282" s="518"/>
      <c r="Y3282" s="518"/>
      <c r="Z3282" s="518"/>
      <c r="AA3282" s="518"/>
      <c r="AB3282" s="518"/>
      <c r="AC3282" s="518"/>
      <c r="AD3282" s="518"/>
      <c r="AE3282" s="518"/>
      <c r="AF3282" s="518"/>
      <c r="AG3282" s="518"/>
      <c r="AH3282" s="518"/>
      <c r="AJ3282" s="595"/>
    </row>
    <row r="3283" spans="1:36" hidden="1" x14ac:dyDescent="0.45">
      <c r="A3283" s="518"/>
      <c r="B3283" s="907" t="s">
        <v>1779</v>
      </c>
      <c r="C3283" s="907"/>
      <c r="D3283" s="907"/>
      <c r="E3283" s="907"/>
      <c r="F3283" s="907"/>
      <c r="G3283" s="907"/>
      <c r="H3283" s="907"/>
      <c r="I3283" s="907"/>
      <c r="J3283" s="907"/>
      <c r="K3283" s="907"/>
      <c r="L3283" s="907"/>
      <c r="M3283" s="907"/>
      <c r="N3283" s="907"/>
      <c r="O3283" s="907"/>
      <c r="P3283" s="907"/>
      <c r="Q3283" s="907"/>
      <c r="R3283" s="907"/>
      <c r="S3283" s="907"/>
      <c r="T3283" s="907"/>
      <c r="U3283" s="907"/>
      <c r="V3283" s="907"/>
      <c r="W3283" s="907"/>
      <c r="X3283" s="907"/>
      <c r="Y3283" s="907"/>
      <c r="Z3283" s="907"/>
      <c r="AA3283" s="907"/>
      <c r="AB3283" s="907"/>
      <c r="AC3283" s="907"/>
      <c r="AD3283" s="907"/>
      <c r="AE3283" s="907"/>
      <c r="AF3283" s="907"/>
      <c r="AG3283" s="907"/>
      <c r="AH3283" s="518"/>
      <c r="AJ3283" s="595"/>
    </row>
    <row r="3284" spans="1:36" ht="23.5" hidden="1" customHeight="1" x14ac:dyDescent="0.45">
      <c r="A3284" s="518"/>
      <c r="B3284" s="984" t="s">
        <v>1582</v>
      </c>
      <c r="C3284" s="984"/>
      <c r="D3284" s="984"/>
      <c r="E3284" s="984"/>
      <c r="F3284" s="984"/>
      <c r="G3284" s="984"/>
      <c r="H3284" s="984"/>
      <c r="I3284" s="984"/>
      <c r="J3284" s="984"/>
      <c r="K3284" s="984"/>
      <c r="L3284" s="984"/>
      <c r="M3284" s="984"/>
      <c r="N3284" s="984"/>
      <c r="O3284" s="984"/>
      <c r="P3284" s="984"/>
      <c r="Q3284" s="984"/>
      <c r="R3284" s="984"/>
      <c r="S3284" s="984"/>
      <c r="T3284" s="984"/>
      <c r="U3284" s="984"/>
      <c r="V3284" s="984"/>
      <c r="W3284" s="984"/>
      <c r="X3284" s="984"/>
      <c r="Y3284" s="984"/>
      <c r="Z3284" s="984"/>
      <c r="AA3284" s="984"/>
      <c r="AB3284" s="984"/>
      <c r="AC3284" s="984"/>
      <c r="AD3284" s="984"/>
      <c r="AE3284" s="984"/>
      <c r="AF3284" s="984"/>
      <c r="AG3284" s="984"/>
      <c r="AH3284" s="518"/>
      <c r="AJ3284" s="595"/>
    </row>
    <row r="3285" spans="1:36" hidden="1" x14ac:dyDescent="0.45">
      <c r="A3285" s="518"/>
      <c r="B3285" s="975"/>
      <c r="C3285" s="976"/>
      <c r="D3285" s="976"/>
      <c r="E3285" s="976"/>
      <c r="F3285" s="976"/>
      <c r="G3285" s="976"/>
      <c r="H3285" s="976"/>
      <c r="I3285" s="976"/>
      <c r="J3285" s="976"/>
      <c r="K3285" s="976"/>
      <c r="L3285" s="976"/>
      <c r="M3285" s="976"/>
      <c r="N3285" s="976"/>
      <c r="O3285" s="976"/>
      <c r="P3285" s="976"/>
      <c r="Q3285" s="976"/>
      <c r="R3285" s="976"/>
      <c r="S3285" s="976"/>
      <c r="T3285" s="976"/>
      <c r="U3285" s="976"/>
      <c r="V3285" s="976"/>
      <c r="W3285" s="976"/>
      <c r="X3285" s="976"/>
      <c r="Y3285" s="976"/>
      <c r="Z3285" s="976"/>
      <c r="AA3285" s="976"/>
      <c r="AB3285" s="976"/>
      <c r="AC3285" s="976"/>
      <c r="AD3285" s="976"/>
      <c r="AE3285" s="976"/>
      <c r="AF3285" s="976"/>
      <c r="AG3285" s="977"/>
      <c r="AH3285" s="518"/>
      <c r="AJ3285" s="595"/>
    </row>
    <row r="3286" spans="1:36" hidden="1" x14ac:dyDescent="0.45">
      <c r="A3286" s="518"/>
      <c r="B3286" s="978"/>
      <c r="C3286" s="979"/>
      <c r="D3286" s="979"/>
      <c r="E3286" s="979"/>
      <c r="F3286" s="979"/>
      <c r="G3286" s="979"/>
      <c r="H3286" s="979"/>
      <c r="I3286" s="979"/>
      <c r="J3286" s="979"/>
      <c r="K3286" s="979"/>
      <c r="L3286" s="979"/>
      <c r="M3286" s="979"/>
      <c r="N3286" s="979"/>
      <c r="O3286" s="979"/>
      <c r="P3286" s="979"/>
      <c r="Q3286" s="979"/>
      <c r="R3286" s="979"/>
      <c r="S3286" s="979"/>
      <c r="T3286" s="979"/>
      <c r="U3286" s="979"/>
      <c r="V3286" s="979"/>
      <c r="W3286" s="979"/>
      <c r="X3286" s="979"/>
      <c r="Y3286" s="979"/>
      <c r="Z3286" s="979"/>
      <c r="AA3286" s="979"/>
      <c r="AB3286" s="979"/>
      <c r="AC3286" s="979"/>
      <c r="AD3286" s="979"/>
      <c r="AE3286" s="979"/>
      <c r="AF3286" s="979"/>
      <c r="AG3286" s="980"/>
      <c r="AH3286" s="518"/>
      <c r="AJ3286" s="595"/>
    </row>
    <row r="3287" spans="1:36" hidden="1" x14ac:dyDescent="0.45">
      <c r="A3287" s="518"/>
      <c r="B3287" s="978"/>
      <c r="C3287" s="979"/>
      <c r="D3287" s="979"/>
      <c r="E3287" s="979"/>
      <c r="F3287" s="979"/>
      <c r="G3287" s="979"/>
      <c r="H3287" s="979"/>
      <c r="I3287" s="979"/>
      <c r="J3287" s="979"/>
      <c r="K3287" s="979"/>
      <c r="L3287" s="979"/>
      <c r="M3287" s="979"/>
      <c r="N3287" s="979"/>
      <c r="O3287" s="979"/>
      <c r="P3287" s="979"/>
      <c r="Q3287" s="979"/>
      <c r="R3287" s="979"/>
      <c r="S3287" s="979"/>
      <c r="T3287" s="979"/>
      <c r="U3287" s="979"/>
      <c r="V3287" s="979"/>
      <c r="W3287" s="979"/>
      <c r="X3287" s="979"/>
      <c r="Y3287" s="979"/>
      <c r="Z3287" s="979"/>
      <c r="AA3287" s="979"/>
      <c r="AB3287" s="979"/>
      <c r="AC3287" s="979"/>
      <c r="AD3287" s="979"/>
      <c r="AE3287" s="979"/>
      <c r="AF3287" s="979"/>
      <c r="AG3287" s="980"/>
      <c r="AH3287" s="518"/>
      <c r="AJ3287" s="595"/>
    </row>
    <row r="3288" spans="1:36" hidden="1" x14ac:dyDescent="0.45">
      <c r="A3288" s="518"/>
      <c r="B3288" s="978"/>
      <c r="C3288" s="979"/>
      <c r="D3288" s="979"/>
      <c r="E3288" s="979"/>
      <c r="F3288" s="979"/>
      <c r="G3288" s="979"/>
      <c r="H3288" s="979"/>
      <c r="I3288" s="979"/>
      <c r="J3288" s="979"/>
      <c r="K3288" s="979"/>
      <c r="L3288" s="979"/>
      <c r="M3288" s="979"/>
      <c r="N3288" s="979"/>
      <c r="O3288" s="979"/>
      <c r="P3288" s="979"/>
      <c r="Q3288" s="979"/>
      <c r="R3288" s="979"/>
      <c r="S3288" s="979"/>
      <c r="T3288" s="979"/>
      <c r="U3288" s="979"/>
      <c r="V3288" s="979"/>
      <c r="W3288" s="979"/>
      <c r="X3288" s="979"/>
      <c r="Y3288" s="979"/>
      <c r="Z3288" s="979"/>
      <c r="AA3288" s="979"/>
      <c r="AB3288" s="979"/>
      <c r="AC3288" s="979"/>
      <c r="AD3288" s="979"/>
      <c r="AE3288" s="979"/>
      <c r="AF3288" s="979"/>
      <c r="AG3288" s="980"/>
      <c r="AH3288" s="518"/>
      <c r="AJ3288" s="595"/>
    </row>
    <row r="3289" spans="1:36" hidden="1" x14ac:dyDescent="0.45">
      <c r="A3289" s="518"/>
      <c r="B3289" s="978"/>
      <c r="C3289" s="979"/>
      <c r="D3289" s="979"/>
      <c r="E3289" s="979"/>
      <c r="F3289" s="979"/>
      <c r="G3289" s="979"/>
      <c r="H3289" s="979"/>
      <c r="I3289" s="979"/>
      <c r="J3289" s="979"/>
      <c r="K3289" s="979"/>
      <c r="L3289" s="979"/>
      <c r="M3289" s="979"/>
      <c r="N3289" s="979"/>
      <c r="O3289" s="979"/>
      <c r="P3289" s="979"/>
      <c r="Q3289" s="979"/>
      <c r="R3289" s="979"/>
      <c r="S3289" s="979"/>
      <c r="T3289" s="979"/>
      <c r="U3289" s="979"/>
      <c r="V3289" s="979"/>
      <c r="W3289" s="979"/>
      <c r="X3289" s="979"/>
      <c r="Y3289" s="979"/>
      <c r="Z3289" s="979"/>
      <c r="AA3289" s="979"/>
      <c r="AB3289" s="979"/>
      <c r="AC3289" s="979"/>
      <c r="AD3289" s="979"/>
      <c r="AE3289" s="979"/>
      <c r="AF3289" s="979"/>
      <c r="AG3289" s="980"/>
      <c r="AH3289" s="518"/>
      <c r="AJ3289" s="595"/>
    </row>
    <row r="3290" spans="1:36" hidden="1" x14ac:dyDescent="0.45">
      <c r="A3290" s="518"/>
      <c r="B3290" s="978"/>
      <c r="C3290" s="979"/>
      <c r="D3290" s="979"/>
      <c r="E3290" s="979"/>
      <c r="F3290" s="979"/>
      <c r="G3290" s="979"/>
      <c r="H3290" s="979"/>
      <c r="I3290" s="979"/>
      <c r="J3290" s="979"/>
      <c r="K3290" s="979"/>
      <c r="L3290" s="979"/>
      <c r="M3290" s="979"/>
      <c r="N3290" s="979"/>
      <c r="O3290" s="979"/>
      <c r="P3290" s="979"/>
      <c r="Q3290" s="979"/>
      <c r="R3290" s="979"/>
      <c r="S3290" s="979"/>
      <c r="T3290" s="979"/>
      <c r="U3290" s="979"/>
      <c r="V3290" s="979"/>
      <c r="W3290" s="979"/>
      <c r="X3290" s="979"/>
      <c r="Y3290" s="979"/>
      <c r="Z3290" s="979"/>
      <c r="AA3290" s="979"/>
      <c r="AB3290" s="979"/>
      <c r="AC3290" s="979"/>
      <c r="AD3290" s="979"/>
      <c r="AE3290" s="979"/>
      <c r="AF3290" s="979"/>
      <c r="AG3290" s="980"/>
      <c r="AH3290" s="518"/>
      <c r="AJ3290" s="595"/>
    </row>
    <row r="3291" spans="1:36" hidden="1" x14ac:dyDescent="0.45">
      <c r="A3291" s="518"/>
      <c r="B3291" s="978"/>
      <c r="C3291" s="979"/>
      <c r="D3291" s="979"/>
      <c r="E3291" s="979"/>
      <c r="F3291" s="979"/>
      <c r="G3291" s="979"/>
      <c r="H3291" s="979"/>
      <c r="I3291" s="979"/>
      <c r="J3291" s="979"/>
      <c r="K3291" s="979"/>
      <c r="L3291" s="979"/>
      <c r="M3291" s="979"/>
      <c r="N3291" s="979"/>
      <c r="O3291" s="979"/>
      <c r="P3291" s="979"/>
      <c r="Q3291" s="979"/>
      <c r="R3291" s="979"/>
      <c r="S3291" s="979"/>
      <c r="T3291" s="979"/>
      <c r="U3291" s="979"/>
      <c r="V3291" s="979"/>
      <c r="W3291" s="979"/>
      <c r="X3291" s="979"/>
      <c r="Y3291" s="979"/>
      <c r="Z3291" s="979"/>
      <c r="AA3291" s="979"/>
      <c r="AB3291" s="979"/>
      <c r="AC3291" s="979"/>
      <c r="AD3291" s="979"/>
      <c r="AE3291" s="979"/>
      <c r="AF3291" s="979"/>
      <c r="AG3291" s="980"/>
      <c r="AH3291" s="518"/>
      <c r="AJ3291" s="595"/>
    </row>
    <row r="3292" spans="1:36" hidden="1" x14ac:dyDescent="0.45">
      <c r="A3292" s="518"/>
      <c r="B3292" s="978"/>
      <c r="C3292" s="979"/>
      <c r="D3292" s="979"/>
      <c r="E3292" s="979"/>
      <c r="F3292" s="979"/>
      <c r="G3292" s="979"/>
      <c r="H3292" s="979"/>
      <c r="I3292" s="979"/>
      <c r="J3292" s="979"/>
      <c r="K3292" s="979"/>
      <c r="L3292" s="979"/>
      <c r="M3292" s="979"/>
      <c r="N3292" s="979"/>
      <c r="O3292" s="979"/>
      <c r="P3292" s="979"/>
      <c r="Q3292" s="979"/>
      <c r="R3292" s="979"/>
      <c r="S3292" s="979"/>
      <c r="T3292" s="979"/>
      <c r="U3292" s="979"/>
      <c r="V3292" s="979"/>
      <c r="W3292" s="979"/>
      <c r="X3292" s="979"/>
      <c r="Y3292" s="979"/>
      <c r="Z3292" s="979"/>
      <c r="AA3292" s="979"/>
      <c r="AB3292" s="979"/>
      <c r="AC3292" s="979"/>
      <c r="AD3292" s="979"/>
      <c r="AE3292" s="979"/>
      <c r="AF3292" s="979"/>
      <c r="AG3292" s="980"/>
      <c r="AH3292" s="518"/>
      <c r="AJ3292" s="595"/>
    </row>
    <row r="3293" spans="1:36" hidden="1" x14ac:dyDescent="0.45">
      <c r="A3293" s="518"/>
      <c r="B3293" s="978"/>
      <c r="C3293" s="979"/>
      <c r="D3293" s="979"/>
      <c r="E3293" s="979"/>
      <c r="F3293" s="979"/>
      <c r="G3293" s="979"/>
      <c r="H3293" s="979"/>
      <c r="I3293" s="979"/>
      <c r="J3293" s="979"/>
      <c r="K3293" s="979"/>
      <c r="L3293" s="979"/>
      <c r="M3293" s="979"/>
      <c r="N3293" s="979"/>
      <c r="O3293" s="979"/>
      <c r="P3293" s="979"/>
      <c r="Q3293" s="979"/>
      <c r="R3293" s="979"/>
      <c r="S3293" s="979"/>
      <c r="T3293" s="979"/>
      <c r="U3293" s="979"/>
      <c r="V3293" s="979"/>
      <c r="W3293" s="979"/>
      <c r="X3293" s="979"/>
      <c r="Y3293" s="979"/>
      <c r="Z3293" s="979"/>
      <c r="AA3293" s="979"/>
      <c r="AB3293" s="979"/>
      <c r="AC3293" s="979"/>
      <c r="AD3293" s="979"/>
      <c r="AE3293" s="979"/>
      <c r="AF3293" s="979"/>
      <c r="AG3293" s="980"/>
      <c r="AH3293" s="518"/>
      <c r="AJ3293" s="595"/>
    </row>
    <row r="3294" spans="1:36" hidden="1" x14ac:dyDescent="0.45">
      <c r="A3294" s="518"/>
      <c r="B3294" s="978"/>
      <c r="C3294" s="979"/>
      <c r="D3294" s="979"/>
      <c r="E3294" s="979"/>
      <c r="F3294" s="979"/>
      <c r="G3294" s="979"/>
      <c r="H3294" s="979"/>
      <c r="I3294" s="979"/>
      <c r="J3294" s="979"/>
      <c r="K3294" s="979"/>
      <c r="L3294" s="979"/>
      <c r="M3294" s="979"/>
      <c r="N3294" s="979"/>
      <c r="O3294" s="979"/>
      <c r="P3294" s="979"/>
      <c r="Q3294" s="979"/>
      <c r="R3294" s="979"/>
      <c r="S3294" s="979"/>
      <c r="T3294" s="979"/>
      <c r="U3294" s="979"/>
      <c r="V3294" s="979"/>
      <c r="W3294" s="979"/>
      <c r="X3294" s="979"/>
      <c r="Y3294" s="979"/>
      <c r="Z3294" s="979"/>
      <c r="AA3294" s="979"/>
      <c r="AB3294" s="979"/>
      <c r="AC3294" s="979"/>
      <c r="AD3294" s="979"/>
      <c r="AE3294" s="979"/>
      <c r="AF3294" s="979"/>
      <c r="AG3294" s="980"/>
      <c r="AH3294" s="518"/>
      <c r="AJ3294" s="595"/>
    </row>
    <row r="3295" spans="1:36" hidden="1" x14ac:dyDescent="0.45">
      <c r="A3295" s="518"/>
      <c r="B3295" s="978"/>
      <c r="C3295" s="979"/>
      <c r="D3295" s="979"/>
      <c r="E3295" s="979"/>
      <c r="F3295" s="979"/>
      <c r="G3295" s="979"/>
      <c r="H3295" s="979"/>
      <c r="I3295" s="979"/>
      <c r="J3295" s="979"/>
      <c r="K3295" s="979"/>
      <c r="L3295" s="979"/>
      <c r="M3295" s="979"/>
      <c r="N3295" s="979"/>
      <c r="O3295" s="979"/>
      <c r="P3295" s="979"/>
      <c r="Q3295" s="979"/>
      <c r="R3295" s="979"/>
      <c r="S3295" s="979"/>
      <c r="T3295" s="979"/>
      <c r="U3295" s="979"/>
      <c r="V3295" s="979"/>
      <c r="W3295" s="979"/>
      <c r="X3295" s="979"/>
      <c r="Y3295" s="979"/>
      <c r="Z3295" s="979"/>
      <c r="AA3295" s="979"/>
      <c r="AB3295" s="979"/>
      <c r="AC3295" s="979"/>
      <c r="AD3295" s="979"/>
      <c r="AE3295" s="979"/>
      <c r="AF3295" s="979"/>
      <c r="AG3295" s="980"/>
      <c r="AH3295" s="518"/>
      <c r="AJ3295" s="595"/>
    </row>
    <row r="3296" spans="1:36" hidden="1" x14ac:dyDescent="0.45">
      <c r="A3296" s="518"/>
      <c r="B3296" s="978"/>
      <c r="C3296" s="979"/>
      <c r="D3296" s="979"/>
      <c r="E3296" s="979"/>
      <c r="F3296" s="979"/>
      <c r="G3296" s="979"/>
      <c r="H3296" s="979"/>
      <c r="I3296" s="979"/>
      <c r="J3296" s="979"/>
      <c r="K3296" s="979"/>
      <c r="L3296" s="979"/>
      <c r="M3296" s="979"/>
      <c r="N3296" s="979"/>
      <c r="O3296" s="979"/>
      <c r="P3296" s="979"/>
      <c r="Q3296" s="979"/>
      <c r="R3296" s="979"/>
      <c r="S3296" s="979"/>
      <c r="T3296" s="979"/>
      <c r="U3296" s="979"/>
      <c r="V3296" s="979"/>
      <c r="W3296" s="979"/>
      <c r="X3296" s="979"/>
      <c r="Y3296" s="979"/>
      <c r="Z3296" s="979"/>
      <c r="AA3296" s="979"/>
      <c r="AB3296" s="979"/>
      <c r="AC3296" s="979"/>
      <c r="AD3296" s="979"/>
      <c r="AE3296" s="979"/>
      <c r="AF3296" s="979"/>
      <c r="AG3296" s="980"/>
      <c r="AH3296" s="518"/>
      <c r="AJ3296" s="595"/>
    </row>
    <row r="3297" spans="1:36" hidden="1" x14ac:dyDescent="0.45">
      <c r="A3297" s="518"/>
      <c r="B3297" s="978"/>
      <c r="C3297" s="979"/>
      <c r="D3297" s="979"/>
      <c r="E3297" s="979"/>
      <c r="F3297" s="979"/>
      <c r="G3297" s="979"/>
      <c r="H3297" s="979"/>
      <c r="I3297" s="979"/>
      <c r="J3297" s="979"/>
      <c r="K3297" s="979"/>
      <c r="L3297" s="979"/>
      <c r="M3297" s="979"/>
      <c r="N3297" s="979"/>
      <c r="O3297" s="979"/>
      <c r="P3297" s="979"/>
      <c r="Q3297" s="979"/>
      <c r="R3297" s="979"/>
      <c r="S3297" s="979"/>
      <c r="T3297" s="979"/>
      <c r="U3297" s="979"/>
      <c r="V3297" s="979"/>
      <c r="W3297" s="979"/>
      <c r="X3297" s="979"/>
      <c r="Y3297" s="979"/>
      <c r="Z3297" s="979"/>
      <c r="AA3297" s="979"/>
      <c r="AB3297" s="979"/>
      <c r="AC3297" s="979"/>
      <c r="AD3297" s="979"/>
      <c r="AE3297" s="979"/>
      <c r="AF3297" s="979"/>
      <c r="AG3297" s="980"/>
      <c r="AH3297" s="518"/>
      <c r="AJ3297" s="595"/>
    </row>
    <row r="3298" spans="1:36" hidden="1" x14ac:dyDescent="0.45">
      <c r="A3298" s="518"/>
      <c r="B3298" s="978"/>
      <c r="C3298" s="979"/>
      <c r="D3298" s="979"/>
      <c r="E3298" s="979"/>
      <c r="F3298" s="979"/>
      <c r="G3298" s="979"/>
      <c r="H3298" s="979"/>
      <c r="I3298" s="979"/>
      <c r="J3298" s="979"/>
      <c r="K3298" s="979"/>
      <c r="L3298" s="979"/>
      <c r="M3298" s="979"/>
      <c r="N3298" s="979"/>
      <c r="O3298" s="979"/>
      <c r="P3298" s="979"/>
      <c r="Q3298" s="979"/>
      <c r="R3298" s="979"/>
      <c r="S3298" s="979"/>
      <c r="T3298" s="979"/>
      <c r="U3298" s="979"/>
      <c r="V3298" s="979"/>
      <c r="W3298" s="979"/>
      <c r="X3298" s="979"/>
      <c r="Y3298" s="979"/>
      <c r="Z3298" s="979"/>
      <c r="AA3298" s="979"/>
      <c r="AB3298" s="979"/>
      <c r="AC3298" s="979"/>
      <c r="AD3298" s="979"/>
      <c r="AE3298" s="979"/>
      <c r="AF3298" s="979"/>
      <c r="AG3298" s="980"/>
      <c r="AH3298" s="518"/>
      <c r="AJ3298" s="595"/>
    </row>
    <row r="3299" spans="1:36" hidden="1" x14ac:dyDescent="0.45">
      <c r="A3299" s="518"/>
      <c r="B3299" s="978"/>
      <c r="C3299" s="979"/>
      <c r="D3299" s="979"/>
      <c r="E3299" s="979"/>
      <c r="F3299" s="979"/>
      <c r="G3299" s="979"/>
      <c r="H3299" s="979"/>
      <c r="I3299" s="979"/>
      <c r="J3299" s="979"/>
      <c r="K3299" s="979"/>
      <c r="L3299" s="979"/>
      <c r="M3299" s="979"/>
      <c r="N3299" s="979"/>
      <c r="O3299" s="979"/>
      <c r="P3299" s="979"/>
      <c r="Q3299" s="979"/>
      <c r="R3299" s="979"/>
      <c r="S3299" s="979"/>
      <c r="T3299" s="979"/>
      <c r="U3299" s="979"/>
      <c r="V3299" s="979"/>
      <c r="W3299" s="979"/>
      <c r="X3299" s="979"/>
      <c r="Y3299" s="979"/>
      <c r="Z3299" s="979"/>
      <c r="AA3299" s="979"/>
      <c r="AB3299" s="979"/>
      <c r="AC3299" s="979"/>
      <c r="AD3299" s="979"/>
      <c r="AE3299" s="979"/>
      <c r="AF3299" s="979"/>
      <c r="AG3299" s="980"/>
      <c r="AH3299" s="518"/>
      <c r="AJ3299" s="595"/>
    </row>
    <row r="3300" spans="1:36" hidden="1" x14ac:dyDescent="0.45">
      <c r="A3300" s="518"/>
      <c r="B3300" s="978"/>
      <c r="C3300" s="979"/>
      <c r="D3300" s="979"/>
      <c r="E3300" s="979"/>
      <c r="F3300" s="979"/>
      <c r="G3300" s="979"/>
      <c r="H3300" s="979"/>
      <c r="I3300" s="979"/>
      <c r="J3300" s="979"/>
      <c r="K3300" s="979"/>
      <c r="L3300" s="979"/>
      <c r="M3300" s="979"/>
      <c r="N3300" s="979"/>
      <c r="O3300" s="979"/>
      <c r="P3300" s="979"/>
      <c r="Q3300" s="979"/>
      <c r="R3300" s="979"/>
      <c r="S3300" s="979"/>
      <c r="T3300" s="979"/>
      <c r="U3300" s="979"/>
      <c r="V3300" s="979"/>
      <c r="W3300" s="979"/>
      <c r="X3300" s="979"/>
      <c r="Y3300" s="979"/>
      <c r="Z3300" s="979"/>
      <c r="AA3300" s="979"/>
      <c r="AB3300" s="979"/>
      <c r="AC3300" s="979"/>
      <c r="AD3300" s="979"/>
      <c r="AE3300" s="979"/>
      <c r="AF3300" s="979"/>
      <c r="AG3300" s="980"/>
      <c r="AH3300" s="518"/>
      <c r="AJ3300" s="595"/>
    </row>
    <row r="3301" spans="1:36" hidden="1" x14ac:dyDescent="0.45">
      <c r="A3301" s="518"/>
      <c r="B3301" s="978"/>
      <c r="C3301" s="979"/>
      <c r="D3301" s="979"/>
      <c r="E3301" s="979"/>
      <c r="F3301" s="979"/>
      <c r="G3301" s="979"/>
      <c r="H3301" s="979"/>
      <c r="I3301" s="979"/>
      <c r="J3301" s="979"/>
      <c r="K3301" s="979"/>
      <c r="L3301" s="979"/>
      <c r="M3301" s="979"/>
      <c r="N3301" s="979"/>
      <c r="O3301" s="979"/>
      <c r="P3301" s="979"/>
      <c r="Q3301" s="979"/>
      <c r="R3301" s="979"/>
      <c r="S3301" s="979"/>
      <c r="T3301" s="979"/>
      <c r="U3301" s="979"/>
      <c r="V3301" s="979"/>
      <c r="W3301" s="979"/>
      <c r="X3301" s="979"/>
      <c r="Y3301" s="979"/>
      <c r="Z3301" s="979"/>
      <c r="AA3301" s="979"/>
      <c r="AB3301" s="979"/>
      <c r="AC3301" s="979"/>
      <c r="AD3301" s="979"/>
      <c r="AE3301" s="979"/>
      <c r="AF3301" s="979"/>
      <c r="AG3301" s="980"/>
      <c r="AH3301" s="518"/>
      <c r="AJ3301" s="595"/>
    </row>
    <row r="3302" spans="1:36" hidden="1" x14ac:dyDescent="0.45">
      <c r="A3302" s="518"/>
      <c r="B3302" s="978"/>
      <c r="C3302" s="979"/>
      <c r="D3302" s="979"/>
      <c r="E3302" s="979"/>
      <c r="F3302" s="979"/>
      <c r="G3302" s="979"/>
      <c r="H3302" s="979"/>
      <c r="I3302" s="979"/>
      <c r="J3302" s="979"/>
      <c r="K3302" s="979"/>
      <c r="L3302" s="979"/>
      <c r="M3302" s="979"/>
      <c r="N3302" s="979"/>
      <c r="O3302" s="979"/>
      <c r="P3302" s="979"/>
      <c r="Q3302" s="979"/>
      <c r="R3302" s="979"/>
      <c r="S3302" s="979"/>
      <c r="T3302" s="979"/>
      <c r="U3302" s="979"/>
      <c r="V3302" s="979"/>
      <c r="W3302" s="979"/>
      <c r="X3302" s="979"/>
      <c r="Y3302" s="979"/>
      <c r="Z3302" s="979"/>
      <c r="AA3302" s="979"/>
      <c r="AB3302" s="979"/>
      <c r="AC3302" s="979"/>
      <c r="AD3302" s="979"/>
      <c r="AE3302" s="979"/>
      <c r="AF3302" s="979"/>
      <c r="AG3302" s="980"/>
      <c r="AH3302" s="518"/>
      <c r="AJ3302" s="595"/>
    </row>
    <row r="3303" spans="1:36" hidden="1" x14ac:dyDescent="0.45">
      <c r="A3303" s="518"/>
      <c r="B3303" s="978"/>
      <c r="C3303" s="979"/>
      <c r="D3303" s="979"/>
      <c r="E3303" s="979"/>
      <c r="F3303" s="979"/>
      <c r="G3303" s="979"/>
      <c r="H3303" s="979"/>
      <c r="I3303" s="979"/>
      <c r="J3303" s="979"/>
      <c r="K3303" s="979"/>
      <c r="L3303" s="979"/>
      <c r="M3303" s="979"/>
      <c r="N3303" s="979"/>
      <c r="O3303" s="979"/>
      <c r="P3303" s="979"/>
      <c r="Q3303" s="979"/>
      <c r="R3303" s="979"/>
      <c r="S3303" s="979"/>
      <c r="T3303" s="979"/>
      <c r="U3303" s="979"/>
      <c r="V3303" s="979"/>
      <c r="W3303" s="979"/>
      <c r="X3303" s="979"/>
      <c r="Y3303" s="979"/>
      <c r="Z3303" s="979"/>
      <c r="AA3303" s="979"/>
      <c r="AB3303" s="979"/>
      <c r="AC3303" s="979"/>
      <c r="AD3303" s="979"/>
      <c r="AE3303" s="979"/>
      <c r="AF3303" s="979"/>
      <c r="AG3303" s="980"/>
      <c r="AH3303" s="518"/>
      <c r="AJ3303" s="595"/>
    </row>
    <row r="3304" spans="1:36" hidden="1" x14ac:dyDescent="0.45">
      <c r="A3304" s="518"/>
      <c r="B3304" s="978"/>
      <c r="C3304" s="979"/>
      <c r="D3304" s="979"/>
      <c r="E3304" s="979"/>
      <c r="F3304" s="979"/>
      <c r="G3304" s="979"/>
      <c r="H3304" s="979"/>
      <c r="I3304" s="979"/>
      <c r="J3304" s="979"/>
      <c r="K3304" s="979"/>
      <c r="L3304" s="979"/>
      <c r="M3304" s="979"/>
      <c r="N3304" s="979"/>
      <c r="O3304" s="979"/>
      <c r="P3304" s="979"/>
      <c r="Q3304" s="979"/>
      <c r="R3304" s="979"/>
      <c r="S3304" s="979"/>
      <c r="T3304" s="979"/>
      <c r="U3304" s="979"/>
      <c r="V3304" s="979"/>
      <c r="W3304" s="979"/>
      <c r="X3304" s="979"/>
      <c r="Y3304" s="979"/>
      <c r="Z3304" s="979"/>
      <c r="AA3304" s="979"/>
      <c r="AB3304" s="979"/>
      <c r="AC3304" s="979"/>
      <c r="AD3304" s="979"/>
      <c r="AE3304" s="979"/>
      <c r="AF3304" s="979"/>
      <c r="AG3304" s="980"/>
      <c r="AH3304" s="518"/>
      <c r="AJ3304" s="595"/>
    </row>
    <row r="3305" spans="1:36" hidden="1" x14ac:dyDescent="0.45">
      <c r="A3305" s="518"/>
      <c r="B3305" s="978"/>
      <c r="C3305" s="979"/>
      <c r="D3305" s="979"/>
      <c r="E3305" s="979"/>
      <c r="F3305" s="979"/>
      <c r="G3305" s="979"/>
      <c r="H3305" s="979"/>
      <c r="I3305" s="979"/>
      <c r="J3305" s="979"/>
      <c r="K3305" s="979"/>
      <c r="L3305" s="979"/>
      <c r="M3305" s="979"/>
      <c r="N3305" s="979"/>
      <c r="O3305" s="979"/>
      <c r="P3305" s="979"/>
      <c r="Q3305" s="979"/>
      <c r="R3305" s="979"/>
      <c r="S3305" s="979"/>
      <c r="T3305" s="979"/>
      <c r="U3305" s="979"/>
      <c r="V3305" s="979"/>
      <c r="W3305" s="979"/>
      <c r="X3305" s="979"/>
      <c r="Y3305" s="979"/>
      <c r="Z3305" s="979"/>
      <c r="AA3305" s="979"/>
      <c r="AB3305" s="979"/>
      <c r="AC3305" s="979"/>
      <c r="AD3305" s="979"/>
      <c r="AE3305" s="979"/>
      <c r="AF3305" s="979"/>
      <c r="AG3305" s="980"/>
      <c r="AH3305" s="518"/>
      <c r="AJ3305" s="595"/>
    </row>
    <row r="3306" spans="1:36" hidden="1" x14ac:dyDescent="0.45">
      <c r="A3306" s="518"/>
      <c r="B3306" s="978"/>
      <c r="C3306" s="979"/>
      <c r="D3306" s="979"/>
      <c r="E3306" s="979"/>
      <c r="F3306" s="979"/>
      <c r="G3306" s="979"/>
      <c r="H3306" s="979"/>
      <c r="I3306" s="979"/>
      <c r="J3306" s="979"/>
      <c r="K3306" s="979"/>
      <c r="L3306" s="979"/>
      <c r="M3306" s="979"/>
      <c r="N3306" s="979"/>
      <c r="O3306" s="979"/>
      <c r="P3306" s="979"/>
      <c r="Q3306" s="979"/>
      <c r="R3306" s="979"/>
      <c r="S3306" s="979"/>
      <c r="T3306" s="979"/>
      <c r="U3306" s="979"/>
      <c r="V3306" s="979"/>
      <c r="W3306" s="979"/>
      <c r="X3306" s="979"/>
      <c r="Y3306" s="979"/>
      <c r="Z3306" s="979"/>
      <c r="AA3306" s="979"/>
      <c r="AB3306" s="979"/>
      <c r="AC3306" s="979"/>
      <c r="AD3306" s="979"/>
      <c r="AE3306" s="979"/>
      <c r="AF3306" s="979"/>
      <c r="AG3306" s="980"/>
      <c r="AH3306" s="518"/>
      <c r="AJ3306" s="595"/>
    </row>
    <row r="3307" spans="1:36" hidden="1" x14ac:dyDescent="0.45">
      <c r="A3307" s="518"/>
      <c r="B3307" s="978"/>
      <c r="C3307" s="979"/>
      <c r="D3307" s="979"/>
      <c r="E3307" s="979"/>
      <c r="F3307" s="979"/>
      <c r="G3307" s="979"/>
      <c r="H3307" s="979"/>
      <c r="I3307" s="979"/>
      <c r="J3307" s="979"/>
      <c r="K3307" s="979"/>
      <c r="L3307" s="979"/>
      <c r="M3307" s="979"/>
      <c r="N3307" s="979"/>
      <c r="O3307" s="979"/>
      <c r="P3307" s="979"/>
      <c r="Q3307" s="979"/>
      <c r="R3307" s="979"/>
      <c r="S3307" s="979"/>
      <c r="T3307" s="979"/>
      <c r="U3307" s="979"/>
      <c r="V3307" s="979"/>
      <c r="W3307" s="979"/>
      <c r="X3307" s="979"/>
      <c r="Y3307" s="979"/>
      <c r="Z3307" s="979"/>
      <c r="AA3307" s="979"/>
      <c r="AB3307" s="979"/>
      <c r="AC3307" s="979"/>
      <c r="AD3307" s="979"/>
      <c r="AE3307" s="979"/>
      <c r="AF3307" s="979"/>
      <c r="AG3307" s="980"/>
      <c r="AH3307" s="518"/>
      <c r="AJ3307" s="595"/>
    </row>
    <row r="3308" spans="1:36" hidden="1" x14ac:dyDescent="0.45">
      <c r="A3308" s="518"/>
      <c r="B3308" s="978"/>
      <c r="C3308" s="979"/>
      <c r="D3308" s="979"/>
      <c r="E3308" s="979"/>
      <c r="F3308" s="979"/>
      <c r="G3308" s="979"/>
      <c r="H3308" s="979"/>
      <c r="I3308" s="979"/>
      <c r="J3308" s="979"/>
      <c r="K3308" s="979"/>
      <c r="L3308" s="979"/>
      <c r="M3308" s="979"/>
      <c r="N3308" s="979"/>
      <c r="O3308" s="979"/>
      <c r="P3308" s="979"/>
      <c r="Q3308" s="979"/>
      <c r="R3308" s="979"/>
      <c r="S3308" s="979"/>
      <c r="T3308" s="979"/>
      <c r="U3308" s="979"/>
      <c r="V3308" s="979"/>
      <c r="W3308" s="979"/>
      <c r="X3308" s="979"/>
      <c r="Y3308" s="979"/>
      <c r="Z3308" s="979"/>
      <c r="AA3308" s="979"/>
      <c r="AB3308" s="979"/>
      <c r="AC3308" s="979"/>
      <c r="AD3308" s="979"/>
      <c r="AE3308" s="979"/>
      <c r="AF3308" s="979"/>
      <c r="AG3308" s="980"/>
      <c r="AH3308" s="518"/>
      <c r="AJ3308" s="595"/>
    </row>
    <row r="3309" spans="1:36" hidden="1" x14ac:dyDescent="0.45">
      <c r="A3309" s="518"/>
      <c r="B3309" s="978"/>
      <c r="C3309" s="979"/>
      <c r="D3309" s="979"/>
      <c r="E3309" s="979"/>
      <c r="F3309" s="979"/>
      <c r="G3309" s="979"/>
      <c r="H3309" s="979"/>
      <c r="I3309" s="979"/>
      <c r="J3309" s="979"/>
      <c r="K3309" s="979"/>
      <c r="L3309" s="979"/>
      <c r="M3309" s="979"/>
      <c r="N3309" s="979"/>
      <c r="O3309" s="979"/>
      <c r="P3309" s="979"/>
      <c r="Q3309" s="979"/>
      <c r="R3309" s="979"/>
      <c r="S3309" s="979"/>
      <c r="T3309" s="979"/>
      <c r="U3309" s="979"/>
      <c r="V3309" s="979"/>
      <c r="W3309" s="979"/>
      <c r="X3309" s="979"/>
      <c r="Y3309" s="979"/>
      <c r="Z3309" s="979"/>
      <c r="AA3309" s="979"/>
      <c r="AB3309" s="979"/>
      <c r="AC3309" s="979"/>
      <c r="AD3309" s="979"/>
      <c r="AE3309" s="979"/>
      <c r="AF3309" s="979"/>
      <c r="AG3309" s="980"/>
      <c r="AH3309" s="518"/>
      <c r="AJ3309" s="595"/>
    </row>
    <row r="3310" spans="1:36" hidden="1" x14ac:dyDescent="0.45">
      <c r="A3310" s="518"/>
      <c r="B3310" s="978"/>
      <c r="C3310" s="979"/>
      <c r="D3310" s="979"/>
      <c r="E3310" s="979"/>
      <c r="F3310" s="979"/>
      <c r="G3310" s="979"/>
      <c r="H3310" s="979"/>
      <c r="I3310" s="979"/>
      <c r="J3310" s="979"/>
      <c r="K3310" s="979"/>
      <c r="L3310" s="979"/>
      <c r="M3310" s="979"/>
      <c r="N3310" s="979"/>
      <c r="O3310" s="979"/>
      <c r="P3310" s="979"/>
      <c r="Q3310" s="979"/>
      <c r="R3310" s="979"/>
      <c r="S3310" s="979"/>
      <c r="T3310" s="979"/>
      <c r="U3310" s="979"/>
      <c r="V3310" s="979"/>
      <c r="W3310" s="979"/>
      <c r="X3310" s="979"/>
      <c r="Y3310" s="979"/>
      <c r="Z3310" s="979"/>
      <c r="AA3310" s="979"/>
      <c r="AB3310" s="979"/>
      <c r="AC3310" s="979"/>
      <c r="AD3310" s="979"/>
      <c r="AE3310" s="979"/>
      <c r="AF3310" s="979"/>
      <c r="AG3310" s="980"/>
      <c r="AH3310" s="518"/>
      <c r="AJ3310" s="595"/>
    </row>
    <row r="3311" spans="1:36" hidden="1" x14ac:dyDescent="0.45">
      <c r="A3311" s="518"/>
      <c r="B3311" s="978"/>
      <c r="C3311" s="979"/>
      <c r="D3311" s="979"/>
      <c r="E3311" s="979"/>
      <c r="F3311" s="979"/>
      <c r="G3311" s="979"/>
      <c r="H3311" s="979"/>
      <c r="I3311" s="979"/>
      <c r="J3311" s="979"/>
      <c r="K3311" s="979"/>
      <c r="L3311" s="979"/>
      <c r="M3311" s="979"/>
      <c r="N3311" s="979"/>
      <c r="O3311" s="979"/>
      <c r="P3311" s="979"/>
      <c r="Q3311" s="979"/>
      <c r="R3311" s="979"/>
      <c r="S3311" s="979"/>
      <c r="T3311" s="979"/>
      <c r="U3311" s="979"/>
      <c r="V3311" s="979"/>
      <c r="W3311" s="979"/>
      <c r="X3311" s="979"/>
      <c r="Y3311" s="979"/>
      <c r="Z3311" s="979"/>
      <c r="AA3311" s="979"/>
      <c r="AB3311" s="979"/>
      <c r="AC3311" s="979"/>
      <c r="AD3311" s="979"/>
      <c r="AE3311" s="979"/>
      <c r="AF3311" s="979"/>
      <c r="AG3311" s="980"/>
      <c r="AH3311" s="518"/>
      <c r="AJ3311" s="595"/>
    </row>
    <row r="3312" spans="1:36" hidden="1" x14ac:dyDescent="0.45">
      <c r="A3312" s="518"/>
      <c r="B3312" s="978"/>
      <c r="C3312" s="979"/>
      <c r="D3312" s="979"/>
      <c r="E3312" s="979"/>
      <c r="F3312" s="979"/>
      <c r="G3312" s="979"/>
      <c r="H3312" s="979"/>
      <c r="I3312" s="979"/>
      <c r="J3312" s="979"/>
      <c r="K3312" s="979"/>
      <c r="L3312" s="979"/>
      <c r="M3312" s="979"/>
      <c r="N3312" s="979"/>
      <c r="O3312" s="979"/>
      <c r="P3312" s="979"/>
      <c r="Q3312" s="979"/>
      <c r="R3312" s="979"/>
      <c r="S3312" s="979"/>
      <c r="T3312" s="979"/>
      <c r="U3312" s="979"/>
      <c r="V3312" s="979"/>
      <c r="W3312" s="979"/>
      <c r="X3312" s="979"/>
      <c r="Y3312" s="979"/>
      <c r="Z3312" s="979"/>
      <c r="AA3312" s="979"/>
      <c r="AB3312" s="979"/>
      <c r="AC3312" s="979"/>
      <c r="AD3312" s="979"/>
      <c r="AE3312" s="979"/>
      <c r="AF3312" s="979"/>
      <c r="AG3312" s="980"/>
      <c r="AH3312" s="518"/>
      <c r="AJ3312" s="595"/>
    </row>
    <row r="3313" spans="1:36" hidden="1" x14ac:dyDescent="0.45">
      <c r="A3313" s="518"/>
      <c r="B3313" s="978"/>
      <c r="C3313" s="979"/>
      <c r="D3313" s="979"/>
      <c r="E3313" s="979"/>
      <c r="F3313" s="979"/>
      <c r="G3313" s="979"/>
      <c r="H3313" s="979"/>
      <c r="I3313" s="979"/>
      <c r="J3313" s="979"/>
      <c r="K3313" s="979"/>
      <c r="L3313" s="979"/>
      <c r="M3313" s="979"/>
      <c r="N3313" s="979"/>
      <c r="O3313" s="979"/>
      <c r="P3313" s="979"/>
      <c r="Q3313" s="979"/>
      <c r="R3313" s="979"/>
      <c r="S3313" s="979"/>
      <c r="T3313" s="979"/>
      <c r="U3313" s="979"/>
      <c r="V3313" s="979"/>
      <c r="W3313" s="979"/>
      <c r="X3313" s="979"/>
      <c r="Y3313" s="979"/>
      <c r="Z3313" s="979"/>
      <c r="AA3313" s="979"/>
      <c r="AB3313" s="979"/>
      <c r="AC3313" s="979"/>
      <c r="AD3313" s="979"/>
      <c r="AE3313" s="979"/>
      <c r="AF3313" s="979"/>
      <c r="AG3313" s="980"/>
      <c r="AH3313" s="518"/>
      <c r="AJ3313" s="595"/>
    </row>
    <row r="3314" spans="1:36" hidden="1" x14ac:dyDescent="0.45">
      <c r="A3314" s="518"/>
      <c r="B3314" s="978"/>
      <c r="C3314" s="979"/>
      <c r="D3314" s="979"/>
      <c r="E3314" s="979"/>
      <c r="F3314" s="979"/>
      <c r="G3314" s="979"/>
      <c r="H3314" s="979"/>
      <c r="I3314" s="979"/>
      <c r="J3314" s="979"/>
      <c r="K3314" s="979"/>
      <c r="L3314" s="979"/>
      <c r="M3314" s="979"/>
      <c r="N3314" s="979"/>
      <c r="O3314" s="979"/>
      <c r="P3314" s="979"/>
      <c r="Q3314" s="979"/>
      <c r="R3314" s="979"/>
      <c r="S3314" s="979"/>
      <c r="T3314" s="979"/>
      <c r="U3314" s="979"/>
      <c r="V3314" s="979"/>
      <c r="W3314" s="979"/>
      <c r="X3314" s="979"/>
      <c r="Y3314" s="979"/>
      <c r="Z3314" s="979"/>
      <c r="AA3314" s="979"/>
      <c r="AB3314" s="979"/>
      <c r="AC3314" s="979"/>
      <c r="AD3314" s="979"/>
      <c r="AE3314" s="979"/>
      <c r="AF3314" s="979"/>
      <c r="AG3314" s="980"/>
      <c r="AH3314" s="518"/>
      <c r="AJ3314" s="595"/>
    </row>
    <row r="3315" spans="1:36" hidden="1" x14ac:dyDescent="0.45">
      <c r="A3315" s="518"/>
      <c r="B3315" s="978"/>
      <c r="C3315" s="979"/>
      <c r="D3315" s="979"/>
      <c r="E3315" s="979"/>
      <c r="F3315" s="979"/>
      <c r="G3315" s="979"/>
      <c r="H3315" s="979"/>
      <c r="I3315" s="979"/>
      <c r="J3315" s="979"/>
      <c r="K3315" s="979"/>
      <c r="L3315" s="979"/>
      <c r="M3315" s="979"/>
      <c r="N3315" s="979"/>
      <c r="O3315" s="979"/>
      <c r="P3315" s="979"/>
      <c r="Q3315" s="979"/>
      <c r="R3315" s="979"/>
      <c r="S3315" s="979"/>
      <c r="T3315" s="979"/>
      <c r="U3315" s="979"/>
      <c r="V3315" s="979"/>
      <c r="W3315" s="979"/>
      <c r="X3315" s="979"/>
      <c r="Y3315" s="979"/>
      <c r="Z3315" s="979"/>
      <c r="AA3315" s="979"/>
      <c r="AB3315" s="979"/>
      <c r="AC3315" s="979"/>
      <c r="AD3315" s="979"/>
      <c r="AE3315" s="979"/>
      <c r="AF3315" s="979"/>
      <c r="AG3315" s="980"/>
      <c r="AH3315" s="518"/>
      <c r="AJ3315" s="595"/>
    </row>
    <row r="3316" spans="1:36" hidden="1" x14ac:dyDescent="0.45">
      <c r="A3316" s="518"/>
      <c r="B3316" s="978"/>
      <c r="C3316" s="979"/>
      <c r="D3316" s="979"/>
      <c r="E3316" s="979"/>
      <c r="F3316" s="979"/>
      <c r="G3316" s="979"/>
      <c r="H3316" s="979"/>
      <c r="I3316" s="979"/>
      <c r="J3316" s="979"/>
      <c r="K3316" s="979"/>
      <c r="L3316" s="979"/>
      <c r="M3316" s="979"/>
      <c r="N3316" s="979"/>
      <c r="O3316" s="979"/>
      <c r="P3316" s="979"/>
      <c r="Q3316" s="979"/>
      <c r="R3316" s="979"/>
      <c r="S3316" s="979"/>
      <c r="T3316" s="979"/>
      <c r="U3316" s="979"/>
      <c r="V3316" s="979"/>
      <c r="W3316" s="979"/>
      <c r="X3316" s="979"/>
      <c r="Y3316" s="979"/>
      <c r="Z3316" s="979"/>
      <c r="AA3316" s="979"/>
      <c r="AB3316" s="979"/>
      <c r="AC3316" s="979"/>
      <c r="AD3316" s="979"/>
      <c r="AE3316" s="979"/>
      <c r="AF3316" s="979"/>
      <c r="AG3316" s="980"/>
      <c r="AH3316" s="518"/>
      <c r="AJ3316" s="595"/>
    </row>
    <row r="3317" spans="1:36" hidden="1" x14ac:dyDescent="0.45">
      <c r="A3317" s="518"/>
      <c r="B3317" s="978"/>
      <c r="C3317" s="979"/>
      <c r="D3317" s="979"/>
      <c r="E3317" s="979"/>
      <c r="F3317" s="979"/>
      <c r="G3317" s="979"/>
      <c r="H3317" s="979"/>
      <c r="I3317" s="979"/>
      <c r="J3317" s="979"/>
      <c r="K3317" s="979"/>
      <c r="L3317" s="979"/>
      <c r="M3317" s="979"/>
      <c r="N3317" s="979"/>
      <c r="O3317" s="979"/>
      <c r="P3317" s="979"/>
      <c r="Q3317" s="979"/>
      <c r="R3317" s="979"/>
      <c r="S3317" s="979"/>
      <c r="T3317" s="979"/>
      <c r="U3317" s="979"/>
      <c r="V3317" s="979"/>
      <c r="W3317" s="979"/>
      <c r="X3317" s="979"/>
      <c r="Y3317" s="979"/>
      <c r="Z3317" s="979"/>
      <c r="AA3317" s="979"/>
      <c r="AB3317" s="979"/>
      <c r="AC3317" s="979"/>
      <c r="AD3317" s="979"/>
      <c r="AE3317" s="979"/>
      <c r="AF3317" s="979"/>
      <c r="AG3317" s="980"/>
      <c r="AH3317" s="518"/>
      <c r="AJ3317" s="595"/>
    </row>
    <row r="3318" spans="1:36" hidden="1" x14ac:dyDescent="0.45">
      <c r="A3318" s="518"/>
      <c r="B3318" s="978"/>
      <c r="C3318" s="979"/>
      <c r="D3318" s="979"/>
      <c r="E3318" s="979"/>
      <c r="F3318" s="979"/>
      <c r="G3318" s="979"/>
      <c r="H3318" s="979"/>
      <c r="I3318" s="979"/>
      <c r="J3318" s="979"/>
      <c r="K3318" s="979"/>
      <c r="L3318" s="979"/>
      <c r="M3318" s="979"/>
      <c r="N3318" s="979"/>
      <c r="O3318" s="979"/>
      <c r="P3318" s="979"/>
      <c r="Q3318" s="979"/>
      <c r="R3318" s="979"/>
      <c r="S3318" s="979"/>
      <c r="T3318" s="979"/>
      <c r="U3318" s="979"/>
      <c r="V3318" s="979"/>
      <c r="W3318" s="979"/>
      <c r="X3318" s="979"/>
      <c r="Y3318" s="979"/>
      <c r="Z3318" s="979"/>
      <c r="AA3318" s="979"/>
      <c r="AB3318" s="979"/>
      <c r="AC3318" s="979"/>
      <c r="AD3318" s="979"/>
      <c r="AE3318" s="979"/>
      <c r="AF3318" s="979"/>
      <c r="AG3318" s="980"/>
      <c r="AH3318" s="518"/>
      <c r="AJ3318" s="595"/>
    </row>
    <row r="3319" spans="1:36" hidden="1" x14ac:dyDescent="0.45">
      <c r="A3319" s="518"/>
      <c r="B3319" s="978"/>
      <c r="C3319" s="979"/>
      <c r="D3319" s="979"/>
      <c r="E3319" s="979"/>
      <c r="F3319" s="979"/>
      <c r="G3319" s="979"/>
      <c r="H3319" s="979"/>
      <c r="I3319" s="979"/>
      <c r="J3319" s="979"/>
      <c r="K3319" s="979"/>
      <c r="L3319" s="979"/>
      <c r="M3319" s="979"/>
      <c r="N3319" s="979"/>
      <c r="O3319" s="979"/>
      <c r="P3319" s="979"/>
      <c r="Q3319" s="979"/>
      <c r="R3319" s="979"/>
      <c r="S3319" s="979"/>
      <c r="T3319" s="979"/>
      <c r="U3319" s="979"/>
      <c r="V3319" s="979"/>
      <c r="W3319" s="979"/>
      <c r="X3319" s="979"/>
      <c r="Y3319" s="979"/>
      <c r="Z3319" s="979"/>
      <c r="AA3319" s="979"/>
      <c r="AB3319" s="979"/>
      <c r="AC3319" s="979"/>
      <c r="AD3319" s="979"/>
      <c r="AE3319" s="979"/>
      <c r="AF3319" s="979"/>
      <c r="AG3319" s="980"/>
      <c r="AH3319" s="518"/>
      <c r="AJ3319" s="595"/>
    </row>
    <row r="3320" spans="1:36" hidden="1" x14ac:dyDescent="0.45">
      <c r="A3320" s="518"/>
      <c r="B3320" s="981"/>
      <c r="C3320" s="982"/>
      <c r="D3320" s="982"/>
      <c r="E3320" s="982"/>
      <c r="F3320" s="982"/>
      <c r="G3320" s="982"/>
      <c r="H3320" s="982"/>
      <c r="I3320" s="982"/>
      <c r="J3320" s="982"/>
      <c r="K3320" s="982"/>
      <c r="L3320" s="982"/>
      <c r="M3320" s="982"/>
      <c r="N3320" s="982"/>
      <c r="O3320" s="982"/>
      <c r="P3320" s="982"/>
      <c r="Q3320" s="982"/>
      <c r="R3320" s="982"/>
      <c r="S3320" s="982"/>
      <c r="T3320" s="982"/>
      <c r="U3320" s="982"/>
      <c r="V3320" s="982"/>
      <c r="W3320" s="982"/>
      <c r="X3320" s="982"/>
      <c r="Y3320" s="982"/>
      <c r="Z3320" s="982"/>
      <c r="AA3320" s="982"/>
      <c r="AB3320" s="982"/>
      <c r="AC3320" s="982"/>
      <c r="AD3320" s="982"/>
      <c r="AE3320" s="982"/>
      <c r="AF3320" s="982"/>
      <c r="AG3320" s="983"/>
      <c r="AH3320" s="518"/>
      <c r="AJ3320" s="595"/>
    </row>
    <row r="3321" spans="1:36" hidden="1" x14ac:dyDescent="0.45">
      <c r="A3321" s="518"/>
      <c r="B3321" s="518"/>
      <c r="C3321" s="518"/>
      <c r="D3321" s="518"/>
      <c r="E3321" s="518"/>
      <c r="F3321" s="518"/>
      <c r="G3321" s="518"/>
      <c r="H3321" s="518"/>
      <c r="I3321" s="518"/>
      <c r="J3321" s="518"/>
      <c r="K3321" s="518"/>
      <c r="L3321" s="518"/>
      <c r="M3321" s="518"/>
      <c r="N3321" s="518"/>
      <c r="O3321" s="518"/>
      <c r="P3321" s="518"/>
      <c r="Q3321" s="518"/>
      <c r="R3321" s="518"/>
      <c r="S3321" s="518"/>
      <c r="T3321" s="518"/>
      <c r="U3321" s="518"/>
      <c r="V3321" s="518"/>
      <c r="W3321" s="518"/>
      <c r="X3321" s="518"/>
      <c r="Y3321" s="518"/>
      <c r="Z3321" s="518"/>
      <c r="AA3321" s="518"/>
      <c r="AB3321" s="518"/>
      <c r="AC3321" s="518"/>
      <c r="AD3321" s="518"/>
      <c r="AE3321" s="518"/>
      <c r="AF3321" s="518"/>
      <c r="AG3321" s="518"/>
      <c r="AH3321" s="518"/>
      <c r="AJ3321" s="595"/>
    </row>
    <row r="3322" spans="1:36" hidden="1" x14ac:dyDescent="0.45">
      <c r="A3322" s="518"/>
      <c r="B3322" s="518"/>
      <c r="C3322" s="518"/>
      <c r="D3322" s="518"/>
      <c r="E3322" s="518"/>
      <c r="F3322" s="518"/>
      <c r="G3322" s="518"/>
      <c r="H3322" s="518"/>
      <c r="I3322" s="518"/>
      <c r="J3322" s="518"/>
      <c r="K3322" s="518"/>
      <c r="L3322" s="518"/>
      <c r="M3322" s="518"/>
      <c r="N3322" s="518"/>
      <c r="O3322" s="518"/>
      <c r="P3322" s="518"/>
      <c r="Q3322" s="518"/>
      <c r="R3322" s="518"/>
      <c r="S3322" s="518"/>
      <c r="T3322" s="518"/>
      <c r="U3322" s="518"/>
      <c r="V3322" s="518"/>
      <c r="W3322" s="518"/>
      <c r="X3322" s="518"/>
      <c r="Y3322" s="518"/>
      <c r="Z3322" s="518"/>
      <c r="AA3322" s="518"/>
      <c r="AB3322" s="518"/>
      <c r="AC3322" s="518"/>
      <c r="AD3322" s="518"/>
      <c r="AE3322" s="518"/>
      <c r="AF3322" s="518"/>
      <c r="AG3322" s="518"/>
      <c r="AH3322" s="518"/>
      <c r="AJ3322" s="595"/>
    </row>
    <row r="3323" spans="1:36" hidden="1" x14ac:dyDescent="0.45">
      <c r="A3323" s="518"/>
      <c r="B3323" s="907" t="s">
        <v>25</v>
      </c>
      <c r="C3323" s="907"/>
      <c r="D3323" s="907"/>
      <c r="E3323" s="907"/>
      <c r="F3323" s="907"/>
      <c r="G3323" s="907"/>
      <c r="H3323" s="907"/>
      <c r="I3323" s="907"/>
      <c r="J3323" s="907"/>
      <c r="K3323" s="907"/>
      <c r="L3323" s="907"/>
      <c r="M3323" s="907"/>
      <c r="N3323" s="907"/>
      <c r="O3323" s="907"/>
      <c r="P3323" s="907"/>
      <c r="Q3323" s="907"/>
      <c r="R3323" s="907"/>
      <c r="S3323" s="907"/>
      <c r="T3323" s="907"/>
      <c r="U3323" s="907"/>
      <c r="V3323" s="907"/>
      <c r="W3323" s="907"/>
      <c r="X3323" s="907"/>
      <c r="Y3323" s="907"/>
      <c r="Z3323" s="907"/>
      <c r="AA3323" s="907"/>
      <c r="AB3323" s="907"/>
      <c r="AC3323" s="907"/>
      <c r="AD3323" s="907"/>
      <c r="AE3323" s="907"/>
      <c r="AF3323" s="907"/>
      <c r="AG3323" s="907"/>
      <c r="AH3323" s="518"/>
      <c r="AJ3323" s="595"/>
    </row>
    <row r="3324" spans="1:36" hidden="1" x14ac:dyDescent="0.45">
      <c r="A3324" s="518"/>
      <c r="B3324" s="907" t="str">
        <f>B3238</f>
        <v>Serna Homeownership Project Development Loan</v>
      </c>
      <c r="C3324" s="907"/>
      <c r="D3324" s="907"/>
      <c r="E3324" s="907"/>
      <c r="F3324" s="907"/>
      <c r="G3324" s="907"/>
      <c r="H3324" s="907"/>
      <c r="I3324" s="907"/>
      <c r="J3324" s="907"/>
      <c r="K3324" s="907"/>
      <c r="L3324" s="907"/>
      <c r="M3324" s="907"/>
      <c r="N3324" s="907"/>
      <c r="O3324" s="907"/>
      <c r="P3324" s="907"/>
      <c r="Q3324" s="907"/>
      <c r="R3324" s="907"/>
      <c r="S3324" s="907"/>
      <c r="T3324" s="907"/>
      <c r="U3324" s="907"/>
      <c r="V3324" s="907"/>
      <c r="W3324" s="907"/>
      <c r="X3324" s="907"/>
      <c r="Y3324" s="907"/>
      <c r="Z3324" s="907"/>
      <c r="AA3324" s="907"/>
      <c r="AB3324" s="907"/>
      <c r="AC3324" s="907"/>
      <c r="AD3324" s="907"/>
      <c r="AE3324" s="907"/>
      <c r="AF3324" s="907"/>
      <c r="AG3324" s="907"/>
      <c r="AH3324" s="518"/>
      <c r="AJ3324" s="595"/>
    </row>
    <row r="3325" spans="1:36" hidden="1" x14ac:dyDescent="0.45">
      <c r="A3325" s="518"/>
      <c r="B3325" s="518"/>
      <c r="C3325" s="518"/>
      <c r="D3325" s="518"/>
      <c r="E3325" s="518"/>
      <c r="F3325" s="518"/>
      <c r="G3325" s="518"/>
      <c r="H3325" s="518"/>
      <c r="I3325" s="518"/>
      <c r="J3325" s="518"/>
      <c r="K3325" s="518"/>
      <c r="L3325" s="518"/>
      <c r="M3325" s="518"/>
      <c r="N3325" s="518"/>
      <c r="O3325" s="518"/>
      <c r="P3325" s="518"/>
      <c r="Q3325" s="518"/>
      <c r="R3325" s="518"/>
      <c r="S3325" s="518"/>
      <c r="T3325" s="518"/>
      <c r="U3325" s="518"/>
      <c r="V3325" s="518"/>
      <c r="W3325" s="518"/>
      <c r="X3325" s="518"/>
      <c r="Y3325" s="518"/>
      <c r="Z3325" s="518"/>
      <c r="AA3325" s="518"/>
      <c r="AB3325" s="518"/>
      <c r="AC3325" s="518"/>
      <c r="AD3325" s="518"/>
      <c r="AE3325" s="518"/>
      <c r="AF3325" s="518"/>
      <c r="AG3325" s="518"/>
      <c r="AH3325" s="518"/>
      <c r="AJ3325" s="595"/>
    </row>
    <row r="3326" spans="1:36" hidden="1" x14ac:dyDescent="0.45">
      <c r="A3326" s="518"/>
      <c r="B3326" s="907" t="s">
        <v>101</v>
      </c>
      <c r="C3326" s="907"/>
      <c r="D3326" s="907"/>
      <c r="E3326" s="907"/>
      <c r="F3326" s="907"/>
      <c r="G3326" s="907"/>
      <c r="H3326" s="907"/>
      <c r="I3326" s="907"/>
      <c r="J3326" s="907"/>
      <c r="K3326" s="907"/>
      <c r="L3326" s="907"/>
      <c r="M3326" s="907"/>
      <c r="N3326" s="907"/>
      <c r="O3326" s="907"/>
      <c r="P3326" s="907"/>
      <c r="Q3326" s="907"/>
      <c r="R3326" s="907"/>
      <c r="S3326" s="907"/>
      <c r="T3326" s="907"/>
      <c r="U3326" s="907"/>
      <c r="V3326" s="907"/>
      <c r="W3326" s="907"/>
      <c r="X3326" s="907"/>
      <c r="Y3326" s="907"/>
      <c r="Z3326" s="907"/>
      <c r="AA3326" s="907"/>
      <c r="AB3326" s="907"/>
      <c r="AC3326" s="907"/>
      <c r="AD3326" s="907"/>
      <c r="AE3326" s="907"/>
      <c r="AF3326" s="907"/>
      <c r="AG3326" s="907"/>
      <c r="AH3326" s="518"/>
      <c r="AJ3326" s="595"/>
    </row>
    <row r="3327" spans="1:36" ht="23.15" hidden="1" customHeight="1" x14ac:dyDescent="0.45">
      <c r="A3327" s="518"/>
      <c r="B3327" s="987" t="s">
        <v>1582</v>
      </c>
      <c r="C3327" s="987"/>
      <c r="D3327" s="987"/>
      <c r="E3327" s="987"/>
      <c r="F3327" s="987"/>
      <c r="G3327" s="987"/>
      <c r="H3327" s="987"/>
      <c r="I3327" s="987"/>
      <c r="J3327" s="987"/>
      <c r="K3327" s="987"/>
      <c r="L3327" s="987"/>
      <c r="M3327" s="987"/>
      <c r="N3327" s="987"/>
      <c r="O3327" s="987"/>
      <c r="P3327" s="987"/>
      <c r="Q3327" s="987"/>
      <c r="R3327" s="987"/>
      <c r="S3327" s="987"/>
      <c r="T3327" s="987"/>
      <c r="U3327" s="987"/>
      <c r="V3327" s="987"/>
      <c r="W3327" s="987"/>
      <c r="X3327" s="987"/>
      <c r="Y3327" s="987"/>
      <c r="Z3327" s="987"/>
      <c r="AA3327" s="987"/>
      <c r="AB3327" s="987"/>
      <c r="AC3327" s="987"/>
      <c r="AD3327" s="987"/>
      <c r="AE3327" s="987"/>
      <c r="AF3327" s="987"/>
      <c r="AG3327" s="987"/>
      <c r="AH3327" s="518"/>
      <c r="AJ3327" s="595"/>
    </row>
    <row r="3328" spans="1:36" hidden="1" x14ac:dyDescent="0.45">
      <c r="A3328" s="518"/>
      <c r="B3328" s="975"/>
      <c r="C3328" s="976"/>
      <c r="D3328" s="976"/>
      <c r="E3328" s="976"/>
      <c r="F3328" s="976"/>
      <c r="G3328" s="976"/>
      <c r="H3328" s="976"/>
      <c r="I3328" s="976"/>
      <c r="J3328" s="976"/>
      <c r="K3328" s="976"/>
      <c r="L3328" s="976"/>
      <c r="M3328" s="976"/>
      <c r="N3328" s="976"/>
      <c r="O3328" s="976"/>
      <c r="P3328" s="976"/>
      <c r="Q3328" s="976"/>
      <c r="R3328" s="976"/>
      <c r="S3328" s="976"/>
      <c r="T3328" s="976"/>
      <c r="U3328" s="976"/>
      <c r="V3328" s="976"/>
      <c r="W3328" s="976"/>
      <c r="X3328" s="976"/>
      <c r="Y3328" s="976"/>
      <c r="Z3328" s="976"/>
      <c r="AA3328" s="976"/>
      <c r="AB3328" s="976"/>
      <c r="AC3328" s="976"/>
      <c r="AD3328" s="976"/>
      <c r="AE3328" s="976"/>
      <c r="AF3328" s="976"/>
      <c r="AG3328" s="977"/>
      <c r="AH3328" s="518"/>
      <c r="AJ3328" s="595"/>
    </row>
    <row r="3329" spans="1:36" hidden="1" x14ac:dyDescent="0.45">
      <c r="A3329" s="518"/>
      <c r="B3329" s="978"/>
      <c r="C3329" s="979"/>
      <c r="D3329" s="979"/>
      <c r="E3329" s="979"/>
      <c r="F3329" s="979"/>
      <c r="G3329" s="979"/>
      <c r="H3329" s="979"/>
      <c r="I3329" s="979"/>
      <c r="J3329" s="979"/>
      <c r="K3329" s="979"/>
      <c r="L3329" s="979"/>
      <c r="M3329" s="979"/>
      <c r="N3329" s="979"/>
      <c r="O3329" s="979"/>
      <c r="P3329" s="979"/>
      <c r="Q3329" s="979"/>
      <c r="R3329" s="979"/>
      <c r="S3329" s="979"/>
      <c r="T3329" s="979"/>
      <c r="U3329" s="979"/>
      <c r="V3329" s="979"/>
      <c r="W3329" s="979"/>
      <c r="X3329" s="979"/>
      <c r="Y3329" s="979"/>
      <c r="Z3329" s="979"/>
      <c r="AA3329" s="979"/>
      <c r="AB3329" s="979"/>
      <c r="AC3329" s="979"/>
      <c r="AD3329" s="979"/>
      <c r="AE3329" s="979"/>
      <c r="AF3329" s="979"/>
      <c r="AG3329" s="980"/>
      <c r="AH3329" s="518"/>
      <c r="AJ3329" s="595"/>
    </row>
    <row r="3330" spans="1:36" hidden="1" x14ac:dyDescent="0.45">
      <c r="A3330" s="518"/>
      <c r="B3330" s="978"/>
      <c r="C3330" s="979"/>
      <c r="D3330" s="979"/>
      <c r="E3330" s="979"/>
      <c r="F3330" s="979"/>
      <c r="G3330" s="979"/>
      <c r="H3330" s="979"/>
      <c r="I3330" s="979"/>
      <c r="J3330" s="979"/>
      <c r="K3330" s="979"/>
      <c r="L3330" s="979"/>
      <c r="M3330" s="979"/>
      <c r="N3330" s="979"/>
      <c r="O3330" s="979"/>
      <c r="P3330" s="979"/>
      <c r="Q3330" s="979"/>
      <c r="R3330" s="979"/>
      <c r="S3330" s="979"/>
      <c r="T3330" s="979"/>
      <c r="U3330" s="979"/>
      <c r="V3330" s="979"/>
      <c r="W3330" s="979"/>
      <c r="X3330" s="979"/>
      <c r="Y3330" s="979"/>
      <c r="Z3330" s="979"/>
      <c r="AA3330" s="979"/>
      <c r="AB3330" s="979"/>
      <c r="AC3330" s="979"/>
      <c r="AD3330" s="979"/>
      <c r="AE3330" s="979"/>
      <c r="AF3330" s="979"/>
      <c r="AG3330" s="980"/>
      <c r="AH3330" s="518"/>
      <c r="AJ3330" s="595"/>
    </row>
    <row r="3331" spans="1:36" hidden="1" x14ac:dyDescent="0.45">
      <c r="A3331" s="518"/>
      <c r="B3331" s="978"/>
      <c r="C3331" s="979"/>
      <c r="D3331" s="979"/>
      <c r="E3331" s="979"/>
      <c r="F3331" s="979"/>
      <c r="G3331" s="979"/>
      <c r="H3331" s="979"/>
      <c r="I3331" s="979"/>
      <c r="J3331" s="979"/>
      <c r="K3331" s="979"/>
      <c r="L3331" s="979"/>
      <c r="M3331" s="979"/>
      <c r="N3331" s="979"/>
      <c r="O3331" s="979"/>
      <c r="P3331" s="979"/>
      <c r="Q3331" s="979"/>
      <c r="R3331" s="979"/>
      <c r="S3331" s="979"/>
      <c r="T3331" s="979"/>
      <c r="U3331" s="979"/>
      <c r="V3331" s="979"/>
      <c r="W3331" s="979"/>
      <c r="X3331" s="979"/>
      <c r="Y3331" s="979"/>
      <c r="Z3331" s="979"/>
      <c r="AA3331" s="979"/>
      <c r="AB3331" s="979"/>
      <c r="AC3331" s="979"/>
      <c r="AD3331" s="979"/>
      <c r="AE3331" s="979"/>
      <c r="AF3331" s="979"/>
      <c r="AG3331" s="980"/>
      <c r="AH3331" s="518"/>
      <c r="AJ3331" s="595"/>
    </row>
    <row r="3332" spans="1:36" hidden="1" x14ac:dyDescent="0.45">
      <c r="A3332" s="518"/>
      <c r="B3332" s="978"/>
      <c r="C3332" s="979"/>
      <c r="D3332" s="979"/>
      <c r="E3332" s="979"/>
      <c r="F3332" s="979"/>
      <c r="G3332" s="979"/>
      <c r="H3332" s="979"/>
      <c r="I3332" s="979"/>
      <c r="J3332" s="979"/>
      <c r="K3332" s="979"/>
      <c r="L3332" s="979"/>
      <c r="M3332" s="979"/>
      <c r="N3332" s="979"/>
      <c r="O3332" s="979"/>
      <c r="P3332" s="979"/>
      <c r="Q3332" s="979"/>
      <c r="R3332" s="979"/>
      <c r="S3332" s="979"/>
      <c r="T3332" s="979"/>
      <c r="U3332" s="979"/>
      <c r="V3332" s="979"/>
      <c r="W3332" s="979"/>
      <c r="X3332" s="979"/>
      <c r="Y3332" s="979"/>
      <c r="Z3332" s="979"/>
      <c r="AA3332" s="979"/>
      <c r="AB3332" s="979"/>
      <c r="AC3332" s="979"/>
      <c r="AD3332" s="979"/>
      <c r="AE3332" s="979"/>
      <c r="AF3332" s="979"/>
      <c r="AG3332" s="980"/>
      <c r="AH3332" s="518"/>
      <c r="AJ3332" s="595"/>
    </row>
    <row r="3333" spans="1:36" hidden="1" x14ac:dyDescent="0.45">
      <c r="A3333" s="518"/>
      <c r="B3333" s="978"/>
      <c r="C3333" s="979"/>
      <c r="D3333" s="979"/>
      <c r="E3333" s="979"/>
      <c r="F3333" s="979"/>
      <c r="G3333" s="979"/>
      <c r="H3333" s="979"/>
      <c r="I3333" s="979"/>
      <c r="J3333" s="979"/>
      <c r="K3333" s="979"/>
      <c r="L3333" s="979"/>
      <c r="M3333" s="979"/>
      <c r="N3333" s="979"/>
      <c r="O3333" s="979"/>
      <c r="P3333" s="979"/>
      <c r="Q3333" s="979"/>
      <c r="R3333" s="979"/>
      <c r="S3333" s="979"/>
      <c r="T3333" s="979"/>
      <c r="U3333" s="979"/>
      <c r="V3333" s="979"/>
      <c r="W3333" s="979"/>
      <c r="X3333" s="979"/>
      <c r="Y3333" s="979"/>
      <c r="Z3333" s="979"/>
      <c r="AA3333" s="979"/>
      <c r="AB3333" s="979"/>
      <c r="AC3333" s="979"/>
      <c r="AD3333" s="979"/>
      <c r="AE3333" s="979"/>
      <c r="AF3333" s="979"/>
      <c r="AG3333" s="980"/>
      <c r="AH3333" s="518"/>
      <c r="AJ3333" s="595"/>
    </row>
    <row r="3334" spans="1:36" hidden="1" x14ac:dyDescent="0.45">
      <c r="A3334" s="518"/>
      <c r="B3334" s="978"/>
      <c r="C3334" s="979"/>
      <c r="D3334" s="979"/>
      <c r="E3334" s="979"/>
      <c r="F3334" s="979"/>
      <c r="G3334" s="979"/>
      <c r="H3334" s="979"/>
      <c r="I3334" s="979"/>
      <c r="J3334" s="979"/>
      <c r="K3334" s="979"/>
      <c r="L3334" s="979"/>
      <c r="M3334" s="979"/>
      <c r="N3334" s="979"/>
      <c r="O3334" s="979"/>
      <c r="P3334" s="979"/>
      <c r="Q3334" s="979"/>
      <c r="R3334" s="979"/>
      <c r="S3334" s="979"/>
      <c r="T3334" s="979"/>
      <c r="U3334" s="979"/>
      <c r="V3334" s="979"/>
      <c r="W3334" s="979"/>
      <c r="X3334" s="979"/>
      <c r="Y3334" s="979"/>
      <c r="Z3334" s="979"/>
      <c r="AA3334" s="979"/>
      <c r="AB3334" s="979"/>
      <c r="AC3334" s="979"/>
      <c r="AD3334" s="979"/>
      <c r="AE3334" s="979"/>
      <c r="AF3334" s="979"/>
      <c r="AG3334" s="980"/>
      <c r="AH3334" s="518"/>
      <c r="AJ3334" s="595"/>
    </row>
    <row r="3335" spans="1:36" hidden="1" x14ac:dyDescent="0.45">
      <c r="A3335" s="518"/>
      <c r="B3335" s="978"/>
      <c r="C3335" s="979"/>
      <c r="D3335" s="979"/>
      <c r="E3335" s="979"/>
      <c r="F3335" s="979"/>
      <c r="G3335" s="979"/>
      <c r="H3335" s="979"/>
      <c r="I3335" s="979"/>
      <c r="J3335" s="979"/>
      <c r="K3335" s="979"/>
      <c r="L3335" s="979"/>
      <c r="M3335" s="979"/>
      <c r="N3335" s="979"/>
      <c r="O3335" s="979"/>
      <c r="P3335" s="979"/>
      <c r="Q3335" s="979"/>
      <c r="R3335" s="979"/>
      <c r="S3335" s="979"/>
      <c r="T3335" s="979"/>
      <c r="U3335" s="979"/>
      <c r="V3335" s="979"/>
      <c r="W3335" s="979"/>
      <c r="X3335" s="979"/>
      <c r="Y3335" s="979"/>
      <c r="Z3335" s="979"/>
      <c r="AA3335" s="979"/>
      <c r="AB3335" s="979"/>
      <c r="AC3335" s="979"/>
      <c r="AD3335" s="979"/>
      <c r="AE3335" s="979"/>
      <c r="AF3335" s="979"/>
      <c r="AG3335" s="980"/>
      <c r="AH3335" s="518"/>
      <c r="AJ3335" s="595"/>
    </row>
    <row r="3336" spans="1:36" hidden="1" x14ac:dyDescent="0.45">
      <c r="A3336" s="518"/>
      <c r="B3336" s="978"/>
      <c r="C3336" s="979"/>
      <c r="D3336" s="979"/>
      <c r="E3336" s="979"/>
      <c r="F3336" s="979"/>
      <c r="G3336" s="979"/>
      <c r="H3336" s="979"/>
      <c r="I3336" s="979"/>
      <c r="J3336" s="979"/>
      <c r="K3336" s="979"/>
      <c r="L3336" s="979"/>
      <c r="M3336" s="979"/>
      <c r="N3336" s="979"/>
      <c r="O3336" s="979"/>
      <c r="P3336" s="979"/>
      <c r="Q3336" s="979"/>
      <c r="R3336" s="979"/>
      <c r="S3336" s="979"/>
      <c r="T3336" s="979"/>
      <c r="U3336" s="979"/>
      <c r="V3336" s="979"/>
      <c r="W3336" s="979"/>
      <c r="X3336" s="979"/>
      <c r="Y3336" s="979"/>
      <c r="Z3336" s="979"/>
      <c r="AA3336" s="979"/>
      <c r="AB3336" s="979"/>
      <c r="AC3336" s="979"/>
      <c r="AD3336" s="979"/>
      <c r="AE3336" s="979"/>
      <c r="AF3336" s="979"/>
      <c r="AG3336" s="980"/>
      <c r="AH3336" s="518"/>
      <c r="AJ3336" s="595"/>
    </row>
    <row r="3337" spans="1:36" hidden="1" x14ac:dyDescent="0.45">
      <c r="A3337" s="518"/>
      <c r="B3337" s="978"/>
      <c r="C3337" s="979"/>
      <c r="D3337" s="979"/>
      <c r="E3337" s="979"/>
      <c r="F3337" s="979"/>
      <c r="G3337" s="979"/>
      <c r="H3337" s="979"/>
      <c r="I3337" s="979"/>
      <c r="J3337" s="979"/>
      <c r="K3337" s="979"/>
      <c r="L3337" s="979"/>
      <c r="M3337" s="979"/>
      <c r="N3337" s="979"/>
      <c r="O3337" s="979"/>
      <c r="P3337" s="979"/>
      <c r="Q3337" s="979"/>
      <c r="R3337" s="979"/>
      <c r="S3337" s="979"/>
      <c r="T3337" s="979"/>
      <c r="U3337" s="979"/>
      <c r="V3337" s="979"/>
      <c r="W3337" s="979"/>
      <c r="X3337" s="979"/>
      <c r="Y3337" s="979"/>
      <c r="Z3337" s="979"/>
      <c r="AA3337" s="979"/>
      <c r="AB3337" s="979"/>
      <c r="AC3337" s="979"/>
      <c r="AD3337" s="979"/>
      <c r="AE3337" s="979"/>
      <c r="AF3337" s="979"/>
      <c r="AG3337" s="980"/>
      <c r="AH3337" s="518"/>
      <c r="AJ3337" s="595"/>
    </row>
    <row r="3338" spans="1:36" hidden="1" x14ac:dyDescent="0.45">
      <c r="A3338" s="518"/>
      <c r="B3338" s="978"/>
      <c r="C3338" s="979"/>
      <c r="D3338" s="979"/>
      <c r="E3338" s="979"/>
      <c r="F3338" s="979"/>
      <c r="G3338" s="979"/>
      <c r="H3338" s="979"/>
      <c r="I3338" s="979"/>
      <c r="J3338" s="979"/>
      <c r="K3338" s="979"/>
      <c r="L3338" s="979"/>
      <c r="M3338" s="979"/>
      <c r="N3338" s="979"/>
      <c r="O3338" s="979"/>
      <c r="P3338" s="979"/>
      <c r="Q3338" s="979"/>
      <c r="R3338" s="979"/>
      <c r="S3338" s="979"/>
      <c r="T3338" s="979"/>
      <c r="U3338" s="979"/>
      <c r="V3338" s="979"/>
      <c r="W3338" s="979"/>
      <c r="X3338" s="979"/>
      <c r="Y3338" s="979"/>
      <c r="Z3338" s="979"/>
      <c r="AA3338" s="979"/>
      <c r="AB3338" s="979"/>
      <c r="AC3338" s="979"/>
      <c r="AD3338" s="979"/>
      <c r="AE3338" s="979"/>
      <c r="AF3338" s="979"/>
      <c r="AG3338" s="980"/>
      <c r="AH3338" s="518"/>
      <c r="AJ3338" s="595"/>
    </row>
    <row r="3339" spans="1:36" hidden="1" x14ac:dyDescent="0.45">
      <c r="A3339" s="518"/>
      <c r="B3339" s="978"/>
      <c r="C3339" s="979"/>
      <c r="D3339" s="979"/>
      <c r="E3339" s="979"/>
      <c r="F3339" s="979"/>
      <c r="G3339" s="979"/>
      <c r="H3339" s="979"/>
      <c r="I3339" s="979"/>
      <c r="J3339" s="979"/>
      <c r="K3339" s="979"/>
      <c r="L3339" s="979"/>
      <c r="M3339" s="979"/>
      <c r="N3339" s="979"/>
      <c r="O3339" s="979"/>
      <c r="P3339" s="979"/>
      <c r="Q3339" s="979"/>
      <c r="R3339" s="979"/>
      <c r="S3339" s="979"/>
      <c r="T3339" s="979"/>
      <c r="U3339" s="979"/>
      <c r="V3339" s="979"/>
      <c r="W3339" s="979"/>
      <c r="X3339" s="979"/>
      <c r="Y3339" s="979"/>
      <c r="Z3339" s="979"/>
      <c r="AA3339" s="979"/>
      <c r="AB3339" s="979"/>
      <c r="AC3339" s="979"/>
      <c r="AD3339" s="979"/>
      <c r="AE3339" s="979"/>
      <c r="AF3339" s="979"/>
      <c r="AG3339" s="980"/>
      <c r="AH3339" s="518"/>
      <c r="AJ3339" s="595"/>
    </row>
    <row r="3340" spans="1:36" hidden="1" x14ac:dyDescent="0.45">
      <c r="A3340" s="518"/>
      <c r="B3340" s="978"/>
      <c r="C3340" s="979"/>
      <c r="D3340" s="979"/>
      <c r="E3340" s="979"/>
      <c r="F3340" s="979"/>
      <c r="G3340" s="979"/>
      <c r="H3340" s="979"/>
      <c r="I3340" s="979"/>
      <c r="J3340" s="979"/>
      <c r="K3340" s="979"/>
      <c r="L3340" s="979"/>
      <c r="M3340" s="979"/>
      <c r="N3340" s="979"/>
      <c r="O3340" s="979"/>
      <c r="P3340" s="979"/>
      <c r="Q3340" s="979"/>
      <c r="R3340" s="979"/>
      <c r="S3340" s="979"/>
      <c r="T3340" s="979"/>
      <c r="U3340" s="979"/>
      <c r="V3340" s="979"/>
      <c r="W3340" s="979"/>
      <c r="X3340" s="979"/>
      <c r="Y3340" s="979"/>
      <c r="Z3340" s="979"/>
      <c r="AA3340" s="979"/>
      <c r="AB3340" s="979"/>
      <c r="AC3340" s="979"/>
      <c r="AD3340" s="979"/>
      <c r="AE3340" s="979"/>
      <c r="AF3340" s="979"/>
      <c r="AG3340" s="980"/>
      <c r="AH3340" s="518"/>
      <c r="AJ3340" s="595"/>
    </row>
    <row r="3341" spans="1:36" hidden="1" x14ac:dyDescent="0.45">
      <c r="A3341" s="518"/>
      <c r="B3341" s="978"/>
      <c r="C3341" s="979"/>
      <c r="D3341" s="979"/>
      <c r="E3341" s="979"/>
      <c r="F3341" s="979"/>
      <c r="G3341" s="979"/>
      <c r="H3341" s="979"/>
      <c r="I3341" s="979"/>
      <c r="J3341" s="979"/>
      <c r="K3341" s="979"/>
      <c r="L3341" s="979"/>
      <c r="M3341" s="979"/>
      <c r="N3341" s="979"/>
      <c r="O3341" s="979"/>
      <c r="P3341" s="979"/>
      <c r="Q3341" s="979"/>
      <c r="R3341" s="979"/>
      <c r="S3341" s="979"/>
      <c r="T3341" s="979"/>
      <c r="U3341" s="979"/>
      <c r="V3341" s="979"/>
      <c r="W3341" s="979"/>
      <c r="X3341" s="979"/>
      <c r="Y3341" s="979"/>
      <c r="Z3341" s="979"/>
      <c r="AA3341" s="979"/>
      <c r="AB3341" s="979"/>
      <c r="AC3341" s="979"/>
      <c r="AD3341" s="979"/>
      <c r="AE3341" s="979"/>
      <c r="AF3341" s="979"/>
      <c r="AG3341" s="980"/>
      <c r="AH3341" s="518"/>
      <c r="AJ3341" s="595"/>
    </row>
    <row r="3342" spans="1:36" hidden="1" x14ac:dyDescent="0.45">
      <c r="A3342" s="518"/>
      <c r="B3342" s="978"/>
      <c r="C3342" s="979"/>
      <c r="D3342" s="979"/>
      <c r="E3342" s="979"/>
      <c r="F3342" s="979"/>
      <c r="G3342" s="979"/>
      <c r="H3342" s="979"/>
      <c r="I3342" s="979"/>
      <c r="J3342" s="979"/>
      <c r="K3342" s="979"/>
      <c r="L3342" s="979"/>
      <c r="M3342" s="979"/>
      <c r="N3342" s="979"/>
      <c r="O3342" s="979"/>
      <c r="P3342" s="979"/>
      <c r="Q3342" s="979"/>
      <c r="R3342" s="979"/>
      <c r="S3342" s="979"/>
      <c r="T3342" s="979"/>
      <c r="U3342" s="979"/>
      <c r="V3342" s="979"/>
      <c r="W3342" s="979"/>
      <c r="X3342" s="979"/>
      <c r="Y3342" s="979"/>
      <c r="Z3342" s="979"/>
      <c r="AA3342" s="979"/>
      <c r="AB3342" s="979"/>
      <c r="AC3342" s="979"/>
      <c r="AD3342" s="979"/>
      <c r="AE3342" s="979"/>
      <c r="AF3342" s="979"/>
      <c r="AG3342" s="980"/>
      <c r="AH3342" s="518"/>
      <c r="AJ3342" s="595"/>
    </row>
    <row r="3343" spans="1:36" hidden="1" x14ac:dyDescent="0.45">
      <c r="A3343" s="518"/>
      <c r="B3343" s="978"/>
      <c r="C3343" s="979"/>
      <c r="D3343" s="979"/>
      <c r="E3343" s="979"/>
      <c r="F3343" s="979"/>
      <c r="G3343" s="979"/>
      <c r="H3343" s="979"/>
      <c r="I3343" s="979"/>
      <c r="J3343" s="979"/>
      <c r="K3343" s="979"/>
      <c r="L3343" s="979"/>
      <c r="M3343" s="979"/>
      <c r="N3343" s="979"/>
      <c r="O3343" s="979"/>
      <c r="P3343" s="979"/>
      <c r="Q3343" s="979"/>
      <c r="R3343" s="979"/>
      <c r="S3343" s="979"/>
      <c r="T3343" s="979"/>
      <c r="U3343" s="979"/>
      <c r="V3343" s="979"/>
      <c r="W3343" s="979"/>
      <c r="X3343" s="979"/>
      <c r="Y3343" s="979"/>
      <c r="Z3343" s="979"/>
      <c r="AA3343" s="979"/>
      <c r="AB3343" s="979"/>
      <c r="AC3343" s="979"/>
      <c r="AD3343" s="979"/>
      <c r="AE3343" s="979"/>
      <c r="AF3343" s="979"/>
      <c r="AG3343" s="980"/>
      <c r="AH3343" s="518"/>
      <c r="AJ3343" s="595"/>
    </row>
    <row r="3344" spans="1:36" hidden="1" x14ac:dyDescent="0.45">
      <c r="A3344" s="518"/>
      <c r="B3344" s="978"/>
      <c r="C3344" s="979"/>
      <c r="D3344" s="979"/>
      <c r="E3344" s="979"/>
      <c r="F3344" s="979"/>
      <c r="G3344" s="979"/>
      <c r="H3344" s="979"/>
      <c r="I3344" s="979"/>
      <c r="J3344" s="979"/>
      <c r="K3344" s="979"/>
      <c r="L3344" s="979"/>
      <c r="M3344" s="979"/>
      <c r="N3344" s="979"/>
      <c r="O3344" s="979"/>
      <c r="P3344" s="979"/>
      <c r="Q3344" s="979"/>
      <c r="R3344" s="979"/>
      <c r="S3344" s="979"/>
      <c r="T3344" s="979"/>
      <c r="U3344" s="979"/>
      <c r="V3344" s="979"/>
      <c r="W3344" s="979"/>
      <c r="X3344" s="979"/>
      <c r="Y3344" s="979"/>
      <c r="Z3344" s="979"/>
      <c r="AA3344" s="979"/>
      <c r="AB3344" s="979"/>
      <c r="AC3344" s="979"/>
      <c r="AD3344" s="979"/>
      <c r="AE3344" s="979"/>
      <c r="AF3344" s="979"/>
      <c r="AG3344" s="980"/>
      <c r="AH3344" s="518"/>
      <c r="AJ3344" s="595"/>
    </row>
    <row r="3345" spans="1:36" hidden="1" x14ac:dyDescent="0.45">
      <c r="A3345" s="518"/>
      <c r="B3345" s="978"/>
      <c r="C3345" s="979"/>
      <c r="D3345" s="979"/>
      <c r="E3345" s="979"/>
      <c r="F3345" s="979"/>
      <c r="G3345" s="979"/>
      <c r="H3345" s="979"/>
      <c r="I3345" s="979"/>
      <c r="J3345" s="979"/>
      <c r="K3345" s="979"/>
      <c r="L3345" s="979"/>
      <c r="M3345" s="979"/>
      <c r="N3345" s="979"/>
      <c r="O3345" s="979"/>
      <c r="P3345" s="979"/>
      <c r="Q3345" s="979"/>
      <c r="R3345" s="979"/>
      <c r="S3345" s="979"/>
      <c r="T3345" s="979"/>
      <c r="U3345" s="979"/>
      <c r="V3345" s="979"/>
      <c r="W3345" s="979"/>
      <c r="X3345" s="979"/>
      <c r="Y3345" s="979"/>
      <c r="Z3345" s="979"/>
      <c r="AA3345" s="979"/>
      <c r="AB3345" s="979"/>
      <c r="AC3345" s="979"/>
      <c r="AD3345" s="979"/>
      <c r="AE3345" s="979"/>
      <c r="AF3345" s="979"/>
      <c r="AG3345" s="980"/>
      <c r="AH3345" s="518"/>
      <c r="AJ3345" s="595"/>
    </row>
    <row r="3346" spans="1:36" hidden="1" x14ac:dyDescent="0.45">
      <c r="A3346" s="518"/>
      <c r="B3346" s="978"/>
      <c r="C3346" s="979"/>
      <c r="D3346" s="979"/>
      <c r="E3346" s="979"/>
      <c r="F3346" s="979"/>
      <c r="G3346" s="979"/>
      <c r="H3346" s="979"/>
      <c r="I3346" s="979"/>
      <c r="J3346" s="979"/>
      <c r="K3346" s="979"/>
      <c r="L3346" s="979"/>
      <c r="M3346" s="979"/>
      <c r="N3346" s="979"/>
      <c r="O3346" s="979"/>
      <c r="P3346" s="979"/>
      <c r="Q3346" s="979"/>
      <c r="R3346" s="979"/>
      <c r="S3346" s="979"/>
      <c r="T3346" s="979"/>
      <c r="U3346" s="979"/>
      <c r="V3346" s="979"/>
      <c r="W3346" s="979"/>
      <c r="X3346" s="979"/>
      <c r="Y3346" s="979"/>
      <c r="Z3346" s="979"/>
      <c r="AA3346" s="979"/>
      <c r="AB3346" s="979"/>
      <c r="AC3346" s="979"/>
      <c r="AD3346" s="979"/>
      <c r="AE3346" s="979"/>
      <c r="AF3346" s="979"/>
      <c r="AG3346" s="980"/>
      <c r="AH3346" s="518"/>
      <c r="AJ3346" s="595"/>
    </row>
    <row r="3347" spans="1:36" hidden="1" x14ac:dyDescent="0.45">
      <c r="A3347" s="518"/>
      <c r="B3347" s="978"/>
      <c r="C3347" s="979"/>
      <c r="D3347" s="979"/>
      <c r="E3347" s="979"/>
      <c r="F3347" s="979"/>
      <c r="G3347" s="979"/>
      <c r="H3347" s="979"/>
      <c r="I3347" s="979"/>
      <c r="J3347" s="979"/>
      <c r="K3347" s="979"/>
      <c r="L3347" s="979"/>
      <c r="M3347" s="979"/>
      <c r="N3347" s="979"/>
      <c r="O3347" s="979"/>
      <c r="P3347" s="979"/>
      <c r="Q3347" s="979"/>
      <c r="R3347" s="979"/>
      <c r="S3347" s="979"/>
      <c r="T3347" s="979"/>
      <c r="U3347" s="979"/>
      <c r="V3347" s="979"/>
      <c r="W3347" s="979"/>
      <c r="X3347" s="979"/>
      <c r="Y3347" s="979"/>
      <c r="Z3347" s="979"/>
      <c r="AA3347" s="979"/>
      <c r="AB3347" s="979"/>
      <c r="AC3347" s="979"/>
      <c r="AD3347" s="979"/>
      <c r="AE3347" s="979"/>
      <c r="AF3347" s="979"/>
      <c r="AG3347" s="980"/>
      <c r="AH3347" s="518"/>
      <c r="AJ3347" s="595"/>
    </row>
    <row r="3348" spans="1:36" hidden="1" x14ac:dyDescent="0.45">
      <c r="A3348" s="518"/>
      <c r="B3348" s="978"/>
      <c r="C3348" s="979"/>
      <c r="D3348" s="979"/>
      <c r="E3348" s="979"/>
      <c r="F3348" s="979"/>
      <c r="G3348" s="979"/>
      <c r="H3348" s="979"/>
      <c r="I3348" s="979"/>
      <c r="J3348" s="979"/>
      <c r="K3348" s="979"/>
      <c r="L3348" s="979"/>
      <c r="M3348" s="979"/>
      <c r="N3348" s="979"/>
      <c r="O3348" s="979"/>
      <c r="P3348" s="979"/>
      <c r="Q3348" s="979"/>
      <c r="R3348" s="979"/>
      <c r="S3348" s="979"/>
      <c r="T3348" s="979"/>
      <c r="U3348" s="979"/>
      <c r="V3348" s="979"/>
      <c r="W3348" s="979"/>
      <c r="X3348" s="979"/>
      <c r="Y3348" s="979"/>
      <c r="Z3348" s="979"/>
      <c r="AA3348" s="979"/>
      <c r="AB3348" s="979"/>
      <c r="AC3348" s="979"/>
      <c r="AD3348" s="979"/>
      <c r="AE3348" s="979"/>
      <c r="AF3348" s="979"/>
      <c r="AG3348" s="980"/>
      <c r="AH3348" s="518"/>
      <c r="AJ3348" s="595"/>
    </row>
    <row r="3349" spans="1:36" hidden="1" x14ac:dyDescent="0.45">
      <c r="A3349" s="518"/>
      <c r="B3349" s="978"/>
      <c r="C3349" s="979"/>
      <c r="D3349" s="979"/>
      <c r="E3349" s="979"/>
      <c r="F3349" s="979"/>
      <c r="G3349" s="979"/>
      <c r="H3349" s="979"/>
      <c r="I3349" s="979"/>
      <c r="J3349" s="979"/>
      <c r="K3349" s="979"/>
      <c r="L3349" s="979"/>
      <c r="M3349" s="979"/>
      <c r="N3349" s="979"/>
      <c r="O3349" s="979"/>
      <c r="P3349" s="979"/>
      <c r="Q3349" s="979"/>
      <c r="R3349" s="979"/>
      <c r="S3349" s="979"/>
      <c r="T3349" s="979"/>
      <c r="U3349" s="979"/>
      <c r="V3349" s="979"/>
      <c r="W3349" s="979"/>
      <c r="X3349" s="979"/>
      <c r="Y3349" s="979"/>
      <c r="Z3349" s="979"/>
      <c r="AA3349" s="979"/>
      <c r="AB3349" s="979"/>
      <c r="AC3349" s="979"/>
      <c r="AD3349" s="979"/>
      <c r="AE3349" s="979"/>
      <c r="AF3349" s="979"/>
      <c r="AG3349" s="980"/>
      <c r="AH3349" s="518"/>
      <c r="AJ3349" s="595"/>
    </row>
    <row r="3350" spans="1:36" hidden="1" x14ac:dyDescent="0.45">
      <c r="A3350" s="518"/>
      <c r="B3350" s="978"/>
      <c r="C3350" s="979"/>
      <c r="D3350" s="979"/>
      <c r="E3350" s="979"/>
      <c r="F3350" s="979"/>
      <c r="G3350" s="979"/>
      <c r="H3350" s="979"/>
      <c r="I3350" s="979"/>
      <c r="J3350" s="979"/>
      <c r="K3350" s="979"/>
      <c r="L3350" s="979"/>
      <c r="M3350" s="979"/>
      <c r="N3350" s="979"/>
      <c r="O3350" s="979"/>
      <c r="P3350" s="979"/>
      <c r="Q3350" s="979"/>
      <c r="R3350" s="979"/>
      <c r="S3350" s="979"/>
      <c r="T3350" s="979"/>
      <c r="U3350" s="979"/>
      <c r="V3350" s="979"/>
      <c r="W3350" s="979"/>
      <c r="X3350" s="979"/>
      <c r="Y3350" s="979"/>
      <c r="Z3350" s="979"/>
      <c r="AA3350" s="979"/>
      <c r="AB3350" s="979"/>
      <c r="AC3350" s="979"/>
      <c r="AD3350" s="979"/>
      <c r="AE3350" s="979"/>
      <c r="AF3350" s="979"/>
      <c r="AG3350" s="980"/>
      <c r="AH3350" s="518"/>
      <c r="AJ3350" s="595"/>
    </row>
    <row r="3351" spans="1:36" hidden="1" x14ac:dyDescent="0.45">
      <c r="A3351" s="518"/>
      <c r="B3351" s="978"/>
      <c r="C3351" s="979"/>
      <c r="D3351" s="979"/>
      <c r="E3351" s="979"/>
      <c r="F3351" s="979"/>
      <c r="G3351" s="979"/>
      <c r="H3351" s="979"/>
      <c r="I3351" s="979"/>
      <c r="J3351" s="979"/>
      <c r="K3351" s="979"/>
      <c r="L3351" s="979"/>
      <c r="M3351" s="979"/>
      <c r="N3351" s="979"/>
      <c r="O3351" s="979"/>
      <c r="P3351" s="979"/>
      <c r="Q3351" s="979"/>
      <c r="R3351" s="979"/>
      <c r="S3351" s="979"/>
      <c r="T3351" s="979"/>
      <c r="U3351" s="979"/>
      <c r="V3351" s="979"/>
      <c r="W3351" s="979"/>
      <c r="X3351" s="979"/>
      <c r="Y3351" s="979"/>
      <c r="Z3351" s="979"/>
      <c r="AA3351" s="979"/>
      <c r="AB3351" s="979"/>
      <c r="AC3351" s="979"/>
      <c r="AD3351" s="979"/>
      <c r="AE3351" s="979"/>
      <c r="AF3351" s="979"/>
      <c r="AG3351" s="980"/>
      <c r="AH3351" s="518"/>
      <c r="AJ3351" s="595"/>
    </row>
    <row r="3352" spans="1:36" hidden="1" x14ac:dyDescent="0.45">
      <c r="A3352" s="518"/>
      <c r="B3352" s="978"/>
      <c r="C3352" s="979"/>
      <c r="D3352" s="979"/>
      <c r="E3352" s="979"/>
      <c r="F3352" s="979"/>
      <c r="G3352" s="979"/>
      <c r="H3352" s="979"/>
      <c r="I3352" s="979"/>
      <c r="J3352" s="979"/>
      <c r="K3352" s="979"/>
      <c r="L3352" s="979"/>
      <c r="M3352" s="979"/>
      <c r="N3352" s="979"/>
      <c r="O3352" s="979"/>
      <c r="P3352" s="979"/>
      <c r="Q3352" s="979"/>
      <c r="R3352" s="979"/>
      <c r="S3352" s="979"/>
      <c r="T3352" s="979"/>
      <c r="U3352" s="979"/>
      <c r="V3352" s="979"/>
      <c r="W3352" s="979"/>
      <c r="X3352" s="979"/>
      <c r="Y3352" s="979"/>
      <c r="Z3352" s="979"/>
      <c r="AA3352" s="979"/>
      <c r="AB3352" s="979"/>
      <c r="AC3352" s="979"/>
      <c r="AD3352" s="979"/>
      <c r="AE3352" s="979"/>
      <c r="AF3352" s="979"/>
      <c r="AG3352" s="980"/>
      <c r="AH3352" s="518"/>
      <c r="AJ3352" s="595"/>
    </row>
    <row r="3353" spans="1:36" hidden="1" x14ac:dyDescent="0.45">
      <c r="A3353" s="518"/>
      <c r="B3353" s="978"/>
      <c r="C3353" s="979"/>
      <c r="D3353" s="979"/>
      <c r="E3353" s="979"/>
      <c r="F3353" s="979"/>
      <c r="G3353" s="979"/>
      <c r="H3353" s="979"/>
      <c r="I3353" s="979"/>
      <c r="J3353" s="979"/>
      <c r="K3353" s="979"/>
      <c r="L3353" s="979"/>
      <c r="M3353" s="979"/>
      <c r="N3353" s="979"/>
      <c r="O3353" s="979"/>
      <c r="P3353" s="979"/>
      <c r="Q3353" s="979"/>
      <c r="R3353" s="979"/>
      <c r="S3353" s="979"/>
      <c r="T3353" s="979"/>
      <c r="U3353" s="979"/>
      <c r="V3353" s="979"/>
      <c r="W3353" s="979"/>
      <c r="X3353" s="979"/>
      <c r="Y3353" s="979"/>
      <c r="Z3353" s="979"/>
      <c r="AA3353" s="979"/>
      <c r="AB3353" s="979"/>
      <c r="AC3353" s="979"/>
      <c r="AD3353" s="979"/>
      <c r="AE3353" s="979"/>
      <c r="AF3353" s="979"/>
      <c r="AG3353" s="980"/>
      <c r="AH3353" s="518"/>
      <c r="AJ3353" s="595"/>
    </row>
    <row r="3354" spans="1:36" hidden="1" x14ac:dyDescent="0.45">
      <c r="A3354" s="518"/>
      <c r="B3354" s="978"/>
      <c r="C3354" s="979"/>
      <c r="D3354" s="979"/>
      <c r="E3354" s="979"/>
      <c r="F3354" s="979"/>
      <c r="G3354" s="979"/>
      <c r="H3354" s="979"/>
      <c r="I3354" s="979"/>
      <c r="J3354" s="979"/>
      <c r="K3354" s="979"/>
      <c r="L3354" s="979"/>
      <c r="M3354" s="979"/>
      <c r="N3354" s="979"/>
      <c r="O3354" s="979"/>
      <c r="P3354" s="979"/>
      <c r="Q3354" s="979"/>
      <c r="R3354" s="979"/>
      <c r="S3354" s="979"/>
      <c r="T3354" s="979"/>
      <c r="U3354" s="979"/>
      <c r="V3354" s="979"/>
      <c r="W3354" s="979"/>
      <c r="X3354" s="979"/>
      <c r="Y3354" s="979"/>
      <c r="Z3354" s="979"/>
      <c r="AA3354" s="979"/>
      <c r="AB3354" s="979"/>
      <c r="AC3354" s="979"/>
      <c r="AD3354" s="979"/>
      <c r="AE3354" s="979"/>
      <c r="AF3354" s="979"/>
      <c r="AG3354" s="980"/>
      <c r="AH3354" s="518"/>
      <c r="AJ3354" s="595"/>
    </row>
    <row r="3355" spans="1:36" hidden="1" x14ac:dyDescent="0.45">
      <c r="A3355" s="518"/>
      <c r="B3355" s="978"/>
      <c r="C3355" s="979"/>
      <c r="D3355" s="979"/>
      <c r="E3355" s="979"/>
      <c r="F3355" s="979"/>
      <c r="G3355" s="979"/>
      <c r="H3355" s="979"/>
      <c r="I3355" s="979"/>
      <c r="J3355" s="979"/>
      <c r="K3355" s="979"/>
      <c r="L3355" s="979"/>
      <c r="M3355" s="979"/>
      <c r="N3355" s="979"/>
      <c r="O3355" s="979"/>
      <c r="P3355" s="979"/>
      <c r="Q3355" s="979"/>
      <c r="R3355" s="979"/>
      <c r="S3355" s="979"/>
      <c r="T3355" s="979"/>
      <c r="U3355" s="979"/>
      <c r="V3355" s="979"/>
      <c r="W3355" s="979"/>
      <c r="X3355" s="979"/>
      <c r="Y3355" s="979"/>
      <c r="Z3355" s="979"/>
      <c r="AA3355" s="979"/>
      <c r="AB3355" s="979"/>
      <c r="AC3355" s="979"/>
      <c r="AD3355" s="979"/>
      <c r="AE3355" s="979"/>
      <c r="AF3355" s="979"/>
      <c r="AG3355" s="980"/>
      <c r="AH3355" s="518"/>
      <c r="AJ3355" s="595"/>
    </row>
    <row r="3356" spans="1:36" hidden="1" x14ac:dyDescent="0.45">
      <c r="A3356" s="518"/>
      <c r="B3356" s="978"/>
      <c r="C3356" s="979"/>
      <c r="D3356" s="979"/>
      <c r="E3356" s="979"/>
      <c r="F3356" s="979"/>
      <c r="G3356" s="979"/>
      <c r="H3356" s="979"/>
      <c r="I3356" s="979"/>
      <c r="J3356" s="979"/>
      <c r="K3356" s="979"/>
      <c r="L3356" s="979"/>
      <c r="M3356" s="979"/>
      <c r="N3356" s="979"/>
      <c r="O3356" s="979"/>
      <c r="P3356" s="979"/>
      <c r="Q3356" s="979"/>
      <c r="R3356" s="979"/>
      <c r="S3356" s="979"/>
      <c r="T3356" s="979"/>
      <c r="U3356" s="979"/>
      <c r="V3356" s="979"/>
      <c r="W3356" s="979"/>
      <c r="X3356" s="979"/>
      <c r="Y3356" s="979"/>
      <c r="Z3356" s="979"/>
      <c r="AA3356" s="979"/>
      <c r="AB3356" s="979"/>
      <c r="AC3356" s="979"/>
      <c r="AD3356" s="979"/>
      <c r="AE3356" s="979"/>
      <c r="AF3356" s="979"/>
      <c r="AG3356" s="980"/>
      <c r="AH3356" s="518"/>
      <c r="AJ3356" s="595"/>
    </row>
    <row r="3357" spans="1:36" hidden="1" x14ac:dyDescent="0.45">
      <c r="A3357" s="518"/>
      <c r="B3357" s="978"/>
      <c r="C3357" s="979"/>
      <c r="D3357" s="979"/>
      <c r="E3357" s="979"/>
      <c r="F3357" s="979"/>
      <c r="G3357" s="979"/>
      <c r="H3357" s="979"/>
      <c r="I3357" s="979"/>
      <c r="J3357" s="979"/>
      <c r="K3357" s="979"/>
      <c r="L3357" s="979"/>
      <c r="M3357" s="979"/>
      <c r="N3357" s="979"/>
      <c r="O3357" s="979"/>
      <c r="P3357" s="979"/>
      <c r="Q3357" s="979"/>
      <c r="R3357" s="979"/>
      <c r="S3357" s="979"/>
      <c r="T3357" s="979"/>
      <c r="U3357" s="979"/>
      <c r="V3357" s="979"/>
      <c r="W3357" s="979"/>
      <c r="X3357" s="979"/>
      <c r="Y3357" s="979"/>
      <c r="Z3357" s="979"/>
      <c r="AA3357" s="979"/>
      <c r="AB3357" s="979"/>
      <c r="AC3357" s="979"/>
      <c r="AD3357" s="979"/>
      <c r="AE3357" s="979"/>
      <c r="AF3357" s="979"/>
      <c r="AG3357" s="980"/>
      <c r="AH3357" s="518"/>
      <c r="AJ3357" s="595"/>
    </row>
    <row r="3358" spans="1:36" hidden="1" x14ac:dyDescent="0.45">
      <c r="A3358" s="518"/>
      <c r="B3358" s="978"/>
      <c r="C3358" s="979"/>
      <c r="D3358" s="979"/>
      <c r="E3358" s="979"/>
      <c r="F3358" s="979"/>
      <c r="G3358" s="979"/>
      <c r="H3358" s="979"/>
      <c r="I3358" s="979"/>
      <c r="J3358" s="979"/>
      <c r="K3358" s="979"/>
      <c r="L3358" s="979"/>
      <c r="M3358" s="979"/>
      <c r="N3358" s="979"/>
      <c r="O3358" s="979"/>
      <c r="P3358" s="979"/>
      <c r="Q3358" s="979"/>
      <c r="R3358" s="979"/>
      <c r="S3358" s="979"/>
      <c r="T3358" s="979"/>
      <c r="U3358" s="979"/>
      <c r="V3358" s="979"/>
      <c r="W3358" s="979"/>
      <c r="X3358" s="979"/>
      <c r="Y3358" s="979"/>
      <c r="Z3358" s="979"/>
      <c r="AA3358" s="979"/>
      <c r="AB3358" s="979"/>
      <c r="AC3358" s="979"/>
      <c r="AD3358" s="979"/>
      <c r="AE3358" s="979"/>
      <c r="AF3358" s="979"/>
      <c r="AG3358" s="980"/>
      <c r="AH3358" s="518"/>
      <c r="AJ3358" s="595"/>
    </row>
    <row r="3359" spans="1:36" hidden="1" x14ac:dyDescent="0.45">
      <c r="A3359" s="518"/>
      <c r="B3359" s="978"/>
      <c r="C3359" s="979"/>
      <c r="D3359" s="979"/>
      <c r="E3359" s="979"/>
      <c r="F3359" s="979"/>
      <c r="G3359" s="979"/>
      <c r="H3359" s="979"/>
      <c r="I3359" s="979"/>
      <c r="J3359" s="979"/>
      <c r="K3359" s="979"/>
      <c r="L3359" s="979"/>
      <c r="M3359" s="979"/>
      <c r="N3359" s="979"/>
      <c r="O3359" s="979"/>
      <c r="P3359" s="979"/>
      <c r="Q3359" s="979"/>
      <c r="R3359" s="979"/>
      <c r="S3359" s="979"/>
      <c r="T3359" s="979"/>
      <c r="U3359" s="979"/>
      <c r="V3359" s="979"/>
      <c r="W3359" s="979"/>
      <c r="X3359" s="979"/>
      <c r="Y3359" s="979"/>
      <c r="Z3359" s="979"/>
      <c r="AA3359" s="979"/>
      <c r="AB3359" s="979"/>
      <c r="AC3359" s="979"/>
      <c r="AD3359" s="979"/>
      <c r="AE3359" s="979"/>
      <c r="AF3359" s="979"/>
      <c r="AG3359" s="980"/>
      <c r="AH3359" s="518"/>
      <c r="AJ3359" s="595"/>
    </row>
    <row r="3360" spans="1:36" hidden="1" x14ac:dyDescent="0.45">
      <c r="A3360" s="518"/>
      <c r="B3360" s="978"/>
      <c r="C3360" s="979"/>
      <c r="D3360" s="979"/>
      <c r="E3360" s="979"/>
      <c r="F3360" s="979"/>
      <c r="G3360" s="979"/>
      <c r="H3360" s="979"/>
      <c r="I3360" s="979"/>
      <c r="J3360" s="979"/>
      <c r="K3360" s="979"/>
      <c r="L3360" s="979"/>
      <c r="M3360" s="979"/>
      <c r="N3360" s="979"/>
      <c r="O3360" s="979"/>
      <c r="P3360" s="979"/>
      <c r="Q3360" s="979"/>
      <c r="R3360" s="979"/>
      <c r="S3360" s="979"/>
      <c r="T3360" s="979"/>
      <c r="U3360" s="979"/>
      <c r="V3360" s="979"/>
      <c r="W3360" s="979"/>
      <c r="X3360" s="979"/>
      <c r="Y3360" s="979"/>
      <c r="Z3360" s="979"/>
      <c r="AA3360" s="979"/>
      <c r="AB3360" s="979"/>
      <c r="AC3360" s="979"/>
      <c r="AD3360" s="979"/>
      <c r="AE3360" s="979"/>
      <c r="AF3360" s="979"/>
      <c r="AG3360" s="980"/>
      <c r="AH3360" s="518"/>
      <c r="AJ3360" s="595"/>
    </row>
    <row r="3361" spans="1:36" hidden="1" x14ac:dyDescent="0.45">
      <c r="A3361" s="518"/>
      <c r="B3361" s="978"/>
      <c r="C3361" s="979"/>
      <c r="D3361" s="979"/>
      <c r="E3361" s="979"/>
      <c r="F3361" s="979"/>
      <c r="G3361" s="979"/>
      <c r="H3361" s="979"/>
      <c r="I3361" s="979"/>
      <c r="J3361" s="979"/>
      <c r="K3361" s="979"/>
      <c r="L3361" s="979"/>
      <c r="M3361" s="979"/>
      <c r="N3361" s="979"/>
      <c r="O3361" s="979"/>
      <c r="P3361" s="979"/>
      <c r="Q3361" s="979"/>
      <c r="R3361" s="979"/>
      <c r="S3361" s="979"/>
      <c r="T3361" s="979"/>
      <c r="U3361" s="979"/>
      <c r="V3361" s="979"/>
      <c r="W3361" s="979"/>
      <c r="X3361" s="979"/>
      <c r="Y3361" s="979"/>
      <c r="Z3361" s="979"/>
      <c r="AA3361" s="979"/>
      <c r="AB3361" s="979"/>
      <c r="AC3361" s="979"/>
      <c r="AD3361" s="979"/>
      <c r="AE3361" s="979"/>
      <c r="AF3361" s="979"/>
      <c r="AG3361" s="980"/>
      <c r="AH3361" s="518"/>
      <c r="AJ3361" s="595"/>
    </row>
    <row r="3362" spans="1:36" hidden="1" x14ac:dyDescent="0.45">
      <c r="A3362" s="518"/>
      <c r="B3362" s="978"/>
      <c r="C3362" s="979"/>
      <c r="D3362" s="979"/>
      <c r="E3362" s="979"/>
      <c r="F3362" s="979"/>
      <c r="G3362" s="979"/>
      <c r="H3362" s="979"/>
      <c r="I3362" s="979"/>
      <c r="J3362" s="979"/>
      <c r="K3362" s="979"/>
      <c r="L3362" s="979"/>
      <c r="M3362" s="979"/>
      <c r="N3362" s="979"/>
      <c r="O3362" s="979"/>
      <c r="P3362" s="979"/>
      <c r="Q3362" s="979"/>
      <c r="R3362" s="979"/>
      <c r="S3362" s="979"/>
      <c r="T3362" s="979"/>
      <c r="U3362" s="979"/>
      <c r="V3362" s="979"/>
      <c r="W3362" s="979"/>
      <c r="X3362" s="979"/>
      <c r="Y3362" s="979"/>
      <c r="Z3362" s="979"/>
      <c r="AA3362" s="979"/>
      <c r="AB3362" s="979"/>
      <c r="AC3362" s="979"/>
      <c r="AD3362" s="979"/>
      <c r="AE3362" s="979"/>
      <c r="AF3362" s="979"/>
      <c r="AG3362" s="980"/>
      <c r="AH3362" s="518"/>
      <c r="AJ3362" s="595"/>
    </row>
    <row r="3363" spans="1:36" hidden="1" x14ac:dyDescent="0.45">
      <c r="A3363" s="518"/>
      <c r="B3363" s="978"/>
      <c r="C3363" s="979"/>
      <c r="D3363" s="979"/>
      <c r="E3363" s="979"/>
      <c r="F3363" s="979"/>
      <c r="G3363" s="979"/>
      <c r="H3363" s="979"/>
      <c r="I3363" s="979"/>
      <c r="J3363" s="979"/>
      <c r="K3363" s="979"/>
      <c r="L3363" s="979"/>
      <c r="M3363" s="979"/>
      <c r="N3363" s="979"/>
      <c r="O3363" s="979"/>
      <c r="P3363" s="979"/>
      <c r="Q3363" s="979"/>
      <c r="R3363" s="979"/>
      <c r="S3363" s="979"/>
      <c r="T3363" s="979"/>
      <c r="U3363" s="979"/>
      <c r="V3363" s="979"/>
      <c r="W3363" s="979"/>
      <c r="X3363" s="979"/>
      <c r="Y3363" s="979"/>
      <c r="Z3363" s="979"/>
      <c r="AA3363" s="979"/>
      <c r="AB3363" s="979"/>
      <c r="AC3363" s="979"/>
      <c r="AD3363" s="979"/>
      <c r="AE3363" s="979"/>
      <c r="AF3363" s="979"/>
      <c r="AG3363" s="980"/>
      <c r="AH3363" s="518"/>
      <c r="AJ3363" s="595"/>
    </row>
    <row r="3364" spans="1:36" hidden="1" x14ac:dyDescent="0.45">
      <c r="A3364" s="518"/>
      <c r="B3364" s="981"/>
      <c r="C3364" s="982"/>
      <c r="D3364" s="982"/>
      <c r="E3364" s="982"/>
      <c r="F3364" s="982"/>
      <c r="G3364" s="982"/>
      <c r="H3364" s="982"/>
      <c r="I3364" s="982"/>
      <c r="J3364" s="982"/>
      <c r="K3364" s="982"/>
      <c r="L3364" s="982"/>
      <c r="M3364" s="982"/>
      <c r="N3364" s="982"/>
      <c r="O3364" s="982"/>
      <c r="P3364" s="982"/>
      <c r="Q3364" s="982"/>
      <c r="R3364" s="982"/>
      <c r="S3364" s="982"/>
      <c r="T3364" s="982"/>
      <c r="U3364" s="982"/>
      <c r="V3364" s="982"/>
      <c r="W3364" s="982"/>
      <c r="X3364" s="982"/>
      <c r="Y3364" s="982"/>
      <c r="Z3364" s="982"/>
      <c r="AA3364" s="982"/>
      <c r="AB3364" s="982"/>
      <c r="AC3364" s="982"/>
      <c r="AD3364" s="982"/>
      <c r="AE3364" s="982"/>
      <c r="AF3364" s="982"/>
      <c r="AG3364" s="983"/>
      <c r="AH3364" s="518"/>
      <c r="AJ3364" s="595"/>
    </row>
    <row r="3365" spans="1:36" hidden="1" x14ac:dyDescent="0.45">
      <c r="A3365" s="518"/>
      <c r="B3365" s="517"/>
      <c r="C3365" s="517"/>
      <c r="D3365" s="517"/>
      <c r="E3365" s="517"/>
      <c r="F3365" s="517"/>
      <c r="G3365" s="517"/>
      <c r="H3365" s="517"/>
      <c r="I3365" s="517"/>
      <c r="J3365" s="517"/>
      <c r="K3365" s="517"/>
      <c r="L3365" s="517"/>
      <c r="M3365" s="517"/>
      <c r="N3365" s="517"/>
      <c r="O3365" s="517"/>
      <c r="P3365" s="517"/>
      <c r="Q3365" s="517"/>
      <c r="R3365" s="517"/>
      <c r="S3365" s="517"/>
      <c r="T3365" s="517"/>
      <c r="U3365" s="517"/>
      <c r="V3365" s="517"/>
      <c r="W3365" s="517"/>
      <c r="X3365" s="517"/>
      <c r="Y3365" s="517"/>
      <c r="Z3365" s="517"/>
      <c r="AA3365" s="517"/>
      <c r="AB3365" s="517"/>
      <c r="AC3365" s="517"/>
      <c r="AD3365" s="517"/>
      <c r="AE3365" s="517"/>
      <c r="AF3365" s="517"/>
      <c r="AG3365" s="517"/>
      <c r="AH3365" s="518"/>
      <c r="AJ3365" s="595"/>
    </row>
    <row r="3366" spans="1:36" hidden="1" x14ac:dyDescent="0.45">
      <c r="A3366" s="518"/>
      <c r="B3366" s="518"/>
      <c r="C3366" s="518"/>
      <c r="D3366" s="518"/>
      <c r="E3366" s="518"/>
      <c r="F3366" s="518"/>
      <c r="G3366" s="518"/>
      <c r="H3366" s="518"/>
      <c r="I3366" s="518"/>
      <c r="J3366" s="518"/>
      <c r="K3366" s="518"/>
      <c r="L3366" s="518"/>
      <c r="M3366" s="518"/>
      <c r="N3366" s="518"/>
      <c r="O3366" s="518"/>
      <c r="P3366" s="518"/>
      <c r="Q3366" s="518"/>
      <c r="R3366" s="518"/>
      <c r="S3366" s="518"/>
      <c r="T3366" s="518"/>
      <c r="U3366" s="518"/>
      <c r="V3366" s="518"/>
      <c r="W3366" s="518"/>
      <c r="X3366" s="518"/>
      <c r="Y3366" s="518"/>
      <c r="Z3366" s="518"/>
      <c r="AA3366" s="518"/>
      <c r="AB3366" s="518"/>
      <c r="AC3366" s="518"/>
      <c r="AD3366" s="518"/>
      <c r="AE3366" s="518"/>
      <c r="AF3366" s="518"/>
      <c r="AG3366" s="518"/>
      <c r="AH3366" s="518"/>
      <c r="AJ3366" s="595"/>
    </row>
    <row r="3367" spans="1:36" hidden="1" x14ac:dyDescent="0.45">
      <c r="A3367" s="518"/>
      <c r="B3367" s="907" t="s">
        <v>25</v>
      </c>
      <c r="C3367" s="907"/>
      <c r="D3367" s="907"/>
      <c r="E3367" s="907"/>
      <c r="F3367" s="907"/>
      <c r="G3367" s="907"/>
      <c r="H3367" s="907"/>
      <c r="I3367" s="907"/>
      <c r="J3367" s="907"/>
      <c r="K3367" s="907"/>
      <c r="L3367" s="907"/>
      <c r="M3367" s="907"/>
      <c r="N3367" s="907"/>
      <c r="O3367" s="907"/>
      <c r="P3367" s="907"/>
      <c r="Q3367" s="907"/>
      <c r="R3367" s="907"/>
      <c r="S3367" s="907"/>
      <c r="T3367" s="907"/>
      <c r="U3367" s="907"/>
      <c r="V3367" s="907"/>
      <c r="W3367" s="907"/>
      <c r="X3367" s="907"/>
      <c r="Y3367" s="907"/>
      <c r="Z3367" s="907"/>
      <c r="AA3367" s="907"/>
      <c r="AB3367" s="907"/>
      <c r="AC3367" s="907"/>
      <c r="AD3367" s="907"/>
      <c r="AE3367" s="907"/>
      <c r="AF3367" s="907"/>
      <c r="AG3367" s="907"/>
      <c r="AH3367" s="518"/>
      <c r="AJ3367" s="595"/>
    </row>
    <row r="3368" spans="1:36" hidden="1" x14ac:dyDescent="0.45">
      <c r="A3368" s="518"/>
      <c r="B3368" s="907" t="str">
        <f>B3324</f>
        <v>Serna Homeownership Project Development Loan</v>
      </c>
      <c r="C3368" s="907"/>
      <c r="D3368" s="907"/>
      <c r="E3368" s="907"/>
      <c r="F3368" s="907"/>
      <c r="G3368" s="907"/>
      <c r="H3368" s="907"/>
      <c r="I3368" s="907"/>
      <c r="J3368" s="907"/>
      <c r="K3368" s="907"/>
      <c r="L3368" s="907"/>
      <c r="M3368" s="907"/>
      <c r="N3368" s="907"/>
      <c r="O3368" s="907"/>
      <c r="P3368" s="907"/>
      <c r="Q3368" s="907"/>
      <c r="R3368" s="907"/>
      <c r="S3368" s="907"/>
      <c r="T3368" s="907"/>
      <c r="U3368" s="907"/>
      <c r="V3368" s="907"/>
      <c r="W3368" s="907"/>
      <c r="X3368" s="907"/>
      <c r="Y3368" s="907"/>
      <c r="Z3368" s="907"/>
      <c r="AA3368" s="907"/>
      <c r="AB3368" s="907"/>
      <c r="AC3368" s="907"/>
      <c r="AD3368" s="907"/>
      <c r="AE3368" s="907"/>
      <c r="AF3368" s="907"/>
      <c r="AG3368" s="907"/>
      <c r="AH3368" s="518"/>
      <c r="AJ3368" s="595"/>
    </row>
    <row r="3369" spans="1:36" hidden="1" x14ac:dyDescent="0.45">
      <c r="A3369" s="518"/>
      <c r="B3369" s="518"/>
      <c r="C3369" s="518"/>
      <c r="D3369" s="518"/>
      <c r="E3369" s="518"/>
      <c r="F3369" s="518"/>
      <c r="G3369" s="518"/>
      <c r="H3369" s="518"/>
      <c r="I3369" s="518"/>
      <c r="J3369" s="518"/>
      <c r="K3369" s="518"/>
      <c r="L3369" s="518"/>
      <c r="M3369" s="518"/>
      <c r="N3369" s="518"/>
      <c r="O3369" s="518"/>
      <c r="P3369" s="518"/>
      <c r="Q3369" s="518"/>
      <c r="R3369" s="518"/>
      <c r="S3369" s="518"/>
      <c r="T3369" s="518"/>
      <c r="U3369" s="518"/>
      <c r="V3369" s="518"/>
      <c r="W3369" s="518"/>
      <c r="X3369" s="518"/>
      <c r="Y3369" s="518"/>
      <c r="Z3369" s="518"/>
      <c r="AA3369" s="518"/>
      <c r="AB3369" s="518"/>
      <c r="AC3369" s="518"/>
      <c r="AD3369" s="518"/>
      <c r="AE3369" s="518"/>
      <c r="AF3369" s="518"/>
      <c r="AG3369" s="518"/>
      <c r="AH3369" s="518"/>
      <c r="AJ3369" s="595"/>
    </row>
    <row r="3370" spans="1:36" hidden="1" x14ac:dyDescent="0.45">
      <c r="A3370" s="518"/>
      <c r="B3370" s="907" t="s">
        <v>1785</v>
      </c>
      <c r="C3370" s="907"/>
      <c r="D3370" s="907"/>
      <c r="E3370" s="907"/>
      <c r="F3370" s="907"/>
      <c r="G3370" s="907"/>
      <c r="H3370" s="907"/>
      <c r="I3370" s="907"/>
      <c r="J3370" s="907"/>
      <c r="K3370" s="907"/>
      <c r="L3370" s="907"/>
      <c r="M3370" s="907"/>
      <c r="N3370" s="907"/>
      <c r="O3370" s="907"/>
      <c r="P3370" s="907"/>
      <c r="Q3370" s="907"/>
      <c r="R3370" s="907"/>
      <c r="S3370" s="907"/>
      <c r="T3370" s="907"/>
      <c r="U3370" s="907"/>
      <c r="V3370" s="907"/>
      <c r="W3370" s="907"/>
      <c r="X3370" s="907"/>
      <c r="Y3370" s="907"/>
      <c r="Z3370" s="907"/>
      <c r="AA3370" s="907"/>
      <c r="AB3370" s="907"/>
      <c r="AC3370" s="907"/>
      <c r="AD3370" s="907"/>
      <c r="AE3370" s="907"/>
      <c r="AF3370" s="907"/>
      <c r="AG3370" s="907"/>
      <c r="AH3370" s="518"/>
      <c r="AJ3370" s="595"/>
    </row>
    <row r="3371" spans="1:36" ht="32.5" hidden="1" customHeight="1" x14ac:dyDescent="0.45">
      <c r="A3371" s="518"/>
      <c r="B3371" s="984" t="s">
        <v>1786</v>
      </c>
      <c r="C3371" s="984"/>
      <c r="D3371" s="984"/>
      <c r="E3371" s="984"/>
      <c r="F3371" s="984"/>
      <c r="G3371" s="984"/>
      <c r="H3371" s="984"/>
      <c r="I3371" s="984"/>
      <c r="J3371" s="984"/>
      <c r="K3371" s="984"/>
      <c r="L3371" s="984"/>
      <c r="M3371" s="984"/>
      <c r="N3371" s="984"/>
      <c r="O3371" s="984"/>
      <c r="P3371" s="984"/>
      <c r="Q3371" s="984"/>
      <c r="R3371" s="984"/>
      <c r="S3371" s="984"/>
      <c r="T3371" s="984"/>
      <c r="U3371" s="984"/>
      <c r="V3371" s="984"/>
      <c r="W3371" s="984"/>
      <c r="X3371" s="984"/>
      <c r="Y3371" s="984"/>
      <c r="Z3371" s="984"/>
      <c r="AA3371" s="540"/>
      <c r="AB3371" s="540"/>
      <c r="AC3371" s="540"/>
      <c r="AD3371" s="540"/>
      <c r="AE3371" s="540"/>
      <c r="AF3371" s="540"/>
      <c r="AG3371" s="540"/>
      <c r="AH3371" s="518"/>
      <c r="AJ3371" s="595"/>
    </row>
    <row r="3372" spans="1:36" hidden="1" x14ac:dyDescent="0.45">
      <c r="A3372" s="518"/>
      <c r="B3372" s="518"/>
      <c r="C3372" s="518"/>
      <c r="D3372" s="518"/>
      <c r="E3372" s="518"/>
      <c r="F3372" s="518"/>
      <c r="G3372" s="518"/>
      <c r="H3372" s="518"/>
      <c r="I3372" s="518"/>
      <c r="J3372" s="518"/>
      <c r="K3372" s="518"/>
      <c r="L3372" s="518"/>
      <c r="M3372" s="518"/>
      <c r="N3372" s="518"/>
      <c r="O3372" s="518"/>
      <c r="P3372" s="518"/>
      <c r="Q3372" s="518"/>
      <c r="R3372" s="518"/>
      <c r="S3372" s="518"/>
      <c r="T3372" s="518"/>
      <c r="U3372" s="518"/>
      <c r="V3372" s="518"/>
      <c r="W3372" s="518"/>
      <c r="X3372" s="518"/>
      <c r="Y3372" s="518"/>
      <c r="Z3372" s="518"/>
      <c r="AA3372" s="518"/>
      <c r="AB3372" s="518"/>
      <c r="AC3372" s="518"/>
      <c r="AD3372" s="518"/>
      <c r="AE3372" s="518"/>
      <c r="AF3372" s="518"/>
      <c r="AG3372" s="518"/>
      <c r="AH3372" s="518"/>
      <c r="AJ3372" s="595"/>
    </row>
    <row r="3373" spans="1:36" hidden="1" x14ac:dyDescent="0.45">
      <c r="A3373" s="518"/>
      <c r="B3373" s="985"/>
      <c r="C3373" s="985"/>
      <c r="D3373" s="985"/>
      <c r="E3373" s="985"/>
      <c r="F3373" s="518"/>
      <c r="G3373" s="986" t="s">
        <v>104</v>
      </c>
      <c r="H3373" s="986"/>
      <c r="I3373" s="986"/>
      <c r="J3373" s="986"/>
      <c r="K3373" s="986"/>
      <c r="L3373" s="986"/>
      <c r="M3373" s="986"/>
      <c r="N3373" s="986"/>
      <c r="O3373" s="986"/>
      <c r="P3373" s="986"/>
      <c r="Q3373" s="986"/>
      <c r="R3373" s="986"/>
      <c r="S3373" s="986"/>
      <c r="T3373" s="986"/>
      <c r="U3373" s="986"/>
      <c r="V3373" s="986"/>
      <c r="W3373" s="986"/>
      <c r="X3373" s="986"/>
      <c r="Y3373" s="518"/>
      <c r="Z3373" s="518"/>
      <c r="AA3373" s="518"/>
      <c r="AB3373" s="518"/>
      <c r="AC3373" s="518"/>
      <c r="AD3373" s="518"/>
      <c r="AE3373" s="518"/>
      <c r="AF3373" s="518"/>
      <c r="AG3373" s="518"/>
      <c r="AH3373" s="518"/>
      <c r="AJ3373" s="595"/>
    </row>
    <row r="3374" spans="1:36" hidden="1" x14ac:dyDescent="0.45">
      <c r="A3374" s="518"/>
      <c r="B3374" s="985"/>
      <c r="C3374" s="985"/>
      <c r="D3374" s="985"/>
      <c r="E3374" s="985"/>
      <c r="F3374" s="518"/>
      <c r="G3374" s="986" t="s">
        <v>105</v>
      </c>
      <c r="H3374" s="986"/>
      <c r="I3374" s="986"/>
      <c r="J3374" s="986"/>
      <c r="K3374" s="986"/>
      <c r="L3374" s="986"/>
      <c r="M3374" s="986"/>
      <c r="N3374" s="986"/>
      <c r="O3374" s="986"/>
      <c r="P3374" s="986"/>
      <c r="Q3374" s="986"/>
      <c r="R3374" s="986"/>
      <c r="S3374" s="986"/>
      <c r="T3374" s="986"/>
      <c r="U3374" s="986"/>
      <c r="V3374" s="986"/>
      <c r="W3374" s="986"/>
      <c r="X3374" s="986"/>
      <c r="Y3374" s="518"/>
      <c r="Z3374" s="518"/>
      <c r="AA3374" s="518"/>
      <c r="AB3374" s="518"/>
      <c r="AC3374" s="518"/>
      <c r="AD3374" s="518"/>
      <c r="AE3374" s="518"/>
      <c r="AF3374" s="518"/>
      <c r="AG3374" s="518"/>
      <c r="AH3374" s="518"/>
      <c r="AJ3374" s="595"/>
    </row>
    <row r="3375" spans="1:36" hidden="1" x14ac:dyDescent="0.45">
      <c r="A3375" s="518"/>
      <c r="B3375" s="985"/>
      <c r="C3375" s="985"/>
      <c r="D3375" s="985"/>
      <c r="E3375" s="985"/>
      <c r="F3375" s="518"/>
      <c r="G3375" s="986" t="s">
        <v>1787</v>
      </c>
      <c r="H3375" s="986"/>
      <c r="I3375" s="986"/>
      <c r="J3375" s="986"/>
      <c r="K3375" s="986"/>
      <c r="L3375" s="986"/>
      <c r="M3375" s="986"/>
      <c r="N3375" s="986"/>
      <c r="O3375" s="986"/>
      <c r="P3375" s="986"/>
      <c r="Q3375" s="986"/>
      <c r="R3375" s="986"/>
      <c r="S3375" s="986"/>
      <c r="T3375" s="986"/>
      <c r="U3375" s="986"/>
      <c r="V3375" s="986"/>
      <c r="W3375" s="986"/>
      <c r="X3375" s="986"/>
      <c r="Y3375" s="518"/>
      <c r="Z3375" s="518"/>
      <c r="AA3375" s="518"/>
      <c r="AB3375" s="518"/>
      <c r="AC3375" s="518"/>
      <c r="AD3375" s="518"/>
      <c r="AE3375" s="518"/>
      <c r="AF3375" s="518"/>
      <c r="AG3375" s="518"/>
      <c r="AH3375" s="518"/>
      <c r="AJ3375" s="595"/>
    </row>
    <row r="3376" spans="1:36" hidden="1" x14ac:dyDescent="0.45">
      <c r="A3376" s="518"/>
      <c r="B3376" s="518"/>
      <c r="C3376" s="518"/>
      <c r="D3376" s="518"/>
      <c r="E3376" s="518"/>
      <c r="F3376" s="518"/>
      <c r="G3376" s="518"/>
      <c r="H3376" s="518"/>
      <c r="I3376" s="518"/>
      <c r="J3376" s="518"/>
      <c r="K3376" s="518"/>
      <c r="L3376" s="518"/>
      <c r="M3376" s="518"/>
      <c r="N3376" s="518"/>
      <c r="O3376" s="518"/>
      <c r="P3376" s="518"/>
      <c r="Q3376" s="518"/>
      <c r="R3376" s="518"/>
      <c r="S3376" s="518"/>
      <c r="T3376" s="518"/>
      <c r="U3376" s="518"/>
      <c r="V3376" s="518"/>
      <c r="W3376" s="518"/>
      <c r="X3376" s="518"/>
      <c r="Y3376" s="518"/>
      <c r="Z3376" s="518"/>
      <c r="AA3376" s="518"/>
      <c r="AB3376" s="518"/>
      <c r="AC3376" s="518"/>
      <c r="AD3376" s="518"/>
      <c r="AE3376" s="518"/>
      <c r="AF3376" s="518"/>
      <c r="AG3376" s="518"/>
      <c r="AH3376" s="518"/>
      <c r="AJ3376" s="595"/>
    </row>
    <row r="3377" spans="1:36" hidden="1" x14ac:dyDescent="0.45">
      <c r="A3377" s="518"/>
      <c r="B3377" s="907" t="s">
        <v>1788</v>
      </c>
      <c r="C3377" s="907"/>
      <c r="D3377" s="907"/>
      <c r="E3377" s="907"/>
      <c r="F3377" s="907"/>
      <c r="G3377" s="907"/>
      <c r="H3377" s="907"/>
      <c r="I3377" s="907"/>
      <c r="J3377" s="907"/>
      <c r="K3377" s="907"/>
      <c r="L3377" s="907"/>
      <c r="M3377" s="907"/>
      <c r="N3377" s="907"/>
      <c r="O3377" s="907"/>
      <c r="P3377" s="907"/>
      <c r="Q3377" s="907"/>
      <c r="R3377" s="907"/>
      <c r="S3377" s="907"/>
      <c r="T3377" s="907"/>
      <c r="U3377" s="907"/>
      <c r="V3377" s="907"/>
      <c r="W3377" s="907"/>
      <c r="X3377" s="907"/>
      <c r="Y3377" s="907"/>
      <c r="Z3377" s="907"/>
      <c r="AA3377" s="907"/>
      <c r="AB3377" s="907"/>
      <c r="AC3377" s="907"/>
      <c r="AD3377" s="907"/>
      <c r="AE3377" s="907"/>
      <c r="AF3377" s="907"/>
      <c r="AG3377" s="907"/>
      <c r="AH3377" s="518"/>
      <c r="AJ3377" s="595"/>
    </row>
    <row r="3378" spans="1:36" hidden="1" x14ac:dyDescent="0.45">
      <c r="A3378" s="518"/>
      <c r="B3378" s="518"/>
      <c r="C3378" s="518"/>
      <c r="D3378" s="518"/>
      <c r="E3378" s="518"/>
      <c r="F3378" s="518"/>
      <c r="G3378" s="518"/>
      <c r="H3378" s="518"/>
      <c r="I3378" s="518"/>
      <c r="J3378" s="518"/>
      <c r="K3378" s="518"/>
      <c r="L3378" s="518"/>
      <c r="M3378" s="518"/>
      <c r="N3378" s="518"/>
      <c r="O3378" s="518"/>
      <c r="P3378" s="518"/>
      <c r="Q3378" s="518"/>
      <c r="R3378" s="518"/>
      <c r="S3378" s="518"/>
      <c r="T3378" s="518"/>
      <c r="U3378" s="518"/>
      <c r="V3378" s="518"/>
      <c r="W3378" s="518"/>
      <c r="X3378" s="518"/>
      <c r="Y3378" s="518"/>
      <c r="Z3378" s="518"/>
      <c r="AA3378" s="518"/>
      <c r="AB3378" s="518"/>
      <c r="AC3378" s="518"/>
      <c r="AD3378" s="518"/>
      <c r="AE3378" s="518"/>
      <c r="AF3378" s="518"/>
      <c r="AG3378" s="518"/>
      <c r="AH3378" s="518"/>
      <c r="AJ3378" s="595"/>
    </row>
    <row r="3379" spans="1:36" hidden="1" x14ac:dyDescent="0.45">
      <c r="A3379" s="518"/>
      <c r="B3379" s="574" t="s">
        <v>1789</v>
      </c>
      <c r="C3379" s="574"/>
      <c r="D3379" s="574"/>
      <c r="E3379" s="574"/>
      <c r="F3379" s="574"/>
      <c r="G3379" s="574"/>
      <c r="H3379" s="574"/>
      <c r="I3379" s="574"/>
      <c r="J3379" s="574"/>
      <c r="K3379" s="574"/>
      <c r="L3379" s="574"/>
      <c r="M3379" s="574"/>
      <c r="N3379" s="574"/>
      <c r="O3379" s="574"/>
      <c r="P3379" s="574"/>
      <c r="Q3379" s="574"/>
      <c r="R3379" s="574"/>
      <c r="S3379" s="574"/>
      <c r="T3379" s="574"/>
      <c r="U3379" s="574"/>
      <c r="V3379" s="574"/>
      <c r="W3379" s="901"/>
      <c r="X3379" s="901"/>
      <c r="Y3379" s="901"/>
      <c r="Z3379" s="901"/>
      <c r="AA3379" s="901"/>
      <c r="AB3379" s="901"/>
      <c r="AC3379" s="901"/>
      <c r="AD3379" s="575"/>
      <c r="AE3379" s="575"/>
      <c r="AF3379" s="575"/>
      <c r="AG3379" s="575"/>
      <c r="AH3379" s="518"/>
      <c r="AJ3379" s="595"/>
    </row>
    <row r="3380" spans="1:36" hidden="1" x14ac:dyDescent="0.45">
      <c r="A3380" s="518"/>
      <c r="B3380" s="574" t="s">
        <v>1791</v>
      </c>
      <c r="C3380" s="574"/>
      <c r="D3380" s="574"/>
      <c r="E3380" s="574"/>
      <c r="F3380" s="574"/>
      <c r="G3380" s="574"/>
      <c r="H3380" s="574"/>
      <c r="I3380" s="574"/>
      <c r="J3380" s="574"/>
      <c r="K3380" s="574"/>
      <c r="L3380" s="574"/>
      <c r="M3380" s="574"/>
      <c r="N3380" s="574"/>
      <c r="O3380" s="574"/>
      <c r="P3380" s="574"/>
      <c r="Q3380" s="574"/>
      <c r="R3380" s="574"/>
      <c r="S3380" s="574"/>
      <c r="T3380" s="574"/>
      <c r="U3380" s="574"/>
      <c r="V3380" s="574"/>
      <c r="W3380" s="908"/>
      <c r="X3380" s="908"/>
      <c r="Y3380" s="908"/>
      <c r="Z3380" s="908"/>
      <c r="AA3380" s="908"/>
      <c r="AB3380" s="908"/>
      <c r="AC3380" s="908"/>
      <c r="AD3380" s="575"/>
      <c r="AE3380" s="575"/>
      <c r="AF3380" s="575"/>
      <c r="AG3380" s="575"/>
      <c r="AH3380" s="518"/>
      <c r="AJ3380" s="595"/>
    </row>
    <row r="3381" spans="1:36" hidden="1" x14ac:dyDescent="0.45">
      <c r="A3381" s="518"/>
      <c r="B3381" s="574" t="s">
        <v>1790</v>
      </c>
      <c r="C3381" s="574"/>
      <c r="D3381" s="574"/>
      <c r="E3381" s="574"/>
      <c r="F3381" s="574"/>
      <c r="G3381" s="574"/>
      <c r="H3381" s="574"/>
      <c r="I3381" s="574"/>
      <c r="J3381" s="574"/>
      <c r="K3381" s="574"/>
      <c r="L3381" s="574"/>
      <c r="M3381" s="574"/>
      <c r="N3381" s="574"/>
      <c r="O3381" s="574"/>
      <c r="P3381" s="574"/>
      <c r="Q3381" s="574"/>
      <c r="R3381" s="574"/>
      <c r="S3381" s="574"/>
      <c r="T3381" s="574"/>
      <c r="U3381" s="574"/>
      <c r="V3381" s="574"/>
      <c r="W3381" s="908"/>
      <c r="X3381" s="908"/>
      <c r="Y3381" s="908"/>
      <c r="Z3381" s="908"/>
      <c r="AA3381" s="908"/>
      <c r="AB3381" s="908"/>
      <c r="AC3381" s="908"/>
      <c r="AD3381" s="575"/>
      <c r="AE3381" s="575"/>
      <c r="AF3381" s="575"/>
      <c r="AG3381" s="575"/>
      <c r="AH3381" s="518"/>
      <c r="AJ3381" s="595"/>
    </row>
    <row r="3382" spans="1:36" hidden="1" x14ac:dyDescent="0.45">
      <c r="A3382" s="518"/>
      <c r="B3382" s="518"/>
      <c r="C3382" s="518"/>
      <c r="D3382" s="518"/>
      <c r="E3382" s="518"/>
      <c r="F3382" s="518"/>
      <c r="G3382" s="518"/>
      <c r="H3382" s="518"/>
      <c r="I3382" s="518"/>
      <c r="J3382" s="518"/>
      <c r="K3382" s="518"/>
      <c r="L3382" s="518"/>
      <c r="M3382" s="518"/>
      <c r="N3382" s="518"/>
      <c r="O3382" s="518"/>
      <c r="P3382" s="518"/>
      <c r="Q3382" s="518"/>
      <c r="R3382" s="518"/>
      <c r="S3382" s="518"/>
      <c r="T3382" s="518"/>
      <c r="U3382" s="518"/>
      <c r="V3382" s="518"/>
      <c r="W3382" s="908"/>
      <c r="X3382" s="908"/>
      <c r="Y3382" s="908"/>
      <c r="Z3382" s="908"/>
      <c r="AA3382" s="908"/>
      <c r="AB3382" s="908"/>
      <c r="AC3382" s="908"/>
      <c r="AD3382" s="518"/>
      <c r="AE3382" s="518"/>
      <c r="AF3382" s="518"/>
      <c r="AG3382" s="518"/>
      <c r="AH3382" s="518"/>
      <c r="AJ3382" s="595"/>
    </row>
    <row r="3383" spans="1:36" hidden="1" x14ac:dyDescent="0.45">
      <c r="A3383" s="518"/>
      <c r="B3383" s="922" t="s">
        <v>174</v>
      </c>
      <c r="C3383" s="922"/>
      <c r="D3383" s="922"/>
      <c r="E3383" s="922"/>
      <c r="F3383" s="922"/>
      <c r="G3383" s="922"/>
      <c r="H3383" s="922"/>
      <c r="I3383" s="922"/>
      <c r="J3383" s="922"/>
      <c r="K3383" s="922"/>
      <c r="L3383" s="922"/>
      <c r="M3383" s="922"/>
      <c r="N3383" s="922"/>
      <c r="O3383" s="878"/>
      <c r="P3383" s="879"/>
      <c r="Q3383" s="880"/>
      <c r="R3383" s="518"/>
      <c r="S3383" s="518"/>
      <c r="T3383" s="518"/>
      <c r="U3383" s="518"/>
      <c r="V3383" s="518"/>
      <c r="W3383" s="518"/>
      <c r="X3383" s="518"/>
      <c r="Y3383" s="518"/>
      <c r="Z3383" s="518"/>
      <c r="AA3383" s="518"/>
      <c r="AB3383" s="518"/>
      <c r="AC3383" s="518"/>
      <c r="AD3383" s="518"/>
      <c r="AE3383" s="518"/>
      <c r="AF3383" s="518"/>
      <c r="AG3383" s="518"/>
      <c r="AH3383" s="518"/>
      <c r="AJ3383" s="595"/>
    </row>
    <row r="3384" spans="1:36" hidden="1" x14ac:dyDescent="0.45">
      <c r="A3384" s="518"/>
      <c r="B3384" s="922" t="s">
        <v>175</v>
      </c>
      <c r="C3384" s="922"/>
      <c r="D3384" s="922"/>
      <c r="E3384" s="922"/>
      <c r="F3384" s="922"/>
      <c r="G3384" s="922"/>
      <c r="H3384" s="922"/>
      <c r="I3384" s="922"/>
      <c r="J3384" s="922"/>
      <c r="K3384" s="922"/>
      <c r="L3384" s="922"/>
      <c r="M3384" s="922"/>
      <c r="N3384" s="922"/>
      <c r="O3384" s="878"/>
      <c r="P3384" s="879"/>
      <c r="Q3384" s="880"/>
      <c r="R3384" s="518"/>
      <c r="S3384" s="518"/>
      <c r="T3384" s="518"/>
      <c r="U3384" s="518"/>
      <c r="V3384" s="518"/>
      <c r="W3384" s="518"/>
      <c r="X3384" s="518"/>
      <c r="Y3384" s="518"/>
      <c r="Z3384" s="518"/>
      <c r="AA3384" s="518"/>
      <c r="AB3384" s="518"/>
      <c r="AC3384" s="518"/>
      <c r="AD3384" s="518"/>
      <c r="AE3384" s="518"/>
      <c r="AF3384" s="518"/>
      <c r="AG3384" s="518"/>
      <c r="AH3384" s="518"/>
      <c r="AJ3384" s="595"/>
    </row>
    <row r="3385" spans="1:36" hidden="1" x14ac:dyDescent="0.45">
      <c r="A3385" s="518"/>
      <c r="B3385" s="922" t="s">
        <v>176</v>
      </c>
      <c r="C3385" s="922"/>
      <c r="D3385" s="922"/>
      <c r="E3385" s="922"/>
      <c r="F3385" s="922"/>
      <c r="G3385" s="922"/>
      <c r="H3385" s="922"/>
      <c r="I3385" s="922"/>
      <c r="J3385" s="922"/>
      <c r="K3385" s="922"/>
      <c r="L3385" s="922"/>
      <c r="M3385" s="922"/>
      <c r="N3385" s="922"/>
      <c r="O3385" s="878"/>
      <c r="P3385" s="879"/>
      <c r="Q3385" s="880"/>
      <c r="R3385" s="518"/>
      <c r="S3385" s="518"/>
      <c r="T3385" s="518"/>
      <c r="U3385" s="518"/>
      <c r="V3385" s="518"/>
      <c r="W3385" s="518"/>
      <c r="X3385" s="518"/>
      <c r="Y3385" s="518"/>
      <c r="Z3385" s="518"/>
      <c r="AA3385" s="518"/>
      <c r="AB3385" s="518"/>
      <c r="AC3385" s="518"/>
      <c r="AD3385" s="518"/>
      <c r="AE3385" s="518"/>
      <c r="AF3385" s="518"/>
      <c r="AG3385" s="518"/>
      <c r="AH3385" s="518"/>
      <c r="AJ3385" s="595"/>
    </row>
    <row r="3386" spans="1:36" hidden="1" x14ac:dyDescent="0.45">
      <c r="A3386" s="518"/>
      <c r="B3386" s="922" t="s">
        <v>177</v>
      </c>
      <c r="C3386" s="922"/>
      <c r="D3386" s="922"/>
      <c r="E3386" s="922"/>
      <c r="F3386" s="922"/>
      <c r="G3386" s="922"/>
      <c r="H3386" s="922"/>
      <c r="I3386" s="922"/>
      <c r="J3386" s="922"/>
      <c r="K3386" s="922"/>
      <c r="L3386" s="922"/>
      <c r="M3386" s="922"/>
      <c r="N3386" s="922"/>
      <c r="O3386" s="878"/>
      <c r="P3386" s="879"/>
      <c r="Q3386" s="880"/>
      <c r="R3386" s="518"/>
      <c r="S3386" s="518"/>
      <c r="T3386" s="518"/>
      <c r="U3386" s="518"/>
      <c r="V3386" s="518"/>
      <c r="W3386" s="518"/>
      <c r="X3386" s="518"/>
      <c r="Y3386" s="518"/>
      <c r="Z3386" s="518"/>
      <c r="AA3386" s="518"/>
      <c r="AB3386" s="518"/>
      <c r="AC3386" s="518"/>
      <c r="AD3386" s="518"/>
      <c r="AE3386" s="518"/>
      <c r="AF3386" s="518"/>
      <c r="AG3386" s="518"/>
      <c r="AH3386" s="518"/>
      <c r="AJ3386" s="595"/>
    </row>
    <row r="3387" spans="1:36" hidden="1" x14ac:dyDescent="0.45">
      <c r="A3387" s="518"/>
      <c r="B3387" s="922" t="s">
        <v>178</v>
      </c>
      <c r="C3387" s="922"/>
      <c r="D3387" s="922"/>
      <c r="E3387" s="922"/>
      <c r="F3387" s="922"/>
      <c r="G3387" s="922"/>
      <c r="H3387" s="922"/>
      <c r="I3387" s="922"/>
      <c r="J3387" s="922"/>
      <c r="K3387" s="922"/>
      <c r="L3387" s="922"/>
      <c r="M3387" s="922"/>
      <c r="N3387" s="922"/>
      <c r="O3387" s="878"/>
      <c r="P3387" s="879"/>
      <c r="Q3387" s="880"/>
      <c r="R3387" s="518"/>
      <c r="S3387" s="518"/>
      <c r="T3387" s="518"/>
      <c r="U3387" s="518"/>
      <c r="V3387" s="518"/>
      <c r="W3387" s="518"/>
      <c r="X3387" s="518"/>
      <c r="Y3387" s="518"/>
      <c r="Z3387" s="518"/>
      <c r="AA3387" s="518"/>
      <c r="AB3387" s="518"/>
      <c r="AC3387" s="518"/>
      <c r="AD3387" s="518"/>
      <c r="AE3387" s="518"/>
      <c r="AF3387" s="518"/>
      <c r="AG3387" s="518"/>
      <c r="AH3387" s="518"/>
      <c r="AJ3387" s="595"/>
    </row>
    <row r="3388" spans="1:36" hidden="1" x14ac:dyDescent="0.45">
      <c r="A3388" s="518"/>
      <c r="B3388" s="922" t="s">
        <v>179</v>
      </c>
      <c r="C3388" s="922"/>
      <c r="D3388" s="922"/>
      <c r="E3388" s="922"/>
      <c r="F3388" s="922"/>
      <c r="G3388" s="922"/>
      <c r="H3388" s="922"/>
      <c r="I3388" s="922"/>
      <c r="J3388" s="922"/>
      <c r="K3388" s="922"/>
      <c r="L3388" s="922"/>
      <c r="M3388" s="922"/>
      <c r="N3388" s="922"/>
      <c r="O3388" s="878"/>
      <c r="P3388" s="879"/>
      <c r="Q3388" s="880"/>
      <c r="R3388" s="518"/>
      <c r="S3388" s="518"/>
      <c r="T3388" s="518"/>
      <c r="U3388" s="518"/>
      <c r="V3388" s="518"/>
      <c r="W3388" s="518"/>
      <c r="X3388" s="518"/>
      <c r="Y3388" s="518"/>
      <c r="Z3388" s="518"/>
      <c r="AA3388" s="518"/>
      <c r="AB3388" s="518"/>
      <c r="AC3388" s="518"/>
      <c r="AD3388" s="518"/>
      <c r="AE3388" s="518"/>
      <c r="AF3388" s="518"/>
      <c r="AG3388" s="518"/>
      <c r="AH3388" s="518"/>
      <c r="AJ3388" s="595"/>
    </row>
    <row r="3389" spans="1:36" hidden="1" x14ac:dyDescent="0.45">
      <c r="A3389" s="518"/>
      <c r="B3389" s="922" t="s">
        <v>180</v>
      </c>
      <c r="C3389" s="922"/>
      <c r="D3389" s="922"/>
      <c r="E3389" s="922"/>
      <c r="F3389" s="922"/>
      <c r="G3389" s="922"/>
      <c r="H3389" s="922"/>
      <c r="I3389" s="922"/>
      <c r="J3389" s="922"/>
      <c r="K3389" s="922"/>
      <c r="L3389" s="922"/>
      <c r="M3389" s="922"/>
      <c r="N3389" s="922"/>
      <c r="O3389" s="878"/>
      <c r="P3389" s="879"/>
      <c r="Q3389" s="880"/>
      <c r="R3389" s="518"/>
      <c r="S3389" s="518"/>
      <c r="T3389" s="518"/>
      <c r="U3389" s="518"/>
      <c r="V3389" s="518"/>
      <c r="W3389" s="518"/>
      <c r="X3389" s="518"/>
      <c r="Y3389" s="518"/>
      <c r="Z3389" s="518"/>
      <c r="AA3389" s="518"/>
      <c r="AB3389" s="518"/>
      <c r="AC3389" s="518"/>
      <c r="AD3389" s="518"/>
      <c r="AE3389" s="518"/>
      <c r="AF3389" s="518"/>
      <c r="AG3389" s="518"/>
      <c r="AH3389" s="518"/>
      <c r="AJ3389" s="595"/>
    </row>
    <row r="3390" spans="1:36" hidden="1" x14ac:dyDescent="0.45">
      <c r="A3390" s="518"/>
      <c r="B3390" s="922" t="s">
        <v>1808</v>
      </c>
      <c r="C3390" s="922"/>
      <c r="D3390" s="922"/>
      <c r="E3390" s="922"/>
      <c r="F3390" s="922"/>
      <c r="G3390" s="922"/>
      <c r="H3390" s="922"/>
      <c r="I3390" s="922"/>
      <c r="J3390" s="922"/>
      <c r="K3390" s="922"/>
      <c r="L3390" s="922"/>
      <c r="M3390" s="922"/>
      <c r="N3390" s="922"/>
      <c r="O3390" s="878"/>
      <c r="P3390" s="879"/>
      <c r="Q3390" s="880"/>
      <c r="R3390" s="518"/>
      <c r="S3390" s="518"/>
      <c r="T3390" s="518"/>
      <c r="U3390" s="518"/>
      <c r="V3390" s="518"/>
      <c r="W3390" s="518"/>
      <c r="X3390" s="518"/>
      <c r="Y3390" s="518"/>
      <c r="Z3390" s="518"/>
      <c r="AA3390" s="518"/>
      <c r="AB3390" s="518"/>
      <c r="AC3390" s="518"/>
      <c r="AD3390" s="518"/>
      <c r="AE3390" s="518"/>
      <c r="AF3390" s="518"/>
      <c r="AG3390" s="518"/>
      <c r="AH3390" s="518"/>
      <c r="AJ3390" s="595"/>
    </row>
    <row r="3391" spans="1:36" hidden="1" x14ac:dyDescent="0.45">
      <c r="A3391" s="518"/>
      <c r="B3391" s="916" t="s">
        <v>181</v>
      </c>
      <c r="C3391" s="916"/>
      <c r="D3391" s="916"/>
      <c r="E3391" s="916"/>
      <c r="F3391" s="916"/>
      <c r="G3391" s="916"/>
      <c r="H3391" s="916"/>
      <c r="I3391" s="916"/>
      <c r="J3391" s="916"/>
      <c r="K3391" s="916"/>
      <c r="L3391" s="916"/>
      <c r="M3391" s="916"/>
      <c r="N3391" s="916"/>
      <c r="O3391" s="927"/>
      <c r="P3391" s="928"/>
      <c r="Q3391" s="929"/>
      <c r="R3391" s="518"/>
      <c r="S3391" s="518"/>
      <c r="T3391" s="518"/>
      <c r="U3391" s="518"/>
      <c r="V3391" s="518"/>
      <c r="W3391" s="518"/>
      <c r="X3391" s="518"/>
      <c r="Y3391" s="518"/>
      <c r="Z3391" s="518"/>
      <c r="AA3391" s="518"/>
      <c r="AB3391" s="518"/>
      <c r="AC3391" s="518"/>
      <c r="AD3391" s="518"/>
      <c r="AE3391" s="518"/>
      <c r="AF3391" s="518"/>
      <c r="AG3391" s="518"/>
      <c r="AH3391" s="518"/>
      <c r="AJ3391" s="595"/>
    </row>
    <row r="3392" spans="1:36" hidden="1" x14ac:dyDescent="0.45">
      <c r="A3392" s="518"/>
      <c r="B3392" s="930" t="s">
        <v>182</v>
      </c>
      <c r="C3392" s="930"/>
      <c r="D3392" s="930"/>
      <c r="E3392" s="930"/>
      <c r="F3392" s="930"/>
      <c r="G3392" s="930"/>
      <c r="H3392" s="930"/>
      <c r="I3392" s="930"/>
      <c r="J3392" s="930"/>
      <c r="K3392" s="930"/>
      <c r="L3392" s="930"/>
      <c r="M3392" s="930"/>
      <c r="N3392" s="930"/>
      <c r="O3392" s="878">
        <f>SUM(O3383:Q3390)-O3391</f>
        <v>0</v>
      </c>
      <c r="P3392" s="879"/>
      <c r="Q3392" s="880"/>
      <c r="R3392" s="518"/>
      <c r="S3392" s="518"/>
      <c r="T3392" s="518"/>
      <c r="U3392" s="518"/>
      <c r="V3392" s="518"/>
      <c r="W3392" s="518"/>
      <c r="X3392" s="518"/>
      <c r="Y3392" s="518"/>
      <c r="Z3392" s="518"/>
      <c r="AA3392" s="518"/>
      <c r="AB3392" s="518"/>
      <c r="AC3392" s="518"/>
      <c r="AD3392" s="518"/>
      <c r="AE3392" s="518"/>
      <c r="AF3392" s="518"/>
      <c r="AG3392" s="518"/>
      <c r="AH3392" s="518"/>
      <c r="AJ3392" s="595"/>
    </row>
    <row r="3393" spans="1:36" hidden="1" x14ac:dyDescent="0.45">
      <c r="A3393" s="518"/>
      <c r="B3393" s="517"/>
      <c r="C3393" s="517"/>
      <c r="D3393" s="517"/>
      <c r="E3393" s="517"/>
      <c r="F3393" s="517"/>
      <c r="G3393" s="517"/>
      <c r="H3393" s="517"/>
      <c r="I3393" s="517"/>
      <c r="J3393" s="517"/>
      <c r="K3393" s="517"/>
      <c r="L3393" s="517"/>
      <c r="M3393" s="517"/>
      <c r="N3393" s="517"/>
      <c r="O3393" s="532"/>
      <c r="P3393" s="532"/>
      <c r="Q3393" s="532"/>
      <c r="R3393" s="518"/>
      <c r="S3393" s="533"/>
      <c r="T3393" s="533"/>
      <c r="U3393" s="533"/>
      <c r="V3393" s="533"/>
      <c r="W3393" s="533"/>
      <c r="X3393" s="533"/>
      <c r="Y3393" s="533"/>
      <c r="Z3393" s="533"/>
      <c r="AA3393" s="533"/>
      <c r="AB3393" s="533"/>
      <c r="AC3393" s="533"/>
      <c r="AD3393" s="533"/>
      <c r="AE3393" s="533"/>
      <c r="AF3393" s="533"/>
      <c r="AG3393" s="533"/>
      <c r="AH3393" s="518"/>
      <c r="AJ3393" s="595"/>
    </row>
    <row r="3394" spans="1:36" hidden="1" x14ac:dyDescent="0.45">
      <c r="A3394" s="518"/>
      <c r="B3394" s="966" t="s">
        <v>183</v>
      </c>
      <c r="C3394" s="967"/>
      <c r="D3394" s="967"/>
      <c r="E3394" s="967"/>
      <c r="F3394" s="967"/>
      <c r="G3394" s="967"/>
      <c r="H3394" s="967"/>
      <c r="I3394" s="967"/>
      <c r="J3394" s="967"/>
      <c r="K3394" s="967"/>
      <c r="L3394" s="967"/>
      <c r="M3394" s="967"/>
      <c r="N3394" s="967"/>
      <c r="O3394" s="967"/>
      <c r="P3394" s="967"/>
      <c r="Q3394" s="967"/>
      <c r="R3394" s="967"/>
      <c r="S3394" s="967"/>
      <c r="T3394" s="967"/>
      <c r="U3394" s="967"/>
      <c r="V3394" s="967"/>
      <c r="W3394" s="967"/>
      <c r="X3394" s="967"/>
      <c r="Y3394" s="967"/>
      <c r="Z3394" s="967"/>
      <c r="AA3394" s="967"/>
      <c r="AB3394" s="967"/>
      <c r="AC3394" s="967"/>
      <c r="AD3394" s="967"/>
      <c r="AE3394" s="967"/>
      <c r="AF3394" s="967"/>
      <c r="AG3394" s="968"/>
      <c r="AH3394" s="518"/>
      <c r="AJ3394" s="595"/>
    </row>
    <row r="3395" spans="1:36" hidden="1" x14ac:dyDescent="0.45">
      <c r="A3395" s="518"/>
      <c r="B3395" s="969"/>
      <c r="C3395" s="970"/>
      <c r="D3395" s="970"/>
      <c r="E3395" s="970"/>
      <c r="F3395" s="970"/>
      <c r="G3395" s="970"/>
      <c r="H3395" s="970"/>
      <c r="I3395" s="970"/>
      <c r="J3395" s="970"/>
      <c r="K3395" s="970"/>
      <c r="L3395" s="970"/>
      <c r="M3395" s="970"/>
      <c r="N3395" s="970"/>
      <c r="O3395" s="970"/>
      <c r="P3395" s="970"/>
      <c r="Q3395" s="970"/>
      <c r="R3395" s="970"/>
      <c r="S3395" s="970"/>
      <c r="T3395" s="970"/>
      <c r="U3395" s="970"/>
      <c r="V3395" s="970"/>
      <c r="W3395" s="970"/>
      <c r="X3395" s="970"/>
      <c r="Y3395" s="970"/>
      <c r="Z3395" s="970"/>
      <c r="AA3395" s="970"/>
      <c r="AB3395" s="970"/>
      <c r="AC3395" s="970"/>
      <c r="AD3395" s="970"/>
      <c r="AE3395" s="970"/>
      <c r="AF3395" s="970"/>
      <c r="AG3395" s="971"/>
      <c r="AH3395" s="518"/>
      <c r="AJ3395" s="595"/>
    </row>
    <row r="3396" spans="1:36" hidden="1" x14ac:dyDescent="0.45">
      <c r="A3396" s="518"/>
      <c r="B3396" s="969"/>
      <c r="C3396" s="970"/>
      <c r="D3396" s="970"/>
      <c r="E3396" s="970"/>
      <c r="F3396" s="970"/>
      <c r="G3396" s="970"/>
      <c r="H3396" s="970"/>
      <c r="I3396" s="970"/>
      <c r="J3396" s="970"/>
      <c r="K3396" s="970"/>
      <c r="L3396" s="970"/>
      <c r="M3396" s="970"/>
      <c r="N3396" s="970"/>
      <c r="O3396" s="970"/>
      <c r="P3396" s="970"/>
      <c r="Q3396" s="970"/>
      <c r="R3396" s="970"/>
      <c r="S3396" s="970"/>
      <c r="T3396" s="970"/>
      <c r="U3396" s="970"/>
      <c r="V3396" s="970"/>
      <c r="W3396" s="970"/>
      <c r="X3396" s="970"/>
      <c r="Y3396" s="970"/>
      <c r="Z3396" s="970"/>
      <c r="AA3396" s="970"/>
      <c r="AB3396" s="970"/>
      <c r="AC3396" s="970"/>
      <c r="AD3396" s="970"/>
      <c r="AE3396" s="970"/>
      <c r="AF3396" s="970"/>
      <c r="AG3396" s="971"/>
      <c r="AH3396" s="518"/>
      <c r="AJ3396" s="595"/>
    </row>
    <row r="3397" spans="1:36" hidden="1" x14ac:dyDescent="0.45">
      <c r="A3397" s="518"/>
      <c r="B3397" s="969"/>
      <c r="C3397" s="970"/>
      <c r="D3397" s="970"/>
      <c r="E3397" s="970"/>
      <c r="F3397" s="970"/>
      <c r="G3397" s="970"/>
      <c r="H3397" s="970"/>
      <c r="I3397" s="970"/>
      <c r="J3397" s="970"/>
      <c r="K3397" s="970"/>
      <c r="L3397" s="970"/>
      <c r="M3397" s="970"/>
      <c r="N3397" s="970"/>
      <c r="O3397" s="970"/>
      <c r="P3397" s="970"/>
      <c r="Q3397" s="970"/>
      <c r="R3397" s="970"/>
      <c r="S3397" s="970"/>
      <c r="T3397" s="970"/>
      <c r="U3397" s="970"/>
      <c r="V3397" s="970"/>
      <c r="W3397" s="970"/>
      <c r="X3397" s="970"/>
      <c r="Y3397" s="970"/>
      <c r="Z3397" s="970"/>
      <c r="AA3397" s="970"/>
      <c r="AB3397" s="970"/>
      <c r="AC3397" s="970"/>
      <c r="AD3397" s="970"/>
      <c r="AE3397" s="970"/>
      <c r="AF3397" s="970"/>
      <c r="AG3397" s="971"/>
      <c r="AH3397" s="518"/>
      <c r="AJ3397" s="595"/>
    </row>
    <row r="3398" spans="1:36" hidden="1" x14ac:dyDescent="0.45">
      <c r="A3398" s="518"/>
      <c r="B3398" s="969"/>
      <c r="C3398" s="970"/>
      <c r="D3398" s="970"/>
      <c r="E3398" s="970"/>
      <c r="F3398" s="970"/>
      <c r="G3398" s="970"/>
      <c r="H3398" s="970"/>
      <c r="I3398" s="970"/>
      <c r="J3398" s="970"/>
      <c r="K3398" s="970"/>
      <c r="L3398" s="970"/>
      <c r="M3398" s="970"/>
      <c r="N3398" s="970"/>
      <c r="O3398" s="970"/>
      <c r="P3398" s="970"/>
      <c r="Q3398" s="970"/>
      <c r="R3398" s="970"/>
      <c r="S3398" s="970"/>
      <c r="T3398" s="970"/>
      <c r="U3398" s="970"/>
      <c r="V3398" s="970"/>
      <c r="W3398" s="970"/>
      <c r="X3398" s="970"/>
      <c r="Y3398" s="970"/>
      <c r="Z3398" s="970"/>
      <c r="AA3398" s="970"/>
      <c r="AB3398" s="970"/>
      <c r="AC3398" s="970"/>
      <c r="AD3398" s="970"/>
      <c r="AE3398" s="970"/>
      <c r="AF3398" s="970"/>
      <c r="AG3398" s="971"/>
      <c r="AH3398" s="518"/>
      <c r="AJ3398" s="595"/>
    </row>
    <row r="3399" spans="1:36" hidden="1" x14ac:dyDescent="0.45">
      <c r="A3399" s="518"/>
      <c r="B3399" s="969"/>
      <c r="C3399" s="970"/>
      <c r="D3399" s="970"/>
      <c r="E3399" s="970"/>
      <c r="F3399" s="970"/>
      <c r="G3399" s="970"/>
      <c r="H3399" s="970"/>
      <c r="I3399" s="970"/>
      <c r="J3399" s="970"/>
      <c r="K3399" s="970"/>
      <c r="L3399" s="970"/>
      <c r="M3399" s="970"/>
      <c r="N3399" s="970"/>
      <c r="O3399" s="970"/>
      <c r="P3399" s="970"/>
      <c r="Q3399" s="970"/>
      <c r="R3399" s="970"/>
      <c r="S3399" s="970"/>
      <c r="T3399" s="970"/>
      <c r="U3399" s="970"/>
      <c r="V3399" s="970"/>
      <c r="W3399" s="970"/>
      <c r="X3399" s="970"/>
      <c r="Y3399" s="970"/>
      <c r="Z3399" s="970"/>
      <c r="AA3399" s="970"/>
      <c r="AB3399" s="970"/>
      <c r="AC3399" s="970"/>
      <c r="AD3399" s="970"/>
      <c r="AE3399" s="970"/>
      <c r="AF3399" s="970"/>
      <c r="AG3399" s="971"/>
      <c r="AH3399" s="518"/>
      <c r="AJ3399" s="595"/>
    </row>
    <row r="3400" spans="1:36" hidden="1" x14ac:dyDescent="0.45">
      <c r="A3400" s="518"/>
      <c r="B3400" s="969"/>
      <c r="C3400" s="970"/>
      <c r="D3400" s="970"/>
      <c r="E3400" s="970"/>
      <c r="F3400" s="970"/>
      <c r="G3400" s="970"/>
      <c r="H3400" s="970"/>
      <c r="I3400" s="970"/>
      <c r="J3400" s="970"/>
      <c r="K3400" s="970"/>
      <c r="L3400" s="970"/>
      <c r="M3400" s="970"/>
      <c r="N3400" s="970"/>
      <c r="O3400" s="970"/>
      <c r="P3400" s="970"/>
      <c r="Q3400" s="970"/>
      <c r="R3400" s="970"/>
      <c r="S3400" s="970"/>
      <c r="T3400" s="970"/>
      <c r="U3400" s="970"/>
      <c r="V3400" s="970"/>
      <c r="W3400" s="970"/>
      <c r="X3400" s="970"/>
      <c r="Y3400" s="970"/>
      <c r="Z3400" s="970"/>
      <c r="AA3400" s="970"/>
      <c r="AB3400" s="970"/>
      <c r="AC3400" s="970"/>
      <c r="AD3400" s="970"/>
      <c r="AE3400" s="970"/>
      <c r="AF3400" s="970"/>
      <c r="AG3400" s="971"/>
      <c r="AH3400" s="518"/>
      <c r="AJ3400" s="595"/>
    </row>
    <row r="3401" spans="1:36" hidden="1" x14ac:dyDescent="0.45">
      <c r="A3401" s="518"/>
      <c r="B3401" s="969"/>
      <c r="C3401" s="970"/>
      <c r="D3401" s="970"/>
      <c r="E3401" s="970"/>
      <c r="F3401" s="970"/>
      <c r="G3401" s="970"/>
      <c r="H3401" s="970"/>
      <c r="I3401" s="970"/>
      <c r="J3401" s="970"/>
      <c r="K3401" s="970"/>
      <c r="L3401" s="970"/>
      <c r="M3401" s="970"/>
      <c r="N3401" s="970"/>
      <c r="O3401" s="970"/>
      <c r="P3401" s="970"/>
      <c r="Q3401" s="970"/>
      <c r="R3401" s="970"/>
      <c r="S3401" s="970"/>
      <c r="T3401" s="970"/>
      <c r="U3401" s="970"/>
      <c r="V3401" s="970"/>
      <c r="W3401" s="970"/>
      <c r="X3401" s="970"/>
      <c r="Y3401" s="970"/>
      <c r="Z3401" s="970"/>
      <c r="AA3401" s="970"/>
      <c r="AB3401" s="970"/>
      <c r="AC3401" s="970"/>
      <c r="AD3401" s="970"/>
      <c r="AE3401" s="970"/>
      <c r="AF3401" s="970"/>
      <c r="AG3401" s="971"/>
      <c r="AH3401" s="518"/>
      <c r="AJ3401" s="595"/>
    </row>
    <row r="3402" spans="1:36" hidden="1" x14ac:dyDescent="0.45">
      <c r="A3402" s="518"/>
      <c r="B3402" s="969"/>
      <c r="C3402" s="970"/>
      <c r="D3402" s="970"/>
      <c r="E3402" s="970"/>
      <c r="F3402" s="970"/>
      <c r="G3402" s="970"/>
      <c r="H3402" s="970"/>
      <c r="I3402" s="970"/>
      <c r="J3402" s="970"/>
      <c r="K3402" s="970"/>
      <c r="L3402" s="970"/>
      <c r="M3402" s="970"/>
      <c r="N3402" s="970"/>
      <c r="O3402" s="970"/>
      <c r="P3402" s="970"/>
      <c r="Q3402" s="970"/>
      <c r="R3402" s="970"/>
      <c r="S3402" s="970"/>
      <c r="T3402" s="970"/>
      <c r="U3402" s="970"/>
      <c r="V3402" s="970"/>
      <c r="W3402" s="970"/>
      <c r="X3402" s="970"/>
      <c r="Y3402" s="970"/>
      <c r="Z3402" s="970"/>
      <c r="AA3402" s="970"/>
      <c r="AB3402" s="970"/>
      <c r="AC3402" s="970"/>
      <c r="AD3402" s="970"/>
      <c r="AE3402" s="970"/>
      <c r="AF3402" s="970"/>
      <c r="AG3402" s="971"/>
      <c r="AH3402" s="518"/>
      <c r="AJ3402" s="595"/>
    </row>
    <row r="3403" spans="1:36" hidden="1" x14ac:dyDescent="0.45">
      <c r="A3403" s="518"/>
      <c r="B3403" s="969"/>
      <c r="C3403" s="970"/>
      <c r="D3403" s="970"/>
      <c r="E3403" s="970"/>
      <c r="F3403" s="970"/>
      <c r="G3403" s="970"/>
      <c r="H3403" s="970"/>
      <c r="I3403" s="970"/>
      <c r="J3403" s="970"/>
      <c r="K3403" s="970"/>
      <c r="L3403" s="970"/>
      <c r="M3403" s="970"/>
      <c r="N3403" s="970"/>
      <c r="O3403" s="970"/>
      <c r="P3403" s="970"/>
      <c r="Q3403" s="970"/>
      <c r="R3403" s="970"/>
      <c r="S3403" s="970"/>
      <c r="T3403" s="970"/>
      <c r="U3403" s="970"/>
      <c r="V3403" s="970"/>
      <c r="W3403" s="970"/>
      <c r="X3403" s="970"/>
      <c r="Y3403" s="970"/>
      <c r="Z3403" s="970"/>
      <c r="AA3403" s="970"/>
      <c r="AB3403" s="970"/>
      <c r="AC3403" s="970"/>
      <c r="AD3403" s="970"/>
      <c r="AE3403" s="970"/>
      <c r="AF3403" s="970"/>
      <c r="AG3403" s="971"/>
      <c r="AH3403" s="518"/>
      <c r="AJ3403" s="595"/>
    </row>
    <row r="3404" spans="1:36" hidden="1" x14ac:dyDescent="0.45">
      <c r="A3404" s="518"/>
      <c r="B3404" s="969"/>
      <c r="C3404" s="970"/>
      <c r="D3404" s="970"/>
      <c r="E3404" s="970"/>
      <c r="F3404" s="970"/>
      <c r="G3404" s="970"/>
      <c r="H3404" s="970"/>
      <c r="I3404" s="970"/>
      <c r="J3404" s="970"/>
      <c r="K3404" s="970"/>
      <c r="L3404" s="970"/>
      <c r="M3404" s="970"/>
      <c r="N3404" s="970"/>
      <c r="O3404" s="970"/>
      <c r="P3404" s="970"/>
      <c r="Q3404" s="970"/>
      <c r="R3404" s="970"/>
      <c r="S3404" s="970"/>
      <c r="T3404" s="970"/>
      <c r="U3404" s="970"/>
      <c r="V3404" s="970"/>
      <c r="W3404" s="970"/>
      <c r="X3404" s="970"/>
      <c r="Y3404" s="970"/>
      <c r="Z3404" s="970"/>
      <c r="AA3404" s="970"/>
      <c r="AB3404" s="970"/>
      <c r="AC3404" s="970"/>
      <c r="AD3404" s="970"/>
      <c r="AE3404" s="970"/>
      <c r="AF3404" s="970"/>
      <c r="AG3404" s="971"/>
      <c r="AH3404" s="518"/>
      <c r="AJ3404" s="595"/>
    </row>
    <row r="3405" spans="1:36" hidden="1" x14ac:dyDescent="0.45">
      <c r="A3405" s="518"/>
      <c r="B3405" s="969"/>
      <c r="C3405" s="970"/>
      <c r="D3405" s="970"/>
      <c r="E3405" s="970"/>
      <c r="F3405" s="970"/>
      <c r="G3405" s="970"/>
      <c r="H3405" s="970"/>
      <c r="I3405" s="970"/>
      <c r="J3405" s="970"/>
      <c r="K3405" s="970"/>
      <c r="L3405" s="970"/>
      <c r="M3405" s="970"/>
      <c r="N3405" s="970"/>
      <c r="O3405" s="970"/>
      <c r="P3405" s="970"/>
      <c r="Q3405" s="970"/>
      <c r="R3405" s="970"/>
      <c r="S3405" s="970"/>
      <c r="T3405" s="970"/>
      <c r="U3405" s="970"/>
      <c r="V3405" s="970"/>
      <c r="W3405" s="970"/>
      <c r="X3405" s="970"/>
      <c r="Y3405" s="970"/>
      <c r="Z3405" s="970"/>
      <c r="AA3405" s="970"/>
      <c r="AB3405" s="970"/>
      <c r="AC3405" s="970"/>
      <c r="AD3405" s="970"/>
      <c r="AE3405" s="970"/>
      <c r="AF3405" s="970"/>
      <c r="AG3405" s="971"/>
      <c r="AH3405" s="518"/>
      <c r="AJ3405" s="595"/>
    </row>
    <row r="3406" spans="1:36" hidden="1" x14ac:dyDescent="0.45">
      <c r="A3406" s="518"/>
      <c r="B3406" s="969"/>
      <c r="C3406" s="970"/>
      <c r="D3406" s="970"/>
      <c r="E3406" s="970"/>
      <c r="F3406" s="970"/>
      <c r="G3406" s="970"/>
      <c r="H3406" s="970"/>
      <c r="I3406" s="970"/>
      <c r="J3406" s="970"/>
      <c r="K3406" s="970"/>
      <c r="L3406" s="970"/>
      <c r="M3406" s="970"/>
      <c r="N3406" s="970"/>
      <c r="O3406" s="970"/>
      <c r="P3406" s="970"/>
      <c r="Q3406" s="970"/>
      <c r="R3406" s="970"/>
      <c r="S3406" s="970"/>
      <c r="T3406" s="970"/>
      <c r="U3406" s="970"/>
      <c r="V3406" s="970"/>
      <c r="W3406" s="970"/>
      <c r="X3406" s="970"/>
      <c r="Y3406" s="970"/>
      <c r="Z3406" s="970"/>
      <c r="AA3406" s="970"/>
      <c r="AB3406" s="970"/>
      <c r="AC3406" s="970"/>
      <c r="AD3406" s="970"/>
      <c r="AE3406" s="970"/>
      <c r="AF3406" s="970"/>
      <c r="AG3406" s="971"/>
      <c r="AH3406" s="518"/>
      <c r="AJ3406" s="595"/>
    </row>
    <row r="3407" spans="1:36" hidden="1" x14ac:dyDescent="0.45">
      <c r="A3407" s="518"/>
      <c r="B3407" s="969"/>
      <c r="C3407" s="970"/>
      <c r="D3407" s="970"/>
      <c r="E3407" s="970"/>
      <c r="F3407" s="970"/>
      <c r="G3407" s="970"/>
      <c r="H3407" s="970"/>
      <c r="I3407" s="970"/>
      <c r="J3407" s="970"/>
      <c r="K3407" s="970"/>
      <c r="L3407" s="970"/>
      <c r="M3407" s="970"/>
      <c r="N3407" s="970"/>
      <c r="O3407" s="970"/>
      <c r="P3407" s="970"/>
      <c r="Q3407" s="970"/>
      <c r="R3407" s="970"/>
      <c r="S3407" s="970"/>
      <c r="T3407" s="970"/>
      <c r="U3407" s="970"/>
      <c r="V3407" s="970"/>
      <c r="W3407" s="970"/>
      <c r="X3407" s="970"/>
      <c r="Y3407" s="970"/>
      <c r="Z3407" s="970"/>
      <c r="AA3407" s="970"/>
      <c r="AB3407" s="970"/>
      <c r="AC3407" s="970"/>
      <c r="AD3407" s="970"/>
      <c r="AE3407" s="970"/>
      <c r="AF3407" s="970"/>
      <c r="AG3407" s="971"/>
      <c r="AH3407" s="518"/>
      <c r="AJ3407" s="595"/>
    </row>
    <row r="3408" spans="1:36" hidden="1" x14ac:dyDescent="0.45">
      <c r="A3408" s="518"/>
      <c r="B3408" s="969"/>
      <c r="C3408" s="970"/>
      <c r="D3408" s="970"/>
      <c r="E3408" s="970"/>
      <c r="F3408" s="970"/>
      <c r="G3408" s="970"/>
      <c r="H3408" s="970"/>
      <c r="I3408" s="970"/>
      <c r="J3408" s="970"/>
      <c r="K3408" s="970"/>
      <c r="L3408" s="970"/>
      <c r="M3408" s="970"/>
      <c r="N3408" s="970"/>
      <c r="O3408" s="970"/>
      <c r="P3408" s="970"/>
      <c r="Q3408" s="970"/>
      <c r="R3408" s="970"/>
      <c r="S3408" s="970"/>
      <c r="T3408" s="970"/>
      <c r="U3408" s="970"/>
      <c r="V3408" s="970"/>
      <c r="W3408" s="970"/>
      <c r="X3408" s="970"/>
      <c r="Y3408" s="970"/>
      <c r="Z3408" s="970"/>
      <c r="AA3408" s="970"/>
      <c r="AB3408" s="970"/>
      <c r="AC3408" s="970"/>
      <c r="AD3408" s="970"/>
      <c r="AE3408" s="970"/>
      <c r="AF3408" s="970"/>
      <c r="AG3408" s="971"/>
      <c r="AH3408" s="518"/>
      <c r="AJ3408" s="595"/>
    </row>
    <row r="3409" spans="1:36" hidden="1" x14ac:dyDescent="0.45">
      <c r="A3409" s="518"/>
      <c r="B3409" s="972"/>
      <c r="C3409" s="973"/>
      <c r="D3409" s="973"/>
      <c r="E3409" s="973"/>
      <c r="F3409" s="973"/>
      <c r="G3409" s="973"/>
      <c r="H3409" s="973"/>
      <c r="I3409" s="973"/>
      <c r="J3409" s="973"/>
      <c r="K3409" s="973"/>
      <c r="L3409" s="973"/>
      <c r="M3409" s="973"/>
      <c r="N3409" s="973"/>
      <c r="O3409" s="973"/>
      <c r="P3409" s="973"/>
      <c r="Q3409" s="973"/>
      <c r="R3409" s="973"/>
      <c r="S3409" s="973"/>
      <c r="T3409" s="973"/>
      <c r="U3409" s="973"/>
      <c r="V3409" s="973"/>
      <c r="W3409" s="973"/>
      <c r="X3409" s="973"/>
      <c r="Y3409" s="973"/>
      <c r="Z3409" s="973"/>
      <c r="AA3409" s="973"/>
      <c r="AB3409" s="973"/>
      <c r="AC3409" s="973"/>
      <c r="AD3409" s="973"/>
      <c r="AE3409" s="973"/>
      <c r="AF3409" s="973"/>
      <c r="AG3409" s="974"/>
      <c r="AH3409" s="518"/>
      <c r="AJ3409" s="595"/>
    </row>
    <row r="3410" spans="1:36" hidden="1" x14ac:dyDescent="0.45">
      <c r="A3410" s="518"/>
      <c r="B3410" s="518"/>
      <c r="C3410" s="518"/>
      <c r="D3410" s="518"/>
      <c r="E3410" s="518"/>
      <c r="F3410" s="518"/>
      <c r="G3410" s="518"/>
      <c r="H3410" s="518"/>
      <c r="I3410" s="518"/>
      <c r="J3410" s="518"/>
      <c r="K3410" s="518"/>
      <c r="L3410" s="518"/>
      <c r="M3410" s="518"/>
      <c r="N3410" s="518"/>
      <c r="O3410" s="518"/>
      <c r="P3410" s="518"/>
      <c r="Q3410" s="518"/>
      <c r="R3410" s="518"/>
      <c r="S3410" s="518"/>
      <c r="T3410" s="518"/>
      <c r="U3410" s="518"/>
      <c r="V3410" s="518"/>
      <c r="W3410" s="518"/>
      <c r="X3410" s="518"/>
      <c r="Y3410" s="518"/>
      <c r="Z3410" s="518"/>
      <c r="AA3410" s="518"/>
      <c r="AB3410" s="518"/>
      <c r="AC3410" s="518"/>
      <c r="AD3410" s="518"/>
      <c r="AE3410" s="518"/>
      <c r="AF3410" s="518"/>
      <c r="AG3410" s="518"/>
      <c r="AH3410" s="518"/>
      <c r="AJ3410" s="595"/>
    </row>
  </sheetData>
  <dataConsolidate/>
  <mergeCells count="13401">
    <mergeCell ref="AE1854:AG1854"/>
    <mergeCell ref="AB1859:AD1859"/>
    <mergeCell ref="AE1859:AG1859"/>
    <mergeCell ref="B1862:L1862"/>
    <mergeCell ref="Y1860:AA1860"/>
    <mergeCell ref="AB1860:AD1860"/>
    <mergeCell ref="B1851:L1851"/>
    <mergeCell ref="M1851:O1851"/>
    <mergeCell ref="P1851:R1851"/>
    <mergeCell ref="S1851:U1851"/>
    <mergeCell ref="V1851:X1851"/>
    <mergeCell ref="Y1851:AA1851"/>
    <mergeCell ref="AB1851:AD1851"/>
    <mergeCell ref="AE1851:AG1851"/>
    <mergeCell ref="B1852:L1852"/>
    <mergeCell ref="M1852:O1852"/>
    <mergeCell ref="AE1855:AG1855"/>
    <mergeCell ref="B1854:L1854"/>
    <mergeCell ref="G1506:H1506"/>
    <mergeCell ref="S1857:U1857"/>
    <mergeCell ref="V1857:X1857"/>
    <mergeCell ref="Y1857:AA1857"/>
    <mergeCell ref="AB1857:AD1857"/>
    <mergeCell ref="AE1857:AG1857"/>
    <mergeCell ref="B1858:L1858"/>
    <mergeCell ref="M1858:O1858"/>
    <mergeCell ref="P1858:R1858"/>
    <mergeCell ref="S1858:U1858"/>
    <mergeCell ref="V1858:X1858"/>
    <mergeCell ref="Y1858:AA1858"/>
    <mergeCell ref="AB1858:AD1858"/>
    <mergeCell ref="AE1858:AG1858"/>
    <mergeCell ref="B1859:L1859"/>
    <mergeCell ref="M1859:O1859"/>
    <mergeCell ref="P1859:R1859"/>
    <mergeCell ref="S1859:U1859"/>
    <mergeCell ref="V1859:X1859"/>
    <mergeCell ref="Y1859:AA1859"/>
    <mergeCell ref="V1852:X1852"/>
    <mergeCell ref="Y1852:AA1852"/>
    <mergeCell ref="AB1852:AD1852"/>
    <mergeCell ref="AE1852:AG1852"/>
    <mergeCell ref="B1853:L1853"/>
    <mergeCell ref="M1853:O1853"/>
    <mergeCell ref="P1853:R1853"/>
    <mergeCell ref="S1853:U1853"/>
    <mergeCell ref="V1853:X1853"/>
    <mergeCell ref="Y1853:AA1853"/>
    <mergeCell ref="AB1853:AD1853"/>
    <mergeCell ref="AE1853:AG1853"/>
    <mergeCell ref="L1841:O1841"/>
    <mergeCell ref="P1841:Q1841"/>
    <mergeCell ref="B1830:L1830"/>
    <mergeCell ref="M1830:O1830"/>
    <mergeCell ref="P1830:R1830"/>
    <mergeCell ref="S1830:U1830"/>
    <mergeCell ref="V1830:X1830"/>
    <mergeCell ref="Y1830:AA1830"/>
    <mergeCell ref="AB1830:AD1830"/>
    <mergeCell ref="AE1830:AG1830"/>
    <mergeCell ref="B1831:L1831"/>
    <mergeCell ref="M1831:O1831"/>
    <mergeCell ref="P1831:R1831"/>
    <mergeCell ref="S1831:U1831"/>
    <mergeCell ref="B415:AG415"/>
    <mergeCell ref="V1866:X1866"/>
    <mergeCell ref="Y1866:AA1866"/>
    <mergeCell ref="AB1866:AD1866"/>
    <mergeCell ref="AE1866:AG1866"/>
    <mergeCell ref="M1854:O1854"/>
    <mergeCell ref="P1854:R1854"/>
    <mergeCell ref="S1854:U1854"/>
    <mergeCell ref="V1854:X1854"/>
    <mergeCell ref="Y1854:AA1854"/>
    <mergeCell ref="AB1854:AD1854"/>
    <mergeCell ref="B1855:L1855"/>
    <mergeCell ref="M1855:O1855"/>
    <mergeCell ref="P1855:R1855"/>
    <mergeCell ref="S1855:U1855"/>
    <mergeCell ref="V1855:X1855"/>
    <mergeCell ref="Y1855:AA1855"/>
    <mergeCell ref="AB1855:AD1855"/>
    <mergeCell ref="M1863:O1863"/>
    <mergeCell ref="P1863:R1863"/>
    <mergeCell ref="M1856:O1856"/>
    <mergeCell ref="P1856:R1856"/>
    <mergeCell ref="S1856:U1856"/>
    <mergeCell ref="V1856:X1856"/>
    <mergeCell ref="Y1856:AA1856"/>
    <mergeCell ref="AB1856:AD1856"/>
    <mergeCell ref="AE1856:AG1856"/>
    <mergeCell ref="B1863:L1863"/>
    <mergeCell ref="M1862:O1862"/>
    <mergeCell ref="P1862:R1862"/>
    <mergeCell ref="S1862:U1862"/>
    <mergeCell ref="V1862:X1862"/>
    <mergeCell ref="Y1862:AA1862"/>
    <mergeCell ref="AB1862:AD1862"/>
    <mergeCell ref="AE1862:AG1862"/>
    <mergeCell ref="B1857:L1857"/>
    <mergeCell ref="M1857:O1857"/>
    <mergeCell ref="P1865:R1865"/>
    <mergeCell ref="S1865:U1865"/>
    <mergeCell ref="V1865:X1865"/>
    <mergeCell ref="Y1865:AA1865"/>
    <mergeCell ref="AB1865:AD1865"/>
    <mergeCell ref="AE1865:AG1865"/>
    <mergeCell ref="B1856:L1856"/>
    <mergeCell ref="AC1838:AD1839"/>
    <mergeCell ref="AE1838:AG1839"/>
    <mergeCell ref="AC1841:AD1841"/>
    <mergeCell ref="AC1842:AD1842"/>
    <mergeCell ref="S1828:U1828"/>
    <mergeCell ref="V1828:X1828"/>
    <mergeCell ref="Y1828:AA1828"/>
    <mergeCell ref="AB1828:AD1828"/>
    <mergeCell ref="AE1828:AG1828"/>
    <mergeCell ref="B1829:L1829"/>
    <mergeCell ref="M1829:O1829"/>
    <mergeCell ref="P1829:R1829"/>
    <mergeCell ref="S1829:U1829"/>
    <mergeCell ref="V1829:X1829"/>
    <mergeCell ref="Y1829:AA1829"/>
    <mergeCell ref="AB1829:AD1829"/>
    <mergeCell ref="AE1829:AG1829"/>
    <mergeCell ref="AB1832:AD1832"/>
    <mergeCell ref="B1835:AG1835"/>
    <mergeCell ref="B1837:AG1837"/>
    <mergeCell ref="S1863:U1863"/>
    <mergeCell ref="V1863:X1863"/>
    <mergeCell ref="Y1863:AA1863"/>
    <mergeCell ref="AB1863:AD1863"/>
    <mergeCell ref="AE1863:AG1863"/>
    <mergeCell ref="B1860:L1860"/>
    <mergeCell ref="M1860:O1860"/>
    <mergeCell ref="P1860:R1860"/>
    <mergeCell ref="S1860:U1860"/>
    <mergeCell ref="V1860:X1860"/>
    <mergeCell ref="AE1860:AG1860"/>
    <mergeCell ref="B1861:L1861"/>
    <mergeCell ref="M1861:O1861"/>
    <mergeCell ref="P1861:R1861"/>
    <mergeCell ref="S1861:U1861"/>
    <mergeCell ref="V1861:X1861"/>
    <mergeCell ref="Y1861:AA1861"/>
    <mergeCell ref="AB1861:AD1861"/>
    <mergeCell ref="AE1861:AG1861"/>
    <mergeCell ref="B1866:L1866"/>
    <mergeCell ref="M1866:O1866"/>
    <mergeCell ref="P1866:R1866"/>
    <mergeCell ref="S1866:U1866"/>
    <mergeCell ref="AF1999:AG1999"/>
    <mergeCell ref="B2007:AD2007"/>
    <mergeCell ref="B2008:AD2008"/>
    <mergeCell ref="AF2008:AG2008"/>
    <mergeCell ref="B1937:AG1937"/>
    <mergeCell ref="B1939:C1939"/>
    <mergeCell ref="D1939:AD1939"/>
    <mergeCell ref="AF1939:AG1939"/>
    <mergeCell ref="B1940:C1940"/>
    <mergeCell ref="D1940:AD1940"/>
    <mergeCell ref="AF1940:AG1940"/>
    <mergeCell ref="B1941:C1941"/>
    <mergeCell ref="D1941:AD1941"/>
    <mergeCell ref="AF1941:AG1941"/>
    <mergeCell ref="B1945:AD1945"/>
    <mergeCell ref="B1948:AG1948"/>
    <mergeCell ref="B1950:C1950"/>
    <mergeCell ref="D1950:AD1950"/>
    <mergeCell ref="AF1950:AG1950"/>
    <mergeCell ref="B1942:C1942"/>
    <mergeCell ref="D1942:AD1942"/>
    <mergeCell ref="AF1942:AG1942"/>
    <mergeCell ref="B1943:C1943"/>
    <mergeCell ref="D1943:AD1943"/>
    <mergeCell ref="AF1943:AG1943"/>
    <mergeCell ref="B1925:C1925"/>
    <mergeCell ref="D1925:AD1925"/>
    <mergeCell ref="AF1925:AG1925"/>
    <mergeCell ref="B1926:C1926"/>
    <mergeCell ref="D1926:AD1926"/>
    <mergeCell ref="AF1926:AG1926"/>
    <mergeCell ref="B1927:C1927"/>
    <mergeCell ref="D1927:AD1927"/>
    <mergeCell ref="AF1927:AG1927"/>
    <mergeCell ref="B1928:C1928"/>
    <mergeCell ref="D1928:AD1928"/>
    <mergeCell ref="AF1928:AG1928"/>
    <mergeCell ref="B1929:C1929"/>
    <mergeCell ref="D1929:AD1929"/>
    <mergeCell ref="AF1929:AG1929"/>
    <mergeCell ref="AF1960:AG1960"/>
    <mergeCell ref="B3191:L3191"/>
    <mergeCell ref="M3191:O3191"/>
    <mergeCell ref="P3191:R3191"/>
    <mergeCell ref="S3191:U3191"/>
    <mergeCell ref="V3191:X3191"/>
    <mergeCell ref="Y3191:AA3191"/>
    <mergeCell ref="AB3191:AD3191"/>
    <mergeCell ref="D3209:K3209"/>
    <mergeCell ref="L3209:O3209"/>
    <mergeCell ref="P3209:Q3209"/>
    <mergeCell ref="R3209:W3209"/>
    <mergeCell ref="X3209:AB3209"/>
    <mergeCell ref="AC3209:AD3209"/>
    <mergeCell ref="AE3209:AG3209"/>
    <mergeCell ref="B3184:L3184"/>
    <mergeCell ref="M3184:O3184"/>
    <mergeCell ref="P3184:R3184"/>
    <mergeCell ref="S3184:U3184"/>
    <mergeCell ref="V3184:X3184"/>
    <mergeCell ref="Y3184:AA3184"/>
    <mergeCell ref="AB3184:AD3184"/>
    <mergeCell ref="AE3184:AG3184"/>
    <mergeCell ref="B3175:C3175"/>
    <mergeCell ref="D3173:E3173"/>
    <mergeCell ref="D3174:E3174"/>
    <mergeCell ref="D3175:E3175"/>
    <mergeCell ref="AE3173:AG3173"/>
    <mergeCell ref="AE3174:AG3174"/>
    <mergeCell ref="AE3175:AG3175"/>
    <mergeCell ref="AC3173:AD3173"/>
    <mergeCell ref="AC3174:AD3174"/>
    <mergeCell ref="AC3175:AD3175"/>
    <mergeCell ref="AA3173:AB3173"/>
    <mergeCell ref="AA3174:AB3174"/>
    <mergeCell ref="AA3175:AB3175"/>
    <mergeCell ref="F3173:V3173"/>
    <mergeCell ref="M3188:O3188"/>
    <mergeCell ref="P3188:R3188"/>
    <mergeCell ref="S3188:U3188"/>
    <mergeCell ref="V3188:X3188"/>
    <mergeCell ref="Y3188:AA3188"/>
    <mergeCell ref="AB3188:AD3188"/>
    <mergeCell ref="AE3188:AG3188"/>
    <mergeCell ref="B3189:L3189"/>
    <mergeCell ref="M3189:O3189"/>
    <mergeCell ref="F3174:V3174"/>
    <mergeCell ref="F3175:V3175"/>
    <mergeCell ref="W3173:Z3173"/>
    <mergeCell ref="W3174:Z3174"/>
    <mergeCell ref="W3175:Z3175"/>
    <mergeCell ref="V3186:X3186"/>
    <mergeCell ref="Y3186:AA3186"/>
    <mergeCell ref="AB3186:AD3186"/>
    <mergeCell ref="AE3186:AG3186"/>
    <mergeCell ref="B3187:L3187"/>
    <mergeCell ref="M3186:O3186"/>
    <mergeCell ref="P3187:R3187"/>
    <mergeCell ref="S3187:U3187"/>
    <mergeCell ref="V3187:X3187"/>
    <mergeCell ref="Y3187:AA3187"/>
    <mergeCell ref="AB3187:AD3187"/>
    <mergeCell ref="AE3187:AG3187"/>
    <mergeCell ref="M3195:O3195"/>
    <mergeCell ref="P3195:R3195"/>
    <mergeCell ref="B3188:L3188"/>
    <mergeCell ref="P3189:R3189"/>
    <mergeCell ref="S3189:U3189"/>
    <mergeCell ref="V3189:X3189"/>
    <mergeCell ref="Y3189:AA3189"/>
    <mergeCell ref="AB3189:AD3189"/>
    <mergeCell ref="AE3189:AG3189"/>
    <mergeCell ref="B3190:L3190"/>
    <mergeCell ref="M3190:O3190"/>
    <mergeCell ref="P3190:R3190"/>
    <mergeCell ref="S3190:U3190"/>
    <mergeCell ref="V3190:X3190"/>
    <mergeCell ref="Y3190:AA3190"/>
    <mergeCell ref="AB3190:AD3190"/>
    <mergeCell ref="AE3190:AG3190"/>
    <mergeCell ref="B3185:L3185"/>
    <mergeCell ref="M3185:O3185"/>
    <mergeCell ref="P3185:R3185"/>
    <mergeCell ref="S3185:U3185"/>
    <mergeCell ref="V3185:X3185"/>
    <mergeCell ref="Y3185:AA3185"/>
    <mergeCell ref="AB3185:AD3185"/>
    <mergeCell ref="AE3185:AG3185"/>
    <mergeCell ref="B3186:L3186"/>
    <mergeCell ref="P3186:R3186"/>
    <mergeCell ref="S3186:U3186"/>
    <mergeCell ref="B3170:C3170"/>
    <mergeCell ref="D3170:E3170"/>
    <mergeCell ref="AE3170:AG3170"/>
    <mergeCell ref="AC3170:AD3170"/>
    <mergeCell ref="AA3170:AB3170"/>
    <mergeCell ref="F3170:V3170"/>
    <mergeCell ref="F3171:V3171"/>
    <mergeCell ref="F3172:V3172"/>
    <mergeCell ref="Y3183:AA3183"/>
    <mergeCell ref="AB3183:AD3183"/>
    <mergeCell ref="AE3183:AG3183"/>
    <mergeCell ref="AE3180:AG3180"/>
    <mergeCell ref="B3181:L3181"/>
    <mergeCell ref="M3181:O3181"/>
    <mergeCell ref="P3181:R3181"/>
    <mergeCell ref="S3181:U3181"/>
    <mergeCell ref="V3181:X3181"/>
    <mergeCell ref="Y3181:AA3181"/>
    <mergeCell ref="AB3181:AD3181"/>
    <mergeCell ref="AE3181:AG3181"/>
    <mergeCell ref="B3173:C3173"/>
    <mergeCell ref="B3174:C3174"/>
    <mergeCell ref="W3170:Z3170"/>
    <mergeCell ref="W3171:Z3171"/>
    <mergeCell ref="W3172:Z3172"/>
    <mergeCell ref="B3171:C3171"/>
    <mergeCell ref="B3172:C3172"/>
    <mergeCell ref="D3171:E3171"/>
    <mergeCell ref="D3172:E3172"/>
    <mergeCell ref="AE3171:AG3171"/>
    <mergeCell ref="AE3172:AG3172"/>
    <mergeCell ref="AC3171:AD3171"/>
    <mergeCell ref="AC3172:AD3172"/>
    <mergeCell ref="AA3171:AB3171"/>
    <mergeCell ref="AA3172:AB3172"/>
    <mergeCell ref="B3182:L3182"/>
    <mergeCell ref="M3182:O3182"/>
    <mergeCell ref="P3182:R3182"/>
    <mergeCell ref="B3205:B3206"/>
    <mergeCell ref="C3205:C3206"/>
    <mergeCell ref="D3205:K3206"/>
    <mergeCell ref="L3205:O3206"/>
    <mergeCell ref="P3205:Q3206"/>
    <mergeCell ref="R3205:W3206"/>
    <mergeCell ref="X3205:AB3206"/>
    <mergeCell ref="AC3205:AD3206"/>
    <mergeCell ref="AE3205:AG3206"/>
    <mergeCell ref="D3207:K3207"/>
    <mergeCell ref="L3207:O3207"/>
    <mergeCell ref="P3207:Q3207"/>
    <mergeCell ref="R3207:W3207"/>
    <mergeCell ref="X3207:AB3207"/>
    <mergeCell ref="AC3207:AD3207"/>
    <mergeCell ref="AE3207:AG3207"/>
    <mergeCell ref="B3168:C3169"/>
    <mergeCell ref="D3168:E3169"/>
    <mergeCell ref="F3168:V3169"/>
    <mergeCell ref="W3168:Z3169"/>
    <mergeCell ref="AA3168:AB3169"/>
    <mergeCell ref="AC3168:AD3169"/>
    <mergeCell ref="AE3168:AG3169"/>
    <mergeCell ref="P1857:R1857"/>
    <mergeCell ref="V1850:X1850"/>
    <mergeCell ref="Y1850:AA1850"/>
    <mergeCell ref="AB1850:AD1850"/>
    <mergeCell ref="AE1850:AG1850"/>
    <mergeCell ref="L1842:O1842"/>
    <mergeCell ref="P1842:Q1842"/>
    <mergeCell ref="L1843:O1843"/>
    <mergeCell ref="P1843:Q1843"/>
    <mergeCell ref="L1844:O1844"/>
    <mergeCell ref="P1844:Q1844"/>
    <mergeCell ref="AE1842:AG1842"/>
    <mergeCell ref="AE1843:AG1843"/>
    <mergeCell ref="AE1844:AG1844"/>
    <mergeCell ref="AE1845:AG1845"/>
    <mergeCell ref="V1847:X1849"/>
    <mergeCell ref="Y1847:AA1849"/>
    <mergeCell ref="AB1847:AD1849"/>
    <mergeCell ref="AE1847:AG1849"/>
    <mergeCell ref="B2005:M2005"/>
    <mergeCell ref="B2006:AD2006"/>
    <mergeCell ref="AF1933:AG1933"/>
    <mergeCell ref="B1934:C1934"/>
    <mergeCell ref="D1934:AD1934"/>
    <mergeCell ref="AF1920:AG1920"/>
    <mergeCell ref="D1920:AD1920"/>
    <mergeCell ref="B1921:C1921"/>
    <mergeCell ref="D1921:AD1921"/>
    <mergeCell ref="AF1921:AG1921"/>
    <mergeCell ref="B1922:C1922"/>
    <mergeCell ref="D1922:AD1922"/>
    <mergeCell ref="AF1922:AG1922"/>
    <mergeCell ref="B1923:C1923"/>
    <mergeCell ref="D1923:AD1923"/>
    <mergeCell ref="AF1923:AG1923"/>
    <mergeCell ref="AF2007:AG2007"/>
    <mergeCell ref="AF2009:AG2009"/>
    <mergeCell ref="B2009:AD2009"/>
    <mergeCell ref="X1843:AB1843"/>
    <mergeCell ref="X1844:AB1844"/>
    <mergeCell ref="X1845:AB1845"/>
    <mergeCell ref="D3210:K3210"/>
    <mergeCell ref="L3210:O3210"/>
    <mergeCell ref="P3210:Q3210"/>
    <mergeCell ref="R3210:W3210"/>
    <mergeCell ref="X3210:AB3210"/>
    <mergeCell ref="AC3210:AD3210"/>
    <mergeCell ref="AE3210:AG3210"/>
    <mergeCell ref="L1845:O1845"/>
    <mergeCell ref="P1845:Q1845"/>
    <mergeCell ref="B1838:B1839"/>
    <mergeCell ref="C1838:C1839"/>
    <mergeCell ref="D1845:K1845"/>
    <mergeCell ref="D1841:K1841"/>
    <mergeCell ref="D1842:K1842"/>
    <mergeCell ref="D1843:K1843"/>
    <mergeCell ref="D1844:K1844"/>
    <mergeCell ref="D1840:K1840"/>
    <mergeCell ref="D1838:K1839"/>
    <mergeCell ref="R1838:W1839"/>
    <mergeCell ref="R1840:W1840"/>
    <mergeCell ref="R1841:W1841"/>
    <mergeCell ref="R1842:W1842"/>
    <mergeCell ref="R1843:W1843"/>
    <mergeCell ref="R1844:W1844"/>
    <mergeCell ref="R1845:W1845"/>
    <mergeCell ref="X1838:AB1839"/>
    <mergeCell ref="X1840:AB1840"/>
    <mergeCell ref="X1841:AB1841"/>
    <mergeCell ref="X1842:AB1842"/>
    <mergeCell ref="B1872:AG1874"/>
    <mergeCell ref="B1869:AG1869"/>
    <mergeCell ref="B1871:AG1871"/>
    <mergeCell ref="B1882:AG1883"/>
    <mergeCell ref="B1864:L1864"/>
    <mergeCell ref="M1864:O1864"/>
    <mergeCell ref="P1864:R1864"/>
    <mergeCell ref="S1864:U1864"/>
    <mergeCell ref="V1864:X1864"/>
    <mergeCell ref="Y1864:AA1864"/>
    <mergeCell ref="AB1864:AD1864"/>
    <mergeCell ref="AE1864:AG1864"/>
    <mergeCell ref="B1865:L1865"/>
    <mergeCell ref="M1865:O1865"/>
    <mergeCell ref="AC1843:AD1843"/>
    <mergeCell ref="AC1844:AD1844"/>
    <mergeCell ref="AC1845:AD1845"/>
    <mergeCell ref="AE1840:AG1840"/>
    <mergeCell ref="AE1841:AG1841"/>
    <mergeCell ref="B1888:AG1888"/>
    <mergeCell ref="B1879:AG1879"/>
    <mergeCell ref="B1881:AG1881"/>
    <mergeCell ref="B1884:AG1885"/>
    <mergeCell ref="AF1934:AG1934"/>
    <mergeCell ref="B1847:L1849"/>
    <mergeCell ref="M1847:O1849"/>
    <mergeCell ref="P1847:R1849"/>
    <mergeCell ref="S1847:U1849"/>
    <mergeCell ref="P1840:Q1840"/>
    <mergeCell ref="L1838:O1839"/>
    <mergeCell ref="P1838:Q1839"/>
    <mergeCell ref="L1840:O1840"/>
    <mergeCell ref="AC1840:AD1840"/>
    <mergeCell ref="P1852:R1852"/>
    <mergeCell ref="S1852:U1852"/>
    <mergeCell ref="V1831:X1831"/>
    <mergeCell ref="Y1831:AA1831"/>
    <mergeCell ref="AB1831:AD1831"/>
    <mergeCell ref="AE1831:AG1831"/>
    <mergeCell ref="AE1832:AG1832"/>
    <mergeCell ref="B1832:L1832"/>
    <mergeCell ref="M1832:O1832"/>
    <mergeCell ref="P1832:R1832"/>
    <mergeCell ref="S1832:U1832"/>
    <mergeCell ref="V1832:X1832"/>
    <mergeCell ref="Y1832:AA1832"/>
    <mergeCell ref="B1850:L1850"/>
    <mergeCell ref="M1850:O1850"/>
    <mergeCell ref="P1850:R1850"/>
    <mergeCell ref="S1850:U1850"/>
    <mergeCell ref="S1822:U1822"/>
    <mergeCell ref="V1822:X1822"/>
    <mergeCell ref="Y1822:AA1822"/>
    <mergeCell ref="AB1822:AD1822"/>
    <mergeCell ref="AE1822:AG1822"/>
    <mergeCell ref="B1823:L1823"/>
    <mergeCell ref="M1823:O1823"/>
    <mergeCell ref="P1823:R1823"/>
    <mergeCell ref="S1823:U1823"/>
    <mergeCell ref="V1823:X1823"/>
    <mergeCell ref="Y1823:AA1823"/>
    <mergeCell ref="AB1823:AD1823"/>
    <mergeCell ref="AE1823:AG1823"/>
    <mergeCell ref="M1821:O1821"/>
    <mergeCell ref="P1821:R1821"/>
    <mergeCell ref="S1821:U1821"/>
    <mergeCell ref="V1821:X1821"/>
    <mergeCell ref="Y1821:AA1821"/>
    <mergeCell ref="AB1821:AD1821"/>
    <mergeCell ref="B1824:L1824"/>
    <mergeCell ref="AE1824:AG1824"/>
    <mergeCell ref="B1825:L1825"/>
    <mergeCell ref="M1824:O1824"/>
    <mergeCell ref="P1824:R1824"/>
    <mergeCell ref="S1824:U1824"/>
    <mergeCell ref="V1824:X1824"/>
    <mergeCell ref="Y1824:AA1824"/>
    <mergeCell ref="AB1824:AD1824"/>
    <mergeCell ref="AE1825:AG1825"/>
    <mergeCell ref="M1825:O1825"/>
    <mergeCell ref="P1825:R1825"/>
    <mergeCell ref="S1825:U1825"/>
    <mergeCell ref="V1825:X1825"/>
    <mergeCell ref="Y1825:AA1825"/>
    <mergeCell ref="AB1825:AD1825"/>
    <mergeCell ref="B1826:L1826"/>
    <mergeCell ref="M1826:O1826"/>
    <mergeCell ref="P1826:R1826"/>
    <mergeCell ref="S1826:U1826"/>
    <mergeCell ref="V1826:X1826"/>
    <mergeCell ref="Y1826:AA1826"/>
    <mergeCell ref="AB1826:AD1826"/>
    <mergeCell ref="AE1826:AG1826"/>
    <mergeCell ref="B1828:L1828"/>
    <mergeCell ref="M1827:O1827"/>
    <mergeCell ref="P1827:R1827"/>
    <mergeCell ref="S1827:U1827"/>
    <mergeCell ref="V1827:X1827"/>
    <mergeCell ref="Y1827:AA1827"/>
    <mergeCell ref="AB1827:AD1827"/>
    <mergeCell ref="AE1827:AG1827"/>
    <mergeCell ref="B1827:L1827"/>
    <mergeCell ref="M1828:O1828"/>
    <mergeCell ref="P1828:R1828"/>
    <mergeCell ref="B1816:L1816"/>
    <mergeCell ref="M1816:O1816"/>
    <mergeCell ref="P1816:R1816"/>
    <mergeCell ref="S1816:U1816"/>
    <mergeCell ref="V1816:X1816"/>
    <mergeCell ref="Y1816:AA1816"/>
    <mergeCell ref="AB1816:AD1816"/>
    <mergeCell ref="AE1816:AG1816"/>
    <mergeCell ref="B1817:L1817"/>
    <mergeCell ref="M1817:O1817"/>
    <mergeCell ref="P1817:R1817"/>
    <mergeCell ref="S1817:U1817"/>
    <mergeCell ref="V1817:X1817"/>
    <mergeCell ref="Y1817:AA1817"/>
    <mergeCell ref="AB1817:AD1817"/>
    <mergeCell ref="AE1817:AG1817"/>
    <mergeCell ref="B1818:L1818"/>
    <mergeCell ref="M1818:O1818"/>
    <mergeCell ref="P1818:R1818"/>
    <mergeCell ref="S1818:U1818"/>
    <mergeCell ref="V1818:X1818"/>
    <mergeCell ref="Y1818:AA1818"/>
    <mergeCell ref="AB1818:AD1818"/>
    <mergeCell ref="AE1818:AG1818"/>
    <mergeCell ref="B1819:L1819"/>
    <mergeCell ref="M1819:O1819"/>
    <mergeCell ref="P1819:R1819"/>
    <mergeCell ref="S1819:U1819"/>
    <mergeCell ref="V1819:X1819"/>
    <mergeCell ref="Y1819:AA1819"/>
    <mergeCell ref="AB1819:AD1819"/>
    <mergeCell ref="AE1819:AG1819"/>
    <mergeCell ref="B1820:L1820"/>
    <mergeCell ref="AE1820:AG1820"/>
    <mergeCell ref="M1820:O1820"/>
    <mergeCell ref="P1820:R1820"/>
    <mergeCell ref="S1820:U1820"/>
    <mergeCell ref="V1820:X1820"/>
    <mergeCell ref="Y1820:AA1820"/>
    <mergeCell ref="AB1820:AD1820"/>
    <mergeCell ref="B1821:L1821"/>
    <mergeCell ref="AE1821:AG1821"/>
    <mergeCell ref="B1822:L1822"/>
    <mergeCell ref="M1822:O1822"/>
    <mergeCell ref="P1822:R1822"/>
    <mergeCell ref="I1807:S1807"/>
    <mergeCell ref="T1807:W1807"/>
    <mergeCell ref="X1807:Y1807"/>
    <mergeCell ref="Z1807:AC1807"/>
    <mergeCell ref="AD1807:AG1807"/>
    <mergeCell ref="B1808:E1808"/>
    <mergeCell ref="F1808:H1808"/>
    <mergeCell ref="I1808:S1808"/>
    <mergeCell ref="T1808:W1808"/>
    <mergeCell ref="X1808:Y1808"/>
    <mergeCell ref="Z1808:AC1808"/>
    <mergeCell ref="AD1808:AG1808"/>
    <mergeCell ref="B1809:E1809"/>
    <mergeCell ref="F1809:H1809"/>
    <mergeCell ref="I1809:S1809"/>
    <mergeCell ref="T1809:W1809"/>
    <mergeCell ref="X1809:Y1809"/>
    <mergeCell ref="Z1809:AC1809"/>
    <mergeCell ref="AD1809:AG1809"/>
    <mergeCell ref="B1810:E1810"/>
    <mergeCell ref="F1810:H1810"/>
    <mergeCell ref="I1810:S1810"/>
    <mergeCell ref="T1810:W1810"/>
    <mergeCell ref="X1810:Y1810"/>
    <mergeCell ref="Z1810:AC1810"/>
    <mergeCell ref="AD1810:AG1810"/>
    <mergeCell ref="B1815:L1815"/>
    <mergeCell ref="M1815:O1815"/>
    <mergeCell ref="P1815:R1815"/>
    <mergeCell ref="S1815:U1815"/>
    <mergeCell ref="V1815:X1815"/>
    <mergeCell ref="Y1815:AA1815"/>
    <mergeCell ref="AB1815:AD1815"/>
    <mergeCell ref="AE1815:AG1815"/>
    <mergeCell ref="B1807:E1807"/>
    <mergeCell ref="F1807:H1807"/>
    <mergeCell ref="B1812:L1814"/>
    <mergeCell ref="M1812:O1814"/>
    <mergeCell ref="P1812:R1814"/>
    <mergeCell ref="S1812:U1814"/>
    <mergeCell ref="V1812:X1814"/>
    <mergeCell ref="Y1812:AA1814"/>
    <mergeCell ref="AB1812:AD1814"/>
    <mergeCell ref="AE1812:AG1814"/>
    <mergeCell ref="B1795:L1795"/>
    <mergeCell ref="M1795:O1795"/>
    <mergeCell ref="P1795:R1795"/>
    <mergeCell ref="S1795:U1795"/>
    <mergeCell ref="V1795:X1795"/>
    <mergeCell ref="Y1795:AA1795"/>
    <mergeCell ref="AB1795:AD1795"/>
    <mergeCell ref="AE1795:AG1795"/>
    <mergeCell ref="B1796:L1796"/>
    <mergeCell ref="M1796:O1796"/>
    <mergeCell ref="P1796:R1796"/>
    <mergeCell ref="S1796:U1796"/>
    <mergeCell ref="V1796:X1796"/>
    <mergeCell ref="Y1796:AA1796"/>
    <mergeCell ref="AB1796:AD1796"/>
    <mergeCell ref="AE1796:AG1796"/>
    <mergeCell ref="P1797:R1797"/>
    <mergeCell ref="S1797:U1797"/>
    <mergeCell ref="V1797:X1797"/>
    <mergeCell ref="Y1797:AA1797"/>
    <mergeCell ref="AB1797:AD1797"/>
    <mergeCell ref="AE1797:AG1797"/>
    <mergeCell ref="B1794:L1794"/>
    <mergeCell ref="M1794:O1794"/>
    <mergeCell ref="P1794:R1794"/>
    <mergeCell ref="S1794:U1794"/>
    <mergeCell ref="V1794:X1794"/>
    <mergeCell ref="Y1794:AA1794"/>
    <mergeCell ref="AB1794:AD1794"/>
    <mergeCell ref="AE1794:AG1794"/>
    <mergeCell ref="B1806:E1806"/>
    <mergeCell ref="F1806:H1806"/>
    <mergeCell ref="I1806:S1806"/>
    <mergeCell ref="T1806:W1806"/>
    <mergeCell ref="X1806:Y1806"/>
    <mergeCell ref="Z1806:AC1806"/>
    <mergeCell ref="AD1806:AG1806"/>
    <mergeCell ref="B1800:AG1800"/>
    <mergeCell ref="B1802:AG1802"/>
    <mergeCell ref="B1803:E1804"/>
    <mergeCell ref="F1803:H1804"/>
    <mergeCell ref="I1803:S1804"/>
    <mergeCell ref="T1803:W1804"/>
    <mergeCell ref="X1803:Y1804"/>
    <mergeCell ref="Z1803:AC1804"/>
    <mergeCell ref="AD1803:AG1804"/>
    <mergeCell ref="B1805:E1805"/>
    <mergeCell ref="F1805:H1805"/>
    <mergeCell ref="I1805:S1805"/>
    <mergeCell ref="T1805:W1805"/>
    <mergeCell ref="X1805:Y1805"/>
    <mergeCell ref="Z1805:AC1805"/>
    <mergeCell ref="AD1805:AG1805"/>
    <mergeCell ref="B1797:L1797"/>
    <mergeCell ref="M1797:O1797"/>
    <mergeCell ref="AB1789:AD1789"/>
    <mergeCell ref="AE1789:AG1789"/>
    <mergeCell ref="M1789:O1789"/>
    <mergeCell ref="P1790:R1790"/>
    <mergeCell ref="S1790:U1790"/>
    <mergeCell ref="V1790:X1790"/>
    <mergeCell ref="Y1790:AA1790"/>
    <mergeCell ref="AB1790:AD1790"/>
    <mergeCell ref="AE1790:AG1790"/>
    <mergeCell ref="B1780:L1780"/>
    <mergeCell ref="B1781:L1781"/>
    <mergeCell ref="B1782:L1782"/>
    <mergeCell ref="B1783:L1783"/>
    <mergeCell ref="B1784:L1784"/>
    <mergeCell ref="B1785:L1785"/>
    <mergeCell ref="B1786:L1786"/>
    <mergeCell ref="B1787:L1787"/>
    <mergeCell ref="B1788:L1788"/>
    <mergeCell ref="B1789:L1789"/>
    <mergeCell ref="B1790:L1790"/>
    <mergeCell ref="B1791:L1791"/>
    <mergeCell ref="B1793:L1793"/>
    <mergeCell ref="B1792:L1792"/>
    <mergeCell ref="P1789:R1789"/>
    <mergeCell ref="S1789:U1789"/>
    <mergeCell ref="M1786:O1786"/>
    <mergeCell ref="P1786:R1786"/>
    <mergeCell ref="V1780:X1780"/>
    <mergeCell ref="Y1780:AA1780"/>
    <mergeCell ref="AB1780:AD1780"/>
    <mergeCell ref="AE1780:AG1780"/>
    <mergeCell ref="M1781:O1781"/>
    <mergeCell ref="P1781:R1781"/>
    <mergeCell ref="S1781:U1781"/>
    <mergeCell ref="V1781:X1781"/>
    <mergeCell ref="Y1781:AA1781"/>
    <mergeCell ref="AB1781:AD1781"/>
    <mergeCell ref="AE1781:AG1781"/>
    <mergeCell ref="M1782:O1782"/>
    <mergeCell ref="P1782:R1782"/>
    <mergeCell ref="S1782:U1782"/>
    <mergeCell ref="V1782:X1782"/>
    <mergeCell ref="Y1782:AA1782"/>
    <mergeCell ref="AB1782:AD1782"/>
    <mergeCell ref="AE1782:AG1782"/>
    <mergeCell ref="M1790:O1790"/>
    <mergeCell ref="M1792:O1792"/>
    <mergeCell ref="M1780:O1780"/>
    <mergeCell ref="P1780:R1780"/>
    <mergeCell ref="S1780:U1780"/>
    <mergeCell ref="P1791:R1791"/>
    <mergeCell ref="S1791:U1791"/>
    <mergeCell ref="V1791:X1791"/>
    <mergeCell ref="Y1791:AA1791"/>
    <mergeCell ref="AB1791:AD1791"/>
    <mergeCell ref="AE1791:AG1791"/>
    <mergeCell ref="V1786:X1786"/>
    <mergeCell ref="Y1786:AA1786"/>
    <mergeCell ref="AB1786:AD1786"/>
    <mergeCell ref="AE1786:AG1786"/>
    <mergeCell ref="V1783:X1783"/>
    <mergeCell ref="Y1783:AA1783"/>
    <mergeCell ref="AB1783:AD1783"/>
    <mergeCell ref="AE1783:AG1783"/>
    <mergeCell ref="I1775:S1775"/>
    <mergeCell ref="T1770:W1770"/>
    <mergeCell ref="T1771:W1771"/>
    <mergeCell ref="T1772:W1772"/>
    <mergeCell ref="T1773:W1773"/>
    <mergeCell ref="T1774:W1774"/>
    <mergeCell ref="T1775:W1775"/>
    <mergeCell ref="X1770:Y1770"/>
    <mergeCell ref="Z1770:AC1770"/>
    <mergeCell ref="AD1770:AG1770"/>
    <mergeCell ref="B1772:E1772"/>
    <mergeCell ref="F1772:H1772"/>
    <mergeCell ref="M1787:O1787"/>
    <mergeCell ref="P1787:R1787"/>
    <mergeCell ref="S1787:U1787"/>
    <mergeCell ref="V1787:X1787"/>
    <mergeCell ref="Y1787:AA1787"/>
    <mergeCell ref="AB1787:AD1787"/>
    <mergeCell ref="AE1787:AG1787"/>
    <mergeCell ref="M1788:O1788"/>
    <mergeCell ref="P1788:R1788"/>
    <mergeCell ref="S1788:U1788"/>
    <mergeCell ref="V1788:X1788"/>
    <mergeCell ref="Y1788:AA1788"/>
    <mergeCell ref="AB1788:AD1788"/>
    <mergeCell ref="AE1788:AG1788"/>
    <mergeCell ref="S1786:U1786"/>
    <mergeCell ref="S1785:U1785"/>
    <mergeCell ref="V1785:X1785"/>
    <mergeCell ref="Y1785:AA1785"/>
    <mergeCell ref="AB1785:AD1785"/>
    <mergeCell ref="AE1785:AG1785"/>
    <mergeCell ref="M1783:O1783"/>
    <mergeCell ref="P1783:R1783"/>
    <mergeCell ref="S1783:U1783"/>
    <mergeCell ref="B1775:E1775"/>
    <mergeCell ref="F1770:H1770"/>
    <mergeCell ref="F1771:H1771"/>
    <mergeCell ref="F1773:H1773"/>
    <mergeCell ref="AD1773:AG1773"/>
    <mergeCell ref="X1774:Y1774"/>
    <mergeCell ref="Z1774:AC1774"/>
    <mergeCell ref="AD1774:AG1774"/>
    <mergeCell ref="X1775:Y1775"/>
    <mergeCell ref="Z1775:AC1775"/>
    <mergeCell ref="AD1775:AG1775"/>
    <mergeCell ref="F1775:H1775"/>
    <mergeCell ref="M1784:O1784"/>
    <mergeCell ref="P1784:R1784"/>
    <mergeCell ref="S1784:U1784"/>
    <mergeCell ref="V1784:X1784"/>
    <mergeCell ref="Y1784:AA1784"/>
    <mergeCell ref="AB1784:AD1784"/>
    <mergeCell ref="AE1784:AG1784"/>
    <mergeCell ref="M1785:O1785"/>
    <mergeCell ref="P1785:R1785"/>
    <mergeCell ref="V1777:X1779"/>
    <mergeCell ref="Y1777:AA1779"/>
    <mergeCell ref="AB1777:AD1779"/>
    <mergeCell ref="AE1777:AG1779"/>
    <mergeCell ref="B1767:AG1767"/>
    <mergeCell ref="B1761:F1761"/>
    <mergeCell ref="G1761:H1761"/>
    <mergeCell ref="I1761:M1761"/>
    <mergeCell ref="N1761:O1761"/>
    <mergeCell ref="P1761:Q1761"/>
    <mergeCell ref="R1761:V1761"/>
    <mergeCell ref="W1761:Y1761"/>
    <mergeCell ref="Z1761:AB1761"/>
    <mergeCell ref="AC1761:AG1761"/>
    <mergeCell ref="B1762:F1762"/>
    <mergeCell ref="G1762:H1762"/>
    <mergeCell ref="I1762:M1762"/>
    <mergeCell ref="N1762:O1762"/>
    <mergeCell ref="P1762:Q1762"/>
    <mergeCell ref="R1762:V1762"/>
    <mergeCell ref="W1762:Y1762"/>
    <mergeCell ref="Z1762:AB1762"/>
    <mergeCell ref="AC1762:AG1762"/>
    <mergeCell ref="B1765:AG1765"/>
    <mergeCell ref="X1771:Y1771"/>
    <mergeCell ref="Z1771:AC1771"/>
    <mergeCell ref="AD1771:AG1771"/>
    <mergeCell ref="X1772:Y1772"/>
    <mergeCell ref="Z1772:AC1772"/>
    <mergeCell ref="AD1772:AG1772"/>
    <mergeCell ref="X1773:Y1773"/>
    <mergeCell ref="Z1773:AC1773"/>
    <mergeCell ref="B1770:E1770"/>
    <mergeCell ref="B1771:E1771"/>
    <mergeCell ref="B1773:E1773"/>
    <mergeCell ref="B1774:E1774"/>
    <mergeCell ref="AD1768:AG1769"/>
    <mergeCell ref="Z1768:AC1769"/>
    <mergeCell ref="X1768:Y1769"/>
    <mergeCell ref="T1768:W1769"/>
    <mergeCell ref="I1768:S1769"/>
    <mergeCell ref="F1768:H1769"/>
    <mergeCell ref="F1774:H1774"/>
    <mergeCell ref="B1768:E1769"/>
    <mergeCell ref="I1770:S1770"/>
    <mergeCell ref="I1771:S1771"/>
    <mergeCell ref="I1772:S1772"/>
    <mergeCell ref="I1773:S1773"/>
    <mergeCell ref="I1774:S1774"/>
    <mergeCell ref="B1758:F1758"/>
    <mergeCell ref="G1758:H1758"/>
    <mergeCell ref="I1758:M1758"/>
    <mergeCell ref="N1758:O1758"/>
    <mergeCell ref="P1758:Q1758"/>
    <mergeCell ref="R1758:V1758"/>
    <mergeCell ref="W1758:Y1758"/>
    <mergeCell ref="Z1758:AB1758"/>
    <mergeCell ref="AC1758:AG1758"/>
    <mergeCell ref="B1757:F1757"/>
    <mergeCell ref="G1757:H1757"/>
    <mergeCell ref="I1757:M1757"/>
    <mergeCell ref="N1757:O1757"/>
    <mergeCell ref="P1757:Q1757"/>
    <mergeCell ref="R1757:V1757"/>
    <mergeCell ref="W1757:Y1757"/>
    <mergeCell ref="Z1757:AB1757"/>
    <mergeCell ref="AC1757:AG1757"/>
    <mergeCell ref="B1759:F1759"/>
    <mergeCell ref="G1759:H1759"/>
    <mergeCell ref="I1759:M1759"/>
    <mergeCell ref="N1759:O1759"/>
    <mergeCell ref="P1759:Q1759"/>
    <mergeCell ref="R1759:V1759"/>
    <mergeCell ref="W1759:Y1759"/>
    <mergeCell ref="Z1759:AB1759"/>
    <mergeCell ref="AC1759:AG1759"/>
    <mergeCell ref="B1760:F1760"/>
    <mergeCell ref="G1760:H1760"/>
    <mergeCell ref="I1760:M1760"/>
    <mergeCell ref="N1760:O1760"/>
    <mergeCell ref="P1760:Q1760"/>
    <mergeCell ref="R1760:V1760"/>
    <mergeCell ref="W1760:Y1760"/>
    <mergeCell ref="Z1760:AB1760"/>
    <mergeCell ref="AC1760:AG1760"/>
    <mergeCell ref="B1755:F1755"/>
    <mergeCell ref="G1755:H1755"/>
    <mergeCell ref="I1755:M1755"/>
    <mergeCell ref="N1755:O1755"/>
    <mergeCell ref="P1755:Q1755"/>
    <mergeCell ref="R1755:V1755"/>
    <mergeCell ref="W1755:Y1755"/>
    <mergeCell ref="Z1755:AB1755"/>
    <mergeCell ref="AC1755:AG1755"/>
    <mergeCell ref="T1747:Z1747"/>
    <mergeCell ref="T1748:Z1748"/>
    <mergeCell ref="B1753:F1753"/>
    <mergeCell ref="G1753:H1753"/>
    <mergeCell ref="I1753:M1753"/>
    <mergeCell ref="N1753:O1753"/>
    <mergeCell ref="P1753:Q1753"/>
    <mergeCell ref="R1753:V1753"/>
    <mergeCell ref="W1753:Y1753"/>
    <mergeCell ref="Z1753:AB1753"/>
    <mergeCell ref="AC1753:AG1753"/>
    <mergeCell ref="B1754:F1754"/>
    <mergeCell ref="G1754:H1754"/>
    <mergeCell ref="I1754:M1754"/>
    <mergeCell ref="N1754:O1754"/>
    <mergeCell ref="P1754:Q1754"/>
    <mergeCell ref="R1754:V1754"/>
    <mergeCell ref="W1754:Y1754"/>
    <mergeCell ref="Z1754:AB1754"/>
    <mergeCell ref="AC1754:AG1754"/>
    <mergeCell ref="B1756:F1756"/>
    <mergeCell ref="G1756:H1756"/>
    <mergeCell ref="I1756:M1756"/>
    <mergeCell ref="N1756:O1756"/>
    <mergeCell ref="P1756:Q1756"/>
    <mergeCell ref="R1756:V1756"/>
    <mergeCell ref="W1756:Y1756"/>
    <mergeCell ref="Z1756:AB1756"/>
    <mergeCell ref="AC1756:AG1756"/>
    <mergeCell ref="AA1745:AG1745"/>
    <mergeCell ref="AA1746:AG1746"/>
    <mergeCell ref="AA1747:AG1747"/>
    <mergeCell ref="AA1748:AG1748"/>
    <mergeCell ref="T1742:Z1742"/>
    <mergeCell ref="T1743:Z1743"/>
    <mergeCell ref="T1744:Z1744"/>
    <mergeCell ref="T1745:Z1745"/>
    <mergeCell ref="T1746:Z1746"/>
    <mergeCell ref="B1742:O1742"/>
    <mergeCell ref="B1743:O1743"/>
    <mergeCell ref="AD1716:AG1716"/>
    <mergeCell ref="B1716:AC1716"/>
    <mergeCell ref="P1744:S1744"/>
    <mergeCell ref="P1745:S1745"/>
    <mergeCell ref="P1746:S1746"/>
    <mergeCell ref="P1747:S1747"/>
    <mergeCell ref="P1748:S1748"/>
    <mergeCell ref="B1744:O1744"/>
    <mergeCell ref="B1745:O1745"/>
    <mergeCell ref="B1746:O1746"/>
    <mergeCell ref="B1747:O1747"/>
    <mergeCell ref="B1748:O1748"/>
    <mergeCell ref="B1750:AG1750"/>
    <mergeCell ref="B1751:F1752"/>
    <mergeCell ref="G1751:H1752"/>
    <mergeCell ref="I1751:M1752"/>
    <mergeCell ref="N1751:O1752"/>
    <mergeCell ref="P1751:Q1752"/>
    <mergeCell ref="R1751:V1752"/>
    <mergeCell ref="W1751:Y1752"/>
    <mergeCell ref="Z1751:AB1752"/>
    <mergeCell ref="AC1751:AG1752"/>
    <mergeCell ref="AA1744:AG1744"/>
    <mergeCell ref="Z1732:AC1732"/>
    <mergeCell ref="Z1733:AC1733"/>
    <mergeCell ref="Z1734:AC1734"/>
    <mergeCell ref="Z1735:AC1735"/>
    <mergeCell ref="AD1690:AG1690"/>
    <mergeCell ref="B1692:H1692"/>
    <mergeCell ref="I1693:K1693"/>
    <mergeCell ref="R1693:T1693"/>
    <mergeCell ref="B1693:H1693"/>
    <mergeCell ref="P1677:U1677"/>
    <mergeCell ref="Y1677:AA1677"/>
    <mergeCell ref="AB1677:AD1677"/>
    <mergeCell ref="Z1725:AC1725"/>
    <mergeCell ref="K1725:X1725"/>
    <mergeCell ref="B1727:AG1728"/>
    <mergeCell ref="B1730:AG1730"/>
    <mergeCell ref="B1739:AG1739"/>
    <mergeCell ref="P1742:S1742"/>
    <mergeCell ref="P1743:S1743"/>
    <mergeCell ref="Z1736:AC1736"/>
    <mergeCell ref="B1698:L1698"/>
    <mergeCell ref="E1699:F1699"/>
    <mergeCell ref="K1699:L1699"/>
    <mergeCell ref="E1700:F1700"/>
    <mergeCell ref="K1700:L1700"/>
    <mergeCell ref="B1699:D1699"/>
    <mergeCell ref="H1699:J1699"/>
    <mergeCell ref="B1700:D1700"/>
    <mergeCell ref="H1700:J1700"/>
    <mergeCell ref="N1699:R1700"/>
    <mergeCell ref="S1699:AG1700"/>
    <mergeCell ref="B1706:AG1706"/>
    <mergeCell ref="B1707:AG1708"/>
    <mergeCell ref="B1705:AG1705"/>
    <mergeCell ref="B1710:AG1710"/>
    <mergeCell ref="AD1711:AG1711"/>
    <mergeCell ref="AD1722:AG1722"/>
    <mergeCell ref="Z1731:AC1731"/>
    <mergeCell ref="B1715:AG1715"/>
    <mergeCell ref="B1718:AG1719"/>
    <mergeCell ref="B1721:AG1721"/>
    <mergeCell ref="B1724:AG1724"/>
    <mergeCell ref="B1741:AG1741"/>
    <mergeCell ref="AA1743:AG1743"/>
    <mergeCell ref="AA1742:AG1742"/>
    <mergeCell ref="V1677:X1677"/>
    <mergeCell ref="V1678:X1678"/>
    <mergeCell ref="B1690:AB1690"/>
    <mergeCell ref="AB1711:AC1711"/>
    <mergeCell ref="AB1713:AC1713"/>
    <mergeCell ref="B1711:Z1712"/>
    <mergeCell ref="B1713:Z1714"/>
    <mergeCell ref="AD1725:AG1725"/>
    <mergeCell ref="AD1713:AG1713"/>
    <mergeCell ref="B1695:H1695"/>
    <mergeCell ref="L1696:P1696"/>
    <mergeCell ref="AC1696:AG1696"/>
    <mergeCell ref="AD1693:AG1693"/>
    <mergeCell ref="B1703:AG1703"/>
    <mergeCell ref="B1680:H1680"/>
    <mergeCell ref="AD1681:AG1681"/>
    <mergeCell ref="B1682:H1682"/>
    <mergeCell ref="AD1683:AG1683"/>
    <mergeCell ref="B1681:AC1681"/>
    <mergeCell ref="B1683:AC1684"/>
    <mergeCell ref="B1685:AG1687"/>
    <mergeCell ref="B1645:Z1646"/>
    <mergeCell ref="B1647:Z1648"/>
    <mergeCell ref="B1649:Z1650"/>
    <mergeCell ref="B1651:Z1652"/>
    <mergeCell ref="B1657:AD1657"/>
    <mergeCell ref="B1669:O1669"/>
    <mergeCell ref="B1670:O1670"/>
    <mergeCell ref="B1671:O1671"/>
    <mergeCell ref="B1672:O1672"/>
    <mergeCell ref="B1673:O1673"/>
    <mergeCell ref="B1674:O1674"/>
    <mergeCell ref="B1675:O1675"/>
    <mergeCell ref="B1676:O1676"/>
    <mergeCell ref="B1677:O1677"/>
    <mergeCell ref="P1674:U1674"/>
    <mergeCell ref="Y1674:AA1674"/>
    <mergeCell ref="AB1674:AD1674"/>
    <mergeCell ref="AE1674:AG1674"/>
    <mergeCell ref="P1675:U1675"/>
    <mergeCell ref="Y1675:AA1675"/>
    <mergeCell ref="AB1675:AD1675"/>
    <mergeCell ref="AF1657:AG1657"/>
    <mergeCell ref="B1658:AD1658"/>
    <mergeCell ref="AF1658:AG1658"/>
    <mergeCell ref="Y1673:AA1673"/>
    <mergeCell ref="AB1673:AD1673"/>
    <mergeCell ref="AE1673:AG1673"/>
    <mergeCell ref="AE1677:AG1677"/>
    <mergeCell ref="P1678:U1678"/>
    <mergeCell ref="Y1678:AA1678"/>
    <mergeCell ref="AB1678:AD1678"/>
    <mergeCell ref="AE1678:AG1678"/>
    <mergeCell ref="V1664:AG1664"/>
    <mergeCell ref="V1663:AG1663"/>
    <mergeCell ref="V1665:AG1665"/>
    <mergeCell ref="B1678:O1678"/>
    <mergeCell ref="V1671:X1671"/>
    <mergeCell ref="V1672:X1672"/>
    <mergeCell ref="B1668:O1668"/>
    <mergeCell ref="Y1668:AA1668"/>
    <mergeCell ref="AB1668:AD1668"/>
    <mergeCell ref="AE1668:AG1668"/>
    <mergeCell ref="F1663:Q1665"/>
    <mergeCell ref="AD1641:AG1642"/>
    <mergeCell ref="AD1643:AG1644"/>
    <mergeCell ref="AA1641:AC1642"/>
    <mergeCell ref="AA1643:AC1644"/>
    <mergeCell ref="B1641:Z1642"/>
    <mergeCell ref="B1643:Z1644"/>
    <mergeCell ref="I1617:L1617"/>
    <mergeCell ref="B1619:G1619"/>
    <mergeCell ref="H1619:N1619"/>
    <mergeCell ref="B1622:N1622"/>
    <mergeCell ref="O1622:Q1622"/>
    <mergeCell ref="B1623:N1623"/>
    <mergeCell ref="O1623:Q1623"/>
    <mergeCell ref="B1624:N1624"/>
    <mergeCell ref="O1624:Q1624"/>
    <mergeCell ref="B1625:N1625"/>
    <mergeCell ref="O1625:Q1625"/>
    <mergeCell ref="B1875:AG1876"/>
    <mergeCell ref="B1667:H1667"/>
    <mergeCell ref="P1668:U1668"/>
    <mergeCell ref="P1669:U1669"/>
    <mergeCell ref="Y1669:AA1669"/>
    <mergeCell ref="AB1669:AD1669"/>
    <mergeCell ref="AE1669:AG1669"/>
    <mergeCell ref="P1670:U1670"/>
    <mergeCell ref="Y1670:AA1670"/>
    <mergeCell ref="AB1670:AD1670"/>
    <mergeCell ref="AE1675:AG1675"/>
    <mergeCell ref="P1676:U1676"/>
    <mergeCell ref="Y1676:AA1676"/>
    <mergeCell ref="AB1676:AD1676"/>
    <mergeCell ref="AE1676:AG1676"/>
    <mergeCell ref="AE1670:AG1670"/>
    <mergeCell ref="P1671:U1671"/>
    <mergeCell ref="Y1671:AA1671"/>
    <mergeCell ref="AB1671:AD1671"/>
    <mergeCell ref="AE1671:AG1671"/>
    <mergeCell ref="P1672:U1672"/>
    <mergeCell ref="Y1672:AA1672"/>
    <mergeCell ref="AB1672:AD1672"/>
    <mergeCell ref="AE1672:AG1672"/>
    <mergeCell ref="P1673:U1673"/>
    <mergeCell ref="V1668:X1668"/>
    <mergeCell ref="V1669:X1669"/>
    <mergeCell ref="V1670:X1670"/>
    <mergeCell ref="B1661:AG1661"/>
    <mergeCell ref="B1654:AD1654"/>
    <mergeCell ref="AF1654:AG1654"/>
    <mergeCell ref="B1655:AD1655"/>
    <mergeCell ref="AF1655:AG1655"/>
    <mergeCell ref="B1656:AD1656"/>
    <mergeCell ref="AF1656:AG1656"/>
    <mergeCell ref="AD1645:AG1646"/>
    <mergeCell ref="AD1647:AG1648"/>
    <mergeCell ref="AD1649:AG1650"/>
    <mergeCell ref="AD1651:AG1652"/>
    <mergeCell ref="AA1645:AC1646"/>
    <mergeCell ref="AA1647:AC1648"/>
    <mergeCell ref="AA1649:AC1650"/>
    <mergeCell ref="AA1651:AC1652"/>
    <mergeCell ref="V1673:X1673"/>
    <mergeCell ref="V1674:X1674"/>
    <mergeCell ref="V1675:X1675"/>
    <mergeCell ref="V1676:X1676"/>
    <mergeCell ref="G1599:H1599"/>
    <mergeCell ref="G1600:H1600"/>
    <mergeCell ref="G1601:H1601"/>
    <mergeCell ref="G1602:H1602"/>
    <mergeCell ref="G1603:H1603"/>
    <mergeCell ref="G1604:H1604"/>
    <mergeCell ref="G1605:H1605"/>
    <mergeCell ref="G1606:H1606"/>
    <mergeCell ref="G1607:H1607"/>
    <mergeCell ref="G1608:H1608"/>
    <mergeCell ref="I1610:L1610"/>
    <mergeCell ref="I1611:L1611"/>
    <mergeCell ref="B1626:N1626"/>
    <mergeCell ref="O1626:Q1626"/>
    <mergeCell ref="B1627:N1627"/>
    <mergeCell ref="O1627:Q1627"/>
    <mergeCell ref="B1628:N1628"/>
    <mergeCell ref="O1628:Q1628"/>
    <mergeCell ref="B1629:N1629"/>
    <mergeCell ref="O1629:Q1629"/>
    <mergeCell ref="B1630:N1630"/>
    <mergeCell ref="O1630:Q1630"/>
    <mergeCell ref="I1612:L1612"/>
    <mergeCell ref="I1613:L1613"/>
    <mergeCell ref="I1614:L1614"/>
    <mergeCell ref="I1615:L1615"/>
    <mergeCell ref="I1616:L1616"/>
    <mergeCell ref="B1632:AG1632"/>
    <mergeCell ref="B1635:AG1635"/>
    <mergeCell ref="B1637:H1637"/>
    <mergeCell ref="I1637:O1637"/>
    <mergeCell ref="AF1637:AG1637"/>
    <mergeCell ref="B1639:AD1639"/>
    <mergeCell ref="AF1639:AG1639"/>
    <mergeCell ref="G1609:H1609"/>
    <mergeCell ref="G1610:H1610"/>
    <mergeCell ref="G1611:H1611"/>
    <mergeCell ref="G1612:H1612"/>
    <mergeCell ref="G1613:H1613"/>
    <mergeCell ref="G1614:H1614"/>
    <mergeCell ref="G1615:H1615"/>
    <mergeCell ref="G1616:H1616"/>
    <mergeCell ref="G1617:H1617"/>
    <mergeCell ref="M1617:N1617"/>
    <mergeCell ref="I1583:L1583"/>
    <mergeCell ref="I1584:L1584"/>
    <mergeCell ref="I1585:L1585"/>
    <mergeCell ref="I1586:L1586"/>
    <mergeCell ref="I1587:L1587"/>
    <mergeCell ref="I1588:L1588"/>
    <mergeCell ref="I1589:L1589"/>
    <mergeCell ref="I1590:L1590"/>
    <mergeCell ref="I1591:L1591"/>
    <mergeCell ref="I1574:L1574"/>
    <mergeCell ref="I1575:L1575"/>
    <mergeCell ref="I1576:L1576"/>
    <mergeCell ref="I1577:L1577"/>
    <mergeCell ref="I1578:L1578"/>
    <mergeCell ref="I1579:L1579"/>
    <mergeCell ref="I1580:L1580"/>
    <mergeCell ref="I1581:L1581"/>
    <mergeCell ref="I1582:L1582"/>
    <mergeCell ref="I1601:L1601"/>
    <mergeCell ref="I1602:L1602"/>
    <mergeCell ref="I1603:L1603"/>
    <mergeCell ref="I1604:L1604"/>
    <mergeCell ref="I1605:L1605"/>
    <mergeCell ref="I1606:L1606"/>
    <mergeCell ref="I1607:L1607"/>
    <mergeCell ref="I1608:L1608"/>
    <mergeCell ref="I1609:L1609"/>
    <mergeCell ref="I1592:L1592"/>
    <mergeCell ref="I1593:L1593"/>
    <mergeCell ref="I1594:L1594"/>
    <mergeCell ref="I1595:L1595"/>
    <mergeCell ref="I1596:L1596"/>
    <mergeCell ref="I1597:L1597"/>
    <mergeCell ref="I1598:L1598"/>
    <mergeCell ref="I1599:L1599"/>
    <mergeCell ref="I1600:L1600"/>
    <mergeCell ref="B1454:AD1454"/>
    <mergeCell ref="AF1454:AG1454"/>
    <mergeCell ref="B1441:U1442"/>
    <mergeCell ref="V1441:X1442"/>
    <mergeCell ref="Y1441:AA1442"/>
    <mergeCell ref="AB1441:AD1442"/>
    <mergeCell ref="AE1441:AG1442"/>
    <mergeCell ref="B1443:U1444"/>
    <mergeCell ref="V1443:X1444"/>
    <mergeCell ref="Y1443:AA1444"/>
    <mergeCell ref="AB1443:AD1444"/>
    <mergeCell ref="AE1443:AG1444"/>
    <mergeCell ref="B1445:U1446"/>
    <mergeCell ref="I1565:L1565"/>
    <mergeCell ref="I1566:L1566"/>
    <mergeCell ref="I1567:L1567"/>
    <mergeCell ref="I1568:L1568"/>
    <mergeCell ref="I1569:L1569"/>
    <mergeCell ref="I1570:L1570"/>
    <mergeCell ref="I1571:L1571"/>
    <mergeCell ref="I1572:L1572"/>
    <mergeCell ref="I1573:L1573"/>
    <mergeCell ref="B1555:AG1555"/>
    <mergeCell ref="B1558:F1559"/>
    <mergeCell ref="I1558:L1559"/>
    <mergeCell ref="I1560:L1560"/>
    <mergeCell ref="I1561:L1561"/>
    <mergeCell ref="B1551:AG1551"/>
    <mergeCell ref="B1546:N1546"/>
    <mergeCell ref="O1546:Q1546"/>
    <mergeCell ref="B1547:N1547"/>
    <mergeCell ref="O1547:Q1547"/>
    <mergeCell ref="B1548:N1548"/>
    <mergeCell ref="O1548:Q1548"/>
    <mergeCell ref="I1562:L1562"/>
    <mergeCell ref="I1563:L1563"/>
    <mergeCell ref="I1564:L1564"/>
    <mergeCell ref="I1494:L1494"/>
    <mergeCell ref="I1481:L1481"/>
    <mergeCell ref="I1487:L1487"/>
    <mergeCell ref="B1554:AG1554"/>
    <mergeCell ref="G1507:H1507"/>
    <mergeCell ref="G1508:H1508"/>
    <mergeCell ref="G1509:H1509"/>
    <mergeCell ref="G1510:H1510"/>
    <mergeCell ref="M1499:N1499"/>
    <mergeCell ref="M1500:N1500"/>
    <mergeCell ref="M1501:N1501"/>
    <mergeCell ref="M1502:N1502"/>
    <mergeCell ref="M1503:N1503"/>
    <mergeCell ref="M1504:N1504"/>
    <mergeCell ref="M1505:N1505"/>
    <mergeCell ref="M1506:N1506"/>
    <mergeCell ref="M1507:N1507"/>
    <mergeCell ref="M1508:N1508"/>
    <mergeCell ref="M1509:N1509"/>
    <mergeCell ref="M1510:N1510"/>
    <mergeCell ref="I1512:L1512"/>
    <mergeCell ref="I1513:L1513"/>
    <mergeCell ref="I1514:L1514"/>
    <mergeCell ref="B1549:N1549"/>
    <mergeCell ref="O1549:Q1549"/>
    <mergeCell ref="I1531:L1531"/>
    <mergeCell ref="I1532:L1532"/>
    <mergeCell ref="B1423:N1423"/>
    <mergeCell ref="O1423:Q1423"/>
    <mergeCell ref="B1424:N1424"/>
    <mergeCell ref="O1424:Q1424"/>
    <mergeCell ref="B1425:N1425"/>
    <mergeCell ref="O1425:Q1425"/>
    <mergeCell ref="B1426:N1426"/>
    <mergeCell ref="O1426:Q1426"/>
    <mergeCell ref="B1427:N1427"/>
    <mergeCell ref="O1427:Q1427"/>
    <mergeCell ref="B1428:N1428"/>
    <mergeCell ref="O1428:Q1428"/>
    <mergeCell ref="B1429:N1429"/>
    <mergeCell ref="O1429:Q1429"/>
    <mergeCell ref="K1413:N1413"/>
    <mergeCell ref="O1413:R1413"/>
    <mergeCell ref="S1413:V1413"/>
    <mergeCell ref="K1414:N1414"/>
    <mergeCell ref="O1414:R1414"/>
    <mergeCell ref="S1414:V1414"/>
    <mergeCell ref="K1415:N1415"/>
    <mergeCell ref="O1415:R1415"/>
    <mergeCell ref="S1415:V1415"/>
    <mergeCell ref="B1430:N1430"/>
    <mergeCell ref="O1430:Q1430"/>
    <mergeCell ref="B1432:AG1432"/>
    <mergeCell ref="K1416:N1416"/>
    <mergeCell ref="O1416:R1416"/>
    <mergeCell ref="S1416:V1416"/>
    <mergeCell ref="K1417:N1417"/>
    <mergeCell ref="O1417:R1417"/>
    <mergeCell ref="S1417:V1417"/>
    <mergeCell ref="B1419:G1419"/>
    <mergeCell ref="H1419:N1419"/>
    <mergeCell ref="B1422:N1422"/>
    <mergeCell ref="O1422:Q1422"/>
    <mergeCell ref="W1416:X1416"/>
    <mergeCell ref="W1417:X1417"/>
    <mergeCell ref="K1407:N1407"/>
    <mergeCell ref="O1407:R1407"/>
    <mergeCell ref="S1407:V1407"/>
    <mergeCell ref="K1408:N1408"/>
    <mergeCell ref="O1408:R1408"/>
    <mergeCell ref="S1408:V1408"/>
    <mergeCell ref="K1409:N1409"/>
    <mergeCell ref="O1409:R1409"/>
    <mergeCell ref="S1409:V1409"/>
    <mergeCell ref="K1410:N1410"/>
    <mergeCell ref="O1410:R1410"/>
    <mergeCell ref="S1410:V1410"/>
    <mergeCell ref="K1411:N1411"/>
    <mergeCell ref="O1411:R1411"/>
    <mergeCell ref="S1411:V1411"/>
    <mergeCell ref="K1412:N1412"/>
    <mergeCell ref="O1412:R1412"/>
    <mergeCell ref="S1412:V1412"/>
    <mergeCell ref="G1405:H1405"/>
    <mergeCell ref="I1405:J1405"/>
    <mergeCell ref="G1406:H1406"/>
    <mergeCell ref="I1406:J1406"/>
    <mergeCell ref="G1407:H1407"/>
    <mergeCell ref="I1407:J1407"/>
    <mergeCell ref="G1408:H1408"/>
    <mergeCell ref="I1408:J1408"/>
    <mergeCell ref="G1409:H1409"/>
    <mergeCell ref="I1409:J1409"/>
    <mergeCell ref="G1410:H1410"/>
    <mergeCell ref="I1410:J1410"/>
    <mergeCell ref="G1411:H1411"/>
    <mergeCell ref="I1411:J1411"/>
    <mergeCell ref="G1412:H1412"/>
    <mergeCell ref="K1395:N1395"/>
    <mergeCell ref="O1395:R1395"/>
    <mergeCell ref="S1395:V1395"/>
    <mergeCell ref="K1396:N1396"/>
    <mergeCell ref="O1396:R1396"/>
    <mergeCell ref="S1396:V1396"/>
    <mergeCell ref="K1397:N1397"/>
    <mergeCell ref="O1397:R1397"/>
    <mergeCell ref="S1397:V1397"/>
    <mergeCell ref="K1398:N1398"/>
    <mergeCell ref="O1398:R1398"/>
    <mergeCell ref="S1398:V1398"/>
    <mergeCell ref="G1393:H1393"/>
    <mergeCell ref="I1393:J1393"/>
    <mergeCell ref="G1394:H1394"/>
    <mergeCell ref="I1394:J1394"/>
    <mergeCell ref="G1395:H1395"/>
    <mergeCell ref="I1395:J1395"/>
    <mergeCell ref="G1396:H1396"/>
    <mergeCell ref="I1396:J1396"/>
    <mergeCell ref="G1397:H1397"/>
    <mergeCell ref="I1397:J1397"/>
    <mergeCell ref="G1398:H1398"/>
    <mergeCell ref="I1398:J1398"/>
    <mergeCell ref="W1404:X1404"/>
    <mergeCell ref="W1405:X1405"/>
    <mergeCell ref="W1406:X1406"/>
    <mergeCell ref="W1407:X1407"/>
    <mergeCell ref="K1399:N1399"/>
    <mergeCell ref="O1399:R1399"/>
    <mergeCell ref="S1399:V1399"/>
    <mergeCell ref="K1400:N1400"/>
    <mergeCell ref="O1400:R1400"/>
    <mergeCell ref="S1400:V1400"/>
    <mergeCell ref="K1401:N1401"/>
    <mergeCell ref="O1401:R1401"/>
    <mergeCell ref="S1401:V1401"/>
    <mergeCell ref="K1402:N1402"/>
    <mergeCell ref="O1402:R1402"/>
    <mergeCell ref="S1402:V1402"/>
    <mergeCell ref="K1403:N1403"/>
    <mergeCell ref="O1403:R1403"/>
    <mergeCell ref="S1403:V1403"/>
    <mergeCell ref="K1404:N1404"/>
    <mergeCell ref="O1404:R1404"/>
    <mergeCell ref="S1404:V1404"/>
    <mergeCell ref="G1399:H1399"/>
    <mergeCell ref="I1399:J1399"/>
    <mergeCell ref="G1400:H1400"/>
    <mergeCell ref="I1400:J1400"/>
    <mergeCell ref="G1401:H1401"/>
    <mergeCell ref="I1401:J1401"/>
    <mergeCell ref="G1402:H1402"/>
    <mergeCell ref="I1402:J1402"/>
    <mergeCell ref="G1403:H1403"/>
    <mergeCell ref="I1403:J1403"/>
    <mergeCell ref="G1404:H1404"/>
    <mergeCell ref="I1404:J1404"/>
    <mergeCell ref="K1405:N1405"/>
    <mergeCell ref="O1405:R1405"/>
    <mergeCell ref="S1405:V1405"/>
    <mergeCell ref="K1406:N1406"/>
    <mergeCell ref="O1406:R1406"/>
    <mergeCell ref="S1406:V1406"/>
    <mergeCell ref="K1383:N1383"/>
    <mergeCell ref="O1383:R1383"/>
    <mergeCell ref="S1383:V1383"/>
    <mergeCell ref="K1384:N1384"/>
    <mergeCell ref="O1384:R1384"/>
    <mergeCell ref="S1384:V1384"/>
    <mergeCell ref="K1385:N1385"/>
    <mergeCell ref="O1385:R1385"/>
    <mergeCell ref="S1385:V1385"/>
    <mergeCell ref="K1386:N1386"/>
    <mergeCell ref="O1386:R1386"/>
    <mergeCell ref="S1386:V1386"/>
    <mergeCell ref="G1381:H1381"/>
    <mergeCell ref="I1381:J1381"/>
    <mergeCell ref="G1382:H1382"/>
    <mergeCell ref="I1382:J1382"/>
    <mergeCell ref="G1383:H1383"/>
    <mergeCell ref="I1383:J1383"/>
    <mergeCell ref="G1384:H1384"/>
    <mergeCell ref="I1384:J1384"/>
    <mergeCell ref="G1385:H1385"/>
    <mergeCell ref="I1385:J1385"/>
    <mergeCell ref="G1386:H1386"/>
    <mergeCell ref="I1386:J1386"/>
    <mergeCell ref="W1392:X1392"/>
    <mergeCell ref="W1393:X1393"/>
    <mergeCell ref="W1394:X1394"/>
    <mergeCell ref="K1387:N1387"/>
    <mergeCell ref="O1387:R1387"/>
    <mergeCell ref="S1387:V1387"/>
    <mergeCell ref="K1388:N1388"/>
    <mergeCell ref="O1388:R1388"/>
    <mergeCell ref="S1388:V1388"/>
    <mergeCell ref="K1389:N1389"/>
    <mergeCell ref="O1389:R1389"/>
    <mergeCell ref="S1389:V1389"/>
    <mergeCell ref="K1390:N1390"/>
    <mergeCell ref="O1390:R1390"/>
    <mergeCell ref="S1390:V1390"/>
    <mergeCell ref="K1391:N1391"/>
    <mergeCell ref="O1391:R1391"/>
    <mergeCell ref="S1391:V1391"/>
    <mergeCell ref="K1392:N1392"/>
    <mergeCell ref="O1392:R1392"/>
    <mergeCell ref="S1392:V1392"/>
    <mergeCell ref="G1387:H1387"/>
    <mergeCell ref="I1387:J1387"/>
    <mergeCell ref="G1388:H1388"/>
    <mergeCell ref="I1388:J1388"/>
    <mergeCell ref="G1389:H1389"/>
    <mergeCell ref="I1389:J1389"/>
    <mergeCell ref="G1390:H1390"/>
    <mergeCell ref="I1390:J1390"/>
    <mergeCell ref="G1391:H1391"/>
    <mergeCell ref="I1391:J1391"/>
    <mergeCell ref="G1392:H1392"/>
    <mergeCell ref="I1392:J1392"/>
    <mergeCell ref="K1393:N1393"/>
    <mergeCell ref="O1393:R1393"/>
    <mergeCell ref="S1393:V1393"/>
    <mergeCell ref="K1394:N1394"/>
    <mergeCell ref="O1394:R1394"/>
    <mergeCell ref="S1394:V1394"/>
    <mergeCell ref="K1376:N1376"/>
    <mergeCell ref="O1376:R1376"/>
    <mergeCell ref="S1376:V1376"/>
    <mergeCell ref="K1377:N1377"/>
    <mergeCell ref="O1377:R1377"/>
    <mergeCell ref="S1377:V1377"/>
    <mergeCell ref="K1378:N1378"/>
    <mergeCell ref="O1378:R1378"/>
    <mergeCell ref="S1378:V1378"/>
    <mergeCell ref="K1379:N1379"/>
    <mergeCell ref="O1379:R1379"/>
    <mergeCell ref="S1379:V1379"/>
    <mergeCell ref="K1380:N1380"/>
    <mergeCell ref="O1380:R1380"/>
    <mergeCell ref="S1380:V1380"/>
    <mergeCell ref="G1375:H1375"/>
    <mergeCell ref="I1375:J1375"/>
    <mergeCell ref="G1376:H1376"/>
    <mergeCell ref="I1376:J1376"/>
    <mergeCell ref="G1377:H1377"/>
    <mergeCell ref="I1377:J1377"/>
    <mergeCell ref="G1378:H1378"/>
    <mergeCell ref="I1378:J1378"/>
    <mergeCell ref="G1379:H1379"/>
    <mergeCell ref="I1379:J1379"/>
    <mergeCell ref="G1380:H1380"/>
    <mergeCell ref="I1380:J1380"/>
    <mergeCell ref="K1381:N1381"/>
    <mergeCell ref="O1381:R1381"/>
    <mergeCell ref="S1381:V1381"/>
    <mergeCell ref="K1382:N1382"/>
    <mergeCell ref="O1382:R1382"/>
    <mergeCell ref="S1382:V1382"/>
    <mergeCell ref="K1369:N1369"/>
    <mergeCell ref="O1369:R1369"/>
    <mergeCell ref="S1369:V1369"/>
    <mergeCell ref="K1370:N1370"/>
    <mergeCell ref="O1370:R1370"/>
    <mergeCell ref="S1370:V1370"/>
    <mergeCell ref="K1371:N1371"/>
    <mergeCell ref="O1371:R1371"/>
    <mergeCell ref="S1371:V1371"/>
    <mergeCell ref="K1372:N1372"/>
    <mergeCell ref="O1372:R1372"/>
    <mergeCell ref="S1372:V1372"/>
    <mergeCell ref="K1373:N1373"/>
    <mergeCell ref="O1373:R1373"/>
    <mergeCell ref="S1373:V1373"/>
    <mergeCell ref="K1374:N1374"/>
    <mergeCell ref="O1374:R1374"/>
    <mergeCell ref="S1374:V1374"/>
    <mergeCell ref="G1369:H1369"/>
    <mergeCell ref="I1369:J1369"/>
    <mergeCell ref="G1370:H1370"/>
    <mergeCell ref="I1370:J1370"/>
    <mergeCell ref="G1371:H1371"/>
    <mergeCell ref="I1371:J1371"/>
    <mergeCell ref="G1372:H1372"/>
    <mergeCell ref="I1372:J1372"/>
    <mergeCell ref="G1373:H1373"/>
    <mergeCell ref="I1373:J1373"/>
    <mergeCell ref="G1374:H1374"/>
    <mergeCell ref="I1374:J1374"/>
    <mergeCell ref="K1375:N1375"/>
    <mergeCell ref="O1375:R1375"/>
    <mergeCell ref="S1375:V1375"/>
    <mergeCell ref="K1361:N1361"/>
    <mergeCell ref="O1361:R1361"/>
    <mergeCell ref="S1361:V1361"/>
    <mergeCell ref="K1362:N1362"/>
    <mergeCell ref="O1362:R1362"/>
    <mergeCell ref="S1362:V1362"/>
    <mergeCell ref="G1361:H1361"/>
    <mergeCell ref="I1361:J1361"/>
    <mergeCell ref="G1362:H1362"/>
    <mergeCell ref="I1362:J1362"/>
    <mergeCell ref="K1363:N1363"/>
    <mergeCell ref="O1363:R1363"/>
    <mergeCell ref="S1363:V1363"/>
    <mergeCell ref="K1364:N1364"/>
    <mergeCell ref="O1364:R1364"/>
    <mergeCell ref="S1364:V1364"/>
    <mergeCell ref="K1365:N1365"/>
    <mergeCell ref="O1365:R1365"/>
    <mergeCell ref="S1365:V1365"/>
    <mergeCell ref="K1366:N1366"/>
    <mergeCell ref="O1366:R1366"/>
    <mergeCell ref="S1366:V1366"/>
    <mergeCell ref="K1367:N1367"/>
    <mergeCell ref="O1367:R1367"/>
    <mergeCell ref="S1367:V1367"/>
    <mergeCell ref="K1368:N1368"/>
    <mergeCell ref="O1368:R1368"/>
    <mergeCell ref="S1368:V1368"/>
    <mergeCell ref="G1363:H1363"/>
    <mergeCell ref="I1363:J1363"/>
    <mergeCell ref="G1364:H1364"/>
    <mergeCell ref="I1364:J1364"/>
    <mergeCell ref="G1365:H1365"/>
    <mergeCell ref="I1365:J1365"/>
    <mergeCell ref="G1366:H1366"/>
    <mergeCell ref="I1366:J1366"/>
    <mergeCell ref="G1367:H1367"/>
    <mergeCell ref="I1367:J1367"/>
    <mergeCell ref="G1368:H1368"/>
    <mergeCell ref="I1368:J1368"/>
    <mergeCell ref="O1345:Q1345"/>
    <mergeCell ref="B1346:N1346"/>
    <mergeCell ref="O1346:Q1346"/>
    <mergeCell ref="K1328:N1328"/>
    <mergeCell ref="O1328:R1328"/>
    <mergeCell ref="S1328:V1328"/>
    <mergeCell ref="K1329:N1329"/>
    <mergeCell ref="O1329:R1329"/>
    <mergeCell ref="S1329:V1329"/>
    <mergeCell ref="K1330:N1330"/>
    <mergeCell ref="O1330:R1330"/>
    <mergeCell ref="S1330:V1330"/>
    <mergeCell ref="K1331:N1331"/>
    <mergeCell ref="O1331:R1331"/>
    <mergeCell ref="S1331:V1331"/>
    <mergeCell ref="K1332:N1332"/>
    <mergeCell ref="O1332:R1332"/>
    <mergeCell ref="S1332:V1332"/>
    <mergeCell ref="B1347:N1347"/>
    <mergeCell ref="O1347:Q1347"/>
    <mergeCell ref="O1348:Q1348"/>
    <mergeCell ref="B1349:N1349"/>
    <mergeCell ref="O1349:Q1349"/>
    <mergeCell ref="B1351:AG1351"/>
    <mergeCell ref="B1354:AG1354"/>
    <mergeCell ref="B1355:AG1355"/>
    <mergeCell ref="B1358:F1359"/>
    <mergeCell ref="K1358:N1359"/>
    <mergeCell ref="O1358:R1359"/>
    <mergeCell ref="S1358:V1359"/>
    <mergeCell ref="K1360:N1360"/>
    <mergeCell ref="O1360:R1360"/>
    <mergeCell ref="S1360:V1360"/>
    <mergeCell ref="W1327:X1327"/>
    <mergeCell ref="W1328:X1328"/>
    <mergeCell ref="W1329:X1329"/>
    <mergeCell ref="W1330:X1330"/>
    <mergeCell ref="W1331:X1331"/>
    <mergeCell ref="W1332:X1332"/>
    <mergeCell ref="K1333:N1333"/>
    <mergeCell ref="O1333:R1333"/>
    <mergeCell ref="S1333:V1333"/>
    <mergeCell ref="K1322:N1322"/>
    <mergeCell ref="O1322:R1322"/>
    <mergeCell ref="S1322:V1322"/>
    <mergeCell ref="K1323:N1323"/>
    <mergeCell ref="O1323:R1323"/>
    <mergeCell ref="S1323:V1323"/>
    <mergeCell ref="K1324:N1324"/>
    <mergeCell ref="O1324:R1324"/>
    <mergeCell ref="S1324:V1324"/>
    <mergeCell ref="K1325:N1325"/>
    <mergeCell ref="O1325:R1325"/>
    <mergeCell ref="S1325:V1325"/>
    <mergeCell ref="K1326:N1326"/>
    <mergeCell ref="O1326:R1326"/>
    <mergeCell ref="S1326:V1326"/>
    <mergeCell ref="K1327:N1327"/>
    <mergeCell ref="O1327:R1327"/>
    <mergeCell ref="S1327:V1327"/>
    <mergeCell ref="W1333:X1333"/>
    <mergeCell ref="K1334:N1334"/>
    <mergeCell ref="O1334:R1334"/>
    <mergeCell ref="S1334:V1334"/>
    <mergeCell ref="K1335:N1335"/>
    <mergeCell ref="O1335:R1335"/>
    <mergeCell ref="S1335:V1335"/>
    <mergeCell ref="W1334:X1334"/>
    <mergeCell ref="W1335:X1335"/>
    <mergeCell ref="W1312:X1312"/>
    <mergeCell ref="W1313:X1313"/>
    <mergeCell ref="W1314:X1314"/>
    <mergeCell ref="W1321:X1321"/>
    <mergeCell ref="W1322:X1322"/>
    <mergeCell ref="W1323:X1323"/>
    <mergeCell ref="W1324:X1324"/>
    <mergeCell ref="W1325:X1325"/>
    <mergeCell ref="W1326:X1326"/>
    <mergeCell ref="K1316:N1316"/>
    <mergeCell ref="O1316:R1316"/>
    <mergeCell ref="S1316:V1316"/>
    <mergeCell ref="K1317:N1317"/>
    <mergeCell ref="O1317:R1317"/>
    <mergeCell ref="S1317:V1317"/>
    <mergeCell ref="K1318:N1318"/>
    <mergeCell ref="O1318:R1318"/>
    <mergeCell ref="S1318:V1318"/>
    <mergeCell ref="K1319:N1319"/>
    <mergeCell ref="O1319:R1319"/>
    <mergeCell ref="S1319:V1319"/>
    <mergeCell ref="K1320:N1320"/>
    <mergeCell ref="O1320:R1320"/>
    <mergeCell ref="S1320:V1320"/>
    <mergeCell ref="K1321:N1321"/>
    <mergeCell ref="O1321:R1321"/>
    <mergeCell ref="S1321:V1321"/>
    <mergeCell ref="G1316:H1316"/>
    <mergeCell ref="I1316:J1316"/>
    <mergeCell ref="G1317:H1317"/>
    <mergeCell ref="I1317:J1317"/>
    <mergeCell ref="G1318:H1318"/>
    <mergeCell ref="I1318:J1318"/>
    <mergeCell ref="G1319:H1319"/>
    <mergeCell ref="I1319:J1319"/>
    <mergeCell ref="G1320:H1320"/>
    <mergeCell ref="I1320:J1320"/>
    <mergeCell ref="G1321:H1321"/>
    <mergeCell ref="I1321:J1321"/>
    <mergeCell ref="G1322:H1322"/>
    <mergeCell ref="I1322:J1322"/>
    <mergeCell ref="G1323:H1323"/>
    <mergeCell ref="I1323:J1323"/>
    <mergeCell ref="G1324:H1324"/>
    <mergeCell ref="I1324:J1324"/>
    <mergeCell ref="G1325:H1325"/>
    <mergeCell ref="I1325:J1325"/>
    <mergeCell ref="G1326:H1326"/>
    <mergeCell ref="I1326:J1326"/>
    <mergeCell ref="W1316:X1316"/>
    <mergeCell ref="W1317:X1317"/>
    <mergeCell ref="W1318:X1318"/>
    <mergeCell ref="W1319:X1319"/>
    <mergeCell ref="W1320:X1320"/>
    <mergeCell ref="G1249:H1249"/>
    <mergeCell ref="G1250:H1250"/>
    <mergeCell ref="G1251:H1251"/>
    <mergeCell ref="G1252:H1252"/>
    <mergeCell ref="G1253:H1253"/>
    <mergeCell ref="G1254:H1254"/>
    <mergeCell ref="G1255:H1255"/>
    <mergeCell ref="G1277:H1278"/>
    <mergeCell ref="I1277:J1278"/>
    <mergeCell ref="I1279:J1279"/>
    <mergeCell ref="G1279:H1279"/>
    <mergeCell ref="G1280:H1280"/>
    <mergeCell ref="I1280:J1280"/>
    <mergeCell ref="G1281:H1281"/>
    <mergeCell ref="I1281:J1281"/>
    <mergeCell ref="G1282:H1282"/>
    <mergeCell ref="I1282:J1282"/>
    <mergeCell ref="G1283:H1283"/>
    <mergeCell ref="I1283:J1283"/>
    <mergeCell ref="G1284:H1284"/>
    <mergeCell ref="I1284:J1284"/>
    <mergeCell ref="G1285:H1285"/>
    <mergeCell ref="I1285:J1285"/>
    <mergeCell ref="W1299:X1299"/>
    <mergeCell ref="W1300:X1300"/>
    <mergeCell ref="W1301:X1301"/>
    <mergeCell ref="W1302:X1302"/>
    <mergeCell ref="W1309:X1309"/>
    <mergeCell ref="W1310:X1310"/>
    <mergeCell ref="K1304:N1304"/>
    <mergeCell ref="O1304:R1304"/>
    <mergeCell ref="S1304:V1304"/>
    <mergeCell ref="K1305:N1305"/>
    <mergeCell ref="O1305:R1305"/>
    <mergeCell ref="S1305:V1305"/>
    <mergeCell ref="K1306:N1306"/>
    <mergeCell ref="O1306:R1306"/>
    <mergeCell ref="S1306:V1306"/>
    <mergeCell ref="K1307:N1307"/>
    <mergeCell ref="O1307:R1307"/>
    <mergeCell ref="S1307:V1307"/>
    <mergeCell ref="K1308:N1308"/>
    <mergeCell ref="O1308:R1308"/>
    <mergeCell ref="S1308:V1308"/>
    <mergeCell ref="K1309:N1309"/>
    <mergeCell ref="O1309:R1309"/>
    <mergeCell ref="S1309:V1309"/>
    <mergeCell ref="G1304:H1304"/>
    <mergeCell ref="I1304:J1304"/>
    <mergeCell ref="G1305:H1305"/>
    <mergeCell ref="I1305:J1305"/>
    <mergeCell ref="G1306:H1306"/>
    <mergeCell ref="I1306:J1306"/>
    <mergeCell ref="G1307:H1307"/>
    <mergeCell ref="I1307:J1307"/>
    <mergeCell ref="G1308:H1308"/>
    <mergeCell ref="I1308:J1308"/>
    <mergeCell ref="G1309:H1309"/>
    <mergeCell ref="I1309:J1309"/>
    <mergeCell ref="W1304:X1304"/>
    <mergeCell ref="W1305:X1305"/>
    <mergeCell ref="K1293:N1293"/>
    <mergeCell ref="O1293:R1293"/>
    <mergeCell ref="S1293:V1293"/>
    <mergeCell ref="K1294:N1294"/>
    <mergeCell ref="O1294:R1294"/>
    <mergeCell ref="S1294:V1294"/>
    <mergeCell ref="K1295:N1295"/>
    <mergeCell ref="O1295:R1295"/>
    <mergeCell ref="S1295:V1295"/>
    <mergeCell ref="K1296:N1296"/>
    <mergeCell ref="O1296:R1296"/>
    <mergeCell ref="S1296:V1296"/>
    <mergeCell ref="K1297:N1297"/>
    <mergeCell ref="O1297:R1297"/>
    <mergeCell ref="S1297:V1297"/>
    <mergeCell ref="G1293:H1293"/>
    <mergeCell ref="I1293:J1293"/>
    <mergeCell ref="G1294:H1294"/>
    <mergeCell ref="I1294:J1294"/>
    <mergeCell ref="G1295:H1295"/>
    <mergeCell ref="I1295:J1295"/>
    <mergeCell ref="G1296:H1296"/>
    <mergeCell ref="I1296:J1296"/>
    <mergeCell ref="G1297:H1297"/>
    <mergeCell ref="I1297:J1297"/>
    <mergeCell ref="I1237:J1237"/>
    <mergeCell ref="I1238:J1238"/>
    <mergeCell ref="I1239:J1239"/>
    <mergeCell ref="I1240:J1240"/>
    <mergeCell ref="I1241:J1241"/>
    <mergeCell ref="I1242:J1242"/>
    <mergeCell ref="I1243:J1243"/>
    <mergeCell ref="I1244:J1244"/>
    <mergeCell ref="I1245:J1245"/>
    <mergeCell ref="I1246:J1246"/>
    <mergeCell ref="K1253:N1253"/>
    <mergeCell ref="O1253:R1253"/>
    <mergeCell ref="S1253:V1253"/>
    <mergeCell ref="K1254:N1254"/>
    <mergeCell ref="O1254:R1254"/>
    <mergeCell ref="S1254:V1254"/>
    <mergeCell ref="K1255:N1255"/>
    <mergeCell ref="O1255:R1255"/>
    <mergeCell ref="S1255:V1255"/>
    <mergeCell ref="K1247:N1247"/>
    <mergeCell ref="O1247:R1247"/>
    <mergeCell ref="S1247:V1247"/>
    <mergeCell ref="K1248:N1248"/>
    <mergeCell ref="O1248:R1248"/>
    <mergeCell ref="S1248:V1248"/>
    <mergeCell ref="K1249:N1249"/>
    <mergeCell ref="O1249:R1249"/>
    <mergeCell ref="S1249:V1249"/>
    <mergeCell ref="K1241:N1241"/>
    <mergeCell ref="O1241:R1241"/>
    <mergeCell ref="S1241:V1241"/>
    <mergeCell ref="K1242:N1242"/>
    <mergeCell ref="O1242:R1242"/>
    <mergeCell ref="S1242:V1242"/>
    <mergeCell ref="K1250:N1250"/>
    <mergeCell ref="G1245:H1245"/>
    <mergeCell ref="G1246:H1246"/>
    <mergeCell ref="G1247:H1247"/>
    <mergeCell ref="G1248:H1248"/>
    <mergeCell ref="G1286:H1286"/>
    <mergeCell ref="I1286:J1286"/>
    <mergeCell ref="G1287:H1287"/>
    <mergeCell ref="O1227:R1227"/>
    <mergeCell ref="S1227:V1227"/>
    <mergeCell ref="O1250:R1250"/>
    <mergeCell ref="S1250:V1250"/>
    <mergeCell ref="K1243:N1243"/>
    <mergeCell ref="K1251:N1251"/>
    <mergeCell ref="O1251:R1251"/>
    <mergeCell ref="S1251:V1251"/>
    <mergeCell ref="K1252:N1252"/>
    <mergeCell ref="O1252:R1252"/>
    <mergeCell ref="S1252:V1252"/>
    <mergeCell ref="K1228:N1228"/>
    <mergeCell ref="O1228:R1228"/>
    <mergeCell ref="S1228:V1228"/>
    <mergeCell ref="K1229:N1229"/>
    <mergeCell ref="O1229:R1229"/>
    <mergeCell ref="S1229:V1229"/>
    <mergeCell ref="K1230:N1230"/>
    <mergeCell ref="O1230:R1230"/>
    <mergeCell ref="S1230:V1230"/>
    <mergeCell ref="K1231:N1231"/>
    <mergeCell ref="O1231:R1231"/>
    <mergeCell ref="S1231:V1231"/>
    <mergeCell ref="K1232:N1232"/>
    <mergeCell ref="O1232:R1232"/>
    <mergeCell ref="S1232:V1232"/>
    <mergeCell ref="K1233:N1233"/>
    <mergeCell ref="O1233:R1233"/>
    <mergeCell ref="S1233:V1233"/>
    <mergeCell ref="O1243:R1243"/>
    <mergeCell ref="S1243:V1243"/>
    <mergeCell ref="K1244:N1244"/>
    <mergeCell ref="O1244:R1244"/>
    <mergeCell ref="S1244:V1244"/>
    <mergeCell ref="K1245:N1245"/>
    <mergeCell ref="O1245:R1245"/>
    <mergeCell ref="S1245:V1245"/>
    <mergeCell ref="K1246:N1246"/>
    <mergeCell ref="O1246:R1246"/>
    <mergeCell ref="S1246:V1246"/>
    <mergeCell ref="K1234:N1234"/>
    <mergeCell ref="O1234:R1234"/>
    <mergeCell ref="S1234:V1234"/>
    <mergeCell ref="K1235:N1235"/>
    <mergeCell ref="O1235:R1235"/>
    <mergeCell ref="S1235:V1235"/>
    <mergeCell ref="K1236:N1236"/>
    <mergeCell ref="O1236:R1236"/>
    <mergeCell ref="S1236:V1236"/>
    <mergeCell ref="K1237:N1237"/>
    <mergeCell ref="O1237:R1237"/>
    <mergeCell ref="S1237:V1237"/>
    <mergeCell ref="K1238:N1238"/>
    <mergeCell ref="O1238:R1238"/>
    <mergeCell ref="S1238:V1238"/>
    <mergeCell ref="K1239:N1239"/>
    <mergeCell ref="O1239:R1239"/>
    <mergeCell ref="S1239:V1239"/>
    <mergeCell ref="K1240:N1240"/>
    <mergeCell ref="O1240:R1240"/>
    <mergeCell ref="S1240:V1240"/>
    <mergeCell ref="G1536:H1536"/>
    <mergeCell ref="M1517:N1517"/>
    <mergeCell ref="M1518:N1518"/>
    <mergeCell ref="M1519:N1519"/>
    <mergeCell ref="M1520:N1520"/>
    <mergeCell ref="M1521:N1521"/>
    <mergeCell ref="M1522:N1522"/>
    <mergeCell ref="M1523:N1523"/>
    <mergeCell ref="M1524:N1524"/>
    <mergeCell ref="M1525:N1525"/>
    <mergeCell ref="M1526:N1526"/>
    <mergeCell ref="M1527:N1527"/>
    <mergeCell ref="M1528:N1528"/>
    <mergeCell ref="M1529:N1529"/>
    <mergeCell ref="M1530:N1530"/>
    <mergeCell ref="M1531:N1531"/>
    <mergeCell ref="M1532:N1532"/>
    <mergeCell ref="M1533:N1533"/>
    <mergeCell ref="M1534:N1534"/>
    <mergeCell ref="M1535:N1535"/>
    <mergeCell ref="M1536:N1536"/>
    <mergeCell ref="S1205:V1205"/>
    <mergeCell ref="K1206:N1206"/>
    <mergeCell ref="O1206:R1206"/>
    <mergeCell ref="S1206:V1206"/>
    <mergeCell ref="K1207:N1207"/>
    <mergeCell ref="O1207:R1207"/>
    <mergeCell ref="S1207:V1207"/>
    <mergeCell ref="K1208:N1208"/>
    <mergeCell ref="O1208:R1208"/>
    <mergeCell ref="S1208:V1208"/>
    <mergeCell ref="K1209:N1209"/>
    <mergeCell ref="O1209:R1209"/>
    <mergeCell ref="S1209:V1209"/>
    <mergeCell ref="K1210:N1210"/>
    <mergeCell ref="O1210:R1210"/>
    <mergeCell ref="S1210:V1210"/>
    <mergeCell ref="K1211:N1211"/>
    <mergeCell ref="O1211:R1211"/>
    <mergeCell ref="S1211:V1211"/>
    <mergeCell ref="K1212:N1212"/>
    <mergeCell ref="O1212:R1212"/>
    <mergeCell ref="S1212:V1212"/>
    <mergeCell ref="K1213:N1213"/>
    <mergeCell ref="O1213:R1213"/>
    <mergeCell ref="S1213:V1213"/>
    <mergeCell ref="K1214:N1214"/>
    <mergeCell ref="O1214:R1214"/>
    <mergeCell ref="S1214:V1214"/>
    <mergeCell ref="K1215:N1215"/>
    <mergeCell ref="O1215:R1215"/>
    <mergeCell ref="S1215:V1215"/>
    <mergeCell ref="K1216:N1216"/>
    <mergeCell ref="S1218:V1218"/>
    <mergeCell ref="K1219:N1219"/>
    <mergeCell ref="O1219:R1219"/>
    <mergeCell ref="S1219:V1219"/>
    <mergeCell ref="K1220:N1220"/>
    <mergeCell ref="O1220:R1220"/>
    <mergeCell ref="S1220:V1220"/>
    <mergeCell ref="K1221:N1221"/>
    <mergeCell ref="S1222:V1222"/>
    <mergeCell ref="O1225:R1225"/>
    <mergeCell ref="S1225:V1225"/>
    <mergeCell ref="I416:I417"/>
    <mergeCell ref="J416:J417"/>
    <mergeCell ref="I1535:L1535"/>
    <mergeCell ref="I542:K542"/>
    <mergeCell ref="I543:K543"/>
    <mergeCell ref="I544:K544"/>
    <mergeCell ref="I545:K545"/>
    <mergeCell ref="I546:K546"/>
    <mergeCell ref="I547:K547"/>
    <mergeCell ref="I548:K548"/>
    <mergeCell ref="I549:K549"/>
    <mergeCell ref="I550:K550"/>
    <mergeCell ref="I551:K551"/>
    <mergeCell ref="I552:K552"/>
    <mergeCell ref="I553:K553"/>
    <mergeCell ref="I554:K554"/>
    <mergeCell ref="I555:K555"/>
    <mergeCell ref="I556:K556"/>
    <mergeCell ref="I557:K557"/>
    <mergeCell ref="I558:K558"/>
    <mergeCell ref="I574:K574"/>
    <mergeCell ref="I575:K575"/>
    <mergeCell ref="I576:K576"/>
    <mergeCell ref="I577:K577"/>
    <mergeCell ref="I578:K578"/>
    <mergeCell ref="I579:K579"/>
    <mergeCell ref="I596:K596"/>
    <mergeCell ref="I597:K597"/>
    <mergeCell ref="I598:K598"/>
    <mergeCell ref="I599:K599"/>
    <mergeCell ref="I620:K621"/>
    <mergeCell ref="I622:K622"/>
    <mergeCell ref="I623:K623"/>
    <mergeCell ref="I624:K624"/>
    <mergeCell ref="I1507:L1507"/>
    <mergeCell ref="I1508:L1508"/>
    <mergeCell ref="I1509:L1509"/>
    <mergeCell ref="I1510:L1510"/>
    <mergeCell ref="I1503:L1503"/>
    <mergeCell ref="I1504:L1504"/>
    <mergeCell ref="I1505:L1505"/>
    <mergeCell ref="I1506:L1506"/>
    <mergeCell ref="B1112:AG1112"/>
    <mergeCell ref="I1488:L1488"/>
    <mergeCell ref="I1489:L1489"/>
    <mergeCell ref="I1490:L1490"/>
    <mergeCell ref="I1483:L1483"/>
    <mergeCell ref="I1484:L1484"/>
    <mergeCell ref="I1485:L1485"/>
    <mergeCell ref="I1486:L1486"/>
    <mergeCell ref="I1499:L1499"/>
    <mergeCell ref="I1500:L1500"/>
    <mergeCell ref="I1501:L1501"/>
    <mergeCell ref="I1502:L1502"/>
    <mergeCell ref="I1495:L1495"/>
    <mergeCell ref="I1496:L1496"/>
    <mergeCell ref="I1497:L1497"/>
    <mergeCell ref="I1498:L1498"/>
    <mergeCell ref="I1482:L1482"/>
    <mergeCell ref="G1534:H1534"/>
    <mergeCell ref="G1535:H1535"/>
    <mergeCell ref="K1226:N1226"/>
    <mergeCell ref="O1226:R1226"/>
    <mergeCell ref="S1226:V1226"/>
    <mergeCell ref="I584:K584"/>
    <mergeCell ref="I585:K585"/>
    <mergeCell ref="I586:K586"/>
    <mergeCell ref="I587:K587"/>
    <mergeCell ref="I588:K588"/>
    <mergeCell ref="I589:K589"/>
    <mergeCell ref="I590:K590"/>
    <mergeCell ref="I641:K641"/>
    <mergeCell ref="I642:K642"/>
    <mergeCell ref="I643:K643"/>
    <mergeCell ref="I644:K644"/>
    <mergeCell ref="I645:K645"/>
    <mergeCell ref="I646:K646"/>
    <mergeCell ref="I647:K647"/>
    <mergeCell ref="I648:K648"/>
    <mergeCell ref="I649:K649"/>
    <mergeCell ref="I650:K650"/>
    <mergeCell ref="I669:K669"/>
    <mergeCell ref="I670:K670"/>
    <mergeCell ref="I671:K671"/>
    <mergeCell ref="I672:K672"/>
    <mergeCell ref="I673:K673"/>
    <mergeCell ref="B725:AG725"/>
    <mergeCell ref="AE713:AG714"/>
    <mergeCell ref="B715:U716"/>
    <mergeCell ref="U797:X797"/>
    <mergeCell ref="K1115:N1116"/>
    <mergeCell ref="O1115:R1116"/>
    <mergeCell ref="B1455:AD1455"/>
    <mergeCell ref="B1456:AD1456"/>
    <mergeCell ref="B1473:AG1473"/>
    <mergeCell ref="AF1455:AG1455"/>
    <mergeCell ref="AF1456:AG1456"/>
    <mergeCell ref="K1202:N1202"/>
    <mergeCell ref="O1202:R1202"/>
    <mergeCell ref="S1202:V1202"/>
    <mergeCell ref="K1203:N1203"/>
    <mergeCell ref="O1203:R1203"/>
    <mergeCell ref="S1203:V1203"/>
    <mergeCell ref="K1204:N1204"/>
    <mergeCell ref="O1204:R1204"/>
    <mergeCell ref="S1204:V1204"/>
    <mergeCell ref="K1205:N1205"/>
    <mergeCell ref="O1205:R1205"/>
    <mergeCell ref="B1459:AG1459"/>
    <mergeCell ref="B1461:AG1461"/>
    <mergeCell ref="B1462:AG1463"/>
    <mergeCell ref="B1466:AG1466"/>
    <mergeCell ref="B1468:AG1468"/>
    <mergeCell ref="B1469:AG1470"/>
    <mergeCell ref="G878:H878"/>
    <mergeCell ref="G879:H879"/>
    <mergeCell ref="B902:AG902"/>
    <mergeCell ref="Q905:T906"/>
    <mergeCell ref="Q907:T907"/>
    <mergeCell ref="G922:H922"/>
    <mergeCell ref="G923:H923"/>
    <mergeCell ref="G924:H924"/>
    <mergeCell ref="G925:H925"/>
    <mergeCell ref="I925:J925"/>
    <mergeCell ref="G929:H929"/>
    <mergeCell ref="G930:H930"/>
    <mergeCell ref="G931:H931"/>
    <mergeCell ref="I931:J931"/>
    <mergeCell ref="B1071:U1072"/>
    <mergeCell ref="Y1449:AA1450"/>
    <mergeCell ref="AB1449:AD1450"/>
    <mergeCell ref="AE1449:AG1450"/>
    <mergeCell ref="B1451:U1452"/>
    <mergeCell ref="V1451:X1452"/>
    <mergeCell ref="Y1451:AA1452"/>
    <mergeCell ref="AB1451:AD1452"/>
    <mergeCell ref="AE1451:AG1452"/>
    <mergeCell ref="I1479:L1479"/>
    <mergeCell ref="I1480:L1480"/>
    <mergeCell ref="B1435:AG1435"/>
    <mergeCell ref="B1437:H1437"/>
    <mergeCell ref="I1437:O1437"/>
    <mergeCell ref="AF1437:AG1437"/>
    <mergeCell ref="B1439:AD1439"/>
    <mergeCell ref="AF1439:AG1439"/>
    <mergeCell ref="B1474:AG1474"/>
    <mergeCell ref="B1477:F1478"/>
    <mergeCell ref="I1477:L1478"/>
    <mergeCell ref="G935:H935"/>
    <mergeCell ref="B979:AG979"/>
    <mergeCell ref="B1111:AG1111"/>
    <mergeCell ref="B1192:AG1192"/>
    <mergeCell ref="B1193:AG1193"/>
    <mergeCell ref="B1196:F1197"/>
    <mergeCell ref="K1196:N1197"/>
    <mergeCell ref="O1196:R1197"/>
    <mergeCell ref="S1196:V1197"/>
    <mergeCell ref="K1198:N1198"/>
    <mergeCell ref="O1198:R1198"/>
    <mergeCell ref="S1198:V1198"/>
    <mergeCell ref="B1187:N1187"/>
    <mergeCell ref="K1199:N1199"/>
    <mergeCell ref="K1158:N1158"/>
    <mergeCell ref="K1164:N1164"/>
    <mergeCell ref="K1170:N1170"/>
    <mergeCell ref="O1187:Q1187"/>
    <mergeCell ref="B1189:AG1189"/>
    <mergeCell ref="K1173:N1173"/>
    <mergeCell ref="O1199:R1199"/>
    <mergeCell ref="S1199:V1199"/>
    <mergeCell ref="K1150:N1150"/>
    <mergeCell ref="O1150:R1150"/>
    <mergeCell ref="S1150:V1150"/>
    <mergeCell ref="W1150:Z1150"/>
    <mergeCell ref="K1151:N1151"/>
    <mergeCell ref="O1216:R1216"/>
    <mergeCell ref="S1216:V1216"/>
    <mergeCell ref="K1217:N1217"/>
    <mergeCell ref="O1217:R1217"/>
    <mergeCell ref="S1217:V1217"/>
    <mergeCell ref="K1218:N1218"/>
    <mergeCell ref="O1218:R1218"/>
    <mergeCell ref="O1221:R1221"/>
    <mergeCell ref="S1221:V1221"/>
    <mergeCell ref="K1222:N1222"/>
    <mergeCell ref="O1222:R1222"/>
    <mergeCell ref="K1223:N1223"/>
    <mergeCell ref="O1223:R1223"/>
    <mergeCell ref="S1223:V1223"/>
    <mergeCell ref="K1224:N1224"/>
    <mergeCell ref="O1224:R1224"/>
    <mergeCell ref="S1224:V1224"/>
    <mergeCell ref="O1201:R1201"/>
    <mergeCell ref="S1201:V1201"/>
    <mergeCell ref="U951:X951"/>
    <mergeCell ref="Y951:AB951"/>
    <mergeCell ref="U952:X952"/>
    <mergeCell ref="Y952:AB952"/>
    <mergeCell ref="U953:X953"/>
    <mergeCell ref="Y953:AB953"/>
    <mergeCell ref="Q954:T954"/>
    <mergeCell ref="Q955:T955"/>
    <mergeCell ref="B1093:AG1093"/>
    <mergeCell ref="B1115:F1116"/>
    <mergeCell ref="O1053:Q1053"/>
    <mergeCell ref="B1054:N1054"/>
    <mergeCell ref="O1054:Q1054"/>
    <mergeCell ref="B1055:N1055"/>
    <mergeCell ref="O1055:Q1055"/>
    <mergeCell ref="B1056:N1056"/>
    <mergeCell ref="O1056:Q1056"/>
    <mergeCell ref="B1057:N1057"/>
    <mergeCell ref="B1095:AG1095"/>
    <mergeCell ref="B1096:AG1097"/>
    <mergeCell ref="B1082:AD1082"/>
    <mergeCell ref="AF1082:AG1082"/>
    <mergeCell ref="B1083:AD1083"/>
    <mergeCell ref="AF1083:AG1083"/>
    <mergeCell ref="B1086:AG1086"/>
    <mergeCell ref="B1073:U1074"/>
    <mergeCell ref="V1073:X1074"/>
    <mergeCell ref="Y1073:AA1074"/>
    <mergeCell ref="AB1073:AD1074"/>
    <mergeCell ref="AE1073:AG1074"/>
    <mergeCell ref="B1075:U1076"/>
    <mergeCell ref="V1075:X1076"/>
    <mergeCell ref="Y1075:AA1076"/>
    <mergeCell ref="AB1075:AD1076"/>
    <mergeCell ref="AE1075:AG1076"/>
    <mergeCell ref="V1069:X1070"/>
    <mergeCell ref="Y1069:AA1070"/>
    <mergeCell ref="AB1069:AD1070"/>
    <mergeCell ref="O1151:R1151"/>
    <mergeCell ref="S1151:V1151"/>
    <mergeCell ref="W1151:Z1151"/>
    <mergeCell ref="W1148:Z1148"/>
    <mergeCell ref="K1167:N1167"/>
    <mergeCell ref="O1167:R1167"/>
    <mergeCell ref="S1167:V1167"/>
    <mergeCell ref="W1167:Z1167"/>
    <mergeCell ref="K1168:N1168"/>
    <mergeCell ref="O1168:R1168"/>
    <mergeCell ref="S1168:V1168"/>
    <mergeCell ref="W1168:Z1168"/>
    <mergeCell ref="K1169:N1169"/>
    <mergeCell ref="O1169:R1169"/>
    <mergeCell ref="V1071:X1072"/>
    <mergeCell ref="Y1071:AA1072"/>
    <mergeCell ref="B1089:AG1090"/>
    <mergeCell ref="Q963:T963"/>
    <mergeCell ref="Q964:T964"/>
    <mergeCell ref="B966:G966"/>
    <mergeCell ref="AB1071:AD1072"/>
    <mergeCell ref="AE1071:AG1072"/>
    <mergeCell ref="B1077:U1078"/>
    <mergeCell ref="AE1069:AG1070"/>
    <mergeCell ref="K883:N883"/>
    <mergeCell ref="B885:G885"/>
    <mergeCell ref="H885:N885"/>
    <mergeCell ref="B888:N888"/>
    <mergeCell ref="O888:Q888"/>
    <mergeCell ref="B889:N889"/>
    <mergeCell ref="O889:Q889"/>
    <mergeCell ref="B890:N890"/>
    <mergeCell ref="B776:F776"/>
    <mergeCell ref="B777:F777"/>
    <mergeCell ref="B778:F778"/>
    <mergeCell ref="B779:F779"/>
    <mergeCell ref="B780:F780"/>
    <mergeCell ref="B781:F781"/>
    <mergeCell ref="B782:F782"/>
    <mergeCell ref="B783:F783"/>
    <mergeCell ref="B784:F784"/>
    <mergeCell ref="B785:F785"/>
    <mergeCell ref="B787:F787"/>
    <mergeCell ref="B788:F788"/>
    <mergeCell ref="B789:F789"/>
    <mergeCell ref="B790:F790"/>
    <mergeCell ref="B791:F791"/>
    <mergeCell ref="B792:F792"/>
    <mergeCell ref="B793:F793"/>
    <mergeCell ref="B794:F794"/>
    <mergeCell ref="B795:F795"/>
    <mergeCell ref="B796:F796"/>
    <mergeCell ref="B797:F797"/>
    <mergeCell ref="B798:F798"/>
    <mergeCell ref="B799:F799"/>
    <mergeCell ref="B800:F800"/>
    <mergeCell ref="B801:F801"/>
    <mergeCell ref="B802:F802"/>
    <mergeCell ref="B820:AG820"/>
    <mergeCell ref="O791:P791"/>
    <mergeCell ref="O792:P792"/>
    <mergeCell ref="O793:P793"/>
    <mergeCell ref="O794:P794"/>
    <mergeCell ref="O795:P795"/>
    <mergeCell ref="O796:P796"/>
    <mergeCell ref="Q801:T801"/>
    <mergeCell ref="Q802:T802"/>
    <mergeCell ref="G781:H781"/>
    <mergeCell ref="G782:H782"/>
    <mergeCell ref="G783:H783"/>
    <mergeCell ref="G784:H784"/>
    <mergeCell ref="G785:H785"/>
    <mergeCell ref="G786:H786"/>
    <mergeCell ref="G787:H787"/>
    <mergeCell ref="G788:H788"/>
    <mergeCell ref="G845:H845"/>
    <mergeCell ref="G846:H846"/>
    <mergeCell ref="G847:H847"/>
    <mergeCell ref="G848:H848"/>
    <mergeCell ref="O883:R883"/>
    <mergeCell ref="S883:V883"/>
    <mergeCell ref="S872:V872"/>
    <mergeCell ref="S873:V873"/>
    <mergeCell ref="S874:V874"/>
    <mergeCell ref="S875:V875"/>
    <mergeCell ref="S876:V876"/>
    <mergeCell ref="K880:N880"/>
    <mergeCell ref="K881:N881"/>
    <mergeCell ref="B750:F750"/>
    <mergeCell ref="B751:F751"/>
    <mergeCell ref="B752:F752"/>
    <mergeCell ref="B753:F753"/>
    <mergeCell ref="B754:F754"/>
    <mergeCell ref="B755:F755"/>
    <mergeCell ref="B756:F756"/>
    <mergeCell ref="B757:F757"/>
    <mergeCell ref="B758:F758"/>
    <mergeCell ref="B759:F759"/>
    <mergeCell ref="B760:F760"/>
    <mergeCell ref="B761:F761"/>
    <mergeCell ref="B762:F762"/>
    <mergeCell ref="B763:F763"/>
    <mergeCell ref="B764:F764"/>
    <mergeCell ref="B765:F765"/>
    <mergeCell ref="B766:F766"/>
    <mergeCell ref="B767:F767"/>
    <mergeCell ref="B768:F768"/>
    <mergeCell ref="B769:F769"/>
    <mergeCell ref="B770:F770"/>
    <mergeCell ref="B771:F771"/>
    <mergeCell ref="B772:F772"/>
    <mergeCell ref="B773:F773"/>
    <mergeCell ref="B774:F774"/>
    <mergeCell ref="U796:X796"/>
    <mergeCell ref="B775:F775"/>
    <mergeCell ref="Q764:T764"/>
    <mergeCell ref="Q765:T765"/>
    <mergeCell ref="Q766:T766"/>
    <mergeCell ref="Q767:T767"/>
    <mergeCell ref="Q760:T760"/>
    <mergeCell ref="Q761:T761"/>
    <mergeCell ref="Q762:T762"/>
    <mergeCell ref="Q763:T763"/>
    <mergeCell ref="Q755:T755"/>
    <mergeCell ref="I781:J781"/>
    <mergeCell ref="I782:J782"/>
    <mergeCell ref="I783:J783"/>
    <mergeCell ref="I784:J784"/>
    <mergeCell ref="I785:J785"/>
    <mergeCell ref="I786:J786"/>
    <mergeCell ref="I792:J792"/>
    <mergeCell ref="I793:J793"/>
    <mergeCell ref="I794:J794"/>
    <mergeCell ref="I795:J795"/>
    <mergeCell ref="I796:J796"/>
    <mergeCell ref="K796:L796"/>
    <mergeCell ref="K787:L787"/>
    <mergeCell ref="K788:L788"/>
    <mergeCell ref="K789:L789"/>
    <mergeCell ref="K790:L790"/>
    <mergeCell ref="K791:L791"/>
    <mergeCell ref="K792:L792"/>
    <mergeCell ref="K793:L793"/>
    <mergeCell ref="Q781:T781"/>
    <mergeCell ref="U789:X789"/>
    <mergeCell ref="U793:X793"/>
    <mergeCell ref="I750:J750"/>
    <mergeCell ref="I751:J751"/>
    <mergeCell ref="I752:J752"/>
    <mergeCell ref="I753:J753"/>
    <mergeCell ref="I754:J754"/>
    <mergeCell ref="I755:J755"/>
    <mergeCell ref="B727:AG727"/>
    <mergeCell ref="B728:AG729"/>
    <mergeCell ref="B722:AD722"/>
    <mergeCell ref="AF722:AG722"/>
    <mergeCell ref="U749:X749"/>
    <mergeCell ref="V715:X716"/>
    <mergeCell ref="Y715:AA716"/>
    <mergeCell ref="AB715:AD716"/>
    <mergeCell ref="AE715:AG716"/>
    <mergeCell ref="B718:AD718"/>
    <mergeCell ref="AF718:AG718"/>
    <mergeCell ref="B719:AD719"/>
    <mergeCell ref="AF719:AG719"/>
    <mergeCell ref="B720:AD720"/>
    <mergeCell ref="AF720:AG720"/>
    <mergeCell ref="B721:AD721"/>
    <mergeCell ref="AF721:AG721"/>
    <mergeCell ref="B709:U710"/>
    <mergeCell ref="V709:X710"/>
    <mergeCell ref="Y709:AA710"/>
    <mergeCell ref="AB709:AD710"/>
    <mergeCell ref="AE709:AG710"/>
    <mergeCell ref="B711:U712"/>
    <mergeCell ref="V711:X712"/>
    <mergeCell ref="Y711:AA712"/>
    <mergeCell ref="AB711:AD712"/>
    <mergeCell ref="AE711:AG712"/>
    <mergeCell ref="B713:U714"/>
    <mergeCell ref="V713:X714"/>
    <mergeCell ref="Y713:AA714"/>
    <mergeCell ref="AB713:AD714"/>
    <mergeCell ref="U745:X745"/>
    <mergeCell ref="Q745:T745"/>
    <mergeCell ref="B732:AG732"/>
    <mergeCell ref="B734:AG734"/>
    <mergeCell ref="B735:AG736"/>
    <mergeCell ref="U748:X748"/>
    <mergeCell ref="U747:X747"/>
    <mergeCell ref="U746:X746"/>
    <mergeCell ref="B743:F744"/>
    <mergeCell ref="B745:F745"/>
    <mergeCell ref="B746:F746"/>
    <mergeCell ref="B747:F747"/>
    <mergeCell ref="B748:F748"/>
    <mergeCell ref="B749:F749"/>
    <mergeCell ref="Y743:AB744"/>
    <mergeCell ref="Y745:AB745"/>
    <mergeCell ref="Y746:AB746"/>
    <mergeCell ref="Y747:AB747"/>
    <mergeCell ref="Y748:AB748"/>
    <mergeCell ref="Y749:AB749"/>
    <mergeCell ref="I746:J746"/>
    <mergeCell ref="I747:J747"/>
    <mergeCell ref="I748:J748"/>
    <mergeCell ref="I749:J749"/>
    <mergeCell ref="G747:H747"/>
    <mergeCell ref="G748:H748"/>
    <mergeCell ref="G749:H749"/>
    <mergeCell ref="M746:N746"/>
    <mergeCell ref="M747:N747"/>
    <mergeCell ref="M748:N748"/>
    <mergeCell ref="M749:N749"/>
    <mergeCell ref="O746:P746"/>
    <mergeCell ref="O747:P747"/>
    <mergeCell ref="L663:O663"/>
    <mergeCell ref="S663:V663"/>
    <mergeCell ref="W663:X663"/>
    <mergeCell ref="P663:R663"/>
    <mergeCell ref="P660:R660"/>
    <mergeCell ref="P661:R661"/>
    <mergeCell ref="P662:R662"/>
    <mergeCell ref="I660:K660"/>
    <mergeCell ref="I661:K661"/>
    <mergeCell ref="I662:K662"/>
    <mergeCell ref="I663:K663"/>
    <mergeCell ref="B694:AG694"/>
    <mergeCell ref="B697:AG697"/>
    <mergeCell ref="O691:Q691"/>
    <mergeCell ref="G679:H679"/>
    <mergeCell ref="L679:O679"/>
    <mergeCell ref="S679:V679"/>
    <mergeCell ref="W679:X679"/>
    <mergeCell ref="I668:K668"/>
    <mergeCell ref="P673:R673"/>
    <mergeCell ref="B692:N692"/>
    <mergeCell ref="O692:Q692"/>
    <mergeCell ref="P674:R674"/>
    <mergeCell ref="P675:R675"/>
    <mergeCell ref="P676:R676"/>
    <mergeCell ref="P677:R677"/>
    <mergeCell ref="G673:H673"/>
    <mergeCell ref="L673:O673"/>
    <mergeCell ref="G660:H660"/>
    <mergeCell ref="L660:O660"/>
    <mergeCell ref="S660:V660"/>
    <mergeCell ref="W660:X660"/>
    <mergeCell ref="G661:H661"/>
    <mergeCell ref="L661:O661"/>
    <mergeCell ref="S661:V661"/>
    <mergeCell ref="W661:X661"/>
    <mergeCell ref="G662:H662"/>
    <mergeCell ref="L662:O662"/>
    <mergeCell ref="S673:V673"/>
    <mergeCell ref="W673:X673"/>
    <mergeCell ref="G674:H674"/>
    <mergeCell ref="P669:R669"/>
    <mergeCell ref="P670:R670"/>
    <mergeCell ref="P671:R671"/>
    <mergeCell ref="P672:R672"/>
    <mergeCell ref="G672:H672"/>
    <mergeCell ref="L672:O672"/>
    <mergeCell ref="S672:V672"/>
    <mergeCell ref="W672:X672"/>
    <mergeCell ref="G669:H669"/>
    <mergeCell ref="L669:O669"/>
    <mergeCell ref="S669:V669"/>
    <mergeCell ref="W669:X669"/>
    <mergeCell ref="G670:H670"/>
    <mergeCell ref="L670:O670"/>
    <mergeCell ref="S670:V670"/>
    <mergeCell ref="W670:X670"/>
    <mergeCell ref="L674:O674"/>
    <mergeCell ref="S674:V674"/>
    <mergeCell ref="W674:X674"/>
    <mergeCell ref="G675:H675"/>
    <mergeCell ref="L675:O675"/>
    <mergeCell ref="S675:V675"/>
    <mergeCell ref="G671:H671"/>
    <mergeCell ref="G631:H631"/>
    <mergeCell ref="L631:O631"/>
    <mergeCell ref="S631:V631"/>
    <mergeCell ref="W631:X631"/>
    <mergeCell ref="G632:H632"/>
    <mergeCell ref="L632:O632"/>
    <mergeCell ref="S632:V632"/>
    <mergeCell ref="W632:X632"/>
    <mergeCell ref="P628:R628"/>
    <mergeCell ref="P629:R629"/>
    <mergeCell ref="P630:R630"/>
    <mergeCell ref="I631:K631"/>
    <mergeCell ref="I632:K632"/>
    <mergeCell ref="P631:R631"/>
    <mergeCell ref="P632:R632"/>
    <mergeCell ref="I628:K628"/>
    <mergeCell ref="I629:K629"/>
    <mergeCell ref="I630:K630"/>
    <mergeCell ref="S647:V647"/>
    <mergeCell ref="W647:X647"/>
    <mergeCell ref="G654:H654"/>
    <mergeCell ref="L654:O654"/>
    <mergeCell ref="S654:V654"/>
    <mergeCell ref="W654:X654"/>
    <mergeCell ref="G655:H655"/>
    <mergeCell ref="L655:O655"/>
    <mergeCell ref="S655:V655"/>
    <mergeCell ref="W655:X655"/>
    <mergeCell ref="P651:R651"/>
    <mergeCell ref="P652:R652"/>
    <mergeCell ref="P653:R653"/>
    <mergeCell ref="P654:R654"/>
    <mergeCell ref="G651:H651"/>
    <mergeCell ref="L651:O651"/>
    <mergeCell ref="S651:V651"/>
    <mergeCell ref="W651:X651"/>
    <mergeCell ref="G652:H652"/>
    <mergeCell ref="L652:O652"/>
    <mergeCell ref="S652:V652"/>
    <mergeCell ref="W652:X652"/>
    <mergeCell ref="I651:K651"/>
    <mergeCell ref="I652:K652"/>
    <mergeCell ref="I653:K653"/>
    <mergeCell ref="I654:K654"/>
    <mergeCell ref="S650:V650"/>
    <mergeCell ref="W650:X650"/>
    <mergeCell ref="G653:H653"/>
    <mergeCell ref="L653:O653"/>
    <mergeCell ref="S653:V653"/>
    <mergeCell ref="W653:X653"/>
    <mergeCell ref="P647:R647"/>
    <mergeCell ref="P648:R648"/>
    <mergeCell ref="P649:R649"/>
    <mergeCell ref="P650:R650"/>
    <mergeCell ref="G648:H648"/>
    <mergeCell ref="L648:O648"/>
    <mergeCell ref="S648:V648"/>
    <mergeCell ref="W648:X648"/>
    <mergeCell ref="G649:H649"/>
    <mergeCell ref="L649:O649"/>
    <mergeCell ref="S649:V649"/>
    <mergeCell ref="W649:X649"/>
    <mergeCell ref="G650:H650"/>
    <mergeCell ref="L650:O650"/>
    <mergeCell ref="G623:H623"/>
    <mergeCell ref="L623:O623"/>
    <mergeCell ref="S623:V623"/>
    <mergeCell ref="W623:X623"/>
    <mergeCell ref="G624:H624"/>
    <mergeCell ref="L624:O624"/>
    <mergeCell ref="S624:V624"/>
    <mergeCell ref="W624:X624"/>
    <mergeCell ref="G625:H625"/>
    <mergeCell ref="L625:O625"/>
    <mergeCell ref="S625:V625"/>
    <mergeCell ref="W625:X625"/>
    <mergeCell ref="G626:H626"/>
    <mergeCell ref="L626:O626"/>
    <mergeCell ref="S626:V626"/>
    <mergeCell ref="W626:X626"/>
    <mergeCell ref="G627:H627"/>
    <mergeCell ref="L627:O627"/>
    <mergeCell ref="S627:V627"/>
    <mergeCell ref="W627:X627"/>
    <mergeCell ref="P626:R626"/>
    <mergeCell ref="P627:R627"/>
    <mergeCell ref="P623:R623"/>
    <mergeCell ref="G628:H628"/>
    <mergeCell ref="L628:O628"/>
    <mergeCell ref="S628:V628"/>
    <mergeCell ref="W628:X628"/>
    <mergeCell ref="G629:H629"/>
    <mergeCell ref="L629:O629"/>
    <mergeCell ref="S629:V629"/>
    <mergeCell ref="W629:X629"/>
    <mergeCell ref="G630:H630"/>
    <mergeCell ref="L630:O630"/>
    <mergeCell ref="S630:V630"/>
    <mergeCell ref="W630:X630"/>
    <mergeCell ref="I625:K625"/>
    <mergeCell ref="I626:K626"/>
    <mergeCell ref="I627:K627"/>
    <mergeCell ref="G622:H622"/>
    <mergeCell ref="L622:O622"/>
    <mergeCell ref="S622:V622"/>
    <mergeCell ref="W622:X622"/>
    <mergeCell ref="W597:X597"/>
    <mergeCell ref="W598:X598"/>
    <mergeCell ref="W599:X599"/>
    <mergeCell ref="B617:AG617"/>
    <mergeCell ref="P620:R621"/>
    <mergeCell ref="P622:R622"/>
    <mergeCell ref="G594:H594"/>
    <mergeCell ref="P594:R594"/>
    <mergeCell ref="G596:H596"/>
    <mergeCell ref="P596:R596"/>
    <mergeCell ref="G595:H595"/>
    <mergeCell ref="G599:H599"/>
    <mergeCell ref="B609:N609"/>
    <mergeCell ref="O609:Q609"/>
    <mergeCell ref="B610:N610"/>
    <mergeCell ref="O610:Q610"/>
    <mergeCell ref="B611:N611"/>
    <mergeCell ref="O611:Q611"/>
    <mergeCell ref="B612:N612"/>
    <mergeCell ref="P595:R595"/>
    <mergeCell ref="G597:H597"/>
    <mergeCell ref="P597:R597"/>
    <mergeCell ref="S595:V595"/>
    <mergeCell ref="S596:V596"/>
    <mergeCell ref="W590:X590"/>
    <mergeCell ref="W591:X591"/>
    <mergeCell ref="W592:X592"/>
    <mergeCell ref="W593:X593"/>
    <mergeCell ref="W594:X594"/>
    <mergeCell ref="W595:X595"/>
    <mergeCell ref="G591:H591"/>
    <mergeCell ref="P591:R591"/>
    <mergeCell ref="G592:H592"/>
    <mergeCell ref="W596:X596"/>
    <mergeCell ref="S590:V590"/>
    <mergeCell ref="S591:V591"/>
    <mergeCell ref="S592:V592"/>
    <mergeCell ref="S593:V593"/>
    <mergeCell ref="S594:V594"/>
    <mergeCell ref="P592:R592"/>
    <mergeCell ref="P590:R590"/>
    <mergeCell ref="G593:H593"/>
    <mergeCell ref="P593:R593"/>
    <mergeCell ref="S597:V597"/>
    <mergeCell ref="S598:V598"/>
    <mergeCell ref="S599:V599"/>
    <mergeCell ref="B620:F621"/>
    <mergeCell ref="G620:H621"/>
    <mergeCell ref="L620:O621"/>
    <mergeCell ref="S620:V621"/>
    <mergeCell ref="L589:O589"/>
    <mergeCell ref="L590:O590"/>
    <mergeCell ref="L591:O591"/>
    <mergeCell ref="L592:O592"/>
    <mergeCell ref="L593:O593"/>
    <mergeCell ref="L594:O594"/>
    <mergeCell ref="L595:O595"/>
    <mergeCell ref="L596:O596"/>
    <mergeCell ref="L597:O597"/>
    <mergeCell ref="L598:O598"/>
    <mergeCell ref="L599:O599"/>
    <mergeCell ref="I591:K591"/>
    <mergeCell ref="I592:K592"/>
    <mergeCell ref="I593:K593"/>
    <mergeCell ref="I594:K594"/>
    <mergeCell ref="I595:K595"/>
    <mergeCell ref="G587:H587"/>
    <mergeCell ref="P587:R587"/>
    <mergeCell ref="W620:X621"/>
    <mergeCell ref="I580:K580"/>
    <mergeCell ref="I581:K581"/>
    <mergeCell ref="I582:K582"/>
    <mergeCell ref="L551:O551"/>
    <mergeCell ref="L552:O552"/>
    <mergeCell ref="L553:O553"/>
    <mergeCell ref="L554:O554"/>
    <mergeCell ref="L555:O555"/>
    <mergeCell ref="L556:O556"/>
    <mergeCell ref="L557:O557"/>
    <mergeCell ref="L558:O558"/>
    <mergeCell ref="S571:V571"/>
    <mergeCell ref="S572:V572"/>
    <mergeCell ref="L584:O584"/>
    <mergeCell ref="W581:X581"/>
    <mergeCell ref="W582:X582"/>
    <mergeCell ref="W585:X585"/>
    <mergeCell ref="W586:X586"/>
    <mergeCell ref="G563:H563"/>
    <mergeCell ref="P563:R563"/>
    <mergeCell ref="G564:H564"/>
    <mergeCell ref="P564:R564"/>
    <mergeCell ref="G565:H565"/>
    <mergeCell ref="P565:R565"/>
    <mergeCell ref="L563:O563"/>
    <mergeCell ref="L564:O564"/>
    <mergeCell ref="G572:H572"/>
    <mergeCell ref="P572:R572"/>
    <mergeCell ref="G573:H573"/>
    <mergeCell ref="P573:R573"/>
    <mergeCell ref="L571:O571"/>
    <mergeCell ref="L572:O572"/>
    <mergeCell ref="L573:O573"/>
    <mergeCell ref="I563:K563"/>
    <mergeCell ref="I564:K564"/>
    <mergeCell ref="I565:K565"/>
    <mergeCell ref="I566:K566"/>
    <mergeCell ref="I567:K567"/>
    <mergeCell ref="I568:K568"/>
    <mergeCell ref="I569:K569"/>
    <mergeCell ref="I570:K570"/>
    <mergeCell ref="I571:K571"/>
    <mergeCell ref="I572:K572"/>
    <mergeCell ref="I573:K573"/>
    <mergeCell ref="G560:H560"/>
    <mergeCell ref="S585:V585"/>
    <mergeCell ref="S586:V586"/>
    <mergeCell ref="S587:V587"/>
    <mergeCell ref="S588:V588"/>
    <mergeCell ref="S589:V589"/>
    <mergeCell ref="W583:X583"/>
    <mergeCell ref="W584:X584"/>
    <mergeCell ref="S579:V579"/>
    <mergeCell ref="S580:V580"/>
    <mergeCell ref="S581:V581"/>
    <mergeCell ref="W545:X545"/>
    <mergeCell ref="W546:X546"/>
    <mergeCell ref="W547:X547"/>
    <mergeCell ref="W548:X548"/>
    <mergeCell ref="W549:X549"/>
    <mergeCell ref="W550:X550"/>
    <mergeCell ref="W551:X551"/>
    <mergeCell ref="W552:X552"/>
    <mergeCell ref="W553:X553"/>
    <mergeCell ref="W554:X554"/>
    <mergeCell ref="W555:X555"/>
    <mergeCell ref="W556:X556"/>
    <mergeCell ref="W557:X557"/>
    <mergeCell ref="W558:X558"/>
    <mergeCell ref="W559:X559"/>
    <mergeCell ref="S574:V574"/>
    <mergeCell ref="S575:V575"/>
    <mergeCell ref="S559:V559"/>
    <mergeCell ref="S563:V563"/>
    <mergeCell ref="S564:V564"/>
    <mergeCell ref="S565:V565"/>
    <mergeCell ref="S566:V566"/>
    <mergeCell ref="S567:V567"/>
    <mergeCell ref="S568:V568"/>
    <mergeCell ref="S569:V569"/>
    <mergeCell ref="S570:V570"/>
    <mergeCell ref="S545:V545"/>
    <mergeCell ref="S546:V546"/>
    <mergeCell ref="S547:V547"/>
    <mergeCell ref="S548:V548"/>
    <mergeCell ref="S549:V549"/>
    <mergeCell ref="S550:V550"/>
    <mergeCell ref="S551:V551"/>
    <mergeCell ref="S552:V552"/>
    <mergeCell ref="S553:V553"/>
    <mergeCell ref="S554:V554"/>
    <mergeCell ref="S555:V555"/>
    <mergeCell ref="S556:V556"/>
    <mergeCell ref="S557:V557"/>
    <mergeCell ref="S558:V558"/>
    <mergeCell ref="S573:V573"/>
    <mergeCell ref="W587:X587"/>
    <mergeCell ref="W588:X588"/>
    <mergeCell ref="W589:X589"/>
    <mergeCell ref="S560:V560"/>
    <mergeCell ref="S561:V561"/>
    <mergeCell ref="S562:V562"/>
    <mergeCell ref="W560:X560"/>
    <mergeCell ref="W561:X561"/>
    <mergeCell ref="W579:X579"/>
    <mergeCell ref="W580:X580"/>
    <mergeCell ref="W562:X562"/>
    <mergeCell ref="W563:X563"/>
    <mergeCell ref="W564:X564"/>
    <mergeCell ref="Y509:AA510"/>
    <mergeCell ref="AB509:AD510"/>
    <mergeCell ref="AE509:AG510"/>
    <mergeCell ref="B511:U512"/>
    <mergeCell ref="V511:X512"/>
    <mergeCell ref="Y511:AA512"/>
    <mergeCell ref="AB511:AD512"/>
    <mergeCell ref="AE511:AG512"/>
    <mergeCell ref="B513:U514"/>
    <mergeCell ref="V513:X514"/>
    <mergeCell ref="Y513:AA514"/>
    <mergeCell ref="AB513:AD514"/>
    <mergeCell ref="AE513:AG514"/>
    <mergeCell ref="B507:U508"/>
    <mergeCell ref="B536:AG536"/>
    <mergeCell ref="B529:AG529"/>
    <mergeCell ref="AB503:AD504"/>
    <mergeCell ref="AE503:AG504"/>
    <mergeCell ref="B477:G477"/>
    <mergeCell ref="H477:N477"/>
    <mergeCell ref="B493:AG493"/>
    <mergeCell ref="B495:H495"/>
    <mergeCell ref="AA472:AD472"/>
    <mergeCell ref="AE472:AF472"/>
    <mergeCell ref="U474:W474"/>
    <mergeCell ref="X474:Z474"/>
    <mergeCell ref="U475:W475"/>
    <mergeCell ref="X475:Z475"/>
    <mergeCell ref="M474:P474"/>
    <mergeCell ref="Q474:T474"/>
    <mergeCell ref="AA474:AD474"/>
    <mergeCell ref="K475:L475"/>
    <mergeCell ref="M475:P475"/>
    <mergeCell ref="Q475:T475"/>
    <mergeCell ref="G474:H474"/>
    <mergeCell ref="K474:L474"/>
    <mergeCell ref="AE474:AF474"/>
    <mergeCell ref="G475:H475"/>
    <mergeCell ref="B480:N480"/>
    <mergeCell ref="I495:O495"/>
    <mergeCell ref="AF495:AG495"/>
    <mergeCell ref="B497:AD501"/>
    <mergeCell ref="AE497:AE501"/>
    <mergeCell ref="AF497:AG501"/>
    <mergeCell ref="B484:N484"/>
    <mergeCell ref="O484:Q484"/>
    <mergeCell ref="B505:U506"/>
    <mergeCell ref="V505:X506"/>
    <mergeCell ref="Y505:AA506"/>
    <mergeCell ref="AB505:AD506"/>
    <mergeCell ref="AE505:AG506"/>
    <mergeCell ref="Y503:AA504"/>
    <mergeCell ref="B485:N485"/>
    <mergeCell ref="O485:Q485"/>
    <mergeCell ref="B486:N486"/>
    <mergeCell ref="O486:Q486"/>
    <mergeCell ref="B490:AG490"/>
    <mergeCell ref="B487:N487"/>
    <mergeCell ref="O487:Q487"/>
    <mergeCell ref="B488:N488"/>
    <mergeCell ref="O488:Q488"/>
    <mergeCell ref="B483:N483"/>
    <mergeCell ref="O483:Q483"/>
    <mergeCell ref="O480:Q480"/>
    <mergeCell ref="G460:H460"/>
    <mergeCell ref="W572:X572"/>
    <mergeCell ref="W573:X573"/>
    <mergeCell ref="W574:X574"/>
    <mergeCell ref="W575:X575"/>
    <mergeCell ref="W576:X576"/>
    <mergeCell ref="W577:X577"/>
    <mergeCell ref="W578:X578"/>
    <mergeCell ref="Q463:T463"/>
    <mergeCell ref="AA463:AD463"/>
    <mergeCell ref="AE463:AF463"/>
    <mergeCell ref="G464:H464"/>
    <mergeCell ref="K464:L464"/>
    <mergeCell ref="M464:P464"/>
    <mergeCell ref="Q464:T464"/>
    <mergeCell ref="AA464:AD464"/>
    <mergeCell ref="AE464:AF464"/>
    <mergeCell ref="X462:Z462"/>
    <mergeCell ref="U463:W463"/>
    <mergeCell ref="X463:Z463"/>
    <mergeCell ref="U464:W464"/>
    <mergeCell ref="X464:Z464"/>
    <mergeCell ref="G462:H462"/>
    <mergeCell ref="U462:W462"/>
    <mergeCell ref="AA460:AD460"/>
    <mergeCell ref="AE461:AF461"/>
    <mergeCell ref="AE460:AF460"/>
    <mergeCell ref="AA461:AD461"/>
    <mergeCell ref="U461:W461"/>
    <mergeCell ref="X461:Z461"/>
    <mergeCell ref="G473:H473"/>
    <mergeCell ref="K473:L473"/>
    <mergeCell ref="M473:P473"/>
    <mergeCell ref="Q473:T473"/>
    <mergeCell ref="AA473:AD473"/>
    <mergeCell ref="AE473:AF473"/>
    <mergeCell ref="U472:W472"/>
    <mergeCell ref="X472:Z472"/>
    <mergeCell ref="U473:W473"/>
    <mergeCell ref="X473:Z473"/>
    <mergeCell ref="U471:W471"/>
    <mergeCell ref="X471:Z471"/>
    <mergeCell ref="G468:H468"/>
    <mergeCell ref="K468:L468"/>
    <mergeCell ref="M468:P468"/>
    <mergeCell ref="Q468:T468"/>
    <mergeCell ref="AA468:AD468"/>
    <mergeCell ref="AE468:AF468"/>
    <mergeCell ref="G469:H469"/>
    <mergeCell ref="K469:L469"/>
    <mergeCell ref="M469:P469"/>
    <mergeCell ref="Q469:T469"/>
    <mergeCell ref="AA469:AD469"/>
    <mergeCell ref="AE469:AF469"/>
    <mergeCell ref="G470:H470"/>
    <mergeCell ref="K470:L470"/>
    <mergeCell ref="M470:P470"/>
    <mergeCell ref="Q470:T470"/>
    <mergeCell ref="AA475:AD475"/>
    <mergeCell ref="AE475:AF475"/>
    <mergeCell ref="V507:X508"/>
    <mergeCell ref="Y507:AA508"/>
    <mergeCell ref="AB507:AD508"/>
    <mergeCell ref="AE507:AG508"/>
    <mergeCell ref="AE454:AF454"/>
    <mergeCell ref="G455:H455"/>
    <mergeCell ref="K455:L455"/>
    <mergeCell ref="M455:P455"/>
    <mergeCell ref="Q455:T455"/>
    <mergeCell ref="AA455:AD455"/>
    <mergeCell ref="AE455:AF455"/>
    <mergeCell ref="G456:H456"/>
    <mergeCell ref="K456:L456"/>
    <mergeCell ref="M456:P456"/>
    <mergeCell ref="Q456:T456"/>
    <mergeCell ref="AA456:AD456"/>
    <mergeCell ref="AE456:AF456"/>
    <mergeCell ref="U454:W454"/>
    <mergeCell ref="X454:Z454"/>
    <mergeCell ref="U455:W455"/>
    <mergeCell ref="X455:Z455"/>
    <mergeCell ref="U456:W456"/>
    <mergeCell ref="X456:Z456"/>
    <mergeCell ref="G457:H457"/>
    <mergeCell ref="K457:L457"/>
    <mergeCell ref="M457:P457"/>
    <mergeCell ref="Q457:T457"/>
    <mergeCell ref="AA457:AD457"/>
    <mergeCell ref="AE457:AF457"/>
    <mergeCell ref="G458:H458"/>
    <mergeCell ref="K458:L458"/>
    <mergeCell ref="M458:P458"/>
    <mergeCell ref="Q458:T458"/>
    <mergeCell ref="AA458:AD458"/>
    <mergeCell ref="AE458:AF458"/>
    <mergeCell ref="G459:H459"/>
    <mergeCell ref="K459:L459"/>
    <mergeCell ref="M459:P459"/>
    <mergeCell ref="Q459:T459"/>
    <mergeCell ref="AA459:AD459"/>
    <mergeCell ref="AE459:AF459"/>
    <mergeCell ref="U459:W459"/>
    <mergeCell ref="X459:Z459"/>
    <mergeCell ref="U457:W457"/>
    <mergeCell ref="X457:Z457"/>
    <mergeCell ref="U458:W458"/>
    <mergeCell ref="X458:Z458"/>
    <mergeCell ref="G449:H449"/>
    <mergeCell ref="K449:L449"/>
    <mergeCell ref="M449:P449"/>
    <mergeCell ref="Q449:T449"/>
    <mergeCell ref="AA449:AD449"/>
    <mergeCell ref="AE449:AF449"/>
    <mergeCell ref="G450:H450"/>
    <mergeCell ref="K450:L450"/>
    <mergeCell ref="M450:P450"/>
    <mergeCell ref="Q450:T450"/>
    <mergeCell ref="AA450:AD450"/>
    <mergeCell ref="AE450:AF450"/>
    <mergeCell ref="U448:W448"/>
    <mergeCell ref="X448:Z448"/>
    <mergeCell ref="U449:W449"/>
    <mergeCell ref="X449:Z449"/>
    <mergeCell ref="U450:W450"/>
    <mergeCell ref="X450:Z450"/>
    <mergeCell ref="G451:H451"/>
    <mergeCell ref="K451:L451"/>
    <mergeCell ref="M451:P451"/>
    <mergeCell ref="Q451:T451"/>
    <mergeCell ref="AA451:AD451"/>
    <mergeCell ref="AE451:AF451"/>
    <mergeCell ref="G452:H452"/>
    <mergeCell ref="K452:L452"/>
    <mergeCell ref="M452:P452"/>
    <mergeCell ref="Q452:T452"/>
    <mergeCell ref="AA452:AD452"/>
    <mergeCell ref="AE452:AF452"/>
    <mergeCell ref="G453:H453"/>
    <mergeCell ref="K453:L453"/>
    <mergeCell ref="M453:P453"/>
    <mergeCell ref="Q453:T453"/>
    <mergeCell ref="AA453:AD453"/>
    <mergeCell ref="AE453:AF453"/>
    <mergeCell ref="U451:W451"/>
    <mergeCell ref="X451:Z451"/>
    <mergeCell ref="U452:W452"/>
    <mergeCell ref="X452:Z452"/>
    <mergeCell ref="U453:W453"/>
    <mergeCell ref="X453:Z453"/>
    <mergeCell ref="K388:L388"/>
    <mergeCell ref="M388:P388"/>
    <mergeCell ref="Q388:T388"/>
    <mergeCell ref="AA388:AD388"/>
    <mergeCell ref="AE388:AF388"/>
    <mergeCell ref="G389:H389"/>
    <mergeCell ref="K389:L389"/>
    <mergeCell ref="M389:P389"/>
    <mergeCell ref="Q389:T389"/>
    <mergeCell ref="AA389:AD389"/>
    <mergeCell ref="AE389:AF389"/>
    <mergeCell ref="U388:W388"/>
    <mergeCell ref="U387:W387"/>
    <mergeCell ref="X387:Z387"/>
    <mergeCell ref="G393:H393"/>
    <mergeCell ref="K393:L393"/>
    <mergeCell ref="M393:P393"/>
    <mergeCell ref="Q393:T393"/>
    <mergeCell ref="AA393:AD393"/>
    <mergeCell ref="AE393:AF393"/>
    <mergeCell ref="G394:H394"/>
    <mergeCell ref="K394:L394"/>
    <mergeCell ref="M394:P394"/>
    <mergeCell ref="Q394:T394"/>
    <mergeCell ref="AA394:AD394"/>
    <mergeCell ref="AE394:AF394"/>
    <mergeCell ref="G390:H390"/>
    <mergeCell ref="K390:L390"/>
    <mergeCell ref="M390:P390"/>
    <mergeCell ref="Q390:T390"/>
    <mergeCell ref="AA390:AD390"/>
    <mergeCell ref="AE390:AF390"/>
    <mergeCell ref="G391:H391"/>
    <mergeCell ref="K391:L391"/>
    <mergeCell ref="M391:P391"/>
    <mergeCell ref="Q391:T391"/>
    <mergeCell ref="AA391:AD391"/>
    <mergeCell ref="AE391:AF391"/>
    <mergeCell ref="G392:H392"/>
    <mergeCell ref="K392:L392"/>
    <mergeCell ref="M392:P392"/>
    <mergeCell ref="Q392:T392"/>
    <mergeCell ref="AA392:AD392"/>
    <mergeCell ref="AE392:AF392"/>
    <mergeCell ref="U392:W392"/>
    <mergeCell ref="X392:Z392"/>
    <mergeCell ref="U393:W393"/>
    <mergeCell ref="X393:Z393"/>
    <mergeCell ref="U394:W394"/>
    <mergeCell ref="G383:H383"/>
    <mergeCell ref="K383:L383"/>
    <mergeCell ref="M383:P383"/>
    <mergeCell ref="Q383:T383"/>
    <mergeCell ref="AA383:AD383"/>
    <mergeCell ref="AE383:AF383"/>
    <mergeCell ref="U382:W382"/>
    <mergeCell ref="X382:Z382"/>
    <mergeCell ref="X383:Z383"/>
    <mergeCell ref="U383:W383"/>
    <mergeCell ref="G379:H379"/>
    <mergeCell ref="K379:L379"/>
    <mergeCell ref="M379:P379"/>
    <mergeCell ref="Q379:T379"/>
    <mergeCell ref="AA379:AD379"/>
    <mergeCell ref="AE379:AF379"/>
    <mergeCell ref="G380:H380"/>
    <mergeCell ref="K380:L380"/>
    <mergeCell ref="M380:P380"/>
    <mergeCell ref="Q380:T380"/>
    <mergeCell ref="AA380:AD380"/>
    <mergeCell ref="AE380:AF380"/>
    <mergeCell ref="G381:H381"/>
    <mergeCell ref="K381:L381"/>
    <mergeCell ref="M381:P381"/>
    <mergeCell ref="Q381:T381"/>
    <mergeCell ref="X391:Z391"/>
    <mergeCell ref="U389:W389"/>
    <mergeCell ref="X389:Z389"/>
    <mergeCell ref="G384:H384"/>
    <mergeCell ref="K384:L384"/>
    <mergeCell ref="M384:P384"/>
    <mergeCell ref="Q384:T384"/>
    <mergeCell ref="AA384:AD384"/>
    <mergeCell ref="AE384:AF384"/>
    <mergeCell ref="G385:H385"/>
    <mergeCell ref="K385:L385"/>
    <mergeCell ref="M385:P385"/>
    <mergeCell ref="Q385:T385"/>
    <mergeCell ref="AA385:AD385"/>
    <mergeCell ref="AE385:AF385"/>
    <mergeCell ref="G386:H386"/>
    <mergeCell ref="K386:L386"/>
    <mergeCell ref="M386:P386"/>
    <mergeCell ref="Q386:T386"/>
    <mergeCell ref="AA386:AD386"/>
    <mergeCell ref="AE386:AF386"/>
    <mergeCell ref="U384:W384"/>
    <mergeCell ref="X384:Z384"/>
    <mergeCell ref="U385:W385"/>
    <mergeCell ref="X385:Z385"/>
    <mergeCell ref="U386:W386"/>
    <mergeCell ref="X386:Z386"/>
    <mergeCell ref="U390:W390"/>
    <mergeCell ref="X390:Z390"/>
    <mergeCell ref="X388:Z388"/>
    <mergeCell ref="U391:W391"/>
    <mergeCell ref="G387:H387"/>
    <mergeCell ref="K387:L387"/>
    <mergeCell ref="M387:P387"/>
    <mergeCell ref="Q387:T387"/>
    <mergeCell ref="AA387:AD387"/>
    <mergeCell ref="AE387:AF387"/>
    <mergeCell ref="G388:H388"/>
    <mergeCell ref="G371:H371"/>
    <mergeCell ref="K371:L371"/>
    <mergeCell ref="M371:P371"/>
    <mergeCell ref="Q371:T371"/>
    <mergeCell ref="AA371:AD371"/>
    <mergeCell ref="AE371:AF371"/>
    <mergeCell ref="G372:H372"/>
    <mergeCell ref="K372:L372"/>
    <mergeCell ref="M372:P372"/>
    <mergeCell ref="Q372:T372"/>
    <mergeCell ref="AA372:AD372"/>
    <mergeCell ref="AE372:AF372"/>
    <mergeCell ref="G373:H373"/>
    <mergeCell ref="K373:L373"/>
    <mergeCell ref="M373:P373"/>
    <mergeCell ref="Q373:T373"/>
    <mergeCell ref="AA373:AD373"/>
    <mergeCell ref="AE373:AF373"/>
    <mergeCell ref="U371:W371"/>
    <mergeCell ref="X371:Z371"/>
    <mergeCell ref="U372:W372"/>
    <mergeCell ref="X372:Z372"/>
    <mergeCell ref="U373:W373"/>
    <mergeCell ref="X373:Z373"/>
    <mergeCell ref="AA374:AD374"/>
    <mergeCell ref="AE374:AF374"/>
    <mergeCell ref="U377:W377"/>
    <mergeCell ref="X377:Z377"/>
    <mergeCell ref="U378:W378"/>
    <mergeCell ref="X378:Z378"/>
    <mergeCell ref="G382:H382"/>
    <mergeCell ref="K382:L382"/>
    <mergeCell ref="M382:P382"/>
    <mergeCell ref="Q382:T382"/>
    <mergeCell ref="AA382:AD382"/>
    <mergeCell ref="AE382:AF382"/>
    <mergeCell ref="AE378:AF378"/>
    <mergeCell ref="G375:H375"/>
    <mergeCell ref="U375:W375"/>
    <mergeCell ref="U376:W376"/>
    <mergeCell ref="K375:L375"/>
    <mergeCell ref="M375:P375"/>
    <mergeCell ref="Q375:T375"/>
    <mergeCell ref="G376:H376"/>
    <mergeCell ref="K376:L376"/>
    <mergeCell ref="M376:P376"/>
    <mergeCell ref="Q376:T376"/>
    <mergeCell ref="G377:H377"/>
    <mergeCell ref="K377:L377"/>
    <mergeCell ref="M377:P377"/>
    <mergeCell ref="Q377:T377"/>
    <mergeCell ref="G378:H378"/>
    <mergeCell ref="G374:H374"/>
    <mergeCell ref="K374:L374"/>
    <mergeCell ref="M374:P374"/>
    <mergeCell ref="Q374:T374"/>
    <mergeCell ref="K378:L378"/>
    <mergeCell ref="M378:P378"/>
    <mergeCell ref="Q378:T378"/>
    <mergeCell ref="X379:Z379"/>
    <mergeCell ref="U380:W380"/>
    <mergeCell ref="X380:Z380"/>
    <mergeCell ref="U381:W381"/>
    <mergeCell ref="X381:Z381"/>
    <mergeCell ref="G367:H367"/>
    <mergeCell ref="K367:L367"/>
    <mergeCell ref="M367:P367"/>
    <mergeCell ref="Q367:T367"/>
    <mergeCell ref="AA367:AD367"/>
    <mergeCell ref="AE367:AF367"/>
    <mergeCell ref="U365:W365"/>
    <mergeCell ref="X365:Z365"/>
    <mergeCell ref="X366:Z366"/>
    <mergeCell ref="U367:W367"/>
    <mergeCell ref="X367:Z367"/>
    <mergeCell ref="G368:H368"/>
    <mergeCell ref="K368:L368"/>
    <mergeCell ref="M368:P368"/>
    <mergeCell ref="Q368:T368"/>
    <mergeCell ref="AA368:AD368"/>
    <mergeCell ref="AE368:AF368"/>
    <mergeCell ref="G369:H369"/>
    <mergeCell ref="K369:L369"/>
    <mergeCell ref="M369:P369"/>
    <mergeCell ref="Q369:T369"/>
    <mergeCell ref="AA369:AD369"/>
    <mergeCell ref="AE369:AF369"/>
    <mergeCell ref="G370:H370"/>
    <mergeCell ref="K370:L370"/>
    <mergeCell ref="M370:P370"/>
    <mergeCell ref="Q370:T370"/>
    <mergeCell ref="AA370:AD370"/>
    <mergeCell ref="AE370:AF370"/>
    <mergeCell ref="U368:W368"/>
    <mergeCell ref="X368:Z368"/>
    <mergeCell ref="U369:W369"/>
    <mergeCell ref="X369:Z369"/>
    <mergeCell ref="X370:Z370"/>
    <mergeCell ref="U370:W370"/>
    <mergeCell ref="G362:H362"/>
    <mergeCell ref="K362:L362"/>
    <mergeCell ref="M362:P362"/>
    <mergeCell ref="Q362:T362"/>
    <mergeCell ref="AA362:AD362"/>
    <mergeCell ref="AE362:AF362"/>
    <mergeCell ref="G363:H363"/>
    <mergeCell ref="K363:L363"/>
    <mergeCell ref="M363:P363"/>
    <mergeCell ref="Q363:T363"/>
    <mergeCell ref="AA363:AD363"/>
    <mergeCell ref="AE363:AF363"/>
    <mergeCell ref="G364:H364"/>
    <mergeCell ref="K364:L364"/>
    <mergeCell ref="M364:P364"/>
    <mergeCell ref="Q364:T364"/>
    <mergeCell ref="AA364:AD364"/>
    <mergeCell ref="AE364:AF364"/>
    <mergeCell ref="U362:W362"/>
    <mergeCell ref="X362:Z362"/>
    <mergeCell ref="X363:Z363"/>
    <mergeCell ref="U364:W364"/>
    <mergeCell ref="X364:Z364"/>
    <mergeCell ref="K365:L365"/>
    <mergeCell ref="M365:P365"/>
    <mergeCell ref="Q365:T365"/>
    <mergeCell ref="AA365:AD365"/>
    <mergeCell ref="AE365:AF365"/>
    <mergeCell ref="G366:H366"/>
    <mergeCell ref="K366:L366"/>
    <mergeCell ref="M366:P366"/>
    <mergeCell ref="Q366:T366"/>
    <mergeCell ref="AA366:AD366"/>
    <mergeCell ref="AE366:AF366"/>
    <mergeCell ref="U363:W363"/>
    <mergeCell ref="U366:W366"/>
    <mergeCell ref="G365:H365"/>
    <mergeCell ref="G358:H358"/>
    <mergeCell ref="K358:L358"/>
    <mergeCell ref="M358:P358"/>
    <mergeCell ref="Q358:T358"/>
    <mergeCell ref="AA358:AD358"/>
    <mergeCell ref="AE358:AF358"/>
    <mergeCell ref="U356:W356"/>
    <mergeCell ref="X356:Z356"/>
    <mergeCell ref="U357:W357"/>
    <mergeCell ref="X357:Z357"/>
    <mergeCell ref="U358:W358"/>
    <mergeCell ref="X358:Z358"/>
    <mergeCell ref="G359:H359"/>
    <mergeCell ref="K359:L359"/>
    <mergeCell ref="M359:P359"/>
    <mergeCell ref="Q359:T359"/>
    <mergeCell ref="AA359:AD359"/>
    <mergeCell ref="AE359:AF359"/>
    <mergeCell ref="G360:H360"/>
    <mergeCell ref="K360:L360"/>
    <mergeCell ref="M360:P360"/>
    <mergeCell ref="Q360:T360"/>
    <mergeCell ref="AA360:AD360"/>
    <mergeCell ref="AE360:AF360"/>
    <mergeCell ref="G361:H361"/>
    <mergeCell ref="K361:L361"/>
    <mergeCell ref="M361:P361"/>
    <mergeCell ref="Q361:T361"/>
    <mergeCell ref="AA361:AD361"/>
    <mergeCell ref="AE361:AF361"/>
    <mergeCell ref="U359:W359"/>
    <mergeCell ref="X359:Z359"/>
    <mergeCell ref="U360:W360"/>
    <mergeCell ref="X360:Z360"/>
    <mergeCell ref="U361:W361"/>
    <mergeCell ref="X361:Z361"/>
    <mergeCell ref="G355:H355"/>
    <mergeCell ref="K355:L355"/>
    <mergeCell ref="M355:P355"/>
    <mergeCell ref="Q355:T355"/>
    <mergeCell ref="AA355:AD355"/>
    <mergeCell ref="AE355:AF355"/>
    <mergeCell ref="X354:Z354"/>
    <mergeCell ref="U355:W355"/>
    <mergeCell ref="X355:Z355"/>
    <mergeCell ref="G356:H356"/>
    <mergeCell ref="K356:L356"/>
    <mergeCell ref="M356:P356"/>
    <mergeCell ref="Q356:T356"/>
    <mergeCell ref="AA356:AD356"/>
    <mergeCell ref="AE356:AF356"/>
    <mergeCell ref="G352:H352"/>
    <mergeCell ref="K352:L352"/>
    <mergeCell ref="M352:P352"/>
    <mergeCell ref="Q352:T352"/>
    <mergeCell ref="AA352:AD352"/>
    <mergeCell ref="AE352:AF352"/>
    <mergeCell ref="G353:H353"/>
    <mergeCell ref="K353:L353"/>
    <mergeCell ref="M353:P353"/>
    <mergeCell ref="Q353:T353"/>
    <mergeCell ref="AA353:AD353"/>
    <mergeCell ref="AE353:AF353"/>
    <mergeCell ref="G354:H354"/>
    <mergeCell ref="K354:L354"/>
    <mergeCell ref="M354:P354"/>
    <mergeCell ref="Q354:T354"/>
    <mergeCell ref="AA354:AD354"/>
    <mergeCell ref="G357:H357"/>
    <mergeCell ref="K357:L357"/>
    <mergeCell ref="M357:P357"/>
    <mergeCell ref="Q357:T357"/>
    <mergeCell ref="AA357:AD357"/>
    <mergeCell ref="AE357:AF357"/>
    <mergeCell ref="G343:H343"/>
    <mergeCell ref="K343:L343"/>
    <mergeCell ref="M343:P343"/>
    <mergeCell ref="Q343:T343"/>
    <mergeCell ref="AA343:AD343"/>
    <mergeCell ref="AE343:AF343"/>
    <mergeCell ref="G344:H344"/>
    <mergeCell ref="K344:L344"/>
    <mergeCell ref="M344:P344"/>
    <mergeCell ref="Q344:T344"/>
    <mergeCell ref="AA344:AD344"/>
    <mergeCell ref="AE344:AF344"/>
    <mergeCell ref="U343:W343"/>
    <mergeCell ref="X343:Z343"/>
    <mergeCell ref="U344:W344"/>
    <mergeCell ref="X344:Z344"/>
    <mergeCell ref="X353:Z353"/>
    <mergeCell ref="U354:W354"/>
    <mergeCell ref="U352:W352"/>
    <mergeCell ref="X352:Z352"/>
    <mergeCell ref="G349:H349"/>
    <mergeCell ref="K349:L349"/>
    <mergeCell ref="M349:P349"/>
    <mergeCell ref="Q349:T349"/>
    <mergeCell ref="AA349:AD349"/>
    <mergeCell ref="AE349:AF349"/>
    <mergeCell ref="G350:H350"/>
    <mergeCell ref="K350:L350"/>
    <mergeCell ref="M350:P350"/>
    <mergeCell ref="Q350:T350"/>
    <mergeCell ref="AA350:AD350"/>
    <mergeCell ref="AE350:AF350"/>
    <mergeCell ref="G351:H351"/>
    <mergeCell ref="K351:L351"/>
    <mergeCell ref="M351:P351"/>
    <mergeCell ref="Q351:T351"/>
    <mergeCell ref="AA351:AD351"/>
    <mergeCell ref="AE351:AF351"/>
    <mergeCell ref="X350:Z350"/>
    <mergeCell ref="U351:W351"/>
    <mergeCell ref="X351:Z351"/>
    <mergeCell ref="G345:H345"/>
    <mergeCell ref="K345:L345"/>
    <mergeCell ref="K347:L347"/>
    <mergeCell ref="M347:P347"/>
    <mergeCell ref="Q347:T347"/>
    <mergeCell ref="G348:H348"/>
    <mergeCell ref="K348:L348"/>
    <mergeCell ref="M348:P348"/>
    <mergeCell ref="Q348:T348"/>
    <mergeCell ref="M345:P345"/>
    <mergeCell ref="G346:H346"/>
    <mergeCell ref="K346:L346"/>
    <mergeCell ref="M346:P346"/>
    <mergeCell ref="G347:H347"/>
    <mergeCell ref="M340:P340"/>
    <mergeCell ref="Q340:T340"/>
    <mergeCell ref="AA340:AD340"/>
    <mergeCell ref="AE340:AF340"/>
    <mergeCell ref="G341:H341"/>
    <mergeCell ref="K341:L341"/>
    <mergeCell ref="M341:P341"/>
    <mergeCell ref="Q341:T341"/>
    <mergeCell ref="AA341:AD341"/>
    <mergeCell ref="AE341:AF341"/>
    <mergeCell ref="U339:W339"/>
    <mergeCell ref="X339:Z339"/>
    <mergeCell ref="G313:H313"/>
    <mergeCell ref="K313:L313"/>
    <mergeCell ref="M313:P313"/>
    <mergeCell ref="Q313:T313"/>
    <mergeCell ref="AA313:AD313"/>
    <mergeCell ref="AE313:AF313"/>
    <mergeCell ref="M339:P339"/>
    <mergeCell ref="Q339:T339"/>
    <mergeCell ref="AA339:AD339"/>
    <mergeCell ref="K337:L337"/>
    <mergeCell ref="M337:P337"/>
    <mergeCell ref="Q337:T337"/>
    <mergeCell ref="O326:Q326"/>
    <mergeCell ref="B328:AG328"/>
    <mergeCell ref="AE338:AF338"/>
    <mergeCell ref="G342:H342"/>
    <mergeCell ref="K342:L342"/>
    <mergeCell ref="M342:P342"/>
    <mergeCell ref="Q342:T342"/>
    <mergeCell ref="AA342:AD342"/>
    <mergeCell ref="AE342:AF342"/>
    <mergeCell ref="B322:N322"/>
    <mergeCell ref="O322:Q322"/>
    <mergeCell ref="B323:N323"/>
    <mergeCell ref="O323:Q323"/>
    <mergeCell ref="B324:N324"/>
    <mergeCell ref="O324:Q324"/>
    <mergeCell ref="B332:AG332"/>
    <mergeCell ref="G337:H337"/>
    <mergeCell ref="K339:L339"/>
    <mergeCell ref="K340:L340"/>
    <mergeCell ref="B325:N325"/>
    <mergeCell ref="O325:Q325"/>
    <mergeCell ref="G339:H339"/>
    <mergeCell ref="B317:AG317"/>
    <mergeCell ref="B334:AG334"/>
    <mergeCell ref="I335:I336"/>
    <mergeCell ref="J335:J336"/>
    <mergeCell ref="U310:W310"/>
    <mergeCell ref="X310:Z310"/>
    <mergeCell ref="U307:W307"/>
    <mergeCell ref="X307:Z307"/>
    <mergeCell ref="AE285:AF285"/>
    <mergeCell ref="AE304:AF304"/>
    <mergeCell ref="B335:F336"/>
    <mergeCell ref="G335:H336"/>
    <mergeCell ref="K335:L336"/>
    <mergeCell ref="M335:P336"/>
    <mergeCell ref="Q335:T336"/>
    <mergeCell ref="AA335:AD336"/>
    <mergeCell ref="AE335:AF336"/>
    <mergeCell ref="G310:H310"/>
    <mergeCell ref="K310:L310"/>
    <mergeCell ref="M310:P310"/>
    <mergeCell ref="Q310:T310"/>
    <mergeCell ref="AA310:AD310"/>
    <mergeCell ref="AE310:AF310"/>
    <mergeCell ref="G311:H311"/>
    <mergeCell ref="K311:L311"/>
    <mergeCell ref="M311:P311"/>
    <mergeCell ref="Q311:T311"/>
    <mergeCell ref="AA311:AD311"/>
    <mergeCell ref="AE311:AF311"/>
    <mergeCell ref="G312:H312"/>
    <mergeCell ref="K312:L312"/>
    <mergeCell ref="M312:P312"/>
    <mergeCell ref="Q312:T312"/>
    <mergeCell ref="AA312:AD312"/>
    <mergeCell ref="AE312:AF312"/>
    <mergeCell ref="G307:H307"/>
    <mergeCell ref="K307:L307"/>
    <mergeCell ref="M307:P307"/>
    <mergeCell ref="Q307:T307"/>
    <mergeCell ref="AA307:AD307"/>
    <mergeCell ref="M304:P304"/>
    <mergeCell ref="Q304:T304"/>
    <mergeCell ref="AA304:AD304"/>
    <mergeCell ref="G305:H305"/>
    <mergeCell ref="K305:L305"/>
    <mergeCell ref="M305:P305"/>
    <mergeCell ref="Q305:T305"/>
    <mergeCell ref="AA305:AD305"/>
    <mergeCell ref="AE305:AF305"/>
    <mergeCell ref="G306:H306"/>
    <mergeCell ref="K306:L306"/>
    <mergeCell ref="M306:P306"/>
    <mergeCell ref="Q306:T306"/>
    <mergeCell ref="AA306:AD306"/>
    <mergeCell ref="AE306:AF306"/>
    <mergeCell ref="U304:W304"/>
    <mergeCell ref="X304:Z304"/>
    <mergeCell ref="U305:W305"/>
    <mergeCell ref="X305:Z305"/>
    <mergeCell ref="U306:W306"/>
    <mergeCell ref="X306:Z306"/>
    <mergeCell ref="AE307:AF307"/>
    <mergeCell ref="G308:H308"/>
    <mergeCell ref="K308:L308"/>
    <mergeCell ref="M308:P308"/>
    <mergeCell ref="Q308:T308"/>
    <mergeCell ref="AA308:AD308"/>
    <mergeCell ref="AE308:AF308"/>
    <mergeCell ref="AE309:AF309"/>
    <mergeCell ref="AA292:AD292"/>
    <mergeCell ref="AE292:AF292"/>
    <mergeCell ref="G293:H293"/>
    <mergeCell ref="K293:L293"/>
    <mergeCell ref="M293:P293"/>
    <mergeCell ref="Q293:T293"/>
    <mergeCell ref="AA293:AD293"/>
    <mergeCell ref="AE293:AF293"/>
    <mergeCell ref="G294:H294"/>
    <mergeCell ref="K294:L294"/>
    <mergeCell ref="M294:P294"/>
    <mergeCell ref="Q294:T294"/>
    <mergeCell ref="AA294:AD294"/>
    <mergeCell ref="AE294:AF294"/>
    <mergeCell ref="U292:W292"/>
    <mergeCell ref="X292:Z292"/>
    <mergeCell ref="U294:W294"/>
    <mergeCell ref="X294:Z294"/>
    <mergeCell ref="G295:H295"/>
    <mergeCell ref="K295:L295"/>
    <mergeCell ref="M295:P295"/>
    <mergeCell ref="Q295:T295"/>
    <mergeCell ref="AA295:AD295"/>
    <mergeCell ref="AE295:AF295"/>
    <mergeCell ref="G296:H296"/>
    <mergeCell ref="K296:L296"/>
    <mergeCell ref="M296:P296"/>
    <mergeCell ref="Q296:T296"/>
    <mergeCell ref="AA296:AD296"/>
    <mergeCell ref="AE296:AF296"/>
    <mergeCell ref="G297:H297"/>
    <mergeCell ref="K297:L297"/>
    <mergeCell ref="M297:P297"/>
    <mergeCell ref="Q297:T297"/>
    <mergeCell ref="AA297:AD297"/>
    <mergeCell ref="AE297:AF297"/>
    <mergeCell ref="U295:W295"/>
    <mergeCell ref="X295:Z295"/>
    <mergeCell ref="U296:W296"/>
    <mergeCell ref="X296:Z296"/>
    <mergeCell ref="X293:Z293"/>
    <mergeCell ref="G298:H298"/>
    <mergeCell ref="K298:L298"/>
    <mergeCell ref="M298:P298"/>
    <mergeCell ref="G299:H299"/>
    <mergeCell ref="U298:W298"/>
    <mergeCell ref="X298:Z298"/>
    <mergeCell ref="U299:W299"/>
    <mergeCell ref="X299:Z299"/>
    <mergeCell ref="U300:W300"/>
    <mergeCell ref="X300:Z300"/>
    <mergeCell ref="Q298:T298"/>
    <mergeCell ref="M300:P300"/>
    <mergeCell ref="U297:W297"/>
    <mergeCell ref="X297:Z297"/>
    <mergeCell ref="U293:W293"/>
    <mergeCell ref="U308:W308"/>
    <mergeCell ref="X308:Z308"/>
    <mergeCell ref="G292:H292"/>
    <mergeCell ref="K292:L292"/>
    <mergeCell ref="M292:P292"/>
    <mergeCell ref="Q292:T292"/>
    <mergeCell ref="G301:H301"/>
    <mergeCell ref="AA287:AD287"/>
    <mergeCell ref="AE287:AF287"/>
    <mergeCell ref="G288:H288"/>
    <mergeCell ref="K288:L288"/>
    <mergeCell ref="M288:P288"/>
    <mergeCell ref="Q288:T288"/>
    <mergeCell ref="AA288:AD288"/>
    <mergeCell ref="AE288:AF288"/>
    <mergeCell ref="X286:Z286"/>
    <mergeCell ref="U287:W287"/>
    <mergeCell ref="X287:Z287"/>
    <mergeCell ref="U288:W288"/>
    <mergeCell ref="X288:Z288"/>
    <mergeCell ref="G289:H289"/>
    <mergeCell ref="K289:L289"/>
    <mergeCell ref="M289:P289"/>
    <mergeCell ref="Q289:T289"/>
    <mergeCell ref="AA289:AD289"/>
    <mergeCell ref="AE289:AF289"/>
    <mergeCell ref="G290:H290"/>
    <mergeCell ref="K290:L290"/>
    <mergeCell ref="M290:P290"/>
    <mergeCell ref="Q290:T290"/>
    <mergeCell ref="AA290:AD290"/>
    <mergeCell ref="AE290:AF290"/>
    <mergeCell ref="G291:H291"/>
    <mergeCell ref="K291:L291"/>
    <mergeCell ref="M291:P291"/>
    <mergeCell ref="Q291:T291"/>
    <mergeCell ref="AA291:AD291"/>
    <mergeCell ref="AE291:AF291"/>
    <mergeCell ref="U289:W289"/>
    <mergeCell ref="X289:Z289"/>
    <mergeCell ref="U290:W290"/>
    <mergeCell ref="X290:Z290"/>
    <mergeCell ref="U291:W291"/>
    <mergeCell ref="X291:Z291"/>
    <mergeCell ref="G287:H287"/>
    <mergeCell ref="K287:L287"/>
    <mergeCell ref="M287:P287"/>
    <mergeCell ref="Q287:T287"/>
    <mergeCell ref="AA284:AD284"/>
    <mergeCell ref="AE284:AF284"/>
    <mergeCell ref="G276:H276"/>
    <mergeCell ref="K276:L276"/>
    <mergeCell ref="M276:P276"/>
    <mergeCell ref="Q276:T276"/>
    <mergeCell ref="AA276:AD276"/>
    <mergeCell ref="AE276:AF276"/>
    <mergeCell ref="G277:H277"/>
    <mergeCell ref="K277:L277"/>
    <mergeCell ref="M277:P277"/>
    <mergeCell ref="Q277:T277"/>
    <mergeCell ref="AA277:AD277"/>
    <mergeCell ref="AE277:AF277"/>
    <mergeCell ref="G285:H285"/>
    <mergeCell ref="K285:L285"/>
    <mergeCell ref="M285:P285"/>
    <mergeCell ref="Q285:T285"/>
    <mergeCell ref="AA285:AD285"/>
    <mergeCell ref="U283:W283"/>
    <mergeCell ref="X283:Z283"/>
    <mergeCell ref="U284:W284"/>
    <mergeCell ref="X284:Z284"/>
    <mergeCell ref="U285:W285"/>
    <mergeCell ref="X285:Z285"/>
    <mergeCell ref="G286:H286"/>
    <mergeCell ref="K286:L286"/>
    <mergeCell ref="M286:P286"/>
    <mergeCell ref="Q286:T286"/>
    <mergeCell ref="AA286:AD286"/>
    <mergeCell ref="Q282:T282"/>
    <mergeCell ref="AA282:AD282"/>
    <mergeCell ref="AE286:AF286"/>
    <mergeCell ref="U286:W286"/>
    <mergeCell ref="X281:Z281"/>
    <mergeCell ref="AA280:AD280"/>
    <mergeCell ref="AE280:AF280"/>
    <mergeCell ref="AA281:AD281"/>
    <mergeCell ref="G284:H284"/>
    <mergeCell ref="K284:L284"/>
    <mergeCell ref="M284:P284"/>
    <mergeCell ref="Q284:T284"/>
    <mergeCell ref="U276:W276"/>
    <mergeCell ref="X276:Z276"/>
    <mergeCell ref="U277:W277"/>
    <mergeCell ref="X277:Z277"/>
    <mergeCell ref="G274:H274"/>
    <mergeCell ref="K274:L274"/>
    <mergeCell ref="M274:P274"/>
    <mergeCell ref="Q274:T274"/>
    <mergeCell ref="AA274:AD274"/>
    <mergeCell ref="AE274:AF274"/>
    <mergeCell ref="U272:W272"/>
    <mergeCell ref="X272:Z272"/>
    <mergeCell ref="U273:W273"/>
    <mergeCell ref="X273:Z273"/>
    <mergeCell ref="U274:W274"/>
    <mergeCell ref="X274:Z274"/>
    <mergeCell ref="G275:H275"/>
    <mergeCell ref="K275:L275"/>
    <mergeCell ref="M275:P275"/>
    <mergeCell ref="Q275:T275"/>
    <mergeCell ref="AA275:AD275"/>
    <mergeCell ref="AE275:AF275"/>
    <mergeCell ref="AE282:AF282"/>
    <mergeCell ref="U282:W282"/>
    <mergeCell ref="X282:Z282"/>
    <mergeCell ref="G283:H283"/>
    <mergeCell ref="K283:L283"/>
    <mergeCell ref="M283:P283"/>
    <mergeCell ref="Q283:T283"/>
    <mergeCell ref="AA283:AD283"/>
    <mergeCell ref="AE283:AF283"/>
    <mergeCell ref="G278:H278"/>
    <mergeCell ref="K278:L278"/>
    <mergeCell ref="M278:P278"/>
    <mergeCell ref="G279:H279"/>
    <mergeCell ref="K279:L279"/>
    <mergeCell ref="M279:P279"/>
    <mergeCell ref="G280:H280"/>
    <mergeCell ref="U278:W278"/>
    <mergeCell ref="X278:Z278"/>
    <mergeCell ref="U279:W279"/>
    <mergeCell ref="X279:Z279"/>
    <mergeCell ref="Q278:T278"/>
    <mergeCell ref="K280:L280"/>
    <mergeCell ref="M280:P280"/>
    <mergeCell ref="Q280:T280"/>
    <mergeCell ref="G281:H281"/>
    <mergeCell ref="K281:L281"/>
    <mergeCell ref="M281:P281"/>
    <mergeCell ref="M282:P282"/>
    <mergeCell ref="Q281:T281"/>
    <mergeCell ref="G282:H282"/>
    <mergeCell ref="K282:L282"/>
    <mergeCell ref="AE281:AF281"/>
    <mergeCell ref="AA278:AD278"/>
    <mergeCell ref="AE278:AF278"/>
    <mergeCell ref="Q279:T279"/>
    <mergeCell ref="AA279:AD279"/>
    <mergeCell ref="AE279:AF279"/>
    <mergeCell ref="U280:W280"/>
    <mergeCell ref="X280:Z280"/>
    <mergeCell ref="U281:W281"/>
    <mergeCell ref="AA268:AD268"/>
    <mergeCell ref="AE268:AF268"/>
    <mergeCell ref="G269:H269"/>
    <mergeCell ref="K269:L269"/>
    <mergeCell ref="M269:P269"/>
    <mergeCell ref="Q269:T269"/>
    <mergeCell ref="AA269:AD269"/>
    <mergeCell ref="AE269:AF269"/>
    <mergeCell ref="G270:H270"/>
    <mergeCell ref="K270:L270"/>
    <mergeCell ref="M270:P270"/>
    <mergeCell ref="Q270:T270"/>
    <mergeCell ref="AA270:AD270"/>
    <mergeCell ref="AE270:AF270"/>
    <mergeCell ref="G271:H271"/>
    <mergeCell ref="K271:L271"/>
    <mergeCell ref="M271:P271"/>
    <mergeCell ref="Q271:T271"/>
    <mergeCell ref="AA271:AD271"/>
    <mergeCell ref="AE271:AF271"/>
    <mergeCell ref="G272:H272"/>
    <mergeCell ref="K272:L272"/>
    <mergeCell ref="M272:P272"/>
    <mergeCell ref="Q272:T272"/>
    <mergeCell ref="AA272:AD272"/>
    <mergeCell ref="AE272:AF272"/>
    <mergeCell ref="G273:H273"/>
    <mergeCell ref="K273:L273"/>
    <mergeCell ref="M273:P273"/>
    <mergeCell ref="Q273:T273"/>
    <mergeCell ref="AA273:AD273"/>
    <mergeCell ref="AE273:AF273"/>
    <mergeCell ref="U268:W268"/>
    <mergeCell ref="X268:Z268"/>
    <mergeCell ref="U269:W269"/>
    <mergeCell ref="X269:Z269"/>
    <mergeCell ref="U270:W270"/>
    <mergeCell ref="X270:Z270"/>
    <mergeCell ref="U271:W271"/>
    <mergeCell ref="X271:Z271"/>
    <mergeCell ref="AA261:AD261"/>
    <mergeCell ref="AE261:AF261"/>
    <mergeCell ref="B250:AG250"/>
    <mergeCell ref="B252:AG252"/>
    <mergeCell ref="B253:AG253"/>
    <mergeCell ref="G262:H262"/>
    <mergeCell ref="K262:L262"/>
    <mergeCell ref="M262:P262"/>
    <mergeCell ref="Q262:T262"/>
    <mergeCell ref="AA262:AD262"/>
    <mergeCell ref="AE262:AF262"/>
    <mergeCell ref="U261:W261"/>
    <mergeCell ref="X261:Z261"/>
    <mergeCell ref="G263:H263"/>
    <mergeCell ref="K263:L263"/>
    <mergeCell ref="M263:P263"/>
    <mergeCell ref="Q263:T263"/>
    <mergeCell ref="AA263:AD263"/>
    <mergeCell ref="AE263:AF263"/>
    <mergeCell ref="K266:L266"/>
    <mergeCell ref="M266:P266"/>
    <mergeCell ref="Q266:T266"/>
    <mergeCell ref="AA266:AD266"/>
    <mergeCell ref="G267:H267"/>
    <mergeCell ref="K267:L267"/>
    <mergeCell ref="M267:P267"/>
    <mergeCell ref="Q267:T267"/>
    <mergeCell ref="AA267:AD267"/>
    <mergeCell ref="AE267:AF267"/>
    <mergeCell ref="G265:H265"/>
    <mergeCell ref="K265:L265"/>
    <mergeCell ref="M265:P265"/>
    <mergeCell ref="G266:H266"/>
    <mergeCell ref="U265:W265"/>
    <mergeCell ref="X265:Z265"/>
    <mergeCell ref="U266:W266"/>
    <mergeCell ref="X266:Z266"/>
    <mergeCell ref="U267:W267"/>
    <mergeCell ref="X267:Z267"/>
    <mergeCell ref="Q265:T265"/>
    <mergeCell ref="AA265:AD265"/>
    <mergeCell ref="AE266:AF266"/>
    <mergeCell ref="AE265:AF265"/>
    <mergeCell ref="U262:W262"/>
    <mergeCell ref="X262:Z262"/>
    <mergeCell ref="U263:W263"/>
    <mergeCell ref="X263:Z263"/>
    <mergeCell ref="U264:W264"/>
    <mergeCell ref="X264:Z264"/>
    <mergeCell ref="Q264:T264"/>
    <mergeCell ref="AA264:AD264"/>
    <mergeCell ref="AE264:AF264"/>
    <mergeCell ref="G264:H264"/>
    <mergeCell ref="K264:L264"/>
    <mergeCell ref="M264:P264"/>
    <mergeCell ref="I254:I255"/>
    <mergeCell ref="J254:J255"/>
    <mergeCell ref="AA223:AD223"/>
    <mergeCell ref="AA224:AD224"/>
    <mergeCell ref="AA225:AD225"/>
    <mergeCell ref="AE260:AF260"/>
    <mergeCell ref="X260:Z260"/>
    <mergeCell ref="AE232:AF232"/>
    <mergeCell ref="Q257:T257"/>
    <mergeCell ref="AA257:AD257"/>
    <mergeCell ref="AE257:AF257"/>
    <mergeCell ref="G258:H258"/>
    <mergeCell ref="K258:L258"/>
    <mergeCell ref="G259:H259"/>
    <mergeCell ref="K259:L259"/>
    <mergeCell ref="M259:P259"/>
    <mergeCell ref="Q259:T259"/>
    <mergeCell ref="AA259:AD259"/>
    <mergeCell ref="AE259:AF259"/>
    <mergeCell ref="G260:H260"/>
    <mergeCell ref="X259:Z259"/>
    <mergeCell ref="U260:W260"/>
    <mergeCell ref="U259:W259"/>
    <mergeCell ref="K257:L257"/>
    <mergeCell ref="K260:L260"/>
    <mergeCell ref="M260:P260"/>
    <mergeCell ref="Q260:T260"/>
    <mergeCell ref="AA260:AD260"/>
    <mergeCell ref="AA254:AD255"/>
    <mergeCell ref="AE228:AF228"/>
    <mergeCell ref="M217:P217"/>
    <mergeCell ref="G226:H226"/>
    <mergeCell ref="G227:H227"/>
    <mergeCell ref="K227:L227"/>
    <mergeCell ref="U227:W227"/>
    <mergeCell ref="K225:L225"/>
    <mergeCell ref="U225:W225"/>
    <mergeCell ref="X225:Z225"/>
    <mergeCell ref="M224:P224"/>
    <mergeCell ref="M225:P225"/>
    <mergeCell ref="M226:P226"/>
    <mergeCell ref="M227:P227"/>
    <mergeCell ref="Q224:T224"/>
    <mergeCell ref="Q225:T225"/>
    <mergeCell ref="Q226:T226"/>
    <mergeCell ref="Q227:T227"/>
    <mergeCell ref="G217:H217"/>
    <mergeCell ref="G218:H218"/>
    <mergeCell ref="G219:H219"/>
    <mergeCell ref="G220:H220"/>
    <mergeCell ref="G221:H221"/>
    <mergeCell ref="G222:H222"/>
    <mergeCell ref="G223:H223"/>
    <mergeCell ref="G224:H224"/>
    <mergeCell ref="G225:H225"/>
    <mergeCell ref="G254:H255"/>
    <mergeCell ref="B244:N244"/>
    <mergeCell ref="B245:N245"/>
    <mergeCell ref="B247:AG247"/>
    <mergeCell ref="O240:Q240"/>
    <mergeCell ref="O242:Q242"/>
    <mergeCell ref="O243:Q243"/>
    <mergeCell ref="X204:Z204"/>
    <mergeCell ref="K205:L205"/>
    <mergeCell ref="U205:W205"/>
    <mergeCell ref="AE194:AF194"/>
    <mergeCell ref="AE207:AF207"/>
    <mergeCell ref="AE202:AF202"/>
    <mergeCell ref="AE203:AF203"/>
    <mergeCell ref="U223:W223"/>
    <mergeCell ref="X223:Z223"/>
    <mergeCell ref="K224:L224"/>
    <mergeCell ref="U224:W224"/>
    <mergeCell ref="X224:Z224"/>
    <mergeCell ref="AA256:AD256"/>
    <mergeCell ref="AE256:AF256"/>
    <mergeCell ref="AA231:AD231"/>
    <mergeCell ref="AA232:AD232"/>
    <mergeCell ref="Q231:T231"/>
    <mergeCell ref="Q232:T232"/>
    <mergeCell ref="M258:P258"/>
    <mergeCell ref="Q258:T258"/>
    <mergeCell ref="AA258:AD258"/>
    <mergeCell ref="AE258:AF258"/>
    <mergeCell ref="O244:Q244"/>
    <mergeCell ref="O245:Q245"/>
    <mergeCell ref="U258:W258"/>
    <mergeCell ref="X258:Z258"/>
    <mergeCell ref="U256:W256"/>
    <mergeCell ref="X256:Z256"/>
    <mergeCell ref="U257:W257"/>
    <mergeCell ref="X257:Z257"/>
    <mergeCell ref="B240:N240"/>
    <mergeCell ref="B239:N239"/>
    <mergeCell ref="B238:N238"/>
    <mergeCell ref="B237:N237"/>
    <mergeCell ref="O239:Q239"/>
    <mergeCell ref="O241:Q241"/>
    <mergeCell ref="G257:H257"/>
    <mergeCell ref="B241:N241"/>
    <mergeCell ref="M257:P257"/>
    <mergeCell ref="K254:L255"/>
    <mergeCell ref="U232:W232"/>
    <mergeCell ref="X232:Z232"/>
    <mergeCell ref="H234:N234"/>
    <mergeCell ref="U254:W255"/>
    <mergeCell ref="X254:Z255"/>
    <mergeCell ref="O238:Q238"/>
    <mergeCell ref="B251:AG251"/>
    <mergeCell ref="AE254:AF255"/>
    <mergeCell ref="AA220:AD220"/>
    <mergeCell ref="AA221:AD221"/>
    <mergeCell ref="AE212:AF212"/>
    <mergeCell ref="AE213:AF213"/>
    <mergeCell ref="AE214:AF214"/>
    <mergeCell ref="AE215:AF215"/>
    <mergeCell ref="AE220:AF220"/>
    <mergeCell ref="AE221:AF221"/>
    <mergeCell ref="AE222:AF222"/>
    <mergeCell ref="AE224:AF224"/>
    <mergeCell ref="AE225:AF225"/>
    <mergeCell ref="AE226:AF226"/>
    <mergeCell ref="AE227:AF227"/>
    <mergeCell ref="AA217:AD217"/>
    <mergeCell ref="AA218:AD218"/>
    <mergeCell ref="AA222:AD222"/>
    <mergeCell ref="G213:H213"/>
    <mergeCell ref="U954:X954"/>
    <mergeCell ref="Y954:AB954"/>
    <mergeCell ref="G179:H179"/>
    <mergeCell ref="G180:H180"/>
    <mergeCell ref="G181:H181"/>
    <mergeCell ref="G182:H182"/>
    <mergeCell ref="G183:H183"/>
    <mergeCell ref="G184:H184"/>
    <mergeCell ref="G185:H185"/>
    <mergeCell ref="G186:H186"/>
    <mergeCell ref="G187:H187"/>
    <mergeCell ref="G188:H188"/>
    <mergeCell ref="G189:H189"/>
    <mergeCell ref="G195:H195"/>
    <mergeCell ref="G196:H196"/>
    <mergeCell ref="G197:H197"/>
    <mergeCell ref="G190:H190"/>
    <mergeCell ref="G191:H191"/>
    <mergeCell ref="G192:H192"/>
    <mergeCell ref="G193:H193"/>
    <mergeCell ref="G194:H194"/>
    <mergeCell ref="G198:H198"/>
    <mergeCell ref="G199:H199"/>
    <mergeCell ref="G200:H200"/>
    <mergeCell ref="G201:H201"/>
    <mergeCell ref="G202:H202"/>
    <mergeCell ref="G203:H203"/>
    <mergeCell ref="G204:H204"/>
    <mergeCell ref="G205:H205"/>
    <mergeCell ref="G206:H206"/>
    <mergeCell ref="G207:H207"/>
    <mergeCell ref="AA194:AD194"/>
    <mergeCell ref="AA195:AD195"/>
    <mergeCell ref="AA196:AD196"/>
    <mergeCell ref="AA197:AD197"/>
    <mergeCell ref="AA198:AD198"/>
    <mergeCell ref="AA199:AD199"/>
    <mergeCell ref="AA190:AD190"/>
    <mergeCell ref="AA191:AD191"/>
    <mergeCell ref="AA192:AD192"/>
    <mergeCell ref="AA193:AD193"/>
    <mergeCell ref="U179:W179"/>
    <mergeCell ref="U180:W180"/>
    <mergeCell ref="U181:W181"/>
    <mergeCell ref="M196:P196"/>
    <mergeCell ref="M197:P197"/>
    <mergeCell ref="U185:W185"/>
    <mergeCell ref="K195:L195"/>
    <mergeCell ref="AA204:AD204"/>
    <mergeCell ref="AA205:AD205"/>
    <mergeCell ref="AA206:AD206"/>
    <mergeCell ref="Q182:T182"/>
    <mergeCell ref="Q183:T183"/>
    <mergeCell ref="Q184:T184"/>
    <mergeCell ref="K187:L187"/>
    <mergeCell ref="U187:W187"/>
    <mergeCell ref="X187:Z187"/>
    <mergeCell ref="K188:L188"/>
    <mergeCell ref="U188:W188"/>
    <mergeCell ref="U207:W207"/>
    <mergeCell ref="X207:Z207"/>
    <mergeCell ref="K204:L204"/>
    <mergeCell ref="U204:W204"/>
    <mergeCell ref="U194:W194"/>
    <mergeCell ref="X194:Z194"/>
    <mergeCell ref="K191:L191"/>
    <mergeCell ref="U191:W191"/>
    <mergeCell ref="X191:Z191"/>
    <mergeCell ref="M192:P192"/>
    <mergeCell ref="M193:P193"/>
    <mergeCell ref="M194:P194"/>
    <mergeCell ref="M195:P195"/>
    <mergeCell ref="M191:P191"/>
    <mergeCell ref="K192:L192"/>
    <mergeCell ref="V1077:X1078"/>
    <mergeCell ref="Y1077:AA1078"/>
    <mergeCell ref="AB1077:AD1078"/>
    <mergeCell ref="AE1077:AG1078"/>
    <mergeCell ref="B1079:U1080"/>
    <mergeCell ref="V1079:X1080"/>
    <mergeCell ref="Y1079:AA1080"/>
    <mergeCell ref="AB1079:AD1080"/>
    <mergeCell ref="AE1079:AG1080"/>
    <mergeCell ref="B1088:AG1088"/>
    <mergeCell ref="G208:H208"/>
    <mergeCell ref="O1057:Q1057"/>
    <mergeCell ref="B1058:N1058"/>
    <mergeCell ref="O1058:Q1058"/>
    <mergeCell ref="B1060:AG1060"/>
    <mergeCell ref="B1063:AG1063"/>
    <mergeCell ref="B1065:H1065"/>
    <mergeCell ref="I1065:O1065"/>
    <mergeCell ref="AF1065:AG1065"/>
    <mergeCell ref="B1067:AD1067"/>
    <mergeCell ref="AF1067:AG1067"/>
    <mergeCell ref="B1069:U1070"/>
    <mergeCell ref="B1047:G1047"/>
    <mergeCell ref="H1047:N1047"/>
    <mergeCell ref="B1048:AG1048"/>
    <mergeCell ref="B1050:N1050"/>
    <mergeCell ref="O1050:Q1050"/>
    <mergeCell ref="B1051:N1051"/>
    <mergeCell ref="O1051:Q1051"/>
    <mergeCell ref="B1052:N1052"/>
    <mergeCell ref="O1052:Q1052"/>
    <mergeCell ref="B1053:N1053"/>
    <mergeCell ref="Q960:T960"/>
    <mergeCell ref="Q961:T961"/>
    <mergeCell ref="Q962:T962"/>
    <mergeCell ref="U960:X960"/>
    <mergeCell ref="Y960:AB960"/>
    <mergeCell ref="U961:X961"/>
    <mergeCell ref="Y961:AB961"/>
    <mergeCell ref="U962:X962"/>
    <mergeCell ref="Y962:AB962"/>
    <mergeCell ref="AA226:AD226"/>
    <mergeCell ref="AA227:AD227"/>
    <mergeCell ref="AA228:AD228"/>
    <mergeCell ref="AA229:AD229"/>
    <mergeCell ref="AA230:AD230"/>
    <mergeCell ref="AE229:AF229"/>
    <mergeCell ref="AE230:AF230"/>
    <mergeCell ref="AE231:AF231"/>
    <mergeCell ref="G209:H209"/>
    <mergeCell ref="G210:H210"/>
    <mergeCell ref="G211:H211"/>
    <mergeCell ref="G212:H212"/>
    <mergeCell ref="X179:Z179"/>
    <mergeCell ref="X180:Z180"/>
    <mergeCell ref="AE195:AF195"/>
    <mergeCell ref="AE196:AF196"/>
    <mergeCell ref="AE197:AF197"/>
    <mergeCell ref="AE198:AF198"/>
    <mergeCell ref="AE199:AF199"/>
    <mergeCell ref="AE200:AF200"/>
    <mergeCell ref="AE201:AF201"/>
    <mergeCell ref="AE193:AF193"/>
    <mergeCell ref="M200:P200"/>
    <mergeCell ref="K198:L198"/>
    <mergeCell ref="U198:W198"/>
    <mergeCell ref="X198:Z198"/>
    <mergeCell ref="K199:L199"/>
    <mergeCell ref="U199:W199"/>
    <mergeCell ref="X199:Z199"/>
    <mergeCell ref="K196:L196"/>
    <mergeCell ref="U196:W196"/>
    <mergeCell ref="X196:Z196"/>
    <mergeCell ref="K197:L197"/>
    <mergeCell ref="U197:W197"/>
    <mergeCell ref="X197:Z197"/>
    <mergeCell ref="Q198:T198"/>
    <mergeCell ref="Q199:T199"/>
    <mergeCell ref="Q193:T193"/>
    <mergeCell ref="K186:L186"/>
    <mergeCell ref="K201:L201"/>
    <mergeCell ref="U201:W201"/>
    <mergeCell ref="X201:Z201"/>
    <mergeCell ref="M201:P201"/>
    <mergeCell ref="U176:W176"/>
    <mergeCell ref="U177:W177"/>
    <mergeCell ref="U178:W178"/>
    <mergeCell ref="Q190:T190"/>
    <mergeCell ref="Q191:T191"/>
    <mergeCell ref="Q192:T192"/>
    <mergeCell ref="AE192:AF192"/>
    <mergeCell ref="AE191:AF191"/>
    <mergeCell ref="AE190:AF190"/>
    <mergeCell ref="AE189:AF189"/>
    <mergeCell ref="K178:L178"/>
    <mergeCell ref="K179:L179"/>
    <mergeCell ref="K180:L180"/>
    <mergeCell ref="K181:L181"/>
    <mergeCell ref="K182:L182"/>
    <mergeCell ref="K183:L183"/>
    <mergeCell ref="K184:L184"/>
    <mergeCell ref="K185:L185"/>
    <mergeCell ref="K193:L193"/>
    <mergeCell ref="U193:W193"/>
    <mergeCell ref="X193:Z193"/>
    <mergeCell ref="X189:Z189"/>
    <mergeCell ref="K190:L190"/>
    <mergeCell ref="U190:W190"/>
    <mergeCell ref="X190:Z190"/>
    <mergeCell ref="M190:P190"/>
    <mergeCell ref="K189:L189"/>
    <mergeCell ref="U189:W189"/>
    <mergeCell ref="M189:P189"/>
    <mergeCell ref="Q186:T186"/>
    <mergeCell ref="U195:W195"/>
    <mergeCell ref="X195:Z195"/>
    <mergeCell ref="K194:L194"/>
    <mergeCell ref="Y955:AB955"/>
    <mergeCell ref="U956:X956"/>
    <mergeCell ref="Y956:AB956"/>
    <mergeCell ref="G176:H176"/>
    <mergeCell ref="G177:H177"/>
    <mergeCell ref="G178:H178"/>
    <mergeCell ref="U957:X957"/>
    <mergeCell ref="Y957:AB957"/>
    <mergeCell ref="U958:X958"/>
    <mergeCell ref="Y958:AB958"/>
    <mergeCell ref="U959:X959"/>
    <mergeCell ref="Y959:AB959"/>
    <mergeCell ref="Q941:T941"/>
    <mergeCell ref="Q942:T942"/>
    <mergeCell ref="Q943:T943"/>
    <mergeCell ref="U941:X941"/>
    <mergeCell ref="Y941:AB941"/>
    <mergeCell ref="U942:X942"/>
    <mergeCell ref="Y942:AB942"/>
    <mergeCell ref="U943:X943"/>
    <mergeCell ref="Y943:AB943"/>
    <mergeCell ref="Q944:T944"/>
    <mergeCell ref="Q945:T945"/>
    <mergeCell ref="Q949:T949"/>
    <mergeCell ref="U944:X944"/>
    <mergeCell ref="Y944:AB944"/>
    <mergeCell ref="U945:X945"/>
    <mergeCell ref="Y945:AB945"/>
    <mergeCell ref="U946:X946"/>
    <mergeCell ref="Y946:AB946"/>
    <mergeCell ref="U947:X947"/>
    <mergeCell ref="Y947:AB947"/>
    <mergeCell ref="U948:X948"/>
    <mergeCell ref="Y948:AB948"/>
    <mergeCell ref="U949:X949"/>
    <mergeCell ref="Y949:AB949"/>
    <mergeCell ref="Q950:T950"/>
    <mergeCell ref="Q946:T946"/>
    <mergeCell ref="Q947:T947"/>
    <mergeCell ref="Q948:T948"/>
    <mergeCell ref="M198:P198"/>
    <mergeCell ref="M199:P199"/>
    <mergeCell ref="K200:L200"/>
    <mergeCell ref="X200:Z200"/>
    <mergeCell ref="Q196:T196"/>
    <mergeCell ref="Q197:T197"/>
    <mergeCell ref="Q200:T200"/>
    <mergeCell ref="Q201:T201"/>
    <mergeCell ref="U200:W200"/>
    <mergeCell ref="AA200:AD200"/>
    <mergeCell ref="AA201:AD201"/>
    <mergeCell ref="AA202:AD202"/>
    <mergeCell ref="AA203:AD203"/>
    <mergeCell ref="Q194:T194"/>
    <mergeCell ref="Q195:T195"/>
    <mergeCell ref="U950:X950"/>
    <mergeCell ref="Y950:AB950"/>
    <mergeCell ref="Q952:T952"/>
    <mergeCell ref="Q953:T953"/>
    <mergeCell ref="Q951:T951"/>
    <mergeCell ref="Y932:AB932"/>
    <mergeCell ref="U933:X933"/>
    <mergeCell ref="Y933:AB933"/>
    <mergeCell ref="Q176:T176"/>
    <mergeCell ref="Q938:T938"/>
    <mergeCell ref="Q939:T939"/>
    <mergeCell ref="Q940:T940"/>
    <mergeCell ref="U938:X938"/>
    <mergeCell ref="Y938:AB938"/>
    <mergeCell ref="U939:X939"/>
    <mergeCell ref="Y939:AB939"/>
    <mergeCell ref="U940:X940"/>
    <mergeCell ref="Y940:AB940"/>
    <mergeCell ref="Y923:AB923"/>
    <mergeCell ref="U924:X924"/>
    <mergeCell ref="Y924:AB924"/>
    <mergeCell ref="U925:X925"/>
    <mergeCell ref="Y925:AB925"/>
    <mergeCell ref="I923:J923"/>
    <mergeCell ref="K923:L923"/>
    <mergeCell ref="M923:N923"/>
    <mergeCell ref="O923:P923"/>
    <mergeCell ref="I924:J924"/>
    <mergeCell ref="K924:L924"/>
    <mergeCell ref="M924:N924"/>
    <mergeCell ref="O924:P924"/>
    <mergeCell ref="K925:L925"/>
    <mergeCell ref="M925:N925"/>
    <mergeCell ref="O925:P925"/>
    <mergeCell ref="Q926:T926"/>
    <mergeCell ref="Q927:T927"/>
    <mergeCell ref="Q928:T928"/>
    <mergeCell ref="U926:X926"/>
    <mergeCell ref="Y926:AB926"/>
    <mergeCell ref="U927:X927"/>
    <mergeCell ref="Y927:AB927"/>
    <mergeCell ref="U928:X928"/>
    <mergeCell ref="Y928:AB928"/>
    <mergeCell ref="Q929:T929"/>
    <mergeCell ref="Q930:T930"/>
    <mergeCell ref="Q931:T931"/>
    <mergeCell ref="U929:X929"/>
    <mergeCell ref="Y929:AB929"/>
    <mergeCell ref="U930:X930"/>
    <mergeCell ref="Y930:AB930"/>
    <mergeCell ref="U931:X931"/>
    <mergeCell ref="Y931:AB931"/>
    <mergeCell ref="I929:J929"/>
    <mergeCell ref="K929:L929"/>
    <mergeCell ref="M929:N929"/>
    <mergeCell ref="Q932:T932"/>
    <mergeCell ref="I926:J926"/>
    <mergeCell ref="K926:L926"/>
    <mergeCell ref="M926:N926"/>
    <mergeCell ref="O926:P926"/>
    <mergeCell ref="Q933:T933"/>
    <mergeCell ref="Q934:T934"/>
    <mergeCell ref="U932:X932"/>
    <mergeCell ref="O929:P929"/>
    <mergeCell ref="I930:J930"/>
    <mergeCell ref="K930:L930"/>
    <mergeCell ref="M930:N930"/>
    <mergeCell ref="O930:P930"/>
    <mergeCell ref="B898:AG898"/>
    <mergeCell ref="B983:AG983"/>
    <mergeCell ref="K986:N987"/>
    <mergeCell ref="K988:N988"/>
    <mergeCell ref="Q911:T911"/>
    <mergeCell ref="Q912:T912"/>
    <mergeCell ref="Q908:T908"/>
    <mergeCell ref="B905:F906"/>
    <mergeCell ref="Q909:T909"/>
    <mergeCell ref="Q910:T910"/>
    <mergeCell ref="Q913:T913"/>
    <mergeCell ref="Q914:T914"/>
    <mergeCell ref="Q915:T915"/>
    <mergeCell ref="Q916:T916"/>
    <mergeCell ref="M913:N913"/>
    <mergeCell ref="O913:P913"/>
    <mergeCell ref="Q917:T917"/>
    <mergeCell ref="Q918:T918"/>
    <mergeCell ref="Q919:T919"/>
    <mergeCell ref="U918:X918"/>
    <mergeCell ref="Y918:AB918"/>
    <mergeCell ref="U919:X919"/>
    <mergeCell ref="Y919:AB919"/>
    <mergeCell ref="Q920:T920"/>
    <mergeCell ref="U915:X915"/>
    <mergeCell ref="Q921:T921"/>
    <mergeCell ref="Q922:T922"/>
    <mergeCell ref="U920:X920"/>
    <mergeCell ref="Y920:AB920"/>
    <mergeCell ref="U921:X921"/>
    <mergeCell ref="Y921:AB921"/>
    <mergeCell ref="U922:X922"/>
    <mergeCell ref="Y922:AB922"/>
    <mergeCell ref="I922:J922"/>
    <mergeCell ref="K922:L922"/>
    <mergeCell ref="M922:N922"/>
    <mergeCell ref="O922:P922"/>
    <mergeCell ref="Q923:T923"/>
    <mergeCell ref="Q924:T924"/>
    <mergeCell ref="Q925:T925"/>
    <mergeCell ref="U923:X923"/>
    <mergeCell ref="Y915:AB915"/>
    <mergeCell ref="U916:X916"/>
    <mergeCell ref="Y916:AB916"/>
    <mergeCell ref="G905:H906"/>
    <mergeCell ref="I905:J906"/>
    <mergeCell ref="B901:AG901"/>
    <mergeCell ref="G926:H926"/>
    <mergeCell ref="Y934:AB934"/>
    <mergeCell ref="Q935:T935"/>
    <mergeCell ref="Q936:T936"/>
    <mergeCell ref="Q937:T937"/>
    <mergeCell ref="U935:X935"/>
    <mergeCell ref="Y935:AB935"/>
    <mergeCell ref="U936:X936"/>
    <mergeCell ref="Y936:AB936"/>
    <mergeCell ref="U937:X937"/>
    <mergeCell ref="Y937:AB937"/>
    <mergeCell ref="I935:J935"/>
    <mergeCell ref="K935:L935"/>
    <mergeCell ref="M935:N935"/>
    <mergeCell ref="O935:P935"/>
    <mergeCell ref="U911:X911"/>
    <mergeCell ref="Y911:AB911"/>
    <mergeCell ref="S847:V847"/>
    <mergeCell ref="S848:V848"/>
    <mergeCell ref="S849:V849"/>
    <mergeCell ref="S850:V850"/>
    <mergeCell ref="K854:N854"/>
    <mergeCell ref="K855:N855"/>
    <mergeCell ref="K856:N856"/>
    <mergeCell ref="K851:N851"/>
    <mergeCell ref="K852:N852"/>
    <mergeCell ref="K853:N853"/>
    <mergeCell ref="O851:R851"/>
    <mergeCell ref="O852:R852"/>
    <mergeCell ref="O853:R853"/>
    <mergeCell ref="O854:R854"/>
    <mergeCell ref="O855:R855"/>
    <mergeCell ref="O856:R856"/>
    <mergeCell ref="K882:N882"/>
    <mergeCell ref="K877:N877"/>
    <mergeCell ref="K878:N878"/>
    <mergeCell ref="K879:N879"/>
    <mergeCell ref="I877:J877"/>
    <mergeCell ref="I878:J878"/>
    <mergeCell ref="I879:J879"/>
    <mergeCell ref="I880:J880"/>
    <mergeCell ref="I881:J881"/>
    <mergeCell ref="I882:J882"/>
    <mergeCell ref="O880:R880"/>
    <mergeCell ref="O881:R881"/>
    <mergeCell ref="O882:R882"/>
    <mergeCell ref="S877:V877"/>
    <mergeCell ref="S878:V878"/>
    <mergeCell ref="S879:V879"/>
    <mergeCell ref="S880:V880"/>
    <mergeCell ref="S881:V881"/>
    <mergeCell ref="O871:R871"/>
    <mergeCell ref="O872:R872"/>
    <mergeCell ref="O873:R873"/>
    <mergeCell ref="O874:R874"/>
    <mergeCell ref="O875:R875"/>
    <mergeCell ref="O876:R876"/>
    <mergeCell ref="O877:R877"/>
    <mergeCell ref="O878:R878"/>
    <mergeCell ref="S882:V882"/>
    <mergeCell ref="O857:R857"/>
    <mergeCell ref="O858:R858"/>
    <mergeCell ref="O859:R859"/>
    <mergeCell ref="O860:R860"/>
    <mergeCell ref="O861:R861"/>
    <mergeCell ref="O862:R862"/>
    <mergeCell ref="S865:V865"/>
    <mergeCell ref="S866:V866"/>
    <mergeCell ref="S867:V867"/>
    <mergeCell ref="S868:V868"/>
    <mergeCell ref="S869:V869"/>
    <mergeCell ref="S870:V870"/>
    <mergeCell ref="S871:V871"/>
    <mergeCell ref="O879:R879"/>
    <mergeCell ref="G794:H794"/>
    <mergeCell ref="G795:H795"/>
    <mergeCell ref="G796:H796"/>
    <mergeCell ref="G797:H797"/>
    <mergeCell ref="G798:H798"/>
    <mergeCell ref="G799:H799"/>
    <mergeCell ref="O824:R825"/>
    <mergeCell ref="O826:R826"/>
    <mergeCell ref="O827:R827"/>
    <mergeCell ref="O828:R828"/>
    <mergeCell ref="O829:R829"/>
    <mergeCell ref="I826:J826"/>
    <mergeCell ref="I827:J827"/>
    <mergeCell ref="I828:J828"/>
    <mergeCell ref="I829:J829"/>
    <mergeCell ref="I830:J830"/>
    <mergeCell ref="I831:J831"/>
    <mergeCell ref="I832:J832"/>
    <mergeCell ref="I833:J833"/>
    <mergeCell ref="I834:J834"/>
    <mergeCell ref="I851:J851"/>
    <mergeCell ref="I852:J852"/>
    <mergeCell ref="W857:X857"/>
    <mergeCell ref="W858:X858"/>
    <mergeCell ref="W859:X859"/>
    <mergeCell ref="W860:X860"/>
    <mergeCell ref="W861:X861"/>
    <mergeCell ref="W862:X862"/>
    <mergeCell ref="K869:N869"/>
    <mergeCell ref="K870:N870"/>
    <mergeCell ref="K866:N866"/>
    <mergeCell ref="K867:N867"/>
    <mergeCell ref="K868:N868"/>
    <mergeCell ref="K863:N863"/>
    <mergeCell ref="K864:N864"/>
    <mergeCell ref="K865:N865"/>
    <mergeCell ref="I863:J863"/>
    <mergeCell ref="I864:J864"/>
    <mergeCell ref="I865:J865"/>
    <mergeCell ref="I866:J866"/>
    <mergeCell ref="I867:J867"/>
    <mergeCell ref="I868:J868"/>
    <mergeCell ref="I869:J869"/>
    <mergeCell ref="I870:J870"/>
    <mergeCell ref="O863:R863"/>
    <mergeCell ref="O864:R864"/>
    <mergeCell ref="O865:R865"/>
    <mergeCell ref="O866:R866"/>
    <mergeCell ref="O867:R867"/>
    <mergeCell ref="O868:R868"/>
    <mergeCell ref="O869:R869"/>
    <mergeCell ref="O870:R870"/>
    <mergeCell ref="W824:X825"/>
    <mergeCell ref="W826:X826"/>
    <mergeCell ref="G832:H832"/>
    <mergeCell ref="G833:H833"/>
    <mergeCell ref="G834:H834"/>
    <mergeCell ref="G835:H835"/>
    <mergeCell ref="G836:H836"/>
    <mergeCell ref="G837:H837"/>
    <mergeCell ref="G838:H838"/>
    <mergeCell ref="O830:R830"/>
    <mergeCell ref="O831:R831"/>
    <mergeCell ref="O832:R832"/>
    <mergeCell ref="G789:H789"/>
    <mergeCell ref="G790:H790"/>
    <mergeCell ref="G791:H791"/>
    <mergeCell ref="G792:H792"/>
    <mergeCell ref="G793:H793"/>
    <mergeCell ref="I788:J788"/>
    <mergeCell ref="I789:J789"/>
    <mergeCell ref="I790:J790"/>
    <mergeCell ref="I791:J791"/>
    <mergeCell ref="G800:H800"/>
    <mergeCell ref="K842:N842"/>
    <mergeCell ref="K843:N843"/>
    <mergeCell ref="K839:N839"/>
    <mergeCell ref="K840:N840"/>
    <mergeCell ref="K841:N841"/>
    <mergeCell ref="O839:R839"/>
    <mergeCell ref="O840:R840"/>
    <mergeCell ref="O841:R841"/>
    <mergeCell ref="O842:R842"/>
    <mergeCell ref="O843:R843"/>
    <mergeCell ref="S843:V843"/>
    <mergeCell ref="S832:V832"/>
    <mergeCell ref="S833:V833"/>
    <mergeCell ref="S834:V834"/>
    <mergeCell ref="S835:V835"/>
    <mergeCell ref="S836:V836"/>
    <mergeCell ref="S837:V837"/>
    <mergeCell ref="S838:V838"/>
    <mergeCell ref="S839:V839"/>
    <mergeCell ref="S840:V840"/>
    <mergeCell ref="S841:V841"/>
    <mergeCell ref="S842:V842"/>
    <mergeCell ref="K830:N830"/>
    <mergeCell ref="K831:N831"/>
    <mergeCell ref="K801:L801"/>
    <mergeCell ref="K802:L802"/>
    <mergeCell ref="O797:P797"/>
    <mergeCell ref="O798:P798"/>
    <mergeCell ref="O799:P799"/>
    <mergeCell ref="O800:P800"/>
    <mergeCell ref="G839:H839"/>
    <mergeCell ref="G840:H840"/>
    <mergeCell ref="G841:H841"/>
    <mergeCell ref="G801:H801"/>
    <mergeCell ref="G802:H802"/>
    <mergeCell ref="I798:J798"/>
    <mergeCell ref="I799:J799"/>
    <mergeCell ref="I800:J800"/>
    <mergeCell ref="I801:J801"/>
    <mergeCell ref="I802:J802"/>
    <mergeCell ref="K798:L798"/>
    <mergeCell ref="K799:L799"/>
    <mergeCell ref="K800:L800"/>
    <mergeCell ref="I824:J825"/>
    <mergeCell ref="K832:N832"/>
    <mergeCell ref="K827:N827"/>
    <mergeCell ref="K828:N828"/>
    <mergeCell ref="K829:N829"/>
    <mergeCell ref="K836:N836"/>
    <mergeCell ref="K837:N837"/>
    <mergeCell ref="K838:N838"/>
    <mergeCell ref="K833:N833"/>
    <mergeCell ref="K834:N834"/>
    <mergeCell ref="K835:N835"/>
    <mergeCell ref="Y781:AB781"/>
    <mergeCell ref="Y782:AB782"/>
    <mergeCell ref="U788:X788"/>
    <mergeCell ref="U791:X791"/>
    <mergeCell ref="U790:X790"/>
    <mergeCell ref="U780:X780"/>
    <mergeCell ref="U779:X779"/>
    <mergeCell ref="U778:X778"/>
    <mergeCell ref="U777:X777"/>
    <mergeCell ref="U784:X784"/>
    <mergeCell ref="U776:X776"/>
    <mergeCell ref="U783:X783"/>
    <mergeCell ref="U782:X782"/>
    <mergeCell ref="U781:X781"/>
    <mergeCell ref="U787:X787"/>
    <mergeCell ref="U786:X786"/>
    <mergeCell ref="U785:X785"/>
    <mergeCell ref="U792:X792"/>
    <mergeCell ref="U758:X758"/>
    <mergeCell ref="Y767:AB767"/>
    <mergeCell ref="Y768:AB768"/>
    <mergeCell ref="Y769:AB769"/>
    <mergeCell ref="K826:N826"/>
    <mergeCell ref="Q797:T797"/>
    <mergeCell ref="Q798:T798"/>
    <mergeCell ref="Q799:T799"/>
    <mergeCell ref="Q800:T800"/>
    <mergeCell ref="O815:Q815"/>
    <mergeCell ref="B817:AG817"/>
    <mergeCell ref="U801:X801"/>
    <mergeCell ref="B804:G804"/>
    <mergeCell ref="H804:N804"/>
    <mergeCell ref="S826:V826"/>
    <mergeCell ref="K794:L794"/>
    <mergeCell ref="K795:L795"/>
    <mergeCell ref="G779:H779"/>
    <mergeCell ref="G780:H780"/>
    <mergeCell ref="M781:N781"/>
    <mergeCell ref="M782:N782"/>
    <mergeCell ref="M783:N783"/>
    <mergeCell ref="M784:N784"/>
    <mergeCell ref="M785:N785"/>
    <mergeCell ref="M786:N786"/>
    <mergeCell ref="Y800:AB800"/>
    <mergeCell ref="Y801:AB801"/>
    <mergeCell ref="Y802:AB802"/>
    <mergeCell ref="Q782:T782"/>
    <mergeCell ref="Q794:T794"/>
    <mergeCell ref="Q795:T795"/>
    <mergeCell ref="Q783:T783"/>
    <mergeCell ref="Q776:T776"/>
    <mergeCell ref="Q784:T784"/>
    <mergeCell ref="Q777:T777"/>
    <mergeCell ref="Q778:T778"/>
    <mergeCell ref="Q779:T779"/>
    <mergeCell ref="Q796:T796"/>
    <mergeCell ref="Q789:T789"/>
    <mergeCell ref="AC799:AD799"/>
    <mergeCell ref="G824:H825"/>
    <mergeCell ref="G826:H826"/>
    <mergeCell ref="Q790:T790"/>
    <mergeCell ref="Q791:T791"/>
    <mergeCell ref="Q792:T792"/>
    <mergeCell ref="Q785:T785"/>
    <mergeCell ref="M771:N771"/>
    <mergeCell ref="M772:N772"/>
    <mergeCell ref="M773:N773"/>
    <mergeCell ref="M774:N774"/>
    <mergeCell ref="M775:N775"/>
    <mergeCell ref="M776:N776"/>
    <mergeCell ref="M777:N777"/>
    <mergeCell ref="M778:N778"/>
    <mergeCell ref="M779:N779"/>
    <mergeCell ref="M780:N780"/>
    <mergeCell ref="O773:P773"/>
    <mergeCell ref="U773:X773"/>
    <mergeCell ref="Y773:AB773"/>
    <mergeCell ref="U774:X774"/>
    <mergeCell ref="Y774:AB774"/>
    <mergeCell ref="U775:X775"/>
    <mergeCell ref="Y775:AB775"/>
    <mergeCell ref="Y776:AB776"/>
    <mergeCell ref="Y777:AB777"/>
    <mergeCell ref="Y778:AB778"/>
    <mergeCell ref="Y779:AB779"/>
    <mergeCell ref="Y780:AB780"/>
    <mergeCell ref="U763:X763"/>
    <mergeCell ref="U762:X762"/>
    <mergeCell ref="U767:X767"/>
    <mergeCell ref="U766:X766"/>
    <mergeCell ref="U765:X765"/>
    <mergeCell ref="U764:X764"/>
    <mergeCell ref="O764:P764"/>
    <mergeCell ref="O765:P765"/>
    <mergeCell ref="O766:P766"/>
    <mergeCell ref="O767:P767"/>
    <mergeCell ref="Y766:AB766"/>
    <mergeCell ref="O770:P770"/>
    <mergeCell ref="O771:P771"/>
    <mergeCell ref="O772:P772"/>
    <mergeCell ref="O774:P774"/>
    <mergeCell ref="O775:P775"/>
    <mergeCell ref="O776:P776"/>
    <mergeCell ref="O777:P777"/>
    <mergeCell ref="O778:P778"/>
    <mergeCell ref="O779:P779"/>
    <mergeCell ref="O780:P780"/>
    <mergeCell ref="Y770:AB770"/>
    <mergeCell ref="Y771:AB771"/>
    <mergeCell ref="U772:X772"/>
    <mergeCell ref="Y772:AB772"/>
    <mergeCell ref="L671:O671"/>
    <mergeCell ref="S671:V671"/>
    <mergeCell ref="B705:U706"/>
    <mergeCell ref="V705:X706"/>
    <mergeCell ref="Y705:AA706"/>
    <mergeCell ref="AB705:AD706"/>
    <mergeCell ref="AE705:AG706"/>
    <mergeCell ref="B707:U708"/>
    <mergeCell ref="V707:X708"/>
    <mergeCell ref="Y707:AA708"/>
    <mergeCell ref="AB707:AD708"/>
    <mergeCell ref="AE707:AG708"/>
    <mergeCell ref="W671:X671"/>
    <mergeCell ref="P678:R678"/>
    <mergeCell ref="P679:R679"/>
    <mergeCell ref="B681:G681"/>
    <mergeCell ref="H681:N681"/>
    <mergeCell ref="B684:N684"/>
    <mergeCell ref="O684:Q684"/>
    <mergeCell ref="B685:N685"/>
    <mergeCell ref="O685:Q685"/>
    <mergeCell ref="B686:N686"/>
    <mergeCell ref="O686:Q686"/>
    <mergeCell ref="B687:N687"/>
    <mergeCell ref="O687:Q687"/>
    <mergeCell ref="B688:N688"/>
    <mergeCell ref="O688:Q688"/>
    <mergeCell ref="B689:N689"/>
    <mergeCell ref="O689:Q689"/>
    <mergeCell ref="B690:N690"/>
    <mergeCell ref="O690:Q690"/>
    <mergeCell ref="B691:N691"/>
    <mergeCell ref="B699:H699"/>
    <mergeCell ref="I699:O699"/>
    <mergeCell ref="AF699:AG699"/>
    <mergeCell ref="B701:AD703"/>
    <mergeCell ref="AE701:AE703"/>
    <mergeCell ref="AF701:AG703"/>
    <mergeCell ref="W675:X675"/>
    <mergeCell ref="G676:H676"/>
    <mergeCell ref="L676:O676"/>
    <mergeCell ref="S676:V676"/>
    <mergeCell ref="W676:X676"/>
    <mergeCell ref="G677:H677"/>
    <mergeCell ref="L677:O677"/>
    <mergeCell ref="S677:V677"/>
    <mergeCell ref="W677:X677"/>
    <mergeCell ref="G678:H678"/>
    <mergeCell ref="L678:O678"/>
    <mergeCell ref="S678:V678"/>
    <mergeCell ref="W678:X678"/>
    <mergeCell ref="I674:K674"/>
    <mergeCell ref="I675:K675"/>
    <mergeCell ref="I676:K676"/>
    <mergeCell ref="I677:K677"/>
    <mergeCell ref="I678:K678"/>
    <mergeCell ref="I679:K679"/>
    <mergeCell ref="G646:H646"/>
    <mergeCell ref="L646:O646"/>
    <mergeCell ref="S646:V646"/>
    <mergeCell ref="W646:X646"/>
    <mergeCell ref="G647:H647"/>
    <mergeCell ref="L647:O647"/>
    <mergeCell ref="P666:R666"/>
    <mergeCell ref="P667:R667"/>
    <mergeCell ref="P668:R668"/>
    <mergeCell ref="G664:H664"/>
    <mergeCell ref="L664:O664"/>
    <mergeCell ref="S664:V664"/>
    <mergeCell ref="W664:X664"/>
    <mergeCell ref="G665:H665"/>
    <mergeCell ref="L665:O665"/>
    <mergeCell ref="S665:V665"/>
    <mergeCell ref="W665:X665"/>
    <mergeCell ref="G666:H666"/>
    <mergeCell ref="L666:O666"/>
    <mergeCell ref="S666:V666"/>
    <mergeCell ref="W666:X666"/>
    <mergeCell ref="G667:H667"/>
    <mergeCell ref="L667:O667"/>
    <mergeCell ref="P664:R664"/>
    <mergeCell ref="P665:R665"/>
    <mergeCell ref="S667:V667"/>
    <mergeCell ref="W667:X667"/>
    <mergeCell ref="G668:H668"/>
    <mergeCell ref="L668:O668"/>
    <mergeCell ref="S668:V668"/>
    <mergeCell ref="W668:X668"/>
    <mergeCell ref="I664:K664"/>
    <mergeCell ref="I665:K665"/>
    <mergeCell ref="I666:K666"/>
    <mergeCell ref="I667:K667"/>
    <mergeCell ref="G656:H656"/>
    <mergeCell ref="L656:O656"/>
    <mergeCell ref="S656:V656"/>
    <mergeCell ref="W656:X656"/>
    <mergeCell ref="G657:H657"/>
    <mergeCell ref="L657:O657"/>
    <mergeCell ref="S657:V657"/>
    <mergeCell ref="W657:X657"/>
    <mergeCell ref="G658:H658"/>
    <mergeCell ref="L658:O658"/>
    <mergeCell ref="S658:V658"/>
    <mergeCell ref="W658:X658"/>
    <mergeCell ref="P655:R655"/>
    <mergeCell ref="P656:R656"/>
    <mergeCell ref="P657:R657"/>
    <mergeCell ref="P658:R658"/>
    <mergeCell ref="G659:H659"/>
    <mergeCell ref="L659:O659"/>
    <mergeCell ref="S659:V659"/>
    <mergeCell ref="W659:X659"/>
    <mergeCell ref="P659:R659"/>
    <mergeCell ref="I655:K655"/>
    <mergeCell ref="I656:K656"/>
    <mergeCell ref="I657:K657"/>
    <mergeCell ref="I658:K658"/>
    <mergeCell ref="I659:K659"/>
    <mergeCell ref="S662:V662"/>
    <mergeCell ref="W662:X662"/>
    <mergeCell ref="G663:H663"/>
    <mergeCell ref="W641:X641"/>
    <mergeCell ref="B522:AG522"/>
    <mergeCell ref="B524:AG524"/>
    <mergeCell ref="B525:AG526"/>
    <mergeCell ref="B531:AG531"/>
    <mergeCell ref="B532:AG533"/>
    <mergeCell ref="K462:L462"/>
    <mergeCell ref="M462:P462"/>
    <mergeCell ref="Q462:T462"/>
    <mergeCell ref="AA462:AD462"/>
    <mergeCell ref="AE462:AF462"/>
    <mergeCell ref="G463:H463"/>
    <mergeCell ref="K463:L463"/>
    <mergeCell ref="M463:P463"/>
    <mergeCell ref="G642:H642"/>
    <mergeCell ref="L642:O642"/>
    <mergeCell ref="S642:V642"/>
    <mergeCell ref="W642:X642"/>
    <mergeCell ref="U469:W469"/>
    <mergeCell ref="X469:Z469"/>
    <mergeCell ref="U470:W470"/>
    <mergeCell ref="X470:Z470"/>
    <mergeCell ref="K465:L465"/>
    <mergeCell ref="M465:P465"/>
    <mergeCell ref="Q465:T465"/>
    <mergeCell ref="AA465:AD465"/>
    <mergeCell ref="AE465:AF465"/>
    <mergeCell ref="G466:H466"/>
    <mergeCell ref="K466:L466"/>
    <mergeCell ref="M466:P466"/>
    <mergeCell ref="Q466:T466"/>
    <mergeCell ref="AA466:AD466"/>
    <mergeCell ref="AE466:AF466"/>
    <mergeCell ref="G467:H467"/>
    <mergeCell ref="K467:L467"/>
    <mergeCell ref="M467:P467"/>
    <mergeCell ref="Q467:T467"/>
    <mergeCell ref="AA467:AD467"/>
    <mergeCell ref="AE467:AF467"/>
    <mergeCell ref="S582:V582"/>
    <mergeCell ref="S583:V583"/>
    <mergeCell ref="S584:V584"/>
    <mergeCell ref="G465:H465"/>
    <mergeCell ref="U466:W466"/>
    <mergeCell ref="X466:Z466"/>
    <mergeCell ref="U467:W467"/>
    <mergeCell ref="X467:Z467"/>
    <mergeCell ref="U465:W465"/>
    <mergeCell ref="X465:Z465"/>
    <mergeCell ref="AA470:AD470"/>
    <mergeCell ref="AE470:AF470"/>
    <mergeCell ref="U468:W468"/>
    <mergeCell ref="X468:Z468"/>
    <mergeCell ref="G471:H471"/>
    <mergeCell ref="K471:L471"/>
    <mergeCell ref="M471:P471"/>
    <mergeCell ref="Q471:T471"/>
    <mergeCell ref="AA471:AD471"/>
    <mergeCell ref="AE471:AF471"/>
    <mergeCell ref="G472:H472"/>
    <mergeCell ref="K472:L472"/>
    <mergeCell ref="M472:P472"/>
    <mergeCell ref="Q472:T472"/>
    <mergeCell ref="B509:U510"/>
    <mergeCell ref="AA420:AD420"/>
    <mergeCell ref="AE420:AF420"/>
    <mergeCell ref="G421:H421"/>
    <mergeCell ref="K421:L421"/>
    <mergeCell ref="M421:P421"/>
    <mergeCell ref="AA424:AD424"/>
    <mergeCell ref="AE424:AF424"/>
    <mergeCell ref="G425:H425"/>
    <mergeCell ref="K425:L425"/>
    <mergeCell ref="M425:P425"/>
    <mergeCell ref="P634:R634"/>
    <mergeCell ref="G633:H633"/>
    <mergeCell ref="L633:O633"/>
    <mergeCell ref="S633:V633"/>
    <mergeCell ref="W633:X633"/>
    <mergeCell ref="I633:K633"/>
    <mergeCell ref="I634:K634"/>
    <mergeCell ref="I635:K635"/>
    <mergeCell ref="I636:K636"/>
    <mergeCell ref="I637:K637"/>
    <mergeCell ref="I638:K638"/>
    <mergeCell ref="L640:O640"/>
    <mergeCell ref="S640:V640"/>
    <mergeCell ref="W640:X640"/>
    <mergeCell ref="B503:U504"/>
    <mergeCell ref="V503:X504"/>
    <mergeCell ref="G634:H634"/>
    <mergeCell ref="L634:O634"/>
    <mergeCell ref="S634:V634"/>
    <mergeCell ref="W634:X634"/>
    <mergeCell ref="G461:H461"/>
    <mergeCell ref="G643:H643"/>
    <mergeCell ref="L643:O643"/>
    <mergeCell ref="S643:V643"/>
    <mergeCell ref="W643:X643"/>
    <mergeCell ref="AA441:AD441"/>
    <mergeCell ref="AE441:AF441"/>
    <mergeCell ref="U441:W441"/>
    <mergeCell ref="X441:Z441"/>
    <mergeCell ref="X439:Z439"/>
    <mergeCell ref="U440:W440"/>
    <mergeCell ref="X440:Z440"/>
    <mergeCell ref="G442:H442"/>
    <mergeCell ref="K442:L442"/>
    <mergeCell ref="M442:P442"/>
    <mergeCell ref="Q442:T442"/>
    <mergeCell ref="AA442:AD442"/>
    <mergeCell ref="AE442:AF442"/>
    <mergeCell ref="AA434:AD434"/>
    <mergeCell ref="AE434:AF434"/>
    <mergeCell ref="G435:H435"/>
    <mergeCell ref="K435:L435"/>
    <mergeCell ref="M435:P435"/>
    <mergeCell ref="Q435:T435"/>
    <mergeCell ref="AA435:AD435"/>
    <mergeCell ref="AE435:AF435"/>
    <mergeCell ref="U435:W435"/>
    <mergeCell ref="X435:Z435"/>
    <mergeCell ref="K439:L439"/>
    <mergeCell ref="Q439:T439"/>
    <mergeCell ref="AA439:AD439"/>
    <mergeCell ref="AE439:AF439"/>
    <mergeCell ref="G440:H440"/>
    <mergeCell ref="P639:R639"/>
    <mergeCell ref="AE430:AF430"/>
    <mergeCell ref="G431:H431"/>
    <mergeCell ref="U426:W426"/>
    <mergeCell ref="U460:W460"/>
    <mergeCell ref="X428:Z428"/>
    <mergeCell ref="U429:W429"/>
    <mergeCell ref="X429:Z429"/>
    <mergeCell ref="U430:W430"/>
    <mergeCell ref="X430:Z430"/>
    <mergeCell ref="M434:P434"/>
    <mergeCell ref="Q434:T434"/>
    <mergeCell ref="K423:L423"/>
    <mergeCell ref="M423:P423"/>
    <mergeCell ref="Q423:T423"/>
    <mergeCell ref="AA423:AD423"/>
    <mergeCell ref="AE423:AF423"/>
    <mergeCell ref="U423:W423"/>
    <mergeCell ref="X423:Z423"/>
    <mergeCell ref="K440:L440"/>
    <mergeCell ref="Q438:T438"/>
    <mergeCell ref="U439:W439"/>
    <mergeCell ref="AE443:AF443"/>
    <mergeCell ref="G444:H444"/>
    <mergeCell ref="K444:L444"/>
    <mergeCell ref="M444:P444"/>
    <mergeCell ref="Q444:T444"/>
    <mergeCell ref="AA444:AD444"/>
    <mergeCell ref="AE444:AF444"/>
    <mergeCell ref="U444:W444"/>
    <mergeCell ref="X444:Z444"/>
    <mergeCell ref="U442:W442"/>
    <mergeCell ref="X442:Z442"/>
    <mergeCell ref="U443:W443"/>
    <mergeCell ref="X443:Z443"/>
    <mergeCell ref="M438:P438"/>
    <mergeCell ref="G439:H439"/>
    <mergeCell ref="G445:H445"/>
    <mergeCell ref="K445:L445"/>
    <mergeCell ref="M445:P445"/>
    <mergeCell ref="Q445:T445"/>
    <mergeCell ref="AA445:AD445"/>
    <mergeCell ref="AE445:AF445"/>
    <mergeCell ref="G446:H446"/>
    <mergeCell ref="K446:L446"/>
    <mergeCell ref="M446:P446"/>
    <mergeCell ref="Q446:T446"/>
    <mergeCell ref="AA446:AD446"/>
    <mergeCell ref="AE446:AF446"/>
    <mergeCell ref="G447:H447"/>
    <mergeCell ref="K447:L447"/>
    <mergeCell ref="M447:P447"/>
    <mergeCell ref="Q447:T447"/>
    <mergeCell ref="AA447:AD447"/>
    <mergeCell ref="AE447:AF447"/>
    <mergeCell ref="U445:W445"/>
    <mergeCell ref="X445:Z445"/>
    <mergeCell ref="U446:W446"/>
    <mergeCell ref="X446:Z446"/>
    <mergeCell ref="M440:P440"/>
    <mergeCell ref="Q440:T440"/>
    <mergeCell ref="U447:W447"/>
    <mergeCell ref="X447:Z447"/>
    <mergeCell ref="AA440:AD440"/>
    <mergeCell ref="AE448:AF448"/>
    <mergeCell ref="B401:N401"/>
    <mergeCell ref="O401:Q401"/>
    <mergeCell ref="B402:N402"/>
    <mergeCell ref="O402:Q402"/>
    <mergeCell ref="B396:G396"/>
    <mergeCell ref="H396:N396"/>
    <mergeCell ref="B399:N399"/>
    <mergeCell ref="O399:Q399"/>
    <mergeCell ref="B400:N400"/>
    <mergeCell ref="O406:Q406"/>
    <mergeCell ref="B407:N407"/>
    <mergeCell ref="O407:Q407"/>
    <mergeCell ref="B409:AG409"/>
    <mergeCell ref="B416:F417"/>
    <mergeCell ref="G416:H417"/>
    <mergeCell ref="K416:L417"/>
    <mergeCell ref="M416:P417"/>
    <mergeCell ref="B403:N403"/>
    <mergeCell ref="Q416:T417"/>
    <mergeCell ref="G419:H419"/>
    <mergeCell ref="K419:L419"/>
    <mergeCell ref="G418:H418"/>
    <mergeCell ref="K418:L418"/>
    <mergeCell ref="M418:P418"/>
    <mergeCell ref="Q418:T418"/>
    <mergeCell ref="AA419:AD419"/>
    <mergeCell ref="AE419:AF419"/>
    <mergeCell ref="X394:Z394"/>
    <mergeCell ref="O403:Q403"/>
    <mergeCell ref="K461:L461"/>
    <mergeCell ref="M461:P461"/>
    <mergeCell ref="Q461:T461"/>
    <mergeCell ref="U424:W424"/>
    <mergeCell ref="X424:Z424"/>
    <mergeCell ref="U425:W425"/>
    <mergeCell ref="X425:Z425"/>
    <mergeCell ref="U431:W431"/>
    <mergeCell ref="X431:Z431"/>
    <mergeCell ref="U432:W432"/>
    <mergeCell ref="X432:Z432"/>
    <mergeCell ref="G433:H433"/>
    <mergeCell ref="K433:L433"/>
    <mergeCell ref="M433:P433"/>
    <mergeCell ref="Q433:T433"/>
    <mergeCell ref="U434:W434"/>
    <mergeCell ref="X434:Z434"/>
    <mergeCell ref="K460:L460"/>
    <mergeCell ref="M460:P460"/>
    <mergeCell ref="K441:L441"/>
    <mergeCell ref="M441:P441"/>
    <mergeCell ref="Q441:T441"/>
    <mergeCell ref="G443:H443"/>
    <mergeCell ref="K443:L443"/>
    <mergeCell ref="M443:P443"/>
    <mergeCell ref="U433:W433"/>
    <mergeCell ref="X433:Z433"/>
    <mergeCell ref="G428:H428"/>
    <mergeCell ref="K428:L428"/>
    <mergeCell ref="M428:P428"/>
    <mergeCell ref="Q428:T428"/>
    <mergeCell ref="M439:P439"/>
    <mergeCell ref="AA431:AD431"/>
    <mergeCell ref="B412:AG412"/>
    <mergeCell ref="AA421:AD421"/>
    <mergeCell ref="K301:L301"/>
    <mergeCell ref="M301:P301"/>
    <mergeCell ref="Q301:T301"/>
    <mergeCell ref="G302:H302"/>
    <mergeCell ref="K302:L302"/>
    <mergeCell ref="M302:P302"/>
    <mergeCell ref="Q302:T302"/>
    <mergeCell ref="G303:H303"/>
    <mergeCell ref="K303:L303"/>
    <mergeCell ref="M303:P303"/>
    <mergeCell ref="Q303:T303"/>
    <mergeCell ref="U302:W302"/>
    <mergeCell ref="X302:Z302"/>
    <mergeCell ref="U303:W303"/>
    <mergeCell ref="X303:Z303"/>
    <mergeCell ref="U301:W301"/>
    <mergeCell ref="X301:Z301"/>
    <mergeCell ref="K228:L228"/>
    <mergeCell ref="U228:W228"/>
    <mergeCell ref="X228:Z228"/>
    <mergeCell ref="K229:L229"/>
    <mergeCell ref="U229:W229"/>
    <mergeCell ref="X229:Z229"/>
    <mergeCell ref="M228:P228"/>
    <mergeCell ref="M229:P229"/>
    <mergeCell ref="M254:P255"/>
    <mergeCell ref="Q254:T255"/>
    <mergeCell ref="M230:P230"/>
    <mergeCell ref="Q228:T228"/>
    <mergeCell ref="Q229:T229"/>
    <mergeCell ref="Q230:T230"/>
    <mergeCell ref="G228:H228"/>
    <mergeCell ref="G229:H229"/>
    <mergeCell ref="G230:H230"/>
    <mergeCell ref="K230:L230"/>
    <mergeCell ref="U230:W230"/>
    <mergeCell ref="X230:Z230"/>
    <mergeCell ref="K231:L231"/>
    <mergeCell ref="U231:W231"/>
    <mergeCell ref="X231:Z231"/>
    <mergeCell ref="O237:Q237"/>
    <mergeCell ref="B234:G234"/>
    <mergeCell ref="M231:P231"/>
    <mergeCell ref="M232:P232"/>
    <mergeCell ref="B242:N242"/>
    <mergeCell ref="B243:N243"/>
    <mergeCell ref="G231:H231"/>
    <mergeCell ref="G232:H232"/>
    <mergeCell ref="G256:H256"/>
    <mergeCell ref="K256:L256"/>
    <mergeCell ref="M256:P256"/>
    <mergeCell ref="Q256:T256"/>
    <mergeCell ref="G261:H261"/>
    <mergeCell ref="K261:L261"/>
    <mergeCell ref="M261:P261"/>
    <mergeCell ref="Q261:T261"/>
    <mergeCell ref="G268:H268"/>
    <mergeCell ref="K268:L268"/>
    <mergeCell ref="M268:P268"/>
    <mergeCell ref="Q268:T268"/>
    <mergeCell ref="U275:W275"/>
    <mergeCell ref="X275:Z275"/>
    <mergeCell ref="B254:F255"/>
    <mergeCell ref="K232:L232"/>
    <mergeCell ref="K202:L202"/>
    <mergeCell ref="U202:W202"/>
    <mergeCell ref="X202:Z202"/>
    <mergeCell ref="K203:L203"/>
    <mergeCell ref="U203:W203"/>
    <mergeCell ref="X203:Z203"/>
    <mergeCell ref="Q202:T202"/>
    <mergeCell ref="Q203:T203"/>
    <mergeCell ref="M205:P205"/>
    <mergeCell ref="M206:P206"/>
    <mergeCell ref="M207:P207"/>
    <mergeCell ref="M208:P208"/>
    <mergeCell ref="M209:P209"/>
    <mergeCell ref="M210:P210"/>
    <mergeCell ref="M211:P211"/>
    <mergeCell ref="M212:P212"/>
    <mergeCell ref="M213:P213"/>
    <mergeCell ref="X221:Z221"/>
    <mergeCell ref="M220:P220"/>
    <mergeCell ref="M221:P221"/>
    <mergeCell ref="M222:P222"/>
    <mergeCell ref="M223:P223"/>
    <mergeCell ref="K226:L226"/>
    <mergeCell ref="U226:W226"/>
    <mergeCell ref="X226:Z226"/>
    <mergeCell ref="K220:L220"/>
    <mergeCell ref="Q220:T220"/>
    <mergeCell ref="Q221:T221"/>
    <mergeCell ref="Q222:T222"/>
    <mergeCell ref="Q223:T223"/>
    <mergeCell ref="K222:L222"/>
    <mergeCell ref="U222:W222"/>
    <mergeCell ref="X222:Z222"/>
    <mergeCell ref="K223:L223"/>
    <mergeCell ref="Q205:T205"/>
    <mergeCell ref="Q206:T206"/>
    <mergeCell ref="Q207:T207"/>
    <mergeCell ref="Q212:T212"/>
    <mergeCell ref="Q213:T213"/>
    <mergeCell ref="K212:L212"/>
    <mergeCell ref="U212:W212"/>
    <mergeCell ref="X212:Z212"/>
    <mergeCell ref="K213:L213"/>
    <mergeCell ref="U213:W213"/>
    <mergeCell ref="X205:Z205"/>
    <mergeCell ref="M204:P204"/>
    <mergeCell ref="K210:L210"/>
    <mergeCell ref="U210:W210"/>
    <mergeCell ref="X210:Z210"/>
    <mergeCell ref="K211:L211"/>
    <mergeCell ref="U211:W211"/>
    <mergeCell ref="X211:Z211"/>
    <mergeCell ref="K208:L208"/>
    <mergeCell ref="U208:W208"/>
    <mergeCell ref="X208:Z208"/>
    <mergeCell ref="K209:L209"/>
    <mergeCell ref="U209:W209"/>
    <mergeCell ref="X209:Z209"/>
    <mergeCell ref="M202:P202"/>
    <mergeCell ref="M203:P203"/>
    <mergeCell ref="K206:L206"/>
    <mergeCell ref="U206:W206"/>
    <mergeCell ref="X206:Z206"/>
    <mergeCell ref="K207:L207"/>
    <mergeCell ref="G214:H214"/>
    <mergeCell ref="G215:H215"/>
    <mergeCell ref="G216:H216"/>
    <mergeCell ref="X227:Z227"/>
    <mergeCell ref="U220:W220"/>
    <mergeCell ref="X220:Z220"/>
    <mergeCell ref="K221:L221"/>
    <mergeCell ref="U221:W221"/>
    <mergeCell ref="Q204:T204"/>
    <mergeCell ref="X213:Z213"/>
    <mergeCell ref="AE208:AF208"/>
    <mergeCell ref="AE209:AF209"/>
    <mergeCell ref="AE210:AF210"/>
    <mergeCell ref="AE211:AF211"/>
    <mergeCell ref="Q208:T208"/>
    <mergeCell ref="Q209:T209"/>
    <mergeCell ref="Q210:T210"/>
    <mergeCell ref="Q211:T211"/>
    <mergeCell ref="AE205:AF205"/>
    <mergeCell ref="AE206:AF206"/>
    <mergeCell ref="K218:L218"/>
    <mergeCell ref="U218:W218"/>
    <mergeCell ref="X218:Z218"/>
    <mergeCell ref="K219:L219"/>
    <mergeCell ref="U219:W219"/>
    <mergeCell ref="X219:Z219"/>
    <mergeCell ref="K216:L216"/>
    <mergeCell ref="U216:W216"/>
    <mergeCell ref="X216:Z216"/>
    <mergeCell ref="K217:L217"/>
    <mergeCell ref="U217:W217"/>
    <mergeCell ref="X217:Z217"/>
    <mergeCell ref="M218:P218"/>
    <mergeCell ref="M219:P219"/>
    <mergeCell ref="Q219:T219"/>
    <mergeCell ref="AE216:AF216"/>
    <mergeCell ref="K214:L214"/>
    <mergeCell ref="U214:W214"/>
    <mergeCell ref="X214:Z214"/>
    <mergeCell ref="K215:L215"/>
    <mergeCell ref="U215:W215"/>
    <mergeCell ref="X215:Z215"/>
    <mergeCell ref="Q216:T216"/>
    <mergeCell ref="Q217:T217"/>
    <mergeCell ref="Q218:T218"/>
    <mergeCell ref="AE217:AF217"/>
    <mergeCell ref="AE218:AF218"/>
    <mergeCell ref="AE219:AF219"/>
    <mergeCell ref="AA219:AD219"/>
    <mergeCell ref="Q214:T214"/>
    <mergeCell ref="Q215:T215"/>
    <mergeCell ref="AA216:AD216"/>
    <mergeCell ref="AA214:AD214"/>
    <mergeCell ref="AA215:AD215"/>
    <mergeCell ref="M214:P214"/>
    <mergeCell ref="M215:P215"/>
    <mergeCell ref="M216:P216"/>
    <mergeCell ref="AA207:AD207"/>
    <mergeCell ref="AA208:AD208"/>
    <mergeCell ref="AA209:AD209"/>
    <mergeCell ref="AA210:AD210"/>
    <mergeCell ref="AA211:AD211"/>
    <mergeCell ref="AA212:AD212"/>
    <mergeCell ref="AA213:AD213"/>
    <mergeCell ref="AA184:AD184"/>
    <mergeCell ref="AA185:AD185"/>
    <mergeCell ref="AA186:AD186"/>
    <mergeCell ref="AA187:AD187"/>
    <mergeCell ref="AA188:AD188"/>
    <mergeCell ref="AA189:AD189"/>
    <mergeCell ref="AE186:AF186"/>
    <mergeCell ref="AE187:AF187"/>
    <mergeCell ref="AE188:AF188"/>
    <mergeCell ref="AA180:AD180"/>
    <mergeCell ref="AA181:AD181"/>
    <mergeCell ref="AA182:AD182"/>
    <mergeCell ref="AA183:AD183"/>
    <mergeCell ref="U192:W192"/>
    <mergeCell ref="X192:Z192"/>
    <mergeCell ref="Q189:T189"/>
    <mergeCell ref="M187:P187"/>
    <mergeCell ref="M188:P188"/>
    <mergeCell ref="X188:Z188"/>
    <mergeCell ref="U186:W186"/>
    <mergeCell ref="X186:Z186"/>
    <mergeCell ref="B170:AG170"/>
    <mergeCell ref="K173:L174"/>
    <mergeCell ref="B155:AG155"/>
    <mergeCell ref="B156:AG157"/>
    <mergeCell ref="B122:H122"/>
    <mergeCell ref="I122:O122"/>
    <mergeCell ref="B162:AG162"/>
    <mergeCell ref="B164:D164"/>
    <mergeCell ref="B165:D165"/>
    <mergeCell ref="AF143:AG143"/>
    <mergeCell ref="B148:AG148"/>
    <mergeCell ref="B149:AG150"/>
    <mergeCell ref="B146:AG146"/>
    <mergeCell ref="AF140:AG140"/>
    <mergeCell ref="AF141:AG141"/>
    <mergeCell ref="U173:W174"/>
    <mergeCell ref="X173:Z174"/>
    <mergeCell ref="AF142:AG142"/>
    <mergeCell ref="B136:U137"/>
    <mergeCell ref="V136:X137"/>
    <mergeCell ref="Y136:AA137"/>
    <mergeCell ref="AB136:AD137"/>
    <mergeCell ref="AE136:AG137"/>
    <mergeCell ref="Q187:T187"/>
    <mergeCell ref="Q188:T188"/>
    <mergeCell ref="B143:AD143"/>
    <mergeCell ref="M173:P174"/>
    <mergeCell ref="M175:P175"/>
    <mergeCell ref="M176:P176"/>
    <mergeCell ref="M177:P177"/>
    <mergeCell ref="M178:P178"/>
    <mergeCell ref="M179:P179"/>
    <mergeCell ref="M180:P180"/>
    <mergeCell ref="M181:P181"/>
    <mergeCell ref="M182:P182"/>
    <mergeCell ref="M183:P183"/>
    <mergeCell ref="M184:P184"/>
    <mergeCell ref="M185:P185"/>
    <mergeCell ref="M186:P186"/>
    <mergeCell ref="B160:AG160"/>
    <mergeCell ref="B166:D166"/>
    <mergeCell ref="F164:AG164"/>
    <mergeCell ref="F165:AG165"/>
    <mergeCell ref="B2:AG2"/>
    <mergeCell ref="B111:AG111"/>
    <mergeCell ref="B113:C113"/>
    <mergeCell ref="D113:AD113"/>
    <mergeCell ref="AF113:AG113"/>
    <mergeCell ref="B114:C114"/>
    <mergeCell ref="D114:AD114"/>
    <mergeCell ref="AF114:AG114"/>
    <mergeCell ref="B107:D107"/>
    <mergeCell ref="E107:AD107"/>
    <mergeCell ref="AF107:AG107"/>
    <mergeCell ref="B100:AG100"/>
    <mergeCell ref="B75:AG75"/>
    <mergeCell ref="B74:AG74"/>
    <mergeCell ref="B65:AG65"/>
    <mergeCell ref="E102:AD102"/>
    <mergeCell ref="AF102:AG102"/>
    <mergeCell ref="B102:D102"/>
    <mergeCell ref="B103:C103"/>
    <mergeCell ref="D103:AD103"/>
    <mergeCell ref="AF103:AG103"/>
    <mergeCell ref="B104:D104"/>
    <mergeCell ref="E104:AD104"/>
    <mergeCell ref="AF104:AG104"/>
    <mergeCell ref="B105:D105"/>
    <mergeCell ref="E105:AD105"/>
    <mergeCell ref="AF105:AG105"/>
    <mergeCell ref="B106:D106"/>
    <mergeCell ref="E106:AD106"/>
    <mergeCell ref="B117:AD117"/>
    <mergeCell ref="AF117:AG117"/>
    <mergeCell ref="B115:C115"/>
    <mergeCell ref="D115:AD115"/>
    <mergeCell ref="AF115:AG115"/>
    <mergeCell ref="B71:AD71"/>
    <mergeCell ref="D68:AD68"/>
    <mergeCell ref="AF71:AG71"/>
    <mergeCell ref="B82:AD82"/>
    <mergeCell ref="AF82:AG82"/>
    <mergeCell ref="B109:AD109"/>
    <mergeCell ref="AF109:AG109"/>
    <mergeCell ref="AF106:AG106"/>
    <mergeCell ref="B95:D95"/>
    <mergeCell ref="E95:AD95"/>
    <mergeCell ref="AF95:AG95"/>
    <mergeCell ref="B96:D96"/>
    <mergeCell ref="E96:AD96"/>
    <mergeCell ref="V34:AG34"/>
    <mergeCell ref="AF96:AG96"/>
    <mergeCell ref="B97:D97"/>
    <mergeCell ref="E97:AD97"/>
    <mergeCell ref="AF47:AG47"/>
    <mergeCell ref="AF49:AG49"/>
    <mergeCell ref="AF50:AG50"/>
    <mergeCell ref="B48:C48"/>
    <mergeCell ref="AF48:AG48"/>
    <mergeCell ref="D78:AD78"/>
    <mergeCell ref="D79:AD79"/>
    <mergeCell ref="AF79:AG79"/>
    <mergeCell ref="B69:C69"/>
    <mergeCell ref="D69:AD69"/>
    <mergeCell ref="AF69:AG69"/>
    <mergeCell ref="B80:C80"/>
    <mergeCell ref="D80:AD80"/>
    <mergeCell ref="B3:AG3"/>
    <mergeCell ref="B22:AG22"/>
    <mergeCell ref="B8:AG8"/>
    <mergeCell ref="B11:AG11"/>
    <mergeCell ref="B14:AG14"/>
    <mergeCell ref="B19:AG19"/>
    <mergeCell ref="B27:AG27"/>
    <mergeCell ref="F4:AG4"/>
    <mergeCell ref="F5:AG5"/>
    <mergeCell ref="F6:AG6"/>
    <mergeCell ref="F7:V7"/>
    <mergeCell ref="B9:E9"/>
    <mergeCell ref="B10:E10"/>
    <mergeCell ref="F9:Q9"/>
    <mergeCell ref="F10:Q10"/>
    <mergeCell ref="V9:AG9"/>
    <mergeCell ref="B6:E6"/>
    <mergeCell ref="B7:E7"/>
    <mergeCell ref="V10:AG10"/>
    <mergeCell ref="R9:U9"/>
    <mergeCell ref="R10:U10"/>
    <mergeCell ref="W7:Y7"/>
    <mergeCell ref="Z7:AA7"/>
    <mergeCell ref="AD7:AG7"/>
    <mergeCell ref="B4:E4"/>
    <mergeCell ref="B5:E5"/>
    <mergeCell ref="V20:AG20"/>
    <mergeCell ref="V12:AG12"/>
    <mergeCell ref="F12:Q12"/>
    <mergeCell ref="F13:Q13"/>
    <mergeCell ref="V13:AG13"/>
    <mergeCell ref="AB7:AC7"/>
    <mergeCell ref="F16:AG16"/>
    <mergeCell ref="AB18:AC18"/>
    <mergeCell ref="AB26:AC26"/>
    <mergeCell ref="B20:E20"/>
    <mergeCell ref="F20:Q20"/>
    <mergeCell ref="R20:U20"/>
    <mergeCell ref="B21:E21"/>
    <mergeCell ref="F21:Q21"/>
    <mergeCell ref="R21:U21"/>
    <mergeCell ref="V21:AG21"/>
    <mergeCell ref="B16:E16"/>
    <mergeCell ref="B26:E26"/>
    <mergeCell ref="F26:V26"/>
    <mergeCell ref="W26:Y26"/>
    <mergeCell ref="Z26:AA26"/>
    <mergeCell ref="AD26:AG26"/>
    <mergeCell ref="B17:E17"/>
    <mergeCell ref="F17:AG17"/>
    <mergeCell ref="B18:E18"/>
    <mergeCell ref="AF97:AG97"/>
    <mergeCell ref="B93:D93"/>
    <mergeCell ref="E93:AD93"/>
    <mergeCell ref="AF93:AG93"/>
    <mergeCell ref="E92:AD92"/>
    <mergeCell ref="B92:D92"/>
    <mergeCell ref="AF92:AG92"/>
    <mergeCell ref="B89:C89"/>
    <mergeCell ref="D89:AD89"/>
    <mergeCell ref="AF89:AG89"/>
    <mergeCell ref="D90:AD90"/>
    <mergeCell ref="B90:C90"/>
    <mergeCell ref="AF90:AG90"/>
    <mergeCell ref="B67:C67"/>
    <mergeCell ref="D67:AD67"/>
    <mergeCell ref="AF67:AG67"/>
    <mergeCell ref="B68:C68"/>
    <mergeCell ref="AF68:AG68"/>
    <mergeCell ref="AE173:AF174"/>
    <mergeCell ref="AA173:AD174"/>
    <mergeCell ref="AA175:AD175"/>
    <mergeCell ref="AA176:AD176"/>
    <mergeCell ref="AA178:AD178"/>
    <mergeCell ref="AA177:AD177"/>
    <mergeCell ref="K176:L176"/>
    <mergeCell ref="K177:L177"/>
    <mergeCell ref="X176:Z176"/>
    <mergeCell ref="X177:Z177"/>
    <mergeCell ref="X178:Z178"/>
    <mergeCell ref="I173:I174"/>
    <mergeCell ref="J173:J174"/>
    <mergeCell ref="AF122:AG122"/>
    <mergeCell ref="AE126:AG127"/>
    <mergeCell ref="B126:U127"/>
    <mergeCell ref="V126:X127"/>
    <mergeCell ref="Y126:AA127"/>
    <mergeCell ref="AB126:AD127"/>
    <mergeCell ref="AF139:AG139"/>
    <mergeCell ref="B134:U135"/>
    <mergeCell ref="V134:X135"/>
    <mergeCell ref="Y134:AA135"/>
    <mergeCell ref="AB134:AD135"/>
    <mergeCell ref="AE134:AG135"/>
    <mergeCell ref="E94:AD94"/>
    <mergeCell ref="AF94:AG94"/>
    <mergeCell ref="B94:D94"/>
    <mergeCell ref="AF91:AG91"/>
    <mergeCell ref="B91:D91"/>
    <mergeCell ref="E91:AD91"/>
    <mergeCell ref="F18:V18"/>
    <mergeCell ref="B12:E12"/>
    <mergeCell ref="B13:E13"/>
    <mergeCell ref="R12:U12"/>
    <mergeCell ref="W18:Y18"/>
    <mergeCell ref="Z18:AA18"/>
    <mergeCell ref="AD18:AG18"/>
    <mergeCell ref="R13:U13"/>
    <mergeCell ref="B23:E23"/>
    <mergeCell ref="F23:AG23"/>
    <mergeCell ref="B15:E15"/>
    <mergeCell ref="R15:U15"/>
    <mergeCell ref="B24:E24"/>
    <mergeCell ref="F24:AG24"/>
    <mergeCell ref="F15:Q15"/>
    <mergeCell ref="V15:AG15"/>
    <mergeCell ref="B25:E25"/>
    <mergeCell ref="F25:AG25"/>
    <mergeCell ref="B120:AG120"/>
    <mergeCell ref="B42:E42"/>
    <mergeCell ref="F42:Q42"/>
    <mergeCell ref="R42:U42"/>
    <mergeCell ref="V42:AG42"/>
    <mergeCell ref="AB37:AC37"/>
    <mergeCell ref="F35:AG35"/>
    <mergeCell ref="AD37:AG37"/>
    <mergeCell ref="B39:E39"/>
    <mergeCell ref="F39:Q39"/>
    <mergeCell ref="R39:U39"/>
    <mergeCell ref="V39:AG39"/>
    <mergeCell ref="B35:E35"/>
    <mergeCell ref="B34:E34"/>
    <mergeCell ref="R34:U34"/>
    <mergeCell ref="B36:E36"/>
    <mergeCell ref="F36:AG36"/>
    <mergeCell ref="B31:E31"/>
    <mergeCell ref="F31:Q31"/>
    <mergeCell ref="R31:U31"/>
    <mergeCell ref="V31:AG31"/>
    <mergeCell ref="B32:E32"/>
    <mergeCell ref="F32:Q32"/>
    <mergeCell ref="R32:U32"/>
    <mergeCell ref="V32:AG32"/>
    <mergeCell ref="F29:Q29"/>
    <mergeCell ref="V29:AG29"/>
    <mergeCell ref="B28:E28"/>
    <mergeCell ref="R28:U28"/>
    <mergeCell ref="V28:AG28"/>
    <mergeCell ref="B29:E29"/>
    <mergeCell ref="R29:U29"/>
    <mergeCell ref="F34:Q34"/>
    <mergeCell ref="F37:V37"/>
    <mergeCell ref="W37:Y37"/>
    <mergeCell ref="Z37:AA37"/>
    <mergeCell ref="D87:AD87"/>
    <mergeCell ref="AF87:AG87"/>
    <mergeCell ref="B87:C87"/>
    <mergeCell ref="B88:C88"/>
    <mergeCell ref="D77:AD77"/>
    <mergeCell ref="AF77:AG77"/>
    <mergeCell ref="B64:AG64"/>
    <mergeCell ref="B40:E40"/>
    <mergeCell ref="F40:Q40"/>
    <mergeCell ref="R40:U40"/>
    <mergeCell ref="D88:AD88"/>
    <mergeCell ref="AF88:AG88"/>
    <mergeCell ref="B78:C78"/>
    <mergeCell ref="AF78:AG78"/>
    <mergeCell ref="B79:C79"/>
    <mergeCell ref="F28:Q28"/>
    <mergeCell ref="AF56:AG56"/>
    <mergeCell ref="D57:AD57"/>
    <mergeCell ref="AF57:AG57"/>
    <mergeCell ref="B57:C57"/>
    <mergeCell ref="B54:C54"/>
    <mergeCell ref="B55:C55"/>
    <mergeCell ref="D55:AD55"/>
    <mergeCell ref="AF55:AG55"/>
    <mergeCell ref="D56:AD56"/>
    <mergeCell ref="B56:C56"/>
    <mergeCell ref="D54:AD54"/>
    <mergeCell ref="AF54:AG54"/>
    <mergeCell ref="B60:C60"/>
    <mergeCell ref="D60:AD60"/>
    <mergeCell ref="AF60:AG60"/>
    <mergeCell ref="AF80:AG80"/>
    <mergeCell ref="B52:C52"/>
    <mergeCell ref="D52:AD52"/>
    <mergeCell ref="AF52:AG52"/>
    <mergeCell ref="D53:AD53"/>
    <mergeCell ref="AF53:AG53"/>
    <mergeCell ref="B53:C53"/>
    <mergeCell ref="AF51:AG51"/>
    <mergeCell ref="D47:AD47"/>
    <mergeCell ref="D48:AD48"/>
    <mergeCell ref="D49:AD49"/>
    <mergeCell ref="D50:AD50"/>
    <mergeCell ref="D51:AD51"/>
    <mergeCell ref="B30:AG30"/>
    <mergeCell ref="B33:AG33"/>
    <mergeCell ref="B38:AG38"/>
    <mergeCell ref="B41:AG41"/>
    <mergeCell ref="B77:C77"/>
    <mergeCell ref="AF59:AG59"/>
    <mergeCell ref="B59:C59"/>
    <mergeCell ref="B47:C47"/>
    <mergeCell ref="B49:C49"/>
    <mergeCell ref="B50:C50"/>
    <mergeCell ref="B51:C51"/>
    <mergeCell ref="V40:AG40"/>
    <mergeCell ref="B37:E37"/>
    <mergeCell ref="B61:C61"/>
    <mergeCell ref="D61:AD61"/>
    <mergeCell ref="AF61:AG61"/>
    <mergeCell ref="D58:AD58"/>
    <mergeCell ref="AF58:AG58"/>
    <mergeCell ref="B58:C58"/>
    <mergeCell ref="D59:AD59"/>
    <mergeCell ref="B140:AD140"/>
    <mergeCell ref="B141:AD141"/>
    <mergeCell ref="B142:AD142"/>
    <mergeCell ref="Y128:AA129"/>
    <mergeCell ref="AB128:AD129"/>
    <mergeCell ref="AE128:AG129"/>
    <mergeCell ref="B130:U131"/>
    <mergeCell ref="V130:X131"/>
    <mergeCell ref="Y130:AA131"/>
    <mergeCell ref="AB130:AD131"/>
    <mergeCell ref="AE130:AG131"/>
    <mergeCell ref="B132:U133"/>
    <mergeCell ref="V132:X133"/>
    <mergeCell ref="Y132:AA133"/>
    <mergeCell ref="AB132:AD133"/>
    <mergeCell ref="AE132:AG133"/>
    <mergeCell ref="B128:U129"/>
    <mergeCell ref="V128:X129"/>
    <mergeCell ref="U309:W309"/>
    <mergeCell ref="X309:Z309"/>
    <mergeCell ref="AE204:AF204"/>
    <mergeCell ref="AE223:AF223"/>
    <mergeCell ref="B172:AG172"/>
    <mergeCell ref="B171:AG171"/>
    <mergeCell ref="AF124:AG124"/>
    <mergeCell ref="B139:AD139"/>
    <mergeCell ref="AE177:AF177"/>
    <mergeCell ref="AE178:AF178"/>
    <mergeCell ref="AE179:AF179"/>
    <mergeCell ref="AE180:AF180"/>
    <mergeCell ref="AE181:AF181"/>
    <mergeCell ref="AE182:AF182"/>
    <mergeCell ref="AE183:AF183"/>
    <mergeCell ref="AE184:AF184"/>
    <mergeCell ref="G173:H174"/>
    <mergeCell ref="B173:F174"/>
    <mergeCell ref="G175:H175"/>
    <mergeCell ref="X181:Z181"/>
    <mergeCell ref="X182:Z182"/>
    <mergeCell ref="X183:Z183"/>
    <mergeCell ref="B169:AG169"/>
    <mergeCell ref="X184:Z184"/>
    <mergeCell ref="X185:Z185"/>
    <mergeCell ref="U182:W182"/>
    <mergeCell ref="U183:W183"/>
    <mergeCell ref="U184:W184"/>
    <mergeCell ref="AE185:AF185"/>
    <mergeCell ref="K175:L175"/>
    <mergeCell ref="U175:W175"/>
    <mergeCell ref="X175:Z175"/>
    <mergeCell ref="AA179:AD179"/>
    <mergeCell ref="F166:AG166"/>
    <mergeCell ref="Q185:T185"/>
    <mergeCell ref="AE175:AF175"/>
    <mergeCell ref="AE176:AF176"/>
    <mergeCell ref="B153:AG153"/>
    <mergeCell ref="Q173:T174"/>
    <mergeCell ref="Q175:T175"/>
    <mergeCell ref="Q177:T177"/>
    <mergeCell ref="Q178:T178"/>
    <mergeCell ref="Q179:T179"/>
    <mergeCell ref="Q180:T180"/>
    <mergeCell ref="Q181:T181"/>
    <mergeCell ref="B124:AD124"/>
    <mergeCell ref="U311:W311"/>
    <mergeCell ref="X311:Z311"/>
    <mergeCell ref="U340:W340"/>
    <mergeCell ref="X340:Z340"/>
    <mergeCell ref="U341:W341"/>
    <mergeCell ref="X341:Z341"/>
    <mergeCell ref="U342:W342"/>
    <mergeCell ref="X342:Z342"/>
    <mergeCell ref="U312:W312"/>
    <mergeCell ref="X312:Z312"/>
    <mergeCell ref="B318:N318"/>
    <mergeCell ref="O318:Q318"/>
    <mergeCell ref="U313:W313"/>
    <mergeCell ref="X313:Z313"/>
    <mergeCell ref="B315:G315"/>
    <mergeCell ref="H315:N315"/>
    <mergeCell ref="B319:N319"/>
    <mergeCell ref="O319:Q319"/>
    <mergeCell ref="B320:N320"/>
    <mergeCell ref="O320:Q320"/>
    <mergeCell ref="B321:N321"/>
    <mergeCell ref="O321:Q321"/>
    <mergeCell ref="B326:N326"/>
    <mergeCell ref="AE339:AF339"/>
    <mergeCell ref="G340:H340"/>
    <mergeCell ref="AA298:AD298"/>
    <mergeCell ref="AE298:AF298"/>
    <mergeCell ref="Q299:T299"/>
    <mergeCell ref="AA299:AD299"/>
    <mergeCell ref="AE299:AF299"/>
    <mergeCell ref="Q300:T300"/>
    <mergeCell ref="AA300:AD300"/>
    <mergeCell ref="AE300:AF300"/>
    <mergeCell ref="AA337:AD337"/>
    <mergeCell ref="AE337:AF337"/>
    <mergeCell ref="G338:H338"/>
    <mergeCell ref="K338:L338"/>
    <mergeCell ref="M338:P338"/>
    <mergeCell ref="Q338:T338"/>
    <mergeCell ref="AA338:AD338"/>
    <mergeCell ref="U337:W337"/>
    <mergeCell ref="X337:Z337"/>
    <mergeCell ref="U338:W338"/>
    <mergeCell ref="X338:Z338"/>
    <mergeCell ref="U335:W336"/>
    <mergeCell ref="X335:Z336"/>
    <mergeCell ref="K299:L299"/>
    <mergeCell ref="M299:P299"/>
    <mergeCell ref="G300:H300"/>
    <mergeCell ref="K300:L300"/>
    <mergeCell ref="AA301:AD301"/>
    <mergeCell ref="AE301:AF301"/>
    <mergeCell ref="AA302:AD302"/>
    <mergeCell ref="AE302:AF302"/>
    <mergeCell ref="AA303:AD303"/>
    <mergeCell ref="AE303:AF303"/>
    <mergeCell ref="G304:H304"/>
    <mergeCell ref="K304:L304"/>
    <mergeCell ref="G309:H309"/>
    <mergeCell ref="K309:L309"/>
    <mergeCell ref="M309:P309"/>
    <mergeCell ref="B331:AG331"/>
    <mergeCell ref="Q309:T309"/>
    <mergeCell ref="AA309:AD309"/>
    <mergeCell ref="U379:W379"/>
    <mergeCell ref="AA345:AD345"/>
    <mergeCell ref="AE345:AF345"/>
    <mergeCell ref="AE348:AF348"/>
    <mergeCell ref="AA375:AD375"/>
    <mergeCell ref="AE375:AF375"/>
    <mergeCell ref="AA376:AD376"/>
    <mergeCell ref="AE376:AF376"/>
    <mergeCell ref="AA377:AD377"/>
    <mergeCell ref="AE377:AF377"/>
    <mergeCell ref="X375:Z375"/>
    <mergeCell ref="X376:Z376"/>
    <mergeCell ref="AA346:AD346"/>
    <mergeCell ref="AE346:AF346"/>
    <mergeCell ref="U347:W347"/>
    <mergeCell ref="X347:Z347"/>
    <mergeCell ref="U348:W348"/>
    <mergeCell ref="X348:Z348"/>
    <mergeCell ref="U349:W349"/>
    <mergeCell ref="X349:Z349"/>
    <mergeCell ref="U350:W350"/>
    <mergeCell ref="U374:W374"/>
    <mergeCell ref="X374:Z374"/>
    <mergeCell ref="U346:W346"/>
    <mergeCell ref="X346:Z346"/>
    <mergeCell ref="AE354:AF354"/>
    <mergeCell ref="U353:W353"/>
    <mergeCell ref="Q345:T345"/>
    <mergeCell ref="AA347:AD347"/>
    <mergeCell ref="AE347:AF347"/>
    <mergeCell ref="AA348:AD348"/>
    <mergeCell ref="Q346:T346"/>
    <mergeCell ref="U345:W345"/>
    <mergeCell ref="X345:Z345"/>
    <mergeCell ref="AA378:AD378"/>
    <mergeCell ref="AA381:AD381"/>
    <mergeCell ref="AE381:AF381"/>
    <mergeCell ref="O400:Q400"/>
    <mergeCell ref="AA418:AD418"/>
    <mergeCell ref="AE418:AF418"/>
    <mergeCell ref="U436:W436"/>
    <mergeCell ref="X436:Z436"/>
    <mergeCell ref="U437:W437"/>
    <mergeCell ref="X437:Z437"/>
    <mergeCell ref="Q436:T436"/>
    <mergeCell ref="AA436:AD436"/>
    <mergeCell ref="AE436:AF436"/>
    <mergeCell ref="Q437:T437"/>
    <mergeCell ref="AA437:AD437"/>
    <mergeCell ref="AE437:AF437"/>
    <mergeCell ref="G436:H436"/>
    <mergeCell ref="K436:L436"/>
    <mergeCell ref="M436:P436"/>
    <mergeCell ref="G437:H437"/>
    <mergeCell ref="K437:L437"/>
    <mergeCell ref="M437:P437"/>
    <mergeCell ref="U422:W422"/>
    <mergeCell ref="X422:Z422"/>
    <mergeCell ref="G420:H420"/>
    <mergeCell ref="K420:L420"/>
    <mergeCell ref="M420:P420"/>
    <mergeCell ref="Q420:T420"/>
    <mergeCell ref="U418:W418"/>
    <mergeCell ref="X418:Z418"/>
    <mergeCell ref="X426:Z426"/>
    <mergeCell ref="U427:W427"/>
    <mergeCell ref="X427:Z427"/>
    <mergeCell ref="B404:N404"/>
    <mergeCell ref="O404:Q404"/>
    <mergeCell ref="AE431:AF431"/>
    <mergeCell ref="AE432:AF432"/>
    <mergeCell ref="AE433:AF433"/>
    <mergeCell ref="U421:W421"/>
    <mergeCell ref="Q421:T421"/>
    <mergeCell ref="B405:N405"/>
    <mergeCell ref="O405:Q405"/>
    <mergeCell ref="B413:AG413"/>
    <mergeCell ref="U420:W420"/>
    <mergeCell ref="X420:Z420"/>
    <mergeCell ref="B406:N406"/>
    <mergeCell ref="U416:W417"/>
    <mergeCell ref="X416:Z417"/>
    <mergeCell ref="G432:H432"/>
    <mergeCell ref="K432:L432"/>
    <mergeCell ref="M432:P432"/>
    <mergeCell ref="Q432:T432"/>
    <mergeCell ref="AA432:AD432"/>
    <mergeCell ref="AA433:AD433"/>
    <mergeCell ref="AA428:AD428"/>
    <mergeCell ref="Q425:T425"/>
    <mergeCell ref="AA425:AD425"/>
    <mergeCell ref="AE425:AF425"/>
    <mergeCell ref="AE428:AF428"/>
    <mergeCell ref="G429:H429"/>
    <mergeCell ref="K429:L429"/>
    <mergeCell ref="M429:P429"/>
    <mergeCell ref="Q429:T429"/>
    <mergeCell ref="AA429:AD429"/>
    <mergeCell ref="AE429:AF429"/>
    <mergeCell ref="AE440:AF440"/>
    <mergeCell ref="G441:H441"/>
    <mergeCell ref="AA416:AD417"/>
    <mergeCell ref="AE416:AF417"/>
    <mergeCell ref="Q460:T460"/>
    <mergeCell ref="M419:P419"/>
    <mergeCell ref="Q419:T419"/>
    <mergeCell ref="G424:H424"/>
    <mergeCell ref="K424:L424"/>
    <mergeCell ref="M424:P424"/>
    <mergeCell ref="Q424:T424"/>
    <mergeCell ref="K431:L431"/>
    <mergeCell ref="M431:P431"/>
    <mergeCell ref="K430:L430"/>
    <mergeCell ref="M430:P430"/>
    <mergeCell ref="Q430:T430"/>
    <mergeCell ref="Q431:T431"/>
    <mergeCell ref="G434:H434"/>
    <mergeCell ref="K434:L434"/>
    <mergeCell ref="AE438:AF438"/>
    <mergeCell ref="AA438:AD438"/>
    <mergeCell ref="U438:W438"/>
    <mergeCell ref="X438:Z438"/>
    <mergeCell ref="Q443:T443"/>
    <mergeCell ref="AA443:AD443"/>
    <mergeCell ref="G448:H448"/>
    <mergeCell ref="K448:L448"/>
    <mergeCell ref="M448:P448"/>
    <mergeCell ref="Q448:T448"/>
    <mergeCell ref="AA448:AD448"/>
    <mergeCell ref="G454:H454"/>
    <mergeCell ref="K454:L454"/>
    <mergeCell ref="M454:P454"/>
    <mergeCell ref="Q454:T454"/>
    <mergeCell ref="AA454:AD454"/>
    <mergeCell ref="G438:H438"/>
    <mergeCell ref="K438:L438"/>
    <mergeCell ref="AE421:AF421"/>
    <mergeCell ref="G422:H422"/>
    <mergeCell ref="K422:L422"/>
    <mergeCell ref="M422:P422"/>
    <mergeCell ref="Q422:T422"/>
    <mergeCell ref="AA422:AD422"/>
    <mergeCell ref="AE422:AF422"/>
    <mergeCell ref="U419:W419"/>
    <mergeCell ref="X419:Z419"/>
    <mergeCell ref="G423:H423"/>
    <mergeCell ref="G426:H426"/>
    <mergeCell ref="K426:L426"/>
    <mergeCell ref="M426:P426"/>
    <mergeCell ref="Q426:T426"/>
    <mergeCell ref="AA426:AD426"/>
    <mergeCell ref="AE426:AF426"/>
    <mergeCell ref="G427:H427"/>
    <mergeCell ref="K427:L427"/>
    <mergeCell ref="M427:P427"/>
    <mergeCell ref="Q427:T427"/>
    <mergeCell ref="AA427:AD427"/>
    <mergeCell ref="AE427:AF427"/>
    <mergeCell ref="X460:Z460"/>
    <mergeCell ref="X421:Z421"/>
    <mergeCell ref="G430:H430"/>
    <mergeCell ref="U428:W428"/>
    <mergeCell ref="AA430:AD430"/>
    <mergeCell ref="B481:N481"/>
    <mergeCell ref="O481:Q481"/>
    <mergeCell ref="B482:N482"/>
    <mergeCell ref="O482:Q482"/>
    <mergeCell ref="P546:R546"/>
    <mergeCell ref="G547:H547"/>
    <mergeCell ref="P547:R547"/>
    <mergeCell ref="L549:O549"/>
    <mergeCell ref="W542:X542"/>
    <mergeCell ref="L550:O550"/>
    <mergeCell ref="L543:O543"/>
    <mergeCell ref="L544:O544"/>
    <mergeCell ref="L545:O545"/>
    <mergeCell ref="L546:O546"/>
    <mergeCell ref="L547:O547"/>
    <mergeCell ref="L548:O548"/>
    <mergeCell ref="G554:H554"/>
    <mergeCell ref="P554:R554"/>
    <mergeCell ref="G555:H555"/>
    <mergeCell ref="P555:R555"/>
    <mergeCell ref="G556:H556"/>
    <mergeCell ref="P556:R556"/>
    <mergeCell ref="G551:H551"/>
    <mergeCell ref="P551:R551"/>
    <mergeCell ref="G552:H552"/>
    <mergeCell ref="P552:R552"/>
    <mergeCell ref="G553:H553"/>
    <mergeCell ref="P553:R553"/>
    <mergeCell ref="G548:H548"/>
    <mergeCell ref="P548:R548"/>
    <mergeCell ref="G549:H549"/>
    <mergeCell ref="P549:R549"/>
    <mergeCell ref="G550:H550"/>
    <mergeCell ref="P550:R550"/>
    <mergeCell ref="G545:H545"/>
    <mergeCell ref="P545:R545"/>
    <mergeCell ref="G546:H546"/>
    <mergeCell ref="V509:X510"/>
    <mergeCell ref="AF516:AG516"/>
    <mergeCell ref="B517:AD517"/>
    <mergeCell ref="AF517:AG517"/>
    <mergeCell ref="B518:AD518"/>
    <mergeCell ref="AF518:AG518"/>
    <mergeCell ref="AF519:AG519"/>
    <mergeCell ref="B537:AG537"/>
    <mergeCell ref="P540:R541"/>
    <mergeCell ref="G542:H542"/>
    <mergeCell ref="P542:R542"/>
    <mergeCell ref="L542:O542"/>
    <mergeCell ref="G543:H543"/>
    <mergeCell ref="P543:R543"/>
    <mergeCell ref="G544:H544"/>
    <mergeCell ref="P544:R544"/>
    <mergeCell ref="B516:AD516"/>
    <mergeCell ref="B519:AD519"/>
    <mergeCell ref="B540:F541"/>
    <mergeCell ref="G540:H541"/>
    <mergeCell ref="L540:O541"/>
    <mergeCell ref="S540:V541"/>
    <mergeCell ref="W540:X541"/>
    <mergeCell ref="W543:X543"/>
    <mergeCell ref="W544:X544"/>
    <mergeCell ref="S542:V542"/>
    <mergeCell ref="S543:V543"/>
    <mergeCell ref="S544:V544"/>
    <mergeCell ref="I540:K541"/>
    <mergeCell ref="P560:R560"/>
    <mergeCell ref="G561:H561"/>
    <mergeCell ref="P561:R561"/>
    <mergeCell ref="G562:H562"/>
    <mergeCell ref="P562:R562"/>
    <mergeCell ref="G557:H557"/>
    <mergeCell ref="P557:R557"/>
    <mergeCell ref="G558:H558"/>
    <mergeCell ref="P558:R558"/>
    <mergeCell ref="G559:H559"/>
    <mergeCell ref="P559:R559"/>
    <mergeCell ref="G569:H569"/>
    <mergeCell ref="P569:R569"/>
    <mergeCell ref="G570:H570"/>
    <mergeCell ref="P570:R570"/>
    <mergeCell ref="G571:H571"/>
    <mergeCell ref="P571:R571"/>
    <mergeCell ref="I559:K559"/>
    <mergeCell ref="I560:K560"/>
    <mergeCell ref="I561:K561"/>
    <mergeCell ref="I562:K562"/>
    <mergeCell ref="L559:O559"/>
    <mergeCell ref="L560:O560"/>
    <mergeCell ref="L561:O561"/>
    <mergeCell ref="L562:O562"/>
    <mergeCell ref="L565:O565"/>
    <mergeCell ref="L566:O566"/>
    <mergeCell ref="L567:O567"/>
    <mergeCell ref="L568:O568"/>
    <mergeCell ref="L569:O569"/>
    <mergeCell ref="L570:O570"/>
    <mergeCell ref="W565:X565"/>
    <mergeCell ref="W566:X566"/>
    <mergeCell ref="W567:X567"/>
    <mergeCell ref="W568:X568"/>
    <mergeCell ref="W569:X569"/>
    <mergeCell ref="W570:X570"/>
    <mergeCell ref="W571:X571"/>
    <mergeCell ref="G578:H578"/>
    <mergeCell ref="P578:R578"/>
    <mergeCell ref="G579:H579"/>
    <mergeCell ref="P579:R579"/>
    <mergeCell ref="G580:H580"/>
    <mergeCell ref="P580:R580"/>
    <mergeCell ref="G575:H575"/>
    <mergeCell ref="P575:R575"/>
    <mergeCell ref="G576:H576"/>
    <mergeCell ref="P576:R576"/>
    <mergeCell ref="G577:H577"/>
    <mergeCell ref="P577:R577"/>
    <mergeCell ref="L579:O579"/>
    <mergeCell ref="L580:O580"/>
    <mergeCell ref="L576:O576"/>
    <mergeCell ref="L577:O577"/>
    <mergeCell ref="L578:O578"/>
    <mergeCell ref="L574:O574"/>
    <mergeCell ref="L575:O575"/>
    <mergeCell ref="S576:V576"/>
    <mergeCell ref="S577:V577"/>
    <mergeCell ref="S578:V578"/>
    <mergeCell ref="G566:H566"/>
    <mergeCell ref="P566:R566"/>
    <mergeCell ref="G567:H567"/>
    <mergeCell ref="P567:R567"/>
    <mergeCell ref="G568:H568"/>
    <mergeCell ref="P568:R568"/>
    <mergeCell ref="G581:H581"/>
    <mergeCell ref="P581:R581"/>
    <mergeCell ref="G582:H582"/>
    <mergeCell ref="P582:R582"/>
    <mergeCell ref="G583:H583"/>
    <mergeCell ref="P583:R583"/>
    <mergeCell ref="L582:O582"/>
    <mergeCell ref="L583:O583"/>
    <mergeCell ref="I583:K583"/>
    <mergeCell ref="G589:H589"/>
    <mergeCell ref="P589:R589"/>
    <mergeCell ref="G590:H590"/>
    <mergeCell ref="G585:H585"/>
    <mergeCell ref="P585:R585"/>
    <mergeCell ref="G586:H586"/>
    <mergeCell ref="P586:R586"/>
    <mergeCell ref="L588:O588"/>
    <mergeCell ref="G588:H588"/>
    <mergeCell ref="P588:R588"/>
    <mergeCell ref="L585:O585"/>
    <mergeCell ref="L586:O586"/>
    <mergeCell ref="L587:O587"/>
    <mergeCell ref="L581:O581"/>
    <mergeCell ref="G584:H584"/>
    <mergeCell ref="P584:R584"/>
    <mergeCell ref="G574:H574"/>
    <mergeCell ref="P574:R574"/>
    <mergeCell ref="B807:N807"/>
    <mergeCell ref="O807:Q807"/>
    <mergeCell ref="B808:N808"/>
    <mergeCell ref="O808:Q808"/>
    <mergeCell ref="B809:N809"/>
    <mergeCell ref="O809:Q809"/>
    <mergeCell ref="G766:H766"/>
    <mergeCell ref="G767:H767"/>
    <mergeCell ref="G768:H768"/>
    <mergeCell ref="G769:H769"/>
    <mergeCell ref="G770:H770"/>
    <mergeCell ref="G771:H771"/>
    <mergeCell ref="G772:H772"/>
    <mergeCell ref="G773:H773"/>
    <mergeCell ref="G774:H774"/>
    <mergeCell ref="G775:H775"/>
    <mergeCell ref="G776:H776"/>
    <mergeCell ref="G777:H777"/>
    <mergeCell ref="G778:H778"/>
    <mergeCell ref="K779:L779"/>
    <mergeCell ref="K780:L780"/>
    <mergeCell ref="K762:L762"/>
    <mergeCell ref="K763:L763"/>
    <mergeCell ref="K764:L764"/>
    <mergeCell ref="K765:L765"/>
    <mergeCell ref="K766:L766"/>
    <mergeCell ref="K767:L767"/>
    <mergeCell ref="K768:L768"/>
    <mergeCell ref="K769:L769"/>
    <mergeCell ref="K770:L770"/>
    <mergeCell ref="K771:L771"/>
    <mergeCell ref="K772:L772"/>
    <mergeCell ref="K773:L773"/>
    <mergeCell ref="K750:L750"/>
    <mergeCell ref="K751:L751"/>
    <mergeCell ref="K752:L752"/>
    <mergeCell ref="K753:L753"/>
    <mergeCell ref="B740:AG740"/>
    <mergeCell ref="U743:X744"/>
    <mergeCell ref="Q743:T744"/>
    <mergeCell ref="B614:AG614"/>
    <mergeCell ref="O612:Q612"/>
    <mergeCell ref="G598:H598"/>
    <mergeCell ref="P598:R598"/>
    <mergeCell ref="P624:R624"/>
    <mergeCell ref="P625:R625"/>
    <mergeCell ref="B618:AG618"/>
    <mergeCell ref="P599:R599"/>
    <mergeCell ref="B601:G601"/>
    <mergeCell ref="H601:N601"/>
    <mergeCell ref="B602:AG602"/>
    <mergeCell ref="B604:N604"/>
    <mergeCell ref="O604:Q604"/>
    <mergeCell ref="B605:N605"/>
    <mergeCell ref="O605:Q605"/>
    <mergeCell ref="B606:N606"/>
    <mergeCell ref="O606:Q606"/>
    <mergeCell ref="B607:N607"/>
    <mergeCell ref="O607:Q607"/>
    <mergeCell ref="B608:N608"/>
    <mergeCell ref="O608:Q608"/>
    <mergeCell ref="P643:R643"/>
    <mergeCell ref="P644:R644"/>
    <mergeCell ref="P645:R645"/>
    <mergeCell ref="P646:R646"/>
    <mergeCell ref="P635:R635"/>
    <mergeCell ref="P636:R636"/>
    <mergeCell ref="P637:R637"/>
    <mergeCell ref="P638:R638"/>
    <mergeCell ref="G635:H635"/>
    <mergeCell ref="L635:O635"/>
    <mergeCell ref="S635:V635"/>
    <mergeCell ref="W635:X635"/>
    <mergeCell ref="G636:H636"/>
    <mergeCell ref="L636:O636"/>
    <mergeCell ref="S636:V636"/>
    <mergeCell ref="W636:X636"/>
    <mergeCell ref="G637:H637"/>
    <mergeCell ref="L637:O637"/>
    <mergeCell ref="S637:V637"/>
    <mergeCell ref="W637:X637"/>
    <mergeCell ref="I639:K639"/>
    <mergeCell ref="I640:K640"/>
    <mergeCell ref="P633:R633"/>
    <mergeCell ref="G644:H644"/>
    <mergeCell ref="L644:O644"/>
    <mergeCell ref="P640:R640"/>
    <mergeCell ref="P641:R641"/>
    <mergeCell ref="P642:R642"/>
    <mergeCell ref="G638:H638"/>
    <mergeCell ref="L638:O638"/>
    <mergeCell ref="S638:V638"/>
    <mergeCell ref="W638:X638"/>
    <mergeCell ref="G639:H639"/>
    <mergeCell ref="L639:O639"/>
    <mergeCell ref="S639:V639"/>
    <mergeCell ref="W639:X639"/>
    <mergeCell ref="G640:H640"/>
    <mergeCell ref="G641:H641"/>
    <mergeCell ref="L641:O641"/>
    <mergeCell ref="S641:V641"/>
    <mergeCell ref="K1123:N1123"/>
    <mergeCell ref="O1123:R1123"/>
    <mergeCell ref="S1123:V1123"/>
    <mergeCell ref="W1123:Z1123"/>
    <mergeCell ref="K1124:N1124"/>
    <mergeCell ref="O1124:R1124"/>
    <mergeCell ref="S1124:V1124"/>
    <mergeCell ref="W1124:Z1124"/>
    <mergeCell ref="K1119:N1119"/>
    <mergeCell ref="O1119:R1119"/>
    <mergeCell ref="S1119:V1119"/>
    <mergeCell ref="W1119:Z1119"/>
    <mergeCell ref="K1120:N1120"/>
    <mergeCell ref="O1120:R1120"/>
    <mergeCell ref="S1120:V1120"/>
    <mergeCell ref="W1120:Z1120"/>
    <mergeCell ref="K1121:N1121"/>
    <mergeCell ref="O1121:R1121"/>
    <mergeCell ref="S1121:V1121"/>
    <mergeCell ref="W1121:Z1121"/>
    <mergeCell ref="S1115:V1116"/>
    <mergeCell ref="W1115:Z1116"/>
    <mergeCell ref="K1117:N1117"/>
    <mergeCell ref="O1117:R1117"/>
    <mergeCell ref="S1117:V1117"/>
    <mergeCell ref="W1117:Z1117"/>
    <mergeCell ref="K1118:N1118"/>
    <mergeCell ref="O1118:R1118"/>
    <mergeCell ref="S1118:V1118"/>
    <mergeCell ref="W1118:Z1118"/>
    <mergeCell ref="K1122:N1122"/>
    <mergeCell ref="O1122:R1122"/>
    <mergeCell ref="S1122:V1122"/>
    <mergeCell ref="W1122:Z1122"/>
    <mergeCell ref="S644:V644"/>
    <mergeCell ref="W644:X644"/>
    <mergeCell ref="G645:H645"/>
    <mergeCell ref="L645:O645"/>
    <mergeCell ref="S645:V645"/>
    <mergeCell ref="W645:X645"/>
    <mergeCell ref="K1131:N1131"/>
    <mergeCell ref="O1131:R1131"/>
    <mergeCell ref="S1131:V1131"/>
    <mergeCell ref="W1131:Z1131"/>
    <mergeCell ref="K1132:N1132"/>
    <mergeCell ref="O1132:R1132"/>
    <mergeCell ref="S1132:V1132"/>
    <mergeCell ref="W1132:Z1132"/>
    <mergeCell ref="K1133:N1133"/>
    <mergeCell ref="O1133:R1133"/>
    <mergeCell ref="S1133:V1133"/>
    <mergeCell ref="W1133:Z1133"/>
    <mergeCell ref="K1128:N1128"/>
    <mergeCell ref="O1128:R1128"/>
    <mergeCell ref="S1128:V1128"/>
    <mergeCell ref="W1128:Z1128"/>
    <mergeCell ref="K1129:N1129"/>
    <mergeCell ref="O1129:R1129"/>
    <mergeCell ref="S1129:V1129"/>
    <mergeCell ref="W1129:Z1129"/>
    <mergeCell ref="K1130:N1130"/>
    <mergeCell ref="O1130:R1130"/>
    <mergeCell ref="S1130:V1130"/>
    <mergeCell ref="W1130:Z1130"/>
    <mergeCell ref="K1125:N1125"/>
    <mergeCell ref="O1125:R1125"/>
    <mergeCell ref="S1125:V1125"/>
    <mergeCell ref="W1125:Z1125"/>
    <mergeCell ref="K1126:N1126"/>
    <mergeCell ref="O1126:R1126"/>
    <mergeCell ref="S1126:V1126"/>
    <mergeCell ref="W1126:Z1126"/>
    <mergeCell ref="K1127:N1127"/>
    <mergeCell ref="O1127:R1127"/>
    <mergeCell ref="S1127:V1127"/>
    <mergeCell ref="W1127:Z1127"/>
    <mergeCell ref="K785:L785"/>
    <mergeCell ref="K786:L786"/>
    <mergeCell ref="K746:L746"/>
    <mergeCell ref="K777:L777"/>
    <mergeCell ref="K778:L778"/>
    <mergeCell ref="K747:L747"/>
    <mergeCell ref="K748:L748"/>
    <mergeCell ref="K749:L749"/>
    <mergeCell ref="G750:H750"/>
    <mergeCell ref="G751:H751"/>
    <mergeCell ref="G752:H752"/>
    <mergeCell ref="G753:H753"/>
    <mergeCell ref="G754:H754"/>
    <mergeCell ref="G755:H755"/>
    <mergeCell ref="G756:H756"/>
    <mergeCell ref="G757:H757"/>
    <mergeCell ref="G758:H758"/>
    <mergeCell ref="G759:H759"/>
    <mergeCell ref="G760:H760"/>
    <mergeCell ref="G761:H761"/>
    <mergeCell ref="G764:H764"/>
    <mergeCell ref="G765:H765"/>
    <mergeCell ref="W1136:Z1136"/>
    <mergeCell ref="K1149:N1149"/>
    <mergeCell ref="O1149:R1149"/>
    <mergeCell ref="S1149:V1149"/>
    <mergeCell ref="W1149:Z1149"/>
    <mergeCell ref="K1140:N1140"/>
    <mergeCell ref="O1140:R1140"/>
    <mergeCell ref="S1140:V1140"/>
    <mergeCell ref="W1140:Z1140"/>
    <mergeCell ref="K1141:N1141"/>
    <mergeCell ref="O1141:R1141"/>
    <mergeCell ref="S1141:V1141"/>
    <mergeCell ref="W1141:Z1141"/>
    <mergeCell ref="K1142:N1142"/>
    <mergeCell ref="O1142:R1142"/>
    <mergeCell ref="S1142:V1142"/>
    <mergeCell ref="K1146:N1146"/>
    <mergeCell ref="O1146:R1146"/>
    <mergeCell ref="S1146:V1146"/>
    <mergeCell ref="W1146:Z1146"/>
    <mergeCell ref="K1147:N1147"/>
    <mergeCell ref="O1147:R1147"/>
    <mergeCell ref="S1147:V1147"/>
    <mergeCell ref="W1147:Z1147"/>
    <mergeCell ref="K1148:N1148"/>
    <mergeCell ref="O1148:R1148"/>
    <mergeCell ref="S1148:V1148"/>
    <mergeCell ref="K1143:N1143"/>
    <mergeCell ref="O1143:R1143"/>
    <mergeCell ref="S1143:V1143"/>
    <mergeCell ref="W1143:Z1143"/>
    <mergeCell ref="K1144:N1144"/>
    <mergeCell ref="O1144:R1144"/>
    <mergeCell ref="S1144:V1144"/>
    <mergeCell ref="W1144:Z1144"/>
    <mergeCell ref="K1145:N1145"/>
    <mergeCell ref="O1145:R1145"/>
    <mergeCell ref="S1145:V1145"/>
    <mergeCell ref="W1145:Z1145"/>
    <mergeCell ref="O1158:R1158"/>
    <mergeCell ref="S1158:V1158"/>
    <mergeCell ref="W1158:Z1158"/>
    <mergeCell ref="K1159:N1159"/>
    <mergeCell ref="O1159:R1159"/>
    <mergeCell ref="S1159:V1159"/>
    <mergeCell ref="W1159:Z1159"/>
    <mergeCell ref="K1160:N1160"/>
    <mergeCell ref="O1160:R1160"/>
    <mergeCell ref="S1160:V1160"/>
    <mergeCell ref="W1160:Z1160"/>
    <mergeCell ref="K1155:N1155"/>
    <mergeCell ref="O1155:R1155"/>
    <mergeCell ref="S1155:V1155"/>
    <mergeCell ref="W1155:Z1155"/>
    <mergeCell ref="K1156:N1156"/>
    <mergeCell ref="O1156:R1156"/>
    <mergeCell ref="S1156:V1156"/>
    <mergeCell ref="W1156:Z1156"/>
    <mergeCell ref="K1157:N1157"/>
    <mergeCell ref="O1157:R1157"/>
    <mergeCell ref="S1157:V1157"/>
    <mergeCell ref="W1157:Z1157"/>
    <mergeCell ref="K1152:N1152"/>
    <mergeCell ref="O1152:R1152"/>
    <mergeCell ref="S1152:V1152"/>
    <mergeCell ref="W1152:Z1152"/>
    <mergeCell ref="K1153:N1153"/>
    <mergeCell ref="O1153:R1153"/>
    <mergeCell ref="S1153:V1153"/>
    <mergeCell ref="W1153:Z1153"/>
    <mergeCell ref="K1154:N1154"/>
    <mergeCell ref="O1154:R1154"/>
    <mergeCell ref="S1154:V1154"/>
    <mergeCell ref="W1154:Z1154"/>
    <mergeCell ref="O1170:R1170"/>
    <mergeCell ref="S1170:V1170"/>
    <mergeCell ref="W1170:Z1170"/>
    <mergeCell ref="K1171:N1171"/>
    <mergeCell ref="O1171:R1171"/>
    <mergeCell ref="S1171:V1171"/>
    <mergeCell ref="W1171:Z1171"/>
    <mergeCell ref="K1172:N1172"/>
    <mergeCell ref="O1172:R1172"/>
    <mergeCell ref="S1172:V1172"/>
    <mergeCell ref="W1172:Z1172"/>
    <mergeCell ref="I1174:J1174"/>
    <mergeCell ref="S1169:V1169"/>
    <mergeCell ref="W1169:Z1169"/>
    <mergeCell ref="O1164:R1164"/>
    <mergeCell ref="S1164:V1164"/>
    <mergeCell ref="W1164:Z1164"/>
    <mergeCell ref="K1165:N1165"/>
    <mergeCell ref="O1165:R1165"/>
    <mergeCell ref="S1165:V1165"/>
    <mergeCell ref="W1165:Z1165"/>
    <mergeCell ref="K1166:N1166"/>
    <mergeCell ref="O1166:R1166"/>
    <mergeCell ref="S1166:V1166"/>
    <mergeCell ref="W1166:Z1166"/>
    <mergeCell ref="K1161:N1161"/>
    <mergeCell ref="O1161:R1161"/>
    <mergeCell ref="S1161:V1161"/>
    <mergeCell ref="W1161:Z1161"/>
    <mergeCell ref="K1162:N1162"/>
    <mergeCell ref="O1162:R1162"/>
    <mergeCell ref="S1162:V1162"/>
    <mergeCell ref="W1162:Z1162"/>
    <mergeCell ref="K1163:N1163"/>
    <mergeCell ref="O1163:R1163"/>
    <mergeCell ref="S1163:V1163"/>
    <mergeCell ref="W1163:Z1163"/>
    <mergeCell ref="O1173:R1173"/>
    <mergeCell ref="S1173:V1173"/>
    <mergeCell ref="W1173:Z1173"/>
    <mergeCell ref="I1161:J1161"/>
    <mergeCell ref="I1162:J1162"/>
    <mergeCell ref="I1163:J1163"/>
    <mergeCell ref="I1164:J1164"/>
    <mergeCell ref="I1165:J1165"/>
    <mergeCell ref="I1166:J1166"/>
    <mergeCell ref="I1167:J1167"/>
    <mergeCell ref="I1168:J1168"/>
    <mergeCell ref="I1169:J1169"/>
    <mergeCell ref="I1170:J1170"/>
    <mergeCell ref="I1171:J1171"/>
    <mergeCell ref="I1172:J1172"/>
    <mergeCell ref="I1173:J1173"/>
    <mergeCell ref="K1174:N1174"/>
    <mergeCell ref="O1174:R1174"/>
    <mergeCell ref="S1174:V1174"/>
    <mergeCell ref="W1174:Z1174"/>
    <mergeCell ref="O1179:Q1179"/>
    <mergeCell ref="B1180:N1180"/>
    <mergeCell ref="O1180:Q1180"/>
    <mergeCell ref="B1181:N1181"/>
    <mergeCell ref="O1181:Q1181"/>
    <mergeCell ref="B1182:N1182"/>
    <mergeCell ref="O1182:Q1182"/>
    <mergeCell ref="B1183:N1183"/>
    <mergeCell ref="O1183:Q1183"/>
    <mergeCell ref="B1184:N1184"/>
    <mergeCell ref="O1184:Q1184"/>
    <mergeCell ref="B1185:N1185"/>
    <mergeCell ref="O1185:Q1185"/>
    <mergeCell ref="B1186:N1186"/>
    <mergeCell ref="O1186:Q1186"/>
    <mergeCell ref="V1445:X1446"/>
    <mergeCell ref="Y1445:AA1446"/>
    <mergeCell ref="AB1445:AD1446"/>
    <mergeCell ref="AE1445:AG1446"/>
    <mergeCell ref="B1447:U1448"/>
    <mergeCell ref="V1447:X1448"/>
    <mergeCell ref="Y1447:AA1448"/>
    <mergeCell ref="AB1447:AD1448"/>
    <mergeCell ref="AE1447:AG1448"/>
    <mergeCell ref="B1449:U1450"/>
    <mergeCell ref="I1200:J1200"/>
    <mergeCell ref="B1924:C1924"/>
    <mergeCell ref="D1924:AD1924"/>
    <mergeCell ref="AF1924:AG1924"/>
    <mergeCell ref="B1920:C1920"/>
    <mergeCell ref="B1906:N1906"/>
    <mergeCell ref="O1906:Q1906"/>
    <mergeCell ref="B1907:N1907"/>
    <mergeCell ref="O1907:Q1907"/>
    <mergeCell ref="B1908:N1908"/>
    <mergeCell ref="O1908:Q1908"/>
    <mergeCell ref="B1909:N1909"/>
    <mergeCell ref="O1909:Q1909"/>
    <mergeCell ref="B1910:N1910"/>
    <mergeCell ref="O1910:Q1910"/>
    <mergeCell ref="B1911:N1911"/>
    <mergeCell ref="O1911:Q1911"/>
    <mergeCell ref="B1912:N1912"/>
    <mergeCell ref="O1912:Q1912"/>
    <mergeCell ref="B1913:N1913"/>
    <mergeCell ref="O1913:Q1913"/>
    <mergeCell ref="B1915:AG1915"/>
    <mergeCell ref="B1890:AG1890"/>
    <mergeCell ref="B1891:Z1892"/>
    <mergeCell ref="B1894:E1894"/>
    <mergeCell ref="B1895:E1895"/>
    <mergeCell ref="B1896:E1896"/>
    <mergeCell ref="G1896:X1896"/>
    <mergeCell ref="G1895:X1895"/>
    <mergeCell ref="G1894:X1894"/>
    <mergeCell ref="B1905:N1905"/>
    <mergeCell ref="O1905:Q1905"/>
    <mergeCell ref="B1777:L1779"/>
    <mergeCell ref="M1777:O1779"/>
    <mergeCell ref="P1777:R1779"/>
    <mergeCell ref="S1777:U1779"/>
    <mergeCell ref="K1200:N1200"/>
    <mergeCell ref="O1200:R1200"/>
    <mergeCell ref="S1200:V1200"/>
    <mergeCell ref="P1792:R1792"/>
    <mergeCell ref="S1792:U1792"/>
    <mergeCell ref="V1792:X1792"/>
    <mergeCell ref="Y1792:AA1792"/>
    <mergeCell ref="AB1792:AD1792"/>
    <mergeCell ref="AE1792:AG1792"/>
    <mergeCell ref="M1793:O1793"/>
    <mergeCell ref="P1793:R1793"/>
    <mergeCell ref="S1793:U1793"/>
    <mergeCell ref="V1793:X1793"/>
    <mergeCell ref="Y1793:AA1793"/>
    <mergeCell ref="AB1793:AD1793"/>
    <mergeCell ref="AE1793:AG1793"/>
    <mergeCell ref="M1791:O1791"/>
    <mergeCell ref="V1789:X1789"/>
    <mergeCell ref="Y1789:AA1789"/>
    <mergeCell ref="B1933:C1933"/>
    <mergeCell ref="D1933:AD1933"/>
    <mergeCell ref="G762:H762"/>
    <mergeCell ref="G763:H763"/>
    <mergeCell ref="I787:J787"/>
    <mergeCell ref="AF1945:AG1945"/>
    <mergeCell ref="AF2006:AG2006"/>
    <mergeCell ref="B1999:D1999"/>
    <mergeCell ref="E1999:AD1999"/>
    <mergeCell ref="B2001:AD2001"/>
    <mergeCell ref="B2003:AG2003"/>
    <mergeCell ref="B1964:AD1964"/>
    <mergeCell ref="AF1980:AG1980"/>
    <mergeCell ref="B1967:AG1967"/>
    <mergeCell ref="B1978:C1978"/>
    <mergeCell ref="D1978:AD1978"/>
    <mergeCell ref="AF1978:AG1978"/>
    <mergeCell ref="B1979:C1979"/>
    <mergeCell ref="D1979:AD1979"/>
    <mergeCell ref="AF1979:AG1979"/>
    <mergeCell ref="B1980:C1980"/>
    <mergeCell ref="D1980:AD1980"/>
    <mergeCell ref="B1981:C1981"/>
    <mergeCell ref="D1981:AD1981"/>
    <mergeCell ref="AF1981:AG1981"/>
    <mergeCell ref="B1982:D1982"/>
    <mergeCell ref="E1982:AD1982"/>
    <mergeCell ref="B1951:C1951"/>
    <mergeCell ref="D1951:AD1951"/>
    <mergeCell ref="AF1951:AG1951"/>
    <mergeCell ref="B1952:C1952"/>
    <mergeCell ref="D1952:AD1952"/>
    <mergeCell ref="AF1952:AG1952"/>
    <mergeCell ref="B1953:C1953"/>
    <mergeCell ref="D1953:AD1953"/>
    <mergeCell ref="AF1953:AG1953"/>
    <mergeCell ref="B1955:AD1955"/>
    <mergeCell ref="AF1955:AG1955"/>
    <mergeCell ref="B1958:AG1958"/>
    <mergeCell ref="B1960:C1960"/>
    <mergeCell ref="D1960:AD1960"/>
    <mergeCell ref="AF1988:AG1988"/>
    <mergeCell ref="B1971:C1971"/>
    <mergeCell ref="D1971:AD1971"/>
    <mergeCell ref="AF1971:AG1971"/>
    <mergeCell ref="B1973:AD1973"/>
    <mergeCell ref="AF1973:AG1973"/>
    <mergeCell ref="N2005:AG2005"/>
    <mergeCell ref="G743:H744"/>
    <mergeCell ref="I743:J744"/>
    <mergeCell ref="K743:L744"/>
    <mergeCell ref="M743:N744"/>
    <mergeCell ref="O743:P744"/>
    <mergeCell ref="G745:H745"/>
    <mergeCell ref="I745:J745"/>
    <mergeCell ref="K745:L745"/>
    <mergeCell ref="M745:N745"/>
    <mergeCell ref="O745:P745"/>
    <mergeCell ref="G746:H746"/>
    <mergeCell ref="B1930:C1930"/>
    <mergeCell ref="D1930:AD1930"/>
    <mergeCell ref="AF1930:AG1930"/>
    <mergeCell ref="B1931:C1931"/>
    <mergeCell ref="D1931:AD1931"/>
    <mergeCell ref="AF1931:AG1931"/>
    <mergeCell ref="B1932:C1932"/>
    <mergeCell ref="D1932:AD1932"/>
    <mergeCell ref="AF1932:AG1932"/>
    <mergeCell ref="I764:J764"/>
    <mergeCell ref="I765:J765"/>
    <mergeCell ref="I766:J766"/>
    <mergeCell ref="I767:J767"/>
    <mergeCell ref="I768:J768"/>
    <mergeCell ref="I769:J769"/>
    <mergeCell ref="I770:J770"/>
    <mergeCell ref="I771:J771"/>
    <mergeCell ref="I772:J772"/>
    <mergeCell ref="I773:J773"/>
    <mergeCell ref="I774:J774"/>
    <mergeCell ref="I775:J775"/>
    <mergeCell ref="I776:J776"/>
    <mergeCell ref="I777:J777"/>
    <mergeCell ref="I778:J778"/>
    <mergeCell ref="I779:J779"/>
    <mergeCell ref="I780:J780"/>
    <mergeCell ref="K781:L781"/>
    <mergeCell ref="K782:L782"/>
    <mergeCell ref="K783:L783"/>
    <mergeCell ref="K784:L784"/>
    <mergeCell ref="K754:L754"/>
    <mergeCell ref="K755:L755"/>
    <mergeCell ref="K756:L756"/>
    <mergeCell ref="K757:L757"/>
    <mergeCell ref="K758:L758"/>
    <mergeCell ref="K759:L759"/>
    <mergeCell ref="K760:L760"/>
    <mergeCell ref="K761:L761"/>
    <mergeCell ref="K774:L774"/>
    <mergeCell ref="K775:L775"/>
    <mergeCell ref="K776:L776"/>
    <mergeCell ref="I756:J756"/>
    <mergeCell ref="I757:J757"/>
    <mergeCell ref="I758:J758"/>
    <mergeCell ref="I759:J759"/>
    <mergeCell ref="I760:J760"/>
    <mergeCell ref="I761:J761"/>
    <mergeCell ref="I762:J762"/>
    <mergeCell ref="I763:J763"/>
    <mergeCell ref="M756:N756"/>
    <mergeCell ref="M757:N757"/>
    <mergeCell ref="M758:N758"/>
    <mergeCell ref="M759:N759"/>
    <mergeCell ref="B1961:C1961"/>
    <mergeCell ref="D1961:AD1961"/>
    <mergeCell ref="AF1961:AG1961"/>
    <mergeCell ref="B1962:C1962"/>
    <mergeCell ref="D1962:AD1962"/>
    <mergeCell ref="AF1962:AG1962"/>
    <mergeCell ref="AF1964:AG1964"/>
    <mergeCell ref="B1969:C1969"/>
    <mergeCell ref="D1969:AD1969"/>
    <mergeCell ref="AF1969:AG1969"/>
    <mergeCell ref="B1970:C1970"/>
    <mergeCell ref="D1970:AD1970"/>
    <mergeCell ref="AF1970:AG1970"/>
    <mergeCell ref="B1991:AG1991"/>
    <mergeCell ref="B1992:AG1992"/>
    <mergeCell ref="B1994:D1994"/>
    <mergeCell ref="E1994:AD1994"/>
    <mergeCell ref="AF1994:AG1994"/>
    <mergeCell ref="B1995:C1995"/>
    <mergeCell ref="D1995:AD1995"/>
    <mergeCell ref="AF1995:AG1995"/>
    <mergeCell ref="B1996:D1996"/>
    <mergeCell ref="E1996:AD1996"/>
    <mergeCell ref="AF1996:AG1996"/>
    <mergeCell ref="B1997:D1997"/>
    <mergeCell ref="E1997:AD1997"/>
    <mergeCell ref="AF1997:AG1997"/>
    <mergeCell ref="B1998:D1998"/>
    <mergeCell ref="E1998:AD1998"/>
    <mergeCell ref="AF1998:AG1998"/>
    <mergeCell ref="AF1982:AG1982"/>
    <mergeCell ref="B1983:D1983"/>
    <mergeCell ref="E1983:AD1983"/>
    <mergeCell ref="AF1983:AG1983"/>
    <mergeCell ref="B1984:D1984"/>
    <mergeCell ref="E1984:AD1984"/>
    <mergeCell ref="AF1984:AG1984"/>
    <mergeCell ref="B1985:D1985"/>
    <mergeCell ref="E1985:AD1985"/>
    <mergeCell ref="AF1985:AG1985"/>
    <mergeCell ref="B1986:D1986"/>
    <mergeCell ref="E1986:AD1986"/>
    <mergeCell ref="AF1986:AG1986"/>
    <mergeCell ref="B1987:D1987"/>
    <mergeCell ref="E1987:AD1987"/>
    <mergeCell ref="AF1987:AG1987"/>
    <mergeCell ref="B1988:D1988"/>
    <mergeCell ref="E1988:AD1988"/>
    <mergeCell ref="B2013:AG2013"/>
    <mergeCell ref="B2015:H2015"/>
    <mergeCell ref="I2015:O2015"/>
    <mergeCell ref="AF2015:AG2015"/>
    <mergeCell ref="B2017:AD2017"/>
    <mergeCell ref="AF2017:AG2017"/>
    <mergeCell ref="B2019:U2020"/>
    <mergeCell ref="V2019:X2020"/>
    <mergeCell ref="Y2019:AA2020"/>
    <mergeCell ref="AB2019:AD2020"/>
    <mergeCell ref="AE2019:AG2020"/>
    <mergeCell ref="B2021:U2022"/>
    <mergeCell ref="V2021:X2022"/>
    <mergeCell ref="Y2021:AA2022"/>
    <mergeCell ref="AB2021:AD2022"/>
    <mergeCell ref="AE2021:AG2022"/>
    <mergeCell ref="B2023:U2024"/>
    <mergeCell ref="V2023:X2024"/>
    <mergeCell ref="Y2023:AA2024"/>
    <mergeCell ref="AB2023:AD2024"/>
    <mergeCell ref="AE2023:AG2024"/>
    <mergeCell ref="B2025:U2026"/>
    <mergeCell ref="V2025:X2026"/>
    <mergeCell ref="Y2025:AA2026"/>
    <mergeCell ref="AB2025:AD2026"/>
    <mergeCell ref="AE2025:AG2026"/>
    <mergeCell ref="B2027:U2028"/>
    <mergeCell ref="V2027:X2028"/>
    <mergeCell ref="Y2027:AA2028"/>
    <mergeCell ref="AB2027:AD2028"/>
    <mergeCell ref="AE2027:AG2028"/>
    <mergeCell ref="B2010:AD2010"/>
    <mergeCell ref="AF2010:AG2010"/>
    <mergeCell ref="B2077:F2078"/>
    <mergeCell ref="G2077:H2078"/>
    <mergeCell ref="I2077:I2078"/>
    <mergeCell ref="J2077:J2078"/>
    <mergeCell ref="K2077:L2078"/>
    <mergeCell ref="M2077:P2078"/>
    <mergeCell ref="Q2077:T2078"/>
    <mergeCell ref="U2077:W2078"/>
    <mergeCell ref="X2077:Z2078"/>
    <mergeCell ref="AA2077:AD2078"/>
    <mergeCell ref="AE2077:AF2078"/>
    <mergeCell ref="G2079:H2079"/>
    <mergeCell ref="K2079:L2079"/>
    <mergeCell ref="M2079:P2079"/>
    <mergeCell ref="Q2079:T2079"/>
    <mergeCell ref="U2079:W2079"/>
    <mergeCell ref="X2079:Z2079"/>
    <mergeCell ref="AA2079:AD2079"/>
    <mergeCell ref="AE2079:AF2079"/>
    <mergeCell ref="B2041:AG2041"/>
    <mergeCell ref="B2042:AG2043"/>
    <mergeCell ref="B2046:AG2046"/>
    <mergeCell ref="B2048:AG2048"/>
    <mergeCell ref="B2049:AG2050"/>
    <mergeCell ref="B2063:AG2064"/>
    <mergeCell ref="B2065:AG2066"/>
    <mergeCell ref="B2068:D2068"/>
    <mergeCell ref="F2068:AG2068"/>
    <mergeCell ref="B2069:D2069"/>
    <mergeCell ref="F2069:AG2069"/>
    <mergeCell ref="B2070:D2070"/>
    <mergeCell ref="F2070:AG2070"/>
    <mergeCell ref="B2029:U2030"/>
    <mergeCell ref="V2029:X2030"/>
    <mergeCell ref="Y2029:AA2030"/>
    <mergeCell ref="AB2029:AD2030"/>
    <mergeCell ref="AE2029:AG2030"/>
    <mergeCell ref="B2032:AD2032"/>
    <mergeCell ref="AF2032:AG2032"/>
    <mergeCell ref="B2033:AD2033"/>
    <mergeCell ref="AF2033:AG2033"/>
    <mergeCell ref="B2034:AD2034"/>
    <mergeCell ref="AF2034:AG2034"/>
    <mergeCell ref="B2035:AD2035"/>
    <mergeCell ref="AF2035:AG2035"/>
    <mergeCell ref="B2036:AD2036"/>
    <mergeCell ref="AF2036:AG2036"/>
    <mergeCell ref="B2039:AG2039"/>
    <mergeCell ref="G2083:H2083"/>
    <mergeCell ref="K2083:L2083"/>
    <mergeCell ref="M2083:P2083"/>
    <mergeCell ref="Q2083:T2083"/>
    <mergeCell ref="U2083:W2083"/>
    <mergeCell ref="X2083:Z2083"/>
    <mergeCell ref="AA2083:AD2083"/>
    <mergeCell ref="AE2083:AF2083"/>
    <mergeCell ref="G2084:H2084"/>
    <mergeCell ref="K2084:L2084"/>
    <mergeCell ref="M2084:P2084"/>
    <mergeCell ref="Q2084:T2084"/>
    <mergeCell ref="U2084:W2084"/>
    <mergeCell ref="X2084:Z2084"/>
    <mergeCell ref="AA2084:AD2084"/>
    <mergeCell ref="AE2084:AF2084"/>
    <mergeCell ref="G2085:H2085"/>
    <mergeCell ref="K2085:L2085"/>
    <mergeCell ref="M2085:P2085"/>
    <mergeCell ref="Q2085:T2085"/>
    <mergeCell ref="U2085:W2085"/>
    <mergeCell ref="X2085:Z2085"/>
    <mergeCell ref="AA2085:AD2085"/>
    <mergeCell ref="AE2085:AF2085"/>
    <mergeCell ref="G2080:H2080"/>
    <mergeCell ref="K2080:L2080"/>
    <mergeCell ref="M2080:P2080"/>
    <mergeCell ref="Q2080:T2080"/>
    <mergeCell ref="U2080:W2080"/>
    <mergeCell ref="X2080:Z2080"/>
    <mergeCell ref="AA2080:AD2080"/>
    <mergeCell ref="AE2080:AF2080"/>
    <mergeCell ref="G2081:H2081"/>
    <mergeCell ref="K2081:L2081"/>
    <mergeCell ref="M2081:P2081"/>
    <mergeCell ref="Q2081:T2081"/>
    <mergeCell ref="U2081:W2081"/>
    <mergeCell ref="X2081:Z2081"/>
    <mergeCell ref="AA2081:AD2081"/>
    <mergeCell ref="AE2081:AF2081"/>
    <mergeCell ref="G2082:H2082"/>
    <mergeCell ref="K2082:L2082"/>
    <mergeCell ref="M2082:P2082"/>
    <mergeCell ref="Q2082:T2082"/>
    <mergeCell ref="U2082:W2082"/>
    <mergeCell ref="X2082:Z2082"/>
    <mergeCell ref="AA2082:AD2082"/>
    <mergeCell ref="AE2082:AF2082"/>
    <mergeCell ref="G2089:H2089"/>
    <mergeCell ref="K2089:L2089"/>
    <mergeCell ref="M2089:P2089"/>
    <mergeCell ref="Q2089:T2089"/>
    <mergeCell ref="U2089:W2089"/>
    <mergeCell ref="X2089:Z2089"/>
    <mergeCell ref="AA2089:AD2089"/>
    <mergeCell ref="G2090:H2090"/>
    <mergeCell ref="K2090:L2090"/>
    <mergeCell ref="M2090:P2090"/>
    <mergeCell ref="Q2090:T2090"/>
    <mergeCell ref="U2090:W2090"/>
    <mergeCell ref="X2090:Z2090"/>
    <mergeCell ref="AA2090:AD2090"/>
    <mergeCell ref="AE2090:AF2090"/>
    <mergeCell ref="G2091:H2091"/>
    <mergeCell ref="K2091:L2091"/>
    <mergeCell ref="M2091:P2091"/>
    <mergeCell ref="Q2091:T2091"/>
    <mergeCell ref="U2091:W2091"/>
    <mergeCell ref="X2091:Z2091"/>
    <mergeCell ref="AA2091:AD2091"/>
    <mergeCell ref="AE2091:AF2091"/>
    <mergeCell ref="G2086:H2086"/>
    <mergeCell ref="K2086:L2086"/>
    <mergeCell ref="M2086:P2086"/>
    <mergeCell ref="Q2086:T2086"/>
    <mergeCell ref="U2086:W2086"/>
    <mergeCell ref="X2086:Z2086"/>
    <mergeCell ref="AA2086:AD2086"/>
    <mergeCell ref="AE2086:AF2086"/>
    <mergeCell ref="G2087:H2087"/>
    <mergeCell ref="K2087:L2087"/>
    <mergeCell ref="M2087:P2087"/>
    <mergeCell ref="Q2087:T2087"/>
    <mergeCell ref="U2087:W2087"/>
    <mergeCell ref="X2087:Z2087"/>
    <mergeCell ref="AA2087:AD2087"/>
    <mergeCell ref="AE2087:AF2087"/>
    <mergeCell ref="G2088:H2088"/>
    <mergeCell ref="K2088:L2088"/>
    <mergeCell ref="M2088:P2088"/>
    <mergeCell ref="Q2088:T2088"/>
    <mergeCell ref="U2088:W2088"/>
    <mergeCell ref="X2088:Z2088"/>
    <mergeCell ref="AA2088:AD2088"/>
    <mergeCell ref="AE2088:AF2088"/>
    <mergeCell ref="G2095:H2095"/>
    <mergeCell ref="K2095:L2095"/>
    <mergeCell ref="M2095:P2095"/>
    <mergeCell ref="Q2095:T2095"/>
    <mergeCell ref="U2095:W2095"/>
    <mergeCell ref="X2095:Z2095"/>
    <mergeCell ref="AA2095:AD2095"/>
    <mergeCell ref="AE2095:AF2095"/>
    <mergeCell ref="G2096:H2096"/>
    <mergeCell ref="K2096:L2096"/>
    <mergeCell ref="M2096:P2096"/>
    <mergeCell ref="Q2096:T2096"/>
    <mergeCell ref="U2096:W2096"/>
    <mergeCell ref="X2096:Z2096"/>
    <mergeCell ref="AA2096:AD2096"/>
    <mergeCell ref="AE2096:AF2096"/>
    <mergeCell ref="G2097:H2097"/>
    <mergeCell ref="K2097:L2097"/>
    <mergeCell ref="M2097:P2097"/>
    <mergeCell ref="Q2097:T2097"/>
    <mergeCell ref="U2097:W2097"/>
    <mergeCell ref="X2097:Z2097"/>
    <mergeCell ref="AA2097:AD2097"/>
    <mergeCell ref="AE2097:AF2097"/>
    <mergeCell ref="G2092:H2092"/>
    <mergeCell ref="K2092:L2092"/>
    <mergeCell ref="M2092:P2092"/>
    <mergeCell ref="Q2092:T2092"/>
    <mergeCell ref="U2092:W2092"/>
    <mergeCell ref="X2092:Z2092"/>
    <mergeCell ref="AA2092:AD2092"/>
    <mergeCell ref="AE2092:AF2092"/>
    <mergeCell ref="G2093:H2093"/>
    <mergeCell ref="K2093:L2093"/>
    <mergeCell ref="M2093:P2093"/>
    <mergeCell ref="Q2093:T2093"/>
    <mergeCell ref="U2093:W2093"/>
    <mergeCell ref="X2093:Z2093"/>
    <mergeCell ref="AA2093:AD2093"/>
    <mergeCell ref="AE2093:AF2093"/>
    <mergeCell ref="G2094:H2094"/>
    <mergeCell ref="K2094:L2094"/>
    <mergeCell ref="M2094:P2094"/>
    <mergeCell ref="Q2094:T2094"/>
    <mergeCell ref="U2094:W2094"/>
    <mergeCell ref="X2094:Z2094"/>
    <mergeCell ref="AA2094:AD2094"/>
    <mergeCell ref="AE2094:AF2094"/>
    <mergeCell ref="G2101:H2101"/>
    <mergeCell ref="K2101:L2101"/>
    <mergeCell ref="M2101:P2101"/>
    <mergeCell ref="Q2101:T2101"/>
    <mergeCell ref="U2101:W2101"/>
    <mergeCell ref="X2101:Z2101"/>
    <mergeCell ref="AA2101:AD2101"/>
    <mergeCell ref="AE2101:AF2101"/>
    <mergeCell ref="G2102:H2102"/>
    <mergeCell ref="K2102:L2102"/>
    <mergeCell ref="M2102:P2102"/>
    <mergeCell ref="Q2102:T2102"/>
    <mergeCell ref="U2102:W2102"/>
    <mergeCell ref="X2102:Z2102"/>
    <mergeCell ref="AA2102:AD2102"/>
    <mergeCell ref="AE2102:AF2102"/>
    <mergeCell ref="G2103:H2103"/>
    <mergeCell ref="K2103:L2103"/>
    <mergeCell ref="M2103:P2103"/>
    <mergeCell ref="Q2103:T2103"/>
    <mergeCell ref="U2103:W2103"/>
    <mergeCell ref="X2103:Z2103"/>
    <mergeCell ref="AA2103:AD2103"/>
    <mergeCell ref="AE2103:AF2103"/>
    <mergeCell ref="G2098:H2098"/>
    <mergeCell ref="K2098:L2098"/>
    <mergeCell ref="M2098:P2098"/>
    <mergeCell ref="Q2098:T2098"/>
    <mergeCell ref="U2098:W2098"/>
    <mergeCell ref="X2098:Z2098"/>
    <mergeCell ref="AA2098:AD2098"/>
    <mergeCell ref="AE2098:AF2098"/>
    <mergeCell ref="G2099:H2099"/>
    <mergeCell ref="K2099:L2099"/>
    <mergeCell ref="M2099:P2099"/>
    <mergeCell ref="Q2099:T2099"/>
    <mergeCell ref="U2099:W2099"/>
    <mergeCell ref="X2099:Z2099"/>
    <mergeCell ref="AA2099:AD2099"/>
    <mergeCell ref="AE2099:AF2099"/>
    <mergeCell ref="G2100:H2100"/>
    <mergeCell ref="K2100:L2100"/>
    <mergeCell ref="M2100:P2100"/>
    <mergeCell ref="Q2100:T2100"/>
    <mergeCell ref="U2100:W2100"/>
    <mergeCell ref="X2100:Z2100"/>
    <mergeCell ref="AA2100:AD2100"/>
    <mergeCell ref="AE2100:AF2100"/>
    <mergeCell ref="G2107:H2107"/>
    <mergeCell ref="K2107:L2107"/>
    <mergeCell ref="M2107:P2107"/>
    <mergeCell ref="Q2107:T2107"/>
    <mergeCell ref="U2107:W2107"/>
    <mergeCell ref="X2107:Z2107"/>
    <mergeCell ref="AA2107:AD2107"/>
    <mergeCell ref="AE2107:AF2107"/>
    <mergeCell ref="G2108:H2108"/>
    <mergeCell ref="K2108:L2108"/>
    <mergeCell ref="M2108:P2108"/>
    <mergeCell ref="Q2108:T2108"/>
    <mergeCell ref="U2108:W2108"/>
    <mergeCell ref="X2108:Z2108"/>
    <mergeCell ref="AA2108:AD2108"/>
    <mergeCell ref="G2109:H2109"/>
    <mergeCell ref="K2109:L2109"/>
    <mergeCell ref="M2109:P2109"/>
    <mergeCell ref="Q2109:T2109"/>
    <mergeCell ref="U2109:W2109"/>
    <mergeCell ref="X2109:Z2109"/>
    <mergeCell ref="AA2109:AD2109"/>
    <mergeCell ref="AE2109:AF2109"/>
    <mergeCell ref="G2104:H2104"/>
    <mergeCell ref="K2104:L2104"/>
    <mergeCell ref="M2104:P2104"/>
    <mergeCell ref="Q2104:T2104"/>
    <mergeCell ref="U2104:W2104"/>
    <mergeCell ref="X2104:Z2104"/>
    <mergeCell ref="AA2104:AD2104"/>
    <mergeCell ref="AE2104:AF2104"/>
    <mergeCell ref="G2105:H2105"/>
    <mergeCell ref="K2105:L2105"/>
    <mergeCell ref="M2105:P2105"/>
    <mergeCell ref="Q2105:T2105"/>
    <mergeCell ref="U2105:W2105"/>
    <mergeCell ref="X2105:Z2105"/>
    <mergeCell ref="AA2105:AD2105"/>
    <mergeCell ref="AE2105:AF2105"/>
    <mergeCell ref="G2106:H2106"/>
    <mergeCell ref="K2106:L2106"/>
    <mergeCell ref="M2106:P2106"/>
    <mergeCell ref="Q2106:T2106"/>
    <mergeCell ref="U2106:W2106"/>
    <mergeCell ref="X2106:Z2106"/>
    <mergeCell ref="AA2106:AD2106"/>
    <mergeCell ref="AE2106:AF2106"/>
    <mergeCell ref="G2113:H2113"/>
    <mergeCell ref="K2113:L2113"/>
    <mergeCell ref="M2113:P2113"/>
    <mergeCell ref="Q2113:T2113"/>
    <mergeCell ref="U2113:W2113"/>
    <mergeCell ref="X2113:Z2113"/>
    <mergeCell ref="AA2113:AD2113"/>
    <mergeCell ref="AE2113:AF2113"/>
    <mergeCell ref="G2114:H2114"/>
    <mergeCell ref="K2114:L2114"/>
    <mergeCell ref="M2114:P2114"/>
    <mergeCell ref="Q2114:T2114"/>
    <mergeCell ref="U2114:W2114"/>
    <mergeCell ref="X2114:Z2114"/>
    <mergeCell ref="AA2114:AD2114"/>
    <mergeCell ref="AE2114:AF2114"/>
    <mergeCell ref="G2115:H2115"/>
    <mergeCell ref="K2115:L2115"/>
    <mergeCell ref="M2115:P2115"/>
    <mergeCell ref="Q2115:T2115"/>
    <mergeCell ref="U2115:W2115"/>
    <mergeCell ref="X2115:Z2115"/>
    <mergeCell ref="AA2115:AD2115"/>
    <mergeCell ref="AE2115:AF2115"/>
    <mergeCell ref="G2110:H2110"/>
    <mergeCell ref="K2110:L2110"/>
    <mergeCell ref="M2110:P2110"/>
    <mergeCell ref="Q2110:T2110"/>
    <mergeCell ref="U2110:W2110"/>
    <mergeCell ref="X2110:Z2110"/>
    <mergeCell ref="AA2110:AD2110"/>
    <mergeCell ref="AE2110:AF2110"/>
    <mergeCell ref="G2111:H2111"/>
    <mergeCell ref="K2111:L2111"/>
    <mergeCell ref="M2111:P2111"/>
    <mergeCell ref="Q2111:T2111"/>
    <mergeCell ref="U2111:W2111"/>
    <mergeCell ref="X2111:Z2111"/>
    <mergeCell ref="AA2111:AD2111"/>
    <mergeCell ref="AE2111:AF2111"/>
    <mergeCell ref="G2112:H2112"/>
    <mergeCell ref="K2112:L2112"/>
    <mergeCell ref="M2112:P2112"/>
    <mergeCell ref="Q2112:T2112"/>
    <mergeCell ref="U2112:W2112"/>
    <mergeCell ref="X2112:Z2112"/>
    <mergeCell ref="AA2112:AD2112"/>
    <mergeCell ref="AE2112:AF2112"/>
    <mergeCell ref="G2119:H2119"/>
    <mergeCell ref="K2119:L2119"/>
    <mergeCell ref="M2119:P2119"/>
    <mergeCell ref="Q2119:T2119"/>
    <mergeCell ref="U2119:W2119"/>
    <mergeCell ref="X2119:Z2119"/>
    <mergeCell ref="AA2119:AD2119"/>
    <mergeCell ref="AE2119:AF2119"/>
    <mergeCell ref="G2120:H2120"/>
    <mergeCell ref="K2120:L2120"/>
    <mergeCell ref="M2120:P2120"/>
    <mergeCell ref="Q2120:T2120"/>
    <mergeCell ref="U2120:W2120"/>
    <mergeCell ref="X2120:Z2120"/>
    <mergeCell ref="AA2120:AD2120"/>
    <mergeCell ref="AE2120:AF2120"/>
    <mergeCell ref="G2121:H2121"/>
    <mergeCell ref="K2121:L2121"/>
    <mergeCell ref="M2121:P2121"/>
    <mergeCell ref="Q2121:T2121"/>
    <mergeCell ref="U2121:W2121"/>
    <mergeCell ref="X2121:Z2121"/>
    <mergeCell ref="AA2121:AD2121"/>
    <mergeCell ref="AE2121:AF2121"/>
    <mergeCell ref="G2116:H2116"/>
    <mergeCell ref="K2116:L2116"/>
    <mergeCell ref="M2116:P2116"/>
    <mergeCell ref="Q2116:T2116"/>
    <mergeCell ref="U2116:W2116"/>
    <mergeCell ref="X2116:Z2116"/>
    <mergeCell ref="AA2116:AD2116"/>
    <mergeCell ref="AE2116:AF2116"/>
    <mergeCell ref="G2117:H2117"/>
    <mergeCell ref="K2117:L2117"/>
    <mergeCell ref="M2117:P2117"/>
    <mergeCell ref="Q2117:T2117"/>
    <mergeCell ref="U2117:W2117"/>
    <mergeCell ref="X2117:Z2117"/>
    <mergeCell ref="AA2117:AD2117"/>
    <mergeCell ref="AE2117:AF2117"/>
    <mergeCell ref="G2118:H2118"/>
    <mergeCell ref="K2118:L2118"/>
    <mergeCell ref="M2118:P2118"/>
    <mergeCell ref="Q2118:T2118"/>
    <mergeCell ref="U2118:W2118"/>
    <mergeCell ref="X2118:Z2118"/>
    <mergeCell ref="AA2118:AD2118"/>
    <mergeCell ref="AE2118:AF2118"/>
    <mergeCell ref="G2125:H2125"/>
    <mergeCell ref="K2125:L2125"/>
    <mergeCell ref="M2125:P2125"/>
    <mergeCell ref="Q2125:T2125"/>
    <mergeCell ref="U2125:W2125"/>
    <mergeCell ref="X2125:Z2125"/>
    <mergeCell ref="AA2125:AD2125"/>
    <mergeCell ref="AE2125:AF2125"/>
    <mergeCell ref="G2126:H2126"/>
    <mergeCell ref="K2126:L2126"/>
    <mergeCell ref="M2126:P2126"/>
    <mergeCell ref="Q2126:T2126"/>
    <mergeCell ref="U2126:W2126"/>
    <mergeCell ref="X2126:Z2126"/>
    <mergeCell ref="AA2126:AD2126"/>
    <mergeCell ref="AE2126:AF2126"/>
    <mergeCell ref="G2127:H2127"/>
    <mergeCell ref="K2127:L2127"/>
    <mergeCell ref="M2127:P2127"/>
    <mergeCell ref="Q2127:T2127"/>
    <mergeCell ref="U2127:W2127"/>
    <mergeCell ref="X2127:Z2127"/>
    <mergeCell ref="AA2127:AD2127"/>
    <mergeCell ref="G2122:H2122"/>
    <mergeCell ref="K2122:L2122"/>
    <mergeCell ref="M2122:P2122"/>
    <mergeCell ref="Q2122:T2122"/>
    <mergeCell ref="U2122:W2122"/>
    <mergeCell ref="X2122:Z2122"/>
    <mergeCell ref="AA2122:AD2122"/>
    <mergeCell ref="AE2122:AF2122"/>
    <mergeCell ref="G2123:H2123"/>
    <mergeCell ref="K2123:L2123"/>
    <mergeCell ref="M2123:P2123"/>
    <mergeCell ref="Q2123:T2123"/>
    <mergeCell ref="U2123:W2123"/>
    <mergeCell ref="X2123:Z2123"/>
    <mergeCell ref="AA2123:AD2123"/>
    <mergeCell ref="AE2123:AF2123"/>
    <mergeCell ref="G2124:H2124"/>
    <mergeCell ref="K2124:L2124"/>
    <mergeCell ref="M2124:P2124"/>
    <mergeCell ref="Q2124:T2124"/>
    <mergeCell ref="U2124:W2124"/>
    <mergeCell ref="X2124:Z2124"/>
    <mergeCell ref="AA2124:AD2124"/>
    <mergeCell ref="AE2124:AF2124"/>
    <mergeCell ref="G2131:H2131"/>
    <mergeCell ref="K2131:L2131"/>
    <mergeCell ref="M2131:P2131"/>
    <mergeCell ref="Q2131:T2131"/>
    <mergeCell ref="U2131:W2131"/>
    <mergeCell ref="X2131:Z2131"/>
    <mergeCell ref="AA2131:AD2131"/>
    <mergeCell ref="AE2131:AF2131"/>
    <mergeCell ref="G2132:H2132"/>
    <mergeCell ref="K2132:L2132"/>
    <mergeCell ref="M2132:P2132"/>
    <mergeCell ref="Q2132:T2132"/>
    <mergeCell ref="U2132:W2132"/>
    <mergeCell ref="X2132:Z2132"/>
    <mergeCell ref="AA2132:AD2132"/>
    <mergeCell ref="AE2132:AF2132"/>
    <mergeCell ref="G2133:H2133"/>
    <mergeCell ref="K2133:L2133"/>
    <mergeCell ref="M2133:P2133"/>
    <mergeCell ref="Q2133:T2133"/>
    <mergeCell ref="U2133:W2133"/>
    <mergeCell ref="X2133:Z2133"/>
    <mergeCell ref="AA2133:AD2133"/>
    <mergeCell ref="AE2133:AF2133"/>
    <mergeCell ref="G2128:H2128"/>
    <mergeCell ref="K2128:L2128"/>
    <mergeCell ref="M2128:P2128"/>
    <mergeCell ref="Q2128:T2128"/>
    <mergeCell ref="U2128:W2128"/>
    <mergeCell ref="X2128:Z2128"/>
    <mergeCell ref="AA2128:AD2128"/>
    <mergeCell ref="AE2128:AF2128"/>
    <mergeCell ref="G2129:H2129"/>
    <mergeCell ref="K2129:L2129"/>
    <mergeCell ref="M2129:P2129"/>
    <mergeCell ref="Q2129:T2129"/>
    <mergeCell ref="U2129:W2129"/>
    <mergeCell ref="X2129:Z2129"/>
    <mergeCell ref="AA2129:AD2129"/>
    <mergeCell ref="AE2129:AF2129"/>
    <mergeCell ref="G2130:H2130"/>
    <mergeCell ref="K2130:L2130"/>
    <mergeCell ref="M2130:P2130"/>
    <mergeCell ref="Q2130:T2130"/>
    <mergeCell ref="U2130:W2130"/>
    <mergeCell ref="X2130:Z2130"/>
    <mergeCell ref="AA2130:AD2130"/>
    <mergeCell ref="AE2130:AF2130"/>
    <mergeCell ref="B2149:N2149"/>
    <mergeCell ref="O2149:Q2149"/>
    <mergeCell ref="B2150:N2150"/>
    <mergeCell ref="O2150:Q2150"/>
    <mergeCell ref="B2152:AG2152"/>
    <mergeCell ref="B2138:G2138"/>
    <mergeCell ref="H2138:N2138"/>
    <mergeCell ref="B2141:N2141"/>
    <mergeCell ref="O2141:Q2141"/>
    <mergeCell ref="B2142:N2142"/>
    <mergeCell ref="O2142:Q2142"/>
    <mergeCell ref="B2143:N2143"/>
    <mergeCell ref="O2143:Q2143"/>
    <mergeCell ref="B2144:N2144"/>
    <mergeCell ref="O2144:Q2144"/>
    <mergeCell ref="B2145:N2145"/>
    <mergeCell ref="O2145:Q2145"/>
    <mergeCell ref="B2146:N2146"/>
    <mergeCell ref="O2146:Q2146"/>
    <mergeCell ref="B2147:N2147"/>
    <mergeCell ref="O2147:Q2147"/>
    <mergeCell ref="G2134:H2134"/>
    <mergeCell ref="K2134:L2134"/>
    <mergeCell ref="M2134:P2134"/>
    <mergeCell ref="Q2134:T2134"/>
    <mergeCell ref="U2134:W2134"/>
    <mergeCell ref="X2134:Z2134"/>
    <mergeCell ref="AA2134:AD2134"/>
    <mergeCell ref="AE2134:AF2134"/>
    <mergeCell ref="G2135:H2135"/>
    <mergeCell ref="K2135:L2135"/>
    <mergeCell ref="M2135:P2135"/>
    <mergeCell ref="Q2135:T2135"/>
    <mergeCell ref="U2135:W2135"/>
    <mergeCell ref="X2135:Z2135"/>
    <mergeCell ref="AA2135:AD2135"/>
    <mergeCell ref="AE2135:AF2135"/>
    <mergeCell ref="G2136:H2136"/>
    <mergeCell ref="K2136:L2136"/>
    <mergeCell ref="M2136:P2136"/>
    <mergeCell ref="Q2136:T2136"/>
    <mergeCell ref="U2136:W2136"/>
    <mergeCell ref="X2136:Z2136"/>
    <mergeCell ref="AA2136:AD2136"/>
    <mergeCell ref="AE2136:AF2136"/>
    <mergeCell ref="G2161:H2161"/>
    <mergeCell ref="K2161:L2161"/>
    <mergeCell ref="M2161:P2161"/>
    <mergeCell ref="Q2161:T2161"/>
    <mergeCell ref="U2161:W2161"/>
    <mergeCell ref="X2161:Z2161"/>
    <mergeCell ref="AA2161:AD2161"/>
    <mergeCell ref="AE2161:AF2161"/>
    <mergeCell ref="G2162:H2162"/>
    <mergeCell ref="K2162:L2162"/>
    <mergeCell ref="M2162:P2162"/>
    <mergeCell ref="Q2162:T2162"/>
    <mergeCell ref="U2162:W2162"/>
    <mergeCell ref="X2162:Z2162"/>
    <mergeCell ref="AA2162:AD2162"/>
    <mergeCell ref="AE2162:AF2162"/>
    <mergeCell ref="G2163:H2163"/>
    <mergeCell ref="K2163:L2163"/>
    <mergeCell ref="M2163:P2163"/>
    <mergeCell ref="Q2163:T2163"/>
    <mergeCell ref="U2163:W2163"/>
    <mergeCell ref="X2163:Z2163"/>
    <mergeCell ref="AA2163:AD2163"/>
    <mergeCell ref="AE2163:AF2163"/>
    <mergeCell ref="B2159:F2160"/>
    <mergeCell ref="G2159:H2160"/>
    <mergeCell ref="I2159:I2160"/>
    <mergeCell ref="J2159:J2160"/>
    <mergeCell ref="K2159:L2160"/>
    <mergeCell ref="M2159:P2160"/>
    <mergeCell ref="Q2159:T2160"/>
    <mergeCell ref="U2159:W2160"/>
    <mergeCell ref="X2159:Z2160"/>
    <mergeCell ref="AA2159:AD2160"/>
    <mergeCell ref="AE2159:AF2160"/>
    <mergeCell ref="G2167:H2167"/>
    <mergeCell ref="K2167:L2167"/>
    <mergeCell ref="M2167:P2167"/>
    <mergeCell ref="Q2167:T2167"/>
    <mergeCell ref="U2167:W2167"/>
    <mergeCell ref="X2167:Z2167"/>
    <mergeCell ref="AA2167:AD2167"/>
    <mergeCell ref="AE2167:AF2167"/>
    <mergeCell ref="G2168:H2168"/>
    <mergeCell ref="K2168:L2168"/>
    <mergeCell ref="M2168:P2168"/>
    <mergeCell ref="Q2168:T2168"/>
    <mergeCell ref="U2168:W2168"/>
    <mergeCell ref="X2168:Z2168"/>
    <mergeCell ref="AA2168:AD2168"/>
    <mergeCell ref="AE2168:AF2168"/>
    <mergeCell ref="G2169:H2169"/>
    <mergeCell ref="K2169:L2169"/>
    <mergeCell ref="M2169:P2169"/>
    <mergeCell ref="Q2169:T2169"/>
    <mergeCell ref="U2169:W2169"/>
    <mergeCell ref="X2169:Z2169"/>
    <mergeCell ref="AA2169:AD2169"/>
    <mergeCell ref="AE2169:AF2169"/>
    <mergeCell ref="G2164:H2164"/>
    <mergeCell ref="K2164:L2164"/>
    <mergeCell ref="M2164:P2164"/>
    <mergeCell ref="Q2164:T2164"/>
    <mergeCell ref="U2164:W2164"/>
    <mergeCell ref="X2164:Z2164"/>
    <mergeCell ref="AA2164:AD2164"/>
    <mergeCell ref="AE2164:AF2164"/>
    <mergeCell ref="G2165:H2165"/>
    <mergeCell ref="K2165:L2165"/>
    <mergeCell ref="M2165:P2165"/>
    <mergeCell ref="Q2165:T2165"/>
    <mergeCell ref="U2165:W2165"/>
    <mergeCell ref="X2165:Z2165"/>
    <mergeCell ref="AA2165:AD2165"/>
    <mergeCell ref="AE2165:AF2165"/>
    <mergeCell ref="G2166:H2166"/>
    <mergeCell ref="K2166:L2166"/>
    <mergeCell ref="M2166:P2166"/>
    <mergeCell ref="Q2166:T2166"/>
    <mergeCell ref="U2166:W2166"/>
    <mergeCell ref="X2166:Z2166"/>
    <mergeCell ref="AA2166:AD2166"/>
    <mergeCell ref="AE2166:AF2166"/>
    <mergeCell ref="G2173:H2173"/>
    <mergeCell ref="K2173:L2173"/>
    <mergeCell ref="M2173:P2173"/>
    <mergeCell ref="Q2173:T2173"/>
    <mergeCell ref="U2173:W2173"/>
    <mergeCell ref="X2173:Z2173"/>
    <mergeCell ref="AA2173:AD2173"/>
    <mergeCell ref="AE2173:AF2173"/>
    <mergeCell ref="G2174:H2174"/>
    <mergeCell ref="K2174:L2174"/>
    <mergeCell ref="M2174:P2174"/>
    <mergeCell ref="Q2174:T2174"/>
    <mergeCell ref="U2174:W2174"/>
    <mergeCell ref="X2174:Z2174"/>
    <mergeCell ref="AA2174:AD2174"/>
    <mergeCell ref="AE2174:AF2174"/>
    <mergeCell ref="G2175:H2175"/>
    <mergeCell ref="K2175:L2175"/>
    <mergeCell ref="M2175:P2175"/>
    <mergeCell ref="Q2175:T2175"/>
    <mergeCell ref="U2175:W2175"/>
    <mergeCell ref="X2175:Z2175"/>
    <mergeCell ref="AA2175:AD2175"/>
    <mergeCell ref="AE2175:AF2175"/>
    <mergeCell ref="G2170:H2170"/>
    <mergeCell ref="K2170:L2170"/>
    <mergeCell ref="M2170:P2170"/>
    <mergeCell ref="Q2170:T2170"/>
    <mergeCell ref="U2170:W2170"/>
    <mergeCell ref="X2170:Z2170"/>
    <mergeCell ref="AA2170:AD2170"/>
    <mergeCell ref="AE2170:AF2170"/>
    <mergeCell ref="G2171:H2171"/>
    <mergeCell ref="K2171:L2171"/>
    <mergeCell ref="M2171:P2171"/>
    <mergeCell ref="Q2171:T2171"/>
    <mergeCell ref="U2171:W2171"/>
    <mergeCell ref="X2171:Z2171"/>
    <mergeCell ref="AA2171:AD2171"/>
    <mergeCell ref="AE2171:AF2171"/>
    <mergeCell ref="G2172:H2172"/>
    <mergeCell ref="K2172:L2172"/>
    <mergeCell ref="M2172:P2172"/>
    <mergeCell ref="Q2172:T2172"/>
    <mergeCell ref="U2172:W2172"/>
    <mergeCell ref="X2172:Z2172"/>
    <mergeCell ref="AA2172:AD2172"/>
    <mergeCell ref="AE2172:AF2172"/>
    <mergeCell ref="G2179:H2179"/>
    <mergeCell ref="K2179:L2179"/>
    <mergeCell ref="M2179:P2179"/>
    <mergeCell ref="Q2179:T2179"/>
    <mergeCell ref="U2179:W2179"/>
    <mergeCell ref="X2179:Z2179"/>
    <mergeCell ref="AA2179:AD2179"/>
    <mergeCell ref="AE2179:AF2179"/>
    <mergeCell ref="G2180:H2180"/>
    <mergeCell ref="K2180:L2180"/>
    <mergeCell ref="M2180:P2180"/>
    <mergeCell ref="Q2180:T2180"/>
    <mergeCell ref="U2180:W2180"/>
    <mergeCell ref="X2180:Z2180"/>
    <mergeCell ref="AA2180:AD2180"/>
    <mergeCell ref="AE2180:AF2180"/>
    <mergeCell ref="G2181:H2181"/>
    <mergeCell ref="K2181:L2181"/>
    <mergeCell ref="M2181:P2181"/>
    <mergeCell ref="Q2181:T2181"/>
    <mergeCell ref="U2181:W2181"/>
    <mergeCell ref="X2181:Z2181"/>
    <mergeCell ref="AA2181:AD2181"/>
    <mergeCell ref="AE2181:AF2181"/>
    <mergeCell ref="G2176:H2176"/>
    <mergeCell ref="K2176:L2176"/>
    <mergeCell ref="M2176:P2176"/>
    <mergeCell ref="Q2176:T2176"/>
    <mergeCell ref="U2176:W2176"/>
    <mergeCell ref="X2176:Z2176"/>
    <mergeCell ref="AA2176:AD2176"/>
    <mergeCell ref="AE2176:AF2176"/>
    <mergeCell ref="G2177:H2177"/>
    <mergeCell ref="K2177:L2177"/>
    <mergeCell ref="M2177:P2177"/>
    <mergeCell ref="Q2177:T2177"/>
    <mergeCell ref="U2177:W2177"/>
    <mergeCell ref="X2177:Z2177"/>
    <mergeCell ref="AA2177:AD2177"/>
    <mergeCell ref="AE2177:AF2177"/>
    <mergeCell ref="G2178:H2178"/>
    <mergeCell ref="K2178:L2178"/>
    <mergeCell ref="M2178:P2178"/>
    <mergeCell ref="Q2178:T2178"/>
    <mergeCell ref="U2178:W2178"/>
    <mergeCell ref="X2178:Z2178"/>
    <mergeCell ref="AA2178:AD2178"/>
    <mergeCell ref="AE2178:AF2178"/>
    <mergeCell ref="G2185:H2185"/>
    <mergeCell ref="K2185:L2185"/>
    <mergeCell ref="M2185:P2185"/>
    <mergeCell ref="Q2185:T2185"/>
    <mergeCell ref="U2185:W2185"/>
    <mergeCell ref="X2185:Z2185"/>
    <mergeCell ref="AA2185:AD2185"/>
    <mergeCell ref="AE2185:AF2185"/>
    <mergeCell ref="G2186:H2186"/>
    <mergeCell ref="K2186:L2186"/>
    <mergeCell ref="M2186:P2186"/>
    <mergeCell ref="Q2186:T2186"/>
    <mergeCell ref="U2186:W2186"/>
    <mergeCell ref="X2186:Z2186"/>
    <mergeCell ref="AA2186:AD2186"/>
    <mergeCell ref="AE2186:AF2186"/>
    <mergeCell ref="G2187:H2187"/>
    <mergeCell ref="K2187:L2187"/>
    <mergeCell ref="M2187:P2187"/>
    <mergeCell ref="Q2187:T2187"/>
    <mergeCell ref="U2187:W2187"/>
    <mergeCell ref="X2187:Z2187"/>
    <mergeCell ref="AA2187:AD2187"/>
    <mergeCell ref="AE2187:AF2187"/>
    <mergeCell ref="G2182:H2182"/>
    <mergeCell ref="K2182:L2182"/>
    <mergeCell ref="M2182:P2182"/>
    <mergeCell ref="Q2182:T2182"/>
    <mergeCell ref="U2182:W2182"/>
    <mergeCell ref="X2182:Z2182"/>
    <mergeCell ref="AA2182:AD2182"/>
    <mergeCell ref="AE2182:AF2182"/>
    <mergeCell ref="G2183:H2183"/>
    <mergeCell ref="K2183:L2183"/>
    <mergeCell ref="M2183:P2183"/>
    <mergeCell ref="Q2183:T2183"/>
    <mergeCell ref="U2183:W2183"/>
    <mergeCell ref="X2183:Z2183"/>
    <mergeCell ref="AA2183:AD2183"/>
    <mergeCell ref="AE2183:AF2183"/>
    <mergeCell ref="G2184:H2184"/>
    <mergeCell ref="K2184:L2184"/>
    <mergeCell ref="M2184:P2184"/>
    <mergeCell ref="Q2184:T2184"/>
    <mergeCell ref="U2184:W2184"/>
    <mergeCell ref="X2184:Z2184"/>
    <mergeCell ref="AA2184:AD2184"/>
    <mergeCell ref="AE2184:AF2184"/>
    <mergeCell ref="G2191:H2191"/>
    <mergeCell ref="K2191:L2191"/>
    <mergeCell ref="M2191:P2191"/>
    <mergeCell ref="Q2191:T2191"/>
    <mergeCell ref="U2191:W2191"/>
    <mergeCell ref="X2191:Z2191"/>
    <mergeCell ref="AA2191:AD2191"/>
    <mergeCell ref="AE2191:AF2191"/>
    <mergeCell ref="G2192:H2192"/>
    <mergeCell ref="K2192:L2192"/>
    <mergeCell ref="M2192:P2192"/>
    <mergeCell ref="Q2192:T2192"/>
    <mergeCell ref="U2192:W2192"/>
    <mergeCell ref="X2192:Z2192"/>
    <mergeCell ref="AA2192:AD2192"/>
    <mergeCell ref="AE2192:AF2192"/>
    <mergeCell ref="G2193:H2193"/>
    <mergeCell ref="K2193:L2193"/>
    <mergeCell ref="M2193:P2193"/>
    <mergeCell ref="Q2193:T2193"/>
    <mergeCell ref="U2193:W2193"/>
    <mergeCell ref="X2193:Z2193"/>
    <mergeCell ref="AA2193:AD2193"/>
    <mergeCell ref="AE2193:AF2193"/>
    <mergeCell ref="G2188:H2188"/>
    <mergeCell ref="K2188:L2188"/>
    <mergeCell ref="M2188:P2188"/>
    <mergeCell ref="Q2188:T2188"/>
    <mergeCell ref="U2188:W2188"/>
    <mergeCell ref="X2188:Z2188"/>
    <mergeCell ref="AA2188:AD2188"/>
    <mergeCell ref="AE2188:AF2188"/>
    <mergeCell ref="G2189:H2189"/>
    <mergeCell ref="K2189:L2189"/>
    <mergeCell ref="M2189:P2189"/>
    <mergeCell ref="Q2189:T2189"/>
    <mergeCell ref="U2189:W2189"/>
    <mergeCell ref="X2189:Z2189"/>
    <mergeCell ref="AA2189:AD2189"/>
    <mergeCell ref="AE2189:AF2189"/>
    <mergeCell ref="G2190:H2190"/>
    <mergeCell ref="K2190:L2190"/>
    <mergeCell ref="M2190:P2190"/>
    <mergeCell ref="Q2190:T2190"/>
    <mergeCell ref="U2190:W2190"/>
    <mergeCell ref="X2190:Z2190"/>
    <mergeCell ref="AA2190:AD2190"/>
    <mergeCell ref="AE2190:AF2190"/>
    <mergeCell ref="G2197:H2197"/>
    <mergeCell ref="K2197:L2197"/>
    <mergeCell ref="M2197:P2197"/>
    <mergeCell ref="Q2197:T2197"/>
    <mergeCell ref="U2197:W2197"/>
    <mergeCell ref="X2197:Z2197"/>
    <mergeCell ref="AA2197:AD2197"/>
    <mergeCell ref="AE2197:AF2197"/>
    <mergeCell ref="G2198:H2198"/>
    <mergeCell ref="K2198:L2198"/>
    <mergeCell ref="M2198:P2198"/>
    <mergeCell ref="Q2198:T2198"/>
    <mergeCell ref="U2198:W2198"/>
    <mergeCell ref="X2198:Z2198"/>
    <mergeCell ref="AA2198:AD2198"/>
    <mergeCell ref="AE2198:AF2198"/>
    <mergeCell ref="G2199:H2199"/>
    <mergeCell ref="K2199:L2199"/>
    <mergeCell ref="M2199:P2199"/>
    <mergeCell ref="Q2199:T2199"/>
    <mergeCell ref="U2199:W2199"/>
    <mergeCell ref="X2199:Z2199"/>
    <mergeCell ref="AA2199:AD2199"/>
    <mergeCell ref="AE2199:AF2199"/>
    <mergeCell ref="G2194:H2194"/>
    <mergeCell ref="K2194:L2194"/>
    <mergeCell ref="M2194:P2194"/>
    <mergeCell ref="Q2194:T2194"/>
    <mergeCell ref="U2194:W2194"/>
    <mergeCell ref="X2194:Z2194"/>
    <mergeCell ref="AA2194:AD2194"/>
    <mergeCell ref="AE2194:AF2194"/>
    <mergeCell ref="G2195:H2195"/>
    <mergeCell ref="K2195:L2195"/>
    <mergeCell ref="M2195:P2195"/>
    <mergeCell ref="Q2195:T2195"/>
    <mergeCell ref="U2195:W2195"/>
    <mergeCell ref="X2195:Z2195"/>
    <mergeCell ref="AA2195:AD2195"/>
    <mergeCell ref="AE2195:AF2195"/>
    <mergeCell ref="G2196:H2196"/>
    <mergeCell ref="K2196:L2196"/>
    <mergeCell ref="M2196:P2196"/>
    <mergeCell ref="Q2196:T2196"/>
    <mergeCell ref="U2196:W2196"/>
    <mergeCell ref="X2196:Z2196"/>
    <mergeCell ref="AA2196:AD2196"/>
    <mergeCell ref="AE2196:AF2196"/>
    <mergeCell ref="G2203:H2203"/>
    <mergeCell ref="K2203:L2203"/>
    <mergeCell ref="M2203:P2203"/>
    <mergeCell ref="Q2203:T2203"/>
    <mergeCell ref="U2203:W2203"/>
    <mergeCell ref="X2203:Z2203"/>
    <mergeCell ref="AA2203:AD2203"/>
    <mergeCell ref="AE2203:AF2203"/>
    <mergeCell ref="G2204:H2204"/>
    <mergeCell ref="K2204:L2204"/>
    <mergeCell ref="M2204:P2204"/>
    <mergeCell ref="Q2204:T2204"/>
    <mergeCell ref="U2204:W2204"/>
    <mergeCell ref="X2204:Z2204"/>
    <mergeCell ref="AA2204:AD2204"/>
    <mergeCell ref="AE2204:AF2204"/>
    <mergeCell ref="G2205:H2205"/>
    <mergeCell ref="K2205:L2205"/>
    <mergeCell ref="M2205:P2205"/>
    <mergeCell ref="Q2205:T2205"/>
    <mergeCell ref="U2205:W2205"/>
    <mergeCell ref="X2205:Z2205"/>
    <mergeCell ref="AA2205:AD2205"/>
    <mergeCell ref="AE2205:AF2205"/>
    <mergeCell ref="G2200:H2200"/>
    <mergeCell ref="K2200:L2200"/>
    <mergeCell ref="M2200:P2200"/>
    <mergeCell ref="Q2200:T2200"/>
    <mergeCell ref="U2200:W2200"/>
    <mergeCell ref="X2200:Z2200"/>
    <mergeCell ref="AA2200:AD2200"/>
    <mergeCell ref="AE2200:AF2200"/>
    <mergeCell ref="G2201:H2201"/>
    <mergeCell ref="K2201:L2201"/>
    <mergeCell ref="M2201:P2201"/>
    <mergeCell ref="Q2201:T2201"/>
    <mergeCell ref="U2201:W2201"/>
    <mergeCell ref="X2201:Z2201"/>
    <mergeCell ref="AA2201:AD2201"/>
    <mergeCell ref="AE2201:AF2201"/>
    <mergeCell ref="G2202:H2202"/>
    <mergeCell ref="K2202:L2202"/>
    <mergeCell ref="M2202:P2202"/>
    <mergeCell ref="Q2202:T2202"/>
    <mergeCell ref="U2202:W2202"/>
    <mergeCell ref="X2202:Z2202"/>
    <mergeCell ref="AA2202:AD2202"/>
    <mergeCell ref="AE2202:AF2202"/>
    <mergeCell ref="G2209:H2209"/>
    <mergeCell ref="K2209:L2209"/>
    <mergeCell ref="M2209:P2209"/>
    <mergeCell ref="Q2209:T2209"/>
    <mergeCell ref="U2209:W2209"/>
    <mergeCell ref="X2209:Z2209"/>
    <mergeCell ref="AA2209:AD2209"/>
    <mergeCell ref="AE2209:AF2209"/>
    <mergeCell ref="G2210:H2210"/>
    <mergeCell ref="K2210:L2210"/>
    <mergeCell ref="M2210:P2210"/>
    <mergeCell ref="Q2210:T2210"/>
    <mergeCell ref="U2210:W2210"/>
    <mergeCell ref="X2210:Z2210"/>
    <mergeCell ref="AA2210:AD2210"/>
    <mergeCell ref="AE2210:AF2210"/>
    <mergeCell ref="G2211:H2211"/>
    <mergeCell ref="K2211:L2211"/>
    <mergeCell ref="M2211:P2211"/>
    <mergeCell ref="Q2211:T2211"/>
    <mergeCell ref="U2211:W2211"/>
    <mergeCell ref="X2211:Z2211"/>
    <mergeCell ref="AA2211:AD2211"/>
    <mergeCell ref="AE2211:AF2211"/>
    <mergeCell ref="G2206:H2206"/>
    <mergeCell ref="K2206:L2206"/>
    <mergeCell ref="M2206:P2206"/>
    <mergeCell ref="Q2206:T2206"/>
    <mergeCell ref="U2206:W2206"/>
    <mergeCell ref="X2206:Z2206"/>
    <mergeCell ref="AA2206:AD2206"/>
    <mergeCell ref="AE2206:AF2206"/>
    <mergeCell ref="G2207:H2207"/>
    <mergeCell ref="K2207:L2207"/>
    <mergeCell ref="M2207:P2207"/>
    <mergeCell ref="Q2207:T2207"/>
    <mergeCell ref="U2207:W2207"/>
    <mergeCell ref="X2207:Z2207"/>
    <mergeCell ref="AA2207:AD2207"/>
    <mergeCell ref="AE2207:AF2207"/>
    <mergeCell ref="G2208:H2208"/>
    <mergeCell ref="K2208:L2208"/>
    <mergeCell ref="M2208:P2208"/>
    <mergeCell ref="Q2208:T2208"/>
    <mergeCell ref="U2208:W2208"/>
    <mergeCell ref="X2208:Z2208"/>
    <mergeCell ref="AA2208:AD2208"/>
    <mergeCell ref="AE2208:AF2208"/>
    <mergeCell ref="K2216:L2216"/>
    <mergeCell ref="M2216:P2216"/>
    <mergeCell ref="Q2216:T2216"/>
    <mergeCell ref="U2216:W2216"/>
    <mergeCell ref="X2216:Z2216"/>
    <mergeCell ref="AA2216:AD2216"/>
    <mergeCell ref="AE2216:AF2216"/>
    <mergeCell ref="G2217:H2217"/>
    <mergeCell ref="K2217:L2217"/>
    <mergeCell ref="M2217:P2217"/>
    <mergeCell ref="Q2217:T2217"/>
    <mergeCell ref="U2217:W2217"/>
    <mergeCell ref="X2217:Z2217"/>
    <mergeCell ref="AA2217:AD2217"/>
    <mergeCell ref="AE2217:AF2217"/>
    <mergeCell ref="G2212:H2212"/>
    <mergeCell ref="K2212:L2212"/>
    <mergeCell ref="M2212:P2212"/>
    <mergeCell ref="Q2212:T2212"/>
    <mergeCell ref="U2212:W2212"/>
    <mergeCell ref="X2212:Z2212"/>
    <mergeCell ref="AA2212:AD2212"/>
    <mergeCell ref="AE2212:AF2212"/>
    <mergeCell ref="G2213:H2213"/>
    <mergeCell ref="K2213:L2213"/>
    <mergeCell ref="M2213:P2213"/>
    <mergeCell ref="Q2213:T2213"/>
    <mergeCell ref="U2213:W2213"/>
    <mergeCell ref="X2213:Z2213"/>
    <mergeCell ref="AA2213:AD2213"/>
    <mergeCell ref="AE2213:AF2213"/>
    <mergeCell ref="G2214:H2214"/>
    <mergeCell ref="K2214:L2214"/>
    <mergeCell ref="M2214:P2214"/>
    <mergeCell ref="Q2214:T2214"/>
    <mergeCell ref="U2214:W2214"/>
    <mergeCell ref="X2214:Z2214"/>
    <mergeCell ref="AA2214:AD2214"/>
    <mergeCell ref="AE2214:AF2214"/>
    <mergeCell ref="B2237:AG2237"/>
    <mergeCell ref="B2239:H2239"/>
    <mergeCell ref="I2239:O2239"/>
    <mergeCell ref="AF2239:AG2239"/>
    <mergeCell ref="B2241:AD2241"/>
    <mergeCell ref="AF2241:AG2241"/>
    <mergeCell ref="B2243:U2244"/>
    <mergeCell ref="V2243:X2244"/>
    <mergeCell ref="Y2243:AA2244"/>
    <mergeCell ref="AB2243:AD2244"/>
    <mergeCell ref="AE2243:AG2244"/>
    <mergeCell ref="B2245:U2246"/>
    <mergeCell ref="V2245:X2246"/>
    <mergeCell ref="Y2245:AA2246"/>
    <mergeCell ref="AB2245:AD2246"/>
    <mergeCell ref="AE2245:AG2246"/>
    <mergeCell ref="B2226:N2226"/>
    <mergeCell ref="O2226:Q2226"/>
    <mergeCell ref="B2227:N2227"/>
    <mergeCell ref="O2227:Q2227"/>
    <mergeCell ref="B2228:N2228"/>
    <mergeCell ref="O2228:Q2228"/>
    <mergeCell ref="B2229:N2229"/>
    <mergeCell ref="O2229:Q2229"/>
    <mergeCell ref="B2231:N2231"/>
    <mergeCell ref="O2231:Q2231"/>
    <mergeCell ref="B2232:N2232"/>
    <mergeCell ref="O2232:Q2232"/>
    <mergeCell ref="B2234:AG2234"/>
    <mergeCell ref="B2053:AG2053"/>
    <mergeCell ref="B2055:AG2055"/>
    <mergeCell ref="B2056:AG2057"/>
    <mergeCell ref="AE2089:AF2089"/>
    <mergeCell ref="AE2108:AF2108"/>
    <mergeCell ref="AE2127:AF2127"/>
    <mergeCell ref="B2148:N2148"/>
    <mergeCell ref="O2148:Q2148"/>
    <mergeCell ref="B2230:N2230"/>
    <mergeCell ref="O2230:Q2230"/>
    <mergeCell ref="G2218:H2218"/>
    <mergeCell ref="K2218:L2218"/>
    <mergeCell ref="M2218:P2218"/>
    <mergeCell ref="Q2218:T2218"/>
    <mergeCell ref="U2218:W2218"/>
    <mergeCell ref="X2218:Z2218"/>
    <mergeCell ref="AA2218:AD2218"/>
    <mergeCell ref="AE2218:AF2218"/>
    <mergeCell ref="B2220:G2220"/>
    <mergeCell ref="H2220:N2220"/>
    <mergeCell ref="B2223:N2223"/>
    <mergeCell ref="O2223:Q2223"/>
    <mergeCell ref="B2224:N2224"/>
    <mergeCell ref="O2224:Q2224"/>
    <mergeCell ref="B2225:N2225"/>
    <mergeCell ref="O2225:Q2225"/>
    <mergeCell ref="G2215:H2215"/>
    <mergeCell ref="K2215:L2215"/>
    <mergeCell ref="M2215:P2215"/>
    <mergeCell ref="Q2215:T2215"/>
    <mergeCell ref="U2215:W2215"/>
    <mergeCell ref="X2215:Z2215"/>
    <mergeCell ref="AA2215:AD2215"/>
    <mergeCell ref="AE2215:AF2215"/>
    <mergeCell ref="G2216:H2216"/>
    <mergeCell ref="B2310:AG2348"/>
    <mergeCell ref="B2351:AG2351"/>
    <mergeCell ref="B2352:AG2352"/>
    <mergeCell ref="B2354:AG2354"/>
    <mergeCell ref="B2355:AG2393"/>
    <mergeCell ref="B2400:F2401"/>
    <mergeCell ref="K2400:L2401"/>
    <mergeCell ref="M2400:N2401"/>
    <mergeCell ref="O2400:R2401"/>
    <mergeCell ref="W2400:Z2401"/>
    <mergeCell ref="AA2400:AB2401"/>
    <mergeCell ref="G2400:H2401"/>
    <mergeCell ref="I2400:J2401"/>
    <mergeCell ref="B2256:AD2256"/>
    <mergeCell ref="AF2256:AG2256"/>
    <mergeCell ref="B2257:AD2257"/>
    <mergeCell ref="AF2257:AG2257"/>
    <mergeCell ref="B2258:AD2258"/>
    <mergeCell ref="AF2258:AG2258"/>
    <mergeCell ref="B2261:AG2261"/>
    <mergeCell ref="B2262:AG2262"/>
    <mergeCell ref="B2264:AG2264"/>
    <mergeCell ref="B2265:AG2303"/>
    <mergeCell ref="B2306:AG2306"/>
    <mergeCell ref="B2307:AG2307"/>
    <mergeCell ref="B2309:AG2309"/>
    <mergeCell ref="B2247:U2248"/>
    <mergeCell ref="V2247:X2248"/>
    <mergeCell ref="Y2247:AA2248"/>
    <mergeCell ref="AB2247:AD2248"/>
    <mergeCell ref="AE2247:AG2248"/>
    <mergeCell ref="B2249:U2250"/>
    <mergeCell ref="V2249:X2250"/>
    <mergeCell ref="Y2249:AA2250"/>
    <mergeCell ref="AB2249:AD2250"/>
    <mergeCell ref="AE2249:AG2250"/>
    <mergeCell ref="B2251:U2252"/>
    <mergeCell ref="V2251:X2252"/>
    <mergeCell ref="Y2251:AA2252"/>
    <mergeCell ref="AB2251:AD2252"/>
    <mergeCell ref="AE2251:AG2252"/>
    <mergeCell ref="B2253:U2254"/>
    <mergeCell ref="V2253:X2254"/>
    <mergeCell ref="Y2253:AA2254"/>
    <mergeCell ref="AB2253:AD2254"/>
    <mergeCell ref="AE2253:AG2254"/>
    <mergeCell ref="B2399:AG2399"/>
    <mergeCell ref="B2398:AG2398"/>
    <mergeCell ref="B2397:AG2397"/>
    <mergeCell ref="B2396:AG2396"/>
    <mergeCell ref="K2408:L2408"/>
    <mergeCell ref="M2408:N2408"/>
    <mergeCell ref="O2408:R2408"/>
    <mergeCell ref="W2408:Z2408"/>
    <mergeCell ref="AA2408:AB2408"/>
    <mergeCell ref="K2409:L2409"/>
    <mergeCell ref="M2409:N2409"/>
    <mergeCell ref="O2409:R2409"/>
    <mergeCell ref="W2409:Z2409"/>
    <mergeCell ref="AA2409:AB2409"/>
    <mergeCell ref="K2410:L2410"/>
    <mergeCell ref="M2410:N2410"/>
    <mergeCell ref="O2410:R2410"/>
    <mergeCell ref="W2410:Z2410"/>
    <mergeCell ref="AA2410:AB2410"/>
    <mergeCell ref="K2405:L2405"/>
    <mergeCell ref="M2405:N2405"/>
    <mergeCell ref="O2405:R2405"/>
    <mergeCell ref="W2405:Z2405"/>
    <mergeCell ref="AA2405:AB2405"/>
    <mergeCell ref="K2406:L2406"/>
    <mergeCell ref="M2406:N2406"/>
    <mergeCell ref="O2406:R2406"/>
    <mergeCell ref="W2406:Z2406"/>
    <mergeCell ref="AA2406:AB2406"/>
    <mergeCell ref="K2407:L2407"/>
    <mergeCell ref="M2407:N2407"/>
    <mergeCell ref="O2407:R2407"/>
    <mergeCell ref="W2407:Z2407"/>
    <mergeCell ref="AA2407:AB2407"/>
    <mergeCell ref="K2402:L2402"/>
    <mergeCell ref="M2402:N2402"/>
    <mergeCell ref="O2402:R2402"/>
    <mergeCell ref="W2402:Z2402"/>
    <mergeCell ref="AA2402:AB2402"/>
    <mergeCell ref="K2403:L2403"/>
    <mergeCell ref="M2403:N2403"/>
    <mergeCell ref="O2403:R2403"/>
    <mergeCell ref="W2403:Z2403"/>
    <mergeCell ref="AA2403:AB2403"/>
    <mergeCell ref="K2404:L2404"/>
    <mergeCell ref="M2404:N2404"/>
    <mergeCell ref="O2404:R2404"/>
    <mergeCell ref="W2404:Z2404"/>
    <mergeCell ref="AA2404:AB2404"/>
    <mergeCell ref="K2417:L2417"/>
    <mergeCell ref="M2417:N2417"/>
    <mergeCell ref="O2417:R2417"/>
    <mergeCell ref="W2417:Z2417"/>
    <mergeCell ref="AA2417:AB2417"/>
    <mergeCell ref="K2418:L2418"/>
    <mergeCell ref="M2418:N2418"/>
    <mergeCell ref="O2418:R2418"/>
    <mergeCell ref="W2418:Z2418"/>
    <mergeCell ref="AA2418:AB2418"/>
    <mergeCell ref="K2419:L2419"/>
    <mergeCell ref="M2419:N2419"/>
    <mergeCell ref="O2419:R2419"/>
    <mergeCell ref="W2419:Z2419"/>
    <mergeCell ref="AA2419:AB2419"/>
    <mergeCell ref="S2418:V2418"/>
    <mergeCell ref="S2419:V2419"/>
    <mergeCell ref="K2414:L2414"/>
    <mergeCell ref="M2414:N2414"/>
    <mergeCell ref="O2414:R2414"/>
    <mergeCell ref="W2414:Z2414"/>
    <mergeCell ref="AA2414:AB2414"/>
    <mergeCell ref="K2415:L2415"/>
    <mergeCell ref="M2415:N2415"/>
    <mergeCell ref="O2415:R2415"/>
    <mergeCell ref="W2415:Z2415"/>
    <mergeCell ref="AA2415:AB2415"/>
    <mergeCell ref="K2416:L2416"/>
    <mergeCell ref="M2416:N2416"/>
    <mergeCell ref="O2416:R2416"/>
    <mergeCell ref="W2416:Z2416"/>
    <mergeCell ref="AA2416:AB2416"/>
    <mergeCell ref="K2411:L2411"/>
    <mergeCell ref="M2411:N2411"/>
    <mergeCell ref="O2411:R2411"/>
    <mergeCell ref="W2411:Z2411"/>
    <mergeCell ref="AA2411:AB2411"/>
    <mergeCell ref="K2412:L2412"/>
    <mergeCell ref="M2412:N2412"/>
    <mergeCell ref="O2412:R2412"/>
    <mergeCell ref="W2412:Z2412"/>
    <mergeCell ref="AA2412:AB2412"/>
    <mergeCell ref="K2413:L2413"/>
    <mergeCell ref="M2413:N2413"/>
    <mergeCell ref="O2413:R2413"/>
    <mergeCell ref="W2413:Z2413"/>
    <mergeCell ref="AA2413:AB2413"/>
    <mergeCell ref="K2423:L2423"/>
    <mergeCell ref="M2423:N2423"/>
    <mergeCell ref="O2423:R2423"/>
    <mergeCell ref="W2423:Z2423"/>
    <mergeCell ref="AA2423:AB2423"/>
    <mergeCell ref="K2424:L2424"/>
    <mergeCell ref="M2424:N2424"/>
    <mergeCell ref="O2424:R2424"/>
    <mergeCell ref="W2424:Z2424"/>
    <mergeCell ref="AA2424:AB2424"/>
    <mergeCell ref="K2425:L2425"/>
    <mergeCell ref="M2425:N2425"/>
    <mergeCell ref="O2425:R2425"/>
    <mergeCell ref="W2425:Z2425"/>
    <mergeCell ref="AA2425:AB2425"/>
    <mergeCell ref="S2423:V2423"/>
    <mergeCell ref="S2424:V2424"/>
    <mergeCell ref="S2425:V2425"/>
    <mergeCell ref="K2420:L2420"/>
    <mergeCell ref="M2420:N2420"/>
    <mergeCell ref="O2420:R2420"/>
    <mergeCell ref="W2420:Z2420"/>
    <mergeCell ref="AA2420:AB2420"/>
    <mergeCell ref="K2421:L2421"/>
    <mergeCell ref="M2421:N2421"/>
    <mergeCell ref="O2421:R2421"/>
    <mergeCell ref="W2421:Z2421"/>
    <mergeCell ref="AA2421:AB2421"/>
    <mergeCell ref="K2422:L2422"/>
    <mergeCell ref="M2422:N2422"/>
    <mergeCell ref="O2422:R2422"/>
    <mergeCell ref="W2422:Z2422"/>
    <mergeCell ref="AA2422:AB2422"/>
    <mergeCell ref="S2420:V2420"/>
    <mergeCell ref="S2421:V2421"/>
    <mergeCell ref="S2422:V2422"/>
    <mergeCell ref="K2429:L2429"/>
    <mergeCell ref="M2429:N2429"/>
    <mergeCell ref="O2429:R2429"/>
    <mergeCell ref="W2429:Z2429"/>
    <mergeCell ref="AA2429:AB2429"/>
    <mergeCell ref="K2430:L2430"/>
    <mergeCell ref="M2430:N2430"/>
    <mergeCell ref="O2430:R2430"/>
    <mergeCell ref="W2430:Z2430"/>
    <mergeCell ref="AA2430:AB2430"/>
    <mergeCell ref="K2431:L2431"/>
    <mergeCell ref="M2431:N2431"/>
    <mergeCell ref="O2431:R2431"/>
    <mergeCell ref="W2431:Z2431"/>
    <mergeCell ref="AA2431:AB2431"/>
    <mergeCell ref="S2429:V2429"/>
    <mergeCell ref="S2430:V2430"/>
    <mergeCell ref="S2431:V2431"/>
    <mergeCell ref="K2426:L2426"/>
    <mergeCell ref="M2426:N2426"/>
    <mergeCell ref="O2426:R2426"/>
    <mergeCell ref="W2426:Z2426"/>
    <mergeCell ref="AA2426:AB2426"/>
    <mergeCell ref="K2427:L2427"/>
    <mergeCell ref="M2427:N2427"/>
    <mergeCell ref="O2427:R2427"/>
    <mergeCell ref="W2427:Z2427"/>
    <mergeCell ref="AA2427:AB2427"/>
    <mergeCell ref="K2428:L2428"/>
    <mergeCell ref="M2428:N2428"/>
    <mergeCell ref="O2428:R2428"/>
    <mergeCell ref="W2428:Z2428"/>
    <mergeCell ref="AA2428:AB2428"/>
    <mergeCell ref="S2426:V2426"/>
    <mergeCell ref="S2427:V2427"/>
    <mergeCell ref="S2428:V2428"/>
    <mergeCell ref="K2435:L2435"/>
    <mergeCell ref="M2435:N2435"/>
    <mergeCell ref="O2435:R2435"/>
    <mergeCell ref="W2435:Z2435"/>
    <mergeCell ref="AA2435:AB2435"/>
    <mergeCell ref="K2436:L2436"/>
    <mergeCell ref="M2436:N2436"/>
    <mergeCell ref="O2436:R2436"/>
    <mergeCell ref="W2436:Z2436"/>
    <mergeCell ref="AA2436:AB2436"/>
    <mergeCell ref="K2437:L2437"/>
    <mergeCell ref="M2437:N2437"/>
    <mergeCell ref="O2437:R2437"/>
    <mergeCell ref="W2437:Z2437"/>
    <mergeCell ref="AA2437:AB2437"/>
    <mergeCell ref="S2435:V2435"/>
    <mergeCell ref="S2436:V2436"/>
    <mergeCell ref="S2437:V2437"/>
    <mergeCell ref="K2432:L2432"/>
    <mergeCell ref="M2432:N2432"/>
    <mergeCell ref="O2432:R2432"/>
    <mergeCell ref="W2432:Z2432"/>
    <mergeCell ref="AA2432:AB2432"/>
    <mergeCell ref="K2433:L2433"/>
    <mergeCell ref="M2433:N2433"/>
    <mergeCell ref="O2433:R2433"/>
    <mergeCell ref="W2433:Z2433"/>
    <mergeCell ref="AA2433:AB2433"/>
    <mergeCell ref="K2434:L2434"/>
    <mergeCell ref="M2434:N2434"/>
    <mergeCell ref="O2434:R2434"/>
    <mergeCell ref="W2434:Z2434"/>
    <mergeCell ref="AA2434:AB2434"/>
    <mergeCell ref="S2432:V2432"/>
    <mergeCell ref="S2433:V2433"/>
    <mergeCell ref="S2434:V2434"/>
    <mergeCell ref="K2441:L2441"/>
    <mergeCell ref="M2441:N2441"/>
    <mergeCell ref="O2441:R2441"/>
    <mergeCell ref="W2441:Z2441"/>
    <mergeCell ref="AA2441:AB2441"/>
    <mergeCell ref="K2442:L2442"/>
    <mergeCell ref="M2442:N2442"/>
    <mergeCell ref="O2442:R2442"/>
    <mergeCell ref="W2442:Z2442"/>
    <mergeCell ref="AA2442:AB2442"/>
    <mergeCell ref="K2443:L2443"/>
    <mergeCell ref="M2443:N2443"/>
    <mergeCell ref="O2443:R2443"/>
    <mergeCell ref="W2443:Z2443"/>
    <mergeCell ref="AA2443:AB2443"/>
    <mergeCell ref="S2441:V2441"/>
    <mergeCell ref="S2442:V2442"/>
    <mergeCell ref="S2443:V2443"/>
    <mergeCell ref="K2438:L2438"/>
    <mergeCell ref="M2438:N2438"/>
    <mergeCell ref="O2438:R2438"/>
    <mergeCell ref="W2438:Z2438"/>
    <mergeCell ref="AA2438:AB2438"/>
    <mergeCell ref="K2439:L2439"/>
    <mergeCell ref="M2439:N2439"/>
    <mergeCell ref="O2439:R2439"/>
    <mergeCell ref="W2439:Z2439"/>
    <mergeCell ref="AA2439:AB2439"/>
    <mergeCell ref="K2440:L2440"/>
    <mergeCell ref="M2440:N2440"/>
    <mergeCell ref="O2440:R2440"/>
    <mergeCell ref="W2440:Z2440"/>
    <mergeCell ref="AA2440:AB2440"/>
    <mergeCell ref="S2438:V2438"/>
    <mergeCell ref="S2439:V2439"/>
    <mergeCell ref="S2440:V2440"/>
    <mergeCell ref="K2447:L2447"/>
    <mergeCell ref="M2447:N2447"/>
    <mergeCell ref="O2447:R2447"/>
    <mergeCell ref="W2447:Z2447"/>
    <mergeCell ref="AA2447:AB2447"/>
    <mergeCell ref="K2448:L2448"/>
    <mergeCell ref="M2448:N2448"/>
    <mergeCell ref="O2448:R2448"/>
    <mergeCell ref="W2448:Z2448"/>
    <mergeCell ref="AA2448:AB2448"/>
    <mergeCell ref="K2449:L2449"/>
    <mergeCell ref="M2449:N2449"/>
    <mergeCell ref="O2449:R2449"/>
    <mergeCell ref="W2449:Z2449"/>
    <mergeCell ref="AA2449:AB2449"/>
    <mergeCell ref="S2447:V2447"/>
    <mergeCell ref="S2448:V2448"/>
    <mergeCell ref="S2449:V2449"/>
    <mergeCell ref="K2444:L2444"/>
    <mergeCell ref="M2444:N2444"/>
    <mergeCell ref="O2444:R2444"/>
    <mergeCell ref="W2444:Z2444"/>
    <mergeCell ref="AA2444:AB2444"/>
    <mergeCell ref="K2445:L2445"/>
    <mergeCell ref="M2445:N2445"/>
    <mergeCell ref="O2445:R2445"/>
    <mergeCell ref="W2445:Z2445"/>
    <mergeCell ref="AA2445:AB2445"/>
    <mergeCell ref="K2446:L2446"/>
    <mergeCell ref="M2446:N2446"/>
    <mergeCell ref="O2446:R2446"/>
    <mergeCell ref="W2446:Z2446"/>
    <mergeCell ref="AA2446:AB2446"/>
    <mergeCell ref="S2444:V2444"/>
    <mergeCell ref="S2445:V2445"/>
    <mergeCell ref="S2446:V2446"/>
    <mergeCell ref="W2458:Z2458"/>
    <mergeCell ref="AA2458:AB2458"/>
    <mergeCell ref="S2456:V2456"/>
    <mergeCell ref="S2457:V2457"/>
    <mergeCell ref="S2458:V2458"/>
    <mergeCell ref="K2453:L2453"/>
    <mergeCell ref="M2453:N2453"/>
    <mergeCell ref="O2453:R2453"/>
    <mergeCell ref="W2453:Z2453"/>
    <mergeCell ref="AA2453:AB2453"/>
    <mergeCell ref="K2454:L2454"/>
    <mergeCell ref="M2454:N2454"/>
    <mergeCell ref="O2454:R2454"/>
    <mergeCell ref="W2454:Z2454"/>
    <mergeCell ref="AA2454:AB2454"/>
    <mergeCell ref="K2455:L2455"/>
    <mergeCell ref="M2455:N2455"/>
    <mergeCell ref="O2455:R2455"/>
    <mergeCell ref="W2455:Z2455"/>
    <mergeCell ref="AA2455:AB2455"/>
    <mergeCell ref="S2453:V2453"/>
    <mergeCell ref="S2454:V2454"/>
    <mergeCell ref="S2455:V2455"/>
    <mergeCell ref="K2450:L2450"/>
    <mergeCell ref="M2450:N2450"/>
    <mergeCell ref="O2450:R2450"/>
    <mergeCell ref="W2450:Z2450"/>
    <mergeCell ref="AA2450:AB2450"/>
    <mergeCell ref="K2451:L2451"/>
    <mergeCell ref="M2451:N2451"/>
    <mergeCell ref="O2451:R2451"/>
    <mergeCell ref="W2451:Z2451"/>
    <mergeCell ref="AA2451:AB2451"/>
    <mergeCell ref="K2452:L2452"/>
    <mergeCell ref="M2452:N2452"/>
    <mergeCell ref="O2452:R2452"/>
    <mergeCell ref="W2452:Z2452"/>
    <mergeCell ref="AA2452:AB2452"/>
    <mergeCell ref="S2450:V2450"/>
    <mergeCell ref="S2451:V2451"/>
    <mergeCell ref="S2452:V2452"/>
    <mergeCell ref="G2487:H2487"/>
    <mergeCell ref="K2487:L2487"/>
    <mergeCell ref="G2488:H2488"/>
    <mergeCell ref="K2488:L2488"/>
    <mergeCell ref="G2489:H2489"/>
    <mergeCell ref="K2489:L2489"/>
    <mergeCell ref="I2489:J2489"/>
    <mergeCell ref="M2489:N2489"/>
    <mergeCell ref="O2489:R2489"/>
    <mergeCell ref="S2489:V2489"/>
    <mergeCell ref="W2489:Z2489"/>
    <mergeCell ref="AA2489:AB2489"/>
    <mergeCell ref="G2484:H2484"/>
    <mergeCell ref="K2484:L2484"/>
    <mergeCell ref="G2485:H2485"/>
    <mergeCell ref="K2485:L2485"/>
    <mergeCell ref="G2486:H2486"/>
    <mergeCell ref="K2486:L2486"/>
    <mergeCell ref="I2484:J2484"/>
    <mergeCell ref="M2484:N2484"/>
    <mergeCell ref="O2484:R2484"/>
    <mergeCell ref="S2484:V2484"/>
    <mergeCell ref="W2484:Z2484"/>
    <mergeCell ref="AA2484:AB2484"/>
    <mergeCell ref="I2485:J2485"/>
    <mergeCell ref="M2485:N2485"/>
    <mergeCell ref="B2468:N2468"/>
    <mergeCell ref="O2468:Q2468"/>
    <mergeCell ref="B2469:N2469"/>
    <mergeCell ref="O2469:Q2469"/>
    <mergeCell ref="B2470:N2470"/>
    <mergeCell ref="O2470:Q2470"/>
    <mergeCell ref="B2471:N2471"/>
    <mergeCell ref="O2471:Q2471"/>
    <mergeCell ref="B2472:N2472"/>
    <mergeCell ref="O2472:Q2472"/>
    <mergeCell ref="B2473:N2473"/>
    <mergeCell ref="O2473:Q2473"/>
    <mergeCell ref="B2475:AG2475"/>
    <mergeCell ref="O2485:R2485"/>
    <mergeCell ref="S2485:V2485"/>
    <mergeCell ref="W2485:Z2485"/>
    <mergeCell ref="AA2485:AB2485"/>
    <mergeCell ref="I2486:J2486"/>
    <mergeCell ref="M2486:N2486"/>
    <mergeCell ref="O2486:R2486"/>
    <mergeCell ref="S2486:V2486"/>
    <mergeCell ref="W2486:Z2486"/>
    <mergeCell ref="AA2486:AB2486"/>
    <mergeCell ref="I2487:J2487"/>
    <mergeCell ref="M2487:N2487"/>
    <mergeCell ref="O2487:R2487"/>
    <mergeCell ref="S2487:V2487"/>
    <mergeCell ref="W2487:Z2487"/>
    <mergeCell ref="AA2487:AB2487"/>
    <mergeCell ref="I2488:J2488"/>
    <mergeCell ref="M2488:N2488"/>
    <mergeCell ref="O2488:R2488"/>
    <mergeCell ref="S2488:V2488"/>
    <mergeCell ref="W2488:Z2488"/>
    <mergeCell ref="AA2488:AB2488"/>
    <mergeCell ref="B2481:AG2481"/>
    <mergeCell ref="B2480:AG2480"/>
    <mergeCell ref="B2479:AG2479"/>
    <mergeCell ref="G2496:H2496"/>
    <mergeCell ref="K2496:L2496"/>
    <mergeCell ref="G2497:H2497"/>
    <mergeCell ref="K2497:L2497"/>
    <mergeCell ref="G2498:H2498"/>
    <mergeCell ref="K2498:L2498"/>
    <mergeCell ref="I2496:J2496"/>
    <mergeCell ref="M2496:N2496"/>
    <mergeCell ref="O2496:R2496"/>
    <mergeCell ref="S2496:V2496"/>
    <mergeCell ref="W2496:Z2496"/>
    <mergeCell ref="AA2496:AB2496"/>
    <mergeCell ref="I2497:J2497"/>
    <mergeCell ref="M2497:N2497"/>
    <mergeCell ref="G2493:H2493"/>
    <mergeCell ref="K2493:L2493"/>
    <mergeCell ref="G2494:H2494"/>
    <mergeCell ref="K2494:L2494"/>
    <mergeCell ref="G2495:H2495"/>
    <mergeCell ref="K2495:L2495"/>
    <mergeCell ref="I2495:J2495"/>
    <mergeCell ref="M2495:N2495"/>
    <mergeCell ref="O2495:R2495"/>
    <mergeCell ref="S2495:V2495"/>
    <mergeCell ref="W2495:Z2495"/>
    <mergeCell ref="AA2495:AB2495"/>
    <mergeCell ref="G2490:H2490"/>
    <mergeCell ref="K2490:L2490"/>
    <mergeCell ref="G2491:H2491"/>
    <mergeCell ref="K2491:L2491"/>
    <mergeCell ref="G2492:H2492"/>
    <mergeCell ref="K2492:L2492"/>
    <mergeCell ref="I2490:J2490"/>
    <mergeCell ref="M2490:N2490"/>
    <mergeCell ref="O2490:R2490"/>
    <mergeCell ref="S2490:V2490"/>
    <mergeCell ref="W2490:Z2490"/>
    <mergeCell ref="AA2490:AB2490"/>
    <mergeCell ref="I2491:J2491"/>
    <mergeCell ref="M2491:N2491"/>
    <mergeCell ref="O2491:R2491"/>
    <mergeCell ref="S2491:V2491"/>
    <mergeCell ref="W2491:Z2491"/>
    <mergeCell ref="AA2491:AB2491"/>
    <mergeCell ref="I2492:J2492"/>
    <mergeCell ref="M2492:N2492"/>
    <mergeCell ref="O2492:R2492"/>
    <mergeCell ref="S2492:V2492"/>
    <mergeCell ref="W2492:Z2492"/>
    <mergeCell ref="AA2492:AB2492"/>
    <mergeCell ref="I2493:J2493"/>
    <mergeCell ref="M2493:N2493"/>
    <mergeCell ref="O2493:R2493"/>
    <mergeCell ref="S2493:V2493"/>
    <mergeCell ref="W2493:Z2493"/>
    <mergeCell ref="AA2493:AB2493"/>
    <mergeCell ref="I2494:J2494"/>
    <mergeCell ref="M2494:N2494"/>
    <mergeCell ref="O2494:R2494"/>
    <mergeCell ref="S2494:V2494"/>
    <mergeCell ref="W2494:Z2494"/>
    <mergeCell ref="AA2494:AB2494"/>
    <mergeCell ref="O2497:R2497"/>
    <mergeCell ref="S2497:V2497"/>
    <mergeCell ref="G2505:H2505"/>
    <mergeCell ref="K2505:L2505"/>
    <mergeCell ref="G2506:H2506"/>
    <mergeCell ref="K2506:L2506"/>
    <mergeCell ref="G2507:H2507"/>
    <mergeCell ref="K2507:L2507"/>
    <mergeCell ref="I2507:J2507"/>
    <mergeCell ref="M2507:N2507"/>
    <mergeCell ref="O2507:R2507"/>
    <mergeCell ref="S2507:V2507"/>
    <mergeCell ref="W2507:Z2507"/>
    <mergeCell ref="AA2507:AB2507"/>
    <mergeCell ref="G2502:H2502"/>
    <mergeCell ref="K2502:L2502"/>
    <mergeCell ref="G2503:H2503"/>
    <mergeCell ref="K2503:L2503"/>
    <mergeCell ref="G2504:H2504"/>
    <mergeCell ref="K2504:L2504"/>
    <mergeCell ref="I2502:J2502"/>
    <mergeCell ref="M2502:N2502"/>
    <mergeCell ref="O2502:R2502"/>
    <mergeCell ref="S2502:V2502"/>
    <mergeCell ref="W2502:Z2502"/>
    <mergeCell ref="AA2502:AB2502"/>
    <mergeCell ref="I2503:J2503"/>
    <mergeCell ref="M2503:N2503"/>
    <mergeCell ref="G2499:H2499"/>
    <mergeCell ref="K2499:L2499"/>
    <mergeCell ref="G2500:H2500"/>
    <mergeCell ref="K2500:L2500"/>
    <mergeCell ref="G2501:H2501"/>
    <mergeCell ref="K2501:L2501"/>
    <mergeCell ref="I2501:J2501"/>
    <mergeCell ref="M2501:N2501"/>
    <mergeCell ref="O2501:R2501"/>
    <mergeCell ref="S2501:V2501"/>
    <mergeCell ref="W2501:Z2501"/>
    <mergeCell ref="AA2501:AB2501"/>
    <mergeCell ref="O2503:R2503"/>
    <mergeCell ref="S2503:V2503"/>
    <mergeCell ref="W2503:Z2503"/>
    <mergeCell ref="AA2503:AB2503"/>
    <mergeCell ref="I2504:J2504"/>
    <mergeCell ref="M2504:N2504"/>
    <mergeCell ref="O2504:R2504"/>
    <mergeCell ref="S2504:V2504"/>
    <mergeCell ref="W2504:Z2504"/>
    <mergeCell ref="AA2504:AB2504"/>
    <mergeCell ref="I2505:J2505"/>
    <mergeCell ref="M2505:N2505"/>
    <mergeCell ref="O2505:R2505"/>
    <mergeCell ref="S2505:V2505"/>
    <mergeCell ref="W2505:Z2505"/>
    <mergeCell ref="AA2505:AB2505"/>
    <mergeCell ref="I2506:J2506"/>
    <mergeCell ref="M2506:N2506"/>
    <mergeCell ref="O2506:R2506"/>
    <mergeCell ref="S2506:V2506"/>
    <mergeCell ref="W2506:Z2506"/>
    <mergeCell ref="AA2506:AB2506"/>
    <mergeCell ref="G2514:H2514"/>
    <mergeCell ref="K2514:L2514"/>
    <mergeCell ref="G2515:H2515"/>
    <mergeCell ref="K2515:L2515"/>
    <mergeCell ref="G2516:H2516"/>
    <mergeCell ref="K2516:L2516"/>
    <mergeCell ref="I2514:J2514"/>
    <mergeCell ref="M2514:N2514"/>
    <mergeCell ref="O2514:R2514"/>
    <mergeCell ref="S2514:V2514"/>
    <mergeCell ref="W2514:Z2514"/>
    <mergeCell ref="AA2514:AB2514"/>
    <mergeCell ref="I2515:J2515"/>
    <mergeCell ref="M2515:N2515"/>
    <mergeCell ref="G2511:H2511"/>
    <mergeCell ref="K2511:L2511"/>
    <mergeCell ref="G2512:H2512"/>
    <mergeCell ref="K2512:L2512"/>
    <mergeCell ref="G2513:H2513"/>
    <mergeCell ref="K2513:L2513"/>
    <mergeCell ref="I2513:J2513"/>
    <mergeCell ref="M2513:N2513"/>
    <mergeCell ref="O2513:R2513"/>
    <mergeCell ref="S2513:V2513"/>
    <mergeCell ref="W2513:Z2513"/>
    <mergeCell ref="AA2513:AB2513"/>
    <mergeCell ref="G2508:H2508"/>
    <mergeCell ref="K2508:L2508"/>
    <mergeCell ref="G2509:H2509"/>
    <mergeCell ref="K2509:L2509"/>
    <mergeCell ref="G2510:H2510"/>
    <mergeCell ref="K2510:L2510"/>
    <mergeCell ref="I2508:J2508"/>
    <mergeCell ref="M2508:N2508"/>
    <mergeCell ref="O2508:R2508"/>
    <mergeCell ref="S2508:V2508"/>
    <mergeCell ref="W2508:Z2508"/>
    <mergeCell ref="AA2508:AB2508"/>
    <mergeCell ref="I2509:J2509"/>
    <mergeCell ref="M2509:N2509"/>
    <mergeCell ref="G2523:H2523"/>
    <mergeCell ref="K2523:L2523"/>
    <mergeCell ref="G2524:H2524"/>
    <mergeCell ref="K2524:L2524"/>
    <mergeCell ref="G2525:H2525"/>
    <mergeCell ref="K2525:L2525"/>
    <mergeCell ref="I2525:J2525"/>
    <mergeCell ref="M2525:N2525"/>
    <mergeCell ref="O2525:R2525"/>
    <mergeCell ref="S2525:V2525"/>
    <mergeCell ref="W2525:Z2525"/>
    <mergeCell ref="AA2525:AB2525"/>
    <mergeCell ref="G2520:H2520"/>
    <mergeCell ref="K2520:L2520"/>
    <mergeCell ref="G2521:H2521"/>
    <mergeCell ref="K2521:L2521"/>
    <mergeCell ref="G2522:H2522"/>
    <mergeCell ref="K2522:L2522"/>
    <mergeCell ref="I2520:J2520"/>
    <mergeCell ref="M2520:N2520"/>
    <mergeCell ref="O2520:R2520"/>
    <mergeCell ref="S2520:V2520"/>
    <mergeCell ref="W2520:Z2520"/>
    <mergeCell ref="AA2520:AB2520"/>
    <mergeCell ref="I2521:J2521"/>
    <mergeCell ref="M2521:N2521"/>
    <mergeCell ref="G2517:H2517"/>
    <mergeCell ref="K2517:L2517"/>
    <mergeCell ref="G2518:H2518"/>
    <mergeCell ref="K2518:L2518"/>
    <mergeCell ref="G2519:H2519"/>
    <mergeCell ref="K2519:L2519"/>
    <mergeCell ref="I2519:J2519"/>
    <mergeCell ref="M2519:N2519"/>
    <mergeCell ref="O2519:R2519"/>
    <mergeCell ref="S2519:V2519"/>
    <mergeCell ref="W2519:Z2519"/>
    <mergeCell ref="AA2519:AB2519"/>
    <mergeCell ref="I2518:J2518"/>
    <mergeCell ref="M2518:N2518"/>
    <mergeCell ref="O2518:R2518"/>
    <mergeCell ref="S2518:V2518"/>
    <mergeCell ref="W2518:Z2518"/>
    <mergeCell ref="AA2518:AB2518"/>
    <mergeCell ref="O2521:R2521"/>
    <mergeCell ref="S2521:V2521"/>
    <mergeCell ref="W2521:Z2521"/>
    <mergeCell ref="AA2521:AB2521"/>
    <mergeCell ref="I2522:J2522"/>
    <mergeCell ref="M2522:N2522"/>
    <mergeCell ref="O2522:R2522"/>
    <mergeCell ref="S2522:V2522"/>
    <mergeCell ref="W2522:Z2522"/>
    <mergeCell ref="AA2522:AB2522"/>
    <mergeCell ref="I2523:J2523"/>
    <mergeCell ref="M2523:N2523"/>
    <mergeCell ref="O2523:R2523"/>
    <mergeCell ref="S2523:V2523"/>
    <mergeCell ref="W2523:Z2523"/>
    <mergeCell ref="AA2523:AB2523"/>
    <mergeCell ref="I2524:J2524"/>
    <mergeCell ref="M2524:N2524"/>
    <mergeCell ref="O2524:R2524"/>
    <mergeCell ref="S2524:V2524"/>
    <mergeCell ref="K2533:L2533"/>
    <mergeCell ref="G2534:H2534"/>
    <mergeCell ref="K2534:L2534"/>
    <mergeCell ref="I2532:J2532"/>
    <mergeCell ref="M2532:N2532"/>
    <mergeCell ref="O2532:R2532"/>
    <mergeCell ref="S2532:V2532"/>
    <mergeCell ref="W2532:Z2532"/>
    <mergeCell ref="AA2532:AB2532"/>
    <mergeCell ref="I2533:J2533"/>
    <mergeCell ref="M2533:N2533"/>
    <mergeCell ref="G2529:H2529"/>
    <mergeCell ref="K2529:L2529"/>
    <mergeCell ref="G2530:H2530"/>
    <mergeCell ref="K2530:L2530"/>
    <mergeCell ref="G2531:H2531"/>
    <mergeCell ref="K2531:L2531"/>
    <mergeCell ref="I2531:J2531"/>
    <mergeCell ref="M2531:N2531"/>
    <mergeCell ref="O2531:R2531"/>
    <mergeCell ref="S2531:V2531"/>
    <mergeCell ref="W2531:Z2531"/>
    <mergeCell ref="AA2531:AB2531"/>
    <mergeCell ref="G2526:H2526"/>
    <mergeCell ref="K2526:L2526"/>
    <mergeCell ref="G2527:H2527"/>
    <mergeCell ref="K2527:L2527"/>
    <mergeCell ref="G2528:H2528"/>
    <mergeCell ref="K2528:L2528"/>
    <mergeCell ref="I2526:J2526"/>
    <mergeCell ref="M2526:N2526"/>
    <mergeCell ref="O2526:R2526"/>
    <mergeCell ref="S2526:V2526"/>
    <mergeCell ref="W2526:Z2526"/>
    <mergeCell ref="AA2526:AB2526"/>
    <mergeCell ref="I2527:J2527"/>
    <mergeCell ref="M2527:N2527"/>
    <mergeCell ref="O2527:R2527"/>
    <mergeCell ref="S2527:V2527"/>
    <mergeCell ref="W2527:Z2527"/>
    <mergeCell ref="AA2527:AB2527"/>
    <mergeCell ref="I2528:J2528"/>
    <mergeCell ref="M2528:N2528"/>
    <mergeCell ref="O2528:R2528"/>
    <mergeCell ref="S2528:V2528"/>
    <mergeCell ref="W2528:Z2528"/>
    <mergeCell ref="AA2528:AB2528"/>
    <mergeCell ref="I2529:J2529"/>
    <mergeCell ref="M2529:N2529"/>
    <mergeCell ref="O2529:R2529"/>
    <mergeCell ref="S2529:V2529"/>
    <mergeCell ref="W2529:Z2529"/>
    <mergeCell ref="AA2529:AB2529"/>
    <mergeCell ref="I2530:J2530"/>
    <mergeCell ref="M2530:N2530"/>
    <mergeCell ref="O2530:R2530"/>
    <mergeCell ref="S2530:V2530"/>
    <mergeCell ref="W2530:Z2530"/>
    <mergeCell ref="AA2530:AB2530"/>
    <mergeCell ref="G2402:H2402"/>
    <mergeCell ref="I2402:J2402"/>
    <mergeCell ref="G2403:H2403"/>
    <mergeCell ref="I2403:J2403"/>
    <mergeCell ref="G2404:H2404"/>
    <mergeCell ref="I2404:J2404"/>
    <mergeCell ref="G2405:H2405"/>
    <mergeCell ref="I2405:J2405"/>
    <mergeCell ref="G2406:H2406"/>
    <mergeCell ref="I2406:J2406"/>
    <mergeCell ref="G2407:H2407"/>
    <mergeCell ref="I2407:J2407"/>
    <mergeCell ref="G2408:H2408"/>
    <mergeCell ref="I2408:J2408"/>
    <mergeCell ref="G2409:H2409"/>
    <mergeCell ref="I2409:J2409"/>
    <mergeCell ref="G2410:H2410"/>
    <mergeCell ref="I2410:J2410"/>
    <mergeCell ref="B2549:N2549"/>
    <mergeCell ref="O2549:Q2549"/>
    <mergeCell ref="B2550:N2550"/>
    <mergeCell ref="O2550:Q2550"/>
    <mergeCell ref="B2551:N2551"/>
    <mergeCell ref="O2551:Q2551"/>
    <mergeCell ref="B2552:N2552"/>
    <mergeCell ref="O2552:Q2552"/>
    <mergeCell ref="B2553:N2553"/>
    <mergeCell ref="O2553:Q2553"/>
    <mergeCell ref="B2554:N2554"/>
    <mergeCell ref="O2554:Q2554"/>
    <mergeCell ref="S2400:V2401"/>
    <mergeCell ref="S2402:V2402"/>
    <mergeCell ref="S2403:V2403"/>
    <mergeCell ref="S2404:V2404"/>
    <mergeCell ref="S2405:V2405"/>
    <mergeCell ref="S2406:V2406"/>
    <mergeCell ref="S2407:V2407"/>
    <mergeCell ref="S2408:V2408"/>
    <mergeCell ref="S2409:V2409"/>
    <mergeCell ref="S2410:V2410"/>
    <mergeCell ref="S2411:V2411"/>
    <mergeCell ref="S2412:V2412"/>
    <mergeCell ref="S2413:V2413"/>
    <mergeCell ref="S2414:V2414"/>
    <mergeCell ref="S2415:V2415"/>
    <mergeCell ref="S2416:V2416"/>
    <mergeCell ref="S2417:V2417"/>
    <mergeCell ref="G2541:H2541"/>
    <mergeCell ref="K2541:L2541"/>
    <mergeCell ref="B2543:G2543"/>
    <mergeCell ref="H2543:N2543"/>
    <mergeCell ref="B2546:N2546"/>
    <mergeCell ref="O2546:Q2546"/>
    <mergeCell ref="B2547:N2547"/>
    <mergeCell ref="O2547:Q2547"/>
    <mergeCell ref="B2548:N2548"/>
    <mergeCell ref="O2548:Q2548"/>
    <mergeCell ref="G2538:H2538"/>
    <mergeCell ref="K2538:L2538"/>
    <mergeCell ref="G2539:H2539"/>
    <mergeCell ref="K2539:L2539"/>
    <mergeCell ref="G2540:H2540"/>
    <mergeCell ref="K2540:L2540"/>
    <mergeCell ref="I2538:J2538"/>
    <mergeCell ref="G2420:H2420"/>
    <mergeCell ref="I2420:J2420"/>
    <mergeCell ref="G2421:H2421"/>
    <mergeCell ref="I2421:J2421"/>
    <mergeCell ref="G2422:H2422"/>
    <mergeCell ref="I2422:J2422"/>
    <mergeCell ref="G2423:H2423"/>
    <mergeCell ref="I2423:J2423"/>
    <mergeCell ref="G2424:H2424"/>
    <mergeCell ref="I2424:J2424"/>
    <mergeCell ref="G2425:H2425"/>
    <mergeCell ref="I2425:J2425"/>
    <mergeCell ref="G2426:H2426"/>
    <mergeCell ref="I2426:J2426"/>
    <mergeCell ref="G2427:H2427"/>
    <mergeCell ref="I2427:J2427"/>
    <mergeCell ref="G2428:H2428"/>
    <mergeCell ref="I2428:J2428"/>
    <mergeCell ref="G2411:H2411"/>
    <mergeCell ref="I2411:J2411"/>
    <mergeCell ref="G2412:H2412"/>
    <mergeCell ref="I2412:J2412"/>
    <mergeCell ref="G2413:H2413"/>
    <mergeCell ref="I2413:J2413"/>
    <mergeCell ref="G2414:H2414"/>
    <mergeCell ref="I2414:J2414"/>
    <mergeCell ref="G2415:H2415"/>
    <mergeCell ref="I2415:J2415"/>
    <mergeCell ref="G2416:H2416"/>
    <mergeCell ref="I2416:J2416"/>
    <mergeCell ref="G2417:H2417"/>
    <mergeCell ref="I2417:J2417"/>
    <mergeCell ref="G2418:H2418"/>
    <mergeCell ref="I2418:J2418"/>
    <mergeCell ref="G2419:H2419"/>
    <mergeCell ref="I2419:J2419"/>
    <mergeCell ref="G2438:H2438"/>
    <mergeCell ref="I2438:J2438"/>
    <mergeCell ref="G2439:H2439"/>
    <mergeCell ref="I2439:J2439"/>
    <mergeCell ref="G2440:H2440"/>
    <mergeCell ref="I2440:J2440"/>
    <mergeCell ref="G2441:H2441"/>
    <mergeCell ref="I2441:J2441"/>
    <mergeCell ref="G2442:H2442"/>
    <mergeCell ref="I2442:J2442"/>
    <mergeCell ref="G2443:H2443"/>
    <mergeCell ref="I2443:J2443"/>
    <mergeCell ref="G2444:H2444"/>
    <mergeCell ref="I2444:J2444"/>
    <mergeCell ref="G2445:H2445"/>
    <mergeCell ref="I2445:J2445"/>
    <mergeCell ref="G2446:H2446"/>
    <mergeCell ref="I2446:J2446"/>
    <mergeCell ref="G2429:H2429"/>
    <mergeCell ref="I2429:J2429"/>
    <mergeCell ref="G2430:H2430"/>
    <mergeCell ref="I2430:J2430"/>
    <mergeCell ref="G2431:H2431"/>
    <mergeCell ref="I2431:J2431"/>
    <mergeCell ref="G2432:H2432"/>
    <mergeCell ref="I2432:J2432"/>
    <mergeCell ref="G2433:H2433"/>
    <mergeCell ref="I2433:J2433"/>
    <mergeCell ref="G2434:H2434"/>
    <mergeCell ref="I2434:J2434"/>
    <mergeCell ref="G2435:H2435"/>
    <mergeCell ref="I2435:J2435"/>
    <mergeCell ref="G2436:H2436"/>
    <mergeCell ref="I2436:J2436"/>
    <mergeCell ref="G2437:H2437"/>
    <mergeCell ref="I2437:J2437"/>
    <mergeCell ref="G2456:H2456"/>
    <mergeCell ref="I2456:J2456"/>
    <mergeCell ref="G2457:H2457"/>
    <mergeCell ref="I2457:J2457"/>
    <mergeCell ref="G2458:H2458"/>
    <mergeCell ref="I2458:J2458"/>
    <mergeCell ref="G2459:H2459"/>
    <mergeCell ref="I2459:J2459"/>
    <mergeCell ref="B2482:F2483"/>
    <mergeCell ref="G2482:H2483"/>
    <mergeCell ref="I2482:J2483"/>
    <mergeCell ref="K2482:L2483"/>
    <mergeCell ref="M2482:N2483"/>
    <mergeCell ref="O2482:R2483"/>
    <mergeCell ref="S2482:V2483"/>
    <mergeCell ref="W2482:Z2483"/>
    <mergeCell ref="AA2482:AB2483"/>
    <mergeCell ref="G2447:H2447"/>
    <mergeCell ref="I2447:J2447"/>
    <mergeCell ref="G2448:H2448"/>
    <mergeCell ref="I2448:J2448"/>
    <mergeCell ref="G2449:H2449"/>
    <mergeCell ref="I2449:J2449"/>
    <mergeCell ref="G2450:H2450"/>
    <mergeCell ref="I2450:J2450"/>
    <mergeCell ref="G2451:H2451"/>
    <mergeCell ref="I2451:J2451"/>
    <mergeCell ref="G2452:H2452"/>
    <mergeCell ref="I2452:J2452"/>
    <mergeCell ref="G2453:H2453"/>
    <mergeCell ref="I2453:J2453"/>
    <mergeCell ref="G2454:H2454"/>
    <mergeCell ref="I2454:J2454"/>
    <mergeCell ref="G2455:H2455"/>
    <mergeCell ref="I2455:J2455"/>
    <mergeCell ref="K2459:L2459"/>
    <mergeCell ref="M2459:N2459"/>
    <mergeCell ref="O2459:R2459"/>
    <mergeCell ref="W2459:Z2459"/>
    <mergeCell ref="AA2459:AB2459"/>
    <mergeCell ref="B2461:G2461"/>
    <mergeCell ref="H2461:N2461"/>
    <mergeCell ref="B2464:N2464"/>
    <mergeCell ref="O2464:Q2464"/>
    <mergeCell ref="B2465:N2465"/>
    <mergeCell ref="O2465:Q2465"/>
    <mergeCell ref="B2466:N2466"/>
    <mergeCell ref="O2466:Q2466"/>
    <mergeCell ref="B2467:N2467"/>
    <mergeCell ref="O2467:Q2467"/>
    <mergeCell ref="S2459:V2459"/>
    <mergeCell ref="K2456:L2456"/>
    <mergeCell ref="M2456:N2456"/>
    <mergeCell ref="O2456:R2456"/>
    <mergeCell ref="W2456:Z2456"/>
    <mergeCell ref="AA2456:AB2456"/>
    <mergeCell ref="K2457:L2457"/>
    <mergeCell ref="M2457:N2457"/>
    <mergeCell ref="O2457:R2457"/>
    <mergeCell ref="W2457:Z2457"/>
    <mergeCell ref="AA2457:AB2457"/>
    <mergeCell ref="K2458:L2458"/>
    <mergeCell ref="M2458:N2458"/>
    <mergeCell ref="O2458:R2458"/>
    <mergeCell ref="W2497:Z2497"/>
    <mergeCell ref="AA2497:AB2497"/>
    <mergeCell ref="I2498:J2498"/>
    <mergeCell ref="M2498:N2498"/>
    <mergeCell ref="O2498:R2498"/>
    <mergeCell ref="S2498:V2498"/>
    <mergeCell ref="W2498:Z2498"/>
    <mergeCell ref="AA2498:AB2498"/>
    <mergeCell ref="I2499:J2499"/>
    <mergeCell ref="M2499:N2499"/>
    <mergeCell ref="O2499:R2499"/>
    <mergeCell ref="S2499:V2499"/>
    <mergeCell ref="W2499:Z2499"/>
    <mergeCell ref="AA2499:AB2499"/>
    <mergeCell ref="I2500:J2500"/>
    <mergeCell ref="M2500:N2500"/>
    <mergeCell ref="O2500:R2500"/>
    <mergeCell ref="S2500:V2500"/>
    <mergeCell ref="W2500:Z2500"/>
    <mergeCell ref="AA2500:AB2500"/>
    <mergeCell ref="O2515:R2515"/>
    <mergeCell ref="S2515:V2515"/>
    <mergeCell ref="W2515:Z2515"/>
    <mergeCell ref="AA2515:AB2515"/>
    <mergeCell ref="I2516:J2516"/>
    <mergeCell ref="M2516:N2516"/>
    <mergeCell ref="O2516:R2516"/>
    <mergeCell ref="S2516:V2516"/>
    <mergeCell ref="W2516:Z2516"/>
    <mergeCell ref="AA2516:AB2516"/>
    <mergeCell ref="I2517:J2517"/>
    <mergeCell ref="M2517:N2517"/>
    <mergeCell ref="O2517:R2517"/>
    <mergeCell ref="S2517:V2517"/>
    <mergeCell ref="W2517:Z2517"/>
    <mergeCell ref="AA2517:AB2517"/>
    <mergeCell ref="O2509:R2509"/>
    <mergeCell ref="S2509:V2509"/>
    <mergeCell ref="W2509:Z2509"/>
    <mergeCell ref="AA2509:AB2509"/>
    <mergeCell ref="I2510:J2510"/>
    <mergeCell ref="M2510:N2510"/>
    <mergeCell ref="O2510:R2510"/>
    <mergeCell ref="S2510:V2510"/>
    <mergeCell ref="W2510:Z2510"/>
    <mergeCell ref="AA2510:AB2510"/>
    <mergeCell ref="I2511:J2511"/>
    <mergeCell ref="M2511:N2511"/>
    <mergeCell ref="O2511:R2511"/>
    <mergeCell ref="S2511:V2511"/>
    <mergeCell ref="W2511:Z2511"/>
    <mergeCell ref="AA2511:AB2511"/>
    <mergeCell ref="I2512:J2512"/>
    <mergeCell ref="M2512:N2512"/>
    <mergeCell ref="O2512:R2512"/>
    <mergeCell ref="S2512:V2512"/>
    <mergeCell ref="W2512:Z2512"/>
    <mergeCell ref="AA2512:AB2512"/>
    <mergeCell ref="W2524:Z2524"/>
    <mergeCell ref="AA2524:AB2524"/>
    <mergeCell ref="O2539:R2539"/>
    <mergeCell ref="S2539:V2539"/>
    <mergeCell ref="W2539:Z2539"/>
    <mergeCell ref="AA2539:AB2539"/>
    <mergeCell ref="I2540:J2540"/>
    <mergeCell ref="M2540:N2540"/>
    <mergeCell ref="O2540:R2540"/>
    <mergeCell ref="S2540:V2540"/>
    <mergeCell ref="W2540:Z2540"/>
    <mergeCell ref="AA2540:AB2540"/>
    <mergeCell ref="I2541:J2541"/>
    <mergeCell ref="M2541:N2541"/>
    <mergeCell ref="O2541:R2541"/>
    <mergeCell ref="S2541:V2541"/>
    <mergeCell ref="W2541:Z2541"/>
    <mergeCell ref="AA2541:AB2541"/>
    <mergeCell ref="B2555:N2555"/>
    <mergeCell ref="O2555:Q2555"/>
    <mergeCell ref="O2533:R2533"/>
    <mergeCell ref="S2533:V2533"/>
    <mergeCell ref="W2533:Z2533"/>
    <mergeCell ref="AA2533:AB2533"/>
    <mergeCell ref="I2534:J2534"/>
    <mergeCell ref="M2534:N2534"/>
    <mergeCell ref="O2534:R2534"/>
    <mergeCell ref="S2534:V2534"/>
    <mergeCell ref="W2534:Z2534"/>
    <mergeCell ref="AA2534:AB2534"/>
    <mergeCell ref="I2535:J2535"/>
    <mergeCell ref="M2535:N2535"/>
    <mergeCell ref="O2535:R2535"/>
    <mergeCell ref="S2535:V2535"/>
    <mergeCell ref="W2535:Z2535"/>
    <mergeCell ref="AA2535:AB2535"/>
    <mergeCell ref="I2536:J2536"/>
    <mergeCell ref="M2536:N2536"/>
    <mergeCell ref="O2536:R2536"/>
    <mergeCell ref="S2536:V2536"/>
    <mergeCell ref="W2536:Z2536"/>
    <mergeCell ref="AA2536:AB2536"/>
    <mergeCell ref="M2538:N2538"/>
    <mergeCell ref="O2538:R2538"/>
    <mergeCell ref="S2538:V2538"/>
    <mergeCell ref="W2538:Z2538"/>
    <mergeCell ref="AA2538:AB2538"/>
    <mergeCell ref="I2539:J2539"/>
    <mergeCell ref="M2539:N2539"/>
    <mergeCell ref="G2535:H2535"/>
    <mergeCell ref="K2535:L2535"/>
    <mergeCell ref="G2536:H2536"/>
    <mergeCell ref="K2536:L2536"/>
    <mergeCell ref="G2537:H2537"/>
    <mergeCell ref="K2537:L2537"/>
    <mergeCell ref="I2537:J2537"/>
    <mergeCell ref="M2537:N2537"/>
    <mergeCell ref="O2537:R2537"/>
    <mergeCell ref="S2537:V2537"/>
    <mergeCell ref="W2537:Z2537"/>
    <mergeCell ref="AA2537:AB2537"/>
    <mergeCell ref="G2532:H2532"/>
    <mergeCell ref="K2532:L2532"/>
    <mergeCell ref="G2533:H2533"/>
    <mergeCell ref="B2570:U2571"/>
    <mergeCell ref="V2570:X2571"/>
    <mergeCell ref="Y2570:AA2571"/>
    <mergeCell ref="AB2570:AD2571"/>
    <mergeCell ref="AE2570:AG2571"/>
    <mergeCell ref="B2572:U2573"/>
    <mergeCell ref="V2572:X2573"/>
    <mergeCell ref="Y2572:AA2573"/>
    <mergeCell ref="AB2572:AD2573"/>
    <mergeCell ref="AE2572:AG2573"/>
    <mergeCell ref="B2574:U2575"/>
    <mergeCell ref="V2574:X2575"/>
    <mergeCell ref="Y2574:AA2575"/>
    <mergeCell ref="AB2574:AD2575"/>
    <mergeCell ref="AE2574:AG2575"/>
    <mergeCell ref="B2576:U2577"/>
    <mergeCell ref="V2576:X2577"/>
    <mergeCell ref="Y2576:AA2577"/>
    <mergeCell ref="AB2576:AD2577"/>
    <mergeCell ref="AE2576:AG2577"/>
    <mergeCell ref="B2557:AG2557"/>
    <mergeCell ref="B2560:AG2560"/>
    <mergeCell ref="B2562:H2562"/>
    <mergeCell ref="I2562:O2562"/>
    <mergeCell ref="AF2562:AG2562"/>
    <mergeCell ref="B2564:AD2564"/>
    <mergeCell ref="AF2564:AG2564"/>
    <mergeCell ref="B2566:U2567"/>
    <mergeCell ref="V2566:X2567"/>
    <mergeCell ref="Y2566:AA2567"/>
    <mergeCell ref="AB2566:AD2567"/>
    <mergeCell ref="AE2566:AG2567"/>
    <mergeCell ref="B2568:U2569"/>
    <mergeCell ref="V2568:X2569"/>
    <mergeCell ref="Y2568:AA2569"/>
    <mergeCell ref="AB2568:AD2569"/>
    <mergeCell ref="AE2568:AG2569"/>
    <mergeCell ref="G2614:H2614"/>
    <mergeCell ref="G2615:H2615"/>
    <mergeCell ref="B2588:AG2588"/>
    <mergeCell ref="B2589:AG2590"/>
    <mergeCell ref="B2593:AG2593"/>
    <mergeCell ref="B2595:AG2595"/>
    <mergeCell ref="B2596:AG2597"/>
    <mergeCell ref="B2611:F2612"/>
    <mergeCell ref="Q2611:T2612"/>
    <mergeCell ref="AC2611:AF2612"/>
    <mergeCell ref="Q2613:T2613"/>
    <mergeCell ref="AC2613:AF2613"/>
    <mergeCell ref="K2611:L2612"/>
    <mergeCell ref="K2613:L2613"/>
    <mergeCell ref="M2611:N2612"/>
    <mergeCell ref="O2611:P2612"/>
    <mergeCell ref="O2613:P2613"/>
    <mergeCell ref="U2611:X2612"/>
    <mergeCell ref="Y2611:AB2612"/>
    <mergeCell ref="U2613:X2613"/>
    <mergeCell ref="Y2613:AB2613"/>
    <mergeCell ref="B2579:AD2579"/>
    <mergeCell ref="AF2579:AG2579"/>
    <mergeCell ref="B2580:AD2580"/>
    <mergeCell ref="AF2580:AG2580"/>
    <mergeCell ref="B2581:AD2581"/>
    <mergeCell ref="AF2581:AG2581"/>
    <mergeCell ref="B2582:AD2582"/>
    <mergeCell ref="AF2582:AG2582"/>
    <mergeCell ref="B2583:AD2583"/>
    <mergeCell ref="AF2583:AG2583"/>
    <mergeCell ref="B2586:AG2586"/>
    <mergeCell ref="B2606:AG2606"/>
    <mergeCell ref="M2613:N2613"/>
    <mergeCell ref="M2614:N2614"/>
    <mergeCell ref="M2615:N2615"/>
    <mergeCell ref="K2614:L2614"/>
    <mergeCell ref="K2615:L2615"/>
    <mergeCell ref="B2600:AG2600"/>
    <mergeCell ref="B2602:AG2602"/>
    <mergeCell ref="B2603:AG2604"/>
    <mergeCell ref="G2611:H2612"/>
    <mergeCell ref="G2613:H2613"/>
    <mergeCell ref="I2611:J2612"/>
    <mergeCell ref="I2613:J2613"/>
    <mergeCell ref="I2614:J2614"/>
    <mergeCell ref="I2615:J2615"/>
    <mergeCell ref="Q2620:T2620"/>
    <mergeCell ref="AC2620:AF2620"/>
    <mergeCell ref="Q2621:T2621"/>
    <mergeCell ref="AC2621:AF2621"/>
    <mergeCell ref="Q2622:T2622"/>
    <mergeCell ref="AC2622:AF2622"/>
    <mergeCell ref="O2620:P2620"/>
    <mergeCell ref="O2621:P2621"/>
    <mergeCell ref="O2622:P2622"/>
    <mergeCell ref="U2620:X2620"/>
    <mergeCell ref="Y2620:AB2620"/>
    <mergeCell ref="U2621:X2621"/>
    <mergeCell ref="Y2621:AB2621"/>
    <mergeCell ref="U2622:X2622"/>
    <mergeCell ref="Y2622:AB2622"/>
    <mergeCell ref="Q2617:T2617"/>
    <mergeCell ref="AC2617:AF2617"/>
    <mergeCell ref="Q2618:T2618"/>
    <mergeCell ref="AC2618:AF2618"/>
    <mergeCell ref="Q2619:T2619"/>
    <mergeCell ref="AC2619:AF2619"/>
    <mergeCell ref="O2617:P2617"/>
    <mergeCell ref="O2618:P2618"/>
    <mergeCell ref="O2619:P2619"/>
    <mergeCell ref="U2617:X2617"/>
    <mergeCell ref="Y2617:AB2617"/>
    <mergeCell ref="U2618:X2618"/>
    <mergeCell ref="Y2618:AB2618"/>
    <mergeCell ref="U2619:X2619"/>
    <mergeCell ref="Y2619:AB2619"/>
    <mergeCell ref="Q2614:T2614"/>
    <mergeCell ref="AC2614:AF2614"/>
    <mergeCell ref="Q2615:T2615"/>
    <mergeCell ref="AC2615:AF2615"/>
    <mergeCell ref="Q2616:T2616"/>
    <mergeCell ref="AC2616:AF2616"/>
    <mergeCell ref="O2614:P2614"/>
    <mergeCell ref="O2615:P2615"/>
    <mergeCell ref="O2616:P2616"/>
    <mergeCell ref="U2614:X2614"/>
    <mergeCell ref="Y2614:AB2614"/>
    <mergeCell ref="U2615:X2615"/>
    <mergeCell ref="Y2615:AB2615"/>
    <mergeCell ref="U2616:X2616"/>
    <mergeCell ref="Y2616:AB2616"/>
    <mergeCell ref="Q2629:T2629"/>
    <mergeCell ref="AC2629:AF2629"/>
    <mergeCell ref="Q2630:T2630"/>
    <mergeCell ref="AC2630:AF2630"/>
    <mergeCell ref="Q2631:T2631"/>
    <mergeCell ref="AC2631:AF2631"/>
    <mergeCell ref="O2629:P2629"/>
    <mergeCell ref="O2630:P2630"/>
    <mergeCell ref="O2631:P2631"/>
    <mergeCell ref="U2629:X2629"/>
    <mergeCell ref="Y2629:AB2629"/>
    <mergeCell ref="U2630:X2630"/>
    <mergeCell ref="Y2630:AB2630"/>
    <mergeCell ref="U2631:X2631"/>
    <mergeCell ref="Y2631:AB2631"/>
    <mergeCell ref="M2629:N2629"/>
    <mergeCell ref="M2630:N2630"/>
    <mergeCell ref="Q2626:T2626"/>
    <mergeCell ref="AC2626:AF2626"/>
    <mergeCell ref="Q2627:T2627"/>
    <mergeCell ref="AC2627:AF2627"/>
    <mergeCell ref="Q2628:T2628"/>
    <mergeCell ref="AC2628:AF2628"/>
    <mergeCell ref="O2626:P2626"/>
    <mergeCell ref="O2627:P2627"/>
    <mergeCell ref="O2628:P2628"/>
    <mergeCell ref="U2626:X2626"/>
    <mergeCell ref="Y2626:AB2626"/>
    <mergeCell ref="U2627:X2627"/>
    <mergeCell ref="Y2627:AB2627"/>
    <mergeCell ref="U2628:X2628"/>
    <mergeCell ref="Y2628:AB2628"/>
    <mergeCell ref="Q2623:T2623"/>
    <mergeCell ref="AC2623:AF2623"/>
    <mergeCell ref="Q2624:T2624"/>
    <mergeCell ref="AC2624:AF2624"/>
    <mergeCell ref="Q2625:T2625"/>
    <mergeCell ref="AC2625:AF2625"/>
    <mergeCell ref="O2623:P2623"/>
    <mergeCell ref="O2624:P2624"/>
    <mergeCell ref="O2625:P2625"/>
    <mergeCell ref="U2623:X2623"/>
    <mergeCell ref="Y2623:AB2623"/>
    <mergeCell ref="U2624:X2624"/>
    <mergeCell ref="Y2624:AB2624"/>
    <mergeCell ref="U2625:X2625"/>
    <mergeCell ref="Y2625:AB2625"/>
    <mergeCell ref="Q2638:T2638"/>
    <mergeCell ref="AC2638:AF2638"/>
    <mergeCell ref="Q2639:T2639"/>
    <mergeCell ref="AC2639:AF2639"/>
    <mergeCell ref="Q2640:T2640"/>
    <mergeCell ref="AC2640:AF2640"/>
    <mergeCell ref="I2638:J2638"/>
    <mergeCell ref="I2639:J2639"/>
    <mergeCell ref="I2640:J2640"/>
    <mergeCell ref="O2638:P2638"/>
    <mergeCell ref="O2639:P2639"/>
    <mergeCell ref="O2640:P2640"/>
    <mergeCell ref="AC2635:AF2635"/>
    <mergeCell ref="Q2636:T2636"/>
    <mergeCell ref="AC2636:AF2636"/>
    <mergeCell ref="Q2637:T2637"/>
    <mergeCell ref="AC2637:AF2637"/>
    <mergeCell ref="I2635:J2635"/>
    <mergeCell ref="I2636:J2636"/>
    <mergeCell ref="I2637:J2637"/>
    <mergeCell ref="O2635:P2635"/>
    <mergeCell ref="O2636:P2636"/>
    <mergeCell ref="O2637:P2637"/>
    <mergeCell ref="U2635:X2635"/>
    <mergeCell ref="Y2635:AB2635"/>
    <mergeCell ref="U2636:X2636"/>
    <mergeCell ref="Y2636:AB2636"/>
    <mergeCell ref="U2637:X2637"/>
    <mergeCell ref="Q2632:T2632"/>
    <mergeCell ref="AC2632:AF2632"/>
    <mergeCell ref="Q2633:T2633"/>
    <mergeCell ref="AC2633:AF2633"/>
    <mergeCell ref="Q2634:T2634"/>
    <mergeCell ref="AC2634:AF2634"/>
    <mergeCell ref="I2633:J2633"/>
    <mergeCell ref="I2634:J2634"/>
    <mergeCell ref="O2632:P2632"/>
    <mergeCell ref="O2633:P2633"/>
    <mergeCell ref="O2634:P2634"/>
    <mergeCell ref="U2632:X2632"/>
    <mergeCell ref="Y2632:AB2632"/>
    <mergeCell ref="U2633:X2633"/>
    <mergeCell ref="Y2633:AB2633"/>
    <mergeCell ref="U2634:X2634"/>
    <mergeCell ref="Y2634:AB2634"/>
    <mergeCell ref="Q2635:T2635"/>
    <mergeCell ref="Y2637:AB2637"/>
    <mergeCell ref="U2638:X2638"/>
    <mergeCell ref="Y2638:AB2638"/>
    <mergeCell ref="U2639:X2639"/>
    <mergeCell ref="Y2639:AB2639"/>
    <mergeCell ref="U2640:X2640"/>
    <mergeCell ref="Y2640:AB2640"/>
    <mergeCell ref="K2633:L2633"/>
    <mergeCell ref="M2636:N2636"/>
    <mergeCell ref="M2637:N2637"/>
    <mergeCell ref="M2638:N2638"/>
    <mergeCell ref="M2639:N2639"/>
    <mergeCell ref="M2640:N2640"/>
    <mergeCell ref="Q2647:T2647"/>
    <mergeCell ref="AC2647:AF2647"/>
    <mergeCell ref="Q2648:T2648"/>
    <mergeCell ref="AC2648:AF2648"/>
    <mergeCell ref="Q2649:T2649"/>
    <mergeCell ref="AC2649:AF2649"/>
    <mergeCell ref="I2647:J2647"/>
    <mergeCell ref="I2648:J2648"/>
    <mergeCell ref="I2649:J2649"/>
    <mergeCell ref="O2647:P2647"/>
    <mergeCell ref="O2648:P2648"/>
    <mergeCell ref="O2649:P2649"/>
    <mergeCell ref="U2647:X2647"/>
    <mergeCell ref="Y2647:AB2647"/>
    <mergeCell ref="U2648:X2648"/>
    <mergeCell ref="Y2648:AB2648"/>
    <mergeCell ref="U2649:X2649"/>
    <mergeCell ref="AC2644:AF2644"/>
    <mergeCell ref="Q2645:T2645"/>
    <mergeCell ref="AC2645:AF2645"/>
    <mergeCell ref="Q2646:T2646"/>
    <mergeCell ref="AC2646:AF2646"/>
    <mergeCell ref="I2644:J2644"/>
    <mergeCell ref="I2645:J2645"/>
    <mergeCell ref="I2646:J2646"/>
    <mergeCell ref="O2644:P2644"/>
    <mergeCell ref="O2645:P2645"/>
    <mergeCell ref="O2646:P2646"/>
    <mergeCell ref="U2646:X2646"/>
    <mergeCell ref="Y2646:AB2646"/>
    <mergeCell ref="Q2641:T2641"/>
    <mergeCell ref="AC2641:AF2641"/>
    <mergeCell ref="Q2642:T2642"/>
    <mergeCell ref="AC2642:AF2642"/>
    <mergeCell ref="Q2643:T2643"/>
    <mergeCell ref="AC2643:AF2643"/>
    <mergeCell ref="I2641:J2641"/>
    <mergeCell ref="I2642:J2642"/>
    <mergeCell ref="I2643:J2643"/>
    <mergeCell ref="O2641:P2641"/>
    <mergeCell ref="O2642:P2642"/>
    <mergeCell ref="O2643:P2643"/>
    <mergeCell ref="Q2644:T2644"/>
    <mergeCell ref="Y2649:AB2649"/>
    <mergeCell ref="U2641:X2641"/>
    <mergeCell ref="Y2641:AB2641"/>
    <mergeCell ref="U2642:X2642"/>
    <mergeCell ref="Y2642:AB2642"/>
    <mergeCell ref="U2643:X2643"/>
    <mergeCell ref="Y2643:AB2643"/>
    <mergeCell ref="U2644:X2644"/>
    <mergeCell ref="Y2644:AB2644"/>
    <mergeCell ref="U2645:X2645"/>
    <mergeCell ref="Y2645:AB2645"/>
    <mergeCell ref="M2641:N2641"/>
    <mergeCell ref="M2642:N2642"/>
    <mergeCell ref="M2643:N2643"/>
    <mergeCell ref="M2644:N2644"/>
    <mergeCell ref="M2645:N2645"/>
    <mergeCell ref="M2646:N2646"/>
    <mergeCell ref="M2647:N2647"/>
    <mergeCell ref="U2658:X2658"/>
    <mergeCell ref="Y2658:AB2658"/>
    <mergeCell ref="G2656:H2656"/>
    <mergeCell ref="G2657:H2657"/>
    <mergeCell ref="G2658:H2658"/>
    <mergeCell ref="Q2656:T2656"/>
    <mergeCell ref="G2659:H2659"/>
    <mergeCell ref="G2660:H2660"/>
    <mergeCell ref="G2661:H2661"/>
    <mergeCell ref="U2656:X2656"/>
    <mergeCell ref="Y2656:AB2656"/>
    <mergeCell ref="U2657:X2657"/>
    <mergeCell ref="Y2657:AB2657"/>
    <mergeCell ref="Q2653:T2653"/>
    <mergeCell ref="AC2653:AF2653"/>
    <mergeCell ref="Q2654:T2654"/>
    <mergeCell ref="AC2654:AF2654"/>
    <mergeCell ref="Q2655:T2655"/>
    <mergeCell ref="AC2655:AF2655"/>
    <mergeCell ref="I2653:J2653"/>
    <mergeCell ref="I2654:J2654"/>
    <mergeCell ref="I2655:J2655"/>
    <mergeCell ref="O2653:P2653"/>
    <mergeCell ref="O2654:P2654"/>
    <mergeCell ref="O2655:P2655"/>
    <mergeCell ref="G2653:H2653"/>
    <mergeCell ref="G2654:H2654"/>
    <mergeCell ref="G2655:H2655"/>
    <mergeCell ref="K2653:L2653"/>
    <mergeCell ref="K2654:L2654"/>
    <mergeCell ref="AC2650:AF2650"/>
    <mergeCell ref="Q2651:T2651"/>
    <mergeCell ref="AC2651:AF2651"/>
    <mergeCell ref="Q2652:T2652"/>
    <mergeCell ref="AC2652:AF2652"/>
    <mergeCell ref="I2650:J2650"/>
    <mergeCell ref="I2651:J2651"/>
    <mergeCell ref="I2652:J2652"/>
    <mergeCell ref="O2650:P2650"/>
    <mergeCell ref="O2651:P2651"/>
    <mergeCell ref="O2652:P2652"/>
    <mergeCell ref="G2650:H2650"/>
    <mergeCell ref="G2651:H2651"/>
    <mergeCell ref="G2652:H2652"/>
    <mergeCell ref="K2651:L2651"/>
    <mergeCell ref="K2652:L2652"/>
    <mergeCell ref="Q2650:T2650"/>
    <mergeCell ref="U2650:X2650"/>
    <mergeCell ref="Y2650:AB2650"/>
    <mergeCell ref="U2651:X2651"/>
    <mergeCell ref="Y2651:AB2651"/>
    <mergeCell ref="U2652:X2652"/>
    <mergeCell ref="Y2652:AB2652"/>
    <mergeCell ref="U2653:X2653"/>
    <mergeCell ref="Y2653:AB2653"/>
    <mergeCell ref="U2654:X2654"/>
    <mergeCell ref="Y2654:AB2654"/>
    <mergeCell ref="U2655:X2655"/>
    <mergeCell ref="Y2655:AB2655"/>
    <mergeCell ref="Y2664:AB2664"/>
    <mergeCell ref="U2665:X2665"/>
    <mergeCell ref="Y2665:AB2665"/>
    <mergeCell ref="U2666:X2666"/>
    <mergeCell ref="AC2670:AF2670"/>
    <mergeCell ref="I2668:J2668"/>
    <mergeCell ref="I2669:J2669"/>
    <mergeCell ref="I2670:J2670"/>
    <mergeCell ref="O2668:P2668"/>
    <mergeCell ref="O2669:P2669"/>
    <mergeCell ref="O2670:P2670"/>
    <mergeCell ref="U2670:X2670"/>
    <mergeCell ref="Y2670:AB2670"/>
    <mergeCell ref="M2668:N2668"/>
    <mergeCell ref="M2669:N2669"/>
    <mergeCell ref="AC2665:AF2665"/>
    <mergeCell ref="Q2666:T2666"/>
    <mergeCell ref="AC2666:AF2666"/>
    <mergeCell ref="Q2667:T2667"/>
    <mergeCell ref="AC2667:AF2667"/>
    <mergeCell ref="I2665:J2665"/>
    <mergeCell ref="I2666:J2666"/>
    <mergeCell ref="I2667:J2667"/>
    <mergeCell ref="O2665:P2665"/>
    <mergeCell ref="O2666:P2666"/>
    <mergeCell ref="O2667:P2667"/>
    <mergeCell ref="M2665:N2665"/>
    <mergeCell ref="M2666:N2666"/>
    <mergeCell ref="M2667:N2667"/>
    <mergeCell ref="Q2662:T2662"/>
    <mergeCell ref="AC2662:AF2662"/>
    <mergeCell ref="Q2663:T2663"/>
    <mergeCell ref="AC2663:AF2663"/>
    <mergeCell ref="Q2664:T2664"/>
    <mergeCell ref="AC2664:AF2664"/>
    <mergeCell ref="I2662:J2662"/>
    <mergeCell ref="I2663:J2663"/>
    <mergeCell ref="I2664:J2664"/>
    <mergeCell ref="O2662:P2662"/>
    <mergeCell ref="O2663:P2663"/>
    <mergeCell ref="O2664:P2664"/>
    <mergeCell ref="Q2665:T2665"/>
    <mergeCell ref="Y2666:AB2666"/>
    <mergeCell ref="U2667:X2667"/>
    <mergeCell ref="Y2667:AB2667"/>
    <mergeCell ref="U2668:X2668"/>
    <mergeCell ref="Y2668:AB2668"/>
    <mergeCell ref="K2665:L2665"/>
    <mergeCell ref="K2666:L2666"/>
    <mergeCell ref="K2667:L2667"/>
    <mergeCell ref="I2616:J2616"/>
    <mergeCell ref="I2617:J2617"/>
    <mergeCell ref="I2618:J2618"/>
    <mergeCell ref="I2619:J2619"/>
    <mergeCell ref="I2620:J2620"/>
    <mergeCell ref="I2621:J2621"/>
    <mergeCell ref="I2622:J2622"/>
    <mergeCell ref="I2623:J2623"/>
    <mergeCell ref="I2624:J2624"/>
    <mergeCell ref="I2625:J2625"/>
    <mergeCell ref="I2626:J2626"/>
    <mergeCell ref="I2627:J2627"/>
    <mergeCell ref="I2628:J2628"/>
    <mergeCell ref="I2629:J2629"/>
    <mergeCell ref="I2630:J2630"/>
    <mergeCell ref="I2631:J2631"/>
    <mergeCell ref="I2632:J2632"/>
    <mergeCell ref="B2672:G2672"/>
    <mergeCell ref="H2672:N2672"/>
    <mergeCell ref="B2675:N2675"/>
    <mergeCell ref="O2675:Q2675"/>
    <mergeCell ref="B2676:N2676"/>
    <mergeCell ref="O2676:Q2676"/>
    <mergeCell ref="B2677:N2677"/>
    <mergeCell ref="O2677:Q2677"/>
    <mergeCell ref="U2669:X2669"/>
    <mergeCell ref="Y2669:AB2669"/>
    <mergeCell ref="Q2659:T2659"/>
    <mergeCell ref="AC2659:AF2659"/>
    <mergeCell ref="Q2660:T2660"/>
    <mergeCell ref="AC2660:AF2660"/>
    <mergeCell ref="Q2661:T2661"/>
    <mergeCell ref="AC2661:AF2661"/>
    <mergeCell ref="I2659:J2659"/>
    <mergeCell ref="I2660:J2660"/>
    <mergeCell ref="I2661:J2661"/>
    <mergeCell ref="O2659:P2659"/>
    <mergeCell ref="O2660:P2660"/>
    <mergeCell ref="O2661:P2661"/>
    <mergeCell ref="U2659:X2659"/>
    <mergeCell ref="Y2659:AB2659"/>
    <mergeCell ref="U2660:X2660"/>
    <mergeCell ref="Y2660:AB2660"/>
    <mergeCell ref="U2661:X2661"/>
    <mergeCell ref="AC2656:AF2656"/>
    <mergeCell ref="Q2657:T2657"/>
    <mergeCell ref="AC2657:AF2657"/>
    <mergeCell ref="Q2658:T2658"/>
    <mergeCell ref="AC2658:AF2658"/>
    <mergeCell ref="I2656:J2656"/>
    <mergeCell ref="I2657:J2657"/>
    <mergeCell ref="I2658:J2658"/>
    <mergeCell ref="O2656:P2656"/>
    <mergeCell ref="O2657:P2657"/>
    <mergeCell ref="O2658:P2658"/>
    <mergeCell ref="K2631:L2631"/>
    <mergeCell ref="K2632:L2632"/>
    <mergeCell ref="G2633:H2633"/>
    <mergeCell ref="G2634:H2634"/>
    <mergeCell ref="G2635:H2635"/>
    <mergeCell ref="G2636:H2636"/>
    <mergeCell ref="G2637:H2637"/>
    <mergeCell ref="G2638:H2638"/>
    <mergeCell ref="G2639:H2639"/>
    <mergeCell ref="G2640:H2640"/>
    <mergeCell ref="G2641:H2641"/>
    <mergeCell ref="G2642:H2642"/>
    <mergeCell ref="G2643:H2643"/>
    <mergeCell ref="G2644:H2644"/>
    <mergeCell ref="G2645:H2645"/>
    <mergeCell ref="G2646:H2646"/>
    <mergeCell ref="G2647:H2647"/>
    <mergeCell ref="G2648:H2648"/>
    <mergeCell ref="G2649:H2649"/>
    <mergeCell ref="G2616:H2616"/>
    <mergeCell ref="G2617:H2617"/>
    <mergeCell ref="G2618:H2618"/>
    <mergeCell ref="G2619:H2619"/>
    <mergeCell ref="G2620:H2620"/>
    <mergeCell ref="G2621:H2621"/>
    <mergeCell ref="G2622:H2622"/>
    <mergeCell ref="G2623:H2623"/>
    <mergeCell ref="G2624:H2624"/>
    <mergeCell ref="G2625:H2625"/>
    <mergeCell ref="G2626:H2626"/>
    <mergeCell ref="G2627:H2627"/>
    <mergeCell ref="G2628:H2628"/>
    <mergeCell ref="G2629:H2629"/>
    <mergeCell ref="G2630:H2630"/>
    <mergeCell ref="G2631:H2631"/>
    <mergeCell ref="G2632:H2632"/>
    <mergeCell ref="Y2661:AB2661"/>
    <mergeCell ref="U2662:X2662"/>
    <mergeCell ref="M2616:N2616"/>
    <mergeCell ref="M2617:N2617"/>
    <mergeCell ref="M2618:N2618"/>
    <mergeCell ref="M2619:N2619"/>
    <mergeCell ref="M2620:N2620"/>
    <mergeCell ref="M2621:N2621"/>
    <mergeCell ref="M2622:N2622"/>
    <mergeCell ref="M2623:N2623"/>
    <mergeCell ref="M2624:N2624"/>
    <mergeCell ref="M2625:N2625"/>
    <mergeCell ref="M2626:N2626"/>
    <mergeCell ref="M2627:N2627"/>
    <mergeCell ref="M2628:N2628"/>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2650:L2650"/>
    <mergeCell ref="M2631:N2631"/>
    <mergeCell ref="M2632:N2632"/>
    <mergeCell ref="M2633:N2633"/>
    <mergeCell ref="M2634:N2634"/>
    <mergeCell ref="M2635:N2635"/>
    <mergeCell ref="K2616:L2616"/>
    <mergeCell ref="K2617:L2617"/>
    <mergeCell ref="K2618:L2618"/>
    <mergeCell ref="K2619:L2619"/>
    <mergeCell ref="K2620:L2620"/>
    <mergeCell ref="K2621:L2621"/>
    <mergeCell ref="K2622:L2622"/>
    <mergeCell ref="K2623:L2623"/>
    <mergeCell ref="K2624:L2624"/>
    <mergeCell ref="K2625:L2625"/>
    <mergeCell ref="K2626:L2626"/>
    <mergeCell ref="K2627:L2627"/>
    <mergeCell ref="K2628:L2628"/>
    <mergeCell ref="K2629:L2629"/>
    <mergeCell ref="K2630:L2630"/>
    <mergeCell ref="M2648:N2648"/>
    <mergeCell ref="M2649:N2649"/>
    <mergeCell ref="M2650:N2650"/>
    <mergeCell ref="M2651:N2651"/>
    <mergeCell ref="M2652:N2652"/>
    <mergeCell ref="M2653:N2653"/>
    <mergeCell ref="M2654:N2654"/>
    <mergeCell ref="M2655:N2655"/>
    <mergeCell ref="M2656:N2656"/>
    <mergeCell ref="M2657:N2657"/>
    <mergeCell ref="M2658:N2658"/>
    <mergeCell ref="M2659:N2659"/>
    <mergeCell ref="M2660:N2660"/>
    <mergeCell ref="M2661:N2661"/>
    <mergeCell ref="M2662:N2662"/>
    <mergeCell ref="M2663:N2663"/>
    <mergeCell ref="M2664:N2664"/>
    <mergeCell ref="K2655:L2655"/>
    <mergeCell ref="K2656:L2656"/>
    <mergeCell ref="K2657:L2657"/>
    <mergeCell ref="K2658:L2658"/>
    <mergeCell ref="K2659:L2659"/>
    <mergeCell ref="K2660:L2660"/>
    <mergeCell ref="K2661:L2661"/>
    <mergeCell ref="K2664:L2664"/>
    <mergeCell ref="G2662:H2662"/>
    <mergeCell ref="G2663:H2663"/>
    <mergeCell ref="G2664:H2664"/>
    <mergeCell ref="G2696:H2696"/>
    <mergeCell ref="I2696:J2696"/>
    <mergeCell ref="K2696:L2696"/>
    <mergeCell ref="M2696:N2696"/>
    <mergeCell ref="O2696:P2696"/>
    <mergeCell ref="Q2696:T2696"/>
    <mergeCell ref="U2696:X2696"/>
    <mergeCell ref="Y2696:AB2696"/>
    <mergeCell ref="AC2696:AF2696"/>
    <mergeCell ref="G2697:H2697"/>
    <mergeCell ref="I2697:J2697"/>
    <mergeCell ref="K2697:L2697"/>
    <mergeCell ref="M2697:N2697"/>
    <mergeCell ref="O2697:P2697"/>
    <mergeCell ref="Q2697:T2697"/>
    <mergeCell ref="U2697:X2697"/>
    <mergeCell ref="Y2697:AB2697"/>
    <mergeCell ref="AC2697:AF2697"/>
    <mergeCell ref="B2682:N2682"/>
    <mergeCell ref="O2682:Q2682"/>
    <mergeCell ref="B2688:AG2688"/>
    <mergeCell ref="B2693:F2694"/>
    <mergeCell ref="G2693:H2694"/>
    <mergeCell ref="I2693:J2694"/>
    <mergeCell ref="K2693:L2694"/>
    <mergeCell ref="M2693:N2694"/>
    <mergeCell ref="O2693:P2694"/>
    <mergeCell ref="Q2693:T2694"/>
    <mergeCell ref="U2693:X2694"/>
    <mergeCell ref="Y2693:AB2694"/>
    <mergeCell ref="AC2693:AF2694"/>
    <mergeCell ref="G2695:H2695"/>
    <mergeCell ref="I2695:J2695"/>
    <mergeCell ref="K2695:L2695"/>
    <mergeCell ref="M2695:N2695"/>
    <mergeCell ref="O2695:P2695"/>
    <mergeCell ref="Q2695:T2695"/>
    <mergeCell ref="U2695:X2695"/>
    <mergeCell ref="Y2695:AB2695"/>
    <mergeCell ref="AC2695:AF2695"/>
    <mergeCell ref="B2683:N2683"/>
    <mergeCell ref="O2683:Q2683"/>
    <mergeCell ref="B2684:N2684"/>
    <mergeCell ref="O2684:Q2684"/>
    <mergeCell ref="B2686:AG2686"/>
    <mergeCell ref="B2678:N2678"/>
    <mergeCell ref="O2678:Q2678"/>
    <mergeCell ref="B2679:N2679"/>
    <mergeCell ref="O2679:Q2679"/>
    <mergeCell ref="B2680:N2680"/>
    <mergeCell ref="O2680:Q2680"/>
    <mergeCell ref="B2681:N2681"/>
    <mergeCell ref="O2681:Q2681"/>
    <mergeCell ref="Q2668:T2668"/>
    <mergeCell ref="AC2668:AF2668"/>
    <mergeCell ref="Q2669:T2669"/>
    <mergeCell ref="AC2669:AF2669"/>
    <mergeCell ref="Y2662:AB2662"/>
    <mergeCell ref="U2663:X2663"/>
    <mergeCell ref="Y2663:AB2663"/>
    <mergeCell ref="U2664:X2664"/>
    <mergeCell ref="U2700:X2700"/>
    <mergeCell ref="Y2700:AB2700"/>
    <mergeCell ref="AC2700:AF2700"/>
    <mergeCell ref="G2701:H2701"/>
    <mergeCell ref="I2701:J2701"/>
    <mergeCell ref="K2701:L2701"/>
    <mergeCell ref="M2701:N2701"/>
    <mergeCell ref="O2701:P2701"/>
    <mergeCell ref="Q2701:T2701"/>
    <mergeCell ref="U2701:X2701"/>
    <mergeCell ref="Y2701:AB2701"/>
    <mergeCell ref="AC2701:AF2701"/>
    <mergeCell ref="G2698:H2698"/>
    <mergeCell ref="I2698:J2698"/>
    <mergeCell ref="K2698:L2698"/>
    <mergeCell ref="M2698:N2698"/>
    <mergeCell ref="O2698:P2698"/>
    <mergeCell ref="Q2698:T2698"/>
    <mergeCell ref="U2698:X2698"/>
    <mergeCell ref="Y2698:AB2698"/>
    <mergeCell ref="AC2698:AF2698"/>
    <mergeCell ref="G2699:H2699"/>
    <mergeCell ref="I2699:J2699"/>
    <mergeCell ref="K2699:L2699"/>
    <mergeCell ref="M2699:N2699"/>
    <mergeCell ref="O2699:P2699"/>
    <mergeCell ref="Q2699:T2699"/>
    <mergeCell ref="U2699:X2699"/>
    <mergeCell ref="Y2699:AB2699"/>
    <mergeCell ref="AC2699:AF2699"/>
    <mergeCell ref="K2668:L2668"/>
    <mergeCell ref="K2669:L2669"/>
    <mergeCell ref="K2670:L2670"/>
    <mergeCell ref="M2670:N2670"/>
    <mergeCell ref="G2668:H2668"/>
    <mergeCell ref="G2669:H2669"/>
    <mergeCell ref="G2670:H2670"/>
    <mergeCell ref="Q2670:T2670"/>
    <mergeCell ref="G2700:H2700"/>
    <mergeCell ref="I2700:J2700"/>
    <mergeCell ref="K2700:L2700"/>
    <mergeCell ref="M2700:N2700"/>
    <mergeCell ref="O2700:P2700"/>
    <mergeCell ref="Q2700:T2700"/>
    <mergeCell ref="U2706:X2706"/>
    <mergeCell ref="Y2706:AB2706"/>
    <mergeCell ref="AC2706:AF2706"/>
    <mergeCell ref="G2707:H2707"/>
    <mergeCell ref="I2707:J2707"/>
    <mergeCell ref="K2707:L2707"/>
    <mergeCell ref="M2707:N2707"/>
    <mergeCell ref="O2707:P2707"/>
    <mergeCell ref="Q2707:T2707"/>
    <mergeCell ref="U2707:X2707"/>
    <mergeCell ref="Y2707:AB2707"/>
    <mergeCell ref="AC2707:AF2707"/>
    <mergeCell ref="G2704:H2704"/>
    <mergeCell ref="I2704:J2704"/>
    <mergeCell ref="K2704:L2704"/>
    <mergeCell ref="M2704:N2704"/>
    <mergeCell ref="O2704:P2704"/>
    <mergeCell ref="Q2704:T2704"/>
    <mergeCell ref="U2704:X2704"/>
    <mergeCell ref="Y2704:AB2704"/>
    <mergeCell ref="AC2704:AF2704"/>
    <mergeCell ref="G2705:H2705"/>
    <mergeCell ref="I2705:J2705"/>
    <mergeCell ref="K2705:L2705"/>
    <mergeCell ref="M2705:N2705"/>
    <mergeCell ref="O2705:P2705"/>
    <mergeCell ref="Q2705:T2705"/>
    <mergeCell ref="U2705:X2705"/>
    <mergeCell ref="Y2705:AB2705"/>
    <mergeCell ref="AC2705:AF2705"/>
    <mergeCell ref="G2702:H2702"/>
    <mergeCell ref="I2702:J2702"/>
    <mergeCell ref="K2702:L2702"/>
    <mergeCell ref="M2702:N2702"/>
    <mergeCell ref="O2702:P2702"/>
    <mergeCell ref="Q2702:T2702"/>
    <mergeCell ref="U2702:X2702"/>
    <mergeCell ref="Y2702:AB2702"/>
    <mergeCell ref="AC2702:AF2702"/>
    <mergeCell ref="G2703:H2703"/>
    <mergeCell ref="I2703:J2703"/>
    <mergeCell ref="K2703:L2703"/>
    <mergeCell ref="M2703:N2703"/>
    <mergeCell ref="O2703:P2703"/>
    <mergeCell ref="Q2703:T2703"/>
    <mergeCell ref="U2703:X2703"/>
    <mergeCell ref="Y2703:AB2703"/>
    <mergeCell ref="AC2703:AF2703"/>
    <mergeCell ref="G2706:H2706"/>
    <mergeCell ref="I2706:J2706"/>
    <mergeCell ref="K2706:L2706"/>
    <mergeCell ref="M2706:N2706"/>
    <mergeCell ref="O2706:P2706"/>
    <mergeCell ref="Q2706:T2706"/>
    <mergeCell ref="I2710:J2710"/>
    <mergeCell ref="K2710:L2710"/>
    <mergeCell ref="M2710:N2710"/>
    <mergeCell ref="O2710:P2710"/>
    <mergeCell ref="Q2710:T2710"/>
    <mergeCell ref="U2710:X2710"/>
    <mergeCell ref="Y2710:AB2710"/>
    <mergeCell ref="AC2710:AF2710"/>
    <mergeCell ref="G2711:H2711"/>
    <mergeCell ref="I2711:J2711"/>
    <mergeCell ref="K2711:L2711"/>
    <mergeCell ref="M2711:N2711"/>
    <mergeCell ref="O2711:P2711"/>
    <mergeCell ref="Q2711:T2711"/>
    <mergeCell ref="U2711:X2711"/>
    <mergeCell ref="Y2711:AB2711"/>
    <mergeCell ref="AC2711:AF2711"/>
    <mergeCell ref="G2708:H2708"/>
    <mergeCell ref="I2708:J2708"/>
    <mergeCell ref="K2708:L2708"/>
    <mergeCell ref="M2708:N2708"/>
    <mergeCell ref="O2708:P2708"/>
    <mergeCell ref="Q2708:T2708"/>
    <mergeCell ref="U2708:X2708"/>
    <mergeCell ref="Y2708:AB2708"/>
    <mergeCell ref="AC2708:AF2708"/>
    <mergeCell ref="G2709:H2709"/>
    <mergeCell ref="I2709:J2709"/>
    <mergeCell ref="K2709:L2709"/>
    <mergeCell ref="M2709:N2709"/>
    <mergeCell ref="O2709:P2709"/>
    <mergeCell ref="Q2709:T2709"/>
    <mergeCell ref="U2709:X2709"/>
    <mergeCell ref="Y2709:AB2709"/>
    <mergeCell ref="AC2709:AF2709"/>
    <mergeCell ref="U2716:X2716"/>
    <mergeCell ref="Y2716:AB2716"/>
    <mergeCell ref="AC2716:AF2716"/>
    <mergeCell ref="G2717:H2717"/>
    <mergeCell ref="I2717:J2717"/>
    <mergeCell ref="K2717:L2717"/>
    <mergeCell ref="M2717:N2717"/>
    <mergeCell ref="O2717:P2717"/>
    <mergeCell ref="Q2717:T2717"/>
    <mergeCell ref="U2717:X2717"/>
    <mergeCell ref="Y2717:AB2717"/>
    <mergeCell ref="AC2717:AF2717"/>
    <mergeCell ref="G2714:H2714"/>
    <mergeCell ref="I2714:J2714"/>
    <mergeCell ref="K2714:L2714"/>
    <mergeCell ref="M2714:N2714"/>
    <mergeCell ref="O2714:P2714"/>
    <mergeCell ref="Q2714:T2714"/>
    <mergeCell ref="U2714:X2714"/>
    <mergeCell ref="Y2714:AB2714"/>
    <mergeCell ref="AC2714:AF2714"/>
    <mergeCell ref="G2715:H2715"/>
    <mergeCell ref="I2715:J2715"/>
    <mergeCell ref="K2715:L2715"/>
    <mergeCell ref="M2715:N2715"/>
    <mergeCell ref="O2715:P2715"/>
    <mergeCell ref="Q2715:T2715"/>
    <mergeCell ref="U2715:X2715"/>
    <mergeCell ref="Y2715:AB2715"/>
    <mergeCell ref="AC2715:AF2715"/>
    <mergeCell ref="U2712:X2712"/>
    <mergeCell ref="Y2712:AB2712"/>
    <mergeCell ref="AC2712:AF2712"/>
    <mergeCell ref="G2713:H2713"/>
    <mergeCell ref="I2713:J2713"/>
    <mergeCell ref="K2713:L2713"/>
    <mergeCell ref="M2713:N2713"/>
    <mergeCell ref="O2713:P2713"/>
    <mergeCell ref="Q2713:T2713"/>
    <mergeCell ref="U2713:X2713"/>
    <mergeCell ref="Y2713:AB2713"/>
    <mergeCell ref="AC2713:AF2713"/>
    <mergeCell ref="G2712:H2712"/>
    <mergeCell ref="I2712:J2712"/>
    <mergeCell ref="K2712:L2712"/>
    <mergeCell ref="M2712:N2712"/>
    <mergeCell ref="O2712:P2712"/>
    <mergeCell ref="Q2712:T2712"/>
    <mergeCell ref="U2722:X2722"/>
    <mergeCell ref="Y2722:AB2722"/>
    <mergeCell ref="AC2722:AF2722"/>
    <mergeCell ref="G2723:H2723"/>
    <mergeCell ref="I2723:J2723"/>
    <mergeCell ref="K2723:L2723"/>
    <mergeCell ref="M2723:N2723"/>
    <mergeCell ref="O2723:P2723"/>
    <mergeCell ref="Q2723:T2723"/>
    <mergeCell ref="U2723:X2723"/>
    <mergeCell ref="Y2723:AB2723"/>
    <mergeCell ref="AC2723:AF2723"/>
    <mergeCell ref="G2720:H2720"/>
    <mergeCell ref="I2720:J2720"/>
    <mergeCell ref="K2720:L2720"/>
    <mergeCell ref="M2720:N2720"/>
    <mergeCell ref="O2720:P2720"/>
    <mergeCell ref="Q2720:T2720"/>
    <mergeCell ref="U2720:X2720"/>
    <mergeCell ref="Y2720:AB2720"/>
    <mergeCell ref="AC2720:AF2720"/>
    <mergeCell ref="G2721:H2721"/>
    <mergeCell ref="I2721:J2721"/>
    <mergeCell ref="K2721:L2721"/>
    <mergeCell ref="M2721:N2721"/>
    <mergeCell ref="O2721:P2721"/>
    <mergeCell ref="Q2721:T2721"/>
    <mergeCell ref="U2721:X2721"/>
    <mergeCell ref="Y2721:AB2721"/>
    <mergeCell ref="AC2721:AF2721"/>
    <mergeCell ref="U2718:X2718"/>
    <mergeCell ref="Y2718:AB2718"/>
    <mergeCell ref="AC2718:AF2718"/>
    <mergeCell ref="G2719:H2719"/>
    <mergeCell ref="I2719:J2719"/>
    <mergeCell ref="K2719:L2719"/>
    <mergeCell ref="M2719:N2719"/>
    <mergeCell ref="O2719:P2719"/>
    <mergeCell ref="Q2719:T2719"/>
    <mergeCell ref="U2719:X2719"/>
    <mergeCell ref="Y2719:AB2719"/>
    <mergeCell ref="AC2719:AF2719"/>
    <mergeCell ref="G2718:H2718"/>
    <mergeCell ref="I2718:J2718"/>
    <mergeCell ref="K2718:L2718"/>
    <mergeCell ref="M2718:N2718"/>
    <mergeCell ref="O2718:P2718"/>
    <mergeCell ref="Q2718:T2718"/>
    <mergeCell ref="U2728:X2728"/>
    <mergeCell ref="Y2728:AB2728"/>
    <mergeCell ref="AC2728:AF2728"/>
    <mergeCell ref="G2729:H2729"/>
    <mergeCell ref="I2729:J2729"/>
    <mergeCell ref="K2729:L2729"/>
    <mergeCell ref="M2729:N2729"/>
    <mergeCell ref="O2729:P2729"/>
    <mergeCell ref="Q2729:T2729"/>
    <mergeCell ref="U2729:X2729"/>
    <mergeCell ref="Y2729:AB2729"/>
    <mergeCell ref="AC2729:AF2729"/>
    <mergeCell ref="G2726:H2726"/>
    <mergeCell ref="I2726:J2726"/>
    <mergeCell ref="K2726:L2726"/>
    <mergeCell ref="M2726:N2726"/>
    <mergeCell ref="O2726:P2726"/>
    <mergeCell ref="Q2726:T2726"/>
    <mergeCell ref="U2726:X2726"/>
    <mergeCell ref="Y2726:AB2726"/>
    <mergeCell ref="AC2726:AF2726"/>
    <mergeCell ref="G2727:H2727"/>
    <mergeCell ref="I2727:J2727"/>
    <mergeCell ref="K2727:L2727"/>
    <mergeCell ref="M2727:N2727"/>
    <mergeCell ref="O2727:P2727"/>
    <mergeCell ref="Q2727:T2727"/>
    <mergeCell ref="U2727:X2727"/>
    <mergeCell ref="Y2727:AB2727"/>
    <mergeCell ref="AC2727:AF2727"/>
    <mergeCell ref="U2724:X2724"/>
    <mergeCell ref="Y2724:AB2724"/>
    <mergeCell ref="AC2724:AF2724"/>
    <mergeCell ref="G2725:H2725"/>
    <mergeCell ref="I2725:J2725"/>
    <mergeCell ref="K2725:L2725"/>
    <mergeCell ref="M2725:N2725"/>
    <mergeCell ref="O2725:P2725"/>
    <mergeCell ref="Q2725:T2725"/>
    <mergeCell ref="U2725:X2725"/>
    <mergeCell ref="Y2725:AB2725"/>
    <mergeCell ref="AC2725:AF2725"/>
    <mergeCell ref="G2724:H2724"/>
    <mergeCell ref="I2724:J2724"/>
    <mergeCell ref="K2724:L2724"/>
    <mergeCell ref="M2724:N2724"/>
    <mergeCell ref="O2724:P2724"/>
    <mergeCell ref="Q2724:T2724"/>
    <mergeCell ref="U2734:X2734"/>
    <mergeCell ref="Y2734:AB2734"/>
    <mergeCell ref="AC2734:AF2734"/>
    <mergeCell ref="G2735:H2735"/>
    <mergeCell ref="I2735:J2735"/>
    <mergeCell ref="K2735:L2735"/>
    <mergeCell ref="M2735:N2735"/>
    <mergeCell ref="O2735:P2735"/>
    <mergeCell ref="Q2735:T2735"/>
    <mergeCell ref="U2735:X2735"/>
    <mergeCell ref="Y2735:AB2735"/>
    <mergeCell ref="AC2735:AF2735"/>
    <mergeCell ref="G2732:H2732"/>
    <mergeCell ref="I2732:J2732"/>
    <mergeCell ref="K2732:L2732"/>
    <mergeCell ref="M2732:N2732"/>
    <mergeCell ref="O2732:P2732"/>
    <mergeCell ref="Q2732:T2732"/>
    <mergeCell ref="U2732:X2732"/>
    <mergeCell ref="Y2732:AB2732"/>
    <mergeCell ref="AC2732:AF2732"/>
    <mergeCell ref="G2733:H2733"/>
    <mergeCell ref="I2733:J2733"/>
    <mergeCell ref="K2733:L2733"/>
    <mergeCell ref="M2733:N2733"/>
    <mergeCell ref="O2733:P2733"/>
    <mergeCell ref="Q2733:T2733"/>
    <mergeCell ref="U2733:X2733"/>
    <mergeCell ref="Y2733:AB2733"/>
    <mergeCell ref="AC2733:AF2733"/>
    <mergeCell ref="U2730:X2730"/>
    <mergeCell ref="Y2730:AB2730"/>
    <mergeCell ref="AC2730:AF2730"/>
    <mergeCell ref="G2731:H2731"/>
    <mergeCell ref="I2731:J2731"/>
    <mergeCell ref="K2731:L2731"/>
    <mergeCell ref="M2731:N2731"/>
    <mergeCell ref="O2731:P2731"/>
    <mergeCell ref="Q2731:T2731"/>
    <mergeCell ref="U2731:X2731"/>
    <mergeCell ref="Y2731:AB2731"/>
    <mergeCell ref="AC2731:AF2731"/>
    <mergeCell ref="I2730:J2730"/>
    <mergeCell ref="K2730:L2730"/>
    <mergeCell ref="M2730:N2730"/>
    <mergeCell ref="O2730:P2730"/>
    <mergeCell ref="Q2730:T2730"/>
    <mergeCell ref="U2740:X2740"/>
    <mergeCell ref="Y2740:AB2740"/>
    <mergeCell ref="AC2740:AF2740"/>
    <mergeCell ref="G2741:H2741"/>
    <mergeCell ref="I2741:J2741"/>
    <mergeCell ref="K2741:L2741"/>
    <mergeCell ref="M2741:N2741"/>
    <mergeCell ref="O2741:P2741"/>
    <mergeCell ref="Q2741:T2741"/>
    <mergeCell ref="U2741:X2741"/>
    <mergeCell ref="Y2741:AB2741"/>
    <mergeCell ref="AC2741:AF2741"/>
    <mergeCell ref="G2738:H2738"/>
    <mergeCell ref="I2738:J2738"/>
    <mergeCell ref="K2738:L2738"/>
    <mergeCell ref="M2738:N2738"/>
    <mergeCell ref="O2738:P2738"/>
    <mergeCell ref="Q2738:T2738"/>
    <mergeCell ref="U2738:X2738"/>
    <mergeCell ref="Y2738:AB2738"/>
    <mergeCell ref="AC2738:AF2738"/>
    <mergeCell ref="G2739:H2739"/>
    <mergeCell ref="I2739:J2739"/>
    <mergeCell ref="K2739:L2739"/>
    <mergeCell ref="M2739:N2739"/>
    <mergeCell ref="O2739:P2739"/>
    <mergeCell ref="Q2739:T2739"/>
    <mergeCell ref="U2739:X2739"/>
    <mergeCell ref="Y2739:AB2739"/>
    <mergeCell ref="AC2739:AF2739"/>
    <mergeCell ref="U2736:X2736"/>
    <mergeCell ref="Y2736:AB2736"/>
    <mergeCell ref="AC2736:AF2736"/>
    <mergeCell ref="G2737:H2737"/>
    <mergeCell ref="I2737:J2737"/>
    <mergeCell ref="K2737:L2737"/>
    <mergeCell ref="M2737:N2737"/>
    <mergeCell ref="O2737:P2737"/>
    <mergeCell ref="Q2737:T2737"/>
    <mergeCell ref="U2737:X2737"/>
    <mergeCell ref="Y2737:AB2737"/>
    <mergeCell ref="AC2737:AF2737"/>
    <mergeCell ref="Y2746:AB2746"/>
    <mergeCell ref="AC2746:AF2746"/>
    <mergeCell ref="G2747:H2747"/>
    <mergeCell ref="I2747:J2747"/>
    <mergeCell ref="K2747:L2747"/>
    <mergeCell ref="M2747:N2747"/>
    <mergeCell ref="O2747:P2747"/>
    <mergeCell ref="Q2747:T2747"/>
    <mergeCell ref="U2747:X2747"/>
    <mergeCell ref="Y2747:AB2747"/>
    <mergeCell ref="AC2747:AF2747"/>
    <mergeCell ref="G2744:H2744"/>
    <mergeCell ref="I2744:J2744"/>
    <mergeCell ref="K2744:L2744"/>
    <mergeCell ref="M2744:N2744"/>
    <mergeCell ref="O2744:P2744"/>
    <mergeCell ref="Q2744:T2744"/>
    <mergeCell ref="U2744:X2744"/>
    <mergeCell ref="Y2744:AB2744"/>
    <mergeCell ref="AC2744:AF2744"/>
    <mergeCell ref="G2745:H2745"/>
    <mergeCell ref="I2745:J2745"/>
    <mergeCell ref="K2745:L2745"/>
    <mergeCell ref="M2745:N2745"/>
    <mergeCell ref="O2745:P2745"/>
    <mergeCell ref="Q2745:T2745"/>
    <mergeCell ref="U2745:X2745"/>
    <mergeCell ref="Y2745:AB2745"/>
    <mergeCell ref="AC2745:AF2745"/>
    <mergeCell ref="U2742:X2742"/>
    <mergeCell ref="Y2742:AB2742"/>
    <mergeCell ref="AC2742:AF2742"/>
    <mergeCell ref="G2743:H2743"/>
    <mergeCell ref="I2743:J2743"/>
    <mergeCell ref="K2743:L2743"/>
    <mergeCell ref="M2743:N2743"/>
    <mergeCell ref="O2743:P2743"/>
    <mergeCell ref="Q2743:T2743"/>
    <mergeCell ref="U2743:X2743"/>
    <mergeCell ref="Y2743:AB2743"/>
    <mergeCell ref="AC2743:AF2743"/>
    <mergeCell ref="B2768:AG2768"/>
    <mergeCell ref="B2060:AG2060"/>
    <mergeCell ref="B2061:AG2061"/>
    <mergeCell ref="B2155:AG2155"/>
    <mergeCell ref="B2156:AG2156"/>
    <mergeCell ref="G2752:H2752"/>
    <mergeCell ref="I2752:J2752"/>
    <mergeCell ref="K2752:L2752"/>
    <mergeCell ref="M2752:N2752"/>
    <mergeCell ref="O2752:P2752"/>
    <mergeCell ref="Q2752:T2752"/>
    <mergeCell ref="U2752:X2752"/>
    <mergeCell ref="Y2752:AB2752"/>
    <mergeCell ref="AC2752:AF2752"/>
    <mergeCell ref="B2754:G2754"/>
    <mergeCell ref="H2754:N2754"/>
    <mergeCell ref="B2757:N2757"/>
    <mergeCell ref="O2757:Q2757"/>
    <mergeCell ref="B2758:N2758"/>
    <mergeCell ref="O2758:Q2758"/>
    <mergeCell ref="B2759:N2759"/>
    <mergeCell ref="O2759:Q2759"/>
    <mergeCell ref="G2750:H2750"/>
    <mergeCell ref="I2750:J2750"/>
    <mergeCell ref="K2750:L2750"/>
    <mergeCell ref="M2750:N2750"/>
    <mergeCell ref="O2750:P2750"/>
    <mergeCell ref="Q2750:T2750"/>
    <mergeCell ref="U2750:X2750"/>
    <mergeCell ref="Y2750:AB2750"/>
    <mergeCell ref="AC2750:AF2750"/>
    <mergeCell ref="G2751:H2751"/>
    <mergeCell ref="I2751:J2751"/>
    <mergeCell ref="K2751:L2751"/>
    <mergeCell ref="M2751:N2751"/>
    <mergeCell ref="O2751:P2751"/>
    <mergeCell ref="Q2751:T2751"/>
    <mergeCell ref="U2751:X2751"/>
    <mergeCell ref="Y2751:AB2751"/>
    <mergeCell ref="AC2751:AF2751"/>
    <mergeCell ref="G2748:H2748"/>
    <mergeCell ref="I2748:J2748"/>
    <mergeCell ref="K2748:L2748"/>
    <mergeCell ref="M2748:N2748"/>
    <mergeCell ref="O2748:P2748"/>
    <mergeCell ref="Q2748:T2748"/>
    <mergeCell ref="U2748:X2748"/>
    <mergeCell ref="Y2748:AB2748"/>
    <mergeCell ref="AC2748:AF2748"/>
    <mergeCell ref="G2749:H2749"/>
    <mergeCell ref="I2749:J2749"/>
    <mergeCell ref="K2749:L2749"/>
    <mergeCell ref="M2749:N2749"/>
    <mergeCell ref="O2749:P2749"/>
    <mergeCell ref="U2749:X2749"/>
    <mergeCell ref="Y2749:AB2749"/>
    <mergeCell ref="AC2749:AF2749"/>
    <mergeCell ref="G2746:H2746"/>
    <mergeCell ref="I2746:J2746"/>
    <mergeCell ref="K2746:L2746"/>
    <mergeCell ref="M2746:N2746"/>
    <mergeCell ref="O2746:P2746"/>
    <mergeCell ref="Q2746:T2746"/>
    <mergeCell ref="U2746:X2746"/>
    <mergeCell ref="G2665:H2665"/>
    <mergeCell ref="G2666:H2666"/>
    <mergeCell ref="G2667:H2667"/>
    <mergeCell ref="K2662:L2662"/>
    <mergeCell ref="K2663:L2663"/>
    <mergeCell ref="B2762:N2762"/>
    <mergeCell ref="O2762:Q2762"/>
    <mergeCell ref="B2763:N2763"/>
    <mergeCell ref="O2763:Q2763"/>
    <mergeCell ref="B2764:N2764"/>
    <mergeCell ref="O2764:Q2764"/>
    <mergeCell ref="B2765:N2765"/>
    <mergeCell ref="O2765:Q2765"/>
    <mergeCell ref="B2766:N2766"/>
    <mergeCell ref="O2766:Q2766"/>
    <mergeCell ref="G2740:H2740"/>
    <mergeCell ref="I2740:J2740"/>
    <mergeCell ref="K2740:L2740"/>
    <mergeCell ref="M2740:N2740"/>
    <mergeCell ref="O2740:P2740"/>
    <mergeCell ref="Q2740:T2740"/>
    <mergeCell ref="G2734:H2734"/>
    <mergeCell ref="I2734:J2734"/>
    <mergeCell ref="K2734:L2734"/>
    <mergeCell ref="M2734:N2734"/>
    <mergeCell ref="O2734:P2734"/>
    <mergeCell ref="Q2734:T2734"/>
    <mergeCell ref="G2728:H2728"/>
    <mergeCell ref="I2728:J2728"/>
    <mergeCell ref="K2728:L2728"/>
    <mergeCell ref="M2728:N2728"/>
    <mergeCell ref="O2728:P2728"/>
    <mergeCell ref="Q2728:T2728"/>
    <mergeCell ref="G2722:H2722"/>
    <mergeCell ref="I2722:J2722"/>
    <mergeCell ref="K2722:L2722"/>
    <mergeCell ref="M2722:N2722"/>
    <mergeCell ref="O2722:P2722"/>
    <mergeCell ref="Q2722:T2722"/>
    <mergeCell ref="G2716:H2716"/>
    <mergeCell ref="I2716:J2716"/>
    <mergeCell ref="K2716:L2716"/>
    <mergeCell ref="M2716:N2716"/>
    <mergeCell ref="O2716:P2716"/>
    <mergeCell ref="Q2716:T2716"/>
    <mergeCell ref="G2710:H2710"/>
    <mergeCell ref="B2760:N2760"/>
    <mergeCell ref="O2760:Q2760"/>
    <mergeCell ref="B2761:N2761"/>
    <mergeCell ref="O2761:Q2761"/>
    <mergeCell ref="Q2749:T2749"/>
    <mergeCell ref="G2742:H2742"/>
    <mergeCell ref="I2742:J2742"/>
    <mergeCell ref="K2742:L2742"/>
    <mergeCell ref="M2742:N2742"/>
    <mergeCell ref="O2742:P2742"/>
    <mergeCell ref="Q2742:T2742"/>
    <mergeCell ref="G2736:H2736"/>
    <mergeCell ref="I2736:J2736"/>
    <mergeCell ref="K2736:L2736"/>
    <mergeCell ref="M2736:N2736"/>
    <mergeCell ref="O2736:P2736"/>
    <mergeCell ref="Q2736:T2736"/>
    <mergeCell ref="G2730:H2730"/>
    <mergeCell ref="O781:P781"/>
    <mergeCell ref="O782:P782"/>
    <mergeCell ref="O783:P783"/>
    <mergeCell ref="O784:P784"/>
    <mergeCell ref="O785:P785"/>
    <mergeCell ref="O786:P786"/>
    <mergeCell ref="O787:P787"/>
    <mergeCell ref="O788:P788"/>
    <mergeCell ref="O748:P748"/>
    <mergeCell ref="O749:P749"/>
    <mergeCell ref="O750:P750"/>
    <mergeCell ref="O751:P751"/>
    <mergeCell ref="O752:P752"/>
    <mergeCell ref="O753:P753"/>
    <mergeCell ref="O754:P754"/>
    <mergeCell ref="O755:P755"/>
    <mergeCell ref="O756:P756"/>
    <mergeCell ref="O757:P757"/>
    <mergeCell ref="O758:P758"/>
    <mergeCell ref="O759:P759"/>
    <mergeCell ref="O760:P760"/>
    <mergeCell ref="O761:P761"/>
    <mergeCell ref="O762:P762"/>
    <mergeCell ref="O763:P763"/>
    <mergeCell ref="M795:N795"/>
    <mergeCell ref="M796:N796"/>
    <mergeCell ref="M797:N797"/>
    <mergeCell ref="Q749:T749"/>
    <mergeCell ref="Q750:T750"/>
    <mergeCell ref="Q751:T751"/>
    <mergeCell ref="Q752:T752"/>
    <mergeCell ref="Q746:T746"/>
    <mergeCell ref="Q747:T747"/>
    <mergeCell ref="Q748:T748"/>
    <mergeCell ref="Q753:T753"/>
    <mergeCell ref="Q754:T754"/>
    <mergeCell ref="M760:N760"/>
    <mergeCell ref="M761:N761"/>
    <mergeCell ref="M762:N762"/>
    <mergeCell ref="M763:N763"/>
    <mergeCell ref="M764:N764"/>
    <mergeCell ref="M765:N765"/>
    <mergeCell ref="M766:N766"/>
    <mergeCell ref="M767:N767"/>
    <mergeCell ref="M768:N768"/>
    <mergeCell ref="M769:N769"/>
    <mergeCell ref="M770:N770"/>
    <mergeCell ref="O768:P768"/>
    <mergeCell ref="O769:P769"/>
    <mergeCell ref="M750:N750"/>
    <mergeCell ref="M751:N751"/>
    <mergeCell ref="M752:N752"/>
    <mergeCell ref="M753:N753"/>
    <mergeCell ref="M754:N754"/>
    <mergeCell ref="M755:N755"/>
    <mergeCell ref="Q780:T780"/>
    <mergeCell ref="Q772:T772"/>
    <mergeCell ref="Q773:T773"/>
    <mergeCell ref="Q774:T774"/>
    <mergeCell ref="Q775:T775"/>
    <mergeCell ref="Q768:T768"/>
    <mergeCell ref="Q769:T769"/>
    <mergeCell ref="Q770:T770"/>
    <mergeCell ref="Q771:T771"/>
    <mergeCell ref="U754:X754"/>
    <mergeCell ref="U753:X753"/>
    <mergeCell ref="U771:X771"/>
    <mergeCell ref="U770:X770"/>
    <mergeCell ref="U769:X769"/>
    <mergeCell ref="U768:X768"/>
    <mergeCell ref="U755:X755"/>
    <mergeCell ref="U752:X752"/>
    <mergeCell ref="U751:X751"/>
    <mergeCell ref="U750:X750"/>
    <mergeCell ref="U759:X759"/>
    <mergeCell ref="U757:X757"/>
    <mergeCell ref="U756:X756"/>
    <mergeCell ref="Y760:AB760"/>
    <mergeCell ref="Y761:AB761"/>
    <mergeCell ref="Y762:AB762"/>
    <mergeCell ref="Y763:AB763"/>
    <mergeCell ref="Y764:AB764"/>
    <mergeCell ref="Y765:AB765"/>
    <mergeCell ref="Y750:AB750"/>
    <mergeCell ref="Y751:AB751"/>
    <mergeCell ref="Y752:AB752"/>
    <mergeCell ref="Y753:AB753"/>
    <mergeCell ref="Y754:AB754"/>
    <mergeCell ref="Y755:AB755"/>
    <mergeCell ref="Y756:AB756"/>
    <mergeCell ref="Y757:AB757"/>
    <mergeCell ref="Q756:T756"/>
    <mergeCell ref="Q757:T757"/>
    <mergeCell ref="Q758:T758"/>
    <mergeCell ref="Q759:T759"/>
    <mergeCell ref="U761:X761"/>
    <mergeCell ref="U760:X760"/>
    <mergeCell ref="Y758:AB758"/>
    <mergeCell ref="Y759:AB759"/>
    <mergeCell ref="G876:H876"/>
    <mergeCell ref="G877:H877"/>
    <mergeCell ref="K860:N860"/>
    <mergeCell ref="K861:N861"/>
    <mergeCell ref="K862:N862"/>
    <mergeCell ref="I835:J835"/>
    <mergeCell ref="I836:J836"/>
    <mergeCell ref="I837:J837"/>
    <mergeCell ref="I838:J838"/>
    <mergeCell ref="I839:J839"/>
    <mergeCell ref="I840:J840"/>
    <mergeCell ref="I841:J841"/>
    <mergeCell ref="I842:J842"/>
    <mergeCell ref="I843:J843"/>
    <mergeCell ref="I844:J844"/>
    <mergeCell ref="I845:J845"/>
    <mergeCell ref="I846:J846"/>
    <mergeCell ref="I847:J847"/>
    <mergeCell ref="I848:J848"/>
    <mergeCell ref="I849:J849"/>
    <mergeCell ref="I850:J850"/>
    <mergeCell ref="Y783:AB783"/>
    <mergeCell ref="Y784:AB784"/>
    <mergeCell ref="Y785:AB785"/>
    <mergeCell ref="Y786:AB786"/>
    <mergeCell ref="Y787:AB787"/>
    <mergeCell ref="Y788:AB788"/>
    <mergeCell ref="Y789:AB789"/>
    <mergeCell ref="Y790:AB790"/>
    <mergeCell ref="Y791:AB791"/>
    <mergeCell ref="Y792:AB792"/>
    <mergeCell ref="Y793:AB793"/>
    <mergeCell ref="Y794:AB794"/>
    <mergeCell ref="Y795:AB795"/>
    <mergeCell ref="Y796:AB796"/>
    <mergeCell ref="Y797:AB797"/>
    <mergeCell ref="Y798:AB798"/>
    <mergeCell ref="Y799:AB799"/>
    <mergeCell ref="O789:P789"/>
    <mergeCell ref="O790:P790"/>
    <mergeCell ref="M798:N798"/>
    <mergeCell ref="M799:N799"/>
    <mergeCell ref="M800:N800"/>
    <mergeCell ref="M801:N801"/>
    <mergeCell ref="M802:N802"/>
    <mergeCell ref="M787:N787"/>
    <mergeCell ref="M788:N788"/>
    <mergeCell ref="M789:N789"/>
    <mergeCell ref="M790:N790"/>
    <mergeCell ref="M791:N791"/>
    <mergeCell ref="M792:N792"/>
    <mergeCell ref="M793:N793"/>
    <mergeCell ref="M794:N794"/>
    <mergeCell ref="O801:P801"/>
    <mergeCell ref="O802:P802"/>
    <mergeCell ref="Q786:T786"/>
    <mergeCell ref="Q787:T787"/>
    <mergeCell ref="Q788:T788"/>
    <mergeCell ref="Q793:T793"/>
    <mergeCell ref="U795:X795"/>
    <mergeCell ref="U794:X794"/>
    <mergeCell ref="U800:X800"/>
    <mergeCell ref="U799:X799"/>
    <mergeCell ref="U798:X798"/>
    <mergeCell ref="G827:H827"/>
    <mergeCell ref="G828:H828"/>
    <mergeCell ref="G829:H829"/>
    <mergeCell ref="G830:H830"/>
    <mergeCell ref="G831:H831"/>
    <mergeCell ref="S827:V827"/>
    <mergeCell ref="S828:V828"/>
    <mergeCell ref="S829:V829"/>
    <mergeCell ref="S830:V830"/>
    <mergeCell ref="S831:V831"/>
    <mergeCell ref="I797:J797"/>
    <mergeCell ref="K797:L797"/>
    <mergeCell ref="B813:N813"/>
    <mergeCell ref="O813:Q813"/>
    <mergeCell ref="B814:N814"/>
    <mergeCell ref="O814:Q814"/>
    <mergeCell ref="B815:N815"/>
    <mergeCell ref="K844:N844"/>
    <mergeCell ref="O844:R844"/>
    <mergeCell ref="S844:V844"/>
    <mergeCell ref="G842:H842"/>
    <mergeCell ref="G843:H843"/>
    <mergeCell ref="G844:H844"/>
    <mergeCell ref="K857:N857"/>
    <mergeCell ref="K858:N858"/>
    <mergeCell ref="K859:N859"/>
    <mergeCell ref="I857:J857"/>
    <mergeCell ref="I858:J858"/>
    <mergeCell ref="I859:J859"/>
    <mergeCell ref="I860:J860"/>
    <mergeCell ref="I861:J861"/>
    <mergeCell ref="G866:H866"/>
    <mergeCell ref="G867:H867"/>
    <mergeCell ref="U802:X802"/>
    <mergeCell ref="B824:F825"/>
    <mergeCell ref="B821:AG821"/>
    <mergeCell ref="K824:N825"/>
    <mergeCell ref="S824:V825"/>
    <mergeCell ref="B810:N810"/>
    <mergeCell ref="O810:Q810"/>
    <mergeCell ref="B811:N811"/>
    <mergeCell ref="O811:Q811"/>
    <mergeCell ref="B812:N812"/>
    <mergeCell ref="O812:Q812"/>
    <mergeCell ref="S851:V851"/>
    <mergeCell ref="S852:V852"/>
    <mergeCell ref="S853:V853"/>
    <mergeCell ref="S854:V854"/>
    <mergeCell ref="W853:X853"/>
    <mergeCell ref="W854:X854"/>
    <mergeCell ref="W855:X855"/>
    <mergeCell ref="W856:X856"/>
    <mergeCell ref="G849:H849"/>
    <mergeCell ref="G850:H850"/>
    <mergeCell ref="G851:H851"/>
    <mergeCell ref="G852:H852"/>
    <mergeCell ref="G853:H853"/>
    <mergeCell ref="G854:H854"/>
    <mergeCell ref="O833:R833"/>
    <mergeCell ref="O834:R834"/>
    <mergeCell ref="O835:R835"/>
    <mergeCell ref="O836:R836"/>
    <mergeCell ref="O837:R837"/>
    <mergeCell ref="O838:R838"/>
    <mergeCell ref="G861:H861"/>
    <mergeCell ref="G862:H862"/>
    <mergeCell ref="G863:H863"/>
    <mergeCell ref="G864:H864"/>
    <mergeCell ref="G865:H865"/>
    <mergeCell ref="I853:J853"/>
    <mergeCell ref="I854:J854"/>
    <mergeCell ref="I855:J855"/>
    <mergeCell ref="I856:J856"/>
    <mergeCell ref="G855:H855"/>
    <mergeCell ref="G856:H856"/>
    <mergeCell ref="G857:H857"/>
    <mergeCell ref="G858:H858"/>
    <mergeCell ref="G859:H859"/>
    <mergeCell ref="G860:H860"/>
    <mergeCell ref="K848:N848"/>
    <mergeCell ref="K849:N849"/>
    <mergeCell ref="K850:N850"/>
    <mergeCell ref="K845:N845"/>
    <mergeCell ref="I862:J862"/>
    <mergeCell ref="K871:N871"/>
    <mergeCell ref="K872:N872"/>
    <mergeCell ref="K873:N873"/>
    <mergeCell ref="I871:J871"/>
    <mergeCell ref="I872:J872"/>
    <mergeCell ref="I873:J873"/>
    <mergeCell ref="I874:J874"/>
    <mergeCell ref="I875:J875"/>
    <mergeCell ref="I876:J876"/>
    <mergeCell ref="U909:X909"/>
    <mergeCell ref="Y909:AB909"/>
    <mergeCell ref="U910:X910"/>
    <mergeCell ref="Y910:AB910"/>
    <mergeCell ref="W852:X852"/>
    <mergeCell ref="K846:N846"/>
    <mergeCell ref="K847:N847"/>
    <mergeCell ref="O845:R845"/>
    <mergeCell ref="O846:R846"/>
    <mergeCell ref="O847:R847"/>
    <mergeCell ref="O848:R848"/>
    <mergeCell ref="O849:R849"/>
    <mergeCell ref="O850:R850"/>
    <mergeCell ref="S845:V845"/>
    <mergeCell ref="S846:V846"/>
    <mergeCell ref="W863:X863"/>
    <mergeCell ref="W864:X864"/>
    <mergeCell ref="W865:X865"/>
    <mergeCell ref="W866:X866"/>
    <mergeCell ref="W867:X867"/>
    <mergeCell ref="W868:X868"/>
    <mergeCell ref="W869:X869"/>
    <mergeCell ref="W870:X870"/>
    <mergeCell ref="W871:X871"/>
    <mergeCell ref="W872:X872"/>
    <mergeCell ref="W873:X873"/>
    <mergeCell ref="G880:H880"/>
    <mergeCell ref="G881:H881"/>
    <mergeCell ref="G868:H868"/>
    <mergeCell ref="G869:H869"/>
    <mergeCell ref="G870:H870"/>
    <mergeCell ref="G871:H871"/>
    <mergeCell ref="G872:H872"/>
    <mergeCell ref="G873:H873"/>
    <mergeCell ref="G874:H874"/>
    <mergeCell ref="U912:X912"/>
    <mergeCell ref="Y912:AB912"/>
    <mergeCell ref="U913:X913"/>
    <mergeCell ref="K905:L906"/>
    <mergeCell ref="M905:N906"/>
    <mergeCell ref="O905:P906"/>
    <mergeCell ref="G907:H907"/>
    <mergeCell ref="I907:J907"/>
    <mergeCell ref="K907:L907"/>
    <mergeCell ref="M907:N907"/>
    <mergeCell ref="O907:P907"/>
    <mergeCell ref="U905:X906"/>
    <mergeCell ref="Y905:AB906"/>
    <mergeCell ref="U907:X907"/>
    <mergeCell ref="Y907:AB907"/>
    <mergeCell ref="U908:X908"/>
    <mergeCell ref="Y908:AB908"/>
    <mergeCell ref="G910:H910"/>
    <mergeCell ref="I910:J910"/>
    <mergeCell ref="K910:L910"/>
    <mergeCell ref="M910:N910"/>
    <mergeCell ref="O910:P910"/>
    <mergeCell ref="G911:H911"/>
    <mergeCell ref="I911:J911"/>
    <mergeCell ref="K874:N874"/>
    <mergeCell ref="K875:N875"/>
    <mergeCell ref="K876:N876"/>
    <mergeCell ref="G908:H908"/>
    <mergeCell ref="I908:J908"/>
    <mergeCell ref="K908:L908"/>
    <mergeCell ref="M908:N908"/>
    <mergeCell ref="O908:P908"/>
    <mergeCell ref="G909:H909"/>
    <mergeCell ref="I909:J909"/>
    <mergeCell ref="K909:L909"/>
    <mergeCell ref="M909:N909"/>
    <mergeCell ref="O909:P909"/>
    <mergeCell ref="W879:X879"/>
    <mergeCell ref="W880:X880"/>
    <mergeCell ref="W881:X881"/>
    <mergeCell ref="W882:X882"/>
    <mergeCell ref="W883:X883"/>
    <mergeCell ref="G882:H882"/>
    <mergeCell ref="G883:H883"/>
    <mergeCell ref="O890:Q890"/>
    <mergeCell ref="B891:N891"/>
    <mergeCell ref="O891:Q891"/>
    <mergeCell ref="B892:N892"/>
    <mergeCell ref="O892:Q892"/>
    <mergeCell ref="B893:N893"/>
    <mergeCell ref="O893:Q893"/>
    <mergeCell ref="B894:N894"/>
    <mergeCell ref="O894:Q894"/>
    <mergeCell ref="B895:N895"/>
    <mergeCell ref="O895:Q895"/>
    <mergeCell ref="B896:N896"/>
    <mergeCell ref="O896:Q896"/>
    <mergeCell ref="I883:J883"/>
    <mergeCell ref="W874:X874"/>
    <mergeCell ref="W875:X875"/>
    <mergeCell ref="W876:X876"/>
    <mergeCell ref="W877:X877"/>
    <mergeCell ref="W878:X878"/>
    <mergeCell ref="G875:H875"/>
    <mergeCell ref="G919:H919"/>
    <mergeCell ref="I919:J919"/>
    <mergeCell ref="K919:L919"/>
    <mergeCell ref="M919:N919"/>
    <mergeCell ref="O919:P919"/>
    <mergeCell ref="G920:H920"/>
    <mergeCell ref="I920:J920"/>
    <mergeCell ref="K920:L920"/>
    <mergeCell ref="M920:N920"/>
    <mergeCell ref="O920:P920"/>
    <mergeCell ref="G921:H921"/>
    <mergeCell ref="I921:J921"/>
    <mergeCell ref="K921:L921"/>
    <mergeCell ref="M921:N921"/>
    <mergeCell ref="O921:P921"/>
    <mergeCell ref="G914:H914"/>
    <mergeCell ref="U917:X917"/>
    <mergeCell ref="Y917:AB917"/>
    <mergeCell ref="I914:J914"/>
    <mergeCell ref="K914:L914"/>
    <mergeCell ref="M914:N914"/>
    <mergeCell ref="O914:P914"/>
    <mergeCell ref="G915:H915"/>
    <mergeCell ref="I915:J915"/>
    <mergeCell ref="K915:L915"/>
    <mergeCell ref="M915:N915"/>
    <mergeCell ref="O915:P915"/>
    <mergeCell ref="G916:H916"/>
    <mergeCell ref="I916:J916"/>
    <mergeCell ref="K916:L916"/>
    <mergeCell ref="M916:N916"/>
    <mergeCell ref="O916:P916"/>
    <mergeCell ref="G917:H917"/>
    <mergeCell ref="I917:J917"/>
    <mergeCell ref="K917:L917"/>
    <mergeCell ref="M917:N917"/>
    <mergeCell ref="O917:P917"/>
    <mergeCell ref="G936:H936"/>
    <mergeCell ref="I936:J936"/>
    <mergeCell ref="K936:L936"/>
    <mergeCell ref="M936:N936"/>
    <mergeCell ref="O936:P936"/>
    <mergeCell ref="I913:J913"/>
    <mergeCell ref="K913:L913"/>
    <mergeCell ref="K911:L911"/>
    <mergeCell ref="M911:N911"/>
    <mergeCell ref="O911:P911"/>
    <mergeCell ref="G912:H912"/>
    <mergeCell ref="I912:J912"/>
    <mergeCell ref="K912:L912"/>
    <mergeCell ref="M912:N912"/>
    <mergeCell ref="O912:P912"/>
    <mergeCell ref="G913:H913"/>
    <mergeCell ref="G937:H937"/>
    <mergeCell ref="I937:J937"/>
    <mergeCell ref="K937:L937"/>
    <mergeCell ref="M937:N937"/>
    <mergeCell ref="O937:P937"/>
    <mergeCell ref="G938:H938"/>
    <mergeCell ref="I938:J938"/>
    <mergeCell ref="K938:L938"/>
    <mergeCell ref="M938:N938"/>
    <mergeCell ref="O938:P938"/>
    <mergeCell ref="G939:H939"/>
    <mergeCell ref="I939:J939"/>
    <mergeCell ref="K939:L939"/>
    <mergeCell ref="M939:N939"/>
    <mergeCell ref="O939:P939"/>
    <mergeCell ref="K931:L931"/>
    <mergeCell ref="M931:N931"/>
    <mergeCell ref="O931:P931"/>
    <mergeCell ref="G932:H932"/>
    <mergeCell ref="I932:J932"/>
    <mergeCell ref="K932:L932"/>
    <mergeCell ref="M932:N932"/>
    <mergeCell ref="O932:P932"/>
    <mergeCell ref="G933:H933"/>
    <mergeCell ref="I933:J933"/>
    <mergeCell ref="K933:L933"/>
    <mergeCell ref="M933:N933"/>
    <mergeCell ref="O933:P933"/>
    <mergeCell ref="G934:H934"/>
    <mergeCell ref="I934:J934"/>
    <mergeCell ref="K934:L934"/>
    <mergeCell ref="M934:N934"/>
    <mergeCell ref="O934:P934"/>
    <mergeCell ref="G927:H927"/>
    <mergeCell ref="I927:J927"/>
    <mergeCell ref="K927:L927"/>
    <mergeCell ref="M927:N927"/>
    <mergeCell ref="O927:P927"/>
    <mergeCell ref="G928:H928"/>
    <mergeCell ref="I928:J928"/>
    <mergeCell ref="K928:L928"/>
    <mergeCell ref="M928:N928"/>
    <mergeCell ref="O928:P928"/>
    <mergeCell ref="G918:H918"/>
    <mergeCell ref="I918:J918"/>
    <mergeCell ref="K918:L918"/>
    <mergeCell ref="M918:N918"/>
    <mergeCell ref="O918:P918"/>
    <mergeCell ref="G944:H944"/>
    <mergeCell ref="I944:J944"/>
    <mergeCell ref="K944:L944"/>
    <mergeCell ref="M944:N944"/>
    <mergeCell ref="O944:P944"/>
    <mergeCell ref="G945:H945"/>
    <mergeCell ref="I945:J945"/>
    <mergeCell ref="K945:L945"/>
    <mergeCell ref="M945:N945"/>
    <mergeCell ref="O945:P945"/>
    <mergeCell ref="G946:H946"/>
    <mergeCell ref="I946:J946"/>
    <mergeCell ref="K946:L946"/>
    <mergeCell ref="M946:N946"/>
    <mergeCell ref="O946:P946"/>
    <mergeCell ref="G947:H947"/>
    <mergeCell ref="I947:J947"/>
    <mergeCell ref="K947:L947"/>
    <mergeCell ref="M947:N947"/>
    <mergeCell ref="O947:P947"/>
    <mergeCell ref="G940:H940"/>
    <mergeCell ref="I940:J940"/>
    <mergeCell ref="K940:L940"/>
    <mergeCell ref="M940:N940"/>
    <mergeCell ref="O940:P940"/>
    <mergeCell ref="G941:H941"/>
    <mergeCell ref="I941:J941"/>
    <mergeCell ref="K941:L941"/>
    <mergeCell ref="M941:N941"/>
    <mergeCell ref="O941:P941"/>
    <mergeCell ref="G942:H942"/>
    <mergeCell ref="I942:J942"/>
    <mergeCell ref="K942:L942"/>
    <mergeCell ref="M942:N942"/>
    <mergeCell ref="O942:P942"/>
    <mergeCell ref="G943:H943"/>
    <mergeCell ref="I943:J943"/>
    <mergeCell ref="K943:L943"/>
    <mergeCell ref="M943:N943"/>
    <mergeCell ref="O943:P943"/>
    <mergeCell ref="G956:H956"/>
    <mergeCell ref="I956:J956"/>
    <mergeCell ref="K956:L956"/>
    <mergeCell ref="G952:H952"/>
    <mergeCell ref="I952:J952"/>
    <mergeCell ref="K952:L952"/>
    <mergeCell ref="M952:N952"/>
    <mergeCell ref="O952:P952"/>
    <mergeCell ref="G953:H953"/>
    <mergeCell ref="I953:J953"/>
    <mergeCell ref="K953:L953"/>
    <mergeCell ref="M953:N953"/>
    <mergeCell ref="O953:P953"/>
    <mergeCell ref="G954:H954"/>
    <mergeCell ref="I954:J954"/>
    <mergeCell ref="K954:L954"/>
    <mergeCell ref="M954:N954"/>
    <mergeCell ref="O954:P954"/>
    <mergeCell ref="G955:H955"/>
    <mergeCell ref="I955:J955"/>
    <mergeCell ref="K955:L955"/>
    <mergeCell ref="M955:N955"/>
    <mergeCell ref="O955:P955"/>
    <mergeCell ref="G948:H948"/>
    <mergeCell ref="I948:J948"/>
    <mergeCell ref="K948:L948"/>
    <mergeCell ref="M948:N948"/>
    <mergeCell ref="O948:P948"/>
    <mergeCell ref="G949:H949"/>
    <mergeCell ref="I949:J949"/>
    <mergeCell ref="K949:L949"/>
    <mergeCell ref="M949:N949"/>
    <mergeCell ref="O949:P949"/>
    <mergeCell ref="G950:H950"/>
    <mergeCell ref="I950:J950"/>
    <mergeCell ref="K950:L950"/>
    <mergeCell ref="M950:N950"/>
    <mergeCell ref="O950:P950"/>
    <mergeCell ref="G951:H951"/>
    <mergeCell ref="I951:J951"/>
    <mergeCell ref="K951:L951"/>
    <mergeCell ref="M951:N951"/>
    <mergeCell ref="O951:P951"/>
    <mergeCell ref="G957:H957"/>
    <mergeCell ref="I957:J957"/>
    <mergeCell ref="K957:L957"/>
    <mergeCell ref="M957:N957"/>
    <mergeCell ref="O957:P957"/>
    <mergeCell ref="G958:H958"/>
    <mergeCell ref="I958:J958"/>
    <mergeCell ref="K958:L958"/>
    <mergeCell ref="M958:N958"/>
    <mergeCell ref="O958:P958"/>
    <mergeCell ref="G959:H959"/>
    <mergeCell ref="I959:J959"/>
    <mergeCell ref="K959:L959"/>
    <mergeCell ref="M959:N959"/>
    <mergeCell ref="O959:P959"/>
    <mergeCell ref="G991:H991"/>
    <mergeCell ref="I991:J991"/>
    <mergeCell ref="K991:N991"/>
    <mergeCell ref="G960:H960"/>
    <mergeCell ref="I960:J960"/>
    <mergeCell ref="K960:L960"/>
    <mergeCell ref="M960:N960"/>
    <mergeCell ref="O960:P960"/>
    <mergeCell ref="G961:H961"/>
    <mergeCell ref="I961:J961"/>
    <mergeCell ref="K961:L961"/>
    <mergeCell ref="M961:N961"/>
    <mergeCell ref="G994:H994"/>
    <mergeCell ref="I994:J994"/>
    <mergeCell ref="K994:N994"/>
    <mergeCell ref="G995:H995"/>
    <mergeCell ref="I995:J995"/>
    <mergeCell ref="K995:N995"/>
    <mergeCell ref="O991:R991"/>
    <mergeCell ref="O992:R992"/>
    <mergeCell ref="O993:R993"/>
    <mergeCell ref="O994:R994"/>
    <mergeCell ref="O995:R995"/>
    <mergeCell ref="G992:H992"/>
    <mergeCell ref="I992:J992"/>
    <mergeCell ref="K992:N992"/>
    <mergeCell ref="G993:H993"/>
    <mergeCell ref="I993:J993"/>
    <mergeCell ref="K993:N993"/>
    <mergeCell ref="Q957:T957"/>
    <mergeCell ref="Q958:T958"/>
    <mergeCell ref="Q959:T959"/>
    <mergeCell ref="O961:P961"/>
    <mergeCell ref="G962:H962"/>
    <mergeCell ref="I962:J962"/>
    <mergeCell ref="K962:L962"/>
    <mergeCell ref="M962:N962"/>
    <mergeCell ref="O962:P962"/>
    <mergeCell ref="G963:H963"/>
    <mergeCell ref="I963:J963"/>
    <mergeCell ref="K963:L963"/>
    <mergeCell ref="M963:N963"/>
    <mergeCell ref="O963:P963"/>
    <mergeCell ref="G964:H964"/>
    <mergeCell ref="I964:J964"/>
    <mergeCell ref="K964:L964"/>
    <mergeCell ref="M964:N964"/>
    <mergeCell ref="O964:P964"/>
    <mergeCell ref="G986:H987"/>
    <mergeCell ref="I986:J987"/>
    <mergeCell ref="G988:H988"/>
    <mergeCell ref="I988:J988"/>
    <mergeCell ref="G989:H989"/>
    <mergeCell ref="I989:J989"/>
    <mergeCell ref="K989:N989"/>
    <mergeCell ref="G990:H990"/>
    <mergeCell ref="I990:J990"/>
    <mergeCell ref="K990:N990"/>
    <mergeCell ref="O986:R987"/>
    <mergeCell ref="O988:R988"/>
    <mergeCell ref="O989:R989"/>
    <mergeCell ref="O990:R990"/>
    <mergeCell ref="S986:V987"/>
    <mergeCell ref="S988:V988"/>
    <mergeCell ref="S989:V989"/>
    <mergeCell ref="S990:V990"/>
    <mergeCell ref="B976:N976"/>
    <mergeCell ref="O976:Q976"/>
    <mergeCell ref="B977:N977"/>
    <mergeCell ref="O977:Q977"/>
    <mergeCell ref="B986:F987"/>
    <mergeCell ref="U964:X964"/>
    <mergeCell ref="H966:N966"/>
    <mergeCell ref="B969:N969"/>
    <mergeCell ref="O969:Q969"/>
    <mergeCell ref="B970:N970"/>
    <mergeCell ref="O970:Q970"/>
    <mergeCell ref="B971:N971"/>
    <mergeCell ref="O971:Q971"/>
    <mergeCell ref="B972:N972"/>
    <mergeCell ref="O972:Q972"/>
    <mergeCell ref="B973:N973"/>
    <mergeCell ref="O973:Q973"/>
    <mergeCell ref="B974:N974"/>
    <mergeCell ref="O974:Q974"/>
    <mergeCell ref="B975:N975"/>
    <mergeCell ref="O975:Q975"/>
    <mergeCell ref="G1001:H1001"/>
    <mergeCell ref="I1001:J1001"/>
    <mergeCell ref="K1001:N1001"/>
    <mergeCell ref="G1002:H1002"/>
    <mergeCell ref="I1002:J1002"/>
    <mergeCell ref="K1002:N1002"/>
    <mergeCell ref="G1003:H1003"/>
    <mergeCell ref="I1003:J1003"/>
    <mergeCell ref="K1003:N1003"/>
    <mergeCell ref="G1004:H1004"/>
    <mergeCell ref="I1004:J1004"/>
    <mergeCell ref="K1004:N1004"/>
    <mergeCell ref="G1005:H1005"/>
    <mergeCell ref="I1005:J1005"/>
    <mergeCell ref="K1005:N1005"/>
    <mergeCell ref="O1001:R1001"/>
    <mergeCell ref="O1002:R1002"/>
    <mergeCell ref="O1003:R1003"/>
    <mergeCell ref="O1004:R1004"/>
    <mergeCell ref="O1005:R1005"/>
    <mergeCell ref="S1001:V1001"/>
    <mergeCell ref="S1002:V1002"/>
    <mergeCell ref="S1003:V1003"/>
    <mergeCell ref="S1004:V1004"/>
    <mergeCell ref="S1005:V1005"/>
    <mergeCell ref="G996:H996"/>
    <mergeCell ref="I996:J996"/>
    <mergeCell ref="K996:N996"/>
    <mergeCell ref="G997:H997"/>
    <mergeCell ref="I997:J997"/>
    <mergeCell ref="K997:N997"/>
    <mergeCell ref="G998:H998"/>
    <mergeCell ref="I998:J998"/>
    <mergeCell ref="K998:N998"/>
    <mergeCell ref="G999:H999"/>
    <mergeCell ref="I999:J999"/>
    <mergeCell ref="K999:N999"/>
    <mergeCell ref="G1000:H1000"/>
    <mergeCell ref="I1000:J1000"/>
    <mergeCell ref="K1000:N1000"/>
    <mergeCell ref="O996:R996"/>
    <mergeCell ref="O997:R997"/>
    <mergeCell ref="O998:R998"/>
    <mergeCell ref="O999:R999"/>
    <mergeCell ref="O1000:R1000"/>
    <mergeCell ref="S996:V996"/>
    <mergeCell ref="S997:V997"/>
    <mergeCell ref="S998:V998"/>
    <mergeCell ref="S999:V999"/>
    <mergeCell ref="S1000:V1000"/>
    <mergeCell ref="G1011:H1011"/>
    <mergeCell ref="I1011:J1011"/>
    <mergeCell ref="K1011:N1011"/>
    <mergeCell ref="G1012:H1012"/>
    <mergeCell ref="I1012:J1012"/>
    <mergeCell ref="K1012:N1012"/>
    <mergeCell ref="G1013:H1013"/>
    <mergeCell ref="I1013:J1013"/>
    <mergeCell ref="K1013:N1013"/>
    <mergeCell ref="G1014:H1014"/>
    <mergeCell ref="I1014:J1014"/>
    <mergeCell ref="K1014:N1014"/>
    <mergeCell ref="G1015:H1015"/>
    <mergeCell ref="I1015:J1015"/>
    <mergeCell ref="K1015:N1015"/>
    <mergeCell ref="O1011:R1011"/>
    <mergeCell ref="O1012:R1012"/>
    <mergeCell ref="O1013:R1013"/>
    <mergeCell ref="O1014:R1014"/>
    <mergeCell ref="O1015:R1015"/>
    <mergeCell ref="S1011:V1011"/>
    <mergeCell ref="S1012:V1012"/>
    <mergeCell ref="S1013:V1013"/>
    <mergeCell ref="S1014:V1014"/>
    <mergeCell ref="S1015:V1015"/>
    <mergeCell ref="G1006:H1006"/>
    <mergeCell ref="I1006:J1006"/>
    <mergeCell ref="K1006:N1006"/>
    <mergeCell ref="G1007:H1007"/>
    <mergeCell ref="I1007:J1007"/>
    <mergeCell ref="K1007:N1007"/>
    <mergeCell ref="G1008:H1008"/>
    <mergeCell ref="I1008:J1008"/>
    <mergeCell ref="K1008:N1008"/>
    <mergeCell ref="G1009:H1009"/>
    <mergeCell ref="I1009:J1009"/>
    <mergeCell ref="K1009:N1009"/>
    <mergeCell ref="G1010:H1010"/>
    <mergeCell ref="I1010:J1010"/>
    <mergeCell ref="K1010:N1010"/>
    <mergeCell ref="O1006:R1006"/>
    <mergeCell ref="O1007:R1007"/>
    <mergeCell ref="O1008:R1008"/>
    <mergeCell ref="O1009:R1009"/>
    <mergeCell ref="O1010:R1010"/>
    <mergeCell ref="S1006:V1006"/>
    <mergeCell ref="S1007:V1007"/>
    <mergeCell ref="S1008:V1008"/>
    <mergeCell ref="S1009:V1009"/>
    <mergeCell ref="S1010:V1010"/>
    <mergeCell ref="G1021:H1021"/>
    <mergeCell ref="I1021:J1021"/>
    <mergeCell ref="K1021:N1021"/>
    <mergeCell ref="G1022:H1022"/>
    <mergeCell ref="I1022:J1022"/>
    <mergeCell ref="K1022:N1022"/>
    <mergeCell ref="G1023:H1023"/>
    <mergeCell ref="I1023:J1023"/>
    <mergeCell ref="K1023:N1023"/>
    <mergeCell ref="G1024:H1024"/>
    <mergeCell ref="I1024:J1024"/>
    <mergeCell ref="K1024:N1024"/>
    <mergeCell ref="G1025:H1025"/>
    <mergeCell ref="I1025:J1025"/>
    <mergeCell ref="K1025:N1025"/>
    <mergeCell ref="O1021:R1021"/>
    <mergeCell ref="O1022:R1022"/>
    <mergeCell ref="O1023:R1023"/>
    <mergeCell ref="O1024:R1024"/>
    <mergeCell ref="O1025:R1025"/>
    <mergeCell ref="S1021:V1021"/>
    <mergeCell ref="S1022:V1022"/>
    <mergeCell ref="S1023:V1023"/>
    <mergeCell ref="S1024:V1024"/>
    <mergeCell ref="S1025:V1025"/>
    <mergeCell ref="G1016:H1016"/>
    <mergeCell ref="I1016:J1016"/>
    <mergeCell ref="K1016:N1016"/>
    <mergeCell ref="G1017:H1017"/>
    <mergeCell ref="I1017:J1017"/>
    <mergeCell ref="K1017:N1017"/>
    <mergeCell ref="G1018:H1018"/>
    <mergeCell ref="I1018:J1018"/>
    <mergeCell ref="K1018:N1018"/>
    <mergeCell ref="G1019:H1019"/>
    <mergeCell ref="I1019:J1019"/>
    <mergeCell ref="K1019:N1019"/>
    <mergeCell ref="G1020:H1020"/>
    <mergeCell ref="I1020:J1020"/>
    <mergeCell ref="K1020:N1020"/>
    <mergeCell ref="O1016:R1016"/>
    <mergeCell ref="O1017:R1017"/>
    <mergeCell ref="O1018:R1018"/>
    <mergeCell ref="O1019:R1019"/>
    <mergeCell ref="O1020:R1020"/>
    <mergeCell ref="S1016:V1016"/>
    <mergeCell ref="S1017:V1017"/>
    <mergeCell ref="S1018:V1018"/>
    <mergeCell ref="S1019:V1019"/>
    <mergeCell ref="S1020:V1020"/>
    <mergeCell ref="G1032:H1032"/>
    <mergeCell ref="I1032:J1032"/>
    <mergeCell ref="K1032:N1032"/>
    <mergeCell ref="G1033:H1033"/>
    <mergeCell ref="I1033:J1033"/>
    <mergeCell ref="K1033:N1033"/>
    <mergeCell ref="G1034:H1034"/>
    <mergeCell ref="I1034:J1034"/>
    <mergeCell ref="K1034:N1034"/>
    <mergeCell ref="G1035:H1035"/>
    <mergeCell ref="I1035:J1035"/>
    <mergeCell ref="K1035:N1035"/>
    <mergeCell ref="O1031:R1031"/>
    <mergeCell ref="O1032:R1032"/>
    <mergeCell ref="O1033:R1033"/>
    <mergeCell ref="O1034:R1034"/>
    <mergeCell ref="O1035:R1035"/>
    <mergeCell ref="S1031:V1031"/>
    <mergeCell ref="S1032:V1032"/>
    <mergeCell ref="S1033:V1033"/>
    <mergeCell ref="S1034:V1034"/>
    <mergeCell ref="S1035:V1035"/>
    <mergeCell ref="G1026:H1026"/>
    <mergeCell ref="I1026:J1026"/>
    <mergeCell ref="K1026:N1026"/>
    <mergeCell ref="G1027:H1027"/>
    <mergeCell ref="I1027:J1027"/>
    <mergeCell ref="K1027:N1027"/>
    <mergeCell ref="G1028:H1028"/>
    <mergeCell ref="I1028:J1028"/>
    <mergeCell ref="K1028:N1028"/>
    <mergeCell ref="G1029:H1029"/>
    <mergeCell ref="I1029:J1029"/>
    <mergeCell ref="K1029:N1029"/>
    <mergeCell ref="G1030:H1030"/>
    <mergeCell ref="I1030:J1030"/>
    <mergeCell ref="K1030:N1030"/>
    <mergeCell ref="O1026:R1026"/>
    <mergeCell ref="O1027:R1027"/>
    <mergeCell ref="O1028:R1028"/>
    <mergeCell ref="O1029:R1029"/>
    <mergeCell ref="O1030:R1030"/>
    <mergeCell ref="S1026:V1026"/>
    <mergeCell ref="S1027:V1027"/>
    <mergeCell ref="S1028:V1028"/>
    <mergeCell ref="S1029:V1029"/>
    <mergeCell ref="S1030:V1030"/>
    <mergeCell ref="G1031:H1031"/>
    <mergeCell ref="I1031:J1031"/>
    <mergeCell ref="K1031:N1031"/>
    <mergeCell ref="G1041:H1041"/>
    <mergeCell ref="I1041:J1041"/>
    <mergeCell ref="K1041:N1041"/>
    <mergeCell ref="G1042:H1042"/>
    <mergeCell ref="I1042:J1042"/>
    <mergeCell ref="K1042:N1042"/>
    <mergeCell ref="G1043:H1043"/>
    <mergeCell ref="I1043:J1043"/>
    <mergeCell ref="K1043:N1043"/>
    <mergeCell ref="G1044:H1044"/>
    <mergeCell ref="I1044:J1044"/>
    <mergeCell ref="K1044:N1044"/>
    <mergeCell ref="G1045:H1045"/>
    <mergeCell ref="I1045:J1045"/>
    <mergeCell ref="K1045:N1045"/>
    <mergeCell ref="O1041:R1041"/>
    <mergeCell ref="O1042:R1042"/>
    <mergeCell ref="O1043:R1043"/>
    <mergeCell ref="O1044:R1044"/>
    <mergeCell ref="O1045:R1045"/>
    <mergeCell ref="S1041:V1041"/>
    <mergeCell ref="S1042:V1042"/>
    <mergeCell ref="S1043:V1043"/>
    <mergeCell ref="S1044:V1044"/>
    <mergeCell ref="S1045:V1045"/>
    <mergeCell ref="G1036:H1036"/>
    <mergeCell ref="I1036:J1036"/>
    <mergeCell ref="K1036:N1036"/>
    <mergeCell ref="G1037:H1037"/>
    <mergeCell ref="I1037:J1037"/>
    <mergeCell ref="K1037:N1037"/>
    <mergeCell ref="G1038:H1038"/>
    <mergeCell ref="I1038:J1038"/>
    <mergeCell ref="K1038:N1038"/>
    <mergeCell ref="G1039:H1039"/>
    <mergeCell ref="I1039:J1039"/>
    <mergeCell ref="K1039:N1039"/>
    <mergeCell ref="G1040:H1040"/>
    <mergeCell ref="I1040:J1040"/>
    <mergeCell ref="K1040:N1040"/>
    <mergeCell ref="O1036:R1036"/>
    <mergeCell ref="O1037:R1037"/>
    <mergeCell ref="O1038:R1038"/>
    <mergeCell ref="O1039:R1039"/>
    <mergeCell ref="O1040:R1040"/>
    <mergeCell ref="S1036:V1036"/>
    <mergeCell ref="S1037:V1037"/>
    <mergeCell ref="S1038:V1038"/>
    <mergeCell ref="S1039:V1039"/>
    <mergeCell ref="S1040:V1040"/>
    <mergeCell ref="B2781:U2782"/>
    <mergeCell ref="V2781:X2782"/>
    <mergeCell ref="Y2781:AA2782"/>
    <mergeCell ref="AB2781:AD2782"/>
    <mergeCell ref="AE2781:AG2782"/>
    <mergeCell ref="B2783:U2784"/>
    <mergeCell ref="V2783:X2784"/>
    <mergeCell ref="Y2783:AA2784"/>
    <mergeCell ref="AB2783:AD2784"/>
    <mergeCell ref="AE2783:AG2784"/>
    <mergeCell ref="B2785:U2786"/>
    <mergeCell ref="V2785:X2786"/>
    <mergeCell ref="Y2785:AA2786"/>
    <mergeCell ref="AB2785:AD2786"/>
    <mergeCell ref="AE2785:AG2786"/>
    <mergeCell ref="B2787:U2788"/>
    <mergeCell ref="V2787:X2788"/>
    <mergeCell ref="Y2787:AA2788"/>
    <mergeCell ref="AB2787:AD2788"/>
    <mergeCell ref="AE2787:AG2788"/>
    <mergeCell ref="B2771:AG2771"/>
    <mergeCell ref="B2773:H2773"/>
    <mergeCell ref="I2773:O2773"/>
    <mergeCell ref="AF2773:AG2773"/>
    <mergeCell ref="B2775:AD2775"/>
    <mergeCell ref="AF2775:AG2775"/>
    <mergeCell ref="B2777:U2778"/>
    <mergeCell ref="V2777:X2778"/>
    <mergeCell ref="Y2777:AA2778"/>
    <mergeCell ref="AB2777:AD2778"/>
    <mergeCell ref="AE2777:AG2778"/>
    <mergeCell ref="B2779:U2780"/>
    <mergeCell ref="V2779:X2780"/>
    <mergeCell ref="Y2779:AA2780"/>
    <mergeCell ref="AB2779:AD2780"/>
    <mergeCell ref="AE2779:AG2780"/>
    <mergeCell ref="M2833:P2833"/>
    <mergeCell ref="Q2833:T2833"/>
    <mergeCell ref="U2833:X2833"/>
    <mergeCell ref="Y2833:AB2833"/>
    <mergeCell ref="M2834:P2834"/>
    <mergeCell ref="Q2834:T2834"/>
    <mergeCell ref="U2834:X2834"/>
    <mergeCell ref="Y2834:AB2834"/>
    <mergeCell ref="M2835:P2835"/>
    <mergeCell ref="Q2835:T2835"/>
    <mergeCell ref="U2835:X2835"/>
    <mergeCell ref="Y2835:AB2835"/>
    <mergeCell ref="I2833:J2833"/>
    <mergeCell ref="I2834:J2834"/>
    <mergeCell ref="I2835:J2835"/>
    <mergeCell ref="B2790:AD2790"/>
    <mergeCell ref="AF2790:AG2790"/>
    <mergeCell ref="B2791:AD2791"/>
    <mergeCell ref="AF2791:AG2791"/>
    <mergeCell ref="B2794:AG2794"/>
    <mergeCell ref="B2796:AG2796"/>
    <mergeCell ref="B2797:AG2798"/>
    <mergeCell ref="B2801:AG2801"/>
    <mergeCell ref="B2803:AG2803"/>
    <mergeCell ref="B2804:AG2805"/>
    <mergeCell ref="B2827:AG2827"/>
    <mergeCell ref="B2828:AG2828"/>
    <mergeCell ref="B2831:F2832"/>
    <mergeCell ref="M2831:P2832"/>
    <mergeCell ref="Q2831:T2832"/>
    <mergeCell ref="U2831:X2832"/>
    <mergeCell ref="Y2831:AB2832"/>
    <mergeCell ref="I2831:J2832"/>
    <mergeCell ref="B2815:AG2815"/>
    <mergeCell ref="G2831:H2832"/>
    <mergeCell ref="G2833:H2833"/>
    <mergeCell ref="G2834:H2834"/>
    <mergeCell ref="G2835:H2835"/>
    <mergeCell ref="K2831:L2832"/>
    <mergeCell ref="K2833:L2833"/>
    <mergeCell ref="K2834:L2834"/>
    <mergeCell ref="K2835:L2835"/>
    <mergeCell ref="M2839:P2839"/>
    <mergeCell ref="Q2839:T2839"/>
    <mergeCell ref="U2839:X2839"/>
    <mergeCell ref="Y2839:AB2839"/>
    <mergeCell ref="M2840:P2840"/>
    <mergeCell ref="Q2840:T2840"/>
    <mergeCell ref="U2840:X2840"/>
    <mergeCell ref="Y2840:AB2840"/>
    <mergeCell ref="M2841:P2841"/>
    <mergeCell ref="Q2841:T2841"/>
    <mergeCell ref="U2841:X2841"/>
    <mergeCell ref="Y2841:AB2841"/>
    <mergeCell ref="I2839:J2839"/>
    <mergeCell ref="I2840:J2840"/>
    <mergeCell ref="I2841:J2841"/>
    <mergeCell ref="G2839:H2839"/>
    <mergeCell ref="G2840:H2840"/>
    <mergeCell ref="G2841:H2841"/>
    <mergeCell ref="G2842:H2842"/>
    <mergeCell ref="G2843:H2843"/>
    <mergeCell ref="G2844:H2844"/>
    <mergeCell ref="M2836:P2836"/>
    <mergeCell ref="Q2836:T2836"/>
    <mergeCell ref="U2836:X2836"/>
    <mergeCell ref="Y2836:AB2836"/>
    <mergeCell ref="M2837:P2837"/>
    <mergeCell ref="Q2837:T2837"/>
    <mergeCell ref="U2837:X2837"/>
    <mergeCell ref="Y2837:AB2837"/>
    <mergeCell ref="M2838:P2838"/>
    <mergeCell ref="Q2838:T2838"/>
    <mergeCell ref="U2838:X2838"/>
    <mergeCell ref="Y2838:AB2838"/>
    <mergeCell ref="I2836:J2836"/>
    <mergeCell ref="I2837:J2837"/>
    <mergeCell ref="I2838:J2838"/>
    <mergeCell ref="G2836:H2836"/>
    <mergeCell ref="G2837:H2837"/>
    <mergeCell ref="G2838:H2838"/>
    <mergeCell ref="K2836:L2836"/>
    <mergeCell ref="K2837:L2837"/>
    <mergeCell ref="K2838:L2838"/>
    <mergeCell ref="K2839:L2839"/>
    <mergeCell ref="K2840:L2840"/>
    <mergeCell ref="K2841:L2841"/>
    <mergeCell ref="M2845:P2845"/>
    <mergeCell ref="Q2845:T2845"/>
    <mergeCell ref="U2845:X2845"/>
    <mergeCell ref="Y2845:AB2845"/>
    <mergeCell ref="M2846:P2846"/>
    <mergeCell ref="Q2846:T2846"/>
    <mergeCell ref="U2846:X2846"/>
    <mergeCell ref="Y2846:AB2846"/>
    <mergeCell ref="M2847:P2847"/>
    <mergeCell ref="Q2847:T2847"/>
    <mergeCell ref="U2847:X2847"/>
    <mergeCell ref="Y2847:AB2847"/>
    <mergeCell ref="G2847:H2847"/>
    <mergeCell ref="K2847:L2847"/>
    <mergeCell ref="I2845:J2845"/>
    <mergeCell ref="I2846:J2846"/>
    <mergeCell ref="I2847:J2847"/>
    <mergeCell ref="G2845:H2845"/>
    <mergeCell ref="G2846:H2846"/>
    <mergeCell ref="M2842:P2842"/>
    <mergeCell ref="Q2842:T2842"/>
    <mergeCell ref="U2842:X2842"/>
    <mergeCell ref="Y2842:AB2842"/>
    <mergeCell ref="M2843:P2843"/>
    <mergeCell ref="Q2843:T2843"/>
    <mergeCell ref="U2843:X2843"/>
    <mergeCell ref="Y2843:AB2843"/>
    <mergeCell ref="M2844:P2844"/>
    <mergeCell ref="Q2844:T2844"/>
    <mergeCell ref="U2844:X2844"/>
    <mergeCell ref="Y2844:AB2844"/>
    <mergeCell ref="I2842:J2842"/>
    <mergeCell ref="I2843:J2843"/>
    <mergeCell ref="I2844:J2844"/>
    <mergeCell ref="K2842:L2842"/>
    <mergeCell ref="K2843:L2843"/>
    <mergeCell ref="K2844:L2844"/>
    <mergeCell ref="K2845:L2845"/>
    <mergeCell ref="K2846:L2846"/>
    <mergeCell ref="M2851:P2851"/>
    <mergeCell ref="Q2851:T2851"/>
    <mergeCell ref="U2851:X2851"/>
    <mergeCell ref="Y2851:AB2851"/>
    <mergeCell ref="M2852:P2852"/>
    <mergeCell ref="Q2852:T2852"/>
    <mergeCell ref="U2852:X2852"/>
    <mergeCell ref="Y2852:AB2852"/>
    <mergeCell ref="M2853:P2853"/>
    <mergeCell ref="Q2853:T2853"/>
    <mergeCell ref="U2853:X2853"/>
    <mergeCell ref="Y2853:AB2853"/>
    <mergeCell ref="G2851:H2851"/>
    <mergeCell ref="G2852:H2852"/>
    <mergeCell ref="G2853:H2853"/>
    <mergeCell ref="K2851:L2851"/>
    <mergeCell ref="K2852:L2852"/>
    <mergeCell ref="K2853:L2853"/>
    <mergeCell ref="I2851:J2851"/>
    <mergeCell ref="I2852:J2852"/>
    <mergeCell ref="I2853:J2853"/>
    <mergeCell ref="M2848:P2848"/>
    <mergeCell ref="Q2848:T2848"/>
    <mergeCell ref="U2848:X2848"/>
    <mergeCell ref="Y2848:AB2848"/>
    <mergeCell ref="M2849:P2849"/>
    <mergeCell ref="Q2849:T2849"/>
    <mergeCell ref="U2849:X2849"/>
    <mergeCell ref="Y2849:AB2849"/>
    <mergeCell ref="M2850:P2850"/>
    <mergeCell ref="Q2850:T2850"/>
    <mergeCell ref="U2850:X2850"/>
    <mergeCell ref="Y2850:AB2850"/>
    <mergeCell ref="G2848:H2848"/>
    <mergeCell ref="G2849:H2849"/>
    <mergeCell ref="G2850:H2850"/>
    <mergeCell ref="K2848:L2848"/>
    <mergeCell ref="K2849:L2849"/>
    <mergeCell ref="K2850:L2850"/>
    <mergeCell ref="I2848:J2848"/>
    <mergeCell ref="I2849:J2849"/>
    <mergeCell ref="I2850:J2850"/>
    <mergeCell ref="M2857:P2857"/>
    <mergeCell ref="Q2857:T2857"/>
    <mergeCell ref="U2857:X2857"/>
    <mergeCell ref="Y2857:AB2857"/>
    <mergeCell ref="M2858:P2858"/>
    <mergeCell ref="Q2858:T2858"/>
    <mergeCell ref="U2858:X2858"/>
    <mergeCell ref="Y2858:AB2858"/>
    <mergeCell ref="M2859:P2859"/>
    <mergeCell ref="Q2859:T2859"/>
    <mergeCell ref="U2859:X2859"/>
    <mergeCell ref="Y2859:AB2859"/>
    <mergeCell ref="G2857:H2857"/>
    <mergeCell ref="G2858:H2858"/>
    <mergeCell ref="G2859:H2859"/>
    <mergeCell ref="K2857:L2857"/>
    <mergeCell ref="K2858:L2858"/>
    <mergeCell ref="K2859:L2859"/>
    <mergeCell ref="I2857:J2857"/>
    <mergeCell ref="I2858:J2858"/>
    <mergeCell ref="I2859:J2859"/>
    <mergeCell ref="M2854:P2854"/>
    <mergeCell ref="Q2854:T2854"/>
    <mergeCell ref="U2854:X2854"/>
    <mergeCell ref="Y2854:AB2854"/>
    <mergeCell ref="M2855:P2855"/>
    <mergeCell ref="Q2855:T2855"/>
    <mergeCell ref="U2855:X2855"/>
    <mergeCell ref="Y2855:AB2855"/>
    <mergeCell ref="M2856:P2856"/>
    <mergeCell ref="Q2856:T2856"/>
    <mergeCell ref="U2856:X2856"/>
    <mergeCell ref="Y2856:AB2856"/>
    <mergeCell ref="G2854:H2854"/>
    <mergeCell ref="G2855:H2855"/>
    <mergeCell ref="G2856:H2856"/>
    <mergeCell ref="K2854:L2854"/>
    <mergeCell ref="K2855:L2855"/>
    <mergeCell ref="K2856:L2856"/>
    <mergeCell ref="I2854:J2854"/>
    <mergeCell ref="I2855:J2855"/>
    <mergeCell ref="I2856:J2856"/>
    <mergeCell ref="M2863:P2863"/>
    <mergeCell ref="Q2863:T2863"/>
    <mergeCell ref="U2863:X2863"/>
    <mergeCell ref="Y2863:AB2863"/>
    <mergeCell ref="M2864:P2864"/>
    <mergeCell ref="Q2864:T2864"/>
    <mergeCell ref="U2864:X2864"/>
    <mergeCell ref="Y2864:AB2864"/>
    <mergeCell ref="M2865:P2865"/>
    <mergeCell ref="Q2865:T2865"/>
    <mergeCell ref="U2865:X2865"/>
    <mergeCell ref="Y2865:AB2865"/>
    <mergeCell ref="G2863:H2863"/>
    <mergeCell ref="G2864:H2864"/>
    <mergeCell ref="G2865:H2865"/>
    <mergeCell ref="K2863:L2863"/>
    <mergeCell ref="K2864:L2864"/>
    <mergeCell ref="K2865:L2865"/>
    <mergeCell ref="I2863:J2863"/>
    <mergeCell ref="I2864:J2864"/>
    <mergeCell ref="I2865:J2865"/>
    <mergeCell ref="M2860:P2860"/>
    <mergeCell ref="Q2860:T2860"/>
    <mergeCell ref="U2860:X2860"/>
    <mergeCell ref="Y2860:AB2860"/>
    <mergeCell ref="M2861:P2861"/>
    <mergeCell ref="Q2861:T2861"/>
    <mergeCell ref="U2861:X2861"/>
    <mergeCell ref="Y2861:AB2861"/>
    <mergeCell ref="M2862:P2862"/>
    <mergeCell ref="Q2862:T2862"/>
    <mergeCell ref="U2862:X2862"/>
    <mergeCell ref="Y2862:AB2862"/>
    <mergeCell ref="G2860:H2860"/>
    <mergeCell ref="G2861:H2861"/>
    <mergeCell ref="G2862:H2862"/>
    <mergeCell ref="K2860:L2860"/>
    <mergeCell ref="K2861:L2861"/>
    <mergeCell ref="K2862:L2862"/>
    <mergeCell ref="I2860:J2860"/>
    <mergeCell ref="I2861:J2861"/>
    <mergeCell ref="I2862:J2862"/>
    <mergeCell ref="M2869:P2869"/>
    <mergeCell ref="Q2869:T2869"/>
    <mergeCell ref="U2869:X2869"/>
    <mergeCell ref="Y2869:AB2869"/>
    <mergeCell ref="M2870:P2870"/>
    <mergeCell ref="Q2870:T2870"/>
    <mergeCell ref="U2870:X2870"/>
    <mergeCell ref="Y2870:AB2870"/>
    <mergeCell ref="M2871:P2871"/>
    <mergeCell ref="Q2871:T2871"/>
    <mergeCell ref="U2871:X2871"/>
    <mergeCell ref="Y2871:AB2871"/>
    <mergeCell ref="G2869:H2869"/>
    <mergeCell ref="G2870:H2870"/>
    <mergeCell ref="G2871:H2871"/>
    <mergeCell ref="K2869:L2869"/>
    <mergeCell ref="K2870:L2870"/>
    <mergeCell ref="K2871:L2871"/>
    <mergeCell ref="I2869:J2869"/>
    <mergeCell ref="I2870:J2870"/>
    <mergeCell ref="I2871:J2871"/>
    <mergeCell ref="M2866:P2866"/>
    <mergeCell ref="Q2866:T2866"/>
    <mergeCell ref="U2866:X2866"/>
    <mergeCell ref="Y2866:AB2866"/>
    <mergeCell ref="M2867:P2867"/>
    <mergeCell ref="Q2867:T2867"/>
    <mergeCell ref="U2867:X2867"/>
    <mergeCell ref="Y2867:AB2867"/>
    <mergeCell ref="M2868:P2868"/>
    <mergeCell ref="Q2868:T2868"/>
    <mergeCell ref="U2868:X2868"/>
    <mergeCell ref="Y2868:AB2868"/>
    <mergeCell ref="G2866:H2866"/>
    <mergeCell ref="G2867:H2867"/>
    <mergeCell ref="G2868:H2868"/>
    <mergeCell ref="K2866:L2866"/>
    <mergeCell ref="K2867:L2867"/>
    <mergeCell ref="K2868:L2868"/>
    <mergeCell ref="I2866:J2866"/>
    <mergeCell ref="I2867:J2867"/>
    <mergeCell ref="I2868:J2868"/>
    <mergeCell ref="M2875:P2875"/>
    <mergeCell ref="Q2875:T2875"/>
    <mergeCell ref="U2875:X2875"/>
    <mergeCell ref="Y2875:AB2875"/>
    <mergeCell ref="M2876:P2876"/>
    <mergeCell ref="Q2876:T2876"/>
    <mergeCell ref="U2876:X2876"/>
    <mergeCell ref="Y2876:AB2876"/>
    <mergeCell ref="M2877:P2877"/>
    <mergeCell ref="Q2877:T2877"/>
    <mergeCell ref="U2877:X2877"/>
    <mergeCell ref="Y2877:AB2877"/>
    <mergeCell ref="G2875:H2875"/>
    <mergeCell ref="G2876:H2876"/>
    <mergeCell ref="G2877:H2877"/>
    <mergeCell ref="K2875:L2875"/>
    <mergeCell ref="K2876:L2876"/>
    <mergeCell ref="K2877:L2877"/>
    <mergeCell ref="I2875:J2875"/>
    <mergeCell ref="I2876:J2876"/>
    <mergeCell ref="I2877:J2877"/>
    <mergeCell ref="M2872:P2872"/>
    <mergeCell ref="Q2872:T2872"/>
    <mergeCell ref="U2872:X2872"/>
    <mergeCell ref="Y2872:AB2872"/>
    <mergeCell ref="M2873:P2873"/>
    <mergeCell ref="Q2873:T2873"/>
    <mergeCell ref="U2873:X2873"/>
    <mergeCell ref="Y2873:AB2873"/>
    <mergeCell ref="M2874:P2874"/>
    <mergeCell ref="Q2874:T2874"/>
    <mergeCell ref="U2874:X2874"/>
    <mergeCell ref="Y2874:AB2874"/>
    <mergeCell ref="G2872:H2872"/>
    <mergeCell ref="G2873:H2873"/>
    <mergeCell ref="G2874:H2874"/>
    <mergeCell ref="K2872:L2872"/>
    <mergeCell ref="K2873:L2873"/>
    <mergeCell ref="K2874:L2874"/>
    <mergeCell ref="I2872:J2872"/>
    <mergeCell ref="I2873:J2873"/>
    <mergeCell ref="I2874:J2874"/>
    <mergeCell ref="Y2879:AB2879"/>
    <mergeCell ref="M2880:P2880"/>
    <mergeCell ref="Q2880:T2880"/>
    <mergeCell ref="U2880:X2880"/>
    <mergeCell ref="Y2880:AB2880"/>
    <mergeCell ref="G2878:H2878"/>
    <mergeCell ref="G2879:H2879"/>
    <mergeCell ref="G2880:H2880"/>
    <mergeCell ref="K2878:L2878"/>
    <mergeCell ref="K2879:L2879"/>
    <mergeCell ref="K2880:L2880"/>
    <mergeCell ref="I2878:J2878"/>
    <mergeCell ref="I2879:J2879"/>
    <mergeCell ref="I2880:J2880"/>
    <mergeCell ref="Y2882:AB2882"/>
    <mergeCell ref="M2883:P2883"/>
    <mergeCell ref="Q2883:T2883"/>
    <mergeCell ref="U2883:X2883"/>
    <mergeCell ref="Y2883:AB2883"/>
    <mergeCell ref="G2881:H2881"/>
    <mergeCell ref="G2882:H2882"/>
    <mergeCell ref="G2883:H2883"/>
    <mergeCell ref="K2881:L2881"/>
    <mergeCell ref="K2882:L2882"/>
    <mergeCell ref="K2883:L2883"/>
    <mergeCell ref="I2881:J2881"/>
    <mergeCell ref="I2882:J2882"/>
    <mergeCell ref="I2883:J2883"/>
    <mergeCell ref="M2878:P2878"/>
    <mergeCell ref="Q2878:T2878"/>
    <mergeCell ref="U2878:X2878"/>
    <mergeCell ref="Y2878:AB2878"/>
    <mergeCell ref="M2879:P2879"/>
    <mergeCell ref="Q2879:T2879"/>
    <mergeCell ref="U2879:X2879"/>
    <mergeCell ref="B2900:N2900"/>
    <mergeCell ref="O2900:Q2900"/>
    <mergeCell ref="B2901:N2901"/>
    <mergeCell ref="O2901:Q2901"/>
    <mergeCell ref="B2903:N2903"/>
    <mergeCell ref="O2903:Q2903"/>
    <mergeCell ref="B2904:N2904"/>
    <mergeCell ref="O2904:Q2904"/>
    <mergeCell ref="B2906:AG2906"/>
    <mergeCell ref="B2808:AG2808"/>
    <mergeCell ref="B2810:AG2810"/>
    <mergeCell ref="B2811:AG2812"/>
    <mergeCell ref="B1100:AG1100"/>
    <mergeCell ref="B1104:AG1104"/>
    <mergeCell ref="B1106:D1106"/>
    <mergeCell ref="F1106:AG1106"/>
    <mergeCell ref="B1107:D1107"/>
    <mergeCell ref="F1107:AG1107"/>
    <mergeCell ref="B1108:D1108"/>
    <mergeCell ref="F1108:AG1108"/>
    <mergeCell ref="B2816:AG2816"/>
    <mergeCell ref="B2820:AG2820"/>
    <mergeCell ref="B2822:D2822"/>
    <mergeCell ref="F2822:AG2822"/>
    <mergeCell ref="B2823:D2823"/>
    <mergeCell ref="F2823:AG2823"/>
    <mergeCell ref="B2824:D2824"/>
    <mergeCell ref="F2824:AG2824"/>
    <mergeCell ref="M2890:P2890"/>
    <mergeCell ref="Q2890:T2890"/>
    <mergeCell ref="U2890:X2890"/>
    <mergeCell ref="Y2890:AB2890"/>
    <mergeCell ref="B2892:G2892"/>
    <mergeCell ref="H2892:N2892"/>
    <mergeCell ref="B2895:N2895"/>
    <mergeCell ref="O2895:Q2895"/>
    <mergeCell ref="B2896:N2896"/>
    <mergeCell ref="O2896:Q2896"/>
    <mergeCell ref="B2897:N2897"/>
    <mergeCell ref="O2897:Q2897"/>
    <mergeCell ref="B2898:N2898"/>
    <mergeCell ref="O2898:Q2898"/>
    <mergeCell ref="G2890:H2890"/>
    <mergeCell ref="K2890:L2890"/>
    <mergeCell ref="I2890:J2890"/>
    <mergeCell ref="B2902:N2902"/>
    <mergeCell ref="O2902:Q2902"/>
    <mergeCell ref="B2478:AG2478"/>
    <mergeCell ref="I1145:J1145"/>
    <mergeCell ref="I1146:J1146"/>
    <mergeCell ref="I1147:J1147"/>
    <mergeCell ref="I1148:J1148"/>
    <mergeCell ref="I1149:J1149"/>
    <mergeCell ref="I1150:J1150"/>
    <mergeCell ref="I1151:J1151"/>
    <mergeCell ref="I1152:J1152"/>
    <mergeCell ref="I1153:J1153"/>
    <mergeCell ref="I1154:J1154"/>
    <mergeCell ref="I1155:J1155"/>
    <mergeCell ref="I1156:J1156"/>
    <mergeCell ref="I1157:J1157"/>
    <mergeCell ref="I1158:J1158"/>
    <mergeCell ref="I1159:J1159"/>
    <mergeCell ref="I1160:J1160"/>
    <mergeCell ref="B2899:N2899"/>
    <mergeCell ref="O2899:Q2899"/>
    <mergeCell ref="K2889:L2889"/>
    <mergeCell ref="I2887:J2887"/>
    <mergeCell ref="I2888:J2888"/>
    <mergeCell ref="I2889:J2889"/>
    <mergeCell ref="M2884:P2884"/>
    <mergeCell ref="Q2884:T2884"/>
    <mergeCell ref="U2884:X2884"/>
    <mergeCell ref="Y2884:AB2884"/>
    <mergeCell ref="M2885:P2885"/>
    <mergeCell ref="Q2885:T2885"/>
    <mergeCell ref="U2885:X2885"/>
    <mergeCell ref="Y2885:AB2885"/>
    <mergeCell ref="M2886:P2886"/>
    <mergeCell ref="Q2886:T2886"/>
    <mergeCell ref="U2886:X2886"/>
    <mergeCell ref="Y2886:AB2886"/>
    <mergeCell ref="G2884:H2884"/>
    <mergeCell ref="G2885:H2885"/>
    <mergeCell ref="G2886:H2886"/>
    <mergeCell ref="K2884:L2884"/>
    <mergeCell ref="K2885:L2885"/>
    <mergeCell ref="K2886:L2886"/>
    <mergeCell ref="I2884:J2884"/>
    <mergeCell ref="I2885:J2885"/>
    <mergeCell ref="I2886:J2886"/>
    <mergeCell ref="M2881:P2881"/>
    <mergeCell ref="Q2881:T2881"/>
    <mergeCell ref="U2881:X2881"/>
    <mergeCell ref="Y2881:AB2881"/>
    <mergeCell ref="M2882:P2882"/>
    <mergeCell ref="Q2882:T2882"/>
    <mergeCell ref="U2882:X2882"/>
    <mergeCell ref="M2887:P2887"/>
    <mergeCell ref="Q2887:T2887"/>
    <mergeCell ref="U2887:X2887"/>
    <mergeCell ref="Y2887:AB2887"/>
    <mergeCell ref="M2888:P2888"/>
    <mergeCell ref="Q2888:T2888"/>
    <mergeCell ref="U2888:X2888"/>
    <mergeCell ref="Y2888:AB2888"/>
    <mergeCell ref="M2889:P2889"/>
    <mergeCell ref="Q2889:T2889"/>
    <mergeCell ref="U2889:X2889"/>
    <mergeCell ref="Y2889:AB2889"/>
    <mergeCell ref="G2887:H2887"/>
    <mergeCell ref="G2888:H2888"/>
    <mergeCell ref="G2889:H2889"/>
    <mergeCell ref="K2887:L2887"/>
    <mergeCell ref="K2888:L2888"/>
    <mergeCell ref="G2916:H2916"/>
    <mergeCell ref="I2916:J2916"/>
    <mergeCell ref="K2916:L2916"/>
    <mergeCell ref="M2916:P2916"/>
    <mergeCell ref="Q2916:T2916"/>
    <mergeCell ref="U2916:X2916"/>
    <mergeCell ref="Y2916:AB2916"/>
    <mergeCell ref="G2917:H2917"/>
    <mergeCell ref="I2917:J2917"/>
    <mergeCell ref="K2917:L2917"/>
    <mergeCell ref="M2917:P2917"/>
    <mergeCell ref="Q2917:T2917"/>
    <mergeCell ref="U2917:X2917"/>
    <mergeCell ref="Y2917:AB2917"/>
    <mergeCell ref="G2918:H2918"/>
    <mergeCell ref="I2918:J2918"/>
    <mergeCell ref="K2918:L2918"/>
    <mergeCell ref="M2918:P2918"/>
    <mergeCell ref="Q2918:T2918"/>
    <mergeCell ref="U2918:X2918"/>
    <mergeCell ref="Y2918:AB2918"/>
    <mergeCell ref="B2909:AG2909"/>
    <mergeCell ref="B2910:AG2910"/>
    <mergeCell ref="B2913:F2914"/>
    <mergeCell ref="G2913:H2914"/>
    <mergeCell ref="I2913:J2914"/>
    <mergeCell ref="K2913:L2914"/>
    <mergeCell ref="M2913:P2914"/>
    <mergeCell ref="Q2913:T2914"/>
    <mergeCell ref="U2913:X2914"/>
    <mergeCell ref="Y2913:AB2914"/>
    <mergeCell ref="G2915:H2915"/>
    <mergeCell ref="I2915:J2915"/>
    <mergeCell ref="K2915:L2915"/>
    <mergeCell ref="M2915:P2915"/>
    <mergeCell ref="Q2915:T2915"/>
    <mergeCell ref="U2915:X2915"/>
    <mergeCell ref="Y2915:AB2915"/>
    <mergeCell ref="G2922:H2922"/>
    <mergeCell ref="I2922:J2922"/>
    <mergeCell ref="K2922:L2922"/>
    <mergeCell ref="M2922:P2922"/>
    <mergeCell ref="Q2922:T2922"/>
    <mergeCell ref="U2922:X2922"/>
    <mergeCell ref="Y2922:AB2922"/>
    <mergeCell ref="G2923:H2923"/>
    <mergeCell ref="I2923:J2923"/>
    <mergeCell ref="K2923:L2923"/>
    <mergeCell ref="M2923:P2923"/>
    <mergeCell ref="Q2923:T2923"/>
    <mergeCell ref="U2923:X2923"/>
    <mergeCell ref="Y2923:AB2923"/>
    <mergeCell ref="G2924:H2924"/>
    <mergeCell ref="I2924:J2924"/>
    <mergeCell ref="K2924:L2924"/>
    <mergeCell ref="M2924:P2924"/>
    <mergeCell ref="Q2924:T2924"/>
    <mergeCell ref="U2924:X2924"/>
    <mergeCell ref="Y2924:AB2924"/>
    <mergeCell ref="G2919:H2919"/>
    <mergeCell ref="I2919:J2919"/>
    <mergeCell ref="K2919:L2919"/>
    <mergeCell ref="M2919:P2919"/>
    <mergeCell ref="Q2919:T2919"/>
    <mergeCell ref="U2919:X2919"/>
    <mergeCell ref="Y2919:AB2919"/>
    <mergeCell ref="G2920:H2920"/>
    <mergeCell ref="I2920:J2920"/>
    <mergeCell ref="K2920:L2920"/>
    <mergeCell ref="M2920:P2920"/>
    <mergeCell ref="Q2920:T2920"/>
    <mergeCell ref="U2920:X2920"/>
    <mergeCell ref="Y2920:AB2920"/>
    <mergeCell ref="G2921:H2921"/>
    <mergeCell ref="I2921:J2921"/>
    <mergeCell ref="K2921:L2921"/>
    <mergeCell ref="M2921:P2921"/>
    <mergeCell ref="Q2921:T2921"/>
    <mergeCell ref="U2921:X2921"/>
    <mergeCell ref="Y2921:AB2921"/>
    <mergeCell ref="G2928:H2928"/>
    <mergeCell ref="I2928:J2928"/>
    <mergeCell ref="K2928:L2928"/>
    <mergeCell ref="M2928:P2928"/>
    <mergeCell ref="Q2928:T2928"/>
    <mergeCell ref="U2928:X2928"/>
    <mergeCell ref="Y2928:AB2928"/>
    <mergeCell ref="G2929:H2929"/>
    <mergeCell ref="I2929:J2929"/>
    <mergeCell ref="K2929:L2929"/>
    <mergeCell ref="M2929:P2929"/>
    <mergeCell ref="Q2929:T2929"/>
    <mergeCell ref="U2929:X2929"/>
    <mergeCell ref="Y2929:AB2929"/>
    <mergeCell ref="G2930:H2930"/>
    <mergeCell ref="I2930:J2930"/>
    <mergeCell ref="K2930:L2930"/>
    <mergeCell ref="M2930:P2930"/>
    <mergeCell ref="Q2930:T2930"/>
    <mergeCell ref="U2930:X2930"/>
    <mergeCell ref="Y2930:AB2930"/>
    <mergeCell ref="G2925:H2925"/>
    <mergeCell ref="I2925:J2925"/>
    <mergeCell ref="K2925:L2925"/>
    <mergeCell ref="M2925:P2925"/>
    <mergeCell ref="Q2925:T2925"/>
    <mergeCell ref="U2925:X2925"/>
    <mergeCell ref="Y2925:AB2925"/>
    <mergeCell ref="G2926:H2926"/>
    <mergeCell ref="I2926:J2926"/>
    <mergeCell ref="K2926:L2926"/>
    <mergeCell ref="M2926:P2926"/>
    <mergeCell ref="Q2926:T2926"/>
    <mergeCell ref="U2926:X2926"/>
    <mergeCell ref="Y2926:AB2926"/>
    <mergeCell ref="G2927:H2927"/>
    <mergeCell ref="I2927:J2927"/>
    <mergeCell ref="K2927:L2927"/>
    <mergeCell ref="M2927:P2927"/>
    <mergeCell ref="Q2927:T2927"/>
    <mergeCell ref="U2927:X2927"/>
    <mergeCell ref="Y2927:AB2927"/>
    <mergeCell ref="G2934:H2934"/>
    <mergeCell ref="I2934:J2934"/>
    <mergeCell ref="K2934:L2934"/>
    <mergeCell ref="M2934:P2934"/>
    <mergeCell ref="Q2934:T2934"/>
    <mergeCell ref="U2934:X2934"/>
    <mergeCell ref="Y2934:AB2934"/>
    <mergeCell ref="G2935:H2935"/>
    <mergeCell ref="I2935:J2935"/>
    <mergeCell ref="K2935:L2935"/>
    <mergeCell ref="M2935:P2935"/>
    <mergeCell ref="Q2935:T2935"/>
    <mergeCell ref="U2935:X2935"/>
    <mergeCell ref="Y2935:AB2935"/>
    <mergeCell ref="G2936:H2936"/>
    <mergeCell ref="I2936:J2936"/>
    <mergeCell ref="K2936:L2936"/>
    <mergeCell ref="M2936:P2936"/>
    <mergeCell ref="Q2936:T2936"/>
    <mergeCell ref="U2936:X2936"/>
    <mergeCell ref="Y2936:AB2936"/>
    <mergeCell ref="G2931:H2931"/>
    <mergeCell ref="I2931:J2931"/>
    <mergeCell ref="K2931:L2931"/>
    <mergeCell ref="M2931:P2931"/>
    <mergeCell ref="Q2931:T2931"/>
    <mergeCell ref="U2931:X2931"/>
    <mergeCell ref="Y2931:AB2931"/>
    <mergeCell ref="G2932:H2932"/>
    <mergeCell ref="I2932:J2932"/>
    <mergeCell ref="K2932:L2932"/>
    <mergeCell ref="M2932:P2932"/>
    <mergeCell ref="Q2932:T2932"/>
    <mergeCell ref="U2932:X2932"/>
    <mergeCell ref="Y2932:AB2932"/>
    <mergeCell ref="G2933:H2933"/>
    <mergeCell ref="I2933:J2933"/>
    <mergeCell ref="K2933:L2933"/>
    <mergeCell ref="M2933:P2933"/>
    <mergeCell ref="Q2933:T2933"/>
    <mergeCell ref="U2933:X2933"/>
    <mergeCell ref="Y2933:AB2933"/>
    <mergeCell ref="G2940:H2940"/>
    <mergeCell ref="I2940:J2940"/>
    <mergeCell ref="K2940:L2940"/>
    <mergeCell ref="M2940:P2940"/>
    <mergeCell ref="Q2940:T2940"/>
    <mergeCell ref="U2940:X2940"/>
    <mergeCell ref="Y2940:AB2940"/>
    <mergeCell ref="G2941:H2941"/>
    <mergeCell ref="I2941:J2941"/>
    <mergeCell ref="K2941:L2941"/>
    <mergeCell ref="M2941:P2941"/>
    <mergeCell ref="Q2941:T2941"/>
    <mergeCell ref="U2941:X2941"/>
    <mergeCell ref="Y2941:AB2941"/>
    <mergeCell ref="G2942:H2942"/>
    <mergeCell ref="I2942:J2942"/>
    <mergeCell ref="K2942:L2942"/>
    <mergeCell ref="M2942:P2942"/>
    <mergeCell ref="Q2942:T2942"/>
    <mergeCell ref="U2942:X2942"/>
    <mergeCell ref="Y2942:AB2942"/>
    <mergeCell ref="G2937:H2937"/>
    <mergeCell ref="I2937:J2937"/>
    <mergeCell ref="K2937:L2937"/>
    <mergeCell ref="M2937:P2937"/>
    <mergeCell ref="Q2937:T2937"/>
    <mergeCell ref="U2937:X2937"/>
    <mergeCell ref="Y2937:AB2937"/>
    <mergeCell ref="G2938:H2938"/>
    <mergeCell ref="I2938:J2938"/>
    <mergeCell ref="K2938:L2938"/>
    <mergeCell ref="M2938:P2938"/>
    <mergeCell ref="Q2938:T2938"/>
    <mergeCell ref="U2938:X2938"/>
    <mergeCell ref="Y2938:AB2938"/>
    <mergeCell ref="G2939:H2939"/>
    <mergeCell ref="I2939:J2939"/>
    <mergeCell ref="K2939:L2939"/>
    <mergeCell ref="M2939:P2939"/>
    <mergeCell ref="Q2939:T2939"/>
    <mergeCell ref="U2939:X2939"/>
    <mergeCell ref="Y2939:AB2939"/>
    <mergeCell ref="G2946:H2946"/>
    <mergeCell ref="I2946:J2946"/>
    <mergeCell ref="K2946:L2946"/>
    <mergeCell ref="M2946:P2946"/>
    <mergeCell ref="Q2946:T2946"/>
    <mergeCell ref="U2946:X2946"/>
    <mergeCell ref="Y2946:AB2946"/>
    <mergeCell ref="G2947:H2947"/>
    <mergeCell ref="I2947:J2947"/>
    <mergeCell ref="K2947:L2947"/>
    <mergeCell ref="M2947:P2947"/>
    <mergeCell ref="Q2947:T2947"/>
    <mergeCell ref="U2947:X2947"/>
    <mergeCell ref="Y2947:AB2947"/>
    <mergeCell ref="G2948:H2948"/>
    <mergeCell ref="I2948:J2948"/>
    <mergeCell ref="K2948:L2948"/>
    <mergeCell ref="M2948:P2948"/>
    <mergeCell ref="Q2948:T2948"/>
    <mergeCell ref="U2948:X2948"/>
    <mergeCell ref="Y2948:AB2948"/>
    <mergeCell ref="G2943:H2943"/>
    <mergeCell ref="I2943:J2943"/>
    <mergeCell ref="K2943:L2943"/>
    <mergeCell ref="M2943:P2943"/>
    <mergeCell ref="Q2943:T2943"/>
    <mergeCell ref="U2943:X2943"/>
    <mergeCell ref="Y2943:AB2943"/>
    <mergeCell ref="G2944:H2944"/>
    <mergeCell ref="I2944:J2944"/>
    <mergeCell ref="K2944:L2944"/>
    <mergeCell ref="M2944:P2944"/>
    <mergeCell ref="Q2944:T2944"/>
    <mergeCell ref="U2944:X2944"/>
    <mergeCell ref="Y2944:AB2944"/>
    <mergeCell ref="G2945:H2945"/>
    <mergeCell ref="I2945:J2945"/>
    <mergeCell ref="K2945:L2945"/>
    <mergeCell ref="M2945:P2945"/>
    <mergeCell ref="Q2945:T2945"/>
    <mergeCell ref="U2945:X2945"/>
    <mergeCell ref="Y2945:AB2945"/>
    <mergeCell ref="G2952:H2952"/>
    <mergeCell ref="I2952:J2952"/>
    <mergeCell ref="K2952:L2952"/>
    <mergeCell ref="M2952:P2952"/>
    <mergeCell ref="Q2952:T2952"/>
    <mergeCell ref="U2952:X2952"/>
    <mergeCell ref="Y2952:AB2952"/>
    <mergeCell ref="G2953:H2953"/>
    <mergeCell ref="I2953:J2953"/>
    <mergeCell ref="K2953:L2953"/>
    <mergeCell ref="M2953:P2953"/>
    <mergeCell ref="Q2953:T2953"/>
    <mergeCell ref="U2953:X2953"/>
    <mergeCell ref="Y2953:AB2953"/>
    <mergeCell ref="G2954:H2954"/>
    <mergeCell ref="I2954:J2954"/>
    <mergeCell ref="K2954:L2954"/>
    <mergeCell ref="M2954:P2954"/>
    <mergeCell ref="Q2954:T2954"/>
    <mergeCell ref="U2954:X2954"/>
    <mergeCell ref="Y2954:AB2954"/>
    <mergeCell ref="G2949:H2949"/>
    <mergeCell ref="I2949:J2949"/>
    <mergeCell ref="K2949:L2949"/>
    <mergeCell ref="M2949:P2949"/>
    <mergeCell ref="Q2949:T2949"/>
    <mergeCell ref="U2949:X2949"/>
    <mergeCell ref="Y2949:AB2949"/>
    <mergeCell ref="G2950:H2950"/>
    <mergeCell ref="I2950:J2950"/>
    <mergeCell ref="K2950:L2950"/>
    <mergeCell ref="M2950:P2950"/>
    <mergeCell ref="Q2950:T2950"/>
    <mergeCell ref="U2950:X2950"/>
    <mergeCell ref="Y2950:AB2950"/>
    <mergeCell ref="G2951:H2951"/>
    <mergeCell ref="I2951:J2951"/>
    <mergeCell ref="K2951:L2951"/>
    <mergeCell ref="M2951:P2951"/>
    <mergeCell ref="Q2951:T2951"/>
    <mergeCell ref="U2951:X2951"/>
    <mergeCell ref="Y2951:AB2951"/>
    <mergeCell ref="G2958:H2958"/>
    <mergeCell ref="I2958:J2958"/>
    <mergeCell ref="K2958:L2958"/>
    <mergeCell ref="M2958:P2958"/>
    <mergeCell ref="Q2958:T2958"/>
    <mergeCell ref="U2958:X2958"/>
    <mergeCell ref="Y2958:AB2958"/>
    <mergeCell ref="G2959:H2959"/>
    <mergeCell ref="I2959:J2959"/>
    <mergeCell ref="K2959:L2959"/>
    <mergeCell ref="M2959:P2959"/>
    <mergeCell ref="Q2959:T2959"/>
    <mergeCell ref="U2959:X2959"/>
    <mergeCell ref="Y2959:AB2959"/>
    <mergeCell ref="G2960:H2960"/>
    <mergeCell ref="I2960:J2960"/>
    <mergeCell ref="K2960:L2960"/>
    <mergeCell ref="M2960:P2960"/>
    <mergeCell ref="Q2960:T2960"/>
    <mergeCell ref="U2960:X2960"/>
    <mergeCell ref="Y2960:AB2960"/>
    <mergeCell ref="G2955:H2955"/>
    <mergeCell ref="I2955:J2955"/>
    <mergeCell ref="K2955:L2955"/>
    <mergeCell ref="M2955:P2955"/>
    <mergeCell ref="Q2955:T2955"/>
    <mergeCell ref="U2955:X2955"/>
    <mergeCell ref="Y2955:AB2955"/>
    <mergeCell ref="G2956:H2956"/>
    <mergeCell ref="I2956:J2956"/>
    <mergeCell ref="K2956:L2956"/>
    <mergeCell ref="M2956:P2956"/>
    <mergeCell ref="Q2956:T2956"/>
    <mergeCell ref="U2956:X2956"/>
    <mergeCell ref="Y2956:AB2956"/>
    <mergeCell ref="G2957:H2957"/>
    <mergeCell ref="I2957:J2957"/>
    <mergeCell ref="K2957:L2957"/>
    <mergeCell ref="M2957:P2957"/>
    <mergeCell ref="Q2957:T2957"/>
    <mergeCell ref="U2957:X2957"/>
    <mergeCell ref="Y2957:AB2957"/>
    <mergeCell ref="G2964:H2964"/>
    <mergeCell ref="I2964:J2964"/>
    <mergeCell ref="K2964:L2964"/>
    <mergeCell ref="M2964:P2964"/>
    <mergeCell ref="Q2964:T2964"/>
    <mergeCell ref="U2964:X2964"/>
    <mergeCell ref="Y2964:AB2964"/>
    <mergeCell ref="G2965:H2965"/>
    <mergeCell ref="I2965:J2965"/>
    <mergeCell ref="K2965:L2965"/>
    <mergeCell ref="M2965:P2965"/>
    <mergeCell ref="Q2965:T2965"/>
    <mergeCell ref="U2965:X2965"/>
    <mergeCell ref="Y2965:AB2965"/>
    <mergeCell ref="G2966:H2966"/>
    <mergeCell ref="I2966:J2966"/>
    <mergeCell ref="K2966:L2966"/>
    <mergeCell ref="M2966:P2966"/>
    <mergeCell ref="Q2966:T2966"/>
    <mergeCell ref="U2966:X2966"/>
    <mergeCell ref="Y2966:AB2966"/>
    <mergeCell ref="G2961:H2961"/>
    <mergeCell ref="I2961:J2961"/>
    <mergeCell ref="K2961:L2961"/>
    <mergeCell ref="M2961:P2961"/>
    <mergeCell ref="Q2961:T2961"/>
    <mergeCell ref="U2961:X2961"/>
    <mergeCell ref="Y2961:AB2961"/>
    <mergeCell ref="G2962:H2962"/>
    <mergeCell ref="I2962:J2962"/>
    <mergeCell ref="K2962:L2962"/>
    <mergeCell ref="M2962:P2962"/>
    <mergeCell ref="Q2962:T2962"/>
    <mergeCell ref="U2962:X2962"/>
    <mergeCell ref="Y2962:AB2962"/>
    <mergeCell ref="G2963:H2963"/>
    <mergeCell ref="I2963:J2963"/>
    <mergeCell ref="K2963:L2963"/>
    <mergeCell ref="M2963:P2963"/>
    <mergeCell ref="Q2963:T2963"/>
    <mergeCell ref="U2963:X2963"/>
    <mergeCell ref="Y2963:AB2963"/>
    <mergeCell ref="G2970:H2970"/>
    <mergeCell ref="I2970:J2970"/>
    <mergeCell ref="K2970:L2970"/>
    <mergeCell ref="M2970:P2970"/>
    <mergeCell ref="Q2970:T2970"/>
    <mergeCell ref="U2970:X2970"/>
    <mergeCell ref="Y2970:AB2970"/>
    <mergeCell ref="G2971:H2971"/>
    <mergeCell ref="I2971:J2971"/>
    <mergeCell ref="K2971:L2971"/>
    <mergeCell ref="M2971:P2971"/>
    <mergeCell ref="Q2971:T2971"/>
    <mergeCell ref="U2971:X2971"/>
    <mergeCell ref="Y2971:AB2971"/>
    <mergeCell ref="G2972:H2972"/>
    <mergeCell ref="I2972:J2972"/>
    <mergeCell ref="K2972:L2972"/>
    <mergeCell ref="M2972:P2972"/>
    <mergeCell ref="Q2972:T2972"/>
    <mergeCell ref="U2972:X2972"/>
    <mergeCell ref="Y2972:AB2972"/>
    <mergeCell ref="G2967:H2967"/>
    <mergeCell ref="I2967:J2967"/>
    <mergeCell ref="K2967:L2967"/>
    <mergeCell ref="M2967:P2967"/>
    <mergeCell ref="Q2967:T2967"/>
    <mergeCell ref="U2967:X2967"/>
    <mergeCell ref="Y2967:AB2967"/>
    <mergeCell ref="G2968:H2968"/>
    <mergeCell ref="I2968:J2968"/>
    <mergeCell ref="K2968:L2968"/>
    <mergeCell ref="M2968:P2968"/>
    <mergeCell ref="Q2968:T2968"/>
    <mergeCell ref="U2968:X2968"/>
    <mergeCell ref="Y2968:AB2968"/>
    <mergeCell ref="G2969:H2969"/>
    <mergeCell ref="I2969:J2969"/>
    <mergeCell ref="K2969:L2969"/>
    <mergeCell ref="M2969:P2969"/>
    <mergeCell ref="Q2969:T2969"/>
    <mergeCell ref="U2969:X2969"/>
    <mergeCell ref="Y2969:AB2969"/>
    <mergeCell ref="B2997:Z2998"/>
    <mergeCell ref="AA2997:AC2998"/>
    <mergeCell ref="AD2997:AG2998"/>
    <mergeCell ref="B2999:Z3000"/>
    <mergeCell ref="AA2999:AC3000"/>
    <mergeCell ref="AD2999:AG3000"/>
    <mergeCell ref="B3001:Z3002"/>
    <mergeCell ref="AA3001:AC3002"/>
    <mergeCell ref="AD3001:AG3002"/>
    <mergeCell ref="B3003:Z3004"/>
    <mergeCell ref="AA3003:AC3004"/>
    <mergeCell ref="AD3003:AG3004"/>
    <mergeCell ref="B3005:Z3006"/>
    <mergeCell ref="AA3005:AC3006"/>
    <mergeCell ref="AD3005:AG3006"/>
    <mergeCell ref="B3007:Z3008"/>
    <mergeCell ref="AA3007:AC3008"/>
    <mergeCell ref="AD3007:AG3008"/>
    <mergeCell ref="B2984:N2984"/>
    <mergeCell ref="O2984:Q2984"/>
    <mergeCell ref="B2985:N2985"/>
    <mergeCell ref="O2985:Q2985"/>
    <mergeCell ref="B2986:N2986"/>
    <mergeCell ref="O2986:Q2986"/>
    <mergeCell ref="B2988:AG2988"/>
    <mergeCell ref="B2991:AG2991"/>
    <mergeCell ref="B2993:H2993"/>
    <mergeCell ref="I2993:O2993"/>
    <mergeCell ref="AF2993:AG2993"/>
    <mergeCell ref="B2995:AD2995"/>
    <mergeCell ref="AF2995:AG2995"/>
    <mergeCell ref="B2974:G2974"/>
    <mergeCell ref="H2974:N2974"/>
    <mergeCell ref="B2977:N2977"/>
    <mergeCell ref="O2977:Q2977"/>
    <mergeCell ref="B2978:N2978"/>
    <mergeCell ref="O2978:Q2978"/>
    <mergeCell ref="B2979:N2979"/>
    <mergeCell ref="O2979:Q2979"/>
    <mergeCell ref="B2980:N2980"/>
    <mergeCell ref="O2980:Q2980"/>
    <mergeCell ref="B2981:N2981"/>
    <mergeCell ref="O2981:Q2981"/>
    <mergeCell ref="B2982:N2982"/>
    <mergeCell ref="O2982:Q2982"/>
    <mergeCell ref="B2983:N2983"/>
    <mergeCell ref="O2983:Q2983"/>
    <mergeCell ref="B3024:H3024"/>
    <mergeCell ref="B3025:O3025"/>
    <mergeCell ref="P3025:U3025"/>
    <mergeCell ref="V3025:X3025"/>
    <mergeCell ref="Y3025:AA3025"/>
    <mergeCell ref="AB3025:AD3025"/>
    <mergeCell ref="AE3025:AG3025"/>
    <mergeCell ref="B3026:O3026"/>
    <mergeCell ref="P3026:U3026"/>
    <mergeCell ref="V3026:X3026"/>
    <mergeCell ref="Y3026:AA3026"/>
    <mergeCell ref="AB3026:AD3026"/>
    <mergeCell ref="AE3026:AG3026"/>
    <mergeCell ref="B3027:O3027"/>
    <mergeCell ref="P3027:U3027"/>
    <mergeCell ref="V3027:X3027"/>
    <mergeCell ref="Y3027:AA3027"/>
    <mergeCell ref="AB3027:AD3027"/>
    <mergeCell ref="AE3027:AG3027"/>
    <mergeCell ref="B3010:AD3010"/>
    <mergeCell ref="AF3010:AG3010"/>
    <mergeCell ref="B3011:AD3011"/>
    <mergeCell ref="AF3011:AG3011"/>
    <mergeCell ref="B3012:AD3012"/>
    <mergeCell ref="AF3012:AG3012"/>
    <mergeCell ref="B3013:AD3013"/>
    <mergeCell ref="AF3013:AG3013"/>
    <mergeCell ref="B3014:AD3014"/>
    <mergeCell ref="AF3014:AG3014"/>
    <mergeCell ref="B3017:AG3017"/>
    <mergeCell ref="B3018:AG3018"/>
    <mergeCell ref="F3020:Q3022"/>
    <mergeCell ref="V3020:AG3020"/>
    <mergeCell ref="V3021:AG3021"/>
    <mergeCell ref="V3022:AG3022"/>
    <mergeCell ref="B3031:O3031"/>
    <mergeCell ref="P3031:U3031"/>
    <mergeCell ref="V3031:X3031"/>
    <mergeCell ref="Y3031:AA3031"/>
    <mergeCell ref="AB3031:AD3031"/>
    <mergeCell ref="AE3031:AG3031"/>
    <mergeCell ref="B3032:O3032"/>
    <mergeCell ref="P3032:U3032"/>
    <mergeCell ref="V3032:X3032"/>
    <mergeCell ref="Y3032:AA3032"/>
    <mergeCell ref="AB3032:AD3032"/>
    <mergeCell ref="AE3032:AG3032"/>
    <mergeCell ref="B3033:O3033"/>
    <mergeCell ref="P3033:U3033"/>
    <mergeCell ref="V3033:X3033"/>
    <mergeCell ref="Y3033:AA3033"/>
    <mergeCell ref="AB3033:AD3033"/>
    <mergeCell ref="AE3033:AG3033"/>
    <mergeCell ref="B3028:O3028"/>
    <mergeCell ref="P3028:U3028"/>
    <mergeCell ref="V3028:X3028"/>
    <mergeCell ref="Y3028:AA3028"/>
    <mergeCell ref="AB3028:AD3028"/>
    <mergeCell ref="AE3028:AG3028"/>
    <mergeCell ref="B3029:O3029"/>
    <mergeCell ref="P3029:U3029"/>
    <mergeCell ref="V3029:X3029"/>
    <mergeCell ref="Y3029:AA3029"/>
    <mergeCell ref="AB3029:AD3029"/>
    <mergeCell ref="AE3029:AG3029"/>
    <mergeCell ref="B3030:O3030"/>
    <mergeCell ref="P3030:U3030"/>
    <mergeCell ref="V3030:X3030"/>
    <mergeCell ref="Y3030:AA3030"/>
    <mergeCell ref="AB3030:AD3030"/>
    <mergeCell ref="AE3030:AG3030"/>
    <mergeCell ref="B3042:AG3044"/>
    <mergeCell ref="B3047:AB3047"/>
    <mergeCell ref="AD3047:AG3047"/>
    <mergeCell ref="B3049:H3049"/>
    <mergeCell ref="B3050:H3050"/>
    <mergeCell ref="I3050:K3050"/>
    <mergeCell ref="R3050:T3050"/>
    <mergeCell ref="AD3050:AG3050"/>
    <mergeCell ref="B3052:H3052"/>
    <mergeCell ref="L3053:P3053"/>
    <mergeCell ref="AC3053:AG3053"/>
    <mergeCell ref="B3055:L3055"/>
    <mergeCell ref="B3056:D3056"/>
    <mergeCell ref="E3056:F3056"/>
    <mergeCell ref="H3056:J3056"/>
    <mergeCell ref="K3056:L3056"/>
    <mergeCell ref="N3056:R3057"/>
    <mergeCell ref="S3056:AG3057"/>
    <mergeCell ref="B3057:D3057"/>
    <mergeCell ref="E3057:F3057"/>
    <mergeCell ref="H3057:J3057"/>
    <mergeCell ref="K3057:L3057"/>
    <mergeCell ref="B3034:O3034"/>
    <mergeCell ref="P3034:U3034"/>
    <mergeCell ref="V3034:X3034"/>
    <mergeCell ref="Y3034:AA3034"/>
    <mergeCell ref="AB3034:AD3034"/>
    <mergeCell ref="AE3034:AG3034"/>
    <mergeCell ref="B3035:O3035"/>
    <mergeCell ref="P3035:U3035"/>
    <mergeCell ref="V3035:X3035"/>
    <mergeCell ref="Y3035:AA3035"/>
    <mergeCell ref="AB3035:AD3035"/>
    <mergeCell ref="AE3035:AG3035"/>
    <mergeCell ref="B3037:H3037"/>
    <mergeCell ref="B3038:AC3038"/>
    <mergeCell ref="AD3038:AG3038"/>
    <mergeCell ref="B3039:H3039"/>
    <mergeCell ref="B3040:AC3041"/>
    <mergeCell ref="AD3040:AG3040"/>
    <mergeCell ref="AD3080:AG3080"/>
    <mergeCell ref="B3082:AG3082"/>
    <mergeCell ref="K3083:X3083"/>
    <mergeCell ref="Z3083:AC3083"/>
    <mergeCell ref="AD3083:AG3083"/>
    <mergeCell ref="B3085:AG3086"/>
    <mergeCell ref="B3088:AG3088"/>
    <mergeCell ref="Z3089:AC3089"/>
    <mergeCell ref="Z3090:AC3090"/>
    <mergeCell ref="Z3091:AC3091"/>
    <mergeCell ref="Z3092:AC3092"/>
    <mergeCell ref="Z3093:AC3093"/>
    <mergeCell ref="Z3094:AC3094"/>
    <mergeCell ref="B3097:AG3097"/>
    <mergeCell ref="B3098:AG3098"/>
    <mergeCell ref="B3100:AG3100"/>
    <mergeCell ref="B3102:O3102"/>
    <mergeCell ref="P3102:S3102"/>
    <mergeCell ref="T3102:Z3102"/>
    <mergeCell ref="AA3102:AG3102"/>
    <mergeCell ref="B3060:AG3060"/>
    <mergeCell ref="B3061:AG3061"/>
    <mergeCell ref="B3063:AG3063"/>
    <mergeCell ref="B3064:AG3064"/>
    <mergeCell ref="B3065:AG3066"/>
    <mergeCell ref="B3068:AG3068"/>
    <mergeCell ref="B3069:Z3070"/>
    <mergeCell ref="AB3069:AC3069"/>
    <mergeCell ref="AD3069:AG3069"/>
    <mergeCell ref="B3071:Z3072"/>
    <mergeCell ref="AB3071:AC3071"/>
    <mergeCell ref="AD3071:AG3071"/>
    <mergeCell ref="B3073:AG3073"/>
    <mergeCell ref="B3074:AC3074"/>
    <mergeCell ref="AD3074:AG3074"/>
    <mergeCell ref="B3076:AG3077"/>
    <mergeCell ref="B3079:AG3079"/>
    <mergeCell ref="B3108:O3108"/>
    <mergeCell ref="P3108:S3108"/>
    <mergeCell ref="T3108:Z3108"/>
    <mergeCell ref="AA3108:AG3108"/>
    <mergeCell ref="B3110:AG3110"/>
    <mergeCell ref="B3112:F3113"/>
    <mergeCell ref="G3112:H3113"/>
    <mergeCell ref="I3112:M3113"/>
    <mergeCell ref="N3112:O3113"/>
    <mergeCell ref="P3112:Q3113"/>
    <mergeCell ref="R3112:V3113"/>
    <mergeCell ref="W3112:Y3113"/>
    <mergeCell ref="Z3112:AB3113"/>
    <mergeCell ref="AC3112:AG3113"/>
    <mergeCell ref="B3114:F3114"/>
    <mergeCell ref="G3114:H3114"/>
    <mergeCell ref="I3114:M3114"/>
    <mergeCell ref="N3114:O3114"/>
    <mergeCell ref="P3114:Q3114"/>
    <mergeCell ref="R3114:V3114"/>
    <mergeCell ref="W3114:Y3114"/>
    <mergeCell ref="Z3114:AB3114"/>
    <mergeCell ref="AC3114:AG3114"/>
    <mergeCell ref="B3103:O3103"/>
    <mergeCell ref="P3103:S3103"/>
    <mergeCell ref="T3103:Z3103"/>
    <mergeCell ref="AA3103:AG3103"/>
    <mergeCell ref="B3104:O3104"/>
    <mergeCell ref="P3104:S3104"/>
    <mergeCell ref="T3104:Z3104"/>
    <mergeCell ref="AA3104:AG3104"/>
    <mergeCell ref="B3105:O3105"/>
    <mergeCell ref="P3105:S3105"/>
    <mergeCell ref="T3105:Z3105"/>
    <mergeCell ref="AA3105:AG3105"/>
    <mergeCell ref="B3106:O3106"/>
    <mergeCell ref="P3106:S3106"/>
    <mergeCell ref="T3106:Z3106"/>
    <mergeCell ref="AA3106:AG3106"/>
    <mergeCell ref="B3107:O3107"/>
    <mergeCell ref="P3107:S3107"/>
    <mergeCell ref="T3107:Z3107"/>
    <mergeCell ref="AA3107:AG3107"/>
    <mergeCell ref="B3117:F3117"/>
    <mergeCell ref="G3117:H3117"/>
    <mergeCell ref="I3117:M3117"/>
    <mergeCell ref="N3117:O3117"/>
    <mergeCell ref="P3117:Q3117"/>
    <mergeCell ref="R3117:V3117"/>
    <mergeCell ref="W3117:Y3117"/>
    <mergeCell ref="Z3117:AB3117"/>
    <mergeCell ref="AC3117:AG3117"/>
    <mergeCell ref="B3118:F3118"/>
    <mergeCell ref="G3118:H3118"/>
    <mergeCell ref="I3118:M3118"/>
    <mergeCell ref="N3118:O3118"/>
    <mergeCell ref="P3118:Q3118"/>
    <mergeCell ref="R3118:V3118"/>
    <mergeCell ref="W3118:Y3118"/>
    <mergeCell ref="Z3118:AB3118"/>
    <mergeCell ref="AC3118:AG3118"/>
    <mergeCell ref="B3115:F3115"/>
    <mergeCell ref="G3115:H3115"/>
    <mergeCell ref="I3115:M3115"/>
    <mergeCell ref="N3115:O3115"/>
    <mergeCell ref="P3115:Q3115"/>
    <mergeCell ref="R3115:V3115"/>
    <mergeCell ref="W3115:Y3115"/>
    <mergeCell ref="Z3115:AB3115"/>
    <mergeCell ref="AC3115:AG3115"/>
    <mergeCell ref="B3116:F3116"/>
    <mergeCell ref="G3116:H3116"/>
    <mergeCell ref="I3116:M3116"/>
    <mergeCell ref="N3116:O3116"/>
    <mergeCell ref="P3116:Q3116"/>
    <mergeCell ref="R3116:V3116"/>
    <mergeCell ref="W3116:Y3116"/>
    <mergeCell ref="Z3116:AB3116"/>
    <mergeCell ref="AC3116:AG3116"/>
    <mergeCell ref="AE3135:AG3135"/>
    <mergeCell ref="AE3136:AG3136"/>
    <mergeCell ref="AE3137:AG3137"/>
    <mergeCell ref="AE3138:AG3138"/>
    <mergeCell ref="AC3133:AD3133"/>
    <mergeCell ref="AC3134:AD3134"/>
    <mergeCell ref="AC3135:AD3135"/>
    <mergeCell ref="AC3136:AD3136"/>
    <mergeCell ref="G3121:H3121"/>
    <mergeCell ref="I3121:M3121"/>
    <mergeCell ref="N3121:O3121"/>
    <mergeCell ref="P3121:Q3121"/>
    <mergeCell ref="R3121:V3121"/>
    <mergeCell ref="W3121:Y3121"/>
    <mergeCell ref="Z3121:AB3121"/>
    <mergeCell ref="AC3121:AG3121"/>
    <mergeCell ref="B3122:F3122"/>
    <mergeCell ref="G3122:H3122"/>
    <mergeCell ref="I3122:M3122"/>
    <mergeCell ref="N3122:O3122"/>
    <mergeCell ref="P3122:Q3122"/>
    <mergeCell ref="R3122:V3122"/>
    <mergeCell ref="W3122:Y3122"/>
    <mergeCell ref="Z3122:AB3122"/>
    <mergeCell ref="AC3122:AG3122"/>
    <mergeCell ref="AE3131:AG3132"/>
    <mergeCell ref="AC3131:AD3132"/>
    <mergeCell ref="B3119:F3119"/>
    <mergeCell ref="G3119:H3119"/>
    <mergeCell ref="I3119:M3119"/>
    <mergeCell ref="N3119:O3119"/>
    <mergeCell ref="P3119:Q3119"/>
    <mergeCell ref="R3119:V3119"/>
    <mergeCell ref="W3119:Y3119"/>
    <mergeCell ref="Z3119:AB3119"/>
    <mergeCell ref="AC3119:AG3119"/>
    <mergeCell ref="B3120:F3120"/>
    <mergeCell ref="G3120:H3120"/>
    <mergeCell ref="I3120:M3120"/>
    <mergeCell ref="N3120:O3120"/>
    <mergeCell ref="P3120:Q3120"/>
    <mergeCell ref="R3120:V3120"/>
    <mergeCell ref="W3120:Y3120"/>
    <mergeCell ref="Z3120:AB3120"/>
    <mergeCell ref="AC3120:AG3120"/>
    <mergeCell ref="D3131:E3132"/>
    <mergeCell ref="B3131:C3132"/>
    <mergeCell ref="F3131:V3132"/>
    <mergeCell ref="B3123:F3123"/>
    <mergeCell ref="G3123:H3123"/>
    <mergeCell ref="I3123:M3123"/>
    <mergeCell ref="N3123:O3123"/>
    <mergeCell ref="P3123:Q3123"/>
    <mergeCell ref="R3123:V3123"/>
    <mergeCell ref="W3123:Y3123"/>
    <mergeCell ref="Z3123:AB3123"/>
    <mergeCell ref="AC3123:AG3123"/>
    <mergeCell ref="B3126:AG3126"/>
    <mergeCell ref="B3127:AG3127"/>
    <mergeCell ref="B3129:AG3129"/>
    <mergeCell ref="W3131:Z3132"/>
    <mergeCell ref="AA3131:AB3132"/>
    <mergeCell ref="S3182:U3182"/>
    <mergeCell ref="V3182:X3182"/>
    <mergeCell ref="Y3182:AA3182"/>
    <mergeCell ref="AB3182:AD3182"/>
    <mergeCell ref="AE3182:AG3182"/>
    <mergeCell ref="B3133:C3133"/>
    <mergeCell ref="B3134:C3134"/>
    <mergeCell ref="B3135:C3135"/>
    <mergeCell ref="B3136:C3136"/>
    <mergeCell ref="B3137:C3137"/>
    <mergeCell ref="B3138:C3138"/>
    <mergeCell ref="F3133:V3133"/>
    <mergeCell ref="F3134:V3134"/>
    <mergeCell ref="F3135:V3135"/>
    <mergeCell ref="F3136:V3136"/>
    <mergeCell ref="F3137:V3137"/>
    <mergeCell ref="F3138:V3138"/>
    <mergeCell ref="Y3152:AA3152"/>
    <mergeCell ref="AB3152:AD3152"/>
    <mergeCell ref="AE3152:AG3152"/>
    <mergeCell ref="B3153:L3153"/>
    <mergeCell ref="M3153:O3153"/>
    <mergeCell ref="P3153:R3153"/>
    <mergeCell ref="S3153:U3153"/>
    <mergeCell ref="V3153:X3153"/>
    <mergeCell ref="Y3153:AA3153"/>
    <mergeCell ref="AB3153:AD3153"/>
    <mergeCell ref="B3140:L3142"/>
    <mergeCell ref="M3140:O3142"/>
    <mergeCell ref="P3140:R3142"/>
    <mergeCell ref="S3140:U3142"/>
    <mergeCell ref="V3140:X3142"/>
    <mergeCell ref="Y3140:AA3142"/>
    <mergeCell ref="AB3140:AD3142"/>
    <mergeCell ref="AE3140:AG3142"/>
    <mergeCell ref="B3180:L3180"/>
    <mergeCell ref="M3180:O3180"/>
    <mergeCell ref="P3180:R3180"/>
    <mergeCell ref="S3180:U3180"/>
    <mergeCell ref="AC3137:AD3137"/>
    <mergeCell ref="AC3138:AD3138"/>
    <mergeCell ref="D3133:E3133"/>
    <mergeCell ref="D3134:E3134"/>
    <mergeCell ref="D3135:E3135"/>
    <mergeCell ref="D3136:E3136"/>
    <mergeCell ref="D3137:E3137"/>
    <mergeCell ref="D3138:E3138"/>
    <mergeCell ref="Y3150:AA3150"/>
    <mergeCell ref="AB3150:AD3150"/>
    <mergeCell ref="AE3150:AG3150"/>
    <mergeCell ref="W3136:Z3136"/>
    <mergeCell ref="AA3136:AB3136"/>
    <mergeCell ref="W3137:Z3137"/>
    <mergeCell ref="AA3137:AB3137"/>
    <mergeCell ref="W3138:Z3138"/>
    <mergeCell ref="AA3138:AB3138"/>
    <mergeCell ref="W3133:Z3133"/>
    <mergeCell ref="AA3133:AB3133"/>
    <mergeCell ref="W3134:Z3134"/>
    <mergeCell ref="AA3134:AB3134"/>
    <mergeCell ref="W3135:Z3135"/>
    <mergeCell ref="AA3135:AB3135"/>
    <mergeCell ref="AE3133:AG3133"/>
    <mergeCell ref="AE3134:AG3134"/>
    <mergeCell ref="AE3191:AG3191"/>
    <mergeCell ref="B3192:L3192"/>
    <mergeCell ref="M3192:O3192"/>
    <mergeCell ref="P3192:R3192"/>
    <mergeCell ref="S3192:U3192"/>
    <mergeCell ref="V3192:X3192"/>
    <mergeCell ref="Y3192:AA3192"/>
    <mergeCell ref="AB3192:AD3192"/>
    <mergeCell ref="AE3192:AG3192"/>
    <mergeCell ref="B3193:L3193"/>
    <mergeCell ref="M3193:O3193"/>
    <mergeCell ref="P3193:R3193"/>
    <mergeCell ref="S3193:U3193"/>
    <mergeCell ref="V3193:X3193"/>
    <mergeCell ref="Y3193:AA3193"/>
    <mergeCell ref="AB3193:AD3193"/>
    <mergeCell ref="AE3193:AG3193"/>
    <mergeCell ref="B3143:L3143"/>
    <mergeCell ref="M3143:O3143"/>
    <mergeCell ref="P3143:R3143"/>
    <mergeCell ref="S3143:U3143"/>
    <mergeCell ref="V3143:X3143"/>
    <mergeCell ref="Y3143:AA3143"/>
    <mergeCell ref="AB3143:AD3143"/>
    <mergeCell ref="AE3143:AG3143"/>
    <mergeCell ref="B3144:L3144"/>
    <mergeCell ref="M3144:O3144"/>
    <mergeCell ref="P3144:R3144"/>
    <mergeCell ref="S3144:U3144"/>
    <mergeCell ref="V3144:X3144"/>
    <mergeCell ref="Y3144:AA3144"/>
    <mergeCell ref="AB3144:AD3144"/>
    <mergeCell ref="AE3144:AG3144"/>
    <mergeCell ref="B3148:L3148"/>
    <mergeCell ref="M3148:O3148"/>
    <mergeCell ref="P3148:R3148"/>
    <mergeCell ref="S3148:U3148"/>
    <mergeCell ref="V3148:X3148"/>
    <mergeCell ref="Y3148:AA3148"/>
    <mergeCell ref="AB3148:AD3148"/>
    <mergeCell ref="AE3148:AG3148"/>
    <mergeCell ref="B3149:L3149"/>
    <mergeCell ref="M3149:O3149"/>
    <mergeCell ref="P3149:R3149"/>
    <mergeCell ref="S3149:U3149"/>
    <mergeCell ref="V3149:X3149"/>
    <mergeCell ref="Y3149:AA3149"/>
    <mergeCell ref="AB3149:AD3149"/>
    <mergeCell ref="AE3149:AG3149"/>
    <mergeCell ref="B3150:L3150"/>
    <mergeCell ref="M3150:O3150"/>
    <mergeCell ref="P3150:R3150"/>
    <mergeCell ref="S3150:U3150"/>
    <mergeCell ref="V3150:X3150"/>
    <mergeCell ref="B3145:L3145"/>
    <mergeCell ref="M3145:O3145"/>
    <mergeCell ref="P3145:R3145"/>
    <mergeCell ref="S3145:U3145"/>
    <mergeCell ref="V3145:X3145"/>
    <mergeCell ref="Y3145:AA3145"/>
    <mergeCell ref="AB3145:AD3145"/>
    <mergeCell ref="V3180:X3180"/>
    <mergeCell ref="Y3180:AA3180"/>
    <mergeCell ref="AB3180:AD3180"/>
    <mergeCell ref="Y3197:AA3197"/>
    <mergeCell ref="AB3197:AD3197"/>
    <mergeCell ref="AE3197:AG3197"/>
    <mergeCell ref="B3163:AG3163"/>
    <mergeCell ref="B3164:AG3164"/>
    <mergeCell ref="B3166:AG3166"/>
    <mergeCell ref="M3187:O3187"/>
    <mergeCell ref="B3194:L3194"/>
    <mergeCell ref="M3194:O3194"/>
    <mergeCell ref="P3194:R3194"/>
    <mergeCell ref="S3194:U3194"/>
    <mergeCell ref="V3194:X3194"/>
    <mergeCell ref="Y3194:AA3194"/>
    <mergeCell ref="AB3194:AD3194"/>
    <mergeCell ref="AE3194:AG3194"/>
    <mergeCell ref="AE3145:AG3145"/>
    <mergeCell ref="B3146:L3146"/>
    <mergeCell ref="M3146:O3146"/>
    <mergeCell ref="P3146:R3146"/>
    <mergeCell ref="S3146:U3146"/>
    <mergeCell ref="V3146:X3146"/>
    <mergeCell ref="Y3146:AA3146"/>
    <mergeCell ref="AB3146:AD3146"/>
    <mergeCell ref="AE3146:AG3146"/>
    <mergeCell ref="B3147:L3147"/>
    <mergeCell ref="M3147:O3147"/>
    <mergeCell ref="S3147:U3147"/>
    <mergeCell ref="V3147:X3147"/>
    <mergeCell ref="Y3147:AA3147"/>
    <mergeCell ref="AB3147:AD3147"/>
    <mergeCell ref="AE3147:AG3147"/>
    <mergeCell ref="P3147:R3147"/>
    <mergeCell ref="B3154:L3154"/>
    <mergeCell ref="M3154:O3154"/>
    <mergeCell ref="P3154:R3154"/>
    <mergeCell ref="S3154:U3154"/>
    <mergeCell ref="V3154:X3154"/>
    <mergeCell ref="AB3154:AD3154"/>
    <mergeCell ref="AE3154:AG3154"/>
    <mergeCell ref="B3155:L3155"/>
    <mergeCell ref="M3155:O3155"/>
    <mergeCell ref="P3155:R3155"/>
    <mergeCell ref="S3155:U3155"/>
    <mergeCell ref="V3155:X3155"/>
    <mergeCell ref="Y3155:AA3155"/>
    <mergeCell ref="AB3155:AD3155"/>
    <mergeCell ref="AE3155:AG3155"/>
    <mergeCell ref="B3156:L3156"/>
    <mergeCell ref="M3156:O3156"/>
    <mergeCell ref="P3156:R3156"/>
    <mergeCell ref="S3156:U3156"/>
    <mergeCell ref="V3156:X3156"/>
    <mergeCell ref="Y3156:AA3156"/>
    <mergeCell ref="AB3156:AD3156"/>
    <mergeCell ref="AE3156:AG3156"/>
    <mergeCell ref="Y3154:AA3154"/>
    <mergeCell ref="B3151:L3151"/>
    <mergeCell ref="M3151:O3151"/>
    <mergeCell ref="P3151:R3151"/>
    <mergeCell ref="S3151:U3151"/>
    <mergeCell ref="V3151:X3151"/>
    <mergeCell ref="Y3151:AA3151"/>
    <mergeCell ref="AB3151:AD3151"/>
    <mergeCell ref="AE3151:AG3151"/>
    <mergeCell ref="X3208:AB3208"/>
    <mergeCell ref="AC3208:AD3208"/>
    <mergeCell ref="AE3208:AG3208"/>
    <mergeCell ref="P3196:R3196"/>
    <mergeCell ref="S3196:U3196"/>
    <mergeCell ref="V3196:X3196"/>
    <mergeCell ref="Y3196:AA3196"/>
    <mergeCell ref="AB3196:AD3196"/>
    <mergeCell ref="AE3196:AG3196"/>
    <mergeCell ref="S3195:U3195"/>
    <mergeCell ref="V3195:X3195"/>
    <mergeCell ref="Y3195:AA3195"/>
    <mergeCell ref="AB3195:AD3195"/>
    <mergeCell ref="AE3195:AG3195"/>
    <mergeCell ref="B3196:L3196"/>
    <mergeCell ref="M3196:O3196"/>
    <mergeCell ref="AE3153:AG3153"/>
    <mergeCell ref="B3160:L3160"/>
    <mergeCell ref="M3160:O3160"/>
    <mergeCell ref="P3160:R3160"/>
    <mergeCell ref="S3160:U3160"/>
    <mergeCell ref="V3160:X3160"/>
    <mergeCell ref="Y3160:AA3160"/>
    <mergeCell ref="AB3160:AD3160"/>
    <mergeCell ref="AE3160:AG3160"/>
    <mergeCell ref="B3200:AG3200"/>
    <mergeCell ref="B3201:AG3201"/>
    <mergeCell ref="B3203:AG3203"/>
    <mergeCell ref="B3157:L3157"/>
    <mergeCell ref="M3157:O3157"/>
    <mergeCell ref="P3157:R3157"/>
    <mergeCell ref="S3157:U3157"/>
    <mergeCell ref="V3157:X3157"/>
    <mergeCell ref="Y3157:AA3157"/>
    <mergeCell ref="AB3157:AD3157"/>
    <mergeCell ref="AE3157:AG3157"/>
    <mergeCell ref="B3158:L3158"/>
    <mergeCell ref="M3158:O3158"/>
    <mergeCell ref="P3158:R3158"/>
    <mergeCell ref="S3158:U3158"/>
    <mergeCell ref="V3158:X3158"/>
    <mergeCell ref="Y3158:AA3158"/>
    <mergeCell ref="AB3158:AD3158"/>
    <mergeCell ref="AE3158:AG3158"/>
    <mergeCell ref="B3159:L3159"/>
    <mergeCell ref="M3159:O3159"/>
    <mergeCell ref="P3159:R3159"/>
    <mergeCell ref="S3159:U3159"/>
    <mergeCell ref="V3159:X3159"/>
    <mergeCell ref="Y3159:AA3159"/>
    <mergeCell ref="AB3159:AD3159"/>
    <mergeCell ref="AE3159:AG3159"/>
    <mergeCell ref="B3177:L3179"/>
    <mergeCell ref="M3177:O3179"/>
    <mergeCell ref="P3177:R3179"/>
    <mergeCell ref="S3177:U3179"/>
    <mergeCell ref="V3177:X3179"/>
    <mergeCell ref="Y3177:AA3179"/>
    <mergeCell ref="AB3177:AD3179"/>
    <mergeCell ref="AE3177:AG3179"/>
    <mergeCell ref="B3197:L3197"/>
    <mergeCell ref="M3197:O3197"/>
    <mergeCell ref="P3197:R3197"/>
    <mergeCell ref="S3197:U3197"/>
    <mergeCell ref="X3211:AB3211"/>
    <mergeCell ref="AC3211:AD3211"/>
    <mergeCell ref="AE3211:AG3211"/>
    <mergeCell ref="D3212:K3212"/>
    <mergeCell ref="L3212:O3212"/>
    <mergeCell ref="P3212:Q3212"/>
    <mergeCell ref="R3212:W3212"/>
    <mergeCell ref="X3212:AB3212"/>
    <mergeCell ref="AC3212:AD3212"/>
    <mergeCell ref="AE3212:AG3212"/>
    <mergeCell ref="B3214:L3216"/>
    <mergeCell ref="M3214:O3216"/>
    <mergeCell ref="P3214:R3216"/>
    <mergeCell ref="S3214:U3216"/>
    <mergeCell ref="V3214:X3216"/>
    <mergeCell ref="Y3214:AA3216"/>
    <mergeCell ref="AB3214:AD3216"/>
    <mergeCell ref="AE3214:AG3216"/>
    <mergeCell ref="B3217:L3217"/>
    <mergeCell ref="M3217:O3217"/>
    <mergeCell ref="P3217:R3217"/>
    <mergeCell ref="S3217:U3217"/>
    <mergeCell ref="V3217:X3217"/>
    <mergeCell ref="Y3217:AA3217"/>
    <mergeCell ref="AB3217:AD3217"/>
    <mergeCell ref="AE3217:AG3217"/>
    <mergeCell ref="B3221:L3221"/>
    <mergeCell ref="M3221:O3221"/>
    <mergeCell ref="P3221:R3221"/>
    <mergeCell ref="S3221:U3221"/>
    <mergeCell ref="V3221:X3221"/>
    <mergeCell ref="Y3221:AA3221"/>
    <mergeCell ref="AB3221:AD3221"/>
    <mergeCell ref="AE3221:AG3221"/>
    <mergeCell ref="S3222:U3222"/>
    <mergeCell ref="V3222:X3222"/>
    <mergeCell ref="Y3222:AA3222"/>
    <mergeCell ref="AB3222:AD3222"/>
    <mergeCell ref="AE3222:AG3222"/>
    <mergeCell ref="B3223:L3223"/>
    <mergeCell ref="M3223:O3223"/>
    <mergeCell ref="P3223:R3223"/>
    <mergeCell ref="S3223:U3223"/>
    <mergeCell ref="V3223:X3223"/>
    <mergeCell ref="Y3223:AA3223"/>
    <mergeCell ref="AB3223:AD3223"/>
    <mergeCell ref="AE3223:AG3223"/>
    <mergeCell ref="B3218:L3218"/>
    <mergeCell ref="M3218:O3218"/>
    <mergeCell ref="P3218:R3218"/>
    <mergeCell ref="S3218:U3218"/>
    <mergeCell ref="V3218:X3218"/>
    <mergeCell ref="Y3218:AA3218"/>
    <mergeCell ref="AB3218:AD3218"/>
    <mergeCell ref="AE3218:AG3218"/>
    <mergeCell ref="B3219:L3219"/>
    <mergeCell ref="M3219:O3219"/>
    <mergeCell ref="P3219:R3219"/>
    <mergeCell ref="S3219:U3219"/>
    <mergeCell ref="V3219:X3219"/>
    <mergeCell ref="Y3219:AA3219"/>
    <mergeCell ref="AB3219:AD3219"/>
    <mergeCell ref="AE3219:AG3219"/>
    <mergeCell ref="B3220:L3220"/>
    <mergeCell ref="M3220:O3220"/>
    <mergeCell ref="P3220:R3220"/>
    <mergeCell ref="S3220:U3220"/>
    <mergeCell ref="V3220:X3220"/>
    <mergeCell ref="Y3220:AA3220"/>
    <mergeCell ref="AB3220:AD3220"/>
    <mergeCell ref="AE3220:AG3220"/>
    <mergeCell ref="S3227:U3227"/>
    <mergeCell ref="V3227:X3227"/>
    <mergeCell ref="Y3227:AA3227"/>
    <mergeCell ref="AB3227:AD3227"/>
    <mergeCell ref="AE3227:AG3227"/>
    <mergeCell ref="B3228:L3228"/>
    <mergeCell ref="M3228:O3228"/>
    <mergeCell ref="P3228:R3228"/>
    <mergeCell ref="S3228:U3228"/>
    <mergeCell ref="V3228:X3228"/>
    <mergeCell ref="Y3228:AA3228"/>
    <mergeCell ref="AB3228:AD3228"/>
    <mergeCell ref="AE3228:AG3228"/>
    <mergeCell ref="B3229:L3229"/>
    <mergeCell ref="M3229:O3229"/>
    <mergeCell ref="P3229:R3229"/>
    <mergeCell ref="S3229:U3229"/>
    <mergeCell ref="V3229:X3229"/>
    <mergeCell ref="Y3229:AA3229"/>
    <mergeCell ref="AB3229:AD3229"/>
    <mergeCell ref="AE3229:AG3229"/>
    <mergeCell ref="B3224:L3224"/>
    <mergeCell ref="M3224:O3224"/>
    <mergeCell ref="P3224:R3224"/>
    <mergeCell ref="S3224:U3224"/>
    <mergeCell ref="V3224:X3224"/>
    <mergeCell ref="Y3224:AA3224"/>
    <mergeCell ref="AB3224:AD3224"/>
    <mergeCell ref="AE3224:AG3224"/>
    <mergeCell ref="B3225:L3225"/>
    <mergeCell ref="M3225:O3225"/>
    <mergeCell ref="P3225:R3225"/>
    <mergeCell ref="S3225:U3225"/>
    <mergeCell ref="V3225:X3225"/>
    <mergeCell ref="Y3225:AA3225"/>
    <mergeCell ref="AB3225:AD3225"/>
    <mergeCell ref="AE3225:AG3225"/>
    <mergeCell ref="B3226:L3226"/>
    <mergeCell ref="M3226:O3226"/>
    <mergeCell ref="P3226:R3226"/>
    <mergeCell ref="S3226:U3226"/>
    <mergeCell ref="V3226:X3226"/>
    <mergeCell ref="Y3226:AA3226"/>
    <mergeCell ref="AB3226:AD3226"/>
    <mergeCell ref="AE3226:AG3226"/>
    <mergeCell ref="S3230:U3230"/>
    <mergeCell ref="V3230:X3230"/>
    <mergeCell ref="Y3230:AA3230"/>
    <mergeCell ref="AB3230:AD3230"/>
    <mergeCell ref="AE3230:AG3230"/>
    <mergeCell ref="B3231:L3231"/>
    <mergeCell ref="M3231:O3231"/>
    <mergeCell ref="P3231:R3231"/>
    <mergeCell ref="S3231:U3231"/>
    <mergeCell ref="V3231:X3231"/>
    <mergeCell ref="Y3231:AA3231"/>
    <mergeCell ref="AB3231:AD3231"/>
    <mergeCell ref="AE3231:AG3231"/>
    <mergeCell ref="B3232:L3232"/>
    <mergeCell ref="M3232:O3232"/>
    <mergeCell ref="P3232:R3232"/>
    <mergeCell ref="S3232:U3232"/>
    <mergeCell ref="V3232:X3232"/>
    <mergeCell ref="Y3232:AA3232"/>
    <mergeCell ref="AB3232:AD3232"/>
    <mergeCell ref="AE3232:AG3232"/>
    <mergeCell ref="B3234:L3234"/>
    <mergeCell ref="M3234:O3234"/>
    <mergeCell ref="P3234:R3234"/>
    <mergeCell ref="S3234:U3234"/>
    <mergeCell ref="V3234:X3234"/>
    <mergeCell ref="Y3234:AA3234"/>
    <mergeCell ref="AB3234:AD3234"/>
    <mergeCell ref="AE3234:AG3234"/>
    <mergeCell ref="B3280:AG3280"/>
    <mergeCell ref="B3281:AG3281"/>
    <mergeCell ref="B3283:AG3283"/>
    <mergeCell ref="B3284:AG3284"/>
    <mergeCell ref="B3389:N3389"/>
    <mergeCell ref="O3389:Q3389"/>
    <mergeCell ref="B3391:N3391"/>
    <mergeCell ref="O3391:Q3391"/>
    <mergeCell ref="B3392:N3392"/>
    <mergeCell ref="O3392:Q3392"/>
    <mergeCell ref="B3394:AG3409"/>
    <mergeCell ref="B3328:AG3364"/>
    <mergeCell ref="B3367:AG3367"/>
    <mergeCell ref="B3368:AG3368"/>
    <mergeCell ref="B3370:AG3370"/>
    <mergeCell ref="B3371:Z3371"/>
    <mergeCell ref="B3373:E3373"/>
    <mergeCell ref="G3373:X3373"/>
    <mergeCell ref="B3374:E3374"/>
    <mergeCell ref="G3374:X3374"/>
    <mergeCell ref="B3375:E3375"/>
    <mergeCell ref="G3375:X3375"/>
    <mergeCell ref="B3377:AG3377"/>
    <mergeCell ref="W3379:AC3379"/>
    <mergeCell ref="W3380:AC3380"/>
    <mergeCell ref="W3381:AC3381"/>
    <mergeCell ref="B3383:N3383"/>
    <mergeCell ref="O3383:Q3383"/>
    <mergeCell ref="B3390:N3390"/>
    <mergeCell ref="O3390:Q3390"/>
    <mergeCell ref="M3233:O3233"/>
    <mergeCell ref="P3233:R3233"/>
    <mergeCell ref="S3233:U3233"/>
    <mergeCell ref="V3233:X3233"/>
    <mergeCell ref="Y3233:AA3233"/>
    <mergeCell ref="AB3233:AD3233"/>
    <mergeCell ref="AE3233:AG3233"/>
    <mergeCell ref="B3237:AG3237"/>
    <mergeCell ref="B3238:AG3238"/>
    <mergeCell ref="B3240:AG3240"/>
    <mergeCell ref="B3241:AG3241"/>
    <mergeCell ref="B3242:AG3277"/>
    <mergeCell ref="B3323:AG3323"/>
    <mergeCell ref="B3324:AG3324"/>
    <mergeCell ref="B3326:AG3326"/>
    <mergeCell ref="B3327:AG3327"/>
    <mergeCell ref="B3285:AG3320"/>
    <mergeCell ref="B3233:L3233"/>
    <mergeCell ref="G1121:H1121"/>
    <mergeCell ref="G1122:H1122"/>
    <mergeCell ref="G1123:H1123"/>
    <mergeCell ref="G1124:H1124"/>
    <mergeCell ref="G1125:H1125"/>
    <mergeCell ref="G1126:H1126"/>
    <mergeCell ref="G1127:H1127"/>
    <mergeCell ref="G1128:H1128"/>
    <mergeCell ref="G1129:H1129"/>
    <mergeCell ref="G1130:H1130"/>
    <mergeCell ref="G1131:H1131"/>
    <mergeCell ref="G1132:H1132"/>
    <mergeCell ref="G1133:H1133"/>
    <mergeCell ref="G1134:H1134"/>
    <mergeCell ref="G1135:H1135"/>
    <mergeCell ref="G1136:H1136"/>
    <mergeCell ref="G1137:H1137"/>
    <mergeCell ref="G1138:H1138"/>
    <mergeCell ref="G1139:H1139"/>
    <mergeCell ref="G1140:H1140"/>
    <mergeCell ref="G1141:H1141"/>
    <mergeCell ref="G1142:H1142"/>
    <mergeCell ref="G1143:H1143"/>
    <mergeCell ref="G1144:H1144"/>
    <mergeCell ref="B3384:N3384"/>
    <mergeCell ref="O3384:Q3384"/>
    <mergeCell ref="B3385:N3385"/>
    <mergeCell ref="O3385:Q3385"/>
    <mergeCell ref="B3386:N3386"/>
    <mergeCell ref="O3386:Q3386"/>
    <mergeCell ref="B3387:N3387"/>
    <mergeCell ref="O3387:Q3387"/>
    <mergeCell ref="B3388:N3388"/>
    <mergeCell ref="O3388:Q3388"/>
    <mergeCell ref="B3230:L3230"/>
    <mergeCell ref="M3230:O3230"/>
    <mergeCell ref="P3230:R3230"/>
    <mergeCell ref="B3227:L3227"/>
    <mergeCell ref="M3227:O3227"/>
    <mergeCell ref="P3227:R3227"/>
    <mergeCell ref="B3222:L3222"/>
    <mergeCell ref="M3222:O3222"/>
    <mergeCell ref="P3222:R3222"/>
    <mergeCell ref="B3195:L3195"/>
    <mergeCell ref="D3211:K3211"/>
    <mergeCell ref="L3211:O3211"/>
    <mergeCell ref="P3211:Q3211"/>
    <mergeCell ref="R3211:W3211"/>
    <mergeCell ref="D3208:K3208"/>
    <mergeCell ref="L3208:O3208"/>
    <mergeCell ref="P3208:Q3208"/>
    <mergeCell ref="R3208:W3208"/>
    <mergeCell ref="V3197:X3197"/>
    <mergeCell ref="B3152:L3152"/>
    <mergeCell ref="M3152:O3152"/>
    <mergeCell ref="P3152:R3152"/>
    <mergeCell ref="S3152:U3152"/>
    <mergeCell ref="V3152:X3152"/>
    <mergeCell ref="B3183:L3183"/>
    <mergeCell ref="M3183:O3183"/>
    <mergeCell ref="P3183:R3183"/>
    <mergeCell ref="S3183:U3183"/>
    <mergeCell ref="V3183:X3183"/>
    <mergeCell ref="B3121:F3121"/>
    <mergeCell ref="AC954:AD954"/>
    <mergeCell ref="AC952:AD952"/>
    <mergeCell ref="AC953:AD953"/>
    <mergeCell ref="W1009:X1009"/>
    <mergeCell ref="W1010:X1010"/>
    <mergeCell ref="W1011:X1011"/>
    <mergeCell ref="I1117:J1117"/>
    <mergeCell ref="I1115:J1116"/>
    <mergeCell ref="I1118:J1118"/>
    <mergeCell ref="I1119:J1119"/>
    <mergeCell ref="I1120:J1120"/>
    <mergeCell ref="I1121:J1121"/>
    <mergeCell ref="I1122:J1122"/>
    <mergeCell ref="I1123:J1123"/>
    <mergeCell ref="I1124:J1124"/>
    <mergeCell ref="I1125:J1125"/>
    <mergeCell ref="I1126:J1126"/>
    <mergeCell ref="I1127:J1127"/>
    <mergeCell ref="I1128:J1128"/>
    <mergeCell ref="I1129:J1129"/>
    <mergeCell ref="I1130:J1130"/>
    <mergeCell ref="I1131:J1131"/>
    <mergeCell ref="I1132:J1132"/>
    <mergeCell ref="I1133:J1133"/>
    <mergeCell ref="I1134:J1134"/>
    <mergeCell ref="I1135:J1135"/>
    <mergeCell ref="I1136:J1136"/>
    <mergeCell ref="I1137:J1137"/>
    <mergeCell ref="I1138:J1138"/>
    <mergeCell ref="I1139:J1139"/>
    <mergeCell ref="I1140:J1140"/>
    <mergeCell ref="I1141:J1141"/>
    <mergeCell ref="I1142:J1142"/>
    <mergeCell ref="S991:V991"/>
    <mergeCell ref="S992:V992"/>
    <mergeCell ref="S993:V993"/>
    <mergeCell ref="S994:V994"/>
    <mergeCell ref="S995:V995"/>
    <mergeCell ref="M956:N956"/>
    <mergeCell ref="O956:P956"/>
    <mergeCell ref="Q956:T956"/>
    <mergeCell ref="K1137:N1137"/>
    <mergeCell ref="O1137:R1137"/>
    <mergeCell ref="S1137:V1137"/>
    <mergeCell ref="W1137:Z1137"/>
    <mergeCell ref="K1138:N1138"/>
    <mergeCell ref="O1138:R1138"/>
    <mergeCell ref="S1138:V1138"/>
    <mergeCell ref="W1138:Z1138"/>
    <mergeCell ref="K1139:N1139"/>
    <mergeCell ref="O1139:R1139"/>
    <mergeCell ref="S1139:V1139"/>
    <mergeCell ref="W1139:Z1139"/>
    <mergeCell ref="K1134:N1134"/>
    <mergeCell ref="O1134:R1134"/>
    <mergeCell ref="S1134:V1134"/>
    <mergeCell ref="W1134:Z1134"/>
    <mergeCell ref="K1135:N1135"/>
    <mergeCell ref="O1135:R1135"/>
    <mergeCell ref="S1135:V1135"/>
    <mergeCell ref="W1135:Z1135"/>
    <mergeCell ref="K1136:N1136"/>
    <mergeCell ref="O1136:R1136"/>
    <mergeCell ref="S1136:V1136"/>
    <mergeCell ref="G1145:H1145"/>
    <mergeCell ref="G1146:H1146"/>
    <mergeCell ref="G1147:H1147"/>
    <mergeCell ref="G1148:H1148"/>
    <mergeCell ref="G1149:H1149"/>
    <mergeCell ref="G1150:H1150"/>
    <mergeCell ref="G1151:H1151"/>
    <mergeCell ref="G1152:H1152"/>
    <mergeCell ref="G1153:H1153"/>
    <mergeCell ref="G1154:H1154"/>
    <mergeCell ref="G1155:H1155"/>
    <mergeCell ref="G1156:H1156"/>
    <mergeCell ref="G1157:H1157"/>
    <mergeCell ref="G1158:H1158"/>
    <mergeCell ref="G1159:H1159"/>
    <mergeCell ref="G1160:H1160"/>
    <mergeCell ref="G1161:H1161"/>
    <mergeCell ref="G1162:H1162"/>
    <mergeCell ref="G1163:H1163"/>
    <mergeCell ref="G1164:H1164"/>
    <mergeCell ref="G1165:H1165"/>
    <mergeCell ref="G1166:H1166"/>
    <mergeCell ref="G1167:H1167"/>
    <mergeCell ref="G1168:H1168"/>
    <mergeCell ref="G1169:H1169"/>
    <mergeCell ref="G1170:H1170"/>
    <mergeCell ref="G1171:H1171"/>
    <mergeCell ref="G1172:H1172"/>
    <mergeCell ref="G1173:H1173"/>
    <mergeCell ref="G1174:H1174"/>
    <mergeCell ref="I1196:J1197"/>
    <mergeCell ref="I1198:J1198"/>
    <mergeCell ref="W827:X827"/>
    <mergeCell ref="W828:X828"/>
    <mergeCell ref="W829:X829"/>
    <mergeCell ref="W830:X830"/>
    <mergeCell ref="W831:X831"/>
    <mergeCell ref="W832:X832"/>
    <mergeCell ref="W833:X833"/>
    <mergeCell ref="W834:X834"/>
    <mergeCell ref="W835:X835"/>
    <mergeCell ref="W836:X836"/>
    <mergeCell ref="W837:X837"/>
    <mergeCell ref="W838:X838"/>
    <mergeCell ref="W839:X839"/>
    <mergeCell ref="W840:X840"/>
    <mergeCell ref="W841:X841"/>
    <mergeCell ref="W842:X842"/>
    <mergeCell ref="W843:X843"/>
    <mergeCell ref="W844:X844"/>
    <mergeCell ref="W845:X845"/>
    <mergeCell ref="W846:X846"/>
    <mergeCell ref="W847:X847"/>
    <mergeCell ref="W848:X848"/>
    <mergeCell ref="W849:X849"/>
    <mergeCell ref="W850:X850"/>
    <mergeCell ref="W851:X851"/>
    <mergeCell ref="I1143:J1143"/>
    <mergeCell ref="I1144:J1144"/>
    <mergeCell ref="G1115:H1116"/>
    <mergeCell ref="G1117:H1117"/>
    <mergeCell ref="G1118:H1118"/>
    <mergeCell ref="G1119:H1119"/>
    <mergeCell ref="G1120:H1120"/>
    <mergeCell ref="I1199:J1199"/>
    <mergeCell ref="B1176:G1176"/>
    <mergeCell ref="H1176:N1176"/>
    <mergeCell ref="B1179:N1179"/>
    <mergeCell ref="I1201:J1201"/>
    <mergeCell ref="I1202:J1202"/>
    <mergeCell ref="I1203:J1203"/>
    <mergeCell ref="I1204:J1204"/>
    <mergeCell ref="I1205:J1205"/>
    <mergeCell ref="I1206:J1206"/>
    <mergeCell ref="I1207:J1207"/>
    <mergeCell ref="I1208:J1208"/>
    <mergeCell ref="I1209:J1209"/>
    <mergeCell ref="I1210:J1210"/>
    <mergeCell ref="I1211:J1211"/>
    <mergeCell ref="I1212:J1212"/>
    <mergeCell ref="I1213:J1213"/>
    <mergeCell ref="I1214:J1214"/>
    <mergeCell ref="I1215:J1215"/>
    <mergeCell ref="I1216:J1216"/>
    <mergeCell ref="I1217:J1217"/>
    <mergeCell ref="I1218:J1218"/>
    <mergeCell ref="I1219:J1219"/>
    <mergeCell ref="I1220:J1220"/>
    <mergeCell ref="I1221:J1221"/>
    <mergeCell ref="I1222:J1222"/>
    <mergeCell ref="I1223:J1223"/>
    <mergeCell ref="I1224:J1224"/>
    <mergeCell ref="I1225:J1225"/>
    <mergeCell ref="I1226:J1226"/>
    <mergeCell ref="I1227:J1227"/>
    <mergeCell ref="I1228:J1228"/>
    <mergeCell ref="I1229:J1229"/>
    <mergeCell ref="K1201:N1201"/>
    <mergeCell ref="K1225:N1225"/>
    <mergeCell ref="K1227:N1227"/>
    <mergeCell ref="I1230:J1230"/>
    <mergeCell ref="I1231:J1231"/>
    <mergeCell ref="I1232:J1232"/>
    <mergeCell ref="I1233:J1233"/>
    <mergeCell ref="I1234:J1234"/>
    <mergeCell ref="I1235:J1235"/>
    <mergeCell ref="I1236:J1236"/>
    <mergeCell ref="I1247:J1247"/>
    <mergeCell ref="I1248:J1248"/>
    <mergeCell ref="I1249:J1249"/>
    <mergeCell ref="I1250:J1250"/>
    <mergeCell ref="I1251:J1251"/>
    <mergeCell ref="I1252:J1252"/>
    <mergeCell ref="I1253:J1253"/>
    <mergeCell ref="I1254:J1254"/>
    <mergeCell ref="I1255:J1255"/>
    <mergeCell ref="G1196:H1197"/>
    <mergeCell ref="G1198:H1198"/>
    <mergeCell ref="G1199:H1199"/>
    <mergeCell ref="G1200:H1200"/>
    <mergeCell ref="G1201:H1201"/>
    <mergeCell ref="G1202:H1202"/>
    <mergeCell ref="G1203:H1203"/>
    <mergeCell ref="G1204:H1204"/>
    <mergeCell ref="G1205:H1205"/>
    <mergeCell ref="G1206:H1206"/>
    <mergeCell ref="G1207:H1207"/>
    <mergeCell ref="G1208:H1208"/>
    <mergeCell ref="G1209:H1209"/>
    <mergeCell ref="G1210:H1210"/>
    <mergeCell ref="G1211:H1211"/>
    <mergeCell ref="G1212:H1212"/>
    <mergeCell ref="G1213:H1213"/>
    <mergeCell ref="G1214:H1214"/>
    <mergeCell ref="G1215:H1215"/>
    <mergeCell ref="G1216:H1216"/>
    <mergeCell ref="G1217:H1217"/>
    <mergeCell ref="G1218:H1218"/>
    <mergeCell ref="G1219:H1219"/>
    <mergeCell ref="G1220:H1220"/>
    <mergeCell ref="G1221:H1221"/>
    <mergeCell ref="G1222:H1222"/>
    <mergeCell ref="G1223:H1223"/>
    <mergeCell ref="G1224:H1224"/>
    <mergeCell ref="G1225:H1225"/>
    <mergeCell ref="G1226:H1226"/>
    <mergeCell ref="G1227:H1227"/>
    <mergeCell ref="G1228:H1228"/>
    <mergeCell ref="G1229:H1229"/>
    <mergeCell ref="G1230:H1230"/>
    <mergeCell ref="G1231:H1231"/>
    <mergeCell ref="G1232:H1232"/>
    <mergeCell ref="G1233:H1233"/>
    <mergeCell ref="G1234:H1234"/>
    <mergeCell ref="G1235:H1235"/>
    <mergeCell ref="G1236:H1236"/>
    <mergeCell ref="G1237:H1237"/>
    <mergeCell ref="G1238:H1238"/>
    <mergeCell ref="G1239:H1239"/>
    <mergeCell ref="G1240:H1240"/>
    <mergeCell ref="G1241:H1241"/>
    <mergeCell ref="G1242:H1242"/>
    <mergeCell ref="G1243:H1243"/>
    <mergeCell ref="G1244:H1244"/>
    <mergeCell ref="I1287:J1287"/>
    <mergeCell ref="G1288:H1288"/>
    <mergeCell ref="I1288:J1288"/>
    <mergeCell ref="G1289:H1289"/>
    <mergeCell ref="I1289:J1289"/>
    <mergeCell ref="G1290:H1290"/>
    <mergeCell ref="I1290:J1290"/>
    <mergeCell ref="G1291:H1291"/>
    <mergeCell ref="I1291:J1291"/>
    <mergeCell ref="G1292:H1292"/>
    <mergeCell ref="I1292:J1292"/>
    <mergeCell ref="B1273:AG1273"/>
    <mergeCell ref="B1274:AG1274"/>
    <mergeCell ref="B1277:F1278"/>
    <mergeCell ref="K1277:N1278"/>
    <mergeCell ref="O1277:R1278"/>
    <mergeCell ref="S1277:V1278"/>
    <mergeCell ref="K1279:N1279"/>
    <mergeCell ref="O1279:R1279"/>
    <mergeCell ref="S1279:V1279"/>
    <mergeCell ref="B1270:AG1270"/>
    <mergeCell ref="B1257:G1257"/>
    <mergeCell ref="H1257:N1257"/>
    <mergeCell ref="B1260:N1260"/>
    <mergeCell ref="O1260:Q1260"/>
    <mergeCell ref="B1261:N1261"/>
    <mergeCell ref="O1261:Q1261"/>
    <mergeCell ref="B1262:N1262"/>
    <mergeCell ref="O1262:Q1262"/>
    <mergeCell ref="B1263:N1263"/>
    <mergeCell ref="O1263:Q1263"/>
    <mergeCell ref="B1264:N1264"/>
    <mergeCell ref="O1264:Q1264"/>
    <mergeCell ref="B1265:N1265"/>
    <mergeCell ref="O1265:Q1265"/>
    <mergeCell ref="B1266:N1266"/>
    <mergeCell ref="O1266:Q1266"/>
    <mergeCell ref="B1267:N1267"/>
    <mergeCell ref="O1267:Q1267"/>
    <mergeCell ref="B1268:N1268"/>
    <mergeCell ref="O1268:Q1268"/>
    <mergeCell ref="O1284:R1284"/>
    <mergeCell ref="S1284:V1284"/>
    <mergeCell ref="K1285:N1285"/>
    <mergeCell ref="O1285:R1285"/>
    <mergeCell ref="S1285:V1285"/>
    <mergeCell ref="K1286:N1286"/>
    <mergeCell ref="O1286:R1286"/>
    <mergeCell ref="S1286:V1286"/>
    <mergeCell ref="K1287:N1287"/>
    <mergeCell ref="O1287:R1287"/>
    <mergeCell ref="S1287:V1287"/>
    <mergeCell ref="K1288:N1288"/>
    <mergeCell ref="O1288:R1288"/>
    <mergeCell ref="S1288:V1288"/>
    <mergeCell ref="K1289:N1289"/>
    <mergeCell ref="O1289:R1289"/>
    <mergeCell ref="S1289:V1289"/>
    <mergeCell ref="K1290:N1290"/>
    <mergeCell ref="O1290:R1290"/>
    <mergeCell ref="S1290:V1290"/>
    <mergeCell ref="G1526:H1526"/>
    <mergeCell ref="G1527:H1527"/>
    <mergeCell ref="G1528:H1528"/>
    <mergeCell ref="G1529:H1529"/>
    <mergeCell ref="G1505:H1505"/>
    <mergeCell ref="K1298:N1298"/>
    <mergeCell ref="O1298:R1298"/>
    <mergeCell ref="S1298:V1298"/>
    <mergeCell ref="K1299:N1299"/>
    <mergeCell ref="O1299:R1299"/>
    <mergeCell ref="S1299:V1299"/>
    <mergeCell ref="K1300:N1300"/>
    <mergeCell ref="O1300:R1300"/>
    <mergeCell ref="S1300:V1300"/>
    <mergeCell ref="K1301:N1301"/>
    <mergeCell ref="O1301:R1301"/>
    <mergeCell ref="S1301:V1301"/>
    <mergeCell ref="K1302:N1302"/>
    <mergeCell ref="O1302:R1302"/>
    <mergeCell ref="S1302:V1302"/>
    <mergeCell ref="K1303:N1303"/>
    <mergeCell ref="O1303:R1303"/>
    <mergeCell ref="S1303:V1303"/>
    <mergeCell ref="G1298:H1298"/>
    <mergeCell ref="I1298:J1298"/>
    <mergeCell ref="G1299:H1299"/>
    <mergeCell ref="I1299:J1299"/>
    <mergeCell ref="G1300:H1300"/>
    <mergeCell ref="I1300:J1300"/>
    <mergeCell ref="G1301:H1301"/>
    <mergeCell ref="I1301:J1301"/>
    <mergeCell ref="G1302:H1302"/>
    <mergeCell ref="I1302:J1302"/>
    <mergeCell ref="G1303:H1303"/>
    <mergeCell ref="I1303:J1303"/>
    <mergeCell ref="K1310:N1310"/>
    <mergeCell ref="O1310:R1310"/>
    <mergeCell ref="S1310:V1310"/>
    <mergeCell ref="K1311:N1311"/>
    <mergeCell ref="O1311:R1311"/>
    <mergeCell ref="S1311:V1311"/>
    <mergeCell ref="K1312:N1312"/>
    <mergeCell ref="O1312:R1312"/>
    <mergeCell ref="S1312:V1312"/>
    <mergeCell ref="K1313:N1313"/>
    <mergeCell ref="O1313:R1313"/>
    <mergeCell ref="S1313:V1313"/>
    <mergeCell ref="K1314:N1314"/>
    <mergeCell ref="O1314:R1314"/>
    <mergeCell ref="S1314:V1314"/>
    <mergeCell ref="K1315:N1315"/>
    <mergeCell ref="O1315:R1315"/>
    <mergeCell ref="S1315:V1315"/>
    <mergeCell ref="G1310:H1310"/>
    <mergeCell ref="I1310:J1310"/>
    <mergeCell ref="G1311:H1311"/>
    <mergeCell ref="I1311:J1311"/>
    <mergeCell ref="G1312:H1312"/>
    <mergeCell ref="I1312:J1312"/>
    <mergeCell ref="G1313:H1313"/>
    <mergeCell ref="I1313:J1313"/>
    <mergeCell ref="G1314:H1314"/>
    <mergeCell ref="I1314:J1314"/>
    <mergeCell ref="G1315:H1315"/>
    <mergeCell ref="M1485:N1485"/>
    <mergeCell ref="M1486:N1486"/>
    <mergeCell ref="M1487:N1487"/>
    <mergeCell ref="M1488:N1488"/>
    <mergeCell ref="M1489:N1489"/>
    <mergeCell ref="M1490:N1490"/>
    <mergeCell ref="M1491:N1491"/>
    <mergeCell ref="M1492:N1492"/>
    <mergeCell ref="M1493:N1493"/>
    <mergeCell ref="M1494:N1494"/>
    <mergeCell ref="M1495:N1495"/>
    <mergeCell ref="M1497:N1497"/>
    <mergeCell ref="M1511:N1511"/>
    <mergeCell ref="M1512:N1512"/>
    <mergeCell ref="M1513:N1513"/>
    <mergeCell ref="M1514:N1514"/>
    <mergeCell ref="M1515:N1515"/>
    <mergeCell ref="M1516:N1516"/>
    <mergeCell ref="I1491:L1491"/>
    <mergeCell ref="I1492:L1492"/>
    <mergeCell ref="K1291:N1291"/>
    <mergeCell ref="O1291:R1291"/>
    <mergeCell ref="S1291:V1291"/>
    <mergeCell ref="K1292:N1292"/>
    <mergeCell ref="O1292:R1292"/>
    <mergeCell ref="S1292:V1292"/>
    <mergeCell ref="G1328:H1328"/>
    <mergeCell ref="I1328:J1328"/>
    <mergeCell ref="G1329:H1329"/>
    <mergeCell ref="I1329:J1329"/>
    <mergeCell ref="G1330:H1330"/>
    <mergeCell ref="I1330:J1330"/>
    <mergeCell ref="G1331:H1331"/>
    <mergeCell ref="I1331:J1331"/>
    <mergeCell ref="G1332:H1332"/>
    <mergeCell ref="I1332:J1332"/>
    <mergeCell ref="G1333:H1333"/>
    <mergeCell ref="I1333:J1333"/>
    <mergeCell ref="G1334:H1334"/>
    <mergeCell ref="I1334:J1334"/>
    <mergeCell ref="G1335:H1335"/>
    <mergeCell ref="I1335:J1335"/>
    <mergeCell ref="G1336:H1336"/>
    <mergeCell ref="I1336:J1336"/>
    <mergeCell ref="G1358:H1359"/>
    <mergeCell ref="I1358:J1359"/>
    <mergeCell ref="I1360:J1360"/>
    <mergeCell ref="G1360:H1360"/>
    <mergeCell ref="B1348:N1348"/>
    <mergeCell ref="I1315:J1315"/>
    <mergeCell ref="K1336:N1336"/>
    <mergeCell ref="O1336:R1336"/>
    <mergeCell ref="S1336:V1336"/>
    <mergeCell ref="B1338:G1338"/>
    <mergeCell ref="H1338:N1338"/>
    <mergeCell ref="B1341:N1341"/>
    <mergeCell ref="O1341:Q1341"/>
    <mergeCell ref="B1342:N1342"/>
    <mergeCell ref="O1342:Q1342"/>
    <mergeCell ref="B1343:N1343"/>
    <mergeCell ref="O1343:Q1343"/>
    <mergeCell ref="B1344:N1344"/>
    <mergeCell ref="O1344:Q1344"/>
    <mergeCell ref="B1345:N1345"/>
    <mergeCell ref="G1565:H1565"/>
    <mergeCell ref="I1412:J1412"/>
    <mergeCell ref="G1413:H1413"/>
    <mergeCell ref="I1413:J1413"/>
    <mergeCell ref="G1414:H1414"/>
    <mergeCell ref="I1414:J1414"/>
    <mergeCell ref="G1415:H1415"/>
    <mergeCell ref="I1415:J1415"/>
    <mergeCell ref="G1416:H1416"/>
    <mergeCell ref="I1416:J1416"/>
    <mergeCell ref="G1417:H1417"/>
    <mergeCell ref="I1417:J1417"/>
    <mergeCell ref="G1477:H1478"/>
    <mergeCell ref="G1479:H1479"/>
    <mergeCell ref="G1480:H1480"/>
    <mergeCell ref="G1481:H1481"/>
    <mergeCell ref="G1482:H1482"/>
    <mergeCell ref="G1483:H1483"/>
    <mergeCell ref="G1484:H1484"/>
    <mergeCell ref="G1485:H1485"/>
    <mergeCell ref="G1486:H1486"/>
    <mergeCell ref="G1487:H1487"/>
    <mergeCell ref="G1488:H1488"/>
    <mergeCell ref="G1489:H1489"/>
    <mergeCell ref="G1490:H1490"/>
    <mergeCell ref="G1491:H1491"/>
    <mergeCell ref="G1492:H1492"/>
    <mergeCell ref="G1493:H1493"/>
    <mergeCell ref="G1494:H1494"/>
    <mergeCell ref="G1495:H1495"/>
    <mergeCell ref="G1496:H1496"/>
    <mergeCell ref="G1497:H1497"/>
    <mergeCell ref="G1498:H1498"/>
    <mergeCell ref="G1499:H1499"/>
    <mergeCell ref="I1536:L1536"/>
    <mergeCell ref="B1538:G1538"/>
    <mergeCell ref="H1538:N1538"/>
    <mergeCell ref="I1527:L1527"/>
    <mergeCell ref="I1528:L1528"/>
    <mergeCell ref="I1529:L1529"/>
    <mergeCell ref="I1530:L1530"/>
    <mergeCell ref="I1523:L1523"/>
    <mergeCell ref="I1515:L1515"/>
    <mergeCell ref="I1516:L1516"/>
    <mergeCell ref="I1517:L1517"/>
    <mergeCell ref="I1518:L1518"/>
    <mergeCell ref="I1511:L1511"/>
    <mergeCell ref="G1511:H1511"/>
    <mergeCell ref="G1512:H1512"/>
    <mergeCell ref="G1513:H1513"/>
    <mergeCell ref="G1514:H1514"/>
    <mergeCell ref="G1515:H1515"/>
    <mergeCell ref="G1516:H1516"/>
    <mergeCell ref="G1517:H1517"/>
    <mergeCell ref="G1518:H1518"/>
    <mergeCell ref="G1519:H1519"/>
    <mergeCell ref="G1520:H1520"/>
    <mergeCell ref="G1521:H1521"/>
    <mergeCell ref="I1493:L1493"/>
    <mergeCell ref="G1500:H1500"/>
    <mergeCell ref="G1501:H1501"/>
    <mergeCell ref="G1502:H1502"/>
    <mergeCell ref="G1503:H1503"/>
    <mergeCell ref="M1565:N1565"/>
    <mergeCell ref="AC951:AD951"/>
    <mergeCell ref="Y1901:AB1901"/>
    <mergeCell ref="Y1902:AB1902"/>
    <mergeCell ref="Y1903:AB1903"/>
    <mergeCell ref="B1918:AG1918"/>
    <mergeCell ref="W3382:AC3382"/>
    <mergeCell ref="G1566:H1566"/>
    <mergeCell ref="G1567:H1567"/>
    <mergeCell ref="G1568:H1568"/>
    <mergeCell ref="G1569:H1569"/>
    <mergeCell ref="G1570:H1570"/>
    <mergeCell ref="G1571:H1571"/>
    <mergeCell ref="G1572:H1572"/>
    <mergeCell ref="G1573:H1573"/>
    <mergeCell ref="G1574:H1574"/>
    <mergeCell ref="G1575:H1575"/>
    <mergeCell ref="G1576:H1576"/>
    <mergeCell ref="G1577:H1577"/>
    <mergeCell ref="G1578:H1578"/>
    <mergeCell ref="G1579:H1579"/>
    <mergeCell ref="G1580:H1580"/>
    <mergeCell ref="G1581:H1581"/>
    <mergeCell ref="G1582:H1582"/>
    <mergeCell ref="G1583:H1583"/>
    <mergeCell ref="G1584:H1584"/>
    <mergeCell ref="G1585:H1585"/>
    <mergeCell ref="G1586:H1586"/>
    <mergeCell ref="G1587:H1587"/>
    <mergeCell ref="G1588:H1588"/>
    <mergeCell ref="G1589:H1589"/>
    <mergeCell ref="G1590:H1590"/>
    <mergeCell ref="G1591:H1591"/>
    <mergeCell ref="G1592:H1592"/>
    <mergeCell ref="G1593:H1593"/>
    <mergeCell ref="G1594:H1594"/>
    <mergeCell ref="G1595:H1595"/>
    <mergeCell ref="G1596:H1596"/>
    <mergeCell ref="G1597:H1597"/>
    <mergeCell ref="G1598:H1598"/>
    <mergeCell ref="M1592:N1592"/>
    <mergeCell ref="M1593:N1593"/>
    <mergeCell ref="M1594:N1594"/>
    <mergeCell ref="M1595:N1595"/>
    <mergeCell ref="M1596:N1596"/>
    <mergeCell ref="M1597:N1597"/>
    <mergeCell ref="M1598:N1598"/>
    <mergeCell ref="M1599:N1599"/>
    <mergeCell ref="M1600:N1600"/>
    <mergeCell ref="M1601:N1601"/>
    <mergeCell ref="M1602:N1602"/>
    <mergeCell ref="M1603:N1603"/>
    <mergeCell ref="M1604:N1604"/>
    <mergeCell ref="M1605:N1605"/>
    <mergeCell ref="M1606:N1606"/>
    <mergeCell ref="M1607:N1607"/>
    <mergeCell ref="M1608:N1608"/>
    <mergeCell ref="M1609:N1609"/>
    <mergeCell ref="M1610:N1610"/>
    <mergeCell ref="M1611:N1611"/>
    <mergeCell ref="M1612:N1612"/>
    <mergeCell ref="M1613:N1613"/>
    <mergeCell ref="M1614:N1614"/>
    <mergeCell ref="M1615:N1615"/>
    <mergeCell ref="M1616:N1616"/>
    <mergeCell ref="AC797:AD797"/>
    <mergeCell ref="Y1900:AB1900"/>
    <mergeCell ref="W1028:X1028"/>
    <mergeCell ref="W1029:X1029"/>
    <mergeCell ref="W1030:X1030"/>
    <mergeCell ref="W1031:X1031"/>
    <mergeCell ref="W1008:X1008"/>
    <mergeCell ref="W1005:X1005"/>
    <mergeCell ref="W1006:X1006"/>
    <mergeCell ref="W1007:X1007"/>
    <mergeCell ref="W986:X987"/>
    <mergeCell ref="W988:X988"/>
    <mergeCell ref="W989:X989"/>
    <mergeCell ref="W990:X990"/>
    <mergeCell ref="W991:X991"/>
    <mergeCell ref="W992:X992"/>
    <mergeCell ref="W993:X993"/>
    <mergeCell ref="Y913:AB913"/>
    <mergeCell ref="U914:X914"/>
    <mergeCell ref="Y914:AB914"/>
    <mergeCell ref="U963:X963"/>
    <mergeCell ref="Y963:AB963"/>
    <mergeCell ref="Y964:AB964"/>
    <mergeCell ref="S855:V855"/>
    <mergeCell ref="S856:V856"/>
    <mergeCell ref="S857:V857"/>
    <mergeCell ref="S858:V858"/>
    <mergeCell ref="S859:V859"/>
    <mergeCell ref="S860:V860"/>
    <mergeCell ref="S861:V861"/>
    <mergeCell ref="S862:V862"/>
    <mergeCell ref="S863:V863"/>
    <mergeCell ref="S864:V864"/>
    <mergeCell ref="AC955:AD955"/>
    <mergeCell ref="AC956:AD956"/>
    <mergeCell ref="AC957:AD957"/>
    <mergeCell ref="AC958:AD958"/>
    <mergeCell ref="AC959:AD959"/>
    <mergeCell ref="AC960:AD960"/>
    <mergeCell ref="AC961:AD961"/>
    <mergeCell ref="AC962:AD962"/>
    <mergeCell ref="AC963:AD963"/>
    <mergeCell ref="AC964:AD964"/>
    <mergeCell ref="W1021:X1021"/>
    <mergeCell ref="W1022:X1022"/>
    <mergeCell ref="W1023:X1023"/>
    <mergeCell ref="W1024:X1024"/>
    <mergeCell ref="W1025:X1025"/>
    <mergeCell ref="W1026:X1026"/>
    <mergeCell ref="W1027:X1027"/>
    <mergeCell ref="AC937:AD937"/>
    <mergeCell ref="AC938:AD938"/>
    <mergeCell ref="AC939:AD939"/>
    <mergeCell ref="AC940:AD940"/>
    <mergeCell ref="AC941:AD941"/>
    <mergeCell ref="AC942:AD942"/>
    <mergeCell ref="AC943:AD943"/>
    <mergeCell ref="AC944:AD944"/>
    <mergeCell ref="AC945:AD945"/>
    <mergeCell ref="AC946:AD946"/>
    <mergeCell ref="AC947:AD947"/>
    <mergeCell ref="AC948:AD948"/>
    <mergeCell ref="AC949:AD949"/>
    <mergeCell ref="AC950:AD950"/>
    <mergeCell ref="AC743:AD744"/>
    <mergeCell ref="AC765:AD765"/>
    <mergeCell ref="AC745:AD745"/>
    <mergeCell ref="AC746:AD746"/>
    <mergeCell ref="AC747:AD747"/>
    <mergeCell ref="AC748:AD748"/>
    <mergeCell ref="AC749:AD749"/>
    <mergeCell ref="AC750:AD750"/>
    <mergeCell ref="AC751:AD751"/>
    <mergeCell ref="AC752:AD752"/>
    <mergeCell ref="AC753:AD753"/>
    <mergeCell ref="AC754:AD754"/>
    <mergeCell ref="AC755:AD755"/>
    <mergeCell ref="AC756:AD756"/>
    <mergeCell ref="AC757:AD757"/>
    <mergeCell ref="AC758:AD758"/>
    <mergeCell ref="AC759:AD759"/>
    <mergeCell ref="AC760:AD760"/>
    <mergeCell ref="AC761:AD761"/>
    <mergeCell ref="AC762:AD762"/>
    <mergeCell ref="AC763:AD763"/>
    <mergeCell ref="AC764:AD764"/>
    <mergeCell ref="AC766:AD766"/>
    <mergeCell ref="AC767:AD767"/>
    <mergeCell ref="AC768:AD768"/>
    <mergeCell ref="AC769:AD769"/>
    <mergeCell ref="AC770:AD770"/>
    <mergeCell ref="AC771:AD771"/>
    <mergeCell ref="AC772:AD772"/>
    <mergeCell ref="AC773:AD773"/>
    <mergeCell ref="AC774:AD774"/>
    <mergeCell ref="AC775:AD775"/>
    <mergeCell ref="AC776:AD776"/>
    <mergeCell ref="AC777:AD777"/>
    <mergeCell ref="AC778:AD778"/>
    <mergeCell ref="AC779:AD779"/>
    <mergeCell ref="AC780:AD780"/>
    <mergeCell ref="AC781:AD781"/>
    <mergeCell ref="AC782:AD782"/>
    <mergeCell ref="AC783:AD783"/>
    <mergeCell ref="AC784:AD784"/>
    <mergeCell ref="AC785:AD785"/>
    <mergeCell ref="AC786:AD786"/>
    <mergeCell ref="AC787:AD787"/>
    <mergeCell ref="AC788:AD788"/>
    <mergeCell ref="AC789:AD789"/>
    <mergeCell ref="AC790:AD790"/>
    <mergeCell ref="AC791:AD791"/>
    <mergeCell ref="AC792:AD792"/>
    <mergeCell ref="AC793:AD793"/>
    <mergeCell ref="AC794:AD794"/>
    <mergeCell ref="AC795:AD795"/>
    <mergeCell ref="AC796:AD796"/>
    <mergeCell ref="AC798:AD798"/>
    <mergeCell ref="AC800:AD800"/>
    <mergeCell ref="AC801:AD801"/>
    <mergeCell ref="AC802:AD802"/>
    <mergeCell ref="W1012:X1012"/>
    <mergeCell ref="W1013:X1013"/>
    <mergeCell ref="W1014:X1014"/>
    <mergeCell ref="W1015:X1015"/>
    <mergeCell ref="W1016:X1016"/>
    <mergeCell ref="W1017:X1017"/>
    <mergeCell ref="W1018:X1018"/>
    <mergeCell ref="W1019:X1019"/>
    <mergeCell ref="W1020:X1020"/>
    <mergeCell ref="AC905:AD906"/>
    <mergeCell ref="AC927:AD927"/>
    <mergeCell ref="AC907:AD907"/>
    <mergeCell ref="AC908:AD908"/>
    <mergeCell ref="AC909:AD909"/>
    <mergeCell ref="AC910:AD910"/>
    <mergeCell ref="AC911:AD911"/>
    <mergeCell ref="AC912:AD912"/>
    <mergeCell ref="AC913:AD913"/>
    <mergeCell ref="AC914:AD914"/>
    <mergeCell ref="AC915:AD915"/>
    <mergeCell ref="AC916:AD916"/>
    <mergeCell ref="AC917:AD917"/>
    <mergeCell ref="AC918:AD918"/>
    <mergeCell ref="AC919:AD919"/>
    <mergeCell ref="AC920:AD920"/>
    <mergeCell ref="AC921:AD921"/>
    <mergeCell ref="AC922:AD922"/>
    <mergeCell ref="AC923:AD923"/>
    <mergeCell ref="AC924:AD924"/>
    <mergeCell ref="AC925:AD925"/>
    <mergeCell ref="AC926:AD926"/>
    <mergeCell ref="AC928:AD928"/>
    <mergeCell ref="AC929:AD929"/>
    <mergeCell ref="AC930:AD930"/>
    <mergeCell ref="AC931:AD931"/>
    <mergeCell ref="AC932:AD932"/>
    <mergeCell ref="AC933:AD933"/>
    <mergeCell ref="AC934:AD934"/>
    <mergeCell ref="AC935:AD935"/>
    <mergeCell ref="AC936:AD936"/>
    <mergeCell ref="M1566:N1566"/>
    <mergeCell ref="M1567:N1567"/>
    <mergeCell ref="M1568:N1568"/>
    <mergeCell ref="M1569:N1569"/>
    <mergeCell ref="M1570:N1570"/>
    <mergeCell ref="M1571:N1571"/>
    <mergeCell ref="M1572:N1572"/>
    <mergeCell ref="M1573:N1573"/>
    <mergeCell ref="M1574:N1574"/>
    <mergeCell ref="M1575:N1575"/>
    <mergeCell ref="M1576:N1576"/>
    <mergeCell ref="M1577:N1577"/>
    <mergeCell ref="M1578:N1578"/>
    <mergeCell ref="M1579:N1579"/>
    <mergeCell ref="M1580:N1580"/>
    <mergeCell ref="M1581:N1581"/>
    <mergeCell ref="M1582:N1582"/>
    <mergeCell ref="M1583:N1583"/>
    <mergeCell ref="M1584:N1584"/>
    <mergeCell ref="M1585:N1585"/>
    <mergeCell ref="M1586:N1586"/>
    <mergeCell ref="M1587:N1587"/>
    <mergeCell ref="M1588:N1588"/>
    <mergeCell ref="M1589:N1589"/>
    <mergeCell ref="M1590:N1590"/>
    <mergeCell ref="M1591:N1591"/>
    <mergeCell ref="W1242:X1242"/>
    <mergeCell ref="W1243:X1243"/>
    <mergeCell ref="W1244:X1244"/>
    <mergeCell ref="W1245:X1245"/>
    <mergeCell ref="W1246:X1246"/>
    <mergeCell ref="W1247:X1247"/>
    <mergeCell ref="W1248:X1248"/>
    <mergeCell ref="W1249:X1249"/>
    <mergeCell ref="W1250:X1250"/>
    <mergeCell ref="W1251:X1251"/>
    <mergeCell ref="W1252:X1252"/>
    <mergeCell ref="W1253:X1253"/>
    <mergeCell ref="W1254:X1254"/>
    <mergeCell ref="W1255:X1255"/>
    <mergeCell ref="W1284:X1284"/>
    <mergeCell ref="W1285:X1285"/>
    <mergeCell ref="W1286:X1286"/>
    <mergeCell ref="W1287:X1287"/>
    <mergeCell ref="W1288:X1288"/>
    <mergeCell ref="W1289:X1289"/>
    <mergeCell ref="W1290:X1290"/>
    <mergeCell ref="W1291:X1291"/>
    <mergeCell ref="W1292:X1292"/>
    <mergeCell ref="W1293:X1293"/>
    <mergeCell ref="W1294:X1294"/>
    <mergeCell ref="W1295:X1295"/>
    <mergeCell ref="W1296:X1296"/>
    <mergeCell ref="W1297:X1297"/>
    <mergeCell ref="W1298:X1298"/>
    <mergeCell ref="V1449:X1450"/>
    <mergeCell ref="K1280:N1280"/>
    <mergeCell ref="O1280:R1280"/>
    <mergeCell ref="S1280:V1280"/>
    <mergeCell ref="K1281:N1281"/>
    <mergeCell ref="O1281:R1281"/>
    <mergeCell ref="S1281:V1281"/>
    <mergeCell ref="K1282:N1282"/>
    <mergeCell ref="W1398:X1398"/>
    <mergeCell ref="W1229:X1229"/>
    <mergeCell ref="M1558:N1559"/>
    <mergeCell ref="M1560:N1560"/>
    <mergeCell ref="M1561:N1561"/>
    <mergeCell ref="M1562:N1562"/>
    <mergeCell ref="M1563:N1563"/>
    <mergeCell ref="M1564:N1564"/>
    <mergeCell ref="O1282:R1282"/>
    <mergeCell ref="S1282:V1282"/>
    <mergeCell ref="K1283:N1283"/>
    <mergeCell ref="O1283:R1283"/>
    <mergeCell ref="S1283:V1283"/>
    <mergeCell ref="K1284:N1284"/>
    <mergeCell ref="W1277:X1278"/>
    <mergeCell ref="W1279:X1279"/>
    <mergeCell ref="W1280:X1280"/>
    <mergeCell ref="W1281:X1281"/>
    <mergeCell ref="W1282:X1282"/>
    <mergeCell ref="W1283:X1283"/>
    <mergeCell ref="I1533:L1533"/>
    <mergeCell ref="I1534:L1534"/>
    <mergeCell ref="B1541:N1541"/>
    <mergeCell ref="O1541:Q1541"/>
    <mergeCell ref="B1542:N1542"/>
    <mergeCell ref="O1542:Q1542"/>
    <mergeCell ref="B1543:N1543"/>
    <mergeCell ref="O1543:Q1543"/>
    <mergeCell ref="B1544:N1544"/>
    <mergeCell ref="O1544:Q1544"/>
    <mergeCell ref="B1545:N1545"/>
    <mergeCell ref="O1545:Q1545"/>
    <mergeCell ref="I1524:L1524"/>
    <mergeCell ref="I1525:L1525"/>
    <mergeCell ref="I1526:L1526"/>
    <mergeCell ref="I1519:L1519"/>
    <mergeCell ref="I1520:L1520"/>
    <mergeCell ref="I1521:L1521"/>
    <mergeCell ref="I1522:L1522"/>
    <mergeCell ref="G1558:H1559"/>
    <mergeCell ref="G1560:H1560"/>
    <mergeCell ref="G1561:H1561"/>
    <mergeCell ref="G1562:H1562"/>
    <mergeCell ref="G1563:H1563"/>
    <mergeCell ref="G1564:H1564"/>
    <mergeCell ref="G1327:H1327"/>
    <mergeCell ref="I1327:J1327"/>
    <mergeCell ref="G1504:H1504"/>
    <mergeCell ref="G1530:H1530"/>
    <mergeCell ref="G1531:H1531"/>
    <mergeCell ref="G1532:H1532"/>
    <mergeCell ref="G1533:H1533"/>
    <mergeCell ref="G1522:H1522"/>
    <mergeCell ref="G1523:H1523"/>
    <mergeCell ref="G1524:H1524"/>
    <mergeCell ref="G1525:H1525"/>
    <mergeCell ref="M1477:N1478"/>
    <mergeCell ref="M1496:N1496"/>
    <mergeCell ref="M1498:N1498"/>
    <mergeCell ref="M1479:N1479"/>
    <mergeCell ref="M1480:N1480"/>
    <mergeCell ref="M1481:N1481"/>
    <mergeCell ref="M1482:N1482"/>
    <mergeCell ref="M1483:N1483"/>
    <mergeCell ref="M1484:N1484"/>
    <mergeCell ref="W1032:X1032"/>
    <mergeCell ref="W1033:X1033"/>
    <mergeCell ref="W1034:X1034"/>
    <mergeCell ref="W1035:X1035"/>
    <mergeCell ref="W1036:X1036"/>
    <mergeCell ref="W1037:X1037"/>
    <mergeCell ref="U934:X934"/>
    <mergeCell ref="U955:X955"/>
    <mergeCell ref="W1391:X1391"/>
    <mergeCell ref="W1395:X1395"/>
    <mergeCell ref="W1396:X1396"/>
    <mergeCell ref="W1397:X1397"/>
    <mergeCell ref="W1038:X1038"/>
    <mergeCell ref="W1039:X1039"/>
    <mergeCell ref="W1040:X1040"/>
    <mergeCell ref="W1041:X1041"/>
    <mergeCell ref="W1042:X1042"/>
    <mergeCell ref="W1043:X1043"/>
    <mergeCell ref="W1044:X1044"/>
    <mergeCell ref="W1045:X1045"/>
    <mergeCell ref="W994:X994"/>
    <mergeCell ref="W995:X995"/>
    <mergeCell ref="W996:X996"/>
    <mergeCell ref="W997:X997"/>
    <mergeCell ref="W998:X998"/>
    <mergeCell ref="W999:X999"/>
    <mergeCell ref="W1000:X1000"/>
    <mergeCell ref="W1001:X1001"/>
    <mergeCell ref="W1002:X1002"/>
    <mergeCell ref="W1003:X1003"/>
    <mergeCell ref="W1004:X1004"/>
    <mergeCell ref="W1196:X1197"/>
    <mergeCell ref="W1198:X1198"/>
    <mergeCell ref="W1199:X1199"/>
    <mergeCell ref="W1200:X1200"/>
    <mergeCell ref="W1201:X1201"/>
    <mergeCell ref="W1202:X1202"/>
    <mergeCell ref="W1203:X1203"/>
    <mergeCell ref="W1204:X1204"/>
    <mergeCell ref="W1205:X1205"/>
    <mergeCell ref="W1206:X1206"/>
    <mergeCell ref="W1207:X1207"/>
    <mergeCell ref="W1208:X1208"/>
    <mergeCell ref="W1209:X1209"/>
    <mergeCell ref="W1210:X1210"/>
    <mergeCell ref="W1142:Z1142"/>
    <mergeCell ref="W1211:X1211"/>
    <mergeCell ref="W1212:X1212"/>
    <mergeCell ref="W1213:X1213"/>
    <mergeCell ref="W1214:X1214"/>
    <mergeCell ref="W1215:X1215"/>
    <mergeCell ref="W1216:X1216"/>
    <mergeCell ref="W1217:X1217"/>
    <mergeCell ref="W1218:X1218"/>
    <mergeCell ref="W1219:X1219"/>
    <mergeCell ref="W1220:X1220"/>
    <mergeCell ref="W1221:X1221"/>
    <mergeCell ref="W1222:X1222"/>
    <mergeCell ref="W1223:X1223"/>
    <mergeCell ref="W1224:X1224"/>
    <mergeCell ref="W1225:X1225"/>
    <mergeCell ref="W1226:X1226"/>
    <mergeCell ref="W1227:X1227"/>
    <mergeCell ref="W1228:X1228"/>
    <mergeCell ref="W1399:X1399"/>
    <mergeCell ref="W1400:X1400"/>
    <mergeCell ref="W1401:X1401"/>
    <mergeCell ref="W1402:X1402"/>
    <mergeCell ref="W1403:X1403"/>
    <mergeCell ref="W1408:X1408"/>
    <mergeCell ref="W1409:X1409"/>
    <mergeCell ref="W1410:X1410"/>
    <mergeCell ref="W1411:X1411"/>
    <mergeCell ref="W1412:X1412"/>
    <mergeCell ref="W1413:X1413"/>
    <mergeCell ref="W1414:X1414"/>
    <mergeCell ref="W1415:X1415"/>
    <mergeCell ref="W1230:X1230"/>
    <mergeCell ref="W1231:X1231"/>
    <mergeCell ref="W1232:X1232"/>
    <mergeCell ref="W1233:X1233"/>
    <mergeCell ref="W1234:X1234"/>
    <mergeCell ref="W1235:X1235"/>
    <mergeCell ref="W1336:X1336"/>
    <mergeCell ref="W1358:X1359"/>
    <mergeCell ref="W1360:X1360"/>
    <mergeCell ref="W1361:X1361"/>
    <mergeCell ref="W1362:X1362"/>
    <mergeCell ref="W1363:X1363"/>
    <mergeCell ref="W1364:X1364"/>
    <mergeCell ref="W1365:X1365"/>
    <mergeCell ref="W1366:X1366"/>
    <mergeCell ref="W1367:X1367"/>
    <mergeCell ref="W1368:X1368"/>
    <mergeCell ref="W1369:X1369"/>
    <mergeCell ref="W1370:X1370"/>
    <mergeCell ref="W1371:X1371"/>
    <mergeCell ref="W1372:X1372"/>
    <mergeCell ref="W1373:X1373"/>
    <mergeCell ref="W1374:X1374"/>
    <mergeCell ref="W1375:X1375"/>
    <mergeCell ref="W1376:X1376"/>
    <mergeCell ref="W1377:X1377"/>
    <mergeCell ref="W1378:X1378"/>
    <mergeCell ref="W1379:X1379"/>
    <mergeCell ref="W1380:X1380"/>
    <mergeCell ref="W1381:X1381"/>
    <mergeCell ref="W1382:X1382"/>
    <mergeCell ref="W1383:X1383"/>
    <mergeCell ref="W1384:X1384"/>
    <mergeCell ref="W1385:X1385"/>
    <mergeCell ref="W1386:X1386"/>
    <mergeCell ref="W1387:X1387"/>
    <mergeCell ref="W1388:X1388"/>
    <mergeCell ref="W1389:X1389"/>
    <mergeCell ref="W1390:X1390"/>
    <mergeCell ref="W1236:X1236"/>
    <mergeCell ref="W1237:X1237"/>
    <mergeCell ref="W1238:X1238"/>
    <mergeCell ref="W1239:X1239"/>
    <mergeCell ref="W1240:X1240"/>
    <mergeCell ref="W1241:X1241"/>
    <mergeCell ref="W1303:X1303"/>
    <mergeCell ref="W1306:X1306"/>
    <mergeCell ref="W1307:X1307"/>
    <mergeCell ref="W1308:X1308"/>
    <mergeCell ref="W1315:X1315"/>
    <mergeCell ref="W1311:X1311"/>
  </mergeCells>
  <pageMargins left="0.7" right="0.7" top="0.5" bottom="0.75" header="0.5" footer="0.5"/>
  <pageSetup fitToHeight="0" orientation="portrait" r:id="rId1"/>
  <headerFooter scaleWithDoc="0" alignWithMargins="0">
    <oddFooter>&amp;R&amp;"Bahnschrift SemiBold,SemiBold"&amp;10&amp;P of &amp;N</oddFooter>
  </headerFooter>
  <rowBreaks count="92" manualBreakCount="92">
    <brk id="43" max="16383" man="1"/>
    <brk id="62" max="16383" man="1"/>
    <brk id="72" max="16383" man="1"/>
    <brk id="83" max="16383" man="1"/>
    <brk id="98" max="16383" man="1"/>
    <brk id="118" max="16383" man="1"/>
    <brk id="144" max="16383" man="1"/>
    <brk id="151" max="16383" man="1"/>
    <brk id="158" max="16383" man="1"/>
    <brk id="167" max="16383" man="1"/>
    <brk id="248" max="16383" man="1"/>
    <brk id="329" max="16383" man="1"/>
    <brk id="410" max="16383" man="1"/>
    <brk id="491" max="16383" man="1"/>
    <brk id="520" max="16383" man="1"/>
    <brk id="527" max="16383" man="1"/>
    <brk id="534" max="16383" man="1"/>
    <brk id="615" max="16383" man="1"/>
    <brk id="695" max="16383" man="1"/>
    <brk id="723" max="16383" man="1"/>
    <brk id="730" max="16383" man="1"/>
    <brk id="737" max="16383" man="1"/>
    <brk id="818" max="16383" man="1"/>
    <brk id="899" max="16383" man="1"/>
    <brk id="980" max="16383" man="1"/>
    <brk id="1061" max="16383" man="1"/>
    <brk id="1084" max="16383" man="1"/>
    <brk id="1091" max="16383" man="1"/>
    <brk id="1098" max="16383" man="1"/>
    <brk id="1109" max="16383" man="1"/>
    <brk id="1190" max="16383" man="1"/>
    <brk id="1271" max="16383" man="1"/>
    <brk id="1352" max="16383" man="1"/>
    <brk id="1433" max="16383" man="1"/>
    <brk id="1457" max="16383" man="1"/>
    <brk id="1464" max="16383" man="1"/>
    <brk id="1471" max="16383" man="1"/>
    <brk id="1552" max="16383" man="1"/>
    <brk id="1633" max="16383" man="1"/>
    <brk id="1659" max="16383" man="1"/>
    <brk id="1701" max="16383" man="1"/>
    <brk id="1737" max="16383" man="1"/>
    <brk id="1763" max="16383" man="1"/>
    <brk id="1798" max="16383" man="1"/>
    <brk id="1833" max="16383" man="1"/>
    <brk id="1867" max="16383" man="1"/>
    <brk id="1877" max="16383" man="1"/>
    <brk id="1886" max="16383" man="1"/>
    <brk id="1916" max="16383" man="1"/>
    <brk id="1935" max="16383" man="1"/>
    <brk id="1946" max="16383" man="1"/>
    <brk id="1956" max="16383" man="1"/>
    <brk id="1965" max="16383" man="1"/>
    <brk id="1974" max="16383" man="1"/>
    <brk id="1989" max="16383" man="1"/>
    <brk id="2011" max="16383" man="1"/>
    <brk id="2037" max="16383" man="1"/>
    <brk id="2044" max="16383" man="1"/>
    <brk id="2051" max="16383" man="1"/>
    <brk id="2058" max="16383" man="1"/>
    <brk id="2071" max="16383" man="1"/>
    <brk id="2153" max="16383" man="1"/>
    <brk id="2235" max="16383" man="1"/>
    <brk id="2259" max="16383" man="1"/>
    <brk id="2304" max="16383" man="1"/>
    <brk id="2349" max="16383" man="1"/>
    <brk id="2394" max="16383" man="1"/>
    <brk id="2476" max="16383" man="1"/>
    <brk id="2558" max="16383" man="1"/>
    <brk id="2584" max="16383" man="1"/>
    <brk id="2591" max="16383" man="1"/>
    <brk id="2598" max="16383" man="1"/>
    <brk id="2605" max="16383" man="1"/>
    <brk id="2687" max="16383" man="1"/>
    <brk id="2769" max="16383" man="1"/>
    <brk id="2792" max="16383" man="1"/>
    <brk id="2799" max="16383" man="1"/>
    <brk id="2806" max="16383" man="1"/>
    <brk id="2813" max="16383" man="1"/>
    <brk id="2825" max="16383" man="1"/>
    <brk id="2907" max="16383" man="1"/>
    <brk id="2989" max="16383" man="1"/>
    <brk id="3015" max="16383" man="1"/>
    <brk id="3058" max="16383" man="1"/>
    <brk id="3095" max="16383" man="1"/>
    <brk id="3124" max="16383" man="1"/>
    <brk id="3161" max="16383" man="1"/>
    <brk id="3198" max="16383" man="1"/>
    <brk id="3235" max="16383" man="1"/>
    <brk id="3278" max="16383" man="1"/>
    <brk id="3321" max="16383" man="1"/>
    <brk id="3365" max="16383" man="1"/>
  </rowBreaks>
  <colBreaks count="1" manualBreakCount="1">
    <brk id="35" max="1048575" man="1"/>
  </colBreaks>
  <ignoredErrors>
    <ignoredError sqref="AE3194:AG3196 AE3231:AG3233 AE3157:AG3159" formulaRange="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AB121"/>
  <sheetViews>
    <sheetView zoomScale="85" zoomScaleNormal="85" workbookViewId="0">
      <selection activeCell="D29" sqref="D29"/>
    </sheetView>
  </sheetViews>
  <sheetFormatPr defaultColWidth="8.7265625" defaultRowHeight="14.5" x14ac:dyDescent="0.35"/>
  <cols>
    <col min="1" max="1" width="11.54296875" style="620" bestFit="1" customWidth="1"/>
    <col min="2" max="2" width="8.54296875" style="620" bestFit="1" customWidth="1"/>
    <col min="3" max="3" width="11.54296875" style="620" customWidth="1"/>
    <col min="4" max="4" width="23" style="620" customWidth="1"/>
    <col min="5" max="9" width="9.7265625" style="620" customWidth="1"/>
    <col min="10" max="10" width="1.81640625" style="620" customWidth="1"/>
    <col min="11" max="15" width="9.7265625" style="620" customWidth="1"/>
    <col min="16" max="16384" width="8.7265625" style="620"/>
  </cols>
  <sheetData>
    <row r="1" spans="1:28" ht="14.5" customHeight="1" x14ac:dyDescent="0.35">
      <c r="A1" s="635" t="s">
        <v>1876</v>
      </c>
      <c r="B1" s="635"/>
      <c r="C1" s="635"/>
      <c r="D1" s="635"/>
      <c r="E1" s="634" t="s">
        <v>1919</v>
      </c>
      <c r="F1" s="634"/>
      <c r="G1" s="634"/>
      <c r="H1" s="634"/>
      <c r="I1" s="634"/>
      <c r="J1" s="621"/>
      <c r="K1" s="635" t="s">
        <v>1920</v>
      </c>
      <c r="L1" s="634"/>
      <c r="M1" s="634"/>
      <c r="N1" s="634"/>
      <c r="O1" s="634"/>
      <c r="P1" s="621"/>
      <c r="Q1" s="621"/>
      <c r="R1" s="621"/>
      <c r="S1" s="621"/>
      <c r="T1" s="621"/>
      <c r="U1" s="621"/>
      <c r="V1" s="621"/>
      <c r="W1" s="621"/>
      <c r="X1" s="621"/>
      <c r="Y1" s="621"/>
      <c r="Z1" s="621"/>
      <c r="AA1" s="621"/>
      <c r="AB1" s="621"/>
    </row>
    <row r="2" spans="1:28" ht="25.5" thickBot="1" x14ac:dyDescent="0.4">
      <c r="A2" s="631" t="s">
        <v>108</v>
      </c>
      <c r="B2" s="645" t="s">
        <v>1878</v>
      </c>
      <c r="C2" s="636" t="s">
        <v>1877</v>
      </c>
      <c r="D2" s="636" t="s">
        <v>1776</v>
      </c>
      <c r="E2" s="632" t="s">
        <v>1869</v>
      </c>
      <c r="F2" s="632" t="s">
        <v>1870</v>
      </c>
      <c r="G2" s="632" t="s">
        <v>1873</v>
      </c>
      <c r="H2" s="632" t="s">
        <v>1874</v>
      </c>
      <c r="I2" s="632" t="s">
        <v>1875</v>
      </c>
      <c r="J2" s="621"/>
      <c r="K2" s="632" t="s">
        <v>1869</v>
      </c>
      <c r="L2" s="632" t="s">
        <v>1870</v>
      </c>
      <c r="M2" s="632" t="s">
        <v>1873</v>
      </c>
      <c r="N2" s="632" t="s">
        <v>1874</v>
      </c>
      <c r="O2" s="632" t="s">
        <v>1875</v>
      </c>
      <c r="P2" s="621"/>
      <c r="Q2" s="621"/>
      <c r="R2" s="621"/>
      <c r="S2" s="621"/>
      <c r="T2" s="621"/>
      <c r="U2" s="621"/>
      <c r="V2" s="621"/>
      <c r="W2" s="621"/>
      <c r="X2" s="621"/>
      <c r="Y2" s="621"/>
      <c r="Z2" s="621"/>
      <c r="AA2" s="621"/>
      <c r="AB2" s="621"/>
    </row>
    <row r="3" spans="1:28" s="624" customFormat="1" ht="10" x14ac:dyDescent="0.25">
      <c r="A3" s="629" t="s">
        <v>1879</v>
      </c>
      <c r="B3" s="642">
        <f>IF(SUM(E3:I3)&gt;0,1,0)</f>
        <v>0</v>
      </c>
      <c r="C3" s="637" t="str">
        <f>IF(B3&gt;0,"Project # " &amp; SUM(B3:B$3),"")</f>
        <v/>
      </c>
      <c r="D3" s="637" t="str">
        <f>IF(B3&gt;0,"Activities In " &amp;A3 &amp; " County","")</f>
        <v/>
      </c>
      <c r="E3" s="630">
        <f xml:space="preserve">
SUM(INDEX(CHMATbl[UNITS],ROW(A1)),
INDEX(CHMATbl[UNITS2],ROW(A1)),
INDEX(CHMATbl[UNITS3],ROW(A1)),
INDEX(CHMATbl[UNITS4],ROW(A1)))</f>
        <v>0</v>
      </c>
      <c r="F3" s="630">
        <f xml:space="preserve">
SUM(INDEX(CHOORTbl[UNITS],ROW(A1)),
INDEX(CHOORTbl[UNITS2],ROW(A1)),
INDEX(CHOORTbl[UNITS3],ROW(A1)),
INDEX(CHOORTbl[UNITS4],ROW(A1)))</f>
        <v>0</v>
      </c>
      <c r="G3" s="630">
        <f xml:space="preserve">
SUM(INDEX(CHADUtbl[UNITS],ROW(A1)),
INDEX(CHADUtbl[UNITS2],ROW(A1)))</f>
        <v>0</v>
      </c>
      <c r="H3" s="630">
        <f xml:space="preserve">
SUM(INDEX(CHSHTATbl[UNITS],ROW(A1)),
INDEX(CHSHTATbl[UNITS2],ROW(A1)),
INDEX(CHSHTATbl[UNITS3],ROW(A1)),
INDEX(CHSHTATbl[UNITS4],ROW(A1)))</f>
        <v>0</v>
      </c>
      <c r="I3" s="630" cm="1">
        <f t="array" ref="I3" xml:space="preserve">
IF(
OR(
INDEX(CHSHTbl[NOT LIMITED TO RURAL AREAS],ROW(A1))&lt;&gt;"",
INDEX(CHSHTbl[TO SUPPORT SHARED HOUSING IN RURAL AREAS],ROW(A1))&lt;&gt;""),1,0)</f>
        <v>0</v>
      </c>
      <c r="K3" s="646">
        <f xml:space="preserve">
SUM(INDEX(CHMATbl[TOTAL $ REQUESTED],ROW(H1)),
INDEX(CHMATbl[TOTAL $ REQUESTED2],ROW(H1)),
INDEX(CHMATbl[TOTAL $ REQUESTED3],ROW(H1)),
INDEX(CHMATbl[TOTAL $ REQUESTED4],ROW(H1)))</f>
        <v>0</v>
      </c>
      <c r="L3" s="646">
        <f xml:space="preserve">
SUM(INDEX(CHOORTbl[TOTAL $ REQUESTED],ROW(A1)),
INDEX(CHOORTbl[TOTAL $ REQUESTED2],ROW(A1)),
INDEX(CHOORTbl[TOTAL $ REQUESTED3],ROW(A1)),
INDEX(CHOORTbl[TOTAL $ REQUESTED4],ROW(A1)))</f>
        <v>0</v>
      </c>
      <c r="M3" s="646">
        <f xml:space="preserve">
SUM(INDEX(CHADUtbl[TOTAL $ REQUESTED],ROW(G1)),
INDEX(CHADUtbl[TOTAL $ REQUESTED2],ROW(G1)))</f>
        <v>0</v>
      </c>
      <c r="N3" s="646">
        <f xml:space="preserve">
SUM(INDEX(CHSHTATbl[TOTAL $ REQUESTED],ROW(G1)),
INDEX(CHSHTATbl[TOTAL $ REQUESTED2],ROW(G1)),
INDEX(CHSHTATbl[TOTAL $ REQUESTED3],ROW(G1)),
INDEX(CHSHTATbl[% OF TOTAL2],ROW(G1)))</f>
        <v>0</v>
      </c>
      <c r="O3" s="646">
        <f xml:space="preserve">
SUM(
INDEX(CHSHTbl[NOT LIMITED TO RURAL AREAS],ROW($A1)),
INDEX(CHSHTbl[TO SUPPORT SHARED HOUSING IN RURAL AREAS],ROW($A1)))</f>
        <v>0</v>
      </c>
      <c r="P3" s="656"/>
    </row>
    <row r="4" spans="1:28" s="624" customFormat="1" ht="10" x14ac:dyDescent="0.25">
      <c r="A4" s="622" t="s">
        <v>1880</v>
      </c>
      <c r="B4" s="643">
        <f t="shared" ref="B4:B60" si="0">IF(SUM(E4:I4)&gt;0,1,0)</f>
        <v>0</v>
      </c>
      <c r="C4" s="638" t="str">
        <f>IF(B4&gt;0,"Project # " &amp; SUM(B$3:B4),"")</f>
        <v/>
      </c>
      <c r="D4" s="638" t="str">
        <f t="shared" ref="D4:D60" si="1">IF(B4&gt;0,"Activities In " &amp;A4 &amp; " County","")</f>
        <v/>
      </c>
      <c r="E4" s="623">
        <f xml:space="preserve">
SUM(INDEX(CHMATbl[UNITS],ROW(A2)),
INDEX(CHMATbl[UNITS2],ROW(A2)),
INDEX(CHMATbl[UNITS3],ROW(A2)),
INDEX(CHMATbl[UNITS4],ROW(A2)))</f>
        <v>0</v>
      </c>
      <c r="F4" s="623">
        <f xml:space="preserve">
SUM(INDEX(CHOORTbl[UNITS],ROW(A2)),
INDEX(CHOORTbl[UNITS2],ROW(A2)),
INDEX(CHOORTbl[UNITS3],ROW(A2)),
INDEX(CHOORTbl[UNITS4],ROW(A2)))</f>
        <v>0</v>
      </c>
      <c r="G4" s="623">
        <f xml:space="preserve">
SUM(INDEX(CHADUtbl[UNITS],ROW(A2)),
INDEX(CHADUtbl[UNITS2],ROW(A2)))</f>
        <v>0</v>
      </c>
      <c r="H4" s="623">
        <f xml:space="preserve">
SUM(INDEX(CHSHTATbl[UNITS],ROW(A2)),
INDEX(CHSHTATbl[UNITS2],ROW(A2)),
INDEX(CHSHTATbl[UNITS3],ROW(A2)),
INDEX(CHSHTATbl[UNITS4],ROW(A2)))</f>
        <v>0</v>
      </c>
      <c r="I4" s="623" cm="1">
        <f t="array" ref="I4" xml:space="preserve">
IF(
OR(
INDEX(CHSHTbl[NOT LIMITED TO RURAL AREAS],ROW(A2))&lt;&gt;"",
INDEX(CHSHTbl[TO SUPPORT SHARED HOUSING IN RURAL AREAS],ROW(A2))&lt;&gt;""),1,0)</f>
        <v>0</v>
      </c>
      <c r="K4" s="647">
        <f xml:space="preserve">
SUM(INDEX(CHMATbl[TOTAL $ REQUESTED],ROW(H2)),
INDEX(CHMATbl[TOTAL $ REQUESTED2],ROW(H2)),
INDEX(CHMATbl[TOTAL $ REQUESTED3],ROW(H2)),
INDEX(CHMATbl[TOTAL $ REQUESTED4],ROW(H2)))</f>
        <v>0</v>
      </c>
      <c r="L4" s="647">
        <f xml:space="preserve">
SUM(INDEX(CHOORTbl[TOTAL $ REQUESTED],ROW(A2)),
INDEX(CHOORTbl[TOTAL $ REQUESTED2],ROW(A2)),
INDEX(CHOORTbl[TOTAL $ REQUESTED3],ROW(A2)),
INDEX(CHOORTbl[TOTAL $ REQUESTED4],ROW(A2)))</f>
        <v>0</v>
      </c>
      <c r="M4" s="647">
        <f xml:space="preserve">
SUM(INDEX(CHADUtbl[TOTAL $ REQUESTED],ROW(G2)),
INDEX(CHADUtbl[TOTAL $ REQUESTED2],ROW(G2)))</f>
        <v>0</v>
      </c>
      <c r="N4" s="647">
        <f xml:space="preserve">
SUM(INDEX(CHSHTATbl[TOTAL $ REQUESTED],ROW(G2)),
INDEX(CHSHTATbl[TOTAL $ REQUESTED2],ROW(G2)),
INDEX(CHSHTATbl[TOTAL $ REQUESTED3],ROW(G2)),
INDEX(CHSHTATbl[% OF TOTAL2],ROW(G2)))</f>
        <v>0</v>
      </c>
      <c r="O4" s="647">
        <f xml:space="preserve">
SUM(
INDEX(CHSHTbl[NOT LIMITED TO RURAL AREAS],ROW($A2)),
INDEX(CHSHTbl[TO SUPPORT SHARED HOUSING IN RURAL AREAS],ROW($A2)))</f>
        <v>0</v>
      </c>
    </row>
    <row r="5" spans="1:28" s="624" customFormat="1" ht="10" x14ac:dyDescent="0.25">
      <c r="A5" s="622" t="s">
        <v>1881</v>
      </c>
      <c r="B5" s="643">
        <f t="shared" si="0"/>
        <v>0</v>
      </c>
      <c r="C5" s="638" t="str">
        <f>IF(B5&gt;0,"Project # " &amp; SUM(B$3:B5),"")</f>
        <v/>
      </c>
      <c r="D5" s="638" t="str">
        <f t="shared" si="1"/>
        <v/>
      </c>
      <c r="E5" s="623">
        <f xml:space="preserve">
SUM(INDEX(CHMATbl[UNITS],ROW(A3)),
INDEX(CHMATbl[UNITS2],ROW(A3)),
INDEX(CHMATbl[UNITS3],ROW(A3)),
INDEX(CHMATbl[UNITS4],ROW(A3)))</f>
        <v>0</v>
      </c>
      <c r="F5" s="623">
        <f xml:space="preserve">
SUM(INDEX(CHOORTbl[UNITS],ROW(A3)),
INDEX(CHOORTbl[UNITS2],ROW(A3)),
INDEX(CHOORTbl[UNITS3],ROW(A3)),
INDEX(CHOORTbl[UNITS4],ROW(A3)))</f>
        <v>0</v>
      </c>
      <c r="G5" s="623">
        <f xml:space="preserve">
SUM(INDEX(CHADUtbl[UNITS],ROW(A3)),
INDEX(CHADUtbl[UNITS2],ROW(A3)))</f>
        <v>0</v>
      </c>
      <c r="H5" s="623">
        <f xml:space="preserve">
SUM(INDEX(CHSHTATbl[UNITS],ROW(A3)),
INDEX(CHSHTATbl[UNITS2],ROW(A3)),
INDEX(CHSHTATbl[UNITS3],ROW(A3)),
INDEX(CHSHTATbl[UNITS4],ROW(A3)))</f>
        <v>0</v>
      </c>
      <c r="I5" s="623" cm="1">
        <f t="array" ref="I5" xml:space="preserve">
IF(
OR(
INDEX(CHSHTbl[NOT LIMITED TO RURAL AREAS],ROW(A3))&lt;&gt;"",
INDEX(CHSHTbl[TO SUPPORT SHARED HOUSING IN RURAL AREAS],ROW(A3))&lt;&gt;""),1,0)</f>
        <v>0</v>
      </c>
      <c r="K5" s="647">
        <f xml:space="preserve">
SUM(INDEX(CHMATbl[TOTAL $ REQUESTED],ROW(H3)),
INDEX(CHMATbl[TOTAL $ REQUESTED2],ROW(H3)),
INDEX(CHMATbl[TOTAL $ REQUESTED3],ROW(H3)),
INDEX(CHMATbl[TOTAL $ REQUESTED4],ROW(H3)))</f>
        <v>0</v>
      </c>
      <c r="L5" s="647">
        <f xml:space="preserve">
SUM(INDEX(CHOORTbl[TOTAL $ REQUESTED],ROW(A3)),
INDEX(CHOORTbl[TOTAL $ REQUESTED2],ROW(A3)),
INDEX(CHOORTbl[TOTAL $ REQUESTED3],ROW(A3)),
INDEX(CHOORTbl[TOTAL $ REQUESTED4],ROW(A3)))</f>
        <v>0</v>
      </c>
      <c r="M5" s="647">
        <f xml:space="preserve">
SUM(INDEX(CHADUtbl[TOTAL $ REQUESTED],ROW(G3)),
INDEX(CHADUtbl[TOTAL $ REQUESTED2],ROW(G3)))</f>
        <v>0</v>
      </c>
      <c r="N5" s="647">
        <f xml:space="preserve">
SUM(INDEX(CHSHTATbl[TOTAL $ REQUESTED],ROW(G3)),
INDEX(CHSHTATbl[TOTAL $ REQUESTED2],ROW(G3)),
INDEX(CHSHTATbl[TOTAL $ REQUESTED3],ROW(G3)),
INDEX(CHSHTATbl[% OF TOTAL2],ROW(G3)))</f>
        <v>0</v>
      </c>
      <c r="O5" s="647">
        <f xml:space="preserve">
SUM(
INDEX(CHSHTbl[NOT LIMITED TO RURAL AREAS],ROW($A3)),
INDEX(CHSHTbl[TO SUPPORT SHARED HOUSING IN RURAL AREAS],ROW($A3)))</f>
        <v>0</v>
      </c>
    </row>
    <row r="6" spans="1:28" s="624" customFormat="1" ht="10" x14ac:dyDescent="0.25">
      <c r="A6" s="622" t="s">
        <v>1780</v>
      </c>
      <c r="B6" s="643">
        <f t="shared" si="0"/>
        <v>0</v>
      </c>
      <c r="C6" s="638" t="str">
        <f>IF(B6&gt;0,"Project # " &amp; SUM(B$3:B6),"")</f>
        <v/>
      </c>
      <c r="D6" s="638" t="str">
        <f t="shared" si="1"/>
        <v/>
      </c>
      <c r="E6" s="623">
        <f xml:space="preserve">
SUM(INDEX(CHMATbl[UNITS],ROW(A4)),
INDEX(CHMATbl[UNITS2],ROW(A4)),
INDEX(CHMATbl[UNITS3],ROW(A4)),
INDEX(CHMATbl[UNITS4],ROW(A4)))</f>
        <v>0</v>
      </c>
      <c r="F6" s="623">
        <f xml:space="preserve">
SUM(INDEX(CHOORTbl[UNITS],ROW(A4)),
INDEX(CHOORTbl[UNITS2],ROW(A4)),
INDEX(CHOORTbl[UNITS3],ROW(A4)),
INDEX(CHOORTbl[UNITS4],ROW(A4)))</f>
        <v>0</v>
      </c>
      <c r="G6" s="623">
        <f xml:space="preserve">
SUM(INDEX(CHADUtbl[UNITS],ROW(A4)),
INDEX(CHADUtbl[UNITS2],ROW(A4)))</f>
        <v>0</v>
      </c>
      <c r="H6" s="623">
        <f xml:space="preserve">
SUM(INDEX(CHSHTATbl[UNITS],ROW(A4)),
INDEX(CHSHTATbl[UNITS2],ROW(A4)),
INDEX(CHSHTATbl[UNITS3],ROW(A4)),
INDEX(CHSHTATbl[UNITS4],ROW(A4)))</f>
        <v>0</v>
      </c>
      <c r="I6" s="623" cm="1">
        <f t="array" ref="I6" xml:space="preserve">
IF(
OR(
INDEX(CHSHTbl[NOT LIMITED TO RURAL AREAS],ROW(A4))&lt;&gt;"",
INDEX(CHSHTbl[TO SUPPORT SHARED HOUSING IN RURAL AREAS],ROW(A4))&lt;&gt;""),1,0)</f>
        <v>0</v>
      </c>
      <c r="K6" s="647">
        <f xml:space="preserve">
SUM(INDEX(CHMATbl[TOTAL $ REQUESTED],ROW(H4)),
INDEX(CHMATbl[TOTAL $ REQUESTED2],ROW(H4)),
INDEX(CHMATbl[TOTAL $ REQUESTED3],ROW(H4)),
INDEX(CHMATbl[TOTAL $ REQUESTED4],ROW(H4)))</f>
        <v>0</v>
      </c>
      <c r="L6" s="647">
        <f xml:space="preserve">
SUM(INDEX(CHOORTbl[TOTAL $ REQUESTED],ROW(A4)),
INDEX(CHOORTbl[TOTAL $ REQUESTED2],ROW(A4)),
INDEX(CHOORTbl[TOTAL $ REQUESTED3],ROW(A4)),
INDEX(CHOORTbl[TOTAL $ REQUESTED4],ROW(A4)))</f>
        <v>0</v>
      </c>
      <c r="M6" s="647">
        <f xml:space="preserve">
SUM(INDEX(CHADUtbl[TOTAL $ REQUESTED],ROW(G4)),
INDEX(CHADUtbl[TOTAL $ REQUESTED2],ROW(G4)))</f>
        <v>0</v>
      </c>
      <c r="N6" s="647">
        <f xml:space="preserve">
SUM(INDEX(CHSHTATbl[TOTAL $ REQUESTED],ROW(G4)),
INDEX(CHSHTATbl[TOTAL $ REQUESTED2],ROW(G4)),
INDEX(CHSHTATbl[TOTAL $ REQUESTED3],ROW(G4)),
INDEX(CHSHTATbl[% OF TOTAL2],ROW(G4)))</f>
        <v>0</v>
      </c>
      <c r="O6" s="647">
        <f xml:space="preserve">
SUM(
INDEX(CHSHTbl[NOT LIMITED TO RURAL AREAS],ROW($A4)),
INDEX(CHSHTbl[TO SUPPORT SHARED HOUSING IN RURAL AREAS],ROW($A4)))</f>
        <v>0</v>
      </c>
    </row>
    <row r="7" spans="1:28" s="624" customFormat="1" ht="10" x14ac:dyDescent="0.25">
      <c r="A7" s="622" t="s">
        <v>1882</v>
      </c>
      <c r="B7" s="643">
        <f t="shared" si="0"/>
        <v>0</v>
      </c>
      <c r="C7" s="638" t="str">
        <f>IF(B7&gt;0,"Project # " &amp; SUM(B$3:B7),"")</f>
        <v/>
      </c>
      <c r="D7" s="638" t="str">
        <f t="shared" si="1"/>
        <v/>
      </c>
      <c r="E7" s="623">
        <f xml:space="preserve">
SUM(INDEX(CHMATbl[UNITS],ROW(A5)),
INDEX(CHMATbl[UNITS2],ROW(A5)),
INDEX(CHMATbl[UNITS3],ROW(A5)),
INDEX(CHMATbl[UNITS4],ROW(A5)))</f>
        <v>0</v>
      </c>
      <c r="F7" s="623">
        <f xml:space="preserve">
SUM(INDEX(CHOORTbl[UNITS],ROW(A5)),
INDEX(CHOORTbl[UNITS2],ROW(A5)),
INDEX(CHOORTbl[UNITS3],ROW(A5)),
INDEX(CHOORTbl[UNITS4],ROW(A5)))</f>
        <v>0</v>
      </c>
      <c r="G7" s="623">
        <f xml:space="preserve">
SUM(INDEX(CHADUtbl[UNITS],ROW(A5)),
INDEX(CHADUtbl[UNITS2],ROW(A5)))</f>
        <v>0</v>
      </c>
      <c r="H7" s="623">
        <f xml:space="preserve">
SUM(INDEX(CHSHTATbl[UNITS],ROW(A5)),
INDEX(CHSHTATbl[UNITS2],ROW(A5)),
INDEX(CHSHTATbl[UNITS3],ROW(A5)),
INDEX(CHSHTATbl[UNITS4],ROW(A5)))</f>
        <v>0</v>
      </c>
      <c r="I7" s="623" cm="1">
        <f t="array" ref="I7" xml:space="preserve">
IF(
OR(
INDEX(CHSHTbl[NOT LIMITED TO RURAL AREAS],ROW(A5))&lt;&gt;"",
INDEX(CHSHTbl[TO SUPPORT SHARED HOUSING IN RURAL AREAS],ROW(A5))&lt;&gt;""),1,0)</f>
        <v>0</v>
      </c>
      <c r="K7" s="647">
        <f xml:space="preserve">
SUM(INDEX(CHMATbl[TOTAL $ REQUESTED],ROW(H5)),
INDEX(CHMATbl[TOTAL $ REQUESTED2],ROW(H5)),
INDEX(CHMATbl[TOTAL $ REQUESTED3],ROW(H5)),
INDEX(CHMATbl[TOTAL $ REQUESTED4],ROW(H5)))</f>
        <v>0</v>
      </c>
      <c r="L7" s="647">
        <f xml:space="preserve">
SUM(INDEX(CHOORTbl[TOTAL $ REQUESTED],ROW(A5)),
INDEX(CHOORTbl[TOTAL $ REQUESTED2],ROW(A5)),
INDEX(CHOORTbl[TOTAL $ REQUESTED3],ROW(A5)),
INDEX(CHOORTbl[TOTAL $ REQUESTED4],ROW(A5)))</f>
        <v>0</v>
      </c>
      <c r="M7" s="647">
        <f xml:space="preserve">
SUM(INDEX(CHADUtbl[TOTAL $ REQUESTED],ROW(G5)),
INDEX(CHADUtbl[TOTAL $ REQUESTED2],ROW(G5)))</f>
        <v>0</v>
      </c>
      <c r="N7" s="647">
        <f xml:space="preserve">
SUM(INDEX(CHSHTATbl[TOTAL $ REQUESTED],ROW(G5)),
INDEX(CHSHTATbl[TOTAL $ REQUESTED2],ROW(G5)),
INDEX(CHSHTATbl[TOTAL $ REQUESTED3],ROW(G5)),
INDEX(CHSHTATbl[% OF TOTAL2],ROW(G5)))</f>
        <v>0</v>
      </c>
      <c r="O7" s="647">
        <f xml:space="preserve">
SUM(
INDEX(CHSHTbl[NOT LIMITED TO RURAL AREAS],ROW($A5)),
INDEX(CHSHTbl[TO SUPPORT SHARED HOUSING IN RURAL AREAS],ROW($A5)))</f>
        <v>0</v>
      </c>
    </row>
    <row r="8" spans="1:28" s="624" customFormat="1" ht="10" x14ac:dyDescent="0.25">
      <c r="A8" s="622" t="s">
        <v>1723</v>
      </c>
      <c r="B8" s="643">
        <f t="shared" si="0"/>
        <v>0</v>
      </c>
      <c r="C8" s="638" t="str">
        <f>IF(B8&gt;0,"Project # " &amp; SUM(B$3:B8),"")</f>
        <v/>
      </c>
      <c r="D8" s="638" t="str">
        <f t="shared" si="1"/>
        <v/>
      </c>
      <c r="E8" s="623">
        <f xml:space="preserve">
SUM(INDEX(CHMATbl[UNITS],ROW(A6)),
INDEX(CHMATbl[UNITS2],ROW(A6)),
INDEX(CHMATbl[UNITS3],ROW(A6)),
INDEX(CHMATbl[UNITS4],ROW(A6)))</f>
        <v>0</v>
      </c>
      <c r="F8" s="623">
        <f xml:space="preserve">
SUM(INDEX(CHOORTbl[UNITS],ROW(A6)),
INDEX(CHOORTbl[UNITS2],ROW(A6)),
INDEX(CHOORTbl[UNITS3],ROW(A6)),
INDEX(CHOORTbl[UNITS4],ROW(A6)))</f>
        <v>0</v>
      </c>
      <c r="G8" s="623">
        <f xml:space="preserve">
SUM(INDEX(CHADUtbl[UNITS],ROW(A6)),
INDEX(CHADUtbl[UNITS2],ROW(A6)))</f>
        <v>0</v>
      </c>
      <c r="H8" s="623">
        <f xml:space="preserve">
SUM(INDEX(CHSHTATbl[UNITS],ROW(A6)),
INDEX(CHSHTATbl[UNITS2],ROW(A6)),
INDEX(CHSHTATbl[UNITS3],ROW(A6)),
INDEX(CHSHTATbl[UNITS4],ROW(A6)))</f>
        <v>0</v>
      </c>
      <c r="I8" s="623" cm="1">
        <f t="array" ref="I8" xml:space="preserve">
IF(
OR(
INDEX(CHSHTbl[NOT LIMITED TO RURAL AREAS],ROW(A6))&lt;&gt;"",
INDEX(CHSHTbl[TO SUPPORT SHARED HOUSING IN RURAL AREAS],ROW(A6))&lt;&gt;""),1,0)</f>
        <v>0</v>
      </c>
      <c r="K8" s="647">
        <f xml:space="preserve">
SUM(INDEX(CHMATbl[TOTAL $ REQUESTED],ROW(H6)),
INDEX(CHMATbl[TOTAL $ REQUESTED2],ROW(H6)),
INDEX(CHMATbl[TOTAL $ REQUESTED3],ROW(H6)),
INDEX(CHMATbl[TOTAL $ REQUESTED4],ROW(H6)))</f>
        <v>0</v>
      </c>
      <c r="L8" s="647">
        <f xml:space="preserve">
SUM(INDEX(CHOORTbl[TOTAL $ REQUESTED],ROW(A6)),
INDEX(CHOORTbl[TOTAL $ REQUESTED2],ROW(A6)),
INDEX(CHOORTbl[TOTAL $ REQUESTED3],ROW(A6)),
INDEX(CHOORTbl[TOTAL $ REQUESTED4],ROW(A6)))</f>
        <v>0</v>
      </c>
      <c r="M8" s="647">
        <f xml:space="preserve">
SUM(INDEX(CHADUtbl[TOTAL $ REQUESTED],ROW(G6)),
INDEX(CHADUtbl[TOTAL $ REQUESTED2],ROW(G6)))</f>
        <v>0</v>
      </c>
      <c r="N8" s="647">
        <f xml:space="preserve">
SUM(INDEX(CHSHTATbl[TOTAL $ REQUESTED],ROW(G6)),
INDEX(CHSHTATbl[TOTAL $ REQUESTED2],ROW(G6)),
INDEX(CHSHTATbl[TOTAL $ REQUESTED3],ROW(G6)),
INDEX(CHSHTATbl[% OF TOTAL2],ROW(G6)))</f>
        <v>0</v>
      </c>
      <c r="O8" s="647">
        <f xml:space="preserve">
SUM(
INDEX(CHSHTbl[NOT LIMITED TO RURAL AREAS],ROW($A6)),
INDEX(CHSHTbl[TO SUPPORT SHARED HOUSING IN RURAL AREAS],ROW($A6)))</f>
        <v>0</v>
      </c>
    </row>
    <row r="9" spans="1:28" s="624" customFormat="1" ht="10" x14ac:dyDescent="0.25">
      <c r="A9" s="622" t="s">
        <v>1883</v>
      </c>
      <c r="B9" s="643">
        <f t="shared" si="0"/>
        <v>0</v>
      </c>
      <c r="C9" s="638" t="str">
        <f>IF(B9&gt;0,"Project # " &amp; SUM(B$3:B9),"")</f>
        <v/>
      </c>
      <c r="D9" s="638" t="str">
        <f t="shared" si="1"/>
        <v/>
      </c>
      <c r="E9" s="623">
        <f xml:space="preserve">
SUM(INDEX(CHMATbl[UNITS],ROW(A7)),
INDEX(CHMATbl[UNITS2],ROW(A7)),
INDEX(CHMATbl[UNITS3],ROW(A7)),
INDEX(CHMATbl[UNITS4],ROW(A7)))</f>
        <v>0</v>
      </c>
      <c r="F9" s="623">
        <f xml:space="preserve">
SUM(INDEX(CHOORTbl[UNITS],ROW(A7)),
INDEX(CHOORTbl[UNITS2],ROW(A7)),
INDEX(CHOORTbl[UNITS3],ROW(A7)),
INDEX(CHOORTbl[UNITS4],ROW(A7)))</f>
        <v>0</v>
      </c>
      <c r="G9" s="623">
        <f xml:space="preserve">
SUM(INDEX(CHADUtbl[UNITS],ROW(A7)),
INDEX(CHADUtbl[UNITS2],ROW(A7)))</f>
        <v>0</v>
      </c>
      <c r="H9" s="623">
        <f xml:space="preserve">
SUM(INDEX(CHSHTATbl[UNITS],ROW(A7)),
INDEX(CHSHTATbl[UNITS2],ROW(A7)),
INDEX(CHSHTATbl[UNITS3],ROW(A7)),
INDEX(CHSHTATbl[UNITS4],ROW(A7)))</f>
        <v>0</v>
      </c>
      <c r="I9" s="623" cm="1">
        <f t="array" ref="I9" xml:space="preserve">
IF(
OR(
INDEX(CHSHTbl[NOT LIMITED TO RURAL AREAS],ROW(A7))&lt;&gt;"",
INDEX(CHSHTbl[TO SUPPORT SHARED HOUSING IN RURAL AREAS],ROW(A7))&lt;&gt;""),1,0)</f>
        <v>0</v>
      </c>
      <c r="K9" s="647">
        <f xml:space="preserve">
SUM(INDEX(CHMATbl[TOTAL $ REQUESTED],ROW(H7)),
INDEX(CHMATbl[TOTAL $ REQUESTED2],ROW(H7)),
INDEX(CHMATbl[TOTAL $ REQUESTED3],ROW(H7)),
INDEX(CHMATbl[TOTAL $ REQUESTED4],ROW(H7)))</f>
        <v>0</v>
      </c>
      <c r="L9" s="647">
        <f xml:space="preserve">
SUM(INDEX(CHOORTbl[TOTAL $ REQUESTED],ROW(A7)),
INDEX(CHOORTbl[TOTAL $ REQUESTED2],ROW(A7)),
INDEX(CHOORTbl[TOTAL $ REQUESTED3],ROW(A7)),
INDEX(CHOORTbl[TOTAL $ REQUESTED4],ROW(A7)))</f>
        <v>0</v>
      </c>
      <c r="M9" s="647">
        <f xml:space="preserve">
SUM(INDEX(CHADUtbl[TOTAL $ REQUESTED],ROW(G7)),
INDEX(CHADUtbl[TOTAL $ REQUESTED2],ROW(G7)))</f>
        <v>0</v>
      </c>
      <c r="N9" s="647">
        <f xml:space="preserve">
SUM(INDEX(CHSHTATbl[TOTAL $ REQUESTED],ROW(G7)),
INDEX(CHSHTATbl[TOTAL $ REQUESTED2],ROW(G7)),
INDEX(CHSHTATbl[TOTAL $ REQUESTED3],ROW(G7)),
INDEX(CHSHTATbl[% OF TOTAL2],ROW(G7)))</f>
        <v>0</v>
      </c>
      <c r="O9" s="647">
        <f xml:space="preserve">
SUM(
INDEX(CHSHTbl[NOT LIMITED TO RURAL AREAS],ROW($A7)),
INDEX(CHSHTbl[TO SUPPORT SHARED HOUSING IN RURAL AREAS],ROW($A7)))</f>
        <v>0</v>
      </c>
    </row>
    <row r="10" spans="1:28" s="624" customFormat="1" ht="10" x14ac:dyDescent="0.25">
      <c r="A10" s="622" t="s">
        <v>1884</v>
      </c>
      <c r="B10" s="643">
        <f t="shared" si="0"/>
        <v>0</v>
      </c>
      <c r="C10" s="638" t="str">
        <f>IF(B10&gt;0,"Project # " &amp; SUM(B$3:B10),"")</f>
        <v/>
      </c>
      <c r="D10" s="638" t="str">
        <f t="shared" si="1"/>
        <v/>
      </c>
      <c r="E10" s="623">
        <f xml:space="preserve">
SUM(INDEX(CHMATbl[UNITS],ROW(A8)),
INDEX(CHMATbl[UNITS2],ROW(A8)),
INDEX(CHMATbl[UNITS3],ROW(A8)),
INDEX(CHMATbl[UNITS4],ROW(A8)))</f>
        <v>0</v>
      </c>
      <c r="F10" s="623">
        <f xml:space="preserve">
SUM(INDEX(CHOORTbl[UNITS],ROW(A8)),
INDEX(CHOORTbl[UNITS2],ROW(A8)),
INDEX(CHOORTbl[UNITS3],ROW(A8)),
INDEX(CHOORTbl[UNITS4],ROW(A8)))</f>
        <v>0</v>
      </c>
      <c r="G10" s="623">
        <f xml:space="preserve">
SUM(INDEX(CHADUtbl[UNITS],ROW(A8)),
INDEX(CHADUtbl[UNITS2],ROW(A8)))</f>
        <v>0</v>
      </c>
      <c r="H10" s="623">
        <f xml:space="preserve">
SUM(INDEX(CHSHTATbl[UNITS],ROW(A8)),
INDEX(CHSHTATbl[UNITS2],ROW(A8)),
INDEX(CHSHTATbl[UNITS3],ROW(A8)),
INDEX(CHSHTATbl[UNITS4],ROW(A8)))</f>
        <v>0</v>
      </c>
      <c r="I10" s="623" cm="1">
        <f t="array" ref="I10" xml:space="preserve">
IF(
OR(
INDEX(CHSHTbl[NOT LIMITED TO RURAL AREAS],ROW(A8))&lt;&gt;"",
INDEX(CHSHTbl[TO SUPPORT SHARED HOUSING IN RURAL AREAS],ROW(A8))&lt;&gt;""),1,0)</f>
        <v>0</v>
      </c>
      <c r="K10" s="647">
        <f xml:space="preserve">
SUM(INDEX(CHMATbl[TOTAL $ REQUESTED],ROW(H8)),
INDEX(CHMATbl[TOTAL $ REQUESTED2],ROW(H8)),
INDEX(CHMATbl[TOTAL $ REQUESTED3],ROW(H8)),
INDEX(CHMATbl[TOTAL $ REQUESTED4],ROW(H8)))</f>
        <v>0</v>
      </c>
      <c r="L10" s="647">
        <f xml:space="preserve">
SUM(INDEX(CHOORTbl[TOTAL $ REQUESTED],ROW(A8)),
INDEX(CHOORTbl[TOTAL $ REQUESTED2],ROW(A8)),
INDEX(CHOORTbl[TOTAL $ REQUESTED3],ROW(A8)),
INDEX(CHOORTbl[TOTAL $ REQUESTED4],ROW(A8)))</f>
        <v>0</v>
      </c>
      <c r="M10" s="647">
        <f xml:space="preserve">
SUM(INDEX(CHADUtbl[TOTAL $ REQUESTED],ROW(G8)),
INDEX(CHADUtbl[TOTAL $ REQUESTED2],ROW(G8)))</f>
        <v>0</v>
      </c>
      <c r="N10" s="647">
        <f xml:space="preserve">
SUM(INDEX(CHSHTATbl[TOTAL $ REQUESTED],ROW(G8)),
INDEX(CHSHTATbl[TOTAL $ REQUESTED2],ROW(G8)),
INDEX(CHSHTATbl[TOTAL $ REQUESTED3],ROW(G8)),
INDEX(CHSHTATbl[% OF TOTAL2],ROW(G8)))</f>
        <v>0</v>
      </c>
      <c r="O10" s="647">
        <f xml:space="preserve">
SUM(
INDEX(CHSHTbl[NOT LIMITED TO RURAL AREAS],ROW($A8)),
INDEX(CHSHTbl[TO SUPPORT SHARED HOUSING IN RURAL AREAS],ROW($A8)))</f>
        <v>0</v>
      </c>
    </row>
    <row r="11" spans="1:28" s="624" customFormat="1" ht="10" x14ac:dyDescent="0.25">
      <c r="A11" s="622" t="s">
        <v>1885</v>
      </c>
      <c r="B11" s="643">
        <f t="shared" si="0"/>
        <v>0</v>
      </c>
      <c r="C11" s="638" t="str">
        <f>IF(B11&gt;0,"Project # " &amp; SUM(B$3:B11),"")</f>
        <v/>
      </c>
      <c r="D11" s="638" t="str">
        <f t="shared" si="1"/>
        <v/>
      </c>
      <c r="E11" s="623">
        <f xml:space="preserve">
SUM(INDEX(CHMATbl[UNITS],ROW(A9)),
INDEX(CHMATbl[UNITS2],ROW(A9)),
INDEX(CHMATbl[UNITS3],ROW(A9)),
INDEX(CHMATbl[UNITS4],ROW(A9)))</f>
        <v>0</v>
      </c>
      <c r="F11" s="623">
        <f xml:space="preserve">
SUM(INDEX(CHOORTbl[UNITS],ROW(A9)),
INDEX(CHOORTbl[UNITS2],ROW(A9)),
INDEX(CHOORTbl[UNITS3],ROW(A9)),
INDEX(CHOORTbl[UNITS4],ROW(A9)))</f>
        <v>0</v>
      </c>
      <c r="G11" s="623">
        <f xml:space="preserve">
SUM(INDEX(CHADUtbl[UNITS],ROW(A9)),
INDEX(CHADUtbl[UNITS2],ROW(A9)))</f>
        <v>0</v>
      </c>
      <c r="H11" s="623">
        <f xml:space="preserve">
SUM(INDEX(CHSHTATbl[UNITS],ROW(A9)),
INDEX(CHSHTATbl[UNITS2],ROW(A9)),
INDEX(CHSHTATbl[UNITS3],ROW(A9)),
INDEX(CHSHTATbl[UNITS4],ROW(A9)))</f>
        <v>0</v>
      </c>
      <c r="I11" s="623" cm="1">
        <f t="array" ref="I11" xml:space="preserve">
IF(
OR(
INDEX(CHSHTbl[NOT LIMITED TO RURAL AREAS],ROW(A9))&lt;&gt;"",
INDEX(CHSHTbl[TO SUPPORT SHARED HOUSING IN RURAL AREAS],ROW(A9))&lt;&gt;""),1,0)</f>
        <v>0</v>
      </c>
      <c r="K11" s="647">
        <f xml:space="preserve">
SUM(INDEX(CHMATbl[TOTAL $ REQUESTED],ROW(H9)),
INDEX(CHMATbl[TOTAL $ REQUESTED2],ROW(H9)),
INDEX(CHMATbl[TOTAL $ REQUESTED3],ROW(H9)),
INDEX(CHMATbl[TOTAL $ REQUESTED4],ROW(H9)))</f>
        <v>0</v>
      </c>
      <c r="L11" s="647">
        <f xml:space="preserve">
SUM(INDEX(CHOORTbl[TOTAL $ REQUESTED],ROW(A9)),
INDEX(CHOORTbl[TOTAL $ REQUESTED2],ROW(A9)),
INDEX(CHOORTbl[TOTAL $ REQUESTED3],ROW(A9)),
INDEX(CHOORTbl[TOTAL $ REQUESTED4],ROW(A9)))</f>
        <v>0</v>
      </c>
      <c r="M11" s="647">
        <f xml:space="preserve">
SUM(INDEX(CHADUtbl[TOTAL $ REQUESTED],ROW(G9)),
INDEX(CHADUtbl[TOTAL $ REQUESTED2],ROW(G9)))</f>
        <v>0</v>
      </c>
      <c r="N11" s="647">
        <f xml:space="preserve">
SUM(INDEX(CHSHTATbl[TOTAL $ REQUESTED],ROW(G9)),
INDEX(CHSHTATbl[TOTAL $ REQUESTED2],ROW(G9)),
INDEX(CHSHTATbl[TOTAL $ REQUESTED3],ROW(G9)),
INDEX(CHSHTATbl[% OF TOTAL2],ROW(G9)))</f>
        <v>0</v>
      </c>
      <c r="O11" s="647">
        <f xml:space="preserve">
SUM(
INDEX(CHSHTbl[NOT LIMITED TO RURAL AREAS],ROW($A9)),
INDEX(CHSHTbl[TO SUPPORT SHARED HOUSING IN RURAL AREAS],ROW($A9)))</f>
        <v>0</v>
      </c>
    </row>
    <row r="12" spans="1:28" s="624" customFormat="1" ht="10" x14ac:dyDescent="0.25">
      <c r="A12" s="622" t="s">
        <v>1727</v>
      </c>
      <c r="B12" s="643">
        <f t="shared" si="0"/>
        <v>0</v>
      </c>
      <c r="C12" s="638" t="str">
        <f>IF(B12&gt;0,"Project # " &amp; SUM(B$3:B12),"")</f>
        <v/>
      </c>
      <c r="D12" s="638" t="str">
        <f t="shared" si="1"/>
        <v/>
      </c>
      <c r="E12" s="623">
        <f xml:space="preserve">
SUM(INDEX(CHMATbl[UNITS],ROW(A10)),
INDEX(CHMATbl[UNITS2],ROW(A10)),
INDEX(CHMATbl[UNITS3],ROW(A10)),
INDEX(CHMATbl[UNITS4],ROW(A10)))</f>
        <v>0</v>
      </c>
      <c r="F12" s="623">
        <f xml:space="preserve">
SUM(INDEX(CHOORTbl[UNITS],ROW(A10)),
INDEX(CHOORTbl[UNITS2],ROW(A10)),
INDEX(CHOORTbl[UNITS3],ROW(A10)),
INDEX(CHOORTbl[UNITS4],ROW(A10)))</f>
        <v>0</v>
      </c>
      <c r="G12" s="623">
        <f xml:space="preserve">
SUM(INDEX(CHADUtbl[UNITS],ROW(A10)),
INDEX(CHADUtbl[UNITS2],ROW(A10)))</f>
        <v>0</v>
      </c>
      <c r="H12" s="623">
        <f xml:space="preserve">
SUM(INDEX(CHSHTATbl[UNITS],ROW(A10)),
INDEX(CHSHTATbl[UNITS2],ROW(A10)),
INDEX(CHSHTATbl[UNITS3],ROW(A10)),
INDEX(CHSHTATbl[UNITS4],ROW(A10)))</f>
        <v>0</v>
      </c>
      <c r="I12" s="623" cm="1">
        <f t="array" ref="I12" xml:space="preserve">
IF(
OR(
INDEX(CHSHTbl[NOT LIMITED TO RURAL AREAS],ROW(A10))&lt;&gt;"",
INDEX(CHSHTbl[TO SUPPORT SHARED HOUSING IN RURAL AREAS],ROW(A10))&lt;&gt;""),1,0)</f>
        <v>0</v>
      </c>
      <c r="K12" s="647">
        <f xml:space="preserve">
SUM(INDEX(CHMATbl[TOTAL $ REQUESTED],ROW(H10)),
INDEX(CHMATbl[TOTAL $ REQUESTED2],ROW(H10)),
INDEX(CHMATbl[TOTAL $ REQUESTED3],ROW(H10)),
INDEX(CHMATbl[TOTAL $ REQUESTED4],ROW(H10)))</f>
        <v>0</v>
      </c>
      <c r="L12" s="647">
        <f xml:space="preserve">
SUM(INDEX(CHOORTbl[TOTAL $ REQUESTED],ROW(A10)),
INDEX(CHOORTbl[TOTAL $ REQUESTED2],ROW(A10)),
INDEX(CHOORTbl[TOTAL $ REQUESTED3],ROW(A10)),
INDEX(CHOORTbl[TOTAL $ REQUESTED4],ROW(A10)))</f>
        <v>0</v>
      </c>
      <c r="M12" s="647">
        <f xml:space="preserve">
SUM(INDEX(CHADUtbl[TOTAL $ REQUESTED],ROW(G10)),
INDEX(CHADUtbl[TOTAL $ REQUESTED2],ROW(G10)))</f>
        <v>0</v>
      </c>
      <c r="N12" s="647">
        <f xml:space="preserve">
SUM(INDEX(CHSHTATbl[TOTAL $ REQUESTED],ROW(G10)),
INDEX(CHSHTATbl[TOTAL $ REQUESTED2],ROW(G10)),
INDEX(CHSHTATbl[TOTAL $ REQUESTED3],ROW(G10)),
INDEX(CHSHTATbl[% OF TOTAL2],ROW(G10)))</f>
        <v>0</v>
      </c>
      <c r="O12" s="647">
        <f xml:space="preserve">
SUM(
INDEX(CHSHTbl[NOT LIMITED TO RURAL AREAS],ROW($A10)),
INDEX(CHSHTbl[TO SUPPORT SHARED HOUSING IN RURAL AREAS],ROW($A10)))</f>
        <v>0</v>
      </c>
    </row>
    <row r="13" spans="1:28" s="624" customFormat="1" ht="10" x14ac:dyDescent="0.25">
      <c r="A13" s="622" t="s">
        <v>1886</v>
      </c>
      <c r="B13" s="643">
        <f t="shared" si="0"/>
        <v>0</v>
      </c>
      <c r="C13" s="638" t="str">
        <f>IF(B13&gt;0,"Project # " &amp; SUM(B$3:B13),"")</f>
        <v/>
      </c>
      <c r="D13" s="638" t="str">
        <f t="shared" si="1"/>
        <v/>
      </c>
      <c r="E13" s="623">
        <f xml:space="preserve">
SUM(INDEX(CHMATbl[UNITS],ROW(A11)),
INDEX(CHMATbl[UNITS2],ROW(A11)),
INDEX(CHMATbl[UNITS3],ROW(A11)),
INDEX(CHMATbl[UNITS4],ROW(A11)))</f>
        <v>0</v>
      </c>
      <c r="F13" s="623">
        <f xml:space="preserve">
SUM(INDEX(CHOORTbl[UNITS],ROW(A11)),
INDEX(CHOORTbl[UNITS2],ROW(A11)),
INDEX(CHOORTbl[UNITS3],ROW(A11)),
INDEX(CHOORTbl[UNITS4],ROW(A11)))</f>
        <v>0</v>
      </c>
      <c r="G13" s="623">
        <f xml:space="preserve">
SUM(INDEX(CHADUtbl[UNITS],ROW(A11)),
INDEX(CHADUtbl[UNITS2],ROW(A11)))</f>
        <v>0</v>
      </c>
      <c r="H13" s="623">
        <f xml:space="preserve">
SUM(INDEX(CHSHTATbl[UNITS],ROW(A11)),
INDEX(CHSHTATbl[UNITS2],ROW(A11)),
INDEX(CHSHTATbl[UNITS3],ROW(A11)),
INDEX(CHSHTATbl[UNITS4],ROW(A11)))</f>
        <v>0</v>
      </c>
      <c r="I13" s="623" cm="1">
        <f t="array" ref="I13" xml:space="preserve">
IF(
OR(
INDEX(CHSHTbl[NOT LIMITED TO RURAL AREAS],ROW(A11))&lt;&gt;"",
INDEX(CHSHTbl[TO SUPPORT SHARED HOUSING IN RURAL AREAS],ROW(A11))&lt;&gt;""),1,0)</f>
        <v>0</v>
      </c>
      <c r="K13" s="647">
        <f xml:space="preserve">
SUM(INDEX(CHMATbl[TOTAL $ REQUESTED],ROW(H11)),
INDEX(CHMATbl[TOTAL $ REQUESTED2],ROW(H11)),
INDEX(CHMATbl[TOTAL $ REQUESTED3],ROW(H11)),
INDEX(CHMATbl[TOTAL $ REQUESTED4],ROW(H11)))</f>
        <v>0</v>
      </c>
      <c r="L13" s="647">
        <f xml:space="preserve">
SUM(INDEX(CHOORTbl[TOTAL $ REQUESTED],ROW(A11)),
INDEX(CHOORTbl[TOTAL $ REQUESTED2],ROW(A11)),
INDEX(CHOORTbl[TOTAL $ REQUESTED3],ROW(A11)),
INDEX(CHOORTbl[TOTAL $ REQUESTED4],ROW(A11)))</f>
        <v>0</v>
      </c>
      <c r="M13" s="647">
        <f xml:space="preserve">
SUM(INDEX(CHADUtbl[TOTAL $ REQUESTED],ROW(G11)),
INDEX(CHADUtbl[TOTAL $ REQUESTED2],ROW(G11)))</f>
        <v>0</v>
      </c>
      <c r="N13" s="647">
        <f xml:space="preserve">
SUM(INDEX(CHSHTATbl[TOTAL $ REQUESTED],ROW(G11)),
INDEX(CHSHTATbl[TOTAL $ REQUESTED2],ROW(G11)),
INDEX(CHSHTATbl[TOTAL $ REQUESTED3],ROW(G11)),
INDEX(CHSHTATbl[% OF TOTAL2],ROW(G11)))</f>
        <v>0</v>
      </c>
      <c r="O13" s="647">
        <f xml:space="preserve">
SUM(
INDEX(CHSHTbl[NOT LIMITED TO RURAL AREAS],ROW($A11)),
INDEX(CHSHTbl[TO SUPPORT SHARED HOUSING IN RURAL AREAS],ROW($A11)))</f>
        <v>0</v>
      </c>
    </row>
    <row r="14" spans="1:28" s="624" customFormat="1" ht="10" x14ac:dyDescent="0.25">
      <c r="A14" s="622" t="s">
        <v>1887</v>
      </c>
      <c r="B14" s="643">
        <f t="shared" si="0"/>
        <v>0</v>
      </c>
      <c r="C14" s="638" t="str">
        <f>IF(B14&gt;0,"Project # " &amp; SUM(B$3:B14),"")</f>
        <v/>
      </c>
      <c r="D14" s="638" t="str">
        <f t="shared" si="1"/>
        <v/>
      </c>
      <c r="E14" s="623">
        <f xml:space="preserve">
SUM(INDEX(CHMATbl[UNITS],ROW(A12)),
INDEX(CHMATbl[UNITS2],ROW(A12)),
INDEX(CHMATbl[UNITS3],ROW(A12)),
INDEX(CHMATbl[UNITS4],ROW(A12)))</f>
        <v>0</v>
      </c>
      <c r="F14" s="623">
        <f xml:space="preserve">
SUM(INDEX(CHOORTbl[UNITS],ROW(A12)),
INDEX(CHOORTbl[UNITS2],ROW(A12)),
INDEX(CHOORTbl[UNITS3],ROW(A12)),
INDEX(CHOORTbl[UNITS4],ROW(A12)))</f>
        <v>0</v>
      </c>
      <c r="G14" s="623">
        <f xml:space="preserve">
SUM(INDEX(CHADUtbl[UNITS],ROW(A12)),
INDEX(CHADUtbl[UNITS2],ROW(A12)))</f>
        <v>0</v>
      </c>
      <c r="H14" s="623">
        <f xml:space="preserve">
SUM(INDEX(CHSHTATbl[UNITS],ROW(A12)),
INDEX(CHSHTATbl[UNITS2],ROW(A12)),
INDEX(CHSHTATbl[UNITS3],ROW(A12)),
INDEX(CHSHTATbl[UNITS4],ROW(A12)))</f>
        <v>0</v>
      </c>
      <c r="I14" s="623" cm="1">
        <f t="array" ref="I14" xml:space="preserve">
IF(
OR(
INDEX(CHSHTbl[NOT LIMITED TO RURAL AREAS],ROW(A12))&lt;&gt;"",
INDEX(CHSHTbl[TO SUPPORT SHARED HOUSING IN RURAL AREAS],ROW(A12))&lt;&gt;""),1,0)</f>
        <v>0</v>
      </c>
      <c r="K14" s="647">
        <f xml:space="preserve">
SUM(INDEX(CHMATbl[TOTAL $ REQUESTED],ROW(H12)),
INDEX(CHMATbl[TOTAL $ REQUESTED2],ROW(H12)),
INDEX(CHMATbl[TOTAL $ REQUESTED3],ROW(H12)),
INDEX(CHMATbl[TOTAL $ REQUESTED4],ROW(H12)))</f>
        <v>0</v>
      </c>
      <c r="L14" s="647">
        <f xml:space="preserve">
SUM(INDEX(CHOORTbl[TOTAL $ REQUESTED],ROW(A12)),
INDEX(CHOORTbl[TOTAL $ REQUESTED2],ROW(A12)),
INDEX(CHOORTbl[TOTAL $ REQUESTED3],ROW(A12)),
INDEX(CHOORTbl[TOTAL $ REQUESTED4],ROW(A12)))</f>
        <v>0</v>
      </c>
      <c r="M14" s="647">
        <f xml:space="preserve">
SUM(INDEX(CHADUtbl[TOTAL $ REQUESTED],ROW(G12)),
INDEX(CHADUtbl[TOTAL $ REQUESTED2],ROW(G12)))</f>
        <v>0</v>
      </c>
      <c r="N14" s="647">
        <f xml:space="preserve">
SUM(INDEX(CHSHTATbl[TOTAL $ REQUESTED],ROW(G12)),
INDEX(CHSHTATbl[TOTAL $ REQUESTED2],ROW(G12)),
INDEX(CHSHTATbl[TOTAL $ REQUESTED3],ROW(G12)),
INDEX(CHSHTATbl[% OF TOTAL2],ROW(G12)))</f>
        <v>0</v>
      </c>
      <c r="O14" s="647">
        <f xml:space="preserve">
SUM(
INDEX(CHSHTbl[NOT LIMITED TO RURAL AREAS],ROW($A12)),
INDEX(CHSHTbl[TO SUPPORT SHARED HOUSING IN RURAL AREAS],ROW($A12)))</f>
        <v>0</v>
      </c>
    </row>
    <row r="15" spans="1:28" s="624" customFormat="1" ht="10" x14ac:dyDescent="0.25">
      <c r="A15" s="622" t="s">
        <v>1888</v>
      </c>
      <c r="B15" s="643">
        <f t="shared" si="0"/>
        <v>0</v>
      </c>
      <c r="C15" s="638" t="str">
        <f>IF(B15&gt;0,"Project # " &amp; SUM(B$3:B15),"")</f>
        <v/>
      </c>
      <c r="D15" s="638" t="str">
        <f t="shared" si="1"/>
        <v/>
      </c>
      <c r="E15" s="623">
        <f xml:space="preserve">
SUM(INDEX(CHMATbl[UNITS],ROW(A13)),
INDEX(CHMATbl[UNITS2],ROW(A13)),
INDEX(CHMATbl[UNITS3],ROW(A13)),
INDEX(CHMATbl[UNITS4],ROW(A13)))</f>
        <v>0</v>
      </c>
      <c r="F15" s="623">
        <f xml:space="preserve">
SUM(INDEX(CHOORTbl[UNITS],ROW(A13)),
INDEX(CHOORTbl[UNITS2],ROW(A13)),
INDEX(CHOORTbl[UNITS3],ROW(A13)),
INDEX(CHOORTbl[UNITS4],ROW(A13)))</f>
        <v>0</v>
      </c>
      <c r="G15" s="623">
        <f xml:space="preserve">
SUM(INDEX(CHADUtbl[UNITS],ROW(A13)),
INDEX(CHADUtbl[UNITS2],ROW(A13)))</f>
        <v>0</v>
      </c>
      <c r="H15" s="623">
        <f xml:space="preserve">
SUM(INDEX(CHSHTATbl[UNITS],ROW(A13)),
INDEX(CHSHTATbl[UNITS2],ROW(A13)),
INDEX(CHSHTATbl[UNITS3],ROW(A13)),
INDEX(CHSHTATbl[UNITS4],ROW(A13)))</f>
        <v>0</v>
      </c>
      <c r="I15" s="623" cm="1">
        <f t="array" ref="I15" xml:space="preserve">
IF(
OR(
INDEX(CHSHTbl[NOT LIMITED TO RURAL AREAS],ROW(A13))&lt;&gt;"",
INDEX(CHSHTbl[TO SUPPORT SHARED HOUSING IN RURAL AREAS],ROW(A13))&lt;&gt;""),1,0)</f>
        <v>0</v>
      </c>
      <c r="K15" s="647">
        <f xml:space="preserve">
SUM(INDEX(CHMATbl[TOTAL $ REQUESTED],ROW(H13)),
INDEX(CHMATbl[TOTAL $ REQUESTED2],ROW(H13)),
INDEX(CHMATbl[TOTAL $ REQUESTED3],ROW(H13)),
INDEX(CHMATbl[TOTAL $ REQUESTED4],ROW(H13)))</f>
        <v>0</v>
      </c>
      <c r="L15" s="647">
        <f xml:space="preserve">
SUM(INDEX(CHOORTbl[TOTAL $ REQUESTED],ROW(A13)),
INDEX(CHOORTbl[TOTAL $ REQUESTED2],ROW(A13)),
INDEX(CHOORTbl[TOTAL $ REQUESTED3],ROW(A13)),
INDEX(CHOORTbl[TOTAL $ REQUESTED4],ROW(A13)))</f>
        <v>0</v>
      </c>
      <c r="M15" s="647">
        <f xml:space="preserve">
SUM(INDEX(CHADUtbl[TOTAL $ REQUESTED],ROW(G13)),
INDEX(CHADUtbl[TOTAL $ REQUESTED2],ROW(G13)))</f>
        <v>0</v>
      </c>
      <c r="N15" s="647">
        <f xml:space="preserve">
SUM(INDEX(CHSHTATbl[TOTAL $ REQUESTED],ROW(G13)),
INDEX(CHSHTATbl[TOTAL $ REQUESTED2],ROW(G13)),
INDEX(CHSHTATbl[TOTAL $ REQUESTED3],ROW(G13)),
INDEX(CHSHTATbl[% OF TOTAL2],ROW(G13)))</f>
        <v>0</v>
      </c>
      <c r="O15" s="647">
        <f xml:space="preserve">
SUM(
INDEX(CHSHTbl[NOT LIMITED TO RURAL AREAS],ROW($A13)),
INDEX(CHSHTbl[TO SUPPORT SHARED HOUSING IN RURAL AREAS],ROW($A13)))</f>
        <v>0</v>
      </c>
    </row>
    <row r="16" spans="1:28" s="624" customFormat="1" ht="10" x14ac:dyDescent="0.25">
      <c r="A16" s="622" t="s">
        <v>1889</v>
      </c>
      <c r="B16" s="643">
        <f t="shared" si="0"/>
        <v>0</v>
      </c>
      <c r="C16" s="638" t="str">
        <f>IF(B16&gt;0,"Project # " &amp; SUM(B$3:B16),"")</f>
        <v/>
      </c>
      <c r="D16" s="638" t="str">
        <f t="shared" si="1"/>
        <v/>
      </c>
      <c r="E16" s="623">
        <f xml:space="preserve">
SUM(INDEX(CHMATbl[UNITS],ROW(A14)),
INDEX(CHMATbl[UNITS2],ROW(A14)),
INDEX(CHMATbl[UNITS3],ROW(A14)),
INDEX(CHMATbl[UNITS4],ROW(A14)))</f>
        <v>0</v>
      </c>
      <c r="F16" s="623">
        <f xml:space="preserve">
SUM(INDEX(CHOORTbl[UNITS],ROW(A14)),
INDEX(CHOORTbl[UNITS2],ROW(A14)),
INDEX(CHOORTbl[UNITS3],ROW(A14)),
INDEX(CHOORTbl[UNITS4],ROW(A14)))</f>
        <v>0</v>
      </c>
      <c r="G16" s="623">
        <f xml:space="preserve">
SUM(INDEX(CHADUtbl[UNITS],ROW(A14)),
INDEX(CHADUtbl[UNITS2],ROW(A14)))</f>
        <v>0</v>
      </c>
      <c r="H16" s="623">
        <f xml:space="preserve">
SUM(INDEX(CHSHTATbl[UNITS],ROW(A14)),
INDEX(CHSHTATbl[UNITS2],ROW(A14)),
INDEX(CHSHTATbl[UNITS3],ROW(A14)),
INDEX(CHSHTATbl[UNITS4],ROW(A14)))</f>
        <v>0</v>
      </c>
      <c r="I16" s="623" cm="1">
        <f t="array" ref="I16" xml:space="preserve">
IF(
OR(
INDEX(CHSHTbl[NOT LIMITED TO RURAL AREAS],ROW(A14))&lt;&gt;"",
INDEX(CHSHTbl[TO SUPPORT SHARED HOUSING IN RURAL AREAS],ROW(A14))&lt;&gt;""),1,0)</f>
        <v>0</v>
      </c>
      <c r="K16" s="647">
        <f xml:space="preserve">
SUM(INDEX(CHMATbl[TOTAL $ REQUESTED],ROW(H14)),
INDEX(CHMATbl[TOTAL $ REQUESTED2],ROW(H14)),
INDEX(CHMATbl[TOTAL $ REQUESTED3],ROW(H14)),
INDEX(CHMATbl[TOTAL $ REQUESTED4],ROW(H14)))</f>
        <v>0</v>
      </c>
      <c r="L16" s="647">
        <f xml:space="preserve">
SUM(INDEX(CHOORTbl[TOTAL $ REQUESTED],ROW(A14)),
INDEX(CHOORTbl[TOTAL $ REQUESTED2],ROW(A14)),
INDEX(CHOORTbl[TOTAL $ REQUESTED3],ROW(A14)),
INDEX(CHOORTbl[TOTAL $ REQUESTED4],ROW(A14)))</f>
        <v>0</v>
      </c>
      <c r="M16" s="647">
        <f xml:space="preserve">
SUM(INDEX(CHADUtbl[TOTAL $ REQUESTED],ROW(G14)),
INDEX(CHADUtbl[TOTAL $ REQUESTED2],ROW(G14)))</f>
        <v>0</v>
      </c>
      <c r="N16" s="647">
        <f xml:space="preserve">
SUM(INDEX(CHSHTATbl[TOTAL $ REQUESTED],ROW(G14)),
INDEX(CHSHTATbl[TOTAL $ REQUESTED2],ROW(G14)),
INDEX(CHSHTATbl[TOTAL $ REQUESTED3],ROW(G14)),
INDEX(CHSHTATbl[% OF TOTAL2],ROW(G14)))</f>
        <v>0</v>
      </c>
      <c r="O16" s="647">
        <f xml:space="preserve">
SUM(
INDEX(CHSHTbl[NOT LIMITED TO RURAL AREAS],ROW($A14)),
INDEX(CHSHTbl[TO SUPPORT SHARED HOUSING IN RURAL AREAS],ROW($A14)))</f>
        <v>0</v>
      </c>
    </row>
    <row r="17" spans="1:15" s="624" customFormat="1" ht="10" x14ac:dyDescent="0.25">
      <c r="A17" s="622" t="s">
        <v>1890</v>
      </c>
      <c r="B17" s="643">
        <f t="shared" si="0"/>
        <v>0</v>
      </c>
      <c r="C17" s="638" t="str">
        <f>IF(B17&gt;0,"Project # " &amp; SUM(B$3:B17),"")</f>
        <v/>
      </c>
      <c r="D17" s="638" t="str">
        <f t="shared" si="1"/>
        <v/>
      </c>
      <c r="E17" s="623">
        <f xml:space="preserve">
SUM(INDEX(CHMATbl[UNITS],ROW(A15)),
INDEX(CHMATbl[UNITS2],ROW(A15)),
INDEX(CHMATbl[UNITS3],ROW(A15)),
INDEX(CHMATbl[UNITS4],ROW(A15)))</f>
        <v>0</v>
      </c>
      <c r="F17" s="623">
        <f xml:space="preserve">
SUM(INDEX(CHOORTbl[UNITS],ROW(A15)),
INDEX(CHOORTbl[UNITS2],ROW(A15)),
INDEX(CHOORTbl[UNITS3],ROW(A15)),
INDEX(CHOORTbl[UNITS4],ROW(A15)))</f>
        <v>0</v>
      </c>
      <c r="G17" s="623">
        <f xml:space="preserve">
SUM(INDEX(CHADUtbl[UNITS],ROW(A15)),
INDEX(CHADUtbl[UNITS2],ROW(A15)))</f>
        <v>0</v>
      </c>
      <c r="H17" s="623">
        <f xml:space="preserve">
SUM(INDEX(CHSHTATbl[UNITS],ROW(A15)),
INDEX(CHSHTATbl[UNITS2],ROW(A15)),
INDEX(CHSHTATbl[UNITS3],ROW(A15)),
INDEX(CHSHTATbl[UNITS4],ROW(A15)))</f>
        <v>0</v>
      </c>
      <c r="I17" s="623" cm="1">
        <f t="array" ref="I17" xml:space="preserve">
IF(
OR(
INDEX(CHSHTbl[NOT LIMITED TO RURAL AREAS],ROW(A15))&lt;&gt;"",
INDEX(CHSHTbl[TO SUPPORT SHARED HOUSING IN RURAL AREAS],ROW(A15))&lt;&gt;""),1,0)</f>
        <v>0</v>
      </c>
      <c r="K17" s="647">
        <f xml:space="preserve">
SUM(INDEX(CHMATbl[TOTAL $ REQUESTED],ROW(H15)),
INDEX(CHMATbl[TOTAL $ REQUESTED2],ROW(H15)),
INDEX(CHMATbl[TOTAL $ REQUESTED3],ROW(H15)),
INDEX(CHMATbl[TOTAL $ REQUESTED4],ROW(H15)))</f>
        <v>0</v>
      </c>
      <c r="L17" s="647">
        <f xml:space="preserve">
SUM(INDEX(CHOORTbl[TOTAL $ REQUESTED],ROW(A15)),
INDEX(CHOORTbl[TOTAL $ REQUESTED2],ROW(A15)),
INDEX(CHOORTbl[TOTAL $ REQUESTED3],ROW(A15)),
INDEX(CHOORTbl[TOTAL $ REQUESTED4],ROW(A15)))</f>
        <v>0</v>
      </c>
      <c r="M17" s="647">
        <f xml:space="preserve">
SUM(INDEX(CHADUtbl[TOTAL $ REQUESTED],ROW(G15)),
INDEX(CHADUtbl[TOTAL $ REQUESTED2],ROW(G15)))</f>
        <v>0</v>
      </c>
      <c r="N17" s="647">
        <f xml:space="preserve">
SUM(INDEX(CHSHTATbl[TOTAL $ REQUESTED],ROW(G15)),
INDEX(CHSHTATbl[TOTAL $ REQUESTED2],ROW(G15)),
INDEX(CHSHTATbl[TOTAL $ REQUESTED3],ROW(G15)),
INDEX(CHSHTATbl[% OF TOTAL2],ROW(G15)))</f>
        <v>0</v>
      </c>
      <c r="O17" s="647">
        <f xml:space="preserve">
SUM(
INDEX(CHSHTbl[NOT LIMITED TO RURAL AREAS],ROW($A15)),
INDEX(CHSHTbl[TO SUPPORT SHARED HOUSING IN RURAL AREAS],ROW($A15)))</f>
        <v>0</v>
      </c>
    </row>
    <row r="18" spans="1:15" s="624" customFormat="1" ht="10" x14ac:dyDescent="0.25">
      <c r="A18" s="622" t="s">
        <v>1891</v>
      </c>
      <c r="B18" s="643">
        <f t="shared" si="0"/>
        <v>0</v>
      </c>
      <c r="C18" s="638" t="str">
        <f>IF(B18&gt;0,"Project # " &amp; SUM(B$3:B18),"")</f>
        <v/>
      </c>
      <c r="D18" s="638" t="str">
        <f t="shared" si="1"/>
        <v/>
      </c>
      <c r="E18" s="623">
        <f xml:space="preserve">
SUM(INDEX(CHMATbl[UNITS],ROW(A16)),
INDEX(CHMATbl[UNITS2],ROW(A16)),
INDEX(CHMATbl[UNITS3],ROW(A16)),
INDEX(CHMATbl[UNITS4],ROW(A16)))</f>
        <v>0</v>
      </c>
      <c r="F18" s="623">
        <f xml:space="preserve">
SUM(INDEX(CHOORTbl[UNITS],ROW(A16)),
INDEX(CHOORTbl[UNITS2],ROW(A16)),
INDEX(CHOORTbl[UNITS3],ROW(A16)),
INDEX(CHOORTbl[UNITS4],ROW(A16)))</f>
        <v>0</v>
      </c>
      <c r="G18" s="623">
        <f xml:space="preserve">
SUM(INDEX(CHADUtbl[UNITS],ROW(A16)),
INDEX(CHADUtbl[UNITS2],ROW(A16)))</f>
        <v>0</v>
      </c>
      <c r="H18" s="623">
        <f xml:space="preserve">
SUM(INDEX(CHSHTATbl[UNITS],ROW(A16)),
INDEX(CHSHTATbl[UNITS2],ROW(A16)),
INDEX(CHSHTATbl[UNITS3],ROW(A16)),
INDEX(CHSHTATbl[UNITS4],ROW(A16)))</f>
        <v>0</v>
      </c>
      <c r="I18" s="623" cm="1">
        <f t="array" ref="I18" xml:space="preserve">
IF(
OR(
INDEX(CHSHTbl[NOT LIMITED TO RURAL AREAS],ROW(A16))&lt;&gt;"",
INDEX(CHSHTbl[TO SUPPORT SHARED HOUSING IN RURAL AREAS],ROW(A16))&lt;&gt;""),1,0)</f>
        <v>0</v>
      </c>
      <c r="K18" s="647">
        <f xml:space="preserve">
SUM(INDEX(CHMATbl[TOTAL $ REQUESTED],ROW(H16)),
INDEX(CHMATbl[TOTAL $ REQUESTED2],ROW(H16)),
INDEX(CHMATbl[TOTAL $ REQUESTED3],ROW(H16)),
INDEX(CHMATbl[TOTAL $ REQUESTED4],ROW(H16)))</f>
        <v>0</v>
      </c>
      <c r="L18" s="647">
        <f xml:space="preserve">
SUM(INDEX(CHOORTbl[TOTAL $ REQUESTED],ROW(A16)),
INDEX(CHOORTbl[TOTAL $ REQUESTED2],ROW(A16)),
INDEX(CHOORTbl[TOTAL $ REQUESTED3],ROW(A16)),
INDEX(CHOORTbl[TOTAL $ REQUESTED4],ROW(A16)))</f>
        <v>0</v>
      </c>
      <c r="M18" s="647">
        <f xml:space="preserve">
SUM(INDEX(CHADUtbl[TOTAL $ REQUESTED],ROW(G16)),
INDEX(CHADUtbl[TOTAL $ REQUESTED2],ROW(G16)))</f>
        <v>0</v>
      </c>
      <c r="N18" s="647">
        <f xml:space="preserve">
SUM(INDEX(CHSHTATbl[TOTAL $ REQUESTED],ROW(G16)),
INDEX(CHSHTATbl[TOTAL $ REQUESTED2],ROW(G16)),
INDEX(CHSHTATbl[TOTAL $ REQUESTED3],ROW(G16)),
INDEX(CHSHTATbl[% OF TOTAL2],ROW(G16)))</f>
        <v>0</v>
      </c>
      <c r="O18" s="647">
        <f xml:space="preserve">
SUM(
INDEX(CHSHTbl[NOT LIMITED TO RURAL AREAS],ROW($A16)),
INDEX(CHSHTbl[TO SUPPORT SHARED HOUSING IN RURAL AREAS],ROW($A16)))</f>
        <v>0</v>
      </c>
    </row>
    <row r="19" spans="1:15" s="624" customFormat="1" ht="10" x14ac:dyDescent="0.25">
      <c r="A19" s="622" t="s">
        <v>1892</v>
      </c>
      <c r="B19" s="643">
        <f t="shared" si="0"/>
        <v>0</v>
      </c>
      <c r="C19" s="638" t="str">
        <f>IF(B19&gt;0,"Project # " &amp; SUM(B$3:B19),"")</f>
        <v/>
      </c>
      <c r="D19" s="638" t="str">
        <f t="shared" si="1"/>
        <v/>
      </c>
      <c r="E19" s="623">
        <f xml:space="preserve">
SUM(INDEX(CHMATbl[UNITS],ROW(A17)),
INDEX(CHMATbl[UNITS2],ROW(A17)),
INDEX(CHMATbl[UNITS3],ROW(A17)),
INDEX(CHMATbl[UNITS4],ROW(A17)))</f>
        <v>0</v>
      </c>
      <c r="F19" s="623">
        <f xml:space="preserve">
SUM(INDEX(CHOORTbl[UNITS],ROW(A17)),
INDEX(CHOORTbl[UNITS2],ROW(A17)),
INDEX(CHOORTbl[UNITS3],ROW(A17)),
INDEX(CHOORTbl[UNITS4],ROW(A17)))</f>
        <v>0</v>
      </c>
      <c r="G19" s="623">
        <f xml:space="preserve">
SUM(INDEX(CHADUtbl[UNITS],ROW(A17)),
INDEX(CHADUtbl[UNITS2],ROW(A17)))</f>
        <v>0</v>
      </c>
      <c r="H19" s="623">
        <f xml:space="preserve">
SUM(INDEX(CHSHTATbl[UNITS],ROW(A17)),
INDEX(CHSHTATbl[UNITS2],ROW(A17)),
INDEX(CHSHTATbl[UNITS3],ROW(A17)),
INDEX(CHSHTATbl[UNITS4],ROW(A17)))</f>
        <v>0</v>
      </c>
      <c r="I19" s="623" cm="1">
        <f t="array" ref="I19" xml:space="preserve">
IF(
OR(
INDEX(CHSHTbl[NOT LIMITED TO RURAL AREAS],ROW(A17))&lt;&gt;"",
INDEX(CHSHTbl[TO SUPPORT SHARED HOUSING IN RURAL AREAS],ROW(A17))&lt;&gt;""),1,0)</f>
        <v>0</v>
      </c>
      <c r="K19" s="647">
        <f xml:space="preserve">
SUM(INDEX(CHMATbl[TOTAL $ REQUESTED],ROW(H17)),
INDEX(CHMATbl[TOTAL $ REQUESTED2],ROW(H17)),
INDEX(CHMATbl[TOTAL $ REQUESTED3],ROW(H17)),
INDEX(CHMATbl[TOTAL $ REQUESTED4],ROW(H17)))</f>
        <v>0</v>
      </c>
      <c r="L19" s="647">
        <f xml:space="preserve">
SUM(INDEX(CHOORTbl[TOTAL $ REQUESTED],ROW(A17)),
INDEX(CHOORTbl[TOTAL $ REQUESTED2],ROW(A17)),
INDEX(CHOORTbl[TOTAL $ REQUESTED3],ROW(A17)),
INDEX(CHOORTbl[TOTAL $ REQUESTED4],ROW(A17)))</f>
        <v>0</v>
      </c>
      <c r="M19" s="647">
        <f xml:space="preserve">
SUM(INDEX(CHADUtbl[TOTAL $ REQUESTED],ROW(G17)),
INDEX(CHADUtbl[TOTAL $ REQUESTED2],ROW(G17)))</f>
        <v>0</v>
      </c>
      <c r="N19" s="647">
        <f xml:space="preserve">
SUM(INDEX(CHSHTATbl[TOTAL $ REQUESTED],ROW(G17)),
INDEX(CHSHTATbl[TOTAL $ REQUESTED2],ROW(G17)),
INDEX(CHSHTATbl[TOTAL $ REQUESTED3],ROW(G17)),
INDEX(CHSHTATbl[% OF TOTAL2],ROW(G17)))</f>
        <v>0</v>
      </c>
      <c r="O19" s="647">
        <f xml:space="preserve">
SUM(
INDEX(CHSHTbl[NOT LIMITED TO RURAL AREAS],ROW($A17)),
INDEX(CHSHTbl[TO SUPPORT SHARED HOUSING IN RURAL AREAS],ROW($A17)))</f>
        <v>0</v>
      </c>
    </row>
    <row r="20" spans="1:15" s="624" customFormat="1" ht="10" x14ac:dyDescent="0.25">
      <c r="A20" s="622" t="s">
        <v>1893</v>
      </c>
      <c r="B20" s="643">
        <f t="shared" si="0"/>
        <v>0</v>
      </c>
      <c r="C20" s="638" t="str">
        <f>IF(B20&gt;0,"Project # " &amp; SUM(B$3:B20),"")</f>
        <v/>
      </c>
      <c r="D20" s="638" t="str">
        <f t="shared" si="1"/>
        <v/>
      </c>
      <c r="E20" s="623">
        <f xml:space="preserve">
SUM(INDEX(CHMATbl[UNITS],ROW(A18)),
INDEX(CHMATbl[UNITS2],ROW(A18)),
INDEX(CHMATbl[UNITS3],ROW(A18)),
INDEX(CHMATbl[UNITS4],ROW(A18)))</f>
        <v>0</v>
      </c>
      <c r="F20" s="623">
        <f xml:space="preserve">
SUM(INDEX(CHOORTbl[UNITS],ROW(A18)),
INDEX(CHOORTbl[UNITS2],ROW(A18)),
INDEX(CHOORTbl[UNITS3],ROW(A18)),
INDEX(CHOORTbl[UNITS4],ROW(A18)))</f>
        <v>0</v>
      </c>
      <c r="G20" s="623">
        <f xml:space="preserve">
SUM(INDEX(CHADUtbl[UNITS],ROW(A18)),
INDEX(CHADUtbl[UNITS2],ROW(A18)))</f>
        <v>0</v>
      </c>
      <c r="H20" s="623">
        <f xml:space="preserve">
SUM(INDEX(CHSHTATbl[UNITS],ROW(A18)),
INDEX(CHSHTATbl[UNITS2],ROW(A18)),
INDEX(CHSHTATbl[UNITS3],ROW(A18)),
INDEX(CHSHTATbl[UNITS4],ROW(A18)))</f>
        <v>0</v>
      </c>
      <c r="I20" s="623" cm="1">
        <f t="array" ref="I20" xml:space="preserve">
IF(
OR(
INDEX(CHSHTbl[NOT LIMITED TO RURAL AREAS],ROW(A18))&lt;&gt;"",
INDEX(CHSHTbl[TO SUPPORT SHARED HOUSING IN RURAL AREAS],ROW(A18))&lt;&gt;""),1,0)</f>
        <v>0</v>
      </c>
      <c r="K20" s="647">
        <f xml:space="preserve">
SUM(INDEX(CHMATbl[TOTAL $ REQUESTED],ROW(H18)),
INDEX(CHMATbl[TOTAL $ REQUESTED2],ROW(H18)),
INDEX(CHMATbl[TOTAL $ REQUESTED3],ROW(H18)),
INDEX(CHMATbl[TOTAL $ REQUESTED4],ROW(H18)))</f>
        <v>0</v>
      </c>
      <c r="L20" s="647">
        <f xml:space="preserve">
SUM(INDEX(CHOORTbl[TOTAL $ REQUESTED],ROW(A18)),
INDEX(CHOORTbl[TOTAL $ REQUESTED2],ROW(A18)),
INDEX(CHOORTbl[TOTAL $ REQUESTED3],ROW(A18)),
INDEX(CHOORTbl[TOTAL $ REQUESTED4],ROW(A18)))</f>
        <v>0</v>
      </c>
      <c r="M20" s="647">
        <f xml:space="preserve">
SUM(INDEX(CHADUtbl[TOTAL $ REQUESTED],ROW(G18)),
INDEX(CHADUtbl[TOTAL $ REQUESTED2],ROW(G18)))</f>
        <v>0</v>
      </c>
      <c r="N20" s="647">
        <f xml:space="preserve">
SUM(INDEX(CHSHTATbl[TOTAL $ REQUESTED],ROW(G18)),
INDEX(CHSHTATbl[TOTAL $ REQUESTED2],ROW(G18)),
INDEX(CHSHTATbl[TOTAL $ REQUESTED3],ROW(G18)),
INDEX(CHSHTATbl[% OF TOTAL2],ROW(G18)))</f>
        <v>0</v>
      </c>
      <c r="O20" s="647">
        <f xml:space="preserve">
SUM(
INDEX(CHSHTbl[NOT LIMITED TO RURAL AREAS],ROW($A18)),
INDEX(CHSHTbl[TO SUPPORT SHARED HOUSING IN RURAL AREAS],ROW($A18)))</f>
        <v>0</v>
      </c>
    </row>
    <row r="21" spans="1:15" s="624" customFormat="1" ht="10" x14ac:dyDescent="0.25">
      <c r="A21" s="622" t="s">
        <v>1736</v>
      </c>
      <c r="B21" s="643">
        <f t="shared" si="0"/>
        <v>0</v>
      </c>
      <c r="C21" s="638" t="str">
        <f>IF(B21&gt;0,"Project # " &amp; SUM(B$3:B21),"")</f>
        <v/>
      </c>
      <c r="D21" s="638" t="str">
        <f t="shared" si="1"/>
        <v/>
      </c>
      <c r="E21" s="623">
        <f xml:space="preserve">
SUM(INDEX(CHMATbl[UNITS],ROW(A19)),
INDEX(CHMATbl[UNITS2],ROW(A19)),
INDEX(CHMATbl[UNITS3],ROW(A19)),
INDEX(CHMATbl[UNITS4],ROW(A19)))</f>
        <v>0</v>
      </c>
      <c r="F21" s="623">
        <f xml:space="preserve">
SUM(INDEX(CHOORTbl[UNITS],ROW(A19)),
INDEX(CHOORTbl[UNITS2],ROW(A19)),
INDEX(CHOORTbl[UNITS3],ROW(A19)),
INDEX(CHOORTbl[UNITS4],ROW(A19)))</f>
        <v>0</v>
      </c>
      <c r="G21" s="623">
        <f xml:space="preserve">
SUM(INDEX(CHADUtbl[UNITS],ROW(A19)),
INDEX(CHADUtbl[UNITS2],ROW(A19)))</f>
        <v>0</v>
      </c>
      <c r="H21" s="623">
        <f xml:space="preserve">
SUM(INDEX(CHSHTATbl[UNITS],ROW(A19)),
INDEX(CHSHTATbl[UNITS2],ROW(A19)),
INDEX(CHSHTATbl[UNITS3],ROW(A19)),
INDEX(CHSHTATbl[UNITS4],ROW(A19)))</f>
        <v>0</v>
      </c>
      <c r="I21" s="623" cm="1">
        <f t="array" ref="I21" xml:space="preserve">
IF(
OR(
INDEX(CHSHTbl[NOT LIMITED TO RURAL AREAS],ROW(A19))&lt;&gt;"",
INDEX(CHSHTbl[TO SUPPORT SHARED HOUSING IN RURAL AREAS],ROW(A19))&lt;&gt;""),1,0)</f>
        <v>0</v>
      </c>
      <c r="K21" s="647">
        <f xml:space="preserve">
SUM(INDEX(CHMATbl[TOTAL $ REQUESTED],ROW(H19)),
INDEX(CHMATbl[TOTAL $ REQUESTED2],ROW(H19)),
INDEX(CHMATbl[TOTAL $ REQUESTED3],ROW(H19)),
INDEX(CHMATbl[TOTAL $ REQUESTED4],ROW(H19)))</f>
        <v>0</v>
      </c>
      <c r="L21" s="647">
        <f xml:space="preserve">
SUM(INDEX(CHOORTbl[TOTAL $ REQUESTED],ROW(A19)),
INDEX(CHOORTbl[TOTAL $ REQUESTED2],ROW(A19)),
INDEX(CHOORTbl[TOTAL $ REQUESTED3],ROW(A19)),
INDEX(CHOORTbl[TOTAL $ REQUESTED4],ROW(A19)))</f>
        <v>0</v>
      </c>
      <c r="M21" s="647">
        <f xml:space="preserve">
SUM(INDEX(CHADUtbl[TOTAL $ REQUESTED],ROW(G19)),
INDEX(CHADUtbl[TOTAL $ REQUESTED2],ROW(G19)))</f>
        <v>0</v>
      </c>
      <c r="N21" s="647">
        <f xml:space="preserve">
SUM(INDEX(CHSHTATbl[TOTAL $ REQUESTED],ROW(G19)),
INDEX(CHSHTATbl[TOTAL $ REQUESTED2],ROW(G19)),
INDEX(CHSHTATbl[TOTAL $ REQUESTED3],ROW(G19)),
INDEX(CHSHTATbl[% OF TOTAL2],ROW(G19)))</f>
        <v>0</v>
      </c>
      <c r="O21" s="647">
        <f xml:space="preserve">
SUM(
INDEX(CHSHTbl[NOT LIMITED TO RURAL AREAS],ROW($A19)),
INDEX(CHSHTbl[TO SUPPORT SHARED HOUSING IN RURAL AREAS],ROW($A19)))</f>
        <v>0</v>
      </c>
    </row>
    <row r="22" spans="1:15" s="624" customFormat="1" ht="10" x14ac:dyDescent="0.25">
      <c r="A22" s="622" t="s">
        <v>1737</v>
      </c>
      <c r="B22" s="643">
        <f t="shared" si="0"/>
        <v>0</v>
      </c>
      <c r="C22" s="638" t="str">
        <f>IF(B22&gt;0,"Project # " &amp; SUM(B$3:B22),"")</f>
        <v/>
      </c>
      <c r="D22" s="638" t="str">
        <f t="shared" si="1"/>
        <v/>
      </c>
      <c r="E22" s="623">
        <f xml:space="preserve">
SUM(INDEX(CHMATbl[UNITS],ROW(A20)),
INDEX(CHMATbl[UNITS2],ROW(A20)),
INDEX(CHMATbl[UNITS3],ROW(A20)),
INDEX(CHMATbl[UNITS4],ROW(A20)))</f>
        <v>0</v>
      </c>
      <c r="F22" s="623">
        <f xml:space="preserve">
SUM(INDEX(CHOORTbl[UNITS],ROW(A20)),
INDEX(CHOORTbl[UNITS2],ROW(A20)),
INDEX(CHOORTbl[UNITS3],ROW(A20)),
INDEX(CHOORTbl[UNITS4],ROW(A20)))</f>
        <v>0</v>
      </c>
      <c r="G22" s="623">
        <f xml:space="preserve">
SUM(INDEX(CHADUtbl[UNITS],ROW(A20)),
INDEX(CHADUtbl[UNITS2],ROW(A20)))</f>
        <v>0</v>
      </c>
      <c r="H22" s="623">
        <f xml:space="preserve">
SUM(INDEX(CHSHTATbl[UNITS],ROW(A20)),
INDEX(CHSHTATbl[UNITS2],ROW(A20)),
INDEX(CHSHTATbl[UNITS3],ROW(A20)),
INDEX(CHSHTATbl[UNITS4],ROW(A20)))</f>
        <v>0</v>
      </c>
      <c r="I22" s="623" cm="1">
        <f t="array" ref="I22" xml:space="preserve">
IF(
OR(
INDEX(CHSHTbl[NOT LIMITED TO RURAL AREAS],ROW(A20))&lt;&gt;"",
INDEX(CHSHTbl[TO SUPPORT SHARED HOUSING IN RURAL AREAS],ROW(A20))&lt;&gt;""),1,0)</f>
        <v>0</v>
      </c>
      <c r="K22" s="647">
        <f xml:space="preserve">
SUM(INDEX(CHMATbl[TOTAL $ REQUESTED],ROW(H20)),
INDEX(CHMATbl[TOTAL $ REQUESTED2],ROW(H20)),
INDEX(CHMATbl[TOTAL $ REQUESTED3],ROW(H20)),
INDEX(CHMATbl[TOTAL $ REQUESTED4],ROW(H20)))</f>
        <v>0</v>
      </c>
      <c r="L22" s="647">
        <f xml:space="preserve">
SUM(INDEX(CHOORTbl[TOTAL $ REQUESTED],ROW(A20)),
INDEX(CHOORTbl[TOTAL $ REQUESTED2],ROW(A20)),
INDEX(CHOORTbl[TOTAL $ REQUESTED3],ROW(A20)),
INDEX(CHOORTbl[TOTAL $ REQUESTED4],ROW(A20)))</f>
        <v>0</v>
      </c>
      <c r="M22" s="647">
        <f xml:space="preserve">
SUM(INDEX(CHADUtbl[TOTAL $ REQUESTED],ROW(G20)),
INDEX(CHADUtbl[TOTAL $ REQUESTED2],ROW(G20)))</f>
        <v>0</v>
      </c>
      <c r="N22" s="647">
        <f xml:space="preserve">
SUM(INDEX(CHSHTATbl[TOTAL $ REQUESTED],ROW(G20)),
INDEX(CHSHTATbl[TOTAL $ REQUESTED2],ROW(G20)),
INDEX(CHSHTATbl[TOTAL $ REQUESTED3],ROW(G20)),
INDEX(CHSHTATbl[% OF TOTAL2],ROW(G20)))</f>
        <v>0</v>
      </c>
      <c r="O22" s="647">
        <f xml:space="preserve">
SUM(
INDEX(CHSHTbl[NOT LIMITED TO RURAL AREAS],ROW($A20)),
INDEX(CHSHTbl[TO SUPPORT SHARED HOUSING IN RURAL AREAS],ROW($A20)))</f>
        <v>0</v>
      </c>
    </row>
    <row r="23" spans="1:15" s="624" customFormat="1" ht="10" x14ac:dyDescent="0.25">
      <c r="A23" s="622" t="s">
        <v>1894</v>
      </c>
      <c r="B23" s="643">
        <f t="shared" si="0"/>
        <v>0</v>
      </c>
      <c r="C23" s="638" t="str">
        <f>IF(B23&gt;0,"Project # " &amp; SUM(B$3:B23),"")</f>
        <v/>
      </c>
      <c r="D23" s="638" t="str">
        <f t="shared" si="1"/>
        <v/>
      </c>
      <c r="E23" s="623">
        <f xml:space="preserve">
SUM(INDEX(CHMATbl[UNITS],ROW(A21)),
INDEX(CHMATbl[UNITS2],ROW(A21)),
INDEX(CHMATbl[UNITS3],ROW(A21)),
INDEX(CHMATbl[UNITS4],ROW(A21)))</f>
        <v>0</v>
      </c>
      <c r="F23" s="623">
        <f xml:space="preserve">
SUM(INDEX(CHOORTbl[UNITS],ROW(A21)),
INDEX(CHOORTbl[UNITS2],ROW(A21)),
INDEX(CHOORTbl[UNITS3],ROW(A21)),
INDEX(CHOORTbl[UNITS4],ROW(A21)))</f>
        <v>0</v>
      </c>
      <c r="G23" s="623">
        <f xml:space="preserve">
SUM(INDEX(CHADUtbl[UNITS],ROW(A21)),
INDEX(CHADUtbl[UNITS2],ROW(A21)))</f>
        <v>0</v>
      </c>
      <c r="H23" s="623">
        <f xml:space="preserve">
SUM(INDEX(CHSHTATbl[UNITS],ROW(A21)),
INDEX(CHSHTATbl[UNITS2],ROW(A21)),
INDEX(CHSHTATbl[UNITS3],ROW(A21)),
INDEX(CHSHTATbl[UNITS4],ROW(A21)))</f>
        <v>0</v>
      </c>
      <c r="I23" s="623" cm="1">
        <f t="array" ref="I23" xml:space="preserve">
IF(
OR(
INDEX(CHSHTbl[NOT LIMITED TO RURAL AREAS],ROW(A21))&lt;&gt;"",
INDEX(CHSHTbl[TO SUPPORT SHARED HOUSING IN RURAL AREAS],ROW(A21))&lt;&gt;""),1,0)</f>
        <v>0</v>
      </c>
      <c r="K23" s="647">
        <f xml:space="preserve">
SUM(INDEX(CHMATbl[TOTAL $ REQUESTED],ROW(H21)),
INDEX(CHMATbl[TOTAL $ REQUESTED2],ROW(H21)),
INDEX(CHMATbl[TOTAL $ REQUESTED3],ROW(H21)),
INDEX(CHMATbl[TOTAL $ REQUESTED4],ROW(H21)))</f>
        <v>0</v>
      </c>
      <c r="L23" s="647">
        <f xml:space="preserve">
SUM(INDEX(CHOORTbl[TOTAL $ REQUESTED],ROW(A21)),
INDEX(CHOORTbl[TOTAL $ REQUESTED2],ROW(A21)),
INDEX(CHOORTbl[TOTAL $ REQUESTED3],ROW(A21)),
INDEX(CHOORTbl[TOTAL $ REQUESTED4],ROW(A21)))</f>
        <v>0</v>
      </c>
      <c r="M23" s="647">
        <f xml:space="preserve">
SUM(INDEX(CHADUtbl[TOTAL $ REQUESTED],ROW(G21)),
INDEX(CHADUtbl[TOTAL $ REQUESTED2],ROW(G21)))</f>
        <v>0</v>
      </c>
      <c r="N23" s="647">
        <f xml:space="preserve">
SUM(INDEX(CHSHTATbl[TOTAL $ REQUESTED],ROW(G21)),
INDEX(CHSHTATbl[TOTAL $ REQUESTED2],ROW(G21)),
INDEX(CHSHTATbl[TOTAL $ REQUESTED3],ROW(G21)),
INDEX(CHSHTATbl[% OF TOTAL2],ROW(G21)))</f>
        <v>0</v>
      </c>
      <c r="O23" s="647">
        <f xml:space="preserve">
SUM(
INDEX(CHSHTbl[NOT LIMITED TO RURAL AREAS],ROW($A21)),
INDEX(CHSHTbl[TO SUPPORT SHARED HOUSING IN RURAL AREAS],ROW($A21)))</f>
        <v>0</v>
      </c>
    </row>
    <row r="24" spans="1:15" s="624" customFormat="1" ht="10" x14ac:dyDescent="0.25">
      <c r="A24" s="622" t="s">
        <v>1739</v>
      </c>
      <c r="B24" s="643">
        <f t="shared" si="0"/>
        <v>0</v>
      </c>
      <c r="C24" s="638" t="str">
        <f>IF(B24&gt;0,"Project # " &amp; SUM(B$3:B24),"")</f>
        <v/>
      </c>
      <c r="D24" s="638" t="str">
        <f t="shared" si="1"/>
        <v/>
      </c>
      <c r="E24" s="623">
        <f xml:space="preserve">
SUM(INDEX(CHMATbl[UNITS],ROW(A22)),
INDEX(CHMATbl[UNITS2],ROW(A22)),
INDEX(CHMATbl[UNITS3],ROW(A22)),
INDEX(CHMATbl[UNITS4],ROW(A22)))</f>
        <v>0</v>
      </c>
      <c r="F24" s="623">
        <f xml:space="preserve">
SUM(INDEX(CHOORTbl[UNITS],ROW(A22)),
INDEX(CHOORTbl[UNITS2],ROW(A22)),
INDEX(CHOORTbl[UNITS3],ROW(A22)),
INDEX(CHOORTbl[UNITS4],ROW(A22)))</f>
        <v>0</v>
      </c>
      <c r="G24" s="623">
        <f xml:space="preserve">
SUM(INDEX(CHADUtbl[UNITS],ROW(A22)),
INDEX(CHADUtbl[UNITS2],ROW(A22)))</f>
        <v>0</v>
      </c>
      <c r="H24" s="623">
        <f xml:space="preserve">
SUM(INDEX(CHSHTATbl[UNITS],ROW(A22)),
INDEX(CHSHTATbl[UNITS2],ROW(A22)),
INDEX(CHSHTATbl[UNITS3],ROW(A22)),
INDEX(CHSHTATbl[UNITS4],ROW(A22)))</f>
        <v>0</v>
      </c>
      <c r="I24" s="623" cm="1">
        <f t="array" ref="I24" xml:space="preserve">
IF(
OR(
INDEX(CHSHTbl[NOT LIMITED TO RURAL AREAS],ROW(A22))&lt;&gt;"",
INDEX(CHSHTbl[TO SUPPORT SHARED HOUSING IN RURAL AREAS],ROW(A22))&lt;&gt;""),1,0)</f>
        <v>0</v>
      </c>
      <c r="K24" s="647">
        <f xml:space="preserve">
SUM(INDEX(CHMATbl[TOTAL $ REQUESTED],ROW(H22)),
INDEX(CHMATbl[TOTAL $ REQUESTED2],ROW(H22)),
INDEX(CHMATbl[TOTAL $ REQUESTED3],ROW(H22)),
INDEX(CHMATbl[TOTAL $ REQUESTED4],ROW(H22)))</f>
        <v>0</v>
      </c>
      <c r="L24" s="647">
        <f xml:space="preserve">
SUM(INDEX(CHOORTbl[TOTAL $ REQUESTED],ROW(A22)),
INDEX(CHOORTbl[TOTAL $ REQUESTED2],ROW(A22)),
INDEX(CHOORTbl[TOTAL $ REQUESTED3],ROW(A22)),
INDEX(CHOORTbl[TOTAL $ REQUESTED4],ROW(A22)))</f>
        <v>0</v>
      </c>
      <c r="M24" s="647">
        <f xml:space="preserve">
SUM(INDEX(CHADUtbl[TOTAL $ REQUESTED],ROW(G22)),
INDEX(CHADUtbl[TOTAL $ REQUESTED2],ROW(G22)))</f>
        <v>0</v>
      </c>
      <c r="N24" s="647">
        <f xml:space="preserve">
SUM(INDEX(CHSHTATbl[TOTAL $ REQUESTED],ROW(G22)),
INDEX(CHSHTATbl[TOTAL $ REQUESTED2],ROW(G22)),
INDEX(CHSHTATbl[TOTAL $ REQUESTED3],ROW(G22)),
INDEX(CHSHTATbl[% OF TOTAL2],ROW(G22)))</f>
        <v>0</v>
      </c>
      <c r="O24" s="647">
        <f xml:space="preserve">
SUM(
INDEX(CHSHTbl[NOT LIMITED TO RURAL AREAS],ROW($A22)),
INDEX(CHSHTbl[TO SUPPORT SHARED HOUSING IN RURAL AREAS],ROW($A22)))</f>
        <v>0</v>
      </c>
    </row>
    <row r="25" spans="1:15" s="624" customFormat="1" ht="10" x14ac:dyDescent="0.25">
      <c r="A25" s="622" t="s">
        <v>1895</v>
      </c>
      <c r="B25" s="643">
        <f t="shared" si="0"/>
        <v>0</v>
      </c>
      <c r="C25" s="638" t="str">
        <f>IF(B25&gt;0,"Project # " &amp; SUM(B$3:B25),"")</f>
        <v/>
      </c>
      <c r="D25" s="638" t="str">
        <f t="shared" si="1"/>
        <v/>
      </c>
      <c r="E25" s="623">
        <f xml:space="preserve">
SUM(INDEX(CHMATbl[UNITS],ROW(A23)),
INDEX(CHMATbl[UNITS2],ROW(A23)),
INDEX(CHMATbl[UNITS3],ROW(A23)),
INDEX(CHMATbl[UNITS4],ROW(A23)))</f>
        <v>0</v>
      </c>
      <c r="F25" s="623">
        <f xml:space="preserve">
SUM(INDEX(CHOORTbl[UNITS],ROW(A23)),
INDEX(CHOORTbl[UNITS2],ROW(A23)),
INDEX(CHOORTbl[UNITS3],ROW(A23)),
INDEX(CHOORTbl[UNITS4],ROW(A23)))</f>
        <v>0</v>
      </c>
      <c r="G25" s="623">
        <f xml:space="preserve">
SUM(INDEX(CHADUtbl[UNITS],ROW(A23)),
INDEX(CHADUtbl[UNITS2],ROW(A23)))</f>
        <v>0</v>
      </c>
      <c r="H25" s="623">
        <f xml:space="preserve">
SUM(INDEX(CHSHTATbl[UNITS],ROW(A23)),
INDEX(CHSHTATbl[UNITS2],ROW(A23)),
INDEX(CHSHTATbl[UNITS3],ROW(A23)),
INDEX(CHSHTATbl[UNITS4],ROW(A23)))</f>
        <v>0</v>
      </c>
      <c r="I25" s="623" cm="1">
        <f t="array" ref="I25" xml:space="preserve">
IF(
OR(
INDEX(CHSHTbl[NOT LIMITED TO RURAL AREAS],ROW(A23))&lt;&gt;"",
INDEX(CHSHTbl[TO SUPPORT SHARED HOUSING IN RURAL AREAS],ROW(A23))&lt;&gt;""),1,0)</f>
        <v>0</v>
      </c>
      <c r="K25" s="647">
        <f xml:space="preserve">
SUM(INDEX(CHMATbl[TOTAL $ REQUESTED],ROW(H23)),
INDEX(CHMATbl[TOTAL $ REQUESTED2],ROW(H23)),
INDEX(CHMATbl[TOTAL $ REQUESTED3],ROW(H23)),
INDEX(CHMATbl[TOTAL $ REQUESTED4],ROW(H23)))</f>
        <v>0</v>
      </c>
      <c r="L25" s="647">
        <f xml:space="preserve">
SUM(INDEX(CHOORTbl[TOTAL $ REQUESTED],ROW(A23)),
INDEX(CHOORTbl[TOTAL $ REQUESTED2],ROW(A23)),
INDEX(CHOORTbl[TOTAL $ REQUESTED3],ROW(A23)),
INDEX(CHOORTbl[TOTAL $ REQUESTED4],ROW(A23)))</f>
        <v>0</v>
      </c>
      <c r="M25" s="647">
        <f xml:space="preserve">
SUM(INDEX(CHADUtbl[TOTAL $ REQUESTED],ROW(G23)),
INDEX(CHADUtbl[TOTAL $ REQUESTED2],ROW(G23)))</f>
        <v>0</v>
      </c>
      <c r="N25" s="647">
        <f xml:space="preserve">
SUM(INDEX(CHSHTATbl[TOTAL $ REQUESTED],ROW(G23)),
INDEX(CHSHTATbl[TOTAL $ REQUESTED2],ROW(G23)),
INDEX(CHSHTATbl[TOTAL $ REQUESTED3],ROW(G23)),
INDEX(CHSHTATbl[% OF TOTAL2],ROW(G23)))</f>
        <v>0</v>
      </c>
      <c r="O25" s="647">
        <f xml:space="preserve">
SUM(
INDEX(CHSHTbl[NOT LIMITED TO RURAL AREAS],ROW($A23)),
INDEX(CHSHTbl[TO SUPPORT SHARED HOUSING IN RURAL AREAS],ROW($A23)))</f>
        <v>0</v>
      </c>
    </row>
    <row r="26" spans="1:15" s="624" customFormat="1" ht="10" x14ac:dyDescent="0.25">
      <c r="A26" s="622" t="s">
        <v>1741</v>
      </c>
      <c r="B26" s="643">
        <f t="shared" si="0"/>
        <v>0</v>
      </c>
      <c r="C26" s="638" t="str">
        <f>IF(B26&gt;0,"Project # " &amp; SUM(B$3:B26),"")</f>
        <v/>
      </c>
      <c r="D26" s="638" t="str">
        <f t="shared" si="1"/>
        <v/>
      </c>
      <c r="E26" s="623">
        <f xml:space="preserve">
SUM(INDEX(CHMATbl[UNITS],ROW(A24)),
INDEX(CHMATbl[UNITS2],ROW(A24)),
INDEX(CHMATbl[UNITS3],ROW(A24)),
INDEX(CHMATbl[UNITS4],ROW(A24)))</f>
        <v>0</v>
      </c>
      <c r="F26" s="623">
        <f xml:space="preserve">
SUM(INDEX(CHOORTbl[UNITS],ROW(A24)),
INDEX(CHOORTbl[UNITS2],ROW(A24)),
INDEX(CHOORTbl[UNITS3],ROW(A24)),
INDEX(CHOORTbl[UNITS4],ROW(A24)))</f>
        <v>0</v>
      </c>
      <c r="G26" s="623">
        <f xml:space="preserve">
SUM(INDEX(CHADUtbl[UNITS],ROW(A24)),
INDEX(CHADUtbl[UNITS2],ROW(A24)))</f>
        <v>0</v>
      </c>
      <c r="H26" s="623">
        <f xml:space="preserve">
SUM(INDEX(CHSHTATbl[UNITS],ROW(A24)),
INDEX(CHSHTATbl[UNITS2],ROW(A24)),
INDEX(CHSHTATbl[UNITS3],ROW(A24)),
INDEX(CHSHTATbl[UNITS4],ROW(A24)))</f>
        <v>0</v>
      </c>
      <c r="I26" s="623" cm="1">
        <f t="array" ref="I26" xml:space="preserve">
IF(
OR(
INDEX(CHSHTbl[NOT LIMITED TO RURAL AREAS],ROW(A24))&lt;&gt;"",
INDEX(CHSHTbl[TO SUPPORT SHARED HOUSING IN RURAL AREAS],ROW(A24))&lt;&gt;""),1,0)</f>
        <v>0</v>
      </c>
      <c r="K26" s="647">
        <f xml:space="preserve">
SUM(INDEX(CHMATbl[TOTAL $ REQUESTED],ROW(H24)),
INDEX(CHMATbl[TOTAL $ REQUESTED2],ROW(H24)),
INDEX(CHMATbl[TOTAL $ REQUESTED3],ROW(H24)),
INDEX(CHMATbl[TOTAL $ REQUESTED4],ROW(H24)))</f>
        <v>0</v>
      </c>
      <c r="L26" s="647">
        <f xml:space="preserve">
SUM(INDEX(CHOORTbl[TOTAL $ REQUESTED],ROW(A24)),
INDEX(CHOORTbl[TOTAL $ REQUESTED2],ROW(A24)),
INDEX(CHOORTbl[TOTAL $ REQUESTED3],ROW(A24)),
INDEX(CHOORTbl[TOTAL $ REQUESTED4],ROW(A24)))</f>
        <v>0</v>
      </c>
      <c r="M26" s="647">
        <f xml:space="preserve">
SUM(INDEX(CHADUtbl[TOTAL $ REQUESTED],ROW(G24)),
INDEX(CHADUtbl[TOTAL $ REQUESTED2],ROW(G24)))</f>
        <v>0</v>
      </c>
      <c r="N26" s="647">
        <f xml:space="preserve">
SUM(INDEX(CHSHTATbl[TOTAL $ REQUESTED],ROW(G24)),
INDEX(CHSHTATbl[TOTAL $ REQUESTED2],ROW(G24)),
INDEX(CHSHTATbl[TOTAL $ REQUESTED3],ROW(G24)),
INDEX(CHSHTATbl[% OF TOTAL2],ROW(G24)))</f>
        <v>0</v>
      </c>
      <c r="O26" s="647">
        <f xml:space="preserve">
SUM(
INDEX(CHSHTbl[NOT LIMITED TO RURAL AREAS],ROW($A24)),
INDEX(CHSHTbl[TO SUPPORT SHARED HOUSING IN RURAL AREAS],ROW($A24)))</f>
        <v>0</v>
      </c>
    </row>
    <row r="27" spans="1:15" s="624" customFormat="1" ht="10" x14ac:dyDescent="0.25">
      <c r="A27" s="622" t="s">
        <v>1896</v>
      </c>
      <c r="B27" s="643">
        <f t="shared" si="0"/>
        <v>0</v>
      </c>
      <c r="C27" s="638" t="str">
        <f>IF(B27&gt;0,"Project # " &amp; SUM(B$3:B27),"")</f>
        <v/>
      </c>
      <c r="D27" s="638" t="str">
        <f t="shared" si="1"/>
        <v/>
      </c>
      <c r="E27" s="623">
        <f xml:space="preserve">
SUM(INDEX(CHMATbl[UNITS],ROW(A25)),
INDEX(CHMATbl[UNITS2],ROW(A25)),
INDEX(CHMATbl[UNITS3],ROW(A25)),
INDEX(CHMATbl[UNITS4],ROW(A25)))</f>
        <v>0</v>
      </c>
      <c r="F27" s="623">
        <f xml:space="preserve">
SUM(INDEX(CHOORTbl[UNITS],ROW(A25)),
INDEX(CHOORTbl[UNITS2],ROW(A25)),
INDEX(CHOORTbl[UNITS3],ROW(A25)),
INDEX(CHOORTbl[UNITS4],ROW(A25)))</f>
        <v>0</v>
      </c>
      <c r="G27" s="623">
        <f xml:space="preserve">
SUM(INDEX(CHADUtbl[UNITS],ROW(A25)),
INDEX(CHADUtbl[UNITS2],ROW(A25)))</f>
        <v>0</v>
      </c>
      <c r="H27" s="623">
        <f xml:space="preserve">
SUM(INDEX(CHSHTATbl[UNITS],ROW(A25)),
INDEX(CHSHTATbl[UNITS2],ROW(A25)),
INDEX(CHSHTATbl[UNITS3],ROW(A25)),
INDEX(CHSHTATbl[UNITS4],ROW(A25)))</f>
        <v>0</v>
      </c>
      <c r="I27" s="623" cm="1">
        <f t="array" ref="I27" xml:space="preserve">
IF(
OR(
INDEX(CHSHTbl[NOT LIMITED TO RURAL AREAS],ROW(A25))&lt;&gt;"",
INDEX(CHSHTbl[TO SUPPORT SHARED HOUSING IN RURAL AREAS],ROW(A25))&lt;&gt;""),1,0)</f>
        <v>0</v>
      </c>
      <c r="K27" s="647">
        <f xml:space="preserve">
SUM(INDEX(CHMATbl[TOTAL $ REQUESTED],ROW(H25)),
INDEX(CHMATbl[TOTAL $ REQUESTED2],ROW(H25)),
INDEX(CHMATbl[TOTAL $ REQUESTED3],ROW(H25)),
INDEX(CHMATbl[TOTAL $ REQUESTED4],ROW(H25)))</f>
        <v>0</v>
      </c>
      <c r="L27" s="647">
        <f xml:space="preserve">
SUM(INDEX(CHOORTbl[TOTAL $ REQUESTED],ROW(A25)),
INDEX(CHOORTbl[TOTAL $ REQUESTED2],ROW(A25)),
INDEX(CHOORTbl[TOTAL $ REQUESTED3],ROW(A25)),
INDEX(CHOORTbl[TOTAL $ REQUESTED4],ROW(A25)))</f>
        <v>0</v>
      </c>
      <c r="M27" s="647">
        <f xml:space="preserve">
SUM(INDEX(CHADUtbl[TOTAL $ REQUESTED],ROW(G25)),
INDEX(CHADUtbl[TOTAL $ REQUESTED2],ROW(G25)))</f>
        <v>0</v>
      </c>
      <c r="N27" s="647">
        <f xml:space="preserve">
SUM(INDEX(CHSHTATbl[TOTAL $ REQUESTED],ROW(G25)),
INDEX(CHSHTATbl[TOTAL $ REQUESTED2],ROW(G25)),
INDEX(CHSHTATbl[TOTAL $ REQUESTED3],ROW(G25)),
INDEX(CHSHTATbl[% OF TOTAL2],ROW(G25)))</f>
        <v>0</v>
      </c>
      <c r="O27" s="647">
        <f xml:space="preserve">
SUM(
INDEX(CHSHTbl[NOT LIMITED TO RURAL AREAS],ROW($A25)),
INDEX(CHSHTbl[TO SUPPORT SHARED HOUSING IN RURAL AREAS],ROW($A25)))</f>
        <v>0</v>
      </c>
    </row>
    <row r="28" spans="1:15" s="624" customFormat="1" ht="10" x14ac:dyDescent="0.25">
      <c r="A28" s="622" t="s">
        <v>1897</v>
      </c>
      <c r="B28" s="643">
        <f t="shared" si="0"/>
        <v>0</v>
      </c>
      <c r="C28" s="638" t="str">
        <f>IF(B28&gt;0,"Project # " &amp; SUM(B$3:B28),"")</f>
        <v/>
      </c>
      <c r="D28" s="638" t="str">
        <f t="shared" si="1"/>
        <v/>
      </c>
      <c r="E28" s="623">
        <f xml:space="preserve">
SUM(INDEX(CHMATbl[UNITS],ROW(A26)),
INDEX(CHMATbl[UNITS2],ROW(A26)),
INDEX(CHMATbl[UNITS3],ROW(A26)),
INDEX(CHMATbl[UNITS4],ROW(A26)))</f>
        <v>0</v>
      </c>
      <c r="F28" s="623">
        <f xml:space="preserve">
SUM(INDEX(CHOORTbl[UNITS],ROW(A26)),
INDEX(CHOORTbl[UNITS2],ROW(A26)),
INDEX(CHOORTbl[UNITS3],ROW(A26)),
INDEX(CHOORTbl[UNITS4],ROW(A26)))</f>
        <v>0</v>
      </c>
      <c r="G28" s="623">
        <f xml:space="preserve">
SUM(INDEX(CHADUtbl[UNITS],ROW(A26)),
INDEX(CHADUtbl[UNITS2],ROW(A26)))</f>
        <v>0</v>
      </c>
      <c r="H28" s="623">
        <f xml:space="preserve">
SUM(INDEX(CHSHTATbl[UNITS],ROW(A26)),
INDEX(CHSHTATbl[UNITS2],ROW(A26)),
INDEX(CHSHTATbl[UNITS3],ROW(A26)),
INDEX(CHSHTATbl[UNITS4],ROW(A26)))</f>
        <v>0</v>
      </c>
      <c r="I28" s="623" cm="1">
        <f t="array" ref="I28" xml:space="preserve">
IF(
OR(
INDEX(CHSHTbl[NOT LIMITED TO RURAL AREAS],ROW(A26))&lt;&gt;"",
INDEX(CHSHTbl[TO SUPPORT SHARED HOUSING IN RURAL AREAS],ROW(A26))&lt;&gt;""),1,0)</f>
        <v>0</v>
      </c>
      <c r="K28" s="647">
        <f xml:space="preserve">
SUM(INDEX(CHMATbl[TOTAL $ REQUESTED],ROW(H26)),
INDEX(CHMATbl[TOTAL $ REQUESTED2],ROW(H26)),
INDEX(CHMATbl[TOTAL $ REQUESTED3],ROW(H26)),
INDEX(CHMATbl[TOTAL $ REQUESTED4],ROW(H26)))</f>
        <v>0</v>
      </c>
      <c r="L28" s="647">
        <f xml:space="preserve">
SUM(INDEX(CHOORTbl[TOTAL $ REQUESTED],ROW(A26)),
INDEX(CHOORTbl[TOTAL $ REQUESTED2],ROW(A26)),
INDEX(CHOORTbl[TOTAL $ REQUESTED3],ROW(A26)),
INDEX(CHOORTbl[TOTAL $ REQUESTED4],ROW(A26)))</f>
        <v>0</v>
      </c>
      <c r="M28" s="647">
        <f xml:space="preserve">
SUM(INDEX(CHADUtbl[TOTAL $ REQUESTED],ROW(G26)),
INDEX(CHADUtbl[TOTAL $ REQUESTED2],ROW(G26)))</f>
        <v>0</v>
      </c>
      <c r="N28" s="647">
        <f xml:space="preserve">
SUM(INDEX(CHSHTATbl[TOTAL $ REQUESTED],ROW(G26)),
INDEX(CHSHTATbl[TOTAL $ REQUESTED2],ROW(G26)),
INDEX(CHSHTATbl[TOTAL $ REQUESTED3],ROW(G26)),
INDEX(CHSHTATbl[% OF TOTAL2],ROW(G26)))</f>
        <v>0</v>
      </c>
      <c r="O28" s="647">
        <f xml:space="preserve">
SUM(
INDEX(CHSHTbl[NOT LIMITED TO RURAL AREAS],ROW($A26)),
INDEX(CHSHTbl[TO SUPPORT SHARED HOUSING IN RURAL AREAS],ROW($A26)))</f>
        <v>0</v>
      </c>
    </row>
    <row r="29" spans="1:15" s="624" customFormat="1" ht="10" x14ac:dyDescent="0.25">
      <c r="A29" s="622" t="s">
        <v>1898</v>
      </c>
      <c r="B29" s="643">
        <f t="shared" si="0"/>
        <v>0</v>
      </c>
      <c r="C29" s="638" t="str">
        <f>IF(B29&gt;0,"Project # " &amp; SUM(B$3:B29),"")</f>
        <v/>
      </c>
      <c r="D29" s="638" t="str">
        <f t="shared" si="1"/>
        <v/>
      </c>
      <c r="E29" s="623">
        <f xml:space="preserve">
SUM(INDEX(CHMATbl[UNITS],ROW(A27)),
INDEX(CHMATbl[UNITS2],ROW(A27)),
INDEX(CHMATbl[UNITS3],ROW(A27)),
INDEX(CHMATbl[UNITS4],ROW(A27)))</f>
        <v>0</v>
      </c>
      <c r="F29" s="623">
        <f xml:space="preserve">
SUM(INDEX(CHOORTbl[UNITS],ROW(A27)),
INDEX(CHOORTbl[UNITS2],ROW(A27)),
INDEX(CHOORTbl[UNITS3],ROW(A27)),
INDEX(CHOORTbl[UNITS4],ROW(A27)))</f>
        <v>0</v>
      </c>
      <c r="G29" s="623">
        <f xml:space="preserve">
SUM(INDEX(CHADUtbl[UNITS],ROW(A27)),
INDEX(CHADUtbl[UNITS2],ROW(A27)))</f>
        <v>0</v>
      </c>
      <c r="H29" s="623">
        <f xml:space="preserve">
SUM(INDEX(CHSHTATbl[UNITS],ROW(A27)),
INDEX(CHSHTATbl[UNITS2],ROW(A27)),
INDEX(CHSHTATbl[UNITS3],ROW(A27)),
INDEX(CHSHTATbl[UNITS4],ROW(A27)))</f>
        <v>0</v>
      </c>
      <c r="I29" s="623" cm="1">
        <f t="array" ref="I29" xml:space="preserve">
IF(
OR(
INDEX(CHSHTbl[NOT LIMITED TO RURAL AREAS],ROW(A27))&lt;&gt;"",
INDEX(CHSHTbl[TO SUPPORT SHARED HOUSING IN RURAL AREAS],ROW(A27))&lt;&gt;""),1,0)</f>
        <v>0</v>
      </c>
      <c r="K29" s="647">
        <f xml:space="preserve">
SUM(INDEX(CHMATbl[TOTAL $ REQUESTED],ROW(H27)),
INDEX(CHMATbl[TOTAL $ REQUESTED2],ROW(H27)),
INDEX(CHMATbl[TOTAL $ REQUESTED3],ROW(H27)),
INDEX(CHMATbl[TOTAL $ REQUESTED4],ROW(H27)))</f>
        <v>0</v>
      </c>
      <c r="L29" s="647">
        <f xml:space="preserve">
SUM(INDEX(CHOORTbl[TOTAL $ REQUESTED],ROW(A27)),
INDEX(CHOORTbl[TOTAL $ REQUESTED2],ROW(A27)),
INDEX(CHOORTbl[TOTAL $ REQUESTED3],ROW(A27)),
INDEX(CHOORTbl[TOTAL $ REQUESTED4],ROW(A27)))</f>
        <v>0</v>
      </c>
      <c r="M29" s="647">
        <f xml:space="preserve">
SUM(INDEX(CHADUtbl[TOTAL $ REQUESTED],ROW(G27)),
INDEX(CHADUtbl[TOTAL $ REQUESTED2],ROW(G27)))</f>
        <v>0</v>
      </c>
      <c r="N29" s="647">
        <f xml:space="preserve">
SUM(INDEX(CHSHTATbl[TOTAL $ REQUESTED],ROW(G27)),
INDEX(CHSHTATbl[TOTAL $ REQUESTED2],ROW(G27)),
INDEX(CHSHTATbl[TOTAL $ REQUESTED3],ROW(G27)),
INDEX(CHSHTATbl[% OF TOTAL2],ROW(G27)))</f>
        <v>0</v>
      </c>
      <c r="O29" s="647">
        <f xml:space="preserve">
SUM(
INDEX(CHSHTbl[NOT LIMITED TO RURAL AREAS],ROW($A27)),
INDEX(CHSHTbl[TO SUPPORT SHARED HOUSING IN RURAL AREAS],ROW($A27)))</f>
        <v>0</v>
      </c>
    </row>
    <row r="30" spans="1:15" s="624" customFormat="1" ht="10" x14ac:dyDescent="0.25">
      <c r="A30" s="622" t="s">
        <v>1745</v>
      </c>
      <c r="B30" s="643">
        <f t="shared" si="0"/>
        <v>0</v>
      </c>
      <c r="C30" s="638" t="str">
        <f>IF(B30&gt;0,"Project # " &amp; SUM(B$3:B30),"")</f>
        <v/>
      </c>
      <c r="D30" s="638" t="str">
        <f t="shared" si="1"/>
        <v/>
      </c>
      <c r="E30" s="623">
        <f xml:space="preserve">
SUM(INDEX(CHMATbl[UNITS],ROW(A28)),
INDEX(CHMATbl[UNITS2],ROW(A28)),
INDEX(CHMATbl[UNITS3],ROW(A28)),
INDEX(CHMATbl[UNITS4],ROW(A28)))</f>
        <v>0</v>
      </c>
      <c r="F30" s="623">
        <f xml:space="preserve">
SUM(INDEX(CHOORTbl[UNITS],ROW(A28)),
INDEX(CHOORTbl[UNITS2],ROW(A28)),
INDEX(CHOORTbl[UNITS3],ROW(A28)),
INDEX(CHOORTbl[UNITS4],ROW(A28)))</f>
        <v>0</v>
      </c>
      <c r="G30" s="623">
        <f xml:space="preserve">
SUM(INDEX(CHADUtbl[UNITS],ROW(A28)),
INDEX(CHADUtbl[UNITS2],ROW(A28)))</f>
        <v>0</v>
      </c>
      <c r="H30" s="623">
        <f xml:space="preserve">
SUM(INDEX(CHSHTATbl[UNITS],ROW(A28)),
INDEX(CHSHTATbl[UNITS2],ROW(A28)),
INDEX(CHSHTATbl[UNITS3],ROW(A28)),
INDEX(CHSHTATbl[UNITS4],ROW(A28)))</f>
        <v>0</v>
      </c>
      <c r="I30" s="623" cm="1">
        <f t="array" ref="I30" xml:space="preserve">
IF(
OR(
INDEX(CHSHTbl[NOT LIMITED TO RURAL AREAS],ROW(A28))&lt;&gt;"",
INDEX(CHSHTbl[TO SUPPORT SHARED HOUSING IN RURAL AREAS],ROW(A28))&lt;&gt;""),1,0)</f>
        <v>0</v>
      </c>
      <c r="K30" s="647">
        <f xml:space="preserve">
SUM(INDEX(CHMATbl[TOTAL $ REQUESTED],ROW(H28)),
INDEX(CHMATbl[TOTAL $ REQUESTED2],ROW(H28)),
INDEX(CHMATbl[TOTAL $ REQUESTED3],ROW(H28)),
INDEX(CHMATbl[TOTAL $ REQUESTED4],ROW(H28)))</f>
        <v>0</v>
      </c>
      <c r="L30" s="647">
        <f xml:space="preserve">
SUM(INDEX(CHOORTbl[TOTAL $ REQUESTED],ROW(A28)),
INDEX(CHOORTbl[TOTAL $ REQUESTED2],ROW(A28)),
INDEX(CHOORTbl[TOTAL $ REQUESTED3],ROW(A28)),
INDEX(CHOORTbl[TOTAL $ REQUESTED4],ROW(A28)))</f>
        <v>0</v>
      </c>
      <c r="M30" s="647">
        <f xml:space="preserve">
SUM(INDEX(CHADUtbl[TOTAL $ REQUESTED],ROW(G28)),
INDEX(CHADUtbl[TOTAL $ REQUESTED2],ROW(G28)))</f>
        <v>0</v>
      </c>
      <c r="N30" s="647">
        <f xml:space="preserve">
SUM(INDEX(CHSHTATbl[TOTAL $ REQUESTED],ROW(G28)),
INDEX(CHSHTATbl[TOTAL $ REQUESTED2],ROW(G28)),
INDEX(CHSHTATbl[TOTAL $ REQUESTED3],ROW(G28)),
INDEX(CHSHTATbl[% OF TOTAL2],ROW(G28)))</f>
        <v>0</v>
      </c>
      <c r="O30" s="647">
        <f xml:space="preserve">
SUM(
INDEX(CHSHTbl[NOT LIMITED TO RURAL AREAS],ROW($A28)),
INDEX(CHSHTbl[TO SUPPORT SHARED HOUSING IN RURAL AREAS],ROW($A28)))</f>
        <v>0</v>
      </c>
    </row>
    <row r="31" spans="1:15" s="624" customFormat="1" ht="10" x14ac:dyDescent="0.25">
      <c r="A31" s="622" t="s">
        <v>1899</v>
      </c>
      <c r="B31" s="643">
        <f t="shared" si="0"/>
        <v>0</v>
      </c>
      <c r="C31" s="638" t="str">
        <f>IF(B31&gt;0,"Project # " &amp; SUM(B$3:B31),"")</f>
        <v/>
      </c>
      <c r="D31" s="638" t="str">
        <f t="shared" si="1"/>
        <v/>
      </c>
      <c r="E31" s="623">
        <f xml:space="preserve">
SUM(INDEX(CHMATbl[UNITS],ROW(A29)),
INDEX(CHMATbl[UNITS2],ROW(A29)),
INDEX(CHMATbl[UNITS3],ROW(A29)),
INDEX(CHMATbl[UNITS4],ROW(A29)))</f>
        <v>0</v>
      </c>
      <c r="F31" s="623">
        <f xml:space="preserve">
SUM(INDEX(CHOORTbl[UNITS],ROW(A29)),
INDEX(CHOORTbl[UNITS2],ROW(A29)),
INDEX(CHOORTbl[UNITS3],ROW(A29)),
INDEX(CHOORTbl[UNITS4],ROW(A29)))</f>
        <v>0</v>
      </c>
      <c r="G31" s="623">
        <f xml:space="preserve">
SUM(INDEX(CHADUtbl[UNITS],ROW(A29)),
INDEX(CHADUtbl[UNITS2],ROW(A29)))</f>
        <v>0</v>
      </c>
      <c r="H31" s="623">
        <f xml:space="preserve">
SUM(INDEX(CHSHTATbl[UNITS],ROW(A29)),
INDEX(CHSHTATbl[UNITS2],ROW(A29)),
INDEX(CHSHTATbl[UNITS3],ROW(A29)),
INDEX(CHSHTATbl[UNITS4],ROW(A29)))</f>
        <v>0</v>
      </c>
      <c r="I31" s="623" cm="1">
        <f t="array" ref="I31" xml:space="preserve">
IF(
OR(
INDEX(CHSHTbl[NOT LIMITED TO RURAL AREAS],ROW(A29))&lt;&gt;"",
INDEX(CHSHTbl[TO SUPPORT SHARED HOUSING IN RURAL AREAS],ROW(A29))&lt;&gt;""),1,0)</f>
        <v>0</v>
      </c>
      <c r="K31" s="647">
        <f xml:space="preserve">
SUM(INDEX(CHMATbl[TOTAL $ REQUESTED],ROW(H29)),
INDEX(CHMATbl[TOTAL $ REQUESTED2],ROW(H29)),
INDEX(CHMATbl[TOTAL $ REQUESTED3],ROW(H29)),
INDEX(CHMATbl[TOTAL $ REQUESTED4],ROW(H29)))</f>
        <v>0</v>
      </c>
      <c r="L31" s="647">
        <f xml:space="preserve">
SUM(INDEX(CHOORTbl[TOTAL $ REQUESTED],ROW(A29)),
INDEX(CHOORTbl[TOTAL $ REQUESTED2],ROW(A29)),
INDEX(CHOORTbl[TOTAL $ REQUESTED3],ROW(A29)),
INDEX(CHOORTbl[TOTAL $ REQUESTED4],ROW(A29)))</f>
        <v>0</v>
      </c>
      <c r="M31" s="647">
        <f xml:space="preserve">
SUM(INDEX(CHADUtbl[TOTAL $ REQUESTED],ROW(G29)),
INDEX(CHADUtbl[TOTAL $ REQUESTED2],ROW(G29)))</f>
        <v>0</v>
      </c>
      <c r="N31" s="647">
        <f xml:space="preserve">
SUM(INDEX(CHSHTATbl[TOTAL $ REQUESTED],ROW(G29)),
INDEX(CHSHTATbl[TOTAL $ REQUESTED2],ROW(G29)),
INDEX(CHSHTATbl[TOTAL $ REQUESTED3],ROW(G29)),
INDEX(CHSHTATbl[% OF TOTAL2],ROW(G29)))</f>
        <v>0</v>
      </c>
      <c r="O31" s="647">
        <f xml:space="preserve">
SUM(
INDEX(CHSHTbl[NOT LIMITED TO RURAL AREAS],ROW($A29)),
INDEX(CHSHTbl[TO SUPPORT SHARED HOUSING IN RURAL AREAS],ROW($A29)))</f>
        <v>0</v>
      </c>
    </row>
    <row r="32" spans="1:15" s="624" customFormat="1" ht="10" x14ac:dyDescent="0.25">
      <c r="A32" s="622" t="s">
        <v>1900</v>
      </c>
      <c r="B32" s="643">
        <f t="shared" si="0"/>
        <v>0</v>
      </c>
      <c r="C32" s="638" t="str">
        <f>IF(B32&gt;0,"Project # " &amp; SUM(B$3:B32),"")</f>
        <v/>
      </c>
      <c r="D32" s="638" t="str">
        <f t="shared" si="1"/>
        <v/>
      </c>
      <c r="E32" s="623">
        <f xml:space="preserve">
SUM(INDEX(CHMATbl[UNITS],ROW(A30)),
INDEX(CHMATbl[UNITS2],ROW(A30)),
INDEX(CHMATbl[UNITS3],ROW(A30)),
INDEX(CHMATbl[UNITS4],ROW(A30)))</f>
        <v>0</v>
      </c>
      <c r="F32" s="623">
        <f xml:space="preserve">
SUM(INDEX(CHOORTbl[UNITS],ROW(A30)),
INDEX(CHOORTbl[UNITS2],ROW(A30)),
INDEX(CHOORTbl[UNITS3],ROW(A30)),
INDEX(CHOORTbl[UNITS4],ROW(A30)))</f>
        <v>0</v>
      </c>
      <c r="G32" s="623">
        <f xml:space="preserve">
SUM(INDEX(CHADUtbl[UNITS],ROW(A30)),
INDEX(CHADUtbl[UNITS2],ROW(A30)))</f>
        <v>0</v>
      </c>
      <c r="H32" s="623">
        <f xml:space="preserve">
SUM(INDEX(CHSHTATbl[UNITS],ROW(A30)),
INDEX(CHSHTATbl[UNITS2],ROW(A30)),
INDEX(CHSHTATbl[UNITS3],ROW(A30)),
INDEX(CHSHTATbl[UNITS4],ROW(A30)))</f>
        <v>0</v>
      </c>
      <c r="I32" s="623" cm="1">
        <f t="array" ref="I32" xml:space="preserve">
IF(
OR(
INDEX(CHSHTbl[NOT LIMITED TO RURAL AREAS],ROW(A30))&lt;&gt;"",
INDEX(CHSHTbl[TO SUPPORT SHARED HOUSING IN RURAL AREAS],ROW(A30))&lt;&gt;""),1,0)</f>
        <v>0</v>
      </c>
      <c r="K32" s="647">
        <f xml:space="preserve">
SUM(INDEX(CHMATbl[TOTAL $ REQUESTED],ROW(H30)),
INDEX(CHMATbl[TOTAL $ REQUESTED2],ROW(H30)),
INDEX(CHMATbl[TOTAL $ REQUESTED3],ROW(H30)),
INDEX(CHMATbl[TOTAL $ REQUESTED4],ROW(H30)))</f>
        <v>0</v>
      </c>
      <c r="L32" s="647">
        <f xml:space="preserve">
SUM(INDEX(CHOORTbl[TOTAL $ REQUESTED],ROW(A30)),
INDEX(CHOORTbl[TOTAL $ REQUESTED2],ROW(A30)),
INDEX(CHOORTbl[TOTAL $ REQUESTED3],ROW(A30)),
INDEX(CHOORTbl[TOTAL $ REQUESTED4],ROW(A30)))</f>
        <v>0</v>
      </c>
      <c r="M32" s="647">
        <f xml:space="preserve">
SUM(INDEX(CHADUtbl[TOTAL $ REQUESTED],ROW(G30)),
INDEX(CHADUtbl[TOTAL $ REQUESTED2],ROW(G30)))</f>
        <v>0</v>
      </c>
      <c r="N32" s="647">
        <f xml:space="preserve">
SUM(INDEX(CHSHTATbl[TOTAL $ REQUESTED],ROW(G30)),
INDEX(CHSHTATbl[TOTAL $ REQUESTED2],ROW(G30)),
INDEX(CHSHTATbl[TOTAL $ REQUESTED3],ROW(G30)),
INDEX(CHSHTATbl[% OF TOTAL2],ROW(G30)))</f>
        <v>0</v>
      </c>
      <c r="O32" s="647">
        <f xml:space="preserve">
SUM(
INDEX(CHSHTbl[NOT LIMITED TO RURAL AREAS],ROW($A30)),
INDEX(CHSHTbl[TO SUPPORT SHARED HOUSING IN RURAL AREAS],ROW($A30)))</f>
        <v>0</v>
      </c>
    </row>
    <row r="33" spans="1:15" s="624" customFormat="1" ht="10" x14ac:dyDescent="0.25">
      <c r="A33" s="622" t="s">
        <v>1901</v>
      </c>
      <c r="B33" s="643">
        <f t="shared" si="0"/>
        <v>0</v>
      </c>
      <c r="C33" s="638" t="str">
        <f>IF(B33&gt;0,"Project # " &amp; SUM(B$3:B33),"")</f>
        <v/>
      </c>
      <c r="D33" s="638" t="str">
        <f t="shared" si="1"/>
        <v/>
      </c>
      <c r="E33" s="623">
        <f xml:space="preserve">
SUM(INDEX(CHMATbl[UNITS],ROW(A31)),
INDEX(CHMATbl[UNITS2],ROW(A31)),
INDEX(CHMATbl[UNITS3],ROW(A31)),
INDEX(CHMATbl[UNITS4],ROW(A31)))</f>
        <v>0</v>
      </c>
      <c r="F33" s="623">
        <f xml:space="preserve">
SUM(INDEX(CHOORTbl[UNITS],ROW(A31)),
INDEX(CHOORTbl[UNITS2],ROW(A31)),
INDEX(CHOORTbl[UNITS3],ROW(A31)),
INDEX(CHOORTbl[UNITS4],ROW(A31)))</f>
        <v>0</v>
      </c>
      <c r="G33" s="623">
        <f xml:space="preserve">
SUM(INDEX(CHADUtbl[UNITS],ROW(A31)),
INDEX(CHADUtbl[UNITS2],ROW(A31)))</f>
        <v>0</v>
      </c>
      <c r="H33" s="623">
        <f xml:space="preserve">
SUM(INDEX(CHSHTATbl[UNITS],ROW(A31)),
INDEX(CHSHTATbl[UNITS2],ROW(A31)),
INDEX(CHSHTATbl[UNITS3],ROW(A31)),
INDEX(CHSHTATbl[UNITS4],ROW(A31)))</f>
        <v>0</v>
      </c>
      <c r="I33" s="623" cm="1">
        <f t="array" ref="I33" xml:space="preserve">
IF(
OR(
INDEX(CHSHTbl[NOT LIMITED TO RURAL AREAS],ROW(A31))&lt;&gt;"",
INDEX(CHSHTbl[TO SUPPORT SHARED HOUSING IN RURAL AREAS],ROW(A31))&lt;&gt;""),1,0)</f>
        <v>0</v>
      </c>
      <c r="K33" s="647">
        <f xml:space="preserve">
SUM(INDEX(CHMATbl[TOTAL $ REQUESTED],ROW(H31)),
INDEX(CHMATbl[TOTAL $ REQUESTED2],ROW(H31)),
INDEX(CHMATbl[TOTAL $ REQUESTED3],ROW(H31)),
INDEX(CHMATbl[TOTAL $ REQUESTED4],ROW(H31)))</f>
        <v>0</v>
      </c>
      <c r="L33" s="647">
        <f xml:space="preserve">
SUM(INDEX(CHOORTbl[TOTAL $ REQUESTED],ROW(A31)),
INDEX(CHOORTbl[TOTAL $ REQUESTED2],ROW(A31)),
INDEX(CHOORTbl[TOTAL $ REQUESTED3],ROW(A31)),
INDEX(CHOORTbl[TOTAL $ REQUESTED4],ROW(A31)))</f>
        <v>0</v>
      </c>
      <c r="M33" s="647">
        <f xml:space="preserve">
SUM(INDEX(CHADUtbl[TOTAL $ REQUESTED],ROW(G31)),
INDEX(CHADUtbl[TOTAL $ REQUESTED2],ROW(G31)))</f>
        <v>0</v>
      </c>
      <c r="N33" s="647">
        <f xml:space="preserve">
SUM(INDEX(CHSHTATbl[TOTAL $ REQUESTED],ROW(G31)),
INDEX(CHSHTATbl[TOTAL $ REQUESTED2],ROW(G31)),
INDEX(CHSHTATbl[TOTAL $ REQUESTED3],ROW(G31)),
INDEX(CHSHTATbl[% OF TOTAL2],ROW(G31)))</f>
        <v>0</v>
      </c>
      <c r="O33" s="647">
        <f xml:space="preserve">
SUM(
INDEX(CHSHTbl[NOT LIMITED TO RURAL AREAS],ROW($A31)),
INDEX(CHSHTbl[TO SUPPORT SHARED HOUSING IN RURAL AREAS],ROW($A31)))</f>
        <v>0</v>
      </c>
    </row>
    <row r="34" spans="1:15" s="624" customFormat="1" ht="10" x14ac:dyDescent="0.25">
      <c r="A34" s="622" t="s">
        <v>1902</v>
      </c>
      <c r="B34" s="643">
        <f t="shared" si="0"/>
        <v>0</v>
      </c>
      <c r="C34" s="638" t="str">
        <f>IF(B34&gt;0,"Project # " &amp; SUM(B$3:B34),"")</f>
        <v/>
      </c>
      <c r="D34" s="638" t="str">
        <f t="shared" si="1"/>
        <v/>
      </c>
      <c r="E34" s="623">
        <f xml:space="preserve">
SUM(INDEX(CHMATbl[UNITS],ROW(A32)),
INDEX(CHMATbl[UNITS2],ROW(A32)),
INDEX(CHMATbl[UNITS3],ROW(A32)),
INDEX(CHMATbl[UNITS4],ROW(A32)))</f>
        <v>0</v>
      </c>
      <c r="F34" s="623">
        <f xml:space="preserve">
SUM(INDEX(CHOORTbl[UNITS],ROW(A32)),
INDEX(CHOORTbl[UNITS2],ROW(A32)),
INDEX(CHOORTbl[UNITS3],ROW(A32)),
INDEX(CHOORTbl[UNITS4],ROW(A32)))</f>
        <v>0</v>
      </c>
      <c r="G34" s="623">
        <f xml:space="preserve">
SUM(INDEX(CHADUtbl[UNITS],ROW(A32)),
INDEX(CHADUtbl[UNITS2],ROW(A32)))</f>
        <v>0</v>
      </c>
      <c r="H34" s="623">
        <f xml:space="preserve">
SUM(INDEX(CHSHTATbl[UNITS],ROW(A32)),
INDEX(CHSHTATbl[UNITS2],ROW(A32)),
INDEX(CHSHTATbl[UNITS3],ROW(A32)),
INDEX(CHSHTATbl[UNITS4],ROW(A32)))</f>
        <v>0</v>
      </c>
      <c r="I34" s="623" cm="1">
        <f t="array" ref="I34" xml:space="preserve">
IF(
OR(
INDEX(CHSHTbl[NOT LIMITED TO RURAL AREAS],ROW(A32))&lt;&gt;"",
INDEX(CHSHTbl[TO SUPPORT SHARED HOUSING IN RURAL AREAS],ROW(A32))&lt;&gt;""),1,0)</f>
        <v>0</v>
      </c>
      <c r="K34" s="647">
        <f xml:space="preserve">
SUM(INDEX(CHMATbl[TOTAL $ REQUESTED],ROW(H32)),
INDEX(CHMATbl[TOTAL $ REQUESTED2],ROW(H32)),
INDEX(CHMATbl[TOTAL $ REQUESTED3],ROW(H32)),
INDEX(CHMATbl[TOTAL $ REQUESTED4],ROW(H32)))</f>
        <v>0</v>
      </c>
      <c r="L34" s="647">
        <f xml:space="preserve">
SUM(INDEX(CHOORTbl[TOTAL $ REQUESTED],ROW(A32)),
INDEX(CHOORTbl[TOTAL $ REQUESTED2],ROW(A32)),
INDEX(CHOORTbl[TOTAL $ REQUESTED3],ROW(A32)),
INDEX(CHOORTbl[TOTAL $ REQUESTED4],ROW(A32)))</f>
        <v>0</v>
      </c>
      <c r="M34" s="647">
        <f xml:space="preserve">
SUM(INDEX(CHADUtbl[TOTAL $ REQUESTED],ROW(G32)),
INDEX(CHADUtbl[TOTAL $ REQUESTED2],ROW(G32)))</f>
        <v>0</v>
      </c>
      <c r="N34" s="647">
        <f xml:space="preserve">
SUM(INDEX(CHSHTATbl[TOTAL $ REQUESTED],ROW(G32)),
INDEX(CHSHTATbl[TOTAL $ REQUESTED2],ROW(G32)),
INDEX(CHSHTATbl[TOTAL $ REQUESTED3],ROW(G32)),
INDEX(CHSHTATbl[% OF TOTAL2],ROW(G32)))</f>
        <v>0</v>
      </c>
      <c r="O34" s="647">
        <f xml:space="preserve">
SUM(
INDEX(CHSHTbl[NOT LIMITED TO RURAL AREAS],ROW($A32)),
INDEX(CHSHTbl[TO SUPPORT SHARED HOUSING IN RURAL AREAS],ROW($A32)))</f>
        <v>0</v>
      </c>
    </row>
    <row r="35" spans="1:15" s="624" customFormat="1" ht="10" x14ac:dyDescent="0.25">
      <c r="A35" s="622" t="s">
        <v>1750</v>
      </c>
      <c r="B35" s="643">
        <f t="shared" si="0"/>
        <v>0</v>
      </c>
      <c r="C35" s="638" t="str">
        <f>IF(B35&gt;0,"Project # " &amp; SUM(B$3:B35),"")</f>
        <v/>
      </c>
      <c r="D35" s="638" t="str">
        <f t="shared" si="1"/>
        <v/>
      </c>
      <c r="E35" s="623">
        <f xml:space="preserve">
SUM(INDEX(CHMATbl[UNITS],ROW(A33)),
INDEX(CHMATbl[UNITS2],ROW(A33)),
INDEX(CHMATbl[UNITS3],ROW(A33)),
INDEX(CHMATbl[UNITS4],ROW(A33)))</f>
        <v>0</v>
      </c>
      <c r="F35" s="623">
        <f xml:space="preserve">
SUM(INDEX(CHOORTbl[UNITS],ROW(A33)),
INDEX(CHOORTbl[UNITS2],ROW(A33)),
INDEX(CHOORTbl[UNITS3],ROW(A33)),
INDEX(CHOORTbl[UNITS4],ROW(A33)))</f>
        <v>0</v>
      </c>
      <c r="G35" s="623">
        <f xml:space="preserve">
SUM(INDEX(CHADUtbl[UNITS],ROW(A33)),
INDEX(CHADUtbl[UNITS2],ROW(A33)))</f>
        <v>0</v>
      </c>
      <c r="H35" s="623">
        <f xml:space="preserve">
SUM(INDEX(CHSHTATbl[UNITS],ROW(A33)),
INDEX(CHSHTATbl[UNITS2],ROW(A33)),
INDEX(CHSHTATbl[UNITS3],ROW(A33)),
INDEX(CHSHTATbl[UNITS4],ROW(A33)))</f>
        <v>0</v>
      </c>
      <c r="I35" s="623" cm="1">
        <f t="array" ref="I35" xml:space="preserve">
IF(
OR(
INDEX(CHSHTbl[NOT LIMITED TO RURAL AREAS],ROW(A33))&lt;&gt;"",
INDEX(CHSHTbl[TO SUPPORT SHARED HOUSING IN RURAL AREAS],ROW(A33))&lt;&gt;""),1,0)</f>
        <v>0</v>
      </c>
      <c r="K35" s="647">
        <f xml:space="preserve">
SUM(INDEX(CHMATbl[TOTAL $ REQUESTED],ROW(H33)),
INDEX(CHMATbl[TOTAL $ REQUESTED2],ROW(H33)),
INDEX(CHMATbl[TOTAL $ REQUESTED3],ROW(H33)),
INDEX(CHMATbl[TOTAL $ REQUESTED4],ROW(H33)))</f>
        <v>0</v>
      </c>
      <c r="L35" s="647">
        <f xml:space="preserve">
SUM(INDEX(CHOORTbl[TOTAL $ REQUESTED],ROW(A33)),
INDEX(CHOORTbl[TOTAL $ REQUESTED2],ROW(A33)),
INDEX(CHOORTbl[TOTAL $ REQUESTED3],ROW(A33)),
INDEX(CHOORTbl[TOTAL $ REQUESTED4],ROW(A33)))</f>
        <v>0</v>
      </c>
      <c r="M35" s="647">
        <f xml:space="preserve">
SUM(INDEX(CHADUtbl[TOTAL $ REQUESTED],ROW(G33)),
INDEX(CHADUtbl[TOTAL $ REQUESTED2],ROW(G33)))</f>
        <v>0</v>
      </c>
      <c r="N35" s="647">
        <f xml:space="preserve">
SUM(INDEX(CHSHTATbl[TOTAL $ REQUESTED],ROW(G33)),
INDEX(CHSHTATbl[TOTAL $ REQUESTED2],ROW(G33)),
INDEX(CHSHTATbl[TOTAL $ REQUESTED3],ROW(G33)),
INDEX(CHSHTATbl[% OF TOTAL2],ROW(G33)))</f>
        <v>0</v>
      </c>
      <c r="O35" s="647">
        <f xml:space="preserve">
SUM(
INDEX(CHSHTbl[NOT LIMITED TO RURAL AREAS],ROW($A33)),
INDEX(CHSHTbl[TO SUPPORT SHARED HOUSING IN RURAL AREAS],ROW($A33)))</f>
        <v>0</v>
      </c>
    </row>
    <row r="36" spans="1:15" s="624" customFormat="1" ht="10" x14ac:dyDescent="0.25">
      <c r="A36" s="622" t="s">
        <v>1751</v>
      </c>
      <c r="B36" s="643">
        <f t="shared" si="0"/>
        <v>0</v>
      </c>
      <c r="C36" s="638" t="str">
        <f>IF(B36&gt;0,"Project # " &amp; SUM(B$3:B36),"")</f>
        <v/>
      </c>
      <c r="D36" s="638" t="str">
        <f t="shared" si="1"/>
        <v/>
      </c>
      <c r="E36" s="623">
        <f xml:space="preserve">
SUM(INDEX(CHMATbl[UNITS],ROW(A34)),
INDEX(CHMATbl[UNITS2],ROW(A34)),
INDEX(CHMATbl[UNITS3],ROW(A34)),
INDEX(CHMATbl[UNITS4],ROW(A34)))</f>
        <v>0</v>
      </c>
      <c r="F36" s="623">
        <f xml:space="preserve">
SUM(INDEX(CHOORTbl[UNITS],ROW(A34)),
INDEX(CHOORTbl[UNITS2],ROW(A34)),
INDEX(CHOORTbl[UNITS3],ROW(A34)),
INDEX(CHOORTbl[UNITS4],ROW(A34)))</f>
        <v>0</v>
      </c>
      <c r="G36" s="623">
        <f xml:space="preserve">
SUM(INDEX(CHADUtbl[UNITS],ROW(A34)),
INDEX(CHADUtbl[UNITS2],ROW(A34)))</f>
        <v>0</v>
      </c>
      <c r="H36" s="623">
        <f xml:space="preserve">
SUM(INDEX(CHSHTATbl[UNITS],ROW(A34)),
INDEX(CHSHTATbl[UNITS2],ROW(A34)),
INDEX(CHSHTATbl[UNITS3],ROW(A34)),
INDEX(CHSHTATbl[UNITS4],ROW(A34)))</f>
        <v>0</v>
      </c>
      <c r="I36" s="623" cm="1">
        <f t="array" ref="I36" xml:space="preserve">
IF(
OR(
INDEX(CHSHTbl[NOT LIMITED TO RURAL AREAS],ROW(A34))&lt;&gt;"",
INDEX(CHSHTbl[TO SUPPORT SHARED HOUSING IN RURAL AREAS],ROW(A34))&lt;&gt;""),1,0)</f>
        <v>0</v>
      </c>
      <c r="K36" s="647">
        <f xml:space="preserve">
SUM(INDEX(CHMATbl[TOTAL $ REQUESTED],ROW(H34)),
INDEX(CHMATbl[TOTAL $ REQUESTED2],ROW(H34)),
INDEX(CHMATbl[TOTAL $ REQUESTED3],ROW(H34)),
INDEX(CHMATbl[TOTAL $ REQUESTED4],ROW(H34)))</f>
        <v>0</v>
      </c>
      <c r="L36" s="647">
        <f xml:space="preserve">
SUM(INDEX(CHOORTbl[TOTAL $ REQUESTED],ROW(A34)),
INDEX(CHOORTbl[TOTAL $ REQUESTED2],ROW(A34)),
INDEX(CHOORTbl[TOTAL $ REQUESTED3],ROW(A34)),
INDEX(CHOORTbl[TOTAL $ REQUESTED4],ROW(A34)))</f>
        <v>0</v>
      </c>
      <c r="M36" s="647">
        <f xml:space="preserve">
SUM(INDEX(CHADUtbl[TOTAL $ REQUESTED],ROW(G34)),
INDEX(CHADUtbl[TOTAL $ REQUESTED2],ROW(G34)))</f>
        <v>0</v>
      </c>
      <c r="N36" s="647">
        <f xml:space="preserve">
SUM(INDEX(CHSHTATbl[TOTAL $ REQUESTED],ROW(G34)),
INDEX(CHSHTATbl[TOTAL $ REQUESTED2],ROW(G34)),
INDEX(CHSHTATbl[TOTAL $ REQUESTED3],ROW(G34)),
INDEX(CHSHTATbl[% OF TOTAL2],ROW(G34)))</f>
        <v>0</v>
      </c>
      <c r="O36" s="647">
        <f xml:space="preserve">
SUM(
INDEX(CHSHTbl[NOT LIMITED TO RURAL AREAS],ROW($A34)),
INDEX(CHSHTbl[TO SUPPORT SHARED HOUSING IN RURAL AREAS],ROW($A34)))</f>
        <v>0</v>
      </c>
    </row>
    <row r="37" spans="1:15" s="624" customFormat="1" ht="10" x14ac:dyDescent="0.25">
      <c r="A37" s="622" t="s">
        <v>1903</v>
      </c>
      <c r="B37" s="643">
        <f t="shared" si="0"/>
        <v>0</v>
      </c>
      <c r="C37" s="638" t="str">
        <f>IF(B37&gt;0,"Project # " &amp; SUM(B$3:B37),"")</f>
        <v/>
      </c>
      <c r="D37" s="638" t="str">
        <f t="shared" si="1"/>
        <v/>
      </c>
      <c r="E37" s="623">
        <f xml:space="preserve">
SUM(INDEX(CHMATbl[UNITS],ROW(A35)),
INDEX(CHMATbl[UNITS2],ROW(A35)),
INDEX(CHMATbl[UNITS3],ROW(A35)),
INDEX(CHMATbl[UNITS4],ROW(A35)))</f>
        <v>0</v>
      </c>
      <c r="F37" s="623">
        <f xml:space="preserve">
SUM(INDEX(CHOORTbl[UNITS],ROW(A35)),
INDEX(CHOORTbl[UNITS2],ROW(A35)),
INDEX(CHOORTbl[UNITS3],ROW(A35)),
INDEX(CHOORTbl[UNITS4],ROW(A35)))</f>
        <v>0</v>
      </c>
      <c r="G37" s="623">
        <f xml:space="preserve">
SUM(INDEX(CHADUtbl[UNITS],ROW(A35)),
INDEX(CHADUtbl[UNITS2],ROW(A35)))</f>
        <v>0</v>
      </c>
      <c r="H37" s="623">
        <f xml:space="preserve">
SUM(INDEX(CHSHTATbl[UNITS],ROW(A35)),
INDEX(CHSHTATbl[UNITS2],ROW(A35)),
INDEX(CHSHTATbl[UNITS3],ROW(A35)),
INDEX(CHSHTATbl[UNITS4],ROW(A35)))</f>
        <v>0</v>
      </c>
      <c r="I37" s="623" cm="1">
        <f t="array" ref="I37" xml:space="preserve">
IF(
OR(
INDEX(CHSHTbl[NOT LIMITED TO RURAL AREAS],ROW(A35))&lt;&gt;"",
INDEX(CHSHTbl[TO SUPPORT SHARED HOUSING IN RURAL AREAS],ROW(A35))&lt;&gt;""),1,0)</f>
        <v>0</v>
      </c>
      <c r="K37" s="647">
        <f xml:space="preserve">
SUM(INDEX(CHMATbl[TOTAL $ REQUESTED],ROW(H35)),
INDEX(CHMATbl[TOTAL $ REQUESTED2],ROW(H35)),
INDEX(CHMATbl[TOTAL $ REQUESTED3],ROW(H35)),
INDEX(CHMATbl[TOTAL $ REQUESTED4],ROW(H35)))</f>
        <v>0</v>
      </c>
      <c r="L37" s="647">
        <f xml:space="preserve">
SUM(INDEX(CHOORTbl[TOTAL $ REQUESTED],ROW(A35)),
INDEX(CHOORTbl[TOTAL $ REQUESTED2],ROW(A35)),
INDEX(CHOORTbl[TOTAL $ REQUESTED3],ROW(A35)),
INDEX(CHOORTbl[TOTAL $ REQUESTED4],ROW(A35)))</f>
        <v>0</v>
      </c>
      <c r="M37" s="647">
        <f xml:space="preserve">
SUM(INDEX(CHADUtbl[TOTAL $ REQUESTED],ROW(G35)),
INDEX(CHADUtbl[TOTAL $ REQUESTED2],ROW(G35)))</f>
        <v>0</v>
      </c>
      <c r="N37" s="647">
        <f xml:space="preserve">
SUM(INDEX(CHSHTATbl[TOTAL $ REQUESTED],ROW(G35)),
INDEX(CHSHTATbl[TOTAL $ REQUESTED2],ROW(G35)),
INDEX(CHSHTATbl[TOTAL $ REQUESTED3],ROW(G35)),
INDEX(CHSHTATbl[% OF TOTAL2],ROW(G35)))</f>
        <v>0</v>
      </c>
      <c r="O37" s="647">
        <f xml:space="preserve">
SUM(
INDEX(CHSHTbl[NOT LIMITED TO RURAL AREAS],ROW($A35)),
INDEX(CHSHTbl[TO SUPPORT SHARED HOUSING IN RURAL AREAS],ROW($A35)))</f>
        <v>0</v>
      </c>
    </row>
    <row r="38" spans="1:15" s="624" customFormat="1" ht="10" x14ac:dyDescent="0.25">
      <c r="A38" s="622" t="s">
        <v>1753</v>
      </c>
      <c r="B38" s="643">
        <f t="shared" si="0"/>
        <v>0</v>
      </c>
      <c r="C38" s="638" t="str">
        <f>IF(B38&gt;0,"Project # " &amp; SUM(B$3:B38),"")</f>
        <v/>
      </c>
      <c r="D38" s="638" t="str">
        <f t="shared" si="1"/>
        <v/>
      </c>
      <c r="E38" s="623">
        <f xml:space="preserve">
SUM(INDEX(CHMATbl[UNITS],ROW(A36)),
INDEX(CHMATbl[UNITS2],ROW(A36)),
INDEX(CHMATbl[UNITS3],ROW(A36)),
INDEX(CHMATbl[UNITS4],ROW(A36)))</f>
        <v>0</v>
      </c>
      <c r="F38" s="623">
        <f xml:space="preserve">
SUM(INDEX(CHOORTbl[UNITS],ROW(A36)),
INDEX(CHOORTbl[UNITS2],ROW(A36)),
INDEX(CHOORTbl[UNITS3],ROW(A36)),
INDEX(CHOORTbl[UNITS4],ROW(A36)))</f>
        <v>0</v>
      </c>
      <c r="G38" s="623">
        <f xml:space="preserve">
SUM(INDEX(CHADUtbl[UNITS],ROW(A36)),
INDEX(CHADUtbl[UNITS2],ROW(A36)))</f>
        <v>0</v>
      </c>
      <c r="H38" s="623">
        <f xml:space="preserve">
SUM(INDEX(CHSHTATbl[UNITS],ROW(A36)),
INDEX(CHSHTATbl[UNITS2],ROW(A36)),
INDEX(CHSHTATbl[UNITS3],ROW(A36)),
INDEX(CHSHTATbl[UNITS4],ROW(A36)))</f>
        <v>0</v>
      </c>
      <c r="I38" s="623" cm="1">
        <f t="array" ref="I38" xml:space="preserve">
IF(
OR(
INDEX(CHSHTbl[NOT LIMITED TO RURAL AREAS],ROW(A36))&lt;&gt;"",
INDEX(CHSHTbl[TO SUPPORT SHARED HOUSING IN RURAL AREAS],ROW(A36))&lt;&gt;""),1,0)</f>
        <v>0</v>
      </c>
      <c r="K38" s="647">
        <f xml:space="preserve">
SUM(INDEX(CHMATbl[TOTAL $ REQUESTED],ROW(H36)),
INDEX(CHMATbl[TOTAL $ REQUESTED2],ROW(H36)),
INDEX(CHMATbl[TOTAL $ REQUESTED3],ROW(H36)),
INDEX(CHMATbl[TOTAL $ REQUESTED4],ROW(H36)))</f>
        <v>0</v>
      </c>
      <c r="L38" s="647">
        <f xml:space="preserve">
SUM(INDEX(CHOORTbl[TOTAL $ REQUESTED],ROW(A36)),
INDEX(CHOORTbl[TOTAL $ REQUESTED2],ROW(A36)),
INDEX(CHOORTbl[TOTAL $ REQUESTED3],ROW(A36)),
INDEX(CHOORTbl[TOTAL $ REQUESTED4],ROW(A36)))</f>
        <v>0</v>
      </c>
      <c r="M38" s="647">
        <f xml:space="preserve">
SUM(INDEX(CHADUtbl[TOTAL $ REQUESTED],ROW(G36)),
INDEX(CHADUtbl[TOTAL $ REQUESTED2],ROW(G36)))</f>
        <v>0</v>
      </c>
      <c r="N38" s="647">
        <f xml:space="preserve">
SUM(INDEX(CHSHTATbl[TOTAL $ REQUESTED],ROW(G36)),
INDEX(CHSHTATbl[TOTAL $ REQUESTED2],ROW(G36)),
INDEX(CHSHTATbl[TOTAL $ REQUESTED3],ROW(G36)),
INDEX(CHSHTATbl[% OF TOTAL2],ROW(G36)))</f>
        <v>0</v>
      </c>
      <c r="O38" s="647">
        <f xml:space="preserve">
SUM(
INDEX(CHSHTbl[NOT LIMITED TO RURAL AREAS],ROW($A36)),
INDEX(CHSHTbl[TO SUPPORT SHARED HOUSING IN RURAL AREAS],ROW($A36)))</f>
        <v>0</v>
      </c>
    </row>
    <row r="39" spans="1:15" s="624" customFormat="1" ht="10" x14ac:dyDescent="0.25">
      <c r="A39" s="622" t="s">
        <v>1754</v>
      </c>
      <c r="B39" s="643">
        <f t="shared" si="0"/>
        <v>0</v>
      </c>
      <c r="C39" s="638" t="str">
        <f>IF(B39&gt;0,"Project # " &amp; SUM(B$3:B39),"")</f>
        <v/>
      </c>
      <c r="D39" s="638" t="str">
        <f t="shared" si="1"/>
        <v/>
      </c>
      <c r="E39" s="623">
        <f xml:space="preserve">
SUM(INDEX(CHMATbl[UNITS],ROW(A37)),
INDEX(CHMATbl[UNITS2],ROW(A37)),
INDEX(CHMATbl[UNITS3],ROW(A37)),
INDEX(CHMATbl[UNITS4],ROW(A37)))</f>
        <v>0</v>
      </c>
      <c r="F39" s="623">
        <f xml:space="preserve">
SUM(INDEX(CHOORTbl[UNITS],ROW(A37)),
INDEX(CHOORTbl[UNITS2],ROW(A37)),
INDEX(CHOORTbl[UNITS3],ROW(A37)),
INDEX(CHOORTbl[UNITS4],ROW(A37)))</f>
        <v>0</v>
      </c>
      <c r="G39" s="623">
        <f xml:space="preserve">
SUM(INDEX(CHADUtbl[UNITS],ROW(A37)),
INDEX(CHADUtbl[UNITS2],ROW(A37)))</f>
        <v>0</v>
      </c>
      <c r="H39" s="623">
        <f xml:space="preserve">
SUM(INDEX(CHSHTATbl[UNITS],ROW(A37)),
INDEX(CHSHTATbl[UNITS2],ROW(A37)),
INDEX(CHSHTATbl[UNITS3],ROW(A37)),
INDEX(CHSHTATbl[UNITS4],ROW(A37)))</f>
        <v>0</v>
      </c>
      <c r="I39" s="623" cm="1">
        <f t="array" ref="I39" xml:space="preserve">
IF(
OR(
INDEX(CHSHTbl[NOT LIMITED TO RURAL AREAS],ROW(A37))&lt;&gt;"",
INDEX(CHSHTbl[TO SUPPORT SHARED HOUSING IN RURAL AREAS],ROW(A37))&lt;&gt;""),1,0)</f>
        <v>0</v>
      </c>
      <c r="K39" s="647">
        <f xml:space="preserve">
SUM(INDEX(CHMATbl[TOTAL $ REQUESTED],ROW(H37)),
INDEX(CHMATbl[TOTAL $ REQUESTED2],ROW(H37)),
INDEX(CHMATbl[TOTAL $ REQUESTED3],ROW(H37)),
INDEX(CHMATbl[TOTAL $ REQUESTED4],ROW(H37)))</f>
        <v>0</v>
      </c>
      <c r="L39" s="647">
        <f xml:space="preserve">
SUM(INDEX(CHOORTbl[TOTAL $ REQUESTED],ROW(A37)),
INDEX(CHOORTbl[TOTAL $ REQUESTED2],ROW(A37)),
INDEX(CHOORTbl[TOTAL $ REQUESTED3],ROW(A37)),
INDEX(CHOORTbl[TOTAL $ REQUESTED4],ROW(A37)))</f>
        <v>0</v>
      </c>
      <c r="M39" s="647">
        <f xml:space="preserve">
SUM(INDEX(CHADUtbl[TOTAL $ REQUESTED],ROW(G37)),
INDEX(CHADUtbl[TOTAL $ REQUESTED2],ROW(G37)))</f>
        <v>0</v>
      </c>
      <c r="N39" s="647">
        <f xml:space="preserve">
SUM(INDEX(CHSHTATbl[TOTAL $ REQUESTED],ROW(G37)),
INDEX(CHSHTATbl[TOTAL $ REQUESTED2],ROW(G37)),
INDEX(CHSHTATbl[TOTAL $ REQUESTED3],ROW(G37)),
INDEX(CHSHTATbl[% OF TOTAL2],ROW(G37)))</f>
        <v>0</v>
      </c>
      <c r="O39" s="647">
        <f xml:space="preserve">
SUM(
INDEX(CHSHTbl[NOT LIMITED TO RURAL AREAS],ROW($A37)),
INDEX(CHSHTbl[TO SUPPORT SHARED HOUSING IN RURAL AREAS],ROW($A37)))</f>
        <v>0</v>
      </c>
    </row>
    <row r="40" spans="1:15" s="624" customFormat="1" ht="10" x14ac:dyDescent="0.25">
      <c r="A40" s="622" t="s">
        <v>152</v>
      </c>
      <c r="B40" s="643">
        <f t="shared" si="0"/>
        <v>0</v>
      </c>
      <c r="C40" s="638" t="str">
        <f>IF(B40&gt;0,"Project # " &amp; SUM(B$3:B40),"")</f>
        <v/>
      </c>
      <c r="D40" s="638" t="str">
        <f t="shared" si="1"/>
        <v/>
      </c>
      <c r="E40" s="623">
        <f xml:space="preserve">
SUM(INDEX(CHMATbl[UNITS],ROW(A38)),
INDEX(CHMATbl[UNITS2],ROW(A38)),
INDEX(CHMATbl[UNITS3],ROW(A38)),
INDEX(CHMATbl[UNITS4],ROW(A38)))</f>
        <v>0</v>
      </c>
      <c r="F40" s="623">
        <f xml:space="preserve">
SUM(INDEX(CHOORTbl[UNITS],ROW(A38)),
INDEX(CHOORTbl[UNITS2],ROW(A38)),
INDEX(CHOORTbl[UNITS3],ROW(A38)),
INDEX(CHOORTbl[UNITS4],ROW(A38)))</f>
        <v>0</v>
      </c>
      <c r="G40" s="623">
        <f xml:space="preserve">
SUM(INDEX(CHADUtbl[UNITS],ROW(A38)),
INDEX(CHADUtbl[UNITS2],ROW(A38)))</f>
        <v>0</v>
      </c>
      <c r="H40" s="623">
        <f xml:space="preserve">
SUM(INDEX(CHSHTATbl[UNITS],ROW(A38)),
INDEX(CHSHTATbl[UNITS2],ROW(A38)),
INDEX(CHSHTATbl[UNITS3],ROW(A38)),
INDEX(CHSHTATbl[UNITS4],ROW(A38)))</f>
        <v>0</v>
      </c>
      <c r="I40" s="623" cm="1">
        <f t="array" ref="I40" xml:space="preserve">
IF(
OR(
INDEX(CHSHTbl[NOT LIMITED TO RURAL AREAS],ROW(A38))&lt;&gt;"",
INDEX(CHSHTbl[TO SUPPORT SHARED HOUSING IN RURAL AREAS],ROW(A38))&lt;&gt;""),1,0)</f>
        <v>0</v>
      </c>
      <c r="K40" s="647">
        <f xml:space="preserve">
SUM(INDEX(CHMATbl[TOTAL $ REQUESTED],ROW(H38)),
INDEX(CHMATbl[TOTAL $ REQUESTED2],ROW(H38)),
INDEX(CHMATbl[TOTAL $ REQUESTED3],ROW(H38)),
INDEX(CHMATbl[TOTAL $ REQUESTED4],ROW(H38)))</f>
        <v>0</v>
      </c>
      <c r="L40" s="647">
        <f xml:space="preserve">
SUM(INDEX(CHOORTbl[TOTAL $ REQUESTED],ROW(A38)),
INDEX(CHOORTbl[TOTAL $ REQUESTED2],ROW(A38)),
INDEX(CHOORTbl[TOTAL $ REQUESTED3],ROW(A38)),
INDEX(CHOORTbl[TOTAL $ REQUESTED4],ROW(A38)))</f>
        <v>0</v>
      </c>
      <c r="M40" s="647">
        <f xml:space="preserve">
SUM(INDEX(CHADUtbl[TOTAL $ REQUESTED],ROW(G38)),
INDEX(CHADUtbl[TOTAL $ REQUESTED2],ROW(G38)))</f>
        <v>0</v>
      </c>
      <c r="N40" s="647">
        <f xml:space="preserve">
SUM(INDEX(CHSHTATbl[TOTAL $ REQUESTED],ROW(G38)),
INDEX(CHSHTATbl[TOTAL $ REQUESTED2],ROW(G38)),
INDEX(CHSHTATbl[TOTAL $ REQUESTED3],ROW(G38)),
INDEX(CHSHTATbl[% OF TOTAL2],ROW(G38)))</f>
        <v>0</v>
      </c>
      <c r="O40" s="647">
        <f xml:space="preserve">
SUM(
INDEX(CHSHTbl[NOT LIMITED TO RURAL AREAS],ROW($A38)),
INDEX(CHSHTbl[TO SUPPORT SHARED HOUSING IN RURAL AREAS],ROW($A38)))</f>
        <v>0</v>
      </c>
    </row>
    <row r="41" spans="1:15" s="624" customFormat="1" ht="10" x14ac:dyDescent="0.25">
      <c r="A41" s="622" t="s">
        <v>1904</v>
      </c>
      <c r="B41" s="643">
        <f t="shared" si="0"/>
        <v>0</v>
      </c>
      <c r="C41" s="638" t="str">
        <f>IF(B41&gt;0,"Project # " &amp; SUM(B$3:B41),"")</f>
        <v/>
      </c>
      <c r="D41" s="638" t="str">
        <f t="shared" si="1"/>
        <v/>
      </c>
      <c r="E41" s="623">
        <f xml:space="preserve">
SUM(INDEX(CHMATbl[UNITS],ROW(A39)),
INDEX(CHMATbl[UNITS2],ROW(A39)),
INDEX(CHMATbl[UNITS3],ROW(A39)),
INDEX(CHMATbl[UNITS4],ROW(A39)))</f>
        <v>0</v>
      </c>
      <c r="F41" s="623">
        <f xml:space="preserve">
SUM(INDEX(CHOORTbl[UNITS],ROW(A39)),
INDEX(CHOORTbl[UNITS2],ROW(A39)),
INDEX(CHOORTbl[UNITS3],ROW(A39)),
INDEX(CHOORTbl[UNITS4],ROW(A39)))</f>
        <v>0</v>
      </c>
      <c r="G41" s="623">
        <f xml:space="preserve">
SUM(INDEX(CHADUtbl[UNITS],ROW(A39)),
INDEX(CHADUtbl[UNITS2],ROW(A39)))</f>
        <v>0</v>
      </c>
      <c r="H41" s="623">
        <f xml:space="preserve">
SUM(INDEX(CHSHTATbl[UNITS],ROW(A39)),
INDEX(CHSHTATbl[UNITS2],ROW(A39)),
INDEX(CHSHTATbl[UNITS3],ROW(A39)),
INDEX(CHSHTATbl[UNITS4],ROW(A39)))</f>
        <v>0</v>
      </c>
      <c r="I41" s="623" cm="1">
        <f t="array" ref="I41" xml:space="preserve">
IF(
OR(
INDEX(CHSHTbl[NOT LIMITED TO RURAL AREAS],ROW(A39))&lt;&gt;"",
INDEX(CHSHTbl[TO SUPPORT SHARED HOUSING IN RURAL AREAS],ROW(A39))&lt;&gt;""),1,0)</f>
        <v>0</v>
      </c>
      <c r="K41" s="647">
        <f xml:space="preserve">
SUM(INDEX(CHMATbl[TOTAL $ REQUESTED],ROW(H39)),
INDEX(CHMATbl[TOTAL $ REQUESTED2],ROW(H39)),
INDEX(CHMATbl[TOTAL $ REQUESTED3],ROW(H39)),
INDEX(CHMATbl[TOTAL $ REQUESTED4],ROW(H39)))</f>
        <v>0</v>
      </c>
      <c r="L41" s="647">
        <f xml:space="preserve">
SUM(INDEX(CHOORTbl[TOTAL $ REQUESTED],ROW(A39)),
INDEX(CHOORTbl[TOTAL $ REQUESTED2],ROW(A39)),
INDEX(CHOORTbl[TOTAL $ REQUESTED3],ROW(A39)),
INDEX(CHOORTbl[TOTAL $ REQUESTED4],ROW(A39)))</f>
        <v>0</v>
      </c>
      <c r="M41" s="647">
        <f xml:space="preserve">
SUM(INDEX(CHADUtbl[TOTAL $ REQUESTED],ROW(G39)),
INDEX(CHADUtbl[TOTAL $ REQUESTED2],ROW(G39)))</f>
        <v>0</v>
      </c>
      <c r="N41" s="647">
        <f xml:space="preserve">
SUM(INDEX(CHSHTATbl[TOTAL $ REQUESTED],ROW(G39)),
INDEX(CHSHTATbl[TOTAL $ REQUESTED2],ROW(G39)),
INDEX(CHSHTATbl[TOTAL $ REQUESTED3],ROW(G39)),
INDEX(CHSHTATbl[% OF TOTAL2],ROW(G39)))</f>
        <v>0</v>
      </c>
      <c r="O41" s="647">
        <f xml:space="preserve">
SUM(
INDEX(CHSHTbl[NOT LIMITED TO RURAL AREAS],ROW($A39)),
INDEX(CHSHTbl[TO SUPPORT SHARED HOUSING IN RURAL AREAS],ROW($A39)))</f>
        <v>0</v>
      </c>
    </row>
    <row r="42" spans="1:15" s="624" customFormat="1" ht="10" x14ac:dyDescent="0.25">
      <c r="A42" s="622" t="s">
        <v>1756</v>
      </c>
      <c r="B42" s="643">
        <f t="shared" si="0"/>
        <v>0</v>
      </c>
      <c r="C42" s="638" t="str">
        <f>IF(B42&gt;0,"Project # " &amp; SUM(B$3:B42),"")</f>
        <v/>
      </c>
      <c r="D42" s="638" t="str">
        <f t="shared" si="1"/>
        <v/>
      </c>
      <c r="E42" s="623">
        <f xml:space="preserve">
SUM(INDEX(CHMATbl[UNITS],ROW(A40)),
INDEX(CHMATbl[UNITS2],ROW(A40)),
INDEX(CHMATbl[UNITS3],ROW(A40)),
INDEX(CHMATbl[UNITS4],ROW(A40)))</f>
        <v>0</v>
      </c>
      <c r="F42" s="623">
        <f xml:space="preserve">
SUM(INDEX(CHOORTbl[UNITS],ROW(A40)),
INDEX(CHOORTbl[UNITS2],ROW(A40)),
INDEX(CHOORTbl[UNITS3],ROW(A40)),
INDEX(CHOORTbl[UNITS4],ROW(A40)))</f>
        <v>0</v>
      </c>
      <c r="G42" s="623">
        <f xml:space="preserve">
SUM(INDEX(CHADUtbl[UNITS],ROW(A40)),
INDEX(CHADUtbl[UNITS2],ROW(A40)))</f>
        <v>0</v>
      </c>
      <c r="H42" s="623">
        <f xml:space="preserve">
SUM(INDEX(CHSHTATbl[UNITS],ROW(A40)),
INDEX(CHSHTATbl[UNITS2],ROW(A40)),
INDEX(CHSHTATbl[UNITS3],ROW(A40)),
INDEX(CHSHTATbl[UNITS4],ROW(A40)))</f>
        <v>0</v>
      </c>
      <c r="I42" s="623" cm="1">
        <f t="array" ref="I42" xml:space="preserve">
IF(
OR(
INDEX(CHSHTbl[NOT LIMITED TO RURAL AREAS],ROW(A40))&lt;&gt;"",
INDEX(CHSHTbl[TO SUPPORT SHARED HOUSING IN RURAL AREAS],ROW(A40))&lt;&gt;""),1,0)</f>
        <v>0</v>
      </c>
      <c r="K42" s="647">
        <f xml:space="preserve">
SUM(INDEX(CHMATbl[TOTAL $ REQUESTED],ROW(H40)),
INDEX(CHMATbl[TOTAL $ REQUESTED2],ROW(H40)),
INDEX(CHMATbl[TOTAL $ REQUESTED3],ROW(H40)),
INDEX(CHMATbl[TOTAL $ REQUESTED4],ROW(H40)))</f>
        <v>0</v>
      </c>
      <c r="L42" s="647">
        <f xml:space="preserve">
SUM(INDEX(CHOORTbl[TOTAL $ REQUESTED],ROW(A40)),
INDEX(CHOORTbl[TOTAL $ REQUESTED2],ROW(A40)),
INDEX(CHOORTbl[TOTAL $ REQUESTED3],ROW(A40)),
INDEX(CHOORTbl[TOTAL $ REQUESTED4],ROW(A40)))</f>
        <v>0</v>
      </c>
      <c r="M42" s="647">
        <f xml:space="preserve">
SUM(INDEX(CHADUtbl[TOTAL $ REQUESTED],ROW(G40)),
INDEX(CHADUtbl[TOTAL $ REQUESTED2],ROW(G40)))</f>
        <v>0</v>
      </c>
      <c r="N42" s="647">
        <f xml:space="preserve">
SUM(INDEX(CHSHTATbl[TOTAL $ REQUESTED],ROW(G40)),
INDEX(CHSHTATbl[TOTAL $ REQUESTED2],ROW(G40)),
INDEX(CHSHTATbl[TOTAL $ REQUESTED3],ROW(G40)),
INDEX(CHSHTATbl[% OF TOTAL2],ROW(G40)))</f>
        <v>0</v>
      </c>
      <c r="O42" s="647">
        <f xml:space="preserve">
SUM(
INDEX(CHSHTbl[NOT LIMITED TO RURAL AREAS],ROW($A40)),
INDEX(CHSHTbl[TO SUPPORT SHARED HOUSING IN RURAL AREAS],ROW($A40)))</f>
        <v>0</v>
      </c>
    </row>
    <row r="43" spans="1:15" s="624" customFormat="1" ht="10" x14ac:dyDescent="0.25">
      <c r="A43" s="622" t="s">
        <v>1905</v>
      </c>
      <c r="B43" s="643">
        <f t="shared" si="0"/>
        <v>0</v>
      </c>
      <c r="C43" s="638" t="str">
        <f>IF(B43&gt;0,"Project # " &amp; SUM(B$3:B43),"")</f>
        <v/>
      </c>
      <c r="D43" s="638" t="str">
        <f t="shared" si="1"/>
        <v/>
      </c>
      <c r="E43" s="623">
        <f xml:space="preserve">
SUM(INDEX(CHMATbl[UNITS],ROW(A41)),
INDEX(CHMATbl[UNITS2],ROW(A41)),
INDEX(CHMATbl[UNITS3],ROW(A41)),
INDEX(CHMATbl[UNITS4],ROW(A41)))</f>
        <v>0</v>
      </c>
      <c r="F43" s="623">
        <f xml:space="preserve">
SUM(INDEX(CHOORTbl[UNITS],ROW(A41)),
INDEX(CHOORTbl[UNITS2],ROW(A41)),
INDEX(CHOORTbl[UNITS3],ROW(A41)),
INDEX(CHOORTbl[UNITS4],ROW(A41)))</f>
        <v>0</v>
      </c>
      <c r="G43" s="623">
        <f xml:space="preserve">
SUM(INDEX(CHADUtbl[UNITS],ROW(A41)),
INDEX(CHADUtbl[UNITS2],ROW(A41)))</f>
        <v>0</v>
      </c>
      <c r="H43" s="623">
        <f xml:space="preserve">
SUM(INDEX(CHSHTATbl[UNITS],ROW(A41)),
INDEX(CHSHTATbl[UNITS2],ROW(A41)),
INDEX(CHSHTATbl[UNITS3],ROW(A41)),
INDEX(CHSHTATbl[UNITS4],ROW(A41)))</f>
        <v>0</v>
      </c>
      <c r="I43" s="623" cm="1">
        <f t="array" ref="I43" xml:space="preserve">
IF(
OR(
INDEX(CHSHTbl[NOT LIMITED TO RURAL AREAS],ROW(A41))&lt;&gt;"",
INDEX(CHSHTbl[TO SUPPORT SHARED HOUSING IN RURAL AREAS],ROW(A41))&lt;&gt;""),1,0)</f>
        <v>0</v>
      </c>
      <c r="K43" s="647">
        <f xml:space="preserve">
SUM(INDEX(CHMATbl[TOTAL $ REQUESTED],ROW(H41)),
INDEX(CHMATbl[TOTAL $ REQUESTED2],ROW(H41)),
INDEX(CHMATbl[TOTAL $ REQUESTED3],ROW(H41)),
INDEX(CHMATbl[TOTAL $ REQUESTED4],ROW(H41)))</f>
        <v>0</v>
      </c>
      <c r="L43" s="647">
        <f xml:space="preserve">
SUM(INDEX(CHOORTbl[TOTAL $ REQUESTED],ROW(A41)),
INDEX(CHOORTbl[TOTAL $ REQUESTED2],ROW(A41)),
INDEX(CHOORTbl[TOTAL $ REQUESTED3],ROW(A41)),
INDEX(CHOORTbl[TOTAL $ REQUESTED4],ROW(A41)))</f>
        <v>0</v>
      </c>
      <c r="M43" s="647">
        <f xml:space="preserve">
SUM(INDEX(CHADUtbl[TOTAL $ REQUESTED],ROW(G41)),
INDEX(CHADUtbl[TOTAL $ REQUESTED2],ROW(G41)))</f>
        <v>0</v>
      </c>
      <c r="N43" s="647">
        <f xml:space="preserve">
SUM(INDEX(CHSHTATbl[TOTAL $ REQUESTED],ROW(G41)),
INDEX(CHSHTATbl[TOTAL $ REQUESTED2],ROW(G41)),
INDEX(CHSHTATbl[TOTAL $ REQUESTED3],ROW(G41)),
INDEX(CHSHTATbl[% OF TOTAL2],ROW(G41)))</f>
        <v>0</v>
      </c>
      <c r="O43" s="647">
        <f xml:space="preserve">
SUM(
INDEX(CHSHTbl[NOT LIMITED TO RURAL AREAS],ROW($A41)),
INDEX(CHSHTbl[TO SUPPORT SHARED HOUSING IN RURAL AREAS],ROW($A41)))</f>
        <v>0</v>
      </c>
    </row>
    <row r="44" spans="1:15" s="624" customFormat="1" ht="10" x14ac:dyDescent="0.25">
      <c r="A44" s="622" t="s">
        <v>1758</v>
      </c>
      <c r="B44" s="643">
        <f t="shared" si="0"/>
        <v>0</v>
      </c>
      <c r="C44" s="638" t="str">
        <f>IF(B44&gt;0,"Project # " &amp; SUM(B$3:B44),"")</f>
        <v/>
      </c>
      <c r="D44" s="638" t="str">
        <f t="shared" si="1"/>
        <v/>
      </c>
      <c r="E44" s="623">
        <f xml:space="preserve">
SUM(INDEX(CHMATbl[UNITS],ROW(A42)),
INDEX(CHMATbl[UNITS2],ROW(A42)),
INDEX(CHMATbl[UNITS3],ROW(A42)),
INDEX(CHMATbl[UNITS4],ROW(A42)))</f>
        <v>0</v>
      </c>
      <c r="F44" s="623">
        <f xml:space="preserve">
SUM(INDEX(CHOORTbl[UNITS],ROW(A42)),
INDEX(CHOORTbl[UNITS2],ROW(A42)),
INDEX(CHOORTbl[UNITS3],ROW(A42)),
INDEX(CHOORTbl[UNITS4],ROW(A42)))</f>
        <v>0</v>
      </c>
      <c r="G44" s="623">
        <f xml:space="preserve">
SUM(INDEX(CHADUtbl[UNITS],ROW(A42)),
INDEX(CHADUtbl[UNITS2],ROW(A42)))</f>
        <v>0</v>
      </c>
      <c r="H44" s="623">
        <f xml:space="preserve">
SUM(INDEX(CHSHTATbl[UNITS],ROW(A42)),
INDEX(CHSHTATbl[UNITS2],ROW(A42)),
INDEX(CHSHTATbl[UNITS3],ROW(A42)),
INDEX(CHSHTATbl[UNITS4],ROW(A42)))</f>
        <v>0</v>
      </c>
      <c r="I44" s="623" cm="1">
        <f t="array" ref="I44" xml:space="preserve">
IF(
OR(
INDEX(CHSHTbl[NOT LIMITED TO RURAL AREAS],ROW(A42))&lt;&gt;"",
INDEX(CHSHTbl[TO SUPPORT SHARED HOUSING IN RURAL AREAS],ROW(A42))&lt;&gt;""),1,0)</f>
        <v>0</v>
      </c>
      <c r="K44" s="647">
        <f xml:space="preserve">
SUM(INDEX(CHMATbl[TOTAL $ REQUESTED],ROW(H42)),
INDEX(CHMATbl[TOTAL $ REQUESTED2],ROW(H42)),
INDEX(CHMATbl[TOTAL $ REQUESTED3],ROW(H42)),
INDEX(CHMATbl[TOTAL $ REQUESTED4],ROW(H42)))</f>
        <v>0</v>
      </c>
      <c r="L44" s="647">
        <f xml:space="preserve">
SUM(INDEX(CHOORTbl[TOTAL $ REQUESTED],ROW(A42)),
INDEX(CHOORTbl[TOTAL $ REQUESTED2],ROW(A42)),
INDEX(CHOORTbl[TOTAL $ REQUESTED3],ROW(A42)),
INDEX(CHOORTbl[TOTAL $ REQUESTED4],ROW(A42)))</f>
        <v>0</v>
      </c>
      <c r="M44" s="647">
        <f xml:space="preserve">
SUM(INDEX(CHADUtbl[TOTAL $ REQUESTED],ROW(G42)),
INDEX(CHADUtbl[TOTAL $ REQUESTED2],ROW(G42)))</f>
        <v>0</v>
      </c>
      <c r="N44" s="647">
        <f xml:space="preserve">
SUM(INDEX(CHSHTATbl[TOTAL $ REQUESTED],ROW(G42)),
INDEX(CHSHTATbl[TOTAL $ REQUESTED2],ROW(G42)),
INDEX(CHSHTATbl[TOTAL $ REQUESTED3],ROW(G42)),
INDEX(CHSHTATbl[% OF TOTAL2],ROW(G42)))</f>
        <v>0</v>
      </c>
      <c r="O44" s="647">
        <f xml:space="preserve">
SUM(
INDEX(CHSHTbl[NOT LIMITED TO RURAL AREAS],ROW($A42)),
INDEX(CHSHTbl[TO SUPPORT SHARED HOUSING IN RURAL AREAS],ROW($A42)))</f>
        <v>0</v>
      </c>
    </row>
    <row r="45" spans="1:15" s="624" customFormat="1" ht="10" x14ac:dyDescent="0.25">
      <c r="A45" s="622" t="s">
        <v>1906</v>
      </c>
      <c r="B45" s="643">
        <f t="shared" si="0"/>
        <v>0</v>
      </c>
      <c r="C45" s="638" t="str">
        <f>IF(B45&gt;0,"Project # " &amp; SUM(B$3:B45),"")</f>
        <v/>
      </c>
      <c r="D45" s="638" t="str">
        <f t="shared" si="1"/>
        <v/>
      </c>
      <c r="E45" s="623">
        <f xml:space="preserve">
SUM(INDEX(CHMATbl[UNITS],ROW(A43)),
INDEX(CHMATbl[UNITS2],ROW(A43)),
INDEX(CHMATbl[UNITS3],ROW(A43)),
INDEX(CHMATbl[UNITS4],ROW(A43)))</f>
        <v>0</v>
      </c>
      <c r="F45" s="623">
        <f xml:space="preserve">
SUM(INDEX(CHOORTbl[UNITS],ROW(A43)),
INDEX(CHOORTbl[UNITS2],ROW(A43)),
INDEX(CHOORTbl[UNITS3],ROW(A43)),
INDEX(CHOORTbl[UNITS4],ROW(A43)))</f>
        <v>0</v>
      </c>
      <c r="G45" s="623">
        <f xml:space="preserve">
SUM(INDEX(CHADUtbl[UNITS],ROW(A43)),
INDEX(CHADUtbl[UNITS2],ROW(A43)))</f>
        <v>0</v>
      </c>
      <c r="H45" s="623">
        <f xml:space="preserve">
SUM(INDEX(CHSHTATbl[UNITS],ROW(A43)),
INDEX(CHSHTATbl[UNITS2],ROW(A43)),
INDEX(CHSHTATbl[UNITS3],ROW(A43)),
INDEX(CHSHTATbl[UNITS4],ROW(A43)))</f>
        <v>0</v>
      </c>
      <c r="I45" s="623" cm="1">
        <f t="array" ref="I45" xml:space="preserve">
IF(
OR(
INDEX(CHSHTbl[NOT LIMITED TO RURAL AREAS],ROW(A43))&lt;&gt;"",
INDEX(CHSHTbl[TO SUPPORT SHARED HOUSING IN RURAL AREAS],ROW(A43))&lt;&gt;""),1,0)</f>
        <v>0</v>
      </c>
      <c r="K45" s="647">
        <f xml:space="preserve">
SUM(INDEX(CHMATbl[TOTAL $ REQUESTED],ROW(H43)),
INDEX(CHMATbl[TOTAL $ REQUESTED2],ROW(H43)),
INDEX(CHMATbl[TOTAL $ REQUESTED3],ROW(H43)),
INDEX(CHMATbl[TOTAL $ REQUESTED4],ROW(H43)))</f>
        <v>0</v>
      </c>
      <c r="L45" s="647">
        <f xml:space="preserve">
SUM(INDEX(CHOORTbl[TOTAL $ REQUESTED],ROW(A43)),
INDEX(CHOORTbl[TOTAL $ REQUESTED2],ROW(A43)),
INDEX(CHOORTbl[TOTAL $ REQUESTED3],ROW(A43)),
INDEX(CHOORTbl[TOTAL $ REQUESTED4],ROW(A43)))</f>
        <v>0</v>
      </c>
      <c r="M45" s="647">
        <f xml:space="preserve">
SUM(INDEX(CHADUtbl[TOTAL $ REQUESTED],ROW(G43)),
INDEX(CHADUtbl[TOTAL $ REQUESTED2],ROW(G43)))</f>
        <v>0</v>
      </c>
      <c r="N45" s="647">
        <f xml:space="preserve">
SUM(INDEX(CHSHTATbl[TOTAL $ REQUESTED],ROW(G43)),
INDEX(CHSHTATbl[TOTAL $ REQUESTED2],ROW(G43)),
INDEX(CHSHTATbl[TOTAL $ REQUESTED3],ROW(G43)),
INDEX(CHSHTATbl[% OF TOTAL2],ROW(G43)))</f>
        <v>0</v>
      </c>
      <c r="O45" s="647">
        <f xml:space="preserve">
SUM(
INDEX(CHSHTbl[NOT LIMITED TO RURAL AREAS],ROW($A43)),
INDEX(CHSHTbl[TO SUPPORT SHARED HOUSING IN RURAL AREAS],ROW($A43)))</f>
        <v>0</v>
      </c>
    </row>
    <row r="46" spans="1:15" s="624" customFormat="1" ht="10" x14ac:dyDescent="0.25">
      <c r="A46" s="622" t="s">
        <v>1760</v>
      </c>
      <c r="B46" s="643">
        <f t="shared" si="0"/>
        <v>0</v>
      </c>
      <c r="C46" s="638" t="str">
        <f>IF(B46&gt;0,"Project # " &amp; SUM(B$3:B46),"")</f>
        <v/>
      </c>
      <c r="D46" s="638" t="str">
        <f t="shared" si="1"/>
        <v/>
      </c>
      <c r="E46" s="623">
        <f xml:space="preserve">
SUM(INDEX(CHMATbl[UNITS],ROW(A44)),
INDEX(CHMATbl[UNITS2],ROW(A44)),
INDEX(CHMATbl[UNITS3],ROW(A44)),
INDEX(CHMATbl[UNITS4],ROW(A44)))</f>
        <v>0</v>
      </c>
      <c r="F46" s="623">
        <f xml:space="preserve">
SUM(INDEX(CHOORTbl[UNITS],ROW(A44)),
INDEX(CHOORTbl[UNITS2],ROW(A44)),
INDEX(CHOORTbl[UNITS3],ROW(A44)),
INDEX(CHOORTbl[UNITS4],ROW(A44)))</f>
        <v>0</v>
      </c>
      <c r="G46" s="623">
        <f xml:space="preserve">
SUM(INDEX(CHADUtbl[UNITS],ROW(A44)),
INDEX(CHADUtbl[UNITS2],ROW(A44)))</f>
        <v>0</v>
      </c>
      <c r="H46" s="623">
        <f xml:space="preserve">
SUM(INDEX(CHSHTATbl[UNITS],ROW(A44)),
INDEX(CHSHTATbl[UNITS2],ROW(A44)),
INDEX(CHSHTATbl[UNITS3],ROW(A44)),
INDEX(CHSHTATbl[UNITS4],ROW(A44)))</f>
        <v>0</v>
      </c>
      <c r="I46" s="623" cm="1">
        <f t="array" ref="I46" xml:space="preserve">
IF(
OR(
INDEX(CHSHTbl[NOT LIMITED TO RURAL AREAS],ROW(A44))&lt;&gt;"",
INDEX(CHSHTbl[TO SUPPORT SHARED HOUSING IN RURAL AREAS],ROW(A44))&lt;&gt;""),1,0)</f>
        <v>0</v>
      </c>
      <c r="K46" s="647">
        <f xml:space="preserve">
SUM(INDEX(CHMATbl[TOTAL $ REQUESTED],ROW(H44)),
INDEX(CHMATbl[TOTAL $ REQUESTED2],ROW(H44)),
INDEX(CHMATbl[TOTAL $ REQUESTED3],ROW(H44)),
INDEX(CHMATbl[TOTAL $ REQUESTED4],ROW(H44)))</f>
        <v>0</v>
      </c>
      <c r="L46" s="647">
        <f xml:space="preserve">
SUM(INDEX(CHOORTbl[TOTAL $ REQUESTED],ROW(A44)),
INDEX(CHOORTbl[TOTAL $ REQUESTED2],ROW(A44)),
INDEX(CHOORTbl[TOTAL $ REQUESTED3],ROW(A44)),
INDEX(CHOORTbl[TOTAL $ REQUESTED4],ROW(A44)))</f>
        <v>0</v>
      </c>
      <c r="M46" s="647">
        <f xml:space="preserve">
SUM(INDEX(CHADUtbl[TOTAL $ REQUESTED],ROW(G44)),
INDEX(CHADUtbl[TOTAL $ REQUESTED2],ROW(G44)))</f>
        <v>0</v>
      </c>
      <c r="N46" s="647">
        <f xml:space="preserve">
SUM(INDEX(CHSHTATbl[TOTAL $ REQUESTED],ROW(G44)),
INDEX(CHSHTATbl[TOTAL $ REQUESTED2],ROW(G44)),
INDEX(CHSHTATbl[TOTAL $ REQUESTED3],ROW(G44)),
INDEX(CHSHTATbl[% OF TOTAL2],ROW(G44)))</f>
        <v>0</v>
      </c>
      <c r="O46" s="647">
        <f xml:space="preserve">
SUM(
INDEX(CHSHTbl[NOT LIMITED TO RURAL AREAS],ROW($A44)),
INDEX(CHSHTbl[TO SUPPORT SHARED HOUSING IN RURAL AREAS],ROW($A44)))</f>
        <v>0</v>
      </c>
    </row>
    <row r="47" spans="1:15" s="624" customFormat="1" ht="10" x14ac:dyDescent="0.25">
      <c r="A47" s="622" t="s">
        <v>1907</v>
      </c>
      <c r="B47" s="643">
        <f t="shared" si="0"/>
        <v>0</v>
      </c>
      <c r="C47" s="638" t="str">
        <f>IF(B47&gt;0,"Project # " &amp; SUM(B$3:B47),"")</f>
        <v/>
      </c>
      <c r="D47" s="638" t="str">
        <f t="shared" si="1"/>
        <v/>
      </c>
      <c r="E47" s="623">
        <f xml:space="preserve">
SUM(INDEX(CHMATbl[UNITS],ROW(A45)),
INDEX(CHMATbl[UNITS2],ROW(A45)),
INDEX(CHMATbl[UNITS3],ROW(A45)),
INDEX(CHMATbl[UNITS4],ROW(A45)))</f>
        <v>0</v>
      </c>
      <c r="F47" s="623">
        <f xml:space="preserve">
SUM(INDEX(CHOORTbl[UNITS],ROW(A45)),
INDEX(CHOORTbl[UNITS2],ROW(A45)),
INDEX(CHOORTbl[UNITS3],ROW(A45)),
INDEX(CHOORTbl[UNITS4],ROW(A45)))</f>
        <v>0</v>
      </c>
      <c r="G47" s="623">
        <f xml:space="preserve">
SUM(INDEX(CHADUtbl[UNITS],ROW(A45)),
INDEX(CHADUtbl[UNITS2],ROW(A45)))</f>
        <v>0</v>
      </c>
      <c r="H47" s="623">
        <f xml:space="preserve">
SUM(INDEX(CHSHTATbl[UNITS],ROW(A45)),
INDEX(CHSHTATbl[UNITS2],ROW(A45)),
INDEX(CHSHTATbl[UNITS3],ROW(A45)),
INDEX(CHSHTATbl[UNITS4],ROW(A45)))</f>
        <v>0</v>
      </c>
      <c r="I47" s="623" cm="1">
        <f t="array" ref="I47" xml:space="preserve">
IF(
OR(
INDEX(CHSHTbl[NOT LIMITED TO RURAL AREAS],ROW(A45))&lt;&gt;"",
INDEX(CHSHTbl[TO SUPPORT SHARED HOUSING IN RURAL AREAS],ROW(A45))&lt;&gt;""),1,0)</f>
        <v>0</v>
      </c>
      <c r="K47" s="647">
        <f xml:space="preserve">
SUM(INDEX(CHMATbl[TOTAL $ REQUESTED],ROW(H45)),
INDEX(CHMATbl[TOTAL $ REQUESTED2],ROW(H45)),
INDEX(CHMATbl[TOTAL $ REQUESTED3],ROW(H45)),
INDEX(CHMATbl[TOTAL $ REQUESTED4],ROW(H45)))</f>
        <v>0</v>
      </c>
      <c r="L47" s="647">
        <f xml:space="preserve">
SUM(INDEX(CHOORTbl[TOTAL $ REQUESTED],ROW(A45)),
INDEX(CHOORTbl[TOTAL $ REQUESTED2],ROW(A45)),
INDEX(CHOORTbl[TOTAL $ REQUESTED3],ROW(A45)),
INDEX(CHOORTbl[TOTAL $ REQUESTED4],ROW(A45)))</f>
        <v>0</v>
      </c>
      <c r="M47" s="647">
        <f xml:space="preserve">
SUM(INDEX(CHADUtbl[TOTAL $ REQUESTED],ROW(G45)),
INDEX(CHADUtbl[TOTAL $ REQUESTED2],ROW(G45)))</f>
        <v>0</v>
      </c>
      <c r="N47" s="647">
        <f xml:space="preserve">
SUM(INDEX(CHSHTATbl[TOTAL $ REQUESTED],ROW(G45)),
INDEX(CHSHTATbl[TOTAL $ REQUESTED2],ROW(G45)),
INDEX(CHSHTATbl[TOTAL $ REQUESTED3],ROW(G45)),
INDEX(CHSHTATbl[% OF TOTAL2],ROW(G45)))</f>
        <v>0</v>
      </c>
      <c r="O47" s="647">
        <f xml:space="preserve">
SUM(
INDEX(CHSHTbl[NOT LIMITED TO RURAL AREAS],ROW($A45)),
INDEX(CHSHTbl[TO SUPPORT SHARED HOUSING IN RURAL AREAS],ROW($A45)))</f>
        <v>0</v>
      </c>
    </row>
    <row r="48" spans="1:15" s="624" customFormat="1" ht="10" x14ac:dyDescent="0.25">
      <c r="A48" s="622" t="s">
        <v>1908</v>
      </c>
      <c r="B48" s="643">
        <f t="shared" si="0"/>
        <v>0</v>
      </c>
      <c r="C48" s="638" t="str">
        <f>IF(B48&gt;0,"Project # " &amp; SUM(B$3:B48),"")</f>
        <v/>
      </c>
      <c r="D48" s="638" t="str">
        <f t="shared" si="1"/>
        <v/>
      </c>
      <c r="E48" s="623">
        <f xml:space="preserve">
SUM(INDEX(CHMATbl[UNITS],ROW(A46)),
INDEX(CHMATbl[UNITS2],ROW(A46)),
INDEX(CHMATbl[UNITS3],ROW(A46)),
INDEX(CHMATbl[UNITS4],ROW(A46)))</f>
        <v>0</v>
      </c>
      <c r="F48" s="623">
        <f xml:space="preserve">
SUM(INDEX(CHOORTbl[UNITS],ROW(A46)),
INDEX(CHOORTbl[UNITS2],ROW(A46)),
INDEX(CHOORTbl[UNITS3],ROW(A46)),
INDEX(CHOORTbl[UNITS4],ROW(A46)))</f>
        <v>0</v>
      </c>
      <c r="G48" s="623">
        <f xml:space="preserve">
SUM(INDEX(CHADUtbl[UNITS],ROW(A46)),
INDEX(CHADUtbl[UNITS2],ROW(A46)))</f>
        <v>0</v>
      </c>
      <c r="H48" s="623">
        <f xml:space="preserve">
SUM(INDEX(CHSHTATbl[UNITS],ROW(A46)),
INDEX(CHSHTATbl[UNITS2],ROW(A46)),
INDEX(CHSHTATbl[UNITS3],ROW(A46)),
INDEX(CHSHTATbl[UNITS4],ROW(A46)))</f>
        <v>0</v>
      </c>
      <c r="I48" s="623" cm="1">
        <f t="array" ref="I48" xml:space="preserve">
IF(
OR(
INDEX(CHSHTbl[NOT LIMITED TO RURAL AREAS],ROW(A46))&lt;&gt;"",
INDEX(CHSHTbl[TO SUPPORT SHARED HOUSING IN RURAL AREAS],ROW(A46))&lt;&gt;""),1,0)</f>
        <v>0</v>
      </c>
      <c r="K48" s="647">
        <f xml:space="preserve">
SUM(INDEX(CHMATbl[TOTAL $ REQUESTED],ROW(H46)),
INDEX(CHMATbl[TOTAL $ REQUESTED2],ROW(H46)),
INDEX(CHMATbl[TOTAL $ REQUESTED3],ROW(H46)),
INDEX(CHMATbl[TOTAL $ REQUESTED4],ROW(H46)))</f>
        <v>0</v>
      </c>
      <c r="L48" s="647">
        <f xml:space="preserve">
SUM(INDEX(CHOORTbl[TOTAL $ REQUESTED],ROW(A46)),
INDEX(CHOORTbl[TOTAL $ REQUESTED2],ROW(A46)),
INDEX(CHOORTbl[TOTAL $ REQUESTED3],ROW(A46)),
INDEX(CHOORTbl[TOTAL $ REQUESTED4],ROW(A46)))</f>
        <v>0</v>
      </c>
      <c r="M48" s="647">
        <f xml:space="preserve">
SUM(INDEX(CHADUtbl[TOTAL $ REQUESTED],ROW(G46)),
INDEX(CHADUtbl[TOTAL $ REQUESTED2],ROW(G46)))</f>
        <v>0</v>
      </c>
      <c r="N48" s="647">
        <f xml:space="preserve">
SUM(INDEX(CHSHTATbl[TOTAL $ REQUESTED],ROW(G46)),
INDEX(CHSHTATbl[TOTAL $ REQUESTED2],ROW(G46)),
INDEX(CHSHTATbl[TOTAL $ REQUESTED3],ROW(G46)),
INDEX(CHSHTATbl[% OF TOTAL2],ROW(G46)))</f>
        <v>0</v>
      </c>
      <c r="O48" s="647">
        <f xml:space="preserve">
SUM(
INDEX(CHSHTbl[NOT LIMITED TO RURAL AREAS],ROW($A46)),
INDEX(CHSHTbl[TO SUPPORT SHARED HOUSING IN RURAL AREAS],ROW($A46)))</f>
        <v>0</v>
      </c>
    </row>
    <row r="49" spans="1:15" s="624" customFormat="1" ht="10" x14ac:dyDescent="0.25">
      <c r="A49" s="622" t="s">
        <v>1909</v>
      </c>
      <c r="B49" s="643">
        <f t="shared" si="0"/>
        <v>0</v>
      </c>
      <c r="C49" s="638" t="str">
        <f>IF(B49&gt;0,"Project # " &amp; SUM(B$3:B49),"")</f>
        <v/>
      </c>
      <c r="D49" s="638" t="str">
        <f t="shared" si="1"/>
        <v/>
      </c>
      <c r="E49" s="623">
        <f xml:space="preserve">
SUM(INDEX(CHMATbl[UNITS],ROW(A47)),
INDEX(CHMATbl[UNITS2],ROW(A47)),
INDEX(CHMATbl[UNITS3],ROW(A47)),
INDEX(CHMATbl[UNITS4],ROW(A47)))</f>
        <v>0</v>
      </c>
      <c r="F49" s="623">
        <f xml:space="preserve">
SUM(INDEX(CHOORTbl[UNITS],ROW(A47)),
INDEX(CHOORTbl[UNITS2],ROW(A47)),
INDEX(CHOORTbl[UNITS3],ROW(A47)),
INDEX(CHOORTbl[UNITS4],ROW(A47)))</f>
        <v>0</v>
      </c>
      <c r="G49" s="623">
        <f xml:space="preserve">
SUM(INDEX(CHADUtbl[UNITS],ROW(A47)),
INDEX(CHADUtbl[UNITS2],ROW(A47)))</f>
        <v>0</v>
      </c>
      <c r="H49" s="623">
        <f xml:space="preserve">
SUM(INDEX(CHSHTATbl[UNITS],ROW(A47)),
INDEX(CHSHTATbl[UNITS2],ROW(A47)),
INDEX(CHSHTATbl[UNITS3],ROW(A47)),
INDEX(CHSHTATbl[UNITS4],ROW(A47)))</f>
        <v>0</v>
      </c>
      <c r="I49" s="623" cm="1">
        <f t="array" ref="I49" xml:space="preserve">
IF(
OR(
INDEX(CHSHTbl[NOT LIMITED TO RURAL AREAS],ROW(A47))&lt;&gt;"",
INDEX(CHSHTbl[TO SUPPORT SHARED HOUSING IN RURAL AREAS],ROW(A47))&lt;&gt;""),1,0)</f>
        <v>0</v>
      </c>
      <c r="K49" s="647">
        <f xml:space="preserve">
SUM(INDEX(CHMATbl[TOTAL $ REQUESTED],ROW(H47)),
INDEX(CHMATbl[TOTAL $ REQUESTED2],ROW(H47)),
INDEX(CHMATbl[TOTAL $ REQUESTED3],ROW(H47)),
INDEX(CHMATbl[TOTAL $ REQUESTED4],ROW(H47)))</f>
        <v>0</v>
      </c>
      <c r="L49" s="647">
        <f xml:space="preserve">
SUM(INDEX(CHOORTbl[TOTAL $ REQUESTED],ROW(A47)),
INDEX(CHOORTbl[TOTAL $ REQUESTED2],ROW(A47)),
INDEX(CHOORTbl[TOTAL $ REQUESTED3],ROW(A47)),
INDEX(CHOORTbl[TOTAL $ REQUESTED4],ROW(A47)))</f>
        <v>0</v>
      </c>
      <c r="M49" s="647">
        <f xml:space="preserve">
SUM(INDEX(CHADUtbl[TOTAL $ REQUESTED],ROW(G47)),
INDEX(CHADUtbl[TOTAL $ REQUESTED2],ROW(G47)))</f>
        <v>0</v>
      </c>
      <c r="N49" s="647">
        <f xml:space="preserve">
SUM(INDEX(CHSHTATbl[TOTAL $ REQUESTED],ROW(G47)),
INDEX(CHSHTATbl[TOTAL $ REQUESTED2],ROW(G47)),
INDEX(CHSHTATbl[TOTAL $ REQUESTED3],ROW(G47)),
INDEX(CHSHTATbl[% OF TOTAL2],ROW(G47)))</f>
        <v>0</v>
      </c>
      <c r="O49" s="647">
        <f xml:space="preserve">
SUM(
INDEX(CHSHTbl[NOT LIMITED TO RURAL AREAS],ROW($A47)),
INDEX(CHSHTbl[TO SUPPORT SHARED HOUSING IN RURAL AREAS],ROW($A47)))</f>
        <v>0</v>
      </c>
    </row>
    <row r="50" spans="1:15" s="624" customFormat="1" ht="10" x14ac:dyDescent="0.25">
      <c r="A50" s="622" t="s">
        <v>1619</v>
      </c>
      <c r="B50" s="643">
        <f t="shared" si="0"/>
        <v>0</v>
      </c>
      <c r="C50" s="638" t="str">
        <f>IF(B50&gt;0,"Project # " &amp; SUM(B$3:B50),"")</f>
        <v/>
      </c>
      <c r="D50" s="638" t="str">
        <f t="shared" si="1"/>
        <v/>
      </c>
      <c r="E50" s="623">
        <f xml:space="preserve">
SUM(INDEX(CHMATbl[UNITS],ROW(A48)),
INDEX(CHMATbl[UNITS2],ROW(A48)),
INDEX(CHMATbl[UNITS3],ROW(A48)),
INDEX(CHMATbl[UNITS4],ROW(A48)))</f>
        <v>0</v>
      </c>
      <c r="F50" s="623">
        <f xml:space="preserve">
SUM(INDEX(CHOORTbl[UNITS],ROW(A48)),
INDEX(CHOORTbl[UNITS2],ROW(A48)),
INDEX(CHOORTbl[UNITS3],ROW(A48)),
INDEX(CHOORTbl[UNITS4],ROW(A48)))</f>
        <v>0</v>
      </c>
      <c r="G50" s="623">
        <f xml:space="preserve">
SUM(INDEX(CHADUtbl[UNITS],ROW(A48)),
INDEX(CHADUtbl[UNITS2],ROW(A48)))</f>
        <v>0</v>
      </c>
      <c r="H50" s="623">
        <f xml:space="preserve">
SUM(INDEX(CHSHTATbl[UNITS],ROW(A48)),
INDEX(CHSHTATbl[UNITS2],ROW(A48)),
INDEX(CHSHTATbl[UNITS3],ROW(A48)),
INDEX(CHSHTATbl[UNITS4],ROW(A48)))</f>
        <v>0</v>
      </c>
      <c r="I50" s="623" cm="1">
        <f t="array" ref="I50" xml:space="preserve">
IF(
OR(
INDEX(CHSHTbl[NOT LIMITED TO RURAL AREAS],ROW(A48))&lt;&gt;"",
INDEX(CHSHTbl[TO SUPPORT SHARED HOUSING IN RURAL AREAS],ROW(A48))&lt;&gt;""),1,0)</f>
        <v>0</v>
      </c>
      <c r="K50" s="647">
        <f xml:space="preserve">
SUM(INDEX(CHMATbl[TOTAL $ REQUESTED],ROW(H48)),
INDEX(CHMATbl[TOTAL $ REQUESTED2],ROW(H48)),
INDEX(CHMATbl[TOTAL $ REQUESTED3],ROW(H48)),
INDEX(CHMATbl[TOTAL $ REQUESTED4],ROW(H48)))</f>
        <v>0</v>
      </c>
      <c r="L50" s="647">
        <f xml:space="preserve">
SUM(INDEX(CHOORTbl[TOTAL $ REQUESTED],ROW(A48)),
INDEX(CHOORTbl[TOTAL $ REQUESTED2],ROW(A48)),
INDEX(CHOORTbl[TOTAL $ REQUESTED3],ROW(A48)),
INDEX(CHOORTbl[TOTAL $ REQUESTED4],ROW(A48)))</f>
        <v>0</v>
      </c>
      <c r="M50" s="647">
        <f xml:space="preserve">
SUM(INDEX(CHADUtbl[TOTAL $ REQUESTED],ROW(G48)),
INDEX(CHADUtbl[TOTAL $ REQUESTED2],ROW(G48)))</f>
        <v>0</v>
      </c>
      <c r="N50" s="647">
        <f xml:space="preserve">
SUM(INDEX(CHSHTATbl[TOTAL $ REQUESTED],ROW(G48)),
INDEX(CHSHTATbl[TOTAL $ REQUESTED2],ROW(G48)),
INDEX(CHSHTATbl[TOTAL $ REQUESTED3],ROW(G48)),
INDEX(CHSHTATbl[% OF TOTAL2],ROW(G48)))</f>
        <v>0</v>
      </c>
      <c r="O50" s="647">
        <f xml:space="preserve">
SUM(
INDEX(CHSHTbl[NOT LIMITED TO RURAL AREAS],ROW($A48)),
INDEX(CHSHTbl[TO SUPPORT SHARED HOUSING IN RURAL AREAS],ROW($A48)))</f>
        <v>0</v>
      </c>
    </row>
    <row r="51" spans="1:15" s="624" customFormat="1" ht="10" x14ac:dyDescent="0.25">
      <c r="A51" s="622" t="s">
        <v>1910</v>
      </c>
      <c r="B51" s="643">
        <f t="shared" si="0"/>
        <v>0</v>
      </c>
      <c r="C51" s="638" t="str">
        <f>IF(B51&gt;0,"Project # " &amp; SUM(B$3:B51),"")</f>
        <v/>
      </c>
      <c r="D51" s="638" t="str">
        <f t="shared" si="1"/>
        <v/>
      </c>
      <c r="E51" s="623">
        <f xml:space="preserve">
SUM(INDEX(CHMATbl[UNITS],ROW(A49)),
INDEX(CHMATbl[UNITS2],ROW(A49)),
INDEX(CHMATbl[UNITS3],ROW(A49)),
INDEX(CHMATbl[UNITS4],ROW(A49)))</f>
        <v>0</v>
      </c>
      <c r="F51" s="623">
        <f xml:space="preserve">
SUM(INDEX(CHOORTbl[UNITS],ROW(A49)),
INDEX(CHOORTbl[UNITS2],ROW(A49)),
INDEX(CHOORTbl[UNITS3],ROW(A49)),
INDEX(CHOORTbl[UNITS4],ROW(A49)))</f>
        <v>0</v>
      </c>
      <c r="G51" s="623">
        <f xml:space="preserve">
SUM(INDEX(CHADUtbl[UNITS],ROW(A49)),
INDEX(CHADUtbl[UNITS2],ROW(A49)))</f>
        <v>0</v>
      </c>
      <c r="H51" s="623">
        <f xml:space="preserve">
SUM(INDEX(CHSHTATbl[UNITS],ROW(A49)),
INDEX(CHSHTATbl[UNITS2],ROW(A49)),
INDEX(CHSHTATbl[UNITS3],ROW(A49)),
INDEX(CHSHTATbl[UNITS4],ROW(A49)))</f>
        <v>0</v>
      </c>
      <c r="I51" s="623" cm="1">
        <f t="array" ref="I51" xml:space="preserve">
IF(
OR(
INDEX(CHSHTbl[NOT LIMITED TO RURAL AREAS],ROW(A49))&lt;&gt;"",
INDEX(CHSHTbl[TO SUPPORT SHARED HOUSING IN RURAL AREAS],ROW(A49))&lt;&gt;""),1,0)</f>
        <v>0</v>
      </c>
      <c r="K51" s="647">
        <f xml:space="preserve">
SUM(INDEX(CHMATbl[TOTAL $ REQUESTED],ROW(H49)),
INDEX(CHMATbl[TOTAL $ REQUESTED2],ROW(H49)),
INDEX(CHMATbl[TOTAL $ REQUESTED3],ROW(H49)),
INDEX(CHMATbl[TOTAL $ REQUESTED4],ROW(H49)))</f>
        <v>0</v>
      </c>
      <c r="L51" s="647">
        <f xml:space="preserve">
SUM(INDEX(CHOORTbl[TOTAL $ REQUESTED],ROW(A49)),
INDEX(CHOORTbl[TOTAL $ REQUESTED2],ROW(A49)),
INDEX(CHOORTbl[TOTAL $ REQUESTED3],ROW(A49)),
INDEX(CHOORTbl[TOTAL $ REQUESTED4],ROW(A49)))</f>
        <v>0</v>
      </c>
      <c r="M51" s="647">
        <f xml:space="preserve">
SUM(INDEX(CHADUtbl[TOTAL $ REQUESTED],ROW(G49)),
INDEX(CHADUtbl[TOTAL $ REQUESTED2],ROW(G49)))</f>
        <v>0</v>
      </c>
      <c r="N51" s="647">
        <f xml:space="preserve">
SUM(INDEX(CHSHTATbl[TOTAL $ REQUESTED],ROW(G49)),
INDEX(CHSHTATbl[TOTAL $ REQUESTED2],ROW(G49)),
INDEX(CHSHTATbl[TOTAL $ REQUESTED3],ROW(G49)),
INDEX(CHSHTATbl[% OF TOTAL2],ROW(G49)))</f>
        <v>0</v>
      </c>
      <c r="O51" s="647">
        <f xml:space="preserve">
SUM(
INDEX(CHSHTbl[NOT LIMITED TO RURAL AREAS],ROW($A49)),
INDEX(CHSHTbl[TO SUPPORT SHARED HOUSING IN RURAL AREAS],ROW($A49)))</f>
        <v>0</v>
      </c>
    </row>
    <row r="52" spans="1:15" s="624" customFormat="1" ht="10" x14ac:dyDescent="0.25">
      <c r="A52" s="622" t="s">
        <v>1911</v>
      </c>
      <c r="B52" s="643">
        <f t="shared" si="0"/>
        <v>0</v>
      </c>
      <c r="C52" s="638" t="str">
        <f>IF(B52&gt;0,"Project # " &amp; SUM(B$3:B52),"")</f>
        <v/>
      </c>
      <c r="D52" s="638" t="str">
        <f t="shared" si="1"/>
        <v/>
      </c>
      <c r="E52" s="623">
        <f xml:space="preserve">
SUM(INDEX(CHMATbl[UNITS],ROW(A50)),
INDEX(CHMATbl[UNITS2],ROW(A50)),
INDEX(CHMATbl[UNITS3],ROW(A50)),
INDEX(CHMATbl[UNITS4],ROW(A50)))</f>
        <v>0</v>
      </c>
      <c r="F52" s="623">
        <f xml:space="preserve">
SUM(INDEX(CHOORTbl[UNITS],ROW(A50)),
INDEX(CHOORTbl[UNITS2],ROW(A50)),
INDEX(CHOORTbl[UNITS3],ROW(A50)),
INDEX(CHOORTbl[UNITS4],ROW(A50)))</f>
        <v>0</v>
      </c>
      <c r="G52" s="623">
        <f xml:space="preserve">
SUM(INDEX(CHADUtbl[UNITS],ROW(A50)),
INDEX(CHADUtbl[UNITS2],ROW(A50)))</f>
        <v>0</v>
      </c>
      <c r="H52" s="623">
        <f xml:space="preserve">
SUM(INDEX(CHSHTATbl[UNITS],ROW(A50)),
INDEX(CHSHTATbl[UNITS2],ROW(A50)),
INDEX(CHSHTATbl[UNITS3],ROW(A50)),
INDEX(CHSHTATbl[UNITS4],ROW(A50)))</f>
        <v>0</v>
      </c>
      <c r="I52" s="623" cm="1">
        <f t="array" ref="I52" xml:space="preserve">
IF(
OR(
INDEX(CHSHTbl[NOT LIMITED TO RURAL AREAS],ROW(A50))&lt;&gt;"",
INDEX(CHSHTbl[TO SUPPORT SHARED HOUSING IN RURAL AREAS],ROW(A50))&lt;&gt;""),1,0)</f>
        <v>0</v>
      </c>
      <c r="K52" s="647">
        <f xml:space="preserve">
SUM(INDEX(CHMATbl[TOTAL $ REQUESTED],ROW(H50)),
INDEX(CHMATbl[TOTAL $ REQUESTED2],ROW(H50)),
INDEX(CHMATbl[TOTAL $ REQUESTED3],ROW(H50)),
INDEX(CHMATbl[TOTAL $ REQUESTED4],ROW(H50)))</f>
        <v>0</v>
      </c>
      <c r="L52" s="647">
        <f xml:space="preserve">
SUM(INDEX(CHOORTbl[TOTAL $ REQUESTED],ROW(A50)),
INDEX(CHOORTbl[TOTAL $ REQUESTED2],ROW(A50)),
INDEX(CHOORTbl[TOTAL $ REQUESTED3],ROW(A50)),
INDEX(CHOORTbl[TOTAL $ REQUESTED4],ROW(A50)))</f>
        <v>0</v>
      </c>
      <c r="M52" s="647">
        <f xml:space="preserve">
SUM(INDEX(CHADUtbl[TOTAL $ REQUESTED],ROW(G50)),
INDEX(CHADUtbl[TOTAL $ REQUESTED2],ROW(G50)))</f>
        <v>0</v>
      </c>
      <c r="N52" s="647">
        <f xml:space="preserve">
SUM(INDEX(CHSHTATbl[TOTAL $ REQUESTED],ROW(G50)),
INDEX(CHSHTATbl[TOTAL $ REQUESTED2],ROW(G50)),
INDEX(CHSHTATbl[TOTAL $ REQUESTED3],ROW(G50)),
INDEX(CHSHTATbl[% OF TOTAL2],ROW(G50)))</f>
        <v>0</v>
      </c>
      <c r="O52" s="647">
        <f xml:space="preserve">
SUM(
INDEX(CHSHTbl[NOT LIMITED TO RURAL AREAS],ROW($A50)),
INDEX(CHSHTbl[TO SUPPORT SHARED HOUSING IN RURAL AREAS],ROW($A50)))</f>
        <v>0</v>
      </c>
    </row>
    <row r="53" spans="1:15" s="624" customFormat="1" ht="10" x14ac:dyDescent="0.25">
      <c r="A53" s="622" t="s">
        <v>1912</v>
      </c>
      <c r="B53" s="643">
        <f t="shared" si="0"/>
        <v>0</v>
      </c>
      <c r="C53" s="638" t="str">
        <f>IF(B53&gt;0,"Project # " &amp; SUM(B$3:B53),"")</f>
        <v/>
      </c>
      <c r="D53" s="638" t="str">
        <f t="shared" si="1"/>
        <v/>
      </c>
      <c r="E53" s="623">
        <f xml:space="preserve">
SUM(INDEX(CHMATbl[UNITS],ROW(A51)),
INDEX(CHMATbl[UNITS2],ROW(A51)),
INDEX(CHMATbl[UNITS3],ROW(A51)),
INDEX(CHMATbl[UNITS4],ROW(A51)))</f>
        <v>0</v>
      </c>
      <c r="F53" s="623">
        <f xml:space="preserve">
SUM(INDEX(CHOORTbl[UNITS],ROW(A51)),
INDEX(CHOORTbl[UNITS2],ROW(A51)),
INDEX(CHOORTbl[UNITS3],ROW(A51)),
INDEX(CHOORTbl[UNITS4],ROW(A51)))</f>
        <v>0</v>
      </c>
      <c r="G53" s="623">
        <f xml:space="preserve">
SUM(INDEX(CHADUtbl[UNITS],ROW(A51)),
INDEX(CHADUtbl[UNITS2],ROW(A51)))</f>
        <v>0</v>
      </c>
      <c r="H53" s="623">
        <f xml:space="preserve">
SUM(INDEX(CHSHTATbl[UNITS],ROW(A51)),
INDEX(CHSHTATbl[UNITS2],ROW(A51)),
INDEX(CHSHTATbl[UNITS3],ROW(A51)),
INDEX(CHSHTATbl[UNITS4],ROW(A51)))</f>
        <v>0</v>
      </c>
      <c r="I53" s="623" cm="1">
        <f t="array" ref="I53" xml:space="preserve">
IF(
OR(
INDEX(CHSHTbl[NOT LIMITED TO RURAL AREAS],ROW(A51))&lt;&gt;"",
INDEX(CHSHTbl[TO SUPPORT SHARED HOUSING IN RURAL AREAS],ROW(A51))&lt;&gt;""),1,0)</f>
        <v>0</v>
      </c>
      <c r="K53" s="647">
        <f xml:space="preserve">
SUM(INDEX(CHMATbl[TOTAL $ REQUESTED],ROW(H51)),
INDEX(CHMATbl[TOTAL $ REQUESTED2],ROW(H51)),
INDEX(CHMATbl[TOTAL $ REQUESTED3],ROW(H51)),
INDEX(CHMATbl[TOTAL $ REQUESTED4],ROW(H51)))</f>
        <v>0</v>
      </c>
      <c r="L53" s="647">
        <f xml:space="preserve">
SUM(INDEX(CHOORTbl[TOTAL $ REQUESTED],ROW(A51)),
INDEX(CHOORTbl[TOTAL $ REQUESTED2],ROW(A51)),
INDEX(CHOORTbl[TOTAL $ REQUESTED3],ROW(A51)),
INDEX(CHOORTbl[TOTAL $ REQUESTED4],ROW(A51)))</f>
        <v>0</v>
      </c>
      <c r="M53" s="647">
        <f xml:space="preserve">
SUM(INDEX(CHADUtbl[TOTAL $ REQUESTED],ROW(G51)),
INDEX(CHADUtbl[TOTAL $ REQUESTED2],ROW(G51)))</f>
        <v>0</v>
      </c>
      <c r="N53" s="647">
        <f xml:space="preserve">
SUM(INDEX(CHSHTATbl[TOTAL $ REQUESTED],ROW(G51)),
INDEX(CHSHTATbl[TOTAL $ REQUESTED2],ROW(G51)),
INDEX(CHSHTATbl[TOTAL $ REQUESTED3],ROW(G51)),
INDEX(CHSHTATbl[% OF TOTAL2],ROW(G51)))</f>
        <v>0</v>
      </c>
      <c r="O53" s="647">
        <f xml:space="preserve">
SUM(
INDEX(CHSHTbl[NOT LIMITED TO RURAL AREAS],ROW($A51)),
INDEX(CHSHTbl[TO SUPPORT SHARED HOUSING IN RURAL AREAS],ROW($A51)))</f>
        <v>0</v>
      </c>
    </row>
    <row r="54" spans="1:15" s="624" customFormat="1" ht="10" x14ac:dyDescent="0.25">
      <c r="A54" s="622" t="s">
        <v>1913</v>
      </c>
      <c r="B54" s="643">
        <f t="shared" si="0"/>
        <v>0</v>
      </c>
      <c r="C54" s="638" t="str">
        <f>IF(B54&gt;0,"Project # " &amp; SUM(B$3:B54),"")</f>
        <v/>
      </c>
      <c r="D54" s="638" t="str">
        <f t="shared" si="1"/>
        <v/>
      </c>
      <c r="E54" s="623">
        <f xml:space="preserve">
SUM(INDEX(CHMATbl[UNITS],ROW(A52)),
INDEX(CHMATbl[UNITS2],ROW(A52)),
INDEX(CHMATbl[UNITS3],ROW(A52)),
INDEX(CHMATbl[UNITS4],ROW(A52)))</f>
        <v>0</v>
      </c>
      <c r="F54" s="623">
        <f xml:space="preserve">
SUM(INDEX(CHOORTbl[UNITS],ROW(A52)),
INDEX(CHOORTbl[UNITS2],ROW(A52)),
INDEX(CHOORTbl[UNITS3],ROW(A52)),
INDEX(CHOORTbl[UNITS4],ROW(A52)))</f>
        <v>0</v>
      </c>
      <c r="G54" s="623">
        <f xml:space="preserve">
SUM(INDEX(CHADUtbl[UNITS],ROW(A52)),
INDEX(CHADUtbl[UNITS2],ROW(A52)))</f>
        <v>0</v>
      </c>
      <c r="H54" s="623">
        <f xml:space="preserve">
SUM(INDEX(CHSHTATbl[UNITS],ROW(A52)),
INDEX(CHSHTATbl[UNITS2],ROW(A52)),
INDEX(CHSHTATbl[UNITS3],ROW(A52)),
INDEX(CHSHTATbl[UNITS4],ROW(A52)))</f>
        <v>0</v>
      </c>
      <c r="I54" s="623" cm="1">
        <f t="array" ref="I54" xml:space="preserve">
IF(
OR(
INDEX(CHSHTbl[NOT LIMITED TO RURAL AREAS],ROW(A52))&lt;&gt;"",
INDEX(CHSHTbl[TO SUPPORT SHARED HOUSING IN RURAL AREAS],ROW(A52))&lt;&gt;""),1,0)</f>
        <v>0</v>
      </c>
      <c r="K54" s="647">
        <f xml:space="preserve">
SUM(INDEX(CHMATbl[TOTAL $ REQUESTED],ROW(H52)),
INDEX(CHMATbl[TOTAL $ REQUESTED2],ROW(H52)),
INDEX(CHMATbl[TOTAL $ REQUESTED3],ROW(H52)),
INDEX(CHMATbl[TOTAL $ REQUESTED4],ROW(H52)))</f>
        <v>0</v>
      </c>
      <c r="L54" s="647">
        <f xml:space="preserve">
SUM(INDEX(CHOORTbl[TOTAL $ REQUESTED],ROW(A52)),
INDEX(CHOORTbl[TOTAL $ REQUESTED2],ROW(A52)),
INDEX(CHOORTbl[TOTAL $ REQUESTED3],ROW(A52)),
INDEX(CHOORTbl[TOTAL $ REQUESTED4],ROW(A52)))</f>
        <v>0</v>
      </c>
      <c r="M54" s="647">
        <f xml:space="preserve">
SUM(INDEX(CHADUtbl[TOTAL $ REQUESTED],ROW(G52)),
INDEX(CHADUtbl[TOTAL $ REQUESTED2],ROW(G52)))</f>
        <v>0</v>
      </c>
      <c r="N54" s="647">
        <f xml:space="preserve">
SUM(INDEX(CHSHTATbl[TOTAL $ REQUESTED],ROW(G52)),
INDEX(CHSHTATbl[TOTAL $ REQUESTED2],ROW(G52)),
INDEX(CHSHTATbl[TOTAL $ REQUESTED3],ROW(G52)),
INDEX(CHSHTATbl[% OF TOTAL2],ROW(G52)))</f>
        <v>0</v>
      </c>
      <c r="O54" s="647">
        <f xml:space="preserve">
SUM(
INDEX(CHSHTbl[NOT LIMITED TO RURAL AREAS],ROW($A52)),
INDEX(CHSHTbl[TO SUPPORT SHARED HOUSING IN RURAL AREAS],ROW($A52)))</f>
        <v>0</v>
      </c>
    </row>
    <row r="55" spans="1:15" s="624" customFormat="1" ht="10" x14ac:dyDescent="0.25">
      <c r="A55" s="622" t="s">
        <v>1914</v>
      </c>
      <c r="B55" s="643">
        <f t="shared" si="0"/>
        <v>0</v>
      </c>
      <c r="C55" s="638" t="str">
        <f>IF(B55&gt;0,"Project # " &amp; SUM(B$3:B55),"")</f>
        <v/>
      </c>
      <c r="D55" s="638" t="str">
        <f t="shared" si="1"/>
        <v/>
      </c>
      <c r="E55" s="623">
        <f xml:space="preserve">
SUM(INDEX(CHMATbl[UNITS],ROW(A53)),
INDEX(CHMATbl[UNITS2],ROW(A53)),
INDEX(CHMATbl[UNITS3],ROW(A53)),
INDEX(CHMATbl[UNITS4],ROW(A53)))</f>
        <v>0</v>
      </c>
      <c r="F55" s="623">
        <f xml:space="preserve">
SUM(INDEX(CHOORTbl[UNITS],ROW(A53)),
INDEX(CHOORTbl[UNITS2],ROW(A53)),
INDEX(CHOORTbl[UNITS3],ROW(A53)),
INDEX(CHOORTbl[UNITS4],ROW(A53)))</f>
        <v>0</v>
      </c>
      <c r="G55" s="623">
        <f xml:space="preserve">
SUM(INDEX(CHADUtbl[UNITS],ROW(A53)),
INDEX(CHADUtbl[UNITS2],ROW(A53)))</f>
        <v>0</v>
      </c>
      <c r="H55" s="623">
        <f xml:space="preserve">
SUM(INDEX(CHSHTATbl[UNITS],ROW(A53)),
INDEX(CHSHTATbl[UNITS2],ROW(A53)),
INDEX(CHSHTATbl[UNITS3],ROW(A53)),
INDEX(CHSHTATbl[UNITS4],ROW(A53)))</f>
        <v>0</v>
      </c>
      <c r="I55" s="623" cm="1">
        <f t="array" ref="I55" xml:space="preserve">
IF(
OR(
INDEX(CHSHTbl[NOT LIMITED TO RURAL AREAS],ROW(A53))&lt;&gt;"",
INDEX(CHSHTbl[TO SUPPORT SHARED HOUSING IN RURAL AREAS],ROW(A53))&lt;&gt;""),1,0)</f>
        <v>0</v>
      </c>
      <c r="K55" s="647">
        <f xml:space="preserve">
SUM(INDEX(CHMATbl[TOTAL $ REQUESTED],ROW(H53)),
INDEX(CHMATbl[TOTAL $ REQUESTED2],ROW(H53)),
INDEX(CHMATbl[TOTAL $ REQUESTED3],ROW(H53)),
INDEX(CHMATbl[TOTAL $ REQUESTED4],ROW(H53)))</f>
        <v>0</v>
      </c>
      <c r="L55" s="647">
        <f xml:space="preserve">
SUM(INDEX(CHOORTbl[TOTAL $ REQUESTED],ROW(A53)),
INDEX(CHOORTbl[TOTAL $ REQUESTED2],ROW(A53)),
INDEX(CHOORTbl[TOTAL $ REQUESTED3],ROW(A53)),
INDEX(CHOORTbl[TOTAL $ REQUESTED4],ROW(A53)))</f>
        <v>0</v>
      </c>
      <c r="M55" s="647">
        <f xml:space="preserve">
SUM(INDEX(CHADUtbl[TOTAL $ REQUESTED],ROW(G53)),
INDEX(CHADUtbl[TOTAL $ REQUESTED2],ROW(G53)))</f>
        <v>0</v>
      </c>
      <c r="N55" s="647">
        <f xml:space="preserve">
SUM(INDEX(CHSHTATbl[TOTAL $ REQUESTED],ROW(G53)),
INDEX(CHSHTATbl[TOTAL $ REQUESTED2],ROW(G53)),
INDEX(CHSHTATbl[TOTAL $ REQUESTED3],ROW(G53)),
INDEX(CHSHTATbl[% OF TOTAL2],ROW(G53)))</f>
        <v>0</v>
      </c>
      <c r="O55" s="647">
        <f xml:space="preserve">
SUM(
INDEX(CHSHTbl[NOT LIMITED TO RURAL AREAS],ROW($A53)),
INDEX(CHSHTbl[TO SUPPORT SHARED HOUSING IN RURAL AREAS],ROW($A53)))</f>
        <v>0</v>
      </c>
    </row>
    <row r="56" spans="1:15" s="624" customFormat="1" ht="10" x14ac:dyDescent="0.25">
      <c r="A56" s="622" t="s">
        <v>1915</v>
      </c>
      <c r="B56" s="643">
        <f t="shared" si="0"/>
        <v>0</v>
      </c>
      <c r="C56" s="638" t="str">
        <f>IF(B56&gt;0,"Project # " &amp; SUM(B$3:B56),"")</f>
        <v/>
      </c>
      <c r="D56" s="638" t="str">
        <f t="shared" si="1"/>
        <v/>
      </c>
      <c r="E56" s="623">
        <f xml:space="preserve">
SUM(INDEX(CHMATbl[UNITS],ROW(A54)),
INDEX(CHMATbl[UNITS2],ROW(A54)),
INDEX(CHMATbl[UNITS3],ROW(A54)),
INDEX(CHMATbl[UNITS4],ROW(A54)))</f>
        <v>0</v>
      </c>
      <c r="F56" s="623">
        <f xml:space="preserve">
SUM(INDEX(CHOORTbl[UNITS],ROW(A54)),
INDEX(CHOORTbl[UNITS2],ROW(A54)),
INDEX(CHOORTbl[UNITS3],ROW(A54)),
INDEX(CHOORTbl[UNITS4],ROW(A54)))</f>
        <v>0</v>
      </c>
      <c r="G56" s="623">
        <f xml:space="preserve">
SUM(INDEX(CHADUtbl[UNITS],ROW(A54)),
INDEX(CHADUtbl[UNITS2],ROW(A54)))</f>
        <v>0</v>
      </c>
      <c r="H56" s="623">
        <f xml:space="preserve">
SUM(INDEX(CHSHTATbl[UNITS],ROW(A54)),
INDEX(CHSHTATbl[UNITS2],ROW(A54)),
INDEX(CHSHTATbl[UNITS3],ROW(A54)),
INDEX(CHSHTATbl[UNITS4],ROW(A54)))</f>
        <v>0</v>
      </c>
      <c r="I56" s="623" cm="1">
        <f t="array" ref="I56" xml:space="preserve">
IF(
OR(
INDEX(CHSHTbl[NOT LIMITED TO RURAL AREAS],ROW(A54))&lt;&gt;"",
INDEX(CHSHTbl[TO SUPPORT SHARED HOUSING IN RURAL AREAS],ROW(A54))&lt;&gt;""),1,0)</f>
        <v>0</v>
      </c>
      <c r="K56" s="647">
        <f xml:space="preserve">
SUM(INDEX(CHMATbl[TOTAL $ REQUESTED],ROW(H54)),
INDEX(CHMATbl[TOTAL $ REQUESTED2],ROW(H54)),
INDEX(CHMATbl[TOTAL $ REQUESTED3],ROW(H54)),
INDEX(CHMATbl[TOTAL $ REQUESTED4],ROW(H54)))</f>
        <v>0</v>
      </c>
      <c r="L56" s="647">
        <f xml:space="preserve">
SUM(INDEX(CHOORTbl[TOTAL $ REQUESTED],ROW(A54)),
INDEX(CHOORTbl[TOTAL $ REQUESTED2],ROW(A54)),
INDEX(CHOORTbl[TOTAL $ REQUESTED3],ROW(A54)),
INDEX(CHOORTbl[TOTAL $ REQUESTED4],ROW(A54)))</f>
        <v>0</v>
      </c>
      <c r="M56" s="647">
        <f xml:space="preserve">
SUM(INDEX(CHADUtbl[TOTAL $ REQUESTED],ROW(G54)),
INDEX(CHADUtbl[TOTAL $ REQUESTED2],ROW(G54)))</f>
        <v>0</v>
      </c>
      <c r="N56" s="647">
        <f xml:space="preserve">
SUM(INDEX(CHSHTATbl[TOTAL $ REQUESTED],ROW(G54)),
INDEX(CHSHTATbl[TOTAL $ REQUESTED2],ROW(G54)),
INDEX(CHSHTATbl[TOTAL $ REQUESTED3],ROW(G54)),
INDEX(CHSHTATbl[% OF TOTAL2],ROW(G54)))</f>
        <v>0</v>
      </c>
      <c r="O56" s="647">
        <f xml:space="preserve">
SUM(
INDEX(CHSHTbl[NOT LIMITED TO RURAL AREAS],ROW($A54)),
INDEX(CHSHTbl[TO SUPPORT SHARED HOUSING IN RURAL AREAS],ROW($A54)))</f>
        <v>0</v>
      </c>
    </row>
    <row r="57" spans="1:15" s="624" customFormat="1" ht="10" x14ac:dyDescent="0.25">
      <c r="A57" s="622" t="s">
        <v>1916</v>
      </c>
      <c r="B57" s="643">
        <f t="shared" si="0"/>
        <v>0</v>
      </c>
      <c r="C57" s="638" t="str">
        <f>IF(B57&gt;0,"Project # " &amp; SUM(B$3:B57),"")</f>
        <v/>
      </c>
      <c r="D57" s="638" t="str">
        <f t="shared" si="1"/>
        <v/>
      </c>
      <c r="E57" s="623">
        <f xml:space="preserve">
SUM(INDEX(CHMATbl[UNITS],ROW(A55)),
INDEX(CHMATbl[UNITS2],ROW(A55)),
INDEX(CHMATbl[UNITS3],ROW(A55)),
INDEX(CHMATbl[UNITS4],ROW(A55)))</f>
        <v>0</v>
      </c>
      <c r="F57" s="623">
        <f xml:space="preserve">
SUM(INDEX(CHOORTbl[UNITS],ROW(A55)),
INDEX(CHOORTbl[UNITS2],ROW(A55)),
INDEX(CHOORTbl[UNITS3],ROW(A55)),
INDEX(CHOORTbl[UNITS4],ROW(A55)))</f>
        <v>0</v>
      </c>
      <c r="G57" s="623">
        <f xml:space="preserve">
SUM(INDEX(CHADUtbl[UNITS],ROW(A55)),
INDEX(CHADUtbl[UNITS2],ROW(A55)))</f>
        <v>0</v>
      </c>
      <c r="H57" s="623">
        <f xml:space="preserve">
SUM(INDEX(CHSHTATbl[UNITS],ROW(A55)),
INDEX(CHSHTATbl[UNITS2],ROW(A55)),
INDEX(CHSHTATbl[UNITS3],ROW(A55)),
INDEX(CHSHTATbl[UNITS4],ROW(A55)))</f>
        <v>0</v>
      </c>
      <c r="I57" s="623" cm="1">
        <f t="array" ref="I57" xml:space="preserve">
IF(
OR(
INDEX(CHSHTbl[NOT LIMITED TO RURAL AREAS],ROW(A55))&lt;&gt;"",
INDEX(CHSHTbl[TO SUPPORT SHARED HOUSING IN RURAL AREAS],ROW(A55))&lt;&gt;""),1,0)</f>
        <v>0</v>
      </c>
      <c r="K57" s="647">
        <f xml:space="preserve">
SUM(INDEX(CHMATbl[TOTAL $ REQUESTED],ROW(H55)),
INDEX(CHMATbl[TOTAL $ REQUESTED2],ROW(H55)),
INDEX(CHMATbl[TOTAL $ REQUESTED3],ROW(H55)),
INDEX(CHMATbl[TOTAL $ REQUESTED4],ROW(H55)))</f>
        <v>0</v>
      </c>
      <c r="L57" s="647">
        <f xml:space="preserve">
SUM(INDEX(CHOORTbl[TOTAL $ REQUESTED],ROW(A55)),
INDEX(CHOORTbl[TOTAL $ REQUESTED2],ROW(A55)),
INDEX(CHOORTbl[TOTAL $ REQUESTED3],ROW(A55)),
INDEX(CHOORTbl[TOTAL $ REQUESTED4],ROW(A55)))</f>
        <v>0</v>
      </c>
      <c r="M57" s="647">
        <f xml:space="preserve">
SUM(INDEX(CHADUtbl[TOTAL $ REQUESTED],ROW(G55)),
INDEX(CHADUtbl[TOTAL $ REQUESTED2],ROW(G55)))</f>
        <v>0</v>
      </c>
      <c r="N57" s="647">
        <f xml:space="preserve">
SUM(INDEX(CHSHTATbl[TOTAL $ REQUESTED],ROW(G55)),
INDEX(CHSHTATbl[TOTAL $ REQUESTED2],ROW(G55)),
INDEX(CHSHTATbl[TOTAL $ REQUESTED3],ROW(G55)),
INDEX(CHSHTATbl[% OF TOTAL2],ROW(G55)))</f>
        <v>0</v>
      </c>
      <c r="O57" s="647">
        <f xml:space="preserve">
SUM(
INDEX(CHSHTbl[NOT LIMITED TO RURAL AREAS],ROW($A55)),
INDEX(CHSHTbl[TO SUPPORT SHARED HOUSING IN RURAL AREAS],ROW($A55)))</f>
        <v>0</v>
      </c>
    </row>
    <row r="58" spans="1:15" s="624" customFormat="1" ht="10" x14ac:dyDescent="0.25">
      <c r="A58" s="622" t="s">
        <v>1771</v>
      </c>
      <c r="B58" s="643">
        <f t="shared" si="0"/>
        <v>0</v>
      </c>
      <c r="C58" s="638" t="str">
        <f>IF(B58&gt;0,"Project # " &amp; SUM(B$3:B58),"")</f>
        <v/>
      </c>
      <c r="D58" s="638" t="str">
        <f t="shared" si="1"/>
        <v/>
      </c>
      <c r="E58" s="623">
        <f xml:space="preserve">
SUM(INDEX(CHMATbl[UNITS],ROW(A56)),
INDEX(CHMATbl[UNITS2],ROW(A56)),
INDEX(CHMATbl[UNITS3],ROW(A56)),
INDEX(CHMATbl[UNITS4],ROW(A56)))</f>
        <v>0</v>
      </c>
      <c r="F58" s="623">
        <f xml:space="preserve">
SUM(INDEX(CHOORTbl[UNITS],ROW(A56)),
INDEX(CHOORTbl[UNITS2],ROW(A56)),
INDEX(CHOORTbl[UNITS3],ROW(A56)),
INDEX(CHOORTbl[UNITS4],ROW(A56)))</f>
        <v>0</v>
      </c>
      <c r="G58" s="623">
        <f xml:space="preserve">
SUM(INDEX(CHADUtbl[UNITS],ROW(A56)),
INDEX(CHADUtbl[UNITS2],ROW(A56)))</f>
        <v>0</v>
      </c>
      <c r="H58" s="623">
        <f xml:space="preserve">
SUM(INDEX(CHSHTATbl[UNITS],ROW(A56)),
INDEX(CHSHTATbl[UNITS2],ROW(A56)),
INDEX(CHSHTATbl[UNITS3],ROW(A56)),
INDEX(CHSHTATbl[UNITS4],ROW(A56)))</f>
        <v>0</v>
      </c>
      <c r="I58" s="623" cm="1">
        <f t="array" ref="I58" xml:space="preserve">
IF(
OR(
INDEX(CHSHTbl[NOT LIMITED TO RURAL AREAS],ROW(A56))&lt;&gt;"",
INDEX(CHSHTbl[TO SUPPORT SHARED HOUSING IN RURAL AREAS],ROW(A56))&lt;&gt;""),1,0)</f>
        <v>0</v>
      </c>
      <c r="K58" s="647">
        <f xml:space="preserve">
SUM(INDEX(CHMATbl[TOTAL $ REQUESTED],ROW(H56)),
INDEX(CHMATbl[TOTAL $ REQUESTED2],ROW(H56)),
INDEX(CHMATbl[TOTAL $ REQUESTED3],ROW(H56)),
INDEX(CHMATbl[TOTAL $ REQUESTED4],ROW(H56)))</f>
        <v>0</v>
      </c>
      <c r="L58" s="647">
        <f xml:space="preserve">
SUM(INDEX(CHOORTbl[TOTAL $ REQUESTED],ROW(A56)),
INDEX(CHOORTbl[TOTAL $ REQUESTED2],ROW(A56)),
INDEX(CHOORTbl[TOTAL $ REQUESTED3],ROW(A56)),
INDEX(CHOORTbl[TOTAL $ REQUESTED4],ROW(A56)))</f>
        <v>0</v>
      </c>
      <c r="M58" s="647">
        <f xml:space="preserve">
SUM(INDEX(CHADUtbl[TOTAL $ REQUESTED],ROW(G56)),
INDEX(CHADUtbl[TOTAL $ REQUESTED2],ROW(G56)))</f>
        <v>0</v>
      </c>
      <c r="N58" s="647">
        <f xml:space="preserve">
SUM(INDEX(CHSHTATbl[TOTAL $ REQUESTED],ROW(G56)),
INDEX(CHSHTATbl[TOTAL $ REQUESTED2],ROW(G56)),
INDEX(CHSHTATbl[TOTAL $ REQUESTED3],ROW(G56)),
INDEX(CHSHTATbl[% OF TOTAL2],ROW(G56)))</f>
        <v>0</v>
      </c>
      <c r="O58" s="647">
        <f xml:space="preserve">
SUM(
INDEX(CHSHTbl[NOT LIMITED TO RURAL AREAS],ROW($A56)),
INDEX(CHSHTbl[TO SUPPORT SHARED HOUSING IN RURAL AREAS],ROW($A56)))</f>
        <v>0</v>
      </c>
    </row>
    <row r="59" spans="1:15" s="624" customFormat="1" ht="10" x14ac:dyDescent="0.25">
      <c r="A59" s="622" t="s">
        <v>1917</v>
      </c>
      <c r="B59" s="643">
        <f t="shared" si="0"/>
        <v>0</v>
      </c>
      <c r="C59" s="638" t="str">
        <f>IF(B59&gt;0,"Project # " &amp; SUM(B$3:B59),"")</f>
        <v/>
      </c>
      <c r="D59" s="638" t="str">
        <f t="shared" si="1"/>
        <v/>
      </c>
      <c r="E59" s="623">
        <f xml:space="preserve">
SUM(INDEX(CHMATbl[UNITS],ROW(A57)),
INDEX(CHMATbl[UNITS2],ROW(A57)),
INDEX(CHMATbl[UNITS3],ROW(A57)),
INDEX(CHMATbl[UNITS4],ROW(A57)))</f>
        <v>0</v>
      </c>
      <c r="F59" s="623">
        <f xml:space="preserve">
SUM(INDEX(CHOORTbl[UNITS],ROW(A57)),
INDEX(CHOORTbl[UNITS2],ROW(A57)),
INDEX(CHOORTbl[UNITS3],ROW(A57)),
INDEX(CHOORTbl[UNITS4],ROW(A57)))</f>
        <v>0</v>
      </c>
      <c r="G59" s="623">
        <f xml:space="preserve">
SUM(INDEX(CHADUtbl[UNITS],ROW(A57)),
INDEX(CHADUtbl[UNITS2],ROW(A57)))</f>
        <v>0</v>
      </c>
      <c r="H59" s="623">
        <f xml:space="preserve">
SUM(INDEX(CHSHTATbl[UNITS],ROW(A57)),
INDEX(CHSHTATbl[UNITS2],ROW(A57)),
INDEX(CHSHTATbl[UNITS3],ROW(A57)),
INDEX(CHSHTATbl[UNITS4],ROW(A57)))</f>
        <v>0</v>
      </c>
      <c r="I59" s="623" cm="1">
        <f t="array" ref="I59" xml:space="preserve">
IF(
OR(
INDEX(CHSHTbl[NOT LIMITED TO RURAL AREAS],ROW(A57))&lt;&gt;"",
INDEX(CHSHTbl[TO SUPPORT SHARED HOUSING IN RURAL AREAS],ROW(A57))&lt;&gt;""),1,0)</f>
        <v>0</v>
      </c>
      <c r="K59" s="647">
        <f xml:space="preserve">
SUM(INDEX(CHMATbl[TOTAL $ REQUESTED],ROW(H57)),
INDEX(CHMATbl[TOTAL $ REQUESTED2],ROW(H57)),
INDEX(CHMATbl[TOTAL $ REQUESTED3],ROW(H57)),
INDEX(CHMATbl[TOTAL $ REQUESTED4],ROW(H57)))</f>
        <v>0</v>
      </c>
      <c r="L59" s="647">
        <f xml:space="preserve">
SUM(INDEX(CHOORTbl[TOTAL $ REQUESTED],ROW(A57)),
INDEX(CHOORTbl[TOTAL $ REQUESTED2],ROW(A57)),
INDEX(CHOORTbl[TOTAL $ REQUESTED3],ROW(A57)),
INDEX(CHOORTbl[TOTAL $ REQUESTED4],ROW(A57)))</f>
        <v>0</v>
      </c>
      <c r="M59" s="647">
        <f xml:space="preserve">
SUM(INDEX(CHADUtbl[TOTAL $ REQUESTED],ROW(G57)),
INDEX(CHADUtbl[TOTAL $ REQUESTED2],ROW(G57)))</f>
        <v>0</v>
      </c>
      <c r="N59" s="647">
        <f xml:space="preserve">
SUM(INDEX(CHSHTATbl[TOTAL $ REQUESTED],ROW(G57)),
INDEX(CHSHTATbl[TOTAL $ REQUESTED2],ROW(G57)),
INDEX(CHSHTATbl[TOTAL $ REQUESTED3],ROW(G57)),
INDEX(CHSHTATbl[% OF TOTAL2],ROW(G57)))</f>
        <v>0</v>
      </c>
      <c r="O59" s="647">
        <f xml:space="preserve">
SUM(
INDEX(CHSHTbl[NOT LIMITED TO RURAL AREAS],ROW($A57)),
INDEX(CHSHTbl[TO SUPPORT SHARED HOUSING IN RURAL AREAS],ROW($A57)))</f>
        <v>0</v>
      </c>
    </row>
    <row r="60" spans="1:15" s="624" customFormat="1" ht="10.5" thickBot="1" x14ac:dyDescent="0.3">
      <c r="A60" s="648" t="s">
        <v>1918</v>
      </c>
      <c r="B60" s="644">
        <f t="shared" si="0"/>
        <v>0</v>
      </c>
      <c r="C60" s="639" t="str">
        <f>IF(B60&gt;0,"Project # " &amp; SUM(B$3:B60),"")</f>
        <v/>
      </c>
      <c r="D60" s="639" t="str">
        <f t="shared" si="1"/>
        <v/>
      </c>
      <c r="E60" s="649">
        <f xml:space="preserve">
SUM(INDEX(CHMATbl[UNITS],ROW(A58)),
INDEX(CHMATbl[UNITS2],ROW(A58)),
INDEX(CHMATbl[UNITS3],ROW(A58)),
INDEX(CHMATbl[UNITS4],ROW(A58)))</f>
        <v>0</v>
      </c>
      <c r="F60" s="649">
        <f xml:space="preserve">
SUM(INDEX(CHOORTbl[UNITS],ROW(A58)),
INDEX(CHOORTbl[UNITS2],ROW(A58)),
INDEX(CHOORTbl[UNITS3],ROW(A58)),
INDEX(CHOORTbl[UNITS4],ROW(A58)))</f>
        <v>0</v>
      </c>
      <c r="G60" s="649">
        <f xml:space="preserve">
SUM(INDEX(CHADUtbl[UNITS],ROW(A58)),
INDEX(CHADUtbl[UNITS2],ROW(A58)))</f>
        <v>0</v>
      </c>
      <c r="H60" s="649">
        <f xml:space="preserve">
SUM(INDEX(CHSHTATbl[UNITS],ROW(A58)),
INDEX(CHSHTATbl[UNITS2],ROW(A58)),
INDEX(CHSHTATbl[UNITS3],ROW(A58)),
INDEX(CHSHTATbl[UNITS4],ROW(A58)))</f>
        <v>0</v>
      </c>
      <c r="I60" s="649" cm="1">
        <f t="array" ref="I60" xml:space="preserve">
IF(
OR(
INDEX(CHSHTbl[NOT LIMITED TO RURAL AREAS],ROW(A58))&lt;&gt;"",
INDEX(CHSHTbl[TO SUPPORT SHARED HOUSING IN RURAL AREAS],ROW(A58))&lt;&gt;""),1,0)</f>
        <v>0</v>
      </c>
      <c r="K60" s="650">
        <f xml:space="preserve">
SUM(INDEX(CHMATbl[TOTAL $ REQUESTED],ROW(H58)),
INDEX(CHMATbl[TOTAL $ REQUESTED2],ROW(H58)),
INDEX(CHMATbl[TOTAL $ REQUESTED3],ROW(H58)),
INDEX(CHMATbl[TOTAL $ REQUESTED4],ROW(H58)))</f>
        <v>0</v>
      </c>
      <c r="L60" s="650">
        <f xml:space="preserve">
SUM(INDEX(CHOORTbl[TOTAL $ REQUESTED],ROW(A58)),
INDEX(CHOORTbl[TOTAL $ REQUESTED2],ROW(A58)),
INDEX(CHOORTbl[TOTAL $ REQUESTED3],ROW(A58)),
INDEX(CHOORTbl[TOTAL $ REQUESTED4],ROW(A58)))</f>
        <v>0</v>
      </c>
      <c r="M60" s="650">
        <f xml:space="preserve">
SUM(INDEX(CHADUtbl[TOTAL $ REQUESTED],ROW(G58)),
INDEX(CHADUtbl[TOTAL $ REQUESTED2],ROW(G58)))</f>
        <v>0</v>
      </c>
      <c r="N60" s="650">
        <f xml:space="preserve">
SUM(INDEX(CHSHTATbl[TOTAL $ REQUESTED],ROW(G58)),
INDEX(CHSHTATbl[TOTAL $ REQUESTED2],ROW(G58)),
INDEX(CHSHTATbl[TOTAL $ REQUESTED3],ROW(G58)),
INDEX(CHSHTATbl[% OF TOTAL2],ROW(G58)))</f>
        <v>0</v>
      </c>
      <c r="O60" s="650">
        <f xml:space="preserve">
SUM(
INDEX(CHSHTbl[NOT LIMITED TO RURAL AREAS],ROW($A58)),
INDEX(CHSHTbl[TO SUPPORT SHARED HOUSING IN RURAL AREAS],ROW($A58)))</f>
        <v>0</v>
      </c>
    </row>
    <row r="61" spans="1:15" s="624" customFormat="1" ht="10.5" thickBot="1" x14ac:dyDescent="0.3">
      <c r="A61" s="653"/>
      <c r="B61" s="653"/>
      <c r="C61" s="653"/>
      <c r="D61" s="653"/>
      <c r="E61" s="654">
        <f>SUM(E3:E60)</f>
        <v>0</v>
      </c>
      <c r="F61" s="654">
        <f t="shared" ref="F61:I61" si="2">SUM(F3:F60)</f>
        <v>0</v>
      </c>
      <c r="G61" s="654">
        <f t="shared" si="2"/>
        <v>0</v>
      </c>
      <c r="H61" s="654">
        <f t="shared" si="2"/>
        <v>0</v>
      </c>
      <c r="I61" s="654">
        <f t="shared" si="2"/>
        <v>0</v>
      </c>
      <c r="K61" s="655">
        <f>SUM(K3:K60)</f>
        <v>0</v>
      </c>
      <c r="L61" s="655">
        <f t="shared" ref="L61" si="3">SUM(L3:L60)</f>
        <v>0</v>
      </c>
      <c r="M61" s="655">
        <f t="shared" ref="M61" si="4">SUM(M3:M60)</f>
        <v>0</v>
      </c>
      <c r="N61" s="655">
        <f t="shared" ref="N61" si="5">SUM(N3:N60)</f>
        <v>0</v>
      </c>
      <c r="O61" s="655">
        <f t="shared" ref="O61" si="6">SUM(O3:O60)</f>
        <v>0</v>
      </c>
    </row>
    <row r="62" spans="1:15" ht="14.5" customHeight="1" x14ac:dyDescent="0.35">
      <c r="A62" s="651" t="s">
        <v>1618</v>
      </c>
      <c r="B62" s="633"/>
      <c r="C62" s="633"/>
      <c r="D62" s="633"/>
      <c r="E62" s="634"/>
      <c r="F62" s="634"/>
      <c r="G62" s="652"/>
      <c r="H62" s="634"/>
      <c r="I62" s="634"/>
      <c r="J62" s="624"/>
      <c r="K62" s="634"/>
      <c r="L62" s="634"/>
      <c r="M62" s="652"/>
      <c r="N62" s="634"/>
      <c r="O62" s="634"/>
    </row>
    <row r="63" spans="1:15" ht="15" thickBot="1" x14ac:dyDescent="0.4">
      <c r="A63" s="627" t="s">
        <v>108</v>
      </c>
      <c r="B63" s="640"/>
      <c r="C63" s="640"/>
      <c r="D63" s="640"/>
      <c r="E63" s="628" t="s">
        <v>1869</v>
      </c>
      <c r="F63" s="628" t="s">
        <v>1870</v>
      </c>
      <c r="G63" s="628" t="s">
        <v>1873</v>
      </c>
      <c r="H63" s="628" t="s">
        <v>1871</v>
      </c>
      <c r="I63" s="628" t="s">
        <v>1872</v>
      </c>
      <c r="J63" s="624"/>
      <c r="K63" s="628" t="s">
        <v>1869</v>
      </c>
      <c r="L63" s="628" t="s">
        <v>1870</v>
      </c>
      <c r="M63" s="628" t="s">
        <v>1873</v>
      </c>
      <c r="N63" s="628" t="s">
        <v>1871</v>
      </c>
      <c r="O63" s="628" t="s">
        <v>1872</v>
      </c>
    </row>
    <row r="64" spans="1:15" s="624" customFormat="1" ht="10" x14ac:dyDescent="0.25">
      <c r="A64" s="629" t="s">
        <v>1405</v>
      </c>
      <c r="B64" s="637"/>
      <c r="C64" s="637"/>
      <c r="D64" s="637"/>
      <c r="E64" s="630"/>
      <c r="F64" s="630"/>
      <c r="G64" s="630"/>
      <c r="H64" s="630"/>
      <c r="I64" s="630"/>
      <c r="K64" s="630"/>
      <c r="L64" s="630"/>
      <c r="M64" s="630"/>
      <c r="N64" s="630"/>
      <c r="O64" s="630"/>
    </row>
    <row r="65" spans="1:15" s="624" customFormat="1" ht="10" x14ac:dyDescent="0.25">
      <c r="A65" s="622" t="s">
        <v>1406</v>
      </c>
      <c r="B65" s="638"/>
      <c r="C65" s="638"/>
      <c r="D65" s="638"/>
      <c r="E65" s="623"/>
      <c r="F65" s="623"/>
      <c r="G65" s="623"/>
      <c r="H65" s="623"/>
      <c r="I65" s="623"/>
      <c r="K65" s="623"/>
      <c r="L65" s="623"/>
      <c r="M65" s="623"/>
      <c r="N65" s="623"/>
      <c r="O65" s="623"/>
    </row>
    <row r="66" spans="1:15" s="624" customFormat="1" ht="10" x14ac:dyDescent="0.25">
      <c r="A66" s="622" t="s">
        <v>1407</v>
      </c>
      <c r="B66" s="638"/>
      <c r="C66" s="638"/>
      <c r="D66" s="638"/>
      <c r="E66" s="623"/>
      <c r="F66" s="623"/>
      <c r="G66" s="623"/>
      <c r="H66" s="623"/>
      <c r="I66" s="623"/>
      <c r="K66" s="623"/>
      <c r="L66" s="623"/>
      <c r="M66" s="623"/>
      <c r="N66" s="623"/>
      <c r="O66" s="623"/>
    </row>
    <row r="67" spans="1:15" s="624" customFormat="1" ht="10" x14ac:dyDescent="0.25">
      <c r="A67" s="622" t="s">
        <v>1408</v>
      </c>
      <c r="B67" s="638"/>
      <c r="C67" s="638"/>
      <c r="D67" s="638"/>
      <c r="E67" s="623"/>
      <c r="F67" s="623"/>
      <c r="G67" s="623"/>
      <c r="H67" s="623"/>
      <c r="I67" s="623"/>
      <c r="K67" s="623"/>
      <c r="L67" s="623"/>
      <c r="M67" s="623"/>
      <c r="N67" s="623"/>
      <c r="O67" s="623"/>
    </row>
    <row r="68" spans="1:15" s="624" customFormat="1" ht="10" x14ac:dyDescent="0.25">
      <c r="A68" s="622" t="s">
        <v>1409</v>
      </c>
      <c r="B68" s="638"/>
      <c r="C68" s="638"/>
      <c r="D68" s="638"/>
      <c r="E68" s="623"/>
      <c r="F68" s="623"/>
      <c r="G68" s="623"/>
      <c r="H68" s="623"/>
      <c r="I68" s="623"/>
      <c r="K68" s="623"/>
      <c r="L68" s="623"/>
      <c r="M68" s="623"/>
      <c r="N68" s="623"/>
      <c r="O68" s="623"/>
    </row>
    <row r="69" spans="1:15" s="624" customFormat="1" ht="10" x14ac:dyDescent="0.25">
      <c r="A69" s="622" t="s">
        <v>1410</v>
      </c>
      <c r="B69" s="638"/>
      <c r="C69" s="638"/>
      <c r="D69" s="638"/>
      <c r="E69" s="623"/>
      <c r="F69" s="623"/>
      <c r="G69" s="623"/>
      <c r="H69" s="623"/>
      <c r="I69" s="623"/>
      <c r="K69" s="623"/>
      <c r="L69" s="623"/>
      <c r="M69" s="623"/>
      <c r="N69" s="623"/>
      <c r="O69" s="623"/>
    </row>
    <row r="70" spans="1:15" s="624" customFormat="1" ht="10" x14ac:dyDescent="0.25">
      <c r="A70" s="622" t="s">
        <v>1411</v>
      </c>
      <c r="B70" s="638"/>
      <c r="C70" s="638"/>
      <c r="D70" s="638"/>
      <c r="E70" s="623"/>
      <c r="F70" s="623"/>
      <c r="G70" s="623"/>
      <c r="H70" s="623"/>
      <c r="I70" s="623"/>
      <c r="K70" s="623"/>
      <c r="L70" s="623"/>
      <c r="M70" s="623"/>
      <c r="N70" s="623"/>
      <c r="O70" s="623"/>
    </row>
    <row r="71" spans="1:15" s="624" customFormat="1" ht="10" x14ac:dyDescent="0.25">
      <c r="A71" s="622" t="s">
        <v>1412</v>
      </c>
      <c r="B71" s="638"/>
      <c r="C71" s="638"/>
      <c r="D71" s="638"/>
      <c r="E71" s="623"/>
      <c r="F71" s="623"/>
      <c r="G71" s="623"/>
      <c r="H71" s="623"/>
      <c r="I71" s="623"/>
      <c r="K71" s="623"/>
      <c r="L71" s="623"/>
      <c r="M71" s="623"/>
      <c r="N71" s="623"/>
      <c r="O71" s="623"/>
    </row>
    <row r="72" spans="1:15" s="624" customFormat="1" ht="10" x14ac:dyDescent="0.25">
      <c r="A72" s="622" t="s">
        <v>1413</v>
      </c>
      <c r="B72" s="638"/>
      <c r="C72" s="638"/>
      <c r="D72" s="638"/>
      <c r="E72" s="623"/>
      <c r="F72" s="623"/>
      <c r="G72" s="623"/>
      <c r="H72" s="623"/>
      <c r="I72" s="623"/>
      <c r="K72" s="623"/>
      <c r="L72" s="623"/>
      <c r="M72" s="623"/>
      <c r="N72" s="623"/>
      <c r="O72" s="623"/>
    </row>
    <row r="73" spans="1:15" s="624" customFormat="1" ht="10" x14ac:dyDescent="0.25">
      <c r="A73" s="622" t="s">
        <v>1414</v>
      </c>
      <c r="B73" s="638"/>
      <c r="C73" s="638"/>
      <c r="D73" s="638"/>
      <c r="E73" s="623"/>
      <c r="F73" s="623"/>
      <c r="G73" s="623"/>
      <c r="H73" s="623"/>
      <c r="I73" s="623"/>
      <c r="K73" s="623"/>
      <c r="L73" s="623"/>
      <c r="M73" s="623"/>
      <c r="N73" s="623"/>
      <c r="O73" s="623"/>
    </row>
    <row r="74" spans="1:15" s="624" customFormat="1" ht="10" x14ac:dyDescent="0.25">
      <c r="A74" s="622" t="s">
        <v>1415</v>
      </c>
      <c r="B74" s="638"/>
      <c r="C74" s="638"/>
      <c r="D74" s="638"/>
      <c r="E74" s="623"/>
      <c r="F74" s="623"/>
      <c r="G74" s="623"/>
      <c r="H74" s="623"/>
      <c r="I74" s="623"/>
      <c r="K74" s="623"/>
      <c r="L74" s="623"/>
      <c r="M74" s="623"/>
      <c r="N74" s="623"/>
      <c r="O74" s="623"/>
    </row>
    <row r="75" spans="1:15" s="624" customFormat="1" ht="10" x14ac:dyDescent="0.25">
      <c r="A75" s="622" t="s">
        <v>1416</v>
      </c>
      <c r="B75" s="638"/>
      <c r="C75" s="638"/>
      <c r="D75" s="638"/>
      <c r="E75" s="623"/>
      <c r="F75" s="623"/>
      <c r="G75" s="623"/>
      <c r="H75" s="623"/>
      <c r="I75" s="623"/>
      <c r="K75" s="623"/>
      <c r="L75" s="623"/>
      <c r="M75" s="623"/>
      <c r="N75" s="623"/>
      <c r="O75" s="623"/>
    </row>
    <row r="76" spans="1:15" s="624" customFormat="1" ht="10" x14ac:dyDescent="0.25">
      <c r="A76" s="622" t="s">
        <v>1417</v>
      </c>
      <c r="B76" s="638"/>
      <c r="C76" s="638"/>
      <c r="D76" s="638"/>
      <c r="E76" s="623"/>
      <c r="F76" s="623"/>
      <c r="G76" s="623"/>
      <c r="H76" s="623"/>
      <c r="I76" s="623"/>
      <c r="K76" s="623"/>
      <c r="L76" s="623"/>
      <c r="M76" s="623"/>
      <c r="N76" s="623"/>
      <c r="O76" s="623"/>
    </row>
    <row r="77" spans="1:15" s="624" customFormat="1" ht="10" x14ac:dyDescent="0.25">
      <c r="A77" s="622" t="s">
        <v>1418</v>
      </c>
      <c r="B77" s="638"/>
      <c r="C77" s="638"/>
      <c r="D77" s="638"/>
      <c r="E77" s="623"/>
      <c r="F77" s="623"/>
      <c r="G77" s="623"/>
      <c r="H77" s="623"/>
      <c r="I77" s="623"/>
      <c r="K77" s="623"/>
      <c r="L77" s="623"/>
      <c r="M77" s="623"/>
      <c r="N77" s="623"/>
      <c r="O77" s="623"/>
    </row>
    <row r="78" spans="1:15" s="624" customFormat="1" ht="10" x14ac:dyDescent="0.25">
      <c r="A78" s="622" t="s">
        <v>1419</v>
      </c>
      <c r="B78" s="638"/>
      <c r="C78" s="638"/>
      <c r="D78" s="638"/>
      <c r="E78" s="623"/>
      <c r="F78" s="623"/>
      <c r="G78" s="623"/>
      <c r="H78" s="623"/>
      <c r="I78" s="623"/>
      <c r="K78" s="623"/>
      <c r="L78" s="623"/>
      <c r="M78" s="623"/>
      <c r="N78" s="623"/>
      <c r="O78" s="623"/>
    </row>
    <row r="79" spans="1:15" s="624" customFormat="1" ht="10" x14ac:dyDescent="0.25">
      <c r="A79" s="622" t="s">
        <v>1420</v>
      </c>
      <c r="B79" s="638"/>
      <c r="C79" s="638"/>
      <c r="D79" s="638"/>
      <c r="E79" s="623"/>
      <c r="F79" s="623"/>
      <c r="G79" s="623"/>
      <c r="H79" s="623"/>
      <c r="I79" s="623"/>
      <c r="K79" s="623"/>
      <c r="L79" s="623"/>
      <c r="M79" s="623"/>
      <c r="N79" s="623"/>
      <c r="O79" s="623"/>
    </row>
    <row r="80" spans="1:15" s="624" customFormat="1" ht="10" x14ac:dyDescent="0.25">
      <c r="A80" s="622" t="s">
        <v>1421</v>
      </c>
      <c r="B80" s="638"/>
      <c r="C80" s="638"/>
      <c r="D80" s="638"/>
      <c r="E80" s="623"/>
      <c r="F80" s="623"/>
      <c r="G80" s="623"/>
      <c r="H80" s="623"/>
      <c r="I80" s="623"/>
      <c r="K80" s="623"/>
      <c r="L80" s="623"/>
      <c r="M80" s="623"/>
      <c r="N80" s="623"/>
      <c r="O80" s="623"/>
    </row>
    <row r="81" spans="1:15" s="624" customFormat="1" ht="10" x14ac:dyDescent="0.25">
      <c r="A81" s="622" t="s">
        <v>1422</v>
      </c>
      <c r="B81" s="638"/>
      <c r="C81" s="638"/>
      <c r="D81" s="638"/>
      <c r="E81" s="623"/>
      <c r="F81" s="623"/>
      <c r="G81" s="623"/>
      <c r="H81" s="623"/>
      <c r="I81" s="623"/>
      <c r="K81" s="623"/>
      <c r="L81" s="623"/>
      <c r="M81" s="623"/>
      <c r="N81" s="623"/>
      <c r="O81" s="623"/>
    </row>
    <row r="82" spans="1:15" s="624" customFormat="1" ht="10" x14ac:dyDescent="0.25">
      <c r="A82" s="622" t="s">
        <v>1423</v>
      </c>
      <c r="B82" s="638"/>
      <c r="C82" s="638"/>
      <c r="D82" s="638"/>
      <c r="E82" s="623"/>
      <c r="F82" s="623"/>
      <c r="G82" s="623"/>
      <c r="H82" s="623"/>
      <c r="I82" s="623"/>
      <c r="K82" s="623"/>
      <c r="L82" s="623"/>
      <c r="M82" s="623"/>
      <c r="N82" s="623"/>
      <c r="O82" s="623"/>
    </row>
    <row r="83" spans="1:15" s="624" customFormat="1" ht="10" x14ac:dyDescent="0.25">
      <c r="A83" s="622" t="s">
        <v>1424</v>
      </c>
      <c r="B83" s="638"/>
      <c r="C83" s="638"/>
      <c r="D83" s="638"/>
      <c r="E83" s="623"/>
      <c r="F83" s="623"/>
      <c r="G83" s="623"/>
      <c r="H83" s="623"/>
      <c r="I83" s="623"/>
      <c r="K83" s="623"/>
      <c r="L83" s="623"/>
      <c r="M83" s="623"/>
      <c r="N83" s="623"/>
      <c r="O83" s="623"/>
    </row>
    <row r="84" spans="1:15" s="624" customFormat="1" ht="10" x14ac:dyDescent="0.25">
      <c r="A84" s="622" t="s">
        <v>1425</v>
      </c>
      <c r="B84" s="638"/>
      <c r="C84" s="638"/>
      <c r="D84" s="638"/>
      <c r="E84" s="623"/>
      <c r="F84" s="623"/>
      <c r="G84" s="623"/>
      <c r="H84" s="623"/>
      <c r="I84" s="623"/>
      <c r="K84" s="623"/>
      <c r="L84" s="623"/>
      <c r="M84" s="623"/>
      <c r="N84" s="623"/>
      <c r="O84" s="623"/>
    </row>
    <row r="85" spans="1:15" s="624" customFormat="1" ht="10" x14ac:dyDescent="0.25">
      <c r="A85" s="622" t="s">
        <v>1426</v>
      </c>
      <c r="B85" s="638"/>
      <c r="C85" s="638"/>
      <c r="D85" s="638"/>
      <c r="E85" s="623"/>
      <c r="F85" s="623"/>
      <c r="G85" s="623"/>
      <c r="H85" s="623"/>
      <c r="I85" s="623"/>
      <c r="K85" s="623"/>
      <c r="L85" s="623"/>
      <c r="M85" s="623"/>
      <c r="N85" s="623"/>
      <c r="O85" s="623"/>
    </row>
    <row r="86" spans="1:15" s="624" customFormat="1" ht="10" x14ac:dyDescent="0.25">
      <c r="A86" s="622" t="s">
        <v>1427</v>
      </c>
      <c r="B86" s="638"/>
      <c r="C86" s="638"/>
      <c r="D86" s="638"/>
      <c r="E86" s="623"/>
      <c r="F86" s="623"/>
      <c r="G86" s="623"/>
      <c r="H86" s="623"/>
      <c r="I86" s="623"/>
      <c r="K86" s="623"/>
      <c r="L86" s="623"/>
      <c r="M86" s="623"/>
      <c r="N86" s="623"/>
      <c r="O86" s="623"/>
    </row>
    <row r="87" spans="1:15" s="624" customFormat="1" ht="10" x14ac:dyDescent="0.25">
      <c r="A87" s="622" t="s">
        <v>1428</v>
      </c>
      <c r="B87" s="638"/>
      <c r="C87" s="638"/>
      <c r="D87" s="638"/>
      <c r="E87" s="623"/>
      <c r="F87" s="623"/>
      <c r="G87" s="623"/>
      <c r="H87" s="623"/>
      <c r="I87" s="623"/>
      <c r="K87" s="623"/>
      <c r="L87" s="623"/>
      <c r="M87" s="623"/>
      <c r="N87" s="623"/>
      <c r="O87" s="623"/>
    </row>
    <row r="88" spans="1:15" s="624" customFormat="1" ht="10" x14ac:dyDescent="0.25">
      <c r="A88" s="622" t="s">
        <v>1429</v>
      </c>
      <c r="B88" s="638"/>
      <c r="C88" s="638"/>
      <c r="D88" s="638"/>
      <c r="E88" s="623"/>
      <c r="F88" s="623"/>
      <c r="G88" s="623"/>
      <c r="H88" s="623"/>
      <c r="I88" s="623"/>
      <c r="K88" s="623"/>
      <c r="L88" s="623"/>
      <c r="M88" s="623"/>
      <c r="N88" s="623"/>
      <c r="O88" s="623"/>
    </row>
    <row r="89" spans="1:15" s="624" customFormat="1" ht="10" x14ac:dyDescent="0.25">
      <c r="A89" s="622" t="s">
        <v>1430</v>
      </c>
      <c r="B89" s="638"/>
      <c r="C89" s="638"/>
      <c r="D89" s="638"/>
      <c r="E89" s="623"/>
      <c r="F89" s="623"/>
      <c r="G89" s="623"/>
      <c r="H89" s="623"/>
      <c r="I89" s="623"/>
      <c r="K89" s="623"/>
      <c r="L89" s="623"/>
      <c r="M89" s="623"/>
      <c r="N89" s="623"/>
      <c r="O89" s="623"/>
    </row>
    <row r="90" spans="1:15" s="624" customFormat="1" ht="10" x14ac:dyDescent="0.25">
      <c r="A90" s="622" t="s">
        <v>1431</v>
      </c>
      <c r="B90" s="638"/>
      <c r="C90" s="638"/>
      <c r="D90" s="638"/>
      <c r="E90" s="623"/>
      <c r="F90" s="623"/>
      <c r="G90" s="623"/>
      <c r="H90" s="623"/>
      <c r="I90" s="623"/>
      <c r="K90" s="623"/>
      <c r="L90" s="623"/>
      <c r="M90" s="623"/>
      <c r="N90" s="623"/>
      <c r="O90" s="623"/>
    </row>
    <row r="91" spans="1:15" s="624" customFormat="1" ht="10" x14ac:dyDescent="0.25">
      <c r="A91" s="622" t="s">
        <v>1432</v>
      </c>
      <c r="B91" s="638"/>
      <c r="C91" s="638"/>
      <c r="D91" s="638"/>
      <c r="E91" s="623"/>
      <c r="F91" s="623"/>
      <c r="G91" s="623"/>
      <c r="H91" s="623"/>
      <c r="I91" s="623"/>
      <c r="K91" s="623"/>
      <c r="L91" s="623"/>
      <c r="M91" s="623"/>
      <c r="N91" s="623"/>
      <c r="O91" s="623"/>
    </row>
    <row r="92" spans="1:15" s="624" customFormat="1" ht="10" x14ac:dyDescent="0.25">
      <c r="A92" s="622" t="s">
        <v>1433</v>
      </c>
      <c r="B92" s="638"/>
      <c r="C92" s="638"/>
      <c r="D92" s="638"/>
      <c r="E92" s="623"/>
      <c r="F92" s="623"/>
      <c r="G92" s="623"/>
      <c r="H92" s="623"/>
      <c r="I92" s="623"/>
      <c r="K92" s="623"/>
      <c r="L92" s="623"/>
      <c r="M92" s="623"/>
      <c r="N92" s="623"/>
      <c r="O92" s="623"/>
    </row>
    <row r="93" spans="1:15" s="624" customFormat="1" ht="10" x14ac:dyDescent="0.25">
      <c r="A93" s="622" t="s">
        <v>1434</v>
      </c>
      <c r="B93" s="638"/>
      <c r="C93" s="638"/>
      <c r="D93" s="638"/>
      <c r="E93" s="623"/>
      <c r="F93" s="623"/>
      <c r="G93" s="623"/>
      <c r="H93" s="623"/>
      <c r="I93" s="623"/>
      <c r="K93" s="623"/>
      <c r="L93" s="623"/>
      <c r="M93" s="623"/>
      <c r="N93" s="623"/>
      <c r="O93" s="623"/>
    </row>
    <row r="94" spans="1:15" s="624" customFormat="1" ht="10" x14ac:dyDescent="0.25">
      <c r="A94" s="622" t="s">
        <v>1435</v>
      </c>
      <c r="B94" s="638"/>
      <c r="C94" s="638"/>
      <c r="D94" s="638"/>
      <c r="E94" s="623"/>
      <c r="F94" s="623"/>
      <c r="G94" s="623"/>
      <c r="H94" s="623"/>
      <c r="I94" s="623"/>
      <c r="K94" s="623"/>
      <c r="L94" s="623"/>
      <c r="M94" s="623"/>
      <c r="N94" s="623"/>
      <c r="O94" s="623"/>
    </row>
    <row r="95" spans="1:15" s="624" customFormat="1" ht="10" x14ac:dyDescent="0.25">
      <c r="A95" s="622" t="s">
        <v>1436</v>
      </c>
      <c r="B95" s="638"/>
      <c r="C95" s="638"/>
      <c r="D95" s="638"/>
      <c r="E95" s="623"/>
      <c r="F95" s="623"/>
      <c r="G95" s="623"/>
      <c r="H95" s="623"/>
      <c r="I95" s="623"/>
      <c r="K95" s="623"/>
      <c r="L95" s="623"/>
      <c r="M95" s="623"/>
      <c r="N95" s="623"/>
      <c r="O95" s="623"/>
    </row>
    <row r="96" spans="1:15" s="624" customFormat="1" ht="10" x14ac:dyDescent="0.25">
      <c r="A96" s="622" t="s">
        <v>1437</v>
      </c>
      <c r="B96" s="638"/>
      <c r="C96" s="638"/>
      <c r="D96" s="638"/>
      <c r="E96" s="623"/>
      <c r="F96" s="623"/>
      <c r="G96" s="623"/>
      <c r="H96" s="623"/>
      <c r="I96" s="623"/>
      <c r="K96" s="623"/>
      <c r="L96" s="623"/>
      <c r="M96" s="623"/>
      <c r="N96" s="623"/>
      <c r="O96" s="623"/>
    </row>
    <row r="97" spans="1:15" s="624" customFormat="1" ht="10" x14ac:dyDescent="0.25">
      <c r="A97" s="622" t="s">
        <v>1438</v>
      </c>
      <c r="B97" s="638"/>
      <c r="C97" s="638"/>
      <c r="D97" s="638"/>
      <c r="E97" s="623"/>
      <c r="F97" s="623"/>
      <c r="G97" s="623"/>
      <c r="H97" s="623"/>
      <c r="I97" s="623"/>
      <c r="K97" s="623"/>
      <c r="L97" s="623"/>
      <c r="M97" s="623"/>
      <c r="N97" s="623"/>
      <c r="O97" s="623"/>
    </row>
    <row r="98" spans="1:15" s="624" customFormat="1" ht="10" x14ac:dyDescent="0.25">
      <c r="A98" s="622" t="s">
        <v>1439</v>
      </c>
      <c r="B98" s="638"/>
      <c r="C98" s="638"/>
      <c r="D98" s="638"/>
      <c r="E98" s="623"/>
      <c r="F98" s="623"/>
      <c r="G98" s="623"/>
      <c r="H98" s="623"/>
      <c r="I98" s="623"/>
      <c r="K98" s="623"/>
      <c r="L98" s="623"/>
      <c r="M98" s="623"/>
      <c r="N98" s="623"/>
      <c r="O98" s="623"/>
    </row>
    <row r="99" spans="1:15" s="624" customFormat="1" ht="10" x14ac:dyDescent="0.25">
      <c r="A99" s="622" t="s">
        <v>1440</v>
      </c>
      <c r="B99" s="638"/>
      <c r="C99" s="638"/>
      <c r="D99" s="638"/>
      <c r="E99" s="623"/>
      <c r="F99" s="623"/>
      <c r="G99" s="623"/>
      <c r="H99" s="623"/>
      <c r="I99" s="623"/>
      <c r="K99" s="623"/>
      <c r="L99" s="623"/>
      <c r="M99" s="623"/>
      <c r="N99" s="623"/>
      <c r="O99" s="623"/>
    </row>
    <row r="100" spans="1:15" s="624" customFormat="1" ht="10" x14ac:dyDescent="0.25">
      <c r="A100" s="622" t="s">
        <v>1441</v>
      </c>
      <c r="B100" s="638"/>
      <c r="C100" s="638"/>
      <c r="D100" s="638"/>
      <c r="E100" s="623"/>
      <c r="F100" s="623"/>
      <c r="G100" s="623"/>
      <c r="H100" s="623"/>
      <c r="I100" s="623"/>
      <c r="K100" s="623"/>
      <c r="L100" s="623"/>
      <c r="M100" s="623"/>
      <c r="N100" s="623"/>
      <c r="O100" s="623"/>
    </row>
    <row r="101" spans="1:15" s="624" customFormat="1" ht="10" x14ac:dyDescent="0.25">
      <c r="A101" s="622" t="s">
        <v>152</v>
      </c>
      <c r="B101" s="638"/>
      <c r="C101" s="638"/>
      <c r="D101" s="638"/>
      <c r="E101" s="623"/>
      <c r="F101" s="623"/>
      <c r="G101" s="623"/>
      <c r="H101" s="623"/>
      <c r="I101" s="623"/>
      <c r="K101" s="623"/>
      <c r="L101" s="623"/>
      <c r="M101" s="623"/>
      <c r="N101" s="623"/>
      <c r="O101" s="623"/>
    </row>
    <row r="102" spans="1:15" s="624" customFormat="1" ht="10" x14ac:dyDescent="0.25">
      <c r="A102" s="622" t="s">
        <v>1442</v>
      </c>
      <c r="B102" s="638"/>
      <c r="C102" s="638"/>
      <c r="D102" s="638"/>
      <c r="E102" s="623"/>
      <c r="F102" s="623"/>
      <c r="G102" s="623"/>
      <c r="H102" s="623"/>
      <c r="I102" s="623"/>
      <c r="K102" s="623"/>
      <c r="L102" s="623"/>
      <c r="M102" s="623"/>
      <c r="N102" s="623"/>
      <c r="O102" s="623"/>
    </row>
    <row r="103" spans="1:15" s="624" customFormat="1" ht="10" x14ac:dyDescent="0.25">
      <c r="A103" s="622" t="s">
        <v>1443</v>
      </c>
      <c r="B103" s="638"/>
      <c r="C103" s="638"/>
      <c r="D103" s="638"/>
      <c r="E103" s="623"/>
      <c r="F103" s="623"/>
      <c r="G103" s="623"/>
      <c r="H103" s="623"/>
      <c r="I103" s="623"/>
      <c r="K103" s="623"/>
      <c r="L103" s="623"/>
      <c r="M103" s="623"/>
      <c r="N103" s="623"/>
      <c r="O103" s="623"/>
    </row>
    <row r="104" spans="1:15" s="624" customFormat="1" ht="10" x14ac:dyDescent="0.25">
      <c r="A104" s="622" t="s">
        <v>1444</v>
      </c>
      <c r="B104" s="638"/>
      <c r="C104" s="638"/>
      <c r="D104" s="638"/>
      <c r="E104" s="623"/>
      <c r="F104" s="623"/>
      <c r="G104" s="623"/>
      <c r="H104" s="623"/>
      <c r="I104" s="623"/>
      <c r="K104" s="623"/>
      <c r="L104" s="623"/>
      <c r="M104" s="623"/>
      <c r="N104" s="623"/>
      <c r="O104" s="623"/>
    </row>
    <row r="105" spans="1:15" s="624" customFormat="1" ht="10" x14ac:dyDescent="0.25">
      <c r="A105" s="622" t="s">
        <v>1445</v>
      </c>
      <c r="B105" s="638"/>
      <c r="C105" s="638"/>
      <c r="D105" s="638"/>
      <c r="E105" s="623"/>
      <c r="F105" s="623"/>
      <c r="G105" s="623"/>
      <c r="H105" s="623"/>
      <c r="I105" s="623"/>
      <c r="K105" s="623"/>
      <c r="L105" s="623"/>
      <c r="M105" s="623"/>
      <c r="N105" s="623"/>
      <c r="O105" s="623"/>
    </row>
    <row r="106" spans="1:15" s="624" customFormat="1" ht="10" x14ac:dyDescent="0.25">
      <c r="A106" s="622" t="s">
        <v>1446</v>
      </c>
      <c r="B106" s="638"/>
      <c r="C106" s="638"/>
      <c r="D106" s="638"/>
      <c r="E106" s="623"/>
      <c r="F106" s="623"/>
      <c r="G106" s="623"/>
      <c r="H106" s="623"/>
      <c r="I106" s="623"/>
      <c r="K106" s="623"/>
      <c r="L106" s="623"/>
      <c r="M106" s="623"/>
      <c r="N106" s="623"/>
      <c r="O106" s="623"/>
    </row>
    <row r="107" spans="1:15" s="624" customFormat="1" ht="10" x14ac:dyDescent="0.25">
      <c r="A107" s="622" t="s">
        <v>1447</v>
      </c>
      <c r="B107" s="638"/>
      <c r="C107" s="638"/>
      <c r="D107" s="638"/>
      <c r="E107" s="623"/>
      <c r="F107" s="623"/>
      <c r="G107" s="623"/>
      <c r="H107" s="623"/>
      <c r="I107" s="623"/>
      <c r="K107" s="623"/>
      <c r="L107" s="623"/>
      <c r="M107" s="623"/>
      <c r="N107" s="623"/>
      <c r="O107" s="623"/>
    </row>
    <row r="108" spans="1:15" s="624" customFormat="1" ht="10" x14ac:dyDescent="0.25">
      <c r="A108" s="622" t="s">
        <v>1448</v>
      </c>
      <c r="B108" s="638"/>
      <c r="C108" s="638"/>
      <c r="D108" s="638"/>
      <c r="E108" s="623"/>
      <c r="F108" s="623"/>
      <c r="G108" s="623"/>
      <c r="H108" s="623"/>
      <c r="I108" s="623"/>
      <c r="K108" s="623"/>
      <c r="L108" s="623"/>
      <c r="M108" s="623"/>
      <c r="N108" s="623"/>
      <c r="O108" s="623"/>
    </row>
    <row r="109" spans="1:15" s="624" customFormat="1" ht="10" x14ac:dyDescent="0.25">
      <c r="A109" s="622" t="s">
        <v>1449</v>
      </c>
      <c r="B109" s="638"/>
      <c r="C109" s="638"/>
      <c r="D109" s="638"/>
      <c r="E109" s="623"/>
      <c r="F109" s="623"/>
      <c r="G109" s="623"/>
      <c r="H109" s="623"/>
      <c r="I109" s="623"/>
      <c r="K109" s="623"/>
      <c r="L109" s="623"/>
      <c r="M109" s="623"/>
      <c r="N109" s="623"/>
      <c r="O109" s="623"/>
    </row>
    <row r="110" spans="1:15" s="624" customFormat="1" ht="10" x14ac:dyDescent="0.25">
      <c r="A110" s="622" t="s">
        <v>1450</v>
      </c>
      <c r="B110" s="638"/>
      <c r="C110" s="638"/>
      <c r="D110" s="638"/>
      <c r="E110" s="623"/>
      <c r="F110" s="623"/>
      <c r="G110" s="623"/>
      <c r="H110" s="623"/>
      <c r="I110" s="623"/>
      <c r="K110" s="623"/>
      <c r="L110" s="623"/>
      <c r="M110" s="623"/>
      <c r="N110" s="623"/>
      <c r="O110" s="623"/>
    </row>
    <row r="111" spans="1:15" s="624" customFormat="1" ht="10" x14ac:dyDescent="0.25">
      <c r="A111" s="622" t="s">
        <v>1451</v>
      </c>
      <c r="B111" s="638"/>
      <c r="C111" s="638"/>
      <c r="D111" s="638"/>
      <c r="E111" s="623"/>
      <c r="F111" s="623"/>
      <c r="G111" s="623"/>
      <c r="H111" s="623"/>
      <c r="I111" s="623"/>
      <c r="K111" s="623"/>
      <c r="L111" s="623"/>
      <c r="M111" s="623"/>
      <c r="N111" s="623"/>
      <c r="O111" s="623"/>
    </row>
    <row r="112" spans="1:15" s="624" customFormat="1" ht="10" x14ac:dyDescent="0.25">
      <c r="A112" s="622" t="s">
        <v>1452</v>
      </c>
      <c r="B112" s="638"/>
      <c r="C112" s="638"/>
      <c r="D112" s="638"/>
      <c r="E112" s="623"/>
      <c r="F112" s="623"/>
      <c r="G112" s="623"/>
      <c r="H112" s="623"/>
      <c r="I112" s="623"/>
      <c r="K112" s="623"/>
      <c r="L112" s="623"/>
      <c r="M112" s="623"/>
      <c r="N112" s="623"/>
      <c r="O112" s="623"/>
    </row>
    <row r="113" spans="1:15" s="624" customFormat="1" ht="10" x14ac:dyDescent="0.25">
      <c r="A113" s="622" t="s">
        <v>1453</v>
      </c>
      <c r="B113" s="638"/>
      <c r="C113" s="638"/>
      <c r="D113" s="638"/>
      <c r="E113" s="623"/>
      <c r="F113" s="623"/>
      <c r="G113" s="623"/>
      <c r="H113" s="623"/>
      <c r="I113" s="623"/>
      <c r="K113" s="623"/>
      <c r="L113" s="623"/>
      <c r="M113" s="623"/>
      <c r="N113" s="623"/>
      <c r="O113" s="623"/>
    </row>
    <row r="114" spans="1:15" s="624" customFormat="1" ht="10" x14ac:dyDescent="0.25">
      <c r="A114" s="622" t="s">
        <v>1454</v>
      </c>
      <c r="B114" s="638"/>
      <c r="C114" s="638"/>
      <c r="D114" s="638"/>
      <c r="E114" s="623"/>
      <c r="F114" s="623"/>
      <c r="G114" s="623"/>
      <c r="H114" s="623"/>
      <c r="I114" s="623"/>
      <c r="K114" s="623"/>
      <c r="L114" s="623"/>
      <c r="M114" s="623"/>
      <c r="N114" s="623"/>
      <c r="O114" s="623"/>
    </row>
    <row r="115" spans="1:15" s="624" customFormat="1" ht="10" x14ac:dyDescent="0.25">
      <c r="A115" s="622" t="s">
        <v>1455</v>
      </c>
      <c r="B115" s="638"/>
      <c r="C115" s="638"/>
      <c r="D115" s="638"/>
      <c r="E115" s="623"/>
      <c r="F115" s="623"/>
      <c r="G115" s="623"/>
      <c r="H115" s="623"/>
      <c r="I115" s="623"/>
      <c r="K115" s="623"/>
      <c r="L115" s="623"/>
      <c r="M115" s="623"/>
      <c r="N115" s="623"/>
      <c r="O115" s="623"/>
    </row>
    <row r="116" spans="1:15" s="624" customFormat="1" ht="10" x14ac:dyDescent="0.25">
      <c r="A116" s="622" t="s">
        <v>1456</v>
      </c>
      <c r="B116" s="638"/>
      <c r="C116" s="638"/>
      <c r="D116" s="638"/>
      <c r="E116" s="623"/>
      <c r="F116" s="623"/>
      <c r="G116" s="623"/>
      <c r="H116" s="623"/>
      <c r="I116" s="623"/>
      <c r="K116" s="623"/>
      <c r="L116" s="623"/>
      <c r="M116" s="623"/>
      <c r="N116" s="623"/>
      <c r="O116" s="623"/>
    </row>
    <row r="117" spans="1:15" s="624" customFormat="1" ht="10" x14ac:dyDescent="0.25">
      <c r="A117" s="622" t="s">
        <v>1457</v>
      </c>
      <c r="B117" s="638"/>
      <c r="C117" s="638"/>
      <c r="D117" s="638"/>
      <c r="E117" s="623"/>
      <c r="F117" s="623"/>
      <c r="G117" s="623"/>
      <c r="H117" s="623"/>
      <c r="I117" s="623"/>
      <c r="K117" s="623"/>
      <c r="L117" s="623"/>
      <c r="M117" s="623"/>
      <c r="N117" s="623"/>
      <c r="O117" s="623"/>
    </row>
    <row r="118" spans="1:15" s="624" customFormat="1" ht="10" x14ac:dyDescent="0.25">
      <c r="A118" s="622" t="s">
        <v>1458</v>
      </c>
      <c r="B118" s="638"/>
      <c r="C118" s="638"/>
      <c r="D118" s="638"/>
      <c r="E118" s="623"/>
      <c r="F118" s="623"/>
      <c r="G118" s="623"/>
      <c r="H118" s="623"/>
      <c r="I118" s="623"/>
      <c r="K118" s="623"/>
      <c r="L118" s="623"/>
      <c r="M118" s="623"/>
      <c r="N118" s="623"/>
      <c r="O118" s="623"/>
    </row>
    <row r="119" spans="1:15" s="624" customFormat="1" ht="10" x14ac:dyDescent="0.25">
      <c r="A119" s="622" t="s">
        <v>1459</v>
      </c>
      <c r="B119" s="638"/>
      <c r="C119" s="638"/>
      <c r="D119" s="638"/>
      <c r="E119" s="623"/>
      <c r="F119" s="623"/>
      <c r="G119" s="623"/>
      <c r="H119" s="623"/>
      <c r="I119" s="623"/>
      <c r="K119" s="623"/>
      <c r="L119" s="623"/>
      <c r="M119" s="623"/>
      <c r="N119" s="623"/>
      <c r="O119" s="623"/>
    </row>
    <row r="120" spans="1:15" s="624" customFormat="1" ht="10" x14ac:dyDescent="0.25">
      <c r="A120" s="622" t="s">
        <v>1460</v>
      </c>
      <c r="B120" s="638"/>
      <c r="C120" s="638"/>
      <c r="D120" s="638"/>
      <c r="E120" s="623"/>
      <c r="F120" s="623"/>
      <c r="G120" s="623"/>
      <c r="H120" s="623"/>
      <c r="I120" s="623"/>
      <c r="K120" s="623"/>
      <c r="L120" s="623"/>
      <c r="M120" s="623"/>
      <c r="N120" s="623"/>
      <c r="O120" s="623"/>
    </row>
    <row r="121" spans="1:15" s="624" customFormat="1" ht="10.5" thickBot="1" x14ac:dyDescent="0.3">
      <c r="A121" s="625" t="s">
        <v>1461</v>
      </c>
      <c r="B121" s="641"/>
      <c r="C121" s="641"/>
      <c r="D121" s="641"/>
      <c r="E121" s="626"/>
      <c r="F121" s="626"/>
      <c r="G121" s="626"/>
      <c r="H121" s="626"/>
      <c r="I121" s="626"/>
      <c r="K121" s="626"/>
      <c r="L121" s="626"/>
      <c r="M121" s="626"/>
      <c r="N121" s="626"/>
      <c r="O121" s="626"/>
    </row>
  </sheetData>
  <conditionalFormatting sqref="A3:I60">
    <cfRule type="expression" dxfId="773" priority="3">
      <formula>$B3=0</formula>
    </cfRule>
  </conditionalFormatting>
  <conditionalFormatting sqref="K3:O60">
    <cfRule type="expression" dxfId="772" priority="4">
      <formula>(SUM($K3:$O3))=0</formula>
    </cfRule>
  </conditionalFormatting>
  <printOptions horizontalCentered="1" verticalCentered="1"/>
  <pageMargins left="0.25" right="0.25" top="0.75" bottom="0.75" header="0.3" footer="0.3"/>
  <pageSetup scale="79" fitToHeight="0" orientation="portrait" r:id="rId1"/>
  <rowBreaks count="1" manualBreakCount="1">
    <brk id="6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AW60"/>
  <sheetViews>
    <sheetView zoomScale="85" zoomScaleNormal="85" workbookViewId="0">
      <pane xSplit="1" ySplit="2" topLeftCell="B8" activePane="bottomRight" state="frozen"/>
      <selection pane="topRight" activeCell="B1" sqref="B1"/>
      <selection pane="bottomLeft" activeCell="A3" sqref="A3"/>
      <selection pane="bottomRight" activeCell="B16" sqref="B16"/>
    </sheetView>
  </sheetViews>
  <sheetFormatPr defaultColWidth="8.81640625" defaultRowHeight="14.5" x14ac:dyDescent="0.35"/>
  <cols>
    <col min="1" max="1" width="26.81640625" style="1" bestFit="1" customWidth="1"/>
    <col min="2" max="49" width="16.1796875" style="1" customWidth="1"/>
    <col min="50" max="16384" width="8.81640625" style="1"/>
  </cols>
  <sheetData>
    <row r="1" spans="1:49" ht="16.5" customHeight="1" x14ac:dyDescent="0.35">
      <c r="A1" s="324"/>
      <c r="B1" s="325" t="s">
        <v>447</v>
      </c>
      <c r="C1" s="326"/>
      <c r="D1" s="326"/>
      <c r="E1" s="326"/>
      <c r="F1" s="326"/>
      <c r="G1" s="326"/>
      <c r="H1" s="326"/>
      <c r="I1" s="326"/>
      <c r="J1" s="326"/>
      <c r="K1" s="327" t="s">
        <v>448</v>
      </c>
      <c r="L1" s="328"/>
      <c r="M1" s="326"/>
      <c r="N1" s="326"/>
      <c r="O1" s="326"/>
      <c r="P1" s="326"/>
      <c r="Q1" s="326"/>
      <c r="R1" s="326"/>
      <c r="S1" s="329"/>
      <c r="T1" s="1356" t="s">
        <v>1922</v>
      </c>
      <c r="U1" s="1357"/>
      <c r="V1" s="1357"/>
      <c r="W1" s="1357"/>
      <c r="X1" s="1357"/>
      <c r="Y1" s="1357"/>
      <c r="Z1" s="1357"/>
      <c r="AA1" s="1357"/>
      <c r="AB1" s="1357"/>
      <c r="AC1" s="1357"/>
      <c r="AD1" s="1357"/>
      <c r="AE1" s="1357"/>
      <c r="AF1" s="1357"/>
      <c r="AG1" s="1357"/>
      <c r="AH1" s="1358"/>
      <c r="AI1" s="330" t="s">
        <v>449</v>
      </c>
      <c r="AJ1" s="330"/>
      <c r="AK1" s="330"/>
      <c r="AL1" s="330"/>
      <c r="AM1" s="330"/>
      <c r="AN1" s="330" t="s">
        <v>450</v>
      </c>
      <c r="AO1" s="330"/>
      <c r="AP1" s="330"/>
      <c r="AQ1" s="330"/>
      <c r="AR1" s="330"/>
      <c r="AS1" s="330" t="s">
        <v>451</v>
      </c>
      <c r="AT1" s="330"/>
      <c r="AU1" s="330"/>
      <c r="AV1" s="330" t="s">
        <v>452</v>
      </c>
      <c r="AW1" s="330"/>
    </row>
    <row r="2" spans="1:49" s="286" customFormat="1" ht="80" x14ac:dyDescent="0.35">
      <c r="A2" s="506" t="s">
        <v>108</v>
      </c>
      <c r="B2" s="331" t="s">
        <v>453</v>
      </c>
      <c r="C2" s="331" t="s">
        <v>454</v>
      </c>
      <c r="D2" s="331" t="s">
        <v>455</v>
      </c>
      <c r="E2" s="331" t="s">
        <v>456</v>
      </c>
      <c r="F2" s="331" t="s">
        <v>457</v>
      </c>
      <c r="G2" s="331" t="s">
        <v>458</v>
      </c>
      <c r="H2" s="331" t="s">
        <v>459</v>
      </c>
      <c r="I2" s="331" t="s">
        <v>460</v>
      </c>
      <c r="J2" s="331" t="s">
        <v>461</v>
      </c>
      <c r="K2" s="507" t="s">
        <v>462</v>
      </c>
      <c r="L2" s="331" t="s">
        <v>463</v>
      </c>
      <c r="M2" s="331" t="s">
        <v>464</v>
      </c>
      <c r="N2" s="331" t="s">
        <v>465</v>
      </c>
      <c r="O2" s="331" t="s">
        <v>466</v>
      </c>
      <c r="P2" s="331" t="s">
        <v>467</v>
      </c>
      <c r="Q2" s="331" t="s">
        <v>468</v>
      </c>
      <c r="R2" s="331" t="s">
        <v>469</v>
      </c>
      <c r="S2" s="508" t="s">
        <v>470</v>
      </c>
      <c r="T2" s="509" t="s">
        <v>471</v>
      </c>
      <c r="U2" s="510" t="s">
        <v>472</v>
      </c>
      <c r="V2" s="510" t="s">
        <v>473</v>
      </c>
      <c r="W2" s="510" t="s">
        <v>474</v>
      </c>
      <c r="X2" s="510" t="s">
        <v>475</v>
      </c>
      <c r="Y2" s="510" t="s">
        <v>1921</v>
      </c>
      <c r="Z2" s="510" t="s">
        <v>476</v>
      </c>
      <c r="AA2" s="510" t="s">
        <v>477</v>
      </c>
      <c r="AB2" s="510" t="s">
        <v>478</v>
      </c>
      <c r="AC2" s="510" t="s">
        <v>479</v>
      </c>
      <c r="AD2" s="510" t="s">
        <v>480</v>
      </c>
      <c r="AE2" s="510" t="s">
        <v>481</v>
      </c>
      <c r="AF2" s="510" t="s">
        <v>482</v>
      </c>
      <c r="AG2" s="510" t="s">
        <v>483</v>
      </c>
      <c r="AH2" s="510" t="s">
        <v>484</v>
      </c>
      <c r="AI2" s="509" t="s">
        <v>485</v>
      </c>
      <c r="AJ2" s="510" t="s">
        <v>486</v>
      </c>
      <c r="AK2" s="510" t="s">
        <v>487</v>
      </c>
      <c r="AL2" s="510" t="s">
        <v>488</v>
      </c>
      <c r="AM2" s="511" t="s">
        <v>489</v>
      </c>
      <c r="AN2" s="509" t="s">
        <v>490</v>
      </c>
      <c r="AO2" s="510" t="s">
        <v>491</v>
      </c>
      <c r="AP2" s="510" t="s">
        <v>492</v>
      </c>
      <c r="AQ2" s="510" t="s">
        <v>493</v>
      </c>
      <c r="AR2" s="511" t="s">
        <v>494</v>
      </c>
      <c r="AS2" s="510" t="s">
        <v>495</v>
      </c>
      <c r="AT2" s="510" t="s">
        <v>496</v>
      </c>
      <c r="AU2" s="511" t="s">
        <v>497</v>
      </c>
      <c r="AV2" s="510" t="s">
        <v>498</v>
      </c>
      <c r="AW2" s="512" t="s">
        <v>1616</v>
      </c>
    </row>
    <row r="3" spans="1:49" ht="16" x14ac:dyDescent="0.35">
      <c r="A3" s="485" t="s">
        <v>115</v>
      </c>
      <c r="B3" s="486">
        <v>8.6834733893557416</v>
      </c>
      <c r="C3" s="487">
        <v>3</v>
      </c>
      <c r="D3" s="488">
        <v>0.56482844736008353</v>
      </c>
      <c r="E3" s="487">
        <v>1</v>
      </c>
      <c r="F3" s="488">
        <v>5.119555696367669E-2</v>
      </c>
      <c r="G3" s="487">
        <v>4</v>
      </c>
      <c r="H3" s="488">
        <v>2.5622866274424349E-2</v>
      </c>
      <c r="I3" s="487">
        <v>4</v>
      </c>
      <c r="J3" s="489">
        <f>MIN(15,CountyScoresTbl[[#This Row],[Housing Affordability Points]]+CountyScoresTbl[[#This Row],[Percent of Low-Income Renter households Points]]+CountyScoresTbl[[#This Row],[Percent of Overcrowded Renter Households Points]]+CountyScoresTbl[[#This Row],[Rental Vacancy Rate Points]])</f>
        <v>12</v>
      </c>
      <c r="K3" s="490">
        <v>0.79155561196429325</v>
      </c>
      <c r="L3" s="338">
        <v>4</v>
      </c>
      <c r="M3" s="488">
        <v>2.4575455089236094E-2</v>
      </c>
      <c r="N3" s="487">
        <v>1</v>
      </c>
      <c r="O3" s="491">
        <v>0.27262132150603774</v>
      </c>
      <c r="P3" s="487">
        <v>1</v>
      </c>
      <c r="Q3" s="488">
        <v>8.6762277833532971E-3</v>
      </c>
      <c r="R3" s="487">
        <v>3</v>
      </c>
      <c r="S3" s="492">
        <f>ROUND(CountyScoresTbl[[#This Row],[Age of Housing Stock Points]],0)+
ROUND(CountyScoresTbl[[#This Row],[Percent of Homeowners in Poverty Points]],0)+
ROUND(CountyScoresTbl[[#This Row],[Percent of Low-Income Homeowners Points]],0)+
ROUND(CountyScoresTbl[[#This Row],[Percent of Overcrowded Homeowners Points]],0)</f>
        <v>9</v>
      </c>
      <c r="T3" s="493">
        <v>1.6029411764705883</v>
      </c>
      <c r="U3" s="494">
        <v>4</v>
      </c>
      <c r="V3" s="495">
        <v>1007500</v>
      </c>
      <c r="W3" s="495">
        <v>900000</v>
      </c>
      <c r="X3" s="495">
        <v>1093830</v>
      </c>
      <c r="Y3" s="495">
        <f>AVERAGE(CountyScoresTbl[[#This Row],[Redfin.com 
Median Sales Price]:[Zillow.com Median Sales Price]])</f>
        <v>1000443.3333333334</v>
      </c>
      <c r="Z3" s="496">
        <v>3520</v>
      </c>
      <c r="AA3" s="494" cm="1">
        <f t="array" ref="AA3">IF(INDEX(CHMATbl[NEW CONSTRUCTION OR AQUIRE/REHAB],ROW(A1),1)="",
INDEX(CHMATbl[UNRESTRICTED UNITS],ROW(A1),1)+
INDEX(CHMATbl[MANUFACTURED UNITS],ROW(A1),1)+
INDEX(CHMATbl[RURAL UNITS],ROW(A1),1)+
INDEX(CHMATbl[MANUFACTURED AND RURAL UNITS],ROW(A1),1),
0)</f>
        <v>0</v>
      </c>
      <c r="AB3" s="473" cm="1">
        <f t="array" ref="AB3">IF(INDEX(CHMATbl[NEW CONSTRUCTION OR AQUIRE/REHAB],ROW(A1),1)="",
INDEX(S1MATbl[UNRESTRICTED UNITS],ROW(A1),1)+
INDEX(S1MATbl[RURAL UNITS],ROW(A1),1),
0)</f>
        <v>0</v>
      </c>
      <c r="AC3" s="497">
        <f>IFERROR(
CountyScoresTbl[[#This Row],[Affordable Single Family Homes Sold In Last Year
(Zillow.com)]]/CountyScoresTbl[[#This Row],[CalHome Proposed Number of Loans (entered by Applicant)]],
0)</f>
        <v>0</v>
      </c>
      <c r="AD3" s="497">
        <f>IFERROR(
CountyScoresTbl[[#This Row],[Affordable Single Family Homes Sold In Last Year
(Zillow.com)]]/CountyScoresTbl[[#This Row],[Serna Proposed Number of Loans (entered by Applicant)]],
0)</f>
        <v>0</v>
      </c>
      <c r="AE3" s="494">
        <f t="shared" ref="AE3:AE34" si="0">IF(AC3&gt;=167, 10,
IF(AC3&gt;=73, 8,
IF(AC3&gt;=34, 6,
IF(AC3&gt;=11, 4,
2))))</f>
        <v>2</v>
      </c>
      <c r="AF3" s="498">
        <f t="shared" ref="AF3:AF34" si="1">IF(AD3&gt;=167, 10,
IF(AD3&gt;=73, 8,
IF(AD3&gt;=34, 6,
IF(AD3&gt;=11, 4,
2))))</f>
        <v>2</v>
      </c>
      <c r="AG3" s="499">
        <f>CountyScoresTbl[[#This Row],[Median Owner Renter Cost Ratio Points]]+CountyScoresTbl[[#This Row],[CalHome Proposed Loans to Sales Ratio Points]]</f>
        <v>6</v>
      </c>
      <c r="AH3" s="500">
        <f>CountyScoresTbl[[#This Row],[Median Owner Renter Cost Ratio Points]]+CountyScoresTbl[[#This Row],[Serna Proposed Loans to Sales Ratio Points]]</f>
        <v>6</v>
      </c>
      <c r="AI3" s="501">
        <f>CountyScoresTbl[[#This Row],[Age of Housing Stock]]</f>
        <v>0.79155561196429325</v>
      </c>
      <c r="AJ3" s="497">
        <v>8.4482758620689662</v>
      </c>
      <c r="AK3" s="502">
        <f>CountyScoresTbl[[#This Row],[Percent of Overcrowded Homeowners]]</f>
        <v>8.6762277833532971E-3</v>
      </c>
      <c r="AL3" s="497">
        <v>5.8620689655172411</v>
      </c>
      <c r="AM3" s="499">
        <v>16</v>
      </c>
      <c r="AN3" s="501">
        <v>0.39918170719635726</v>
      </c>
      <c r="AO3" s="494">
        <v>9</v>
      </c>
      <c r="AP3" s="502">
        <f>CountyScoresTbl[[#This Row],[Rental Vacancy Rate]]</f>
        <v>2.5622866274424349E-2</v>
      </c>
      <c r="AQ3" s="494">
        <v>12</v>
      </c>
      <c r="AR3" s="499">
        <v>18</v>
      </c>
      <c r="AS3" s="503">
        <f>CountyScoresTbl[[#This Row],[Median Owner to Renter Cost Ratio]]</f>
        <v>1.6029411764705883</v>
      </c>
      <c r="AT3" s="494">
        <v>2</v>
      </c>
      <c r="AU3" s="499">
        <v>17</v>
      </c>
      <c r="AV3" s="504">
        <v>0</v>
      </c>
      <c r="AW3" s="505">
        <v>0</v>
      </c>
    </row>
    <row r="4" spans="1:49" ht="16" x14ac:dyDescent="0.35">
      <c r="A4" s="332" t="s">
        <v>116</v>
      </c>
      <c r="B4" s="333">
        <v>15</v>
      </c>
      <c r="C4" s="334">
        <v>4</v>
      </c>
      <c r="D4" s="335">
        <v>0.61818181818181817</v>
      </c>
      <c r="E4" s="334">
        <v>2</v>
      </c>
      <c r="F4" s="335">
        <v>0</v>
      </c>
      <c r="G4" s="334">
        <v>1</v>
      </c>
      <c r="H4" s="335">
        <v>0.47619047619047616</v>
      </c>
      <c r="I4" s="334">
        <v>1</v>
      </c>
      <c r="J4" s="336">
        <f>MIN(15,CountyScoresTbl[[#This Row],[Housing Affordability Points]]+CountyScoresTbl[[#This Row],[Percent of Low-Income Renter households Points]]+CountyScoresTbl[[#This Row],[Percent of Overcrowded Renter Households Points]]+CountyScoresTbl[[#This Row],[Rental Vacancy Rate Points]])</f>
        <v>8</v>
      </c>
      <c r="K4" s="337">
        <v>0.68535825545171336</v>
      </c>
      <c r="L4" s="352">
        <v>3</v>
      </c>
      <c r="M4" s="335">
        <v>5.3278688524590161E-2</v>
      </c>
      <c r="N4" s="334">
        <v>3</v>
      </c>
      <c r="O4" s="339">
        <v>0.3728813559322034</v>
      </c>
      <c r="P4" s="334">
        <v>4</v>
      </c>
      <c r="Q4" s="335">
        <v>1.3559322033898305E-2</v>
      </c>
      <c r="R4" s="334">
        <v>4</v>
      </c>
      <c r="S4" s="340">
        <f>ROUND(CountyScoresTbl[[#This Row],[Age of Housing Stock Points]],0)+
ROUND(CountyScoresTbl[[#This Row],[Percent of Homeowners in Poverty Points]],0)+
ROUND(CountyScoresTbl[[#This Row],[Percent of Low-Income Homeowners Points]],0)+
ROUND(CountyScoresTbl[[#This Row],[Percent of Overcrowded Homeowners Points]],0)</f>
        <v>14</v>
      </c>
      <c r="T4" s="341">
        <v>2.9937402190923317</v>
      </c>
      <c r="U4" s="342">
        <v>2</v>
      </c>
      <c r="V4" s="495">
        <v>110000</v>
      </c>
      <c r="W4" s="495">
        <v>114500</v>
      </c>
      <c r="X4" s="495">
        <v>525508</v>
      </c>
      <c r="Y4" s="343">
        <f>AVERAGE(CountyScoresTbl[[#This Row],[Redfin.com 
Median Sales Price]:[Zillow.com Median Sales Price]])</f>
        <v>250002.66666666666</v>
      </c>
      <c r="Z4" s="344">
        <v>9</v>
      </c>
      <c r="AA4" s="342" cm="1">
        <f t="array" ref="AA4">IF(INDEX(CHMATbl[NEW CONSTRUCTION OR AQUIRE/REHAB],ROW(A2),1)="",
INDEX(CHMATbl[UNRESTRICTED UNITS],ROW(A2),1)+
INDEX(CHMATbl[MANUFACTURED UNITS],ROW(A2),1)+
INDEX(CHMATbl[RURAL UNITS],ROW(A2),1)+
INDEX(CHMATbl[MANUFACTURED AND RURAL UNITS],ROW(A2),1),
0)</f>
        <v>0</v>
      </c>
      <c r="AB4" s="473" cm="1">
        <f t="array" ref="AB4">IF(INDEX(CHMATbl[NEW CONSTRUCTION OR AQUIRE/REHAB],ROW(A2),1)="",
INDEX(S1MATbl[UNRESTRICTED UNITS],ROW(A2),1)+
INDEX(S1MATbl[RURAL UNITS],ROW(A2),1),
0)</f>
        <v>0</v>
      </c>
      <c r="AC4" s="345">
        <f>IFERROR(
CountyScoresTbl[[#This Row],[Affordable Single Family Homes Sold In Last Year
(Zillow.com)]]/CountyScoresTbl[[#This Row],[CalHome Proposed Number of Loans (entered by Applicant)]],
0)</f>
        <v>0</v>
      </c>
      <c r="AD4" s="345">
        <f>IFERROR(
CountyScoresTbl[[#This Row],[Affordable Single Family Homes Sold In Last Year
(Zillow.com)]]/CountyScoresTbl[[#This Row],[Serna Proposed Number of Loans (entered by Applicant)]],
0)</f>
        <v>0</v>
      </c>
      <c r="AE4" s="342">
        <f t="shared" si="0"/>
        <v>2</v>
      </c>
      <c r="AF4" s="373">
        <f t="shared" si="1"/>
        <v>2</v>
      </c>
      <c r="AG4" s="346">
        <f>CountyScoresTbl[[#This Row],[Median Owner Renter Cost Ratio Points]]+CountyScoresTbl[[#This Row],[CalHome Proposed Loans to Sales Ratio Points]]</f>
        <v>4</v>
      </c>
      <c r="AH4" s="375">
        <f>CountyScoresTbl[[#This Row],[Median Owner Renter Cost Ratio Points]]+CountyScoresTbl[[#This Row],[Serna Proposed Loans to Sales Ratio Points]]</f>
        <v>4</v>
      </c>
      <c r="AI4" s="347">
        <f>CountyScoresTbl[[#This Row],[Age of Housing Stock]]</f>
        <v>0.68535825545171336</v>
      </c>
      <c r="AJ4" s="345">
        <v>5.1724137931034484</v>
      </c>
      <c r="AK4" s="348">
        <f>CountyScoresTbl[[#This Row],[Percent of Overcrowded Homeowners]]</f>
        <v>1.3559322033898305E-2</v>
      </c>
      <c r="AL4" s="345">
        <v>9.1379310344827598</v>
      </c>
      <c r="AM4" s="346">
        <v>16</v>
      </c>
      <c r="AN4" s="347">
        <v>0.23529411764705882</v>
      </c>
      <c r="AO4" s="342">
        <v>3</v>
      </c>
      <c r="AP4" s="348">
        <f>CountyScoresTbl[[#This Row],[Rental Vacancy Rate]]</f>
        <v>0.47619047619047616</v>
      </c>
      <c r="AQ4" s="342">
        <v>3</v>
      </c>
      <c r="AR4" s="346">
        <v>4</v>
      </c>
      <c r="AS4" s="349">
        <f>CountyScoresTbl[[#This Row],[Median Owner to Renter Cost Ratio]]</f>
        <v>2.9937402190923317</v>
      </c>
      <c r="AT4" s="342">
        <v>1</v>
      </c>
      <c r="AU4" s="346">
        <v>16</v>
      </c>
      <c r="AV4" s="350">
        <v>0</v>
      </c>
      <c r="AW4" s="351">
        <v>0</v>
      </c>
    </row>
    <row r="5" spans="1:49" ht="16" x14ac:dyDescent="0.35">
      <c r="A5" s="332" t="s">
        <v>117</v>
      </c>
      <c r="B5" s="333">
        <v>4.6189376443418011</v>
      </c>
      <c r="C5" s="334">
        <v>1</v>
      </c>
      <c r="D5" s="335">
        <v>0.66763848396501457</v>
      </c>
      <c r="E5" s="334">
        <v>3</v>
      </c>
      <c r="F5" s="335">
        <v>1.1661807580174927E-2</v>
      </c>
      <c r="G5" s="334">
        <v>1</v>
      </c>
      <c r="H5" s="335">
        <v>9.7368421052631576E-2</v>
      </c>
      <c r="I5" s="334">
        <v>1</v>
      </c>
      <c r="J5" s="336">
        <f>MIN(15,CountyScoresTbl[[#This Row],[Housing Affordability Points]]+CountyScoresTbl[[#This Row],[Percent of Low-Income Renter households Points]]+CountyScoresTbl[[#This Row],[Percent of Overcrowded Renter Households Points]]+CountyScoresTbl[[#This Row],[Rental Vacancy Rate Points]])</f>
        <v>6</v>
      </c>
      <c r="K5" s="337">
        <v>0.59248859248859254</v>
      </c>
      <c r="L5" s="352">
        <v>2</v>
      </c>
      <c r="M5" s="335">
        <v>3.1005829095870022E-2</v>
      </c>
      <c r="N5" s="334">
        <v>2</v>
      </c>
      <c r="O5" s="339">
        <v>0.34482758620689657</v>
      </c>
      <c r="P5" s="334">
        <v>3</v>
      </c>
      <c r="Q5" s="335">
        <v>3.134796238244514E-3</v>
      </c>
      <c r="R5" s="334">
        <v>1</v>
      </c>
      <c r="S5" s="340">
        <f>ROUND(CountyScoresTbl[[#This Row],[Age of Housing Stock Points]],0)+
ROUND(CountyScoresTbl[[#This Row],[Percent of Homeowners in Poverty Points]],0)+
ROUND(CountyScoresTbl[[#This Row],[Percent of Low-Income Homeowners Points]],0)+
ROUND(CountyScoresTbl[[#This Row],[Percent of Overcrowded Homeowners Points]],0)</f>
        <v>8</v>
      </c>
      <c r="T5" s="341">
        <v>1.6480605487228004</v>
      </c>
      <c r="U5" s="342">
        <v>4</v>
      </c>
      <c r="V5" s="495">
        <v>394500</v>
      </c>
      <c r="W5" s="495">
        <v>479000</v>
      </c>
      <c r="X5" s="495">
        <v>406707</v>
      </c>
      <c r="Y5" s="343">
        <f>AVERAGE(CountyScoresTbl[[#This Row],[Redfin.com 
Median Sales Price]:[Zillow.com Median Sales Price]])</f>
        <v>426735.66666666669</v>
      </c>
      <c r="Z5" s="344">
        <v>466</v>
      </c>
      <c r="AA5" s="342" cm="1">
        <f t="array" ref="AA5">IF(INDEX(CHMATbl[NEW CONSTRUCTION OR AQUIRE/REHAB],ROW(A3),1)="",
INDEX(CHMATbl[UNRESTRICTED UNITS],ROW(A3),1)+
INDEX(CHMATbl[MANUFACTURED UNITS],ROW(A3),1)+
INDEX(CHMATbl[RURAL UNITS],ROW(A3),1)+
INDEX(CHMATbl[MANUFACTURED AND RURAL UNITS],ROW(A3),1),
0)</f>
        <v>0</v>
      </c>
      <c r="AB5" s="473" cm="1">
        <f t="array" ref="AB5">IF(INDEX(CHMATbl[NEW CONSTRUCTION OR AQUIRE/REHAB],ROW(A3),1)="",
INDEX(S1MATbl[UNRESTRICTED UNITS],ROW(A3),1)+
INDEX(S1MATbl[RURAL UNITS],ROW(A3),1),
0)</f>
        <v>0</v>
      </c>
      <c r="AC5" s="345">
        <f>IFERROR(
CountyScoresTbl[[#This Row],[Affordable Single Family Homes Sold In Last Year
(Zillow.com)]]/CountyScoresTbl[[#This Row],[CalHome Proposed Number of Loans (entered by Applicant)]],
0)</f>
        <v>0</v>
      </c>
      <c r="AD5" s="345">
        <f>IFERROR(
CountyScoresTbl[[#This Row],[Affordable Single Family Homes Sold In Last Year
(Zillow.com)]]/CountyScoresTbl[[#This Row],[Serna Proposed Number of Loans (entered by Applicant)]],
0)</f>
        <v>0</v>
      </c>
      <c r="AE5" s="342">
        <f t="shared" si="0"/>
        <v>2</v>
      </c>
      <c r="AF5" s="373">
        <f t="shared" si="1"/>
        <v>2</v>
      </c>
      <c r="AG5" s="346">
        <f>CountyScoresTbl[[#This Row],[Median Owner Renter Cost Ratio Points]]+CountyScoresTbl[[#This Row],[CalHome Proposed Loans to Sales Ratio Points]]</f>
        <v>6</v>
      </c>
      <c r="AH5" s="375">
        <f>CountyScoresTbl[[#This Row],[Median Owner Renter Cost Ratio Points]]+CountyScoresTbl[[#This Row],[Serna Proposed Loans to Sales Ratio Points]]</f>
        <v>6</v>
      </c>
      <c r="AI5" s="347">
        <f>CountyScoresTbl[[#This Row],[Age of Housing Stock]]</f>
        <v>0.59248859248859254</v>
      </c>
      <c r="AJ5" s="345">
        <v>2.7586206896551726</v>
      </c>
      <c r="AK5" s="348">
        <f>CountyScoresTbl[[#This Row],[Percent of Overcrowded Homeowners]]</f>
        <v>3.134796238244514E-3</v>
      </c>
      <c r="AL5" s="345">
        <v>1.3793103448275863</v>
      </c>
      <c r="AM5" s="346">
        <v>6</v>
      </c>
      <c r="AN5" s="347">
        <v>0.3445414847161572</v>
      </c>
      <c r="AO5" s="342">
        <v>6</v>
      </c>
      <c r="AP5" s="348">
        <f>CountyScoresTbl[[#This Row],[Rental Vacancy Rate]]</f>
        <v>9.7368421052631576E-2</v>
      </c>
      <c r="AQ5" s="342">
        <v>3</v>
      </c>
      <c r="AR5" s="346">
        <v>6</v>
      </c>
      <c r="AS5" s="349">
        <f>CountyScoresTbl[[#This Row],[Median Owner to Renter Cost Ratio]]</f>
        <v>1.6480605487228004</v>
      </c>
      <c r="AT5" s="342">
        <v>3</v>
      </c>
      <c r="AU5" s="346">
        <v>17</v>
      </c>
      <c r="AV5" s="350">
        <v>0</v>
      </c>
      <c r="AW5" s="351">
        <v>0</v>
      </c>
    </row>
    <row r="6" spans="1:49" ht="16" x14ac:dyDescent="0.35">
      <c r="A6" s="332" t="s">
        <v>118</v>
      </c>
      <c r="B6" s="333">
        <v>5.0562352941176467</v>
      </c>
      <c r="C6" s="334">
        <v>1</v>
      </c>
      <c r="D6" s="335">
        <v>0.6594741354672764</v>
      </c>
      <c r="E6" s="334">
        <v>3</v>
      </c>
      <c r="F6" s="335">
        <v>1.1717633609602743E-2</v>
      </c>
      <c r="G6" s="334">
        <v>2</v>
      </c>
      <c r="H6" s="335">
        <v>6.9538625182821431E-2</v>
      </c>
      <c r="I6" s="334">
        <v>1</v>
      </c>
      <c r="J6" s="336">
        <f>MIN(15,CountyScoresTbl[[#This Row],[Housing Affordability Points]]+CountyScoresTbl[[#This Row],[Percent of Low-Income Renter households Points]]+CountyScoresTbl[[#This Row],[Percent of Overcrowded Renter Households Points]]+CountyScoresTbl[[#This Row],[Rental Vacancy Rate Points]])</f>
        <v>7</v>
      </c>
      <c r="K6" s="337">
        <v>0.68991921743139495</v>
      </c>
      <c r="L6" s="352">
        <v>3</v>
      </c>
      <c r="M6" s="335">
        <v>4.7895669348514337E-2</v>
      </c>
      <c r="N6" s="334">
        <v>3</v>
      </c>
      <c r="O6" s="339">
        <v>0.34204251937214386</v>
      </c>
      <c r="P6" s="334">
        <v>3</v>
      </c>
      <c r="Q6" s="335">
        <v>5.3645936817007748E-3</v>
      </c>
      <c r="R6" s="334">
        <v>2</v>
      </c>
      <c r="S6" s="340">
        <f>ROUND(CountyScoresTbl[[#This Row],[Age of Housing Stock Points]],0)+
ROUND(CountyScoresTbl[[#This Row],[Percent of Homeowners in Poverty Points]],0)+
ROUND(CountyScoresTbl[[#This Row],[Percent of Low-Income Homeowners Points]],0)+
ROUND(CountyScoresTbl[[#This Row],[Percent of Overcrowded Homeowners Points]],0)</f>
        <v>11</v>
      </c>
      <c r="T6" s="341">
        <v>1.5970561177552898</v>
      </c>
      <c r="U6" s="342">
        <v>6</v>
      </c>
      <c r="V6" s="495">
        <v>405000</v>
      </c>
      <c r="W6" s="495">
        <v>419000</v>
      </c>
      <c r="X6" s="495">
        <v>392492</v>
      </c>
      <c r="Y6" s="343">
        <f>AVERAGE(CountyScoresTbl[[#This Row],[Redfin.com 
Median Sales Price]:[Zillow.com Median Sales Price]])</f>
        <v>405497.33333333331</v>
      </c>
      <c r="Z6" s="344">
        <v>1358</v>
      </c>
      <c r="AA6" s="342" cm="1">
        <f t="array" ref="AA6">IF(INDEX(CHMATbl[NEW CONSTRUCTION OR AQUIRE/REHAB],ROW(A4),1)="",
INDEX(CHMATbl[UNRESTRICTED UNITS],ROW(A4),1)+
INDEX(CHMATbl[MANUFACTURED UNITS],ROW(A4),1)+
INDEX(CHMATbl[RURAL UNITS],ROW(A4),1)+
INDEX(CHMATbl[MANUFACTURED AND RURAL UNITS],ROW(A4),1),
0)</f>
        <v>0</v>
      </c>
      <c r="AB6" s="473" cm="1">
        <f t="array" ref="AB6">IF(INDEX(CHMATbl[NEW CONSTRUCTION OR AQUIRE/REHAB],ROW(A4),1)="",
INDEX(S1MATbl[UNRESTRICTED UNITS],ROW(A4),1)+
INDEX(S1MATbl[RURAL UNITS],ROW(A4),1),
0)</f>
        <v>0</v>
      </c>
      <c r="AC6" s="345">
        <f>IFERROR(
CountyScoresTbl[[#This Row],[Affordable Single Family Homes Sold In Last Year
(Zillow.com)]]/CountyScoresTbl[[#This Row],[CalHome Proposed Number of Loans (entered by Applicant)]],
0)</f>
        <v>0</v>
      </c>
      <c r="AD6" s="345">
        <f>IFERROR(
CountyScoresTbl[[#This Row],[Affordable Single Family Homes Sold In Last Year
(Zillow.com)]]/CountyScoresTbl[[#This Row],[Serna Proposed Number of Loans (entered by Applicant)]],
0)</f>
        <v>0</v>
      </c>
      <c r="AE6" s="342">
        <f t="shared" si="0"/>
        <v>2</v>
      </c>
      <c r="AF6" s="373">
        <f t="shared" si="1"/>
        <v>2</v>
      </c>
      <c r="AG6" s="346">
        <f>CountyScoresTbl[[#This Row],[Median Owner Renter Cost Ratio Points]]+CountyScoresTbl[[#This Row],[CalHome Proposed Loans to Sales Ratio Points]]</f>
        <v>8</v>
      </c>
      <c r="AH6" s="375">
        <f>CountyScoresTbl[[#This Row],[Median Owner Renter Cost Ratio Points]]+CountyScoresTbl[[#This Row],[Serna Proposed Loans to Sales Ratio Points]]</f>
        <v>8</v>
      </c>
      <c r="AI6" s="347">
        <f>CountyScoresTbl[[#This Row],[Age of Housing Stock]]</f>
        <v>0.68991921743139495</v>
      </c>
      <c r="AJ6" s="345">
        <v>5.3448275862068959</v>
      </c>
      <c r="AK6" s="348">
        <f>CountyScoresTbl[[#This Row],[Percent of Overcrowded Homeowners]]</f>
        <v>5.3645936817007748E-3</v>
      </c>
      <c r="AL6" s="345">
        <v>3.103448275862069</v>
      </c>
      <c r="AM6" s="346">
        <v>10</v>
      </c>
      <c r="AN6" s="347">
        <v>0.43553629469122429</v>
      </c>
      <c r="AO6" s="342">
        <v>12</v>
      </c>
      <c r="AP6" s="348">
        <f>CountyScoresTbl[[#This Row],[Rental Vacancy Rate]]</f>
        <v>6.9538625182821431E-2</v>
      </c>
      <c r="AQ6" s="342">
        <v>3</v>
      </c>
      <c r="AR6" s="346">
        <v>12</v>
      </c>
      <c r="AS6" s="349">
        <f>CountyScoresTbl[[#This Row],[Median Owner to Renter Cost Ratio]]</f>
        <v>1.5970561177552898</v>
      </c>
      <c r="AT6" s="342">
        <v>4</v>
      </c>
      <c r="AU6" s="346">
        <v>18</v>
      </c>
      <c r="AV6" s="350">
        <v>0</v>
      </c>
      <c r="AW6" s="351">
        <v>0</v>
      </c>
    </row>
    <row r="7" spans="1:49" ht="16" x14ac:dyDescent="0.35">
      <c r="A7" s="332" t="s">
        <v>119</v>
      </c>
      <c r="B7" s="333">
        <v>5</v>
      </c>
      <c r="C7" s="334">
        <v>1</v>
      </c>
      <c r="D7" s="335">
        <v>0.63925729442970824</v>
      </c>
      <c r="E7" s="334">
        <v>3</v>
      </c>
      <c r="F7" s="335">
        <v>5.3050397877984082E-3</v>
      </c>
      <c r="G7" s="334">
        <v>1</v>
      </c>
      <c r="H7" s="335">
        <v>6.7985166872682329E-2</v>
      </c>
      <c r="I7" s="334">
        <v>1</v>
      </c>
      <c r="J7" s="336">
        <f>MIN(15,CountyScoresTbl[[#This Row],[Housing Affordability Points]]+CountyScoresTbl[[#This Row],[Percent of Low-Income Renter households Points]]+CountyScoresTbl[[#This Row],[Percent of Overcrowded Renter Households Points]]+CountyScoresTbl[[#This Row],[Rental Vacancy Rate Points]])</f>
        <v>6</v>
      </c>
      <c r="K7" s="337">
        <v>0.50348354580492138</v>
      </c>
      <c r="L7" s="352">
        <v>1</v>
      </c>
      <c r="M7" s="335">
        <v>4.0618955512572531E-2</v>
      </c>
      <c r="N7" s="334">
        <v>2</v>
      </c>
      <c r="O7" s="339">
        <v>0.35218216318785578</v>
      </c>
      <c r="P7" s="334">
        <v>3</v>
      </c>
      <c r="Q7" s="335">
        <v>6.8311195445920304E-3</v>
      </c>
      <c r="R7" s="334">
        <v>2</v>
      </c>
      <c r="S7" s="340">
        <f>ROUND(CountyScoresTbl[[#This Row],[Age of Housing Stock Points]],0)+
ROUND(CountyScoresTbl[[#This Row],[Percent of Homeowners in Poverty Points]],0)+
ROUND(CountyScoresTbl[[#This Row],[Percent of Low-Income Homeowners Points]],0)+
ROUND(CountyScoresTbl[[#This Row],[Percent of Overcrowded Homeowners Points]],0)</f>
        <v>8</v>
      </c>
      <c r="T7" s="341">
        <v>1.4254062038404727</v>
      </c>
      <c r="U7" s="342">
        <v>10</v>
      </c>
      <c r="V7" s="495">
        <v>399000</v>
      </c>
      <c r="W7" s="495">
        <v>498000</v>
      </c>
      <c r="X7" s="495">
        <v>442361</v>
      </c>
      <c r="Y7" s="343">
        <f>AVERAGE(CountyScoresTbl[[#This Row],[Redfin.com 
Median Sales Price]:[Zillow.com Median Sales Price]])</f>
        <v>446453.66666666669</v>
      </c>
      <c r="Z7" s="344">
        <v>573</v>
      </c>
      <c r="AA7" s="342" cm="1">
        <f t="array" ref="AA7">IF(INDEX(CHMATbl[NEW CONSTRUCTION OR AQUIRE/REHAB],ROW(A5),1)="",
INDEX(CHMATbl[UNRESTRICTED UNITS],ROW(A5),1)+
INDEX(CHMATbl[MANUFACTURED UNITS],ROW(A5),1)+
INDEX(CHMATbl[RURAL UNITS],ROW(A5),1)+
INDEX(CHMATbl[MANUFACTURED AND RURAL UNITS],ROW(A5),1),
0)</f>
        <v>0</v>
      </c>
      <c r="AB7" s="473" cm="1">
        <f t="array" ref="AB7">IF(INDEX(CHMATbl[NEW CONSTRUCTION OR AQUIRE/REHAB],ROW(A5),1)="",
INDEX(S1MATbl[UNRESTRICTED UNITS],ROW(A5),1)+
INDEX(S1MATbl[RURAL UNITS],ROW(A5),1),
0)</f>
        <v>0</v>
      </c>
      <c r="AC7" s="345">
        <f>IFERROR(
CountyScoresTbl[[#This Row],[Affordable Single Family Homes Sold In Last Year
(Zillow.com)]]/CountyScoresTbl[[#This Row],[CalHome Proposed Number of Loans (entered by Applicant)]],
0)</f>
        <v>0</v>
      </c>
      <c r="AD7" s="345">
        <f>IFERROR(
CountyScoresTbl[[#This Row],[Affordable Single Family Homes Sold In Last Year
(Zillow.com)]]/CountyScoresTbl[[#This Row],[Serna Proposed Number of Loans (entered by Applicant)]],
0)</f>
        <v>0</v>
      </c>
      <c r="AE7" s="342">
        <f t="shared" si="0"/>
        <v>2</v>
      </c>
      <c r="AF7" s="373">
        <f t="shared" si="1"/>
        <v>2</v>
      </c>
      <c r="AG7" s="346">
        <f>CountyScoresTbl[[#This Row],[Median Owner Renter Cost Ratio Points]]+CountyScoresTbl[[#This Row],[CalHome Proposed Loans to Sales Ratio Points]]</f>
        <v>12</v>
      </c>
      <c r="AH7" s="375">
        <f>CountyScoresTbl[[#This Row],[Median Owner Renter Cost Ratio Points]]+CountyScoresTbl[[#This Row],[Serna Proposed Loans to Sales Ratio Points]]</f>
        <v>12</v>
      </c>
      <c r="AI7" s="347">
        <f>CountyScoresTbl[[#This Row],[Age of Housing Stock]]</f>
        <v>0.50348354580492138</v>
      </c>
      <c r="AJ7" s="345">
        <v>0.86206896551724144</v>
      </c>
      <c r="AK7" s="348">
        <f>CountyScoresTbl[[#This Row],[Percent of Overcrowded Homeowners]]</f>
        <v>6.8311195445920304E-3</v>
      </c>
      <c r="AL7" s="345">
        <v>4.6551724137931032</v>
      </c>
      <c r="AM7" s="346">
        <v>8</v>
      </c>
      <c r="AN7" s="347">
        <v>0.37136929460580914</v>
      </c>
      <c r="AO7" s="342">
        <v>6</v>
      </c>
      <c r="AP7" s="348">
        <f>CountyScoresTbl[[#This Row],[Rental Vacancy Rate]]</f>
        <v>6.7985166872682329E-2</v>
      </c>
      <c r="AQ7" s="342">
        <v>3</v>
      </c>
      <c r="AR7" s="346">
        <v>8</v>
      </c>
      <c r="AS7" s="349">
        <f>CountyScoresTbl[[#This Row],[Median Owner to Renter Cost Ratio]]</f>
        <v>1.4254062038404727</v>
      </c>
      <c r="AT7" s="342">
        <v>5</v>
      </c>
      <c r="AU7" s="346">
        <v>20</v>
      </c>
      <c r="AV7" s="350">
        <v>0</v>
      </c>
      <c r="AW7" s="351">
        <v>0</v>
      </c>
    </row>
    <row r="8" spans="1:49" ht="16" x14ac:dyDescent="0.35">
      <c r="A8" s="332" t="s">
        <v>120</v>
      </c>
      <c r="B8" s="333">
        <v>15</v>
      </c>
      <c r="C8" s="334">
        <v>4</v>
      </c>
      <c r="D8" s="335">
        <v>0.66429840142095919</v>
      </c>
      <c r="E8" s="334">
        <v>3</v>
      </c>
      <c r="F8" s="335">
        <v>2.8419182948490232E-2</v>
      </c>
      <c r="G8" s="334">
        <v>3</v>
      </c>
      <c r="H8" s="335">
        <v>4.0885860306643949E-2</v>
      </c>
      <c r="I8" s="334">
        <v>2</v>
      </c>
      <c r="J8" s="336">
        <f>MIN(15,CountyScoresTbl[[#This Row],[Housing Affordability Points]]+CountyScoresTbl[[#This Row],[Percent of Low-Income Renter households Points]]+CountyScoresTbl[[#This Row],[Percent of Overcrowded Renter Households Points]]+CountyScoresTbl[[#This Row],[Rental Vacancy Rate Points]])</f>
        <v>12</v>
      </c>
      <c r="K8" s="337">
        <v>0.71274994624811872</v>
      </c>
      <c r="L8" s="352">
        <v>3</v>
      </c>
      <c r="M8" s="335">
        <v>3.3228840125391852E-2</v>
      </c>
      <c r="N8" s="334">
        <v>2</v>
      </c>
      <c r="O8" s="339">
        <v>0.31632653061224492</v>
      </c>
      <c r="P8" s="334">
        <v>2</v>
      </c>
      <c r="Q8" s="335">
        <v>1.020408163265306E-2</v>
      </c>
      <c r="R8" s="334">
        <v>3</v>
      </c>
      <c r="S8" s="340">
        <f>ROUND(CountyScoresTbl[[#This Row],[Age of Housing Stock Points]],0)+
ROUND(CountyScoresTbl[[#This Row],[Percent of Homeowners in Poverty Points]],0)+
ROUND(CountyScoresTbl[[#This Row],[Percent of Low-Income Homeowners Points]],0)+
ROUND(CountyScoresTbl[[#This Row],[Percent of Overcrowded Homeowners Points]],0)</f>
        <v>10</v>
      </c>
      <c r="T8" s="341">
        <v>1.7559912854030502</v>
      </c>
      <c r="U8" s="342">
        <v>2</v>
      </c>
      <c r="V8" s="495">
        <v>398000</v>
      </c>
      <c r="W8" s="495">
        <v>399000</v>
      </c>
      <c r="X8" s="495">
        <v>344712</v>
      </c>
      <c r="Y8" s="343">
        <f>AVERAGE(CountyScoresTbl[[#This Row],[Redfin.com 
Median Sales Price]:[Zillow.com Median Sales Price]])</f>
        <v>380570.66666666669</v>
      </c>
      <c r="Z8" s="344">
        <v>95</v>
      </c>
      <c r="AA8" s="342" cm="1">
        <f t="array" ref="AA8">IF(INDEX(CHMATbl[NEW CONSTRUCTION OR AQUIRE/REHAB],ROW(A6),1)="",
INDEX(CHMATbl[UNRESTRICTED UNITS],ROW(A6),1)+
INDEX(CHMATbl[MANUFACTURED UNITS],ROW(A6),1)+
INDEX(CHMATbl[RURAL UNITS],ROW(A6),1)+
INDEX(CHMATbl[MANUFACTURED AND RURAL UNITS],ROW(A6),1),
0)</f>
        <v>0</v>
      </c>
      <c r="AB8" s="473" cm="1">
        <f t="array" ref="AB8">IF(INDEX(CHMATbl[NEW CONSTRUCTION OR AQUIRE/REHAB],ROW(A6),1)="",
INDEX(S1MATbl[UNRESTRICTED UNITS],ROW(A6),1)+
INDEX(S1MATbl[RURAL UNITS],ROW(A6),1),
0)</f>
        <v>0</v>
      </c>
      <c r="AC8" s="345">
        <f>IFERROR(
CountyScoresTbl[[#This Row],[Affordable Single Family Homes Sold In Last Year
(Zillow.com)]]/CountyScoresTbl[[#This Row],[CalHome Proposed Number of Loans (entered by Applicant)]],
0)</f>
        <v>0</v>
      </c>
      <c r="AD8" s="345">
        <f>IFERROR(
CountyScoresTbl[[#This Row],[Affordable Single Family Homes Sold In Last Year
(Zillow.com)]]/CountyScoresTbl[[#This Row],[Serna Proposed Number of Loans (entered by Applicant)]],
0)</f>
        <v>0</v>
      </c>
      <c r="AE8" s="342">
        <f t="shared" si="0"/>
        <v>2</v>
      </c>
      <c r="AF8" s="373">
        <f t="shared" si="1"/>
        <v>2</v>
      </c>
      <c r="AG8" s="346">
        <f>CountyScoresTbl[[#This Row],[Median Owner Renter Cost Ratio Points]]+CountyScoresTbl[[#This Row],[CalHome Proposed Loans to Sales Ratio Points]]</f>
        <v>4</v>
      </c>
      <c r="AH8" s="375">
        <f>CountyScoresTbl[[#This Row],[Median Owner Renter Cost Ratio Points]]+CountyScoresTbl[[#This Row],[Serna Proposed Loans to Sales Ratio Points]]</f>
        <v>4</v>
      </c>
      <c r="AI8" s="347">
        <f>CountyScoresTbl[[#This Row],[Age of Housing Stock]]</f>
        <v>0.71274994624811872</v>
      </c>
      <c r="AJ8" s="345">
        <v>6.5517241379310338</v>
      </c>
      <c r="AK8" s="348">
        <f>CountyScoresTbl[[#This Row],[Percent of Overcrowded Homeowners]]</f>
        <v>1.020408163265306E-2</v>
      </c>
      <c r="AL8" s="345">
        <v>6.7241379310344831</v>
      </c>
      <c r="AM8" s="346">
        <v>16</v>
      </c>
      <c r="AN8" s="347">
        <v>0.23796791443850268</v>
      </c>
      <c r="AO8" s="342">
        <v>3</v>
      </c>
      <c r="AP8" s="348">
        <f>CountyScoresTbl[[#This Row],[Rental Vacancy Rate]]</f>
        <v>4.0885860306643949E-2</v>
      </c>
      <c r="AQ8" s="342">
        <v>6</v>
      </c>
      <c r="AR8" s="346">
        <v>8</v>
      </c>
      <c r="AS8" s="349">
        <f>CountyScoresTbl[[#This Row],[Median Owner to Renter Cost Ratio]]</f>
        <v>1.7559912854030502</v>
      </c>
      <c r="AT8" s="342">
        <v>1</v>
      </c>
      <c r="AU8" s="346">
        <v>16</v>
      </c>
      <c r="AV8" s="350">
        <v>1</v>
      </c>
      <c r="AW8" s="351">
        <v>10</v>
      </c>
    </row>
    <row r="9" spans="1:49" ht="16" x14ac:dyDescent="0.35">
      <c r="A9" s="332" t="s">
        <v>121</v>
      </c>
      <c r="B9" s="333">
        <v>6.1764705882352944</v>
      </c>
      <c r="C9" s="334">
        <v>3</v>
      </c>
      <c r="D9" s="335">
        <v>0.59416465341014679</v>
      </c>
      <c r="E9" s="334">
        <v>1</v>
      </c>
      <c r="F9" s="335">
        <v>3.4082884222263521E-2</v>
      </c>
      <c r="G9" s="334">
        <v>3</v>
      </c>
      <c r="H9" s="335">
        <v>2.8349584687612856E-2</v>
      </c>
      <c r="I9" s="334">
        <v>4</v>
      </c>
      <c r="J9" s="336">
        <f>MIN(15,CountyScoresTbl[[#This Row],[Housing Affordability Points]]+CountyScoresTbl[[#This Row],[Percent of Low-Income Renter households Points]]+CountyScoresTbl[[#This Row],[Percent of Overcrowded Renter Households Points]]+CountyScoresTbl[[#This Row],[Rental Vacancy Rate Points]])</f>
        <v>11</v>
      </c>
      <c r="K9" s="337">
        <v>0.70980476115355429</v>
      </c>
      <c r="L9" s="352">
        <v>3</v>
      </c>
      <c r="M9" s="335">
        <v>2.9080214848928209E-2</v>
      </c>
      <c r="N9" s="334">
        <v>1</v>
      </c>
      <c r="O9" s="339">
        <v>0.30006340179446289</v>
      </c>
      <c r="P9" s="334">
        <v>1</v>
      </c>
      <c r="Q9" s="335">
        <v>5.7830121616169383E-3</v>
      </c>
      <c r="R9" s="334">
        <v>2</v>
      </c>
      <c r="S9" s="340">
        <f>ROUND(CountyScoresTbl[[#This Row],[Age of Housing Stock Points]],0)+
ROUND(CountyScoresTbl[[#This Row],[Percent of Homeowners in Poverty Points]],0)+
ROUND(CountyScoresTbl[[#This Row],[Percent of Low-Income Homeowners Points]],0)+
ROUND(CountyScoresTbl[[#This Row],[Percent of Overcrowded Homeowners Points]],0)</f>
        <v>7</v>
      </c>
      <c r="T9" s="341">
        <v>1.4636929460580912</v>
      </c>
      <c r="U9" s="342">
        <v>10</v>
      </c>
      <c r="V9" s="495">
        <v>725000</v>
      </c>
      <c r="W9" s="495">
        <v>766700</v>
      </c>
      <c r="X9" s="495">
        <v>821164</v>
      </c>
      <c r="Y9" s="343">
        <f>AVERAGE(CountyScoresTbl[[#This Row],[Redfin.com 
Median Sales Price]:[Zillow.com Median Sales Price]])</f>
        <v>770954.66666666663</v>
      </c>
      <c r="Z9" s="344">
        <v>4176</v>
      </c>
      <c r="AA9" s="342" cm="1">
        <f t="array" ref="AA9">IF(INDEX(CHMATbl[NEW CONSTRUCTION OR AQUIRE/REHAB],ROW(A7),1)="",
INDEX(CHMATbl[UNRESTRICTED UNITS],ROW(A7),1)+
INDEX(CHMATbl[MANUFACTURED UNITS],ROW(A7),1)+
INDEX(CHMATbl[RURAL UNITS],ROW(A7),1)+
INDEX(CHMATbl[MANUFACTURED AND RURAL UNITS],ROW(A7),1),
0)</f>
        <v>0</v>
      </c>
      <c r="AB9" s="473" cm="1">
        <f t="array" ref="AB9">IF(INDEX(CHMATbl[NEW CONSTRUCTION OR AQUIRE/REHAB],ROW(A7),1)="",
INDEX(S1MATbl[UNRESTRICTED UNITS],ROW(A7),1)+
INDEX(S1MATbl[RURAL UNITS],ROW(A7),1),
0)</f>
        <v>0</v>
      </c>
      <c r="AC9" s="345">
        <f>IFERROR(
CountyScoresTbl[[#This Row],[Affordable Single Family Homes Sold In Last Year
(Zillow.com)]]/CountyScoresTbl[[#This Row],[CalHome Proposed Number of Loans (entered by Applicant)]],
0)</f>
        <v>0</v>
      </c>
      <c r="AD9" s="345">
        <f>IFERROR(
CountyScoresTbl[[#This Row],[Affordable Single Family Homes Sold In Last Year
(Zillow.com)]]/CountyScoresTbl[[#This Row],[Serna Proposed Number of Loans (entered by Applicant)]],
0)</f>
        <v>0</v>
      </c>
      <c r="AE9" s="342">
        <f t="shared" si="0"/>
        <v>2</v>
      </c>
      <c r="AF9" s="373">
        <f t="shared" si="1"/>
        <v>2</v>
      </c>
      <c r="AG9" s="346">
        <f>CountyScoresTbl[[#This Row],[Median Owner Renter Cost Ratio Points]]+CountyScoresTbl[[#This Row],[CalHome Proposed Loans to Sales Ratio Points]]</f>
        <v>12</v>
      </c>
      <c r="AH9" s="375">
        <f>CountyScoresTbl[[#This Row],[Median Owner Renter Cost Ratio Points]]+CountyScoresTbl[[#This Row],[Serna Proposed Loans to Sales Ratio Points]]</f>
        <v>12</v>
      </c>
      <c r="AI9" s="347">
        <f>CountyScoresTbl[[#This Row],[Age of Housing Stock]]</f>
        <v>0.70980476115355429</v>
      </c>
      <c r="AJ9" s="345">
        <v>6.2068965517241379</v>
      </c>
      <c r="AK9" s="348">
        <f>CountyScoresTbl[[#This Row],[Percent of Overcrowded Homeowners]]</f>
        <v>5.7830121616169383E-3</v>
      </c>
      <c r="AL9" s="345">
        <v>3.4482758620689657</v>
      </c>
      <c r="AM9" s="346">
        <v>12</v>
      </c>
      <c r="AN9" s="347">
        <v>0.4048542474665332</v>
      </c>
      <c r="AO9" s="342">
        <v>12</v>
      </c>
      <c r="AP9" s="348">
        <f>CountyScoresTbl[[#This Row],[Rental Vacancy Rate]]</f>
        <v>2.8349584687612856E-2</v>
      </c>
      <c r="AQ9" s="342">
        <v>12</v>
      </c>
      <c r="AR9" s="346">
        <v>16</v>
      </c>
      <c r="AS9" s="349">
        <f>CountyScoresTbl[[#This Row],[Median Owner to Renter Cost Ratio]]</f>
        <v>1.4636929460580912</v>
      </c>
      <c r="AT9" s="342">
        <v>4</v>
      </c>
      <c r="AU9" s="346">
        <v>20</v>
      </c>
      <c r="AV9" s="350">
        <v>0</v>
      </c>
      <c r="AW9" s="351">
        <v>0</v>
      </c>
    </row>
    <row r="10" spans="1:49" ht="16" x14ac:dyDescent="0.35">
      <c r="A10" s="332" t="s">
        <v>122</v>
      </c>
      <c r="B10" s="333">
        <v>5.2148194271481945</v>
      </c>
      <c r="C10" s="334">
        <v>2</v>
      </c>
      <c r="D10" s="335">
        <v>0.75204359673024523</v>
      </c>
      <c r="E10" s="334">
        <v>4</v>
      </c>
      <c r="F10" s="335">
        <v>2.316076294277929E-2</v>
      </c>
      <c r="G10" s="334">
        <v>2</v>
      </c>
      <c r="H10" s="335">
        <v>1.871657754010695E-2</v>
      </c>
      <c r="I10" s="334">
        <v>4</v>
      </c>
      <c r="J10" s="336">
        <f>MIN(15,CountyScoresTbl[[#This Row],[Housing Affordability Points]]+CountyScoresTbl[[#This Row],[Percent of Low-Income Renter households Points]]+CountyScoresTbl[[#This Row],[Percent of Overcrowded Renter Households Points]]+CountyScoresTbl[[#This Row],[Rental Vacancy Rate Points]])</f>
        <v>12</v>
      </c>
      <c r="K10" s="337">
        <v>0.62660304205189388</v>
      </c>
      <c r="L10" s="352">
        <v>2</v>
      </c>
      <c r="M10" s="335">
        <v>4.3367886608842818E-2</v>
      </c>
      <c r="N10" s="334">
        <v>3</v>
      </c>
      <c r="O10" s="339">
        <v>0.4</v>
      </c>
      <c r="P10" s="334">
        <v>4</v>
      </c>
      <c r="Q10" s="335">
        <v>5.5776892430278889E-3</v>
      </c>
      <c r="R10" s="334">
        <v>2</v>
      </c>
      <c r="S10" s="340">
        <f>ROUND(CountyScoresTbl[[#This Row],[Age of Housing Stock Points]],0)+
ROUND(CountyScoresTbl[[#This Row],[Percent of Homeowners in Poverty Points]],0)+
ROUND(CountyScoresTbl[[#This Row],[Percent of Low-Income Homeowners Points]],0)+
ROUND(CountyScoresTbl[[#This Row],[Percent of Overcrowded Homeowners Points]],0)</f>
        <v>11</v>
      </c>
      <c r="T10" s="341">
        <v>1.4799154334038056</v>
      </c>
      <c r="U10" s="342">
        <v>8</v>
      </c>
      <c r="V10" s="495">
        <v>300000</v>
      </c>
      <c r="W10" s="495">
        <v>351500</v>
      </c>
      <c r="X10" s="495">
        <v>329392</v>
      </c>
      <c r="Y10" s="343">
        <f>AVERAGE(CountyScoresTbl[[#This Row],[Redfin.com 
Median Sales Price]:[Zillow.com Median Sales Price]])</f>
        <v>326964</v>
      </c>
      <c r="Z10" s="344">
        <v>146</v>
      </c>
      <c r="AA10" s="342" cm="1">
        <f t="array" ref="AA10">IF(INDEX(CHMATbl[NEW CONSTRUCTION OR AQUIRE/REHAB],ROW(A8),1)="",
INDEX(CHMATbl[UNRESTRICTED UNITS],ROW(A8),1)+
INDEX(CHMATbl[MANUFACTURED UNITS],ROW(A8),1)+
INDEX(CHMATbl[RURAL UNITS],ROW(A8),1)+
INDEX(CHMATbl[MANUFACTURED AND RURAL UNITS],ROW(A8),1),
0)</f>
        <v>0</v>
      </c>
      <c r="AB10" s="473" cm="1">
        <f t="array" ref="AB10">IF(INDEX(CHMATbl[NEW CONSTRUCTION OR AQUIRE/REHAB],ROW(A8),1)="",
INDEX(S1MATbl[UNRESTRICTED UNITS],ROW(A8),1)+
INDEX(S1MATbl[RURAL UNITS],ROW(A8),1),
0)</f>
        <v>0</v>
      </c>
      <c r="AC10" s="345">
        <f>IFERROR(
CountyScoresTbl[[#This Row],[Affordable Single Family Homes Sold In Last Year
(Zillow.com)]]/CountyScoresTbl[[#This Row],[CalHome Proposed Number of Loans (entered by Applicant)]],
0)</f>
        <v>0</v>
      </c>
      <c r="AD10" s="345">
        <f>IFERROR(
CountyScoresTbl[[#This Row],[Affordable Single Family Homes Sold In Last Year
(Zillow.com)]]/CountyScoresTbl[[#This Row],[Serna Proposed Number of Loans (entered by Applicant)]],
0)</f>
        <v>0</v>
      </c>
      <c r="AE10" s="342">
        <f t="shared" si="0"/>
        <v>2</v>
      </c>
      <c r="AF10" s="373">
        <f t="shared" si="1"/>
        <v>2</v>
      </c>
      <c r="AG10" s="346">
        <f>CountyScoresTbl[[#This Row],[Median Owner Renter Cost Ratio Points]]+CountyScoresTbl[[#This Row],[CalHome Proposed Loans to Sales Ratio Points]]</f>
        <v>10</v>
      </c>
      <c r="AH10" s="375">
        <f>CountyScoresTbl[[#This Row],[Median Owner Renter Cost Ratio Points]]+CountyScoresTbl[[#This Row],[Serna Proposed Loans to Sales Ratio Points]]</f>
        <v>10</v>
      </c>
      <c r="AI10" s="347">
        <f>CountyScoresTbl[[#This Row],[Age of Housing Stock]]</f>
        <v>0.62660304205189388</v>
      </c>
      <c r="AJ10" s="345">
        <v>3.6206896551724137</v>
      </c>
      <c r="AK10" s="348">
        <f>CountyScoresTbl[[#This Row],[Percent of Overcrowded Homeowners]]</f>
        <v>5.5776892430278889E-3</v>
      </c>
      <c r="AL10" s="345">
        <v>3.2758620689655169</v>
      </c>
      <c r="AM10" s="346">
        <v>8</v>
      </c>
      <c r="AN10" s="347">
        <v>0.31159420289855072</v>
      </c>
      <c r="AO10" s="342">
        <v>3</v>
      </c>
      <c r="AP10" s="348">
        <f>CountyScoresTbl[[#This Row],[Rental Vacancy Rate]]</f>
        <v>1.871657754010695E-2</v>
      </c>
      <c r="AQ10" s="342">
        <v>12</v>
      </c>
      <c r="AR10" s="346">
        <v>12</v>
      </c>
      <c r="AS10" s="349">
        <f>CountyScoresTbl[[#This Row],[Median Owner to Renter Cost Ratio]]</f>
        <v>1.4799154334038056</v>
      </c>
      <c r="AT10" s="342">
        <v>3</v>
      </c>
      <c r="AU10" s="346">
        <v>19</v>
      </c>
      <c r="AV10" s="350">
        <v>0</v>
      </c>
      <c r="AW10" s="351">
        <v>0</v>
      </c>
    </row>
    <row r="11" spans="1:49" ht="16" x14ac:dyDescent="0.35">
      <c r="A11" s="332" t="s">
        <v>123</v>
      </c>
      <c r="B11" s="333">
        <v>6.335127201565558</v>
      </c>
      <c r="C11" s="334">
        <v>3</v>
      </c>
      <c r="D11" s="335">
        <v>0.63483309143686506</v>
      </c>
      <c r="E11" s="334">
        <v>3</v>
      </c>
      <c r="F11" s="335">
        <v>1.1320754716981131E-2</v>
      </c>
      <c r="G11" s="334">
        <v>1</v>
      </c>
      <c r="H11" s="335">
        <v>4.9917264202978491E-2</v>
      </c>
      <c r="I11" s="334">
        <v>2</v>
      </c>
      <c r="J11" s="336">
        <f>MIN(15,CountyScoresTbl[[#This Row],[Housing Affordability Points]]+CountyScoresTbl[[#This Row],[Percent of Low-Income Renter households Points]]+CountyScoresTbl[[#This Row],[Percent of Overcrowded Renter Households Points]]+CountyScoresTbl[[#This Row],[Rental Vacancy Rate Points]])</f>
        <v>9</v>
      </c>
      <c r="K11" s="337">
        <v>0.57817114489156229</v>
      </c>
      <c r="L11" s="352">
        <v>1</v>
      </c>
      <c r="M11" s="335">
        <v>3.9366449985446784E-2</v>
      </c>
      <c r="N11" s="334">
        <v>2</v>
      </c>
      <c r="O11" s="339">
        <v>0.28493023255813954</v>
      </c>
      <c r="P11" s="334">
        <v>1</v>
      </c>
      <c r="Q11" s="335">
        <v>4.5581395348837208E-3</v>
      </c>
      <c r="R11" s="334">
        <v>1</v>
      </c>
      <c r="S11" s="340">
        <f>ROUND(CountyScoresTbl[[#This Row],[Age of Housing Stock Points]],0)+
ROUND(CountyScoresTbl[[#This Row],[Percent of Homeowners in Poverty Points]],0)+
ROUND(CountyScoresTbl[[#This Row],[Percent of Low-Income Homeowners Points]],0)+
ROUND(CountyScoresTbl[[#This Row],[Percent of Overcrowded Homeowners Points]],0)</f>
        <v>5</v>
      </c>
      <c r="T11" s="341">
        <v>1.7886363636363636</v>
      </c>
      <c r="U11" s="342">
        <v>2</v>
      </c>
      <c r="V11" s="495">
        <v>560000</v>
      </c>
      <c r="W11" s="495">
        <v>665000</v>
      </c>
      <c r="X11" s="495">
        <v>629541</v>
      </c>
      <c r="Y11" s="343">
        <f>AVERAGE(CountyScoresTbl[[#This Row],[Redfin.com 
Median Sales Price]:[Zillow.com Median Sales Price]])</f>
        <v>618180.33333333337</v>
      </c>
      <c r="Z11" s="344">
        <v>1532</v>
      </c>
      <c r="AA11" s="342" cm="1">
        <f t="array" ref="AA11">IF(INDEX(CHMATbl[NEW CONSTRUCTION OR AQUIRE/REHAB],ROW(A9),1)="",
INDEX(CHMATbl[UNRESTRICTED UNITS],ROW(A9),1)+
INDEX(CHMATbl[MANUFACTURED UNITS],ROW(A9),1)+
INDEX(CHMATbl[RURAL UNITS],ROW(A9),1)+
INDEX(CHMATbl[MANUFACTURED AND RURAL UNITS],ROW(A9),1),
0)</f>
        <v>0</v>
      </c>
      <c r="AB11" s="473" cm="1">
        <f t="array" ref="AB11">IF(INDEX(CHMATbl[NEW CONSTRUCTION OR AQUIRE/REHAB],ROW(A9),1)="",
INDEX(S1MATbl[UNRESTRICTED UNITS],ROW(A9),1)+
INDEX(S1MATbl[RURAL UNITS],ROW(A9),1),
0)</f>
        <v>0</v>
      </c>
      <c r="AC11" s="345">
        <f>IFERROR(
CountyScoresTbl[[#This Row],[Affordable Single Family Homes Sold In Last Year
(Zillow.com)]]/CountyScoresTbl[[#This Row],[CalHome Proposed Number of Loans (entered by Applicant)]],
0)</f>
        <v>0</v>
      </c>
      <c r="AD11" s="345">
        <f>IFERROR(
CountyScoresTbl[[#This Row],[Affordable Single Family Homes Sold In Last Year
(Zillow.com)]]/CountyScoresTbl[[#This Row],[Serna Proposed Number of Loans (entered by Applicant)]],
0)</f>
        <v>0</v>
      </c>
      <c r="AE11" s="342">
        <f t="shared" si="0"/>
        <v>2</v>
      </c>
      <c r="AF11" s="373">
        <f t="shared" si="1"/>
        <v>2</v>
      </c>
      <c r="AG11" s="346">
        <f>CountyScoresTbl[[#This Row],[Median Owner Renter Cost Ratio Points]]+CountyScoresTbl[[#This Row],[CalHome Proposed Loans to Sales Ratio Points]]</f>
        <v>4</v>
      </c>
      <c r="AH11" s="375">
        <f>CountyScoresTbl[[#This Row],[Median Owner Renter Cost Ratio Points]]+CountyScoresTbl[[#This Row],[Serna Proposed Loans to Sales Ratio Points]]</f>
        <v>4</v>
      </c>
      <c r="AI11" s="347">
        <f>CountyScoresTbl[[#This Row],[Age of Housing Stock]]</f>
        <v>0.57817114489156229</v>
      </c>
      <c r="AJ11" s="345">
        <v>2.2413793103448274</v>
      </c>
      <c r="AK11" s="348">
        <f>CountyScoresTbl[[#This Row],[Percent of Overcrowded Homeowners]]</f>
        <v>4.5581395348837208E-3</v>
      </c>
      <c r="AL11" s="345">
        <v>2.5862068965517242</v>
      </c>
      <c r="AM11" s="346">
        <v>8</v>
      </c>
      <c r="AN11" s="347">
        <v>0.38271604938271603</v>
      </c>
      <c r="AO11" s="342">
        <v>9</v>
      </c>
      <c r="AP11" s="348">
        <f>CountyScoresTbl[[#This Row],[Rental Vacancy Rate]]</f>
        <v>4.9917264202978491E-2</v>
      </c>
      <c r="AQ11" s="342">
        <v>6</v>
      </c>
      <c r="AR11" s="346">
        <v>10</v>
      </c>
      <c r="AS11" s="349">
        <f>CountyScoresTbl[[#This Row],[Median Owner to Renter Cost Ratio]]</f>
        <v>1.7886363636363636</v>
      </c>
      <c r="AT11" s="342">
        <v>1</v>
      </c>
      <c r="AU11" s="346">
        <v>16</v>
      </c>
      <c r="AV11" s="350">
        <v>0</v>
      </c>
      <c r="AW11" s="351">
        <v>0</v>
      </c>
    </row>
    <row r="12" spans="1:49" ht="16" x14ac:dyDescent="0.35">
      <c r="A12" s="332" t="s">
        <v>124</v>
      </c>
      <c r="B12" s="333">
        <v>5.1681195516811957</v>
      </c>
      <c r="C12" s="334">
        <v>2</v>
      </c>
      <c r="D12" s="335">
        <v>0.67811934900542492</v>
      </c>
      <c r="E12" s="334">
        <v>4</v>
      </c>
      <c r="F12" s="335">
        <v>5.0563360689942966E-2</v>
      </c>
      <c r="G12" s="334">
        <v>4</v>
      </c>
      <c r="H12" s="335">
        <v>3.8775237331194007E-2</v>
      </c>
      <c r="I12" s="334">
        <v>2</v>
      </c>
      <c r="J12" s="336">
        <f>MIN(15,CountyScoresTbl[[#This Row],[Housing Affordability Points]]+CountyScoresTbl[[#This Row],[Percent of Low-Income Renter households Points]]+CountyScoresTbl[[#This Row],[Percent of Overcrowded Renter Households Points]]+CountyScoresTbl[[#This Row],[Rental Vacancy Rate Points]])</f>
        <v>12</v>
      </c>
      <c r="K12" s="337">
        <v>0.58902776108640786</v>
      </c>
      <c r="L12" s="352">
        <v>1</v>
      </c>
      <c r="M12" s="335">
        <v>6.4953477381717889E-2</v>
      </c>
      <c r="N12" s="334">
        <v>4</v>
      </c>
      <c r="O12" s="339">
        <v>0.30394516374714392</v>
      </c>
      <c r="P12" s="334">
        <v>2</v>
      </c>
      <c r="Q12" s="335">
        <v>1.1667936024371668E-2</v>
      </c>
      <c r="R12" s="334">
        <v>4</v>
      </c>
      <c r="S12" s="340">
        <f>ROUND(CountyScoresTbl[[#This Row],[Age of Housing Stock Points]],0)+
ROUND(CountyScoresTbl[[#This Row],[Percent of Homeowners in Poverty Points]],0)+
ROUND(CountyScoresTbl[[#This Row],[Percent of Low-Income Homeowners Points]],0)+
ROUND(CountyScoresTbl[[#This Row],[Percent of Overcrowded Homeowners Points]],0)</f>
        <v>11</v>
      </c>
      <c r="T12" s="341">
        <v>1.6132167152575316</v>
      </c>
      <c r="U12" s="342">
        <v>4</v>
      </c>
      <c r="V12" s="495">
        <v>375000</v>
      </c>
      <c r="W12" s="495">
        <v>394900</v>
      </c>
      <c r="X12" s="495">
        <v>371186</v>
      </c>
      <c r="Y12" s="343">
        <f>AVERAGE(CountyScoresTbl[[#This Row],[Redfin.com 
Median Sales Price]:[Zillow.com Median Sales Price]])</f>
        <v>380362</v>
      </c>
      <c r="Z12" s="344">
        <v>4265</v>
      </c>
      <c r="AA12" s="342" cm="1">
        <f t="array" ref="AA12">IF(INDEX(CHMATbl[NEW CONSTRUCTION OR AQUIRE/REHAB],ROW(A10),1)="",
INDEX(CHMATbl[UNRESTRICTED UNITS],ROW(A10),1)+
INDEX(CHMATbl[MANUFACTURED UNITS],ROW(A10),1)+
INDEX(CHMATbl[RURAL UNITS],ROW(A10),1)+
INDEX(CHMATbl[MANUFACTURED AND RURAL UNITS],ROW(A10),1),
0)</f>
        <v>0</v>
      </c>
      <c r="AB12" s="473" cm="1">
        <f t="array" ref="AB12">IF(INDEX(CHMATbl[NEW CONSTRUCTION OR AQUIRE/REHAB],ROW(A10),1)="",
INDEX(S1MATbl[UNRESTRICTED UNITS],ROW(A10),1)+
INDEX(S1MATbl[RURAL UNITS],ROW(A10),1),
0)</f>
        <v>0</v>
      </c>
      <c r="AC12" s="345">
        <f>IFERROR(
CountyScoresTbl[[#This Row],[Affordable Single Family Homes Sold In Last Year
(Zillow.com)]]/CountyScoresTbl[[#This Row],[CalHome Proposed Number of Loans (entered by Applicant)]],
0)</f>
        <v>0</v>
      </c>
      <c r="AD12" s="345">
        <f>IFERROR(
CountyScoresTbl[[#This Row],[Affordable Single Family Homes Sold In Last Year
(Zillow.com)]]/CountyScoresTbl[[#This Row],[Serna Proposed Number of Loans (entered by Applicant)]],
0)</f>
        <v>0</v>
      </c>
      <c r="AE12" s="342">
        <f t="shared" si="0"/>
        <v>2</v>
      </c>
      <c r="AF12" s="373">
        <f t="shared" si="1"/>
        <v>2</v>
      </c>
      <c r="AG12" s="346">
        <f>CountyScoresTbl[[#This Row],[Median Owner Renter Cost Ratio Points]]+CountyScoresTbl[[#This Row],[CalHome Proposed Loans to Sales Ratio Points]]</f>
        <v>6</v>
      </c>
      <c r="AH12" s="375">
        <f>CountyScoresTbl[[#This Row],[Median Owner Renter Cost Ratio Points]]+CountyScoresTbl[[#This Row],[Serna Proposed Loans to Sales Ratio Points]]</f>
        <v>6</v>
      </c>
      <c r="AI12" s="347">
        <f>CountyScoresTbl[[#This Row],[Age of Housing Stock]]</f>
        <v>0.58902776108640786</v>
      </c>
      <c r="AJ12" s="345">
        <v>2.5862068965517242</v>
      </c>
      <c r="AK12" s="348">
        <f>CountyScoresTbl[[#This Row],[Percent of Overcrowded Homeowners]]</f>
        <v>1.1667936024371668E-2</v>
      </c>
      <c r="AL12" s="345">
        <v>8.1034482758620676</v>
      </c>
      <c r="AM12" s="346">
        <v>14</v>
      </c>
      <c r="AN12" s="347">
        <v>0.40184615384615385</v>
      </c>
      <c r="AO12" s="342">
        <v>9</v>
      </c>
      <c r="AP12" s="348">
        <f>CountyScoresTbl[[#This Row],[Rental Vacancy Rate]]</f>
        <v>3.8775237331194007E-2</v>
      </c>
      <c r="AQ12" s="342">
        <v>6</v>
      </c>
      <c r="AR12" s="346">
        <v>14</v>
      </c>
      <c r="AS12" s="349">
        <f>CountyScoresTbl[[#This Row],[Median Owner to Renter Cost Ratio]]</f>
        <v>1.6132167152575316</v>
      </c>
      <c r="AT12" s="342">
        <v>2</v>
      </c>
      <c r="AU12" s="346">
        <v>17</v>
      </c>
      <c r="AV12" s="350">
        <v>1</v>
      </c>
      <c r="AW12" s="351">
        <v>10</v>
      </c>
    </row>
    <row r="13" spans="1:49" ht="16" x14ac:dyDescent="0.35">
      <c r="A13" s="332" t="s">
        <v>125</v>
      </c>
      <c r="B13" s="333">
        <v>4.0722291407222917</v>
      </c>
      <c r="C13" s="334">
        <v>1</v>
      </c>
      <c r="D13" s="335">
        <v>0.70451770451770457</v>
      </c>
      <c r="E13" s="334">
        <v>4</v>
      </c>
      <c r="F13" s="335">
        <v>1.098901098901099E-2</v>
      </c>
      <c r="G13" s="334">
        <v>1</v>
      </c>
      <c r="H13" s="335">
        <v>1.3253012048192771E-2</v>
      </c>
      <c r="I13" s="334">
        <v>4</v>
      </c>
      <c r="J13" s="336">
        <f>MIN(15,CountyScoresTbl[[#This Row],[Housing Affordability Points]]+CountyScoresTbl[[#This Row],[Percent of Low-Income Renter households Points]]+CountyScoresTbl[[#This Row],[Percent of Overcrowded Renter Households Points]]+CountyScoresTbl[[#This Row],[Rental Vacancy Rate Points]])</f>
        <v>10</v>
      </c>
      <c r="K13" s="337">
        <v>0.69430485762144056</v>
      </c>
      <c r="L13" s="352">
        <v>3</v>
      </c>
      <c r="M13" s="335">
        <v>2.4349635796045786E-2</v>
      </c>
      <c r="N13" s="334">
        <v>1</v>
      </c>
      <c r="O13" s="339">
        <v>0.39398998330550916</v>
      </c>
      <c r="P13" s="334">
        <v>4</v>
      </c>
      <c r="Q13" s="335">
        <v>3.3388981636060101E-3</v>
      </c>
      <c r="R13" s="334">
        <v>1</v>
      </c>
      <c r="S13" s="340">
        <f>ROUND(CountyScoresTbl[[#This Row],[Age of Housing Stock Points]],0)+
ROUND(CountyScoresTbl[[#This Row],[Percent of Homeowners in Poverty Points]],0)+
ROUND(CountyScoresTbl[[#This Row],[Percent of Low-Income Homeowners Points]],0)+
ROUND(CountyScoresTbl[[#This Row],[Percent of Overcrowded Homeowners Points]],0)</f>
        <v>9</v>
      </c>
      <c r="T13" s="341">
        <v>1.8592592592592592</v>
      </c>
      <c r="U13" s="342">
        <v>2</v>
      </c>
      <c r="V13" s="495">
        <v>392500</v>
      </c>
      <c r="W13" s="495">
        <v>395000</v>
      </c>
      <c r="X13" s="495">
        <v>337585</v>
      </c>
      <c r="Y13" s="343">
        <f>AVERAGE(CountyScoresTbl[[#This Row],[Redfin.com 
Median Sales Price]:[Zillow.com Median Sales Price]])</f>
        <v>375028.33333333331</v>
      </c>
      <c r="Z13" s="344">
        <v>170</v>
      </c>
      <c r="AA13" s="342" cm="1">
        <f t="array" ref="AA13">IF(INDEX(CHMATbl[NEW CONSTRUCTION OR AQUIRE/REHAB],ROW(A11),1)="",
INDEX(CHMATbl[UNRESTRICTED UNITS],ROW(A11),1)+
INDEX(CHMATbl[MANUFACTURED UNITS],ROW(A11),1)+
INDEX(CHMATbl[RURAL UNITS],ROW(A11),1)+
INDEX(CHMATbl[MANUFACTURED AND RURAL UNITS],ROW(A11),1),
0)</f>
        <v>0</v>
      </c>
      <c r="AB13" s="473" cm="1">
        <f t="array" ref="AB13">IF(INDEX(CHMATbl[NEW CONSTRUCTION OR AQUIRE/REHAB],ROW(A11),1)="",
INDEX(S1MATbl[UNRESTRICTED UNITS],ROW(A11),1)+
INDEX(S1MATbl[RURAL UNITS],ROW(A11),1),
0)</f>
        <v>0</v>
      </c>
      <c r="AC13" s="345">
        <f>IFERROR(
CountyScoresTbl[[#This Row],[Affordable Single Family Homes Sold In Last Year
(Zillow.com)]]/CountyScoresTbl[[#This Row],[CalHome Proposed Number of Loans (entered by Applicant)]],
0)</f>
        <v>0</v>
      </c>
      <c r="AD13" s="345">
        <f>IFERROR(
CountyScoresTbl[[#This Row],[Affordable Single Family Homes Sold In Last Year
(Zillow.com)]]/CountyScoresTbl[[#This Row],[Serna Proposed Number of Loans (entered by Applicant)]],
0)</f>
        <v>0</v>
      </c>
      <c r="AE13" s="342">
        <f t="shared" si="0"/>
        <v>2</v>
      </c>
      <c r="AF13" s="373">
        <f t="shared" si="1"/>
        <v>2</v>
      </c>
      <c r="AG13" s="346">
        <f>CountyScoresTbl[[#This Row],[Median Owner Renter Cost Ratio Points]]+CountyScoresTbl[[#This Row],[CalHome Proposed Loans to Sales Ratio Points]]</f>
        <v>4</v>
      </c>
      <c r="AH13" s="375">
        <f>CountyScoresTbl[[#This Row],[Median Owner Renter Cost Ratio Points]]+CountyScoresTbl[[#This Row],[Serna Proposed Loans to Sales Ratio Points]]</f>
        <v>4</v>
      </c>
      <c r="AI13" s="347">
        <f>CountyScoresTbl[[#This Row],[Age of Housing Stock]]</f>
        <v>0.69430485762144056</v>
      </c>
      <c r="AJ13" s="345">
        <v>5.5172413793103452</v>
      </c>
      <c r="AK13" s="348">
        <f>CountyScoresTbl[[#This Row],[Percent of Overcrowded Homeowners]]</f>
        <v>3.3388981636060101E-3</v>
      </c>
      <c r="AL13" s="345">
        <v>1.5517241379310345</v>
      </c>
      <c r="AM13" s="346">
        <v>8</v>
      </c>
      <c r="AN13" s="347">
        <v>0.34488734835355284</v>
      </c>
      <c r="AO13" s="342">
        <v>6</v>
      </c>
      <c r="AP13" s="348">
        <f>CountyScoresTbl[[#This Row],[Rental Vacancy Rate]]</f>
        <v>1.3253012048192771E-2</v>
      </c>
      <c r="AQ13" s="342">
        <v>12</v>
      </c>
      <c r="AR13" s="346">
        <v>14</v>
      </c>
      <c r="AS13" s="349">
        <f>CountyScoresTbl[[#This Row],[Median Owner to Renter Cost Ratio]]</f>
        <v>1.8592592592592592</v>
      </c>
      <c r="AT13" s="342">
        <v>1</v>
      </c>
      <c r="AU13" s="346">
        <v>16</v>
      </c>
      <c r="AV13" s="350">
        <v>0</v>
      </c>
      <c r="AW13" s="351">
        <v>0</v>
      </c>
    </row>
    <row r="14" spans="1:49" ht="16" x14ac:dyDescent="0.35">
      <c r="A14" s="332" t="s">
        <v>126</v>
      </c>
      <c r="B14" s="333">
        <v>5.7285180572851804</v>
      </c>
      <c r="C14" s="334">
        <v>2</v>
      </c>
      <c r="D14" s="335">
        <v>0.68771186440677967</v>
      </c>
      <c r="E14" s="334">
        <v>4</v>
      </c>
      <c r="F14" s="335">
        <v>2.6271186440677965E-2</v>
      </c>
      <c r="G14" s="334">
        <v>2</v>
      </c>
      <c r="H14" s="335">
        <v>3.0999794703346337E-2</v>
      </c>
      <c r="I14" s="334">
        <v>3</v>
      </c>
      <c r="J14" s="336">
        <f>MIN(15,CountyScoresTbl[[#This Row],[Housing Affordability Points]]+CountyScoresTbl[[#This Row],[Percent of Low-Income Renter households Points]]+CountyScoresTbl[[#This Row],[Percent of Overcrowded Renter Households Points]]+CountyScoresTbl[[#This Row],[Rental Vacancy Rate Points]])</f>
        <v>11</v>
      </c>
      <c r="K14" s="337">
        <v>0.73794740092974875</v>
      </c>
      <c r="L14" s="352">
        <v>3</v>
      </c>
      <c r="M14" s="335">
        <v>5.6801195814648729E-2</v>
      </c>
      <c r="N14" s="334">
        <v>3</v>
      </c>
      <c r="O14" s="339">
        <v>0.35247747747747749</v>
      </c>
      <c r="P14" s="334">
        <v>3</v>
      </c>
      <c r="Q14" s="335">
        <v>9.813384813384814E-3</v>
      </c>
      <c r="R14" s="334">
        <v>3</v>
      </c>
      <c r="S14" s="340">
        <f>ROUND(CountyScoresTbl[[#This Row],[Age of Housing Stock Points]],0)+
ROUND(CountyScoresTbl[[#This Row],[Percent of Homeowners in Poverty Points]],0)+
ROUND(CountyScoresTbl[[#This Row],[Percent of Low-Income Homeowners Points]],0)+
ROUND(CountyScoresTbl[[#This Row],[Percent of Overcrowded Homeowners Points]],0)</f>
        <v>12</v>
      </c>
      <c r="T14" s="341">
        <v>1.7754491017964071</v>
      </c>
      <c r="U14" s="342">
        <v>2</v>
      </c>
      <c r="V14" s="495">
        <v>395000</v>
      </c>
      <c r="W14" s="495">
        <v>439000</v>
      </c>
      <c r="X14" s="495">
        <v>415633</v>
      </c>
      <c r="Y14" s="343">
        <f>AVERAGE(CountyScoresTbl[[#This Row],[Redfin.com 
Median Sales Price]:[Zillow.com Median Sales Price]])</f>
        <v>416544.33333333331</v>
      </c>
      <c r="Z14" s="344">
        <v>823</v>
      </c>
      <c r="AA14" s="342" cm="1">
        <f t="array" ref="AA14">IF(INDEX(CHMATbl[NEW CONSTRUCTION OR AQUIRE/REHAB],ROW(A12),1)="",
INDEX(CHMATbl[UNRESTRICTED UNITS],ROW(A12),1)+
INDEX(CHMATbl[MANUFACTURED UNITS],ROW(A12),1)+
INDEX(CHMATbl[RURAL UNITS],ROW(A12),1)+
INDEX(CHMATbl[MANUFACTURED AND RURAL UNITS],ROW(A12),1),
0)</f>
        <v>0</v>
      </c>
      <c r="AB14" s="473" cm="1">
        <f t="array" ref="AB14">IF(INDEX(CHMATbl[NEW CONSTRUCTION OR AQUIRE/REHAB],ROW(A12),1)="",
INDEX(S1MATbl[UNRESTRICTED UNITS],ROW(A12),1)+
INDEX(S1MATbl[RURAL UNITS],ROW(A12),1),
0)</f>
        <v>0</v>
      </c>
      <c r="AC14" s="345">
        <f>IFERROR(
CountyScoresTbl[[#This Row],[Affordable Single Family Homes Sold In Last Year
(Zillow.com)]]/CountyScoresTbl[[#This Row],[CalHome Proposed Number of Loans (entered by Applicant)]],
0)</f>
        <v>0</v>
      </c>
      <c r="AD14" s="345">
        <f>IFERROR(
CountyScoresTbl[[#This Row],[Affordable Single Family Homes Sold In Last Year
(Zillow.com)]]/CountyScoresTbl[[#This Row],[Serna Proposed Number of Loans (entered by Applicant)]],
0)</f>
        <v>0</v>
      </c>
      <c r="AE14" s="342">
        <f t="shared" si="0"/>
        <v>2</v>
      </c>
      <c r="AF14" s="373">
        <f t="shared" si="1"/>
        <v>2</v>
      </c>
      <c r="AG14" s="346">
        <f>CountyScoresTbl[[#This Row],[Median Owner Renter Cost Ratio Points]]+CountyScoresTbl[[#This Row],[CalHome Proposed Loans to Sales Ratio Points]]</f>
        <v>4</v>
      </c>
      <c r="AH14" s="375">
        <f>CountyScoresTbl[[#This Row],[Median Owner Renter Cost Ratio Points]]+CountyScoresTbl[[#This Row],[Serna Proposed Loans to Sales Ratio Points]]</f>
        <v>4</v>
      </c>
      <c r="AI14" s="347">
        <f>CountyScoresTbl[[#This Row],[Age of Housing Stock]]</f>
        <v>0.73794740092974875</v>
      </c>
      <c r="AJ14" s="345">
        <v>7.068965517241379</v>
      </c>
      <c r="AK14" s="348">
        <f>CountyScoresTbl[[#This Row],[Percent of Overcrowded Homeowners]]</f>
        <v>9.813384813384814E-3</v>
      </c>
      <c r="AL14" s="345">
        <v>6.5517241379310338</v>
      </c>
      <c r="AM14" s="346">
        <v>16</v>
      </c>
      <c r="AN14" s="347">
        <v>0.45440542205791745</v>
      </c>
      <c r="AO14" s="342">
        <v>12</v>
      </c>
      <c r="AP14" s="348">
        <f>CountyScoresTbl[[#This Row],[Rental Vacancy Rate]]</f>
        <v>3.0999794703346337E-2</v>
      </c>
      <c r="AQ14" s="342">
        <v>9</v>
      </c>
      <c r="AR14" s="346">
        <v>18</v>
      </c>
      <c r="AS14" s="349">
        <f>CountyScoresTbl[[#This Row],[Median Owner to Renter Cost Ratio]]</f>
        <v>1.7754491017964071</v>
      </c>
      <c r="AT14" s="342">
        <v>1</v>
      </c>
      <c r="AU14" s="346">
        <v>16</v>
      </c>
      <c r="AV14" s="350">
        <v>0</v>
      </c>
      <c r="AW14" s="351">
        <v>0</v>
      </c>
    </row>
    <row r="15" spans="1:49" ht="16" x14ac:dyDescent="0.35">
      <c r="A15" s="332" t="s">
        <v>127</v>
      </c>
      <c r="B15" s="333">
        <v>15</v>
      </c>
      <c r="C15" s="334">
        <v>4</v>
      </c>
      <c r="D15" s="335">
        <v>0.74350736278447127</v>
      </c>
      <c r="E15" s="334">
        <v>4</v>
      </c>
      <c r="F15" s="335">
        <v>4.3641231593038822E-2</v>
      </c>
      <c r="G15" s="334">
        <v>4</v>
      </c>
      <c r="H15" s="335">
        <v>4.2553191489361701E-2</v>
      </c>
      <c r="I15" s="334">
        <v>2</v>
      </c>
      <c r="J15" s="336">
        <f>MIN(15,CountyScoresTbl[[#This Row],[Housing Affordability Points]]+CountyScoresTbl[[#This Row],[Percent of Low-Income Renter households Points]]+CountyScoresTbl[[#This Row],[Percent of Overcrowded Renter Households Points]]+CountyScoresTbl[[#This Row],[Rental Vacancy Rate Points]])</f>
        <v>14</v>
      </c>
      <c r="K15" s="337">
        <v>0.48640415209297078</v>
      </c>
      <c r="L15" s="352">
        <v>1</v>
      </c>
      <c r="M15" s="335">
        <v>8.3174789014098249E-2</v>
      </c>
      <c r="N15" s="334">
        <v>4</v>
      </c>
      <c r="O15" s="339">
        <v>0.38463008984897723</v>
      </c>
      <c r="P15" s="334">
        <v>4</v>
      </c>
      <c r="Q15" s="335">
        <v>2.504301280825846E-2</v>
      </c>
      <c r="R15" s="334">
        <v>4</v>
      </c>
      <c r="S15" s="340">
        <f>ROUND(CountyScoresTbl[[#This Row],[Age of Housing Stock Points]],0)+
ROUND(CountyScoresTbl[[#This Row],[Percent of Homeowners in Poverty Points]],0)+
ROUND(CountyScoresTbl[[#This Row],[Percent of Low-Income Homeowners Points]],0)+
ROUND(CountyScoresTbl[[#This Row],[Percent of Overcrowded Homeowners Points]],0)</f>
        <v>13</v>
      </c>
      <c r="T15" s="341">
        <v>1.7272727272727273</v>
      </c>
      <c r="U15" s="342">
        <v>2</v>
      </c>
      <c r="V15" s="495">
        <v>324000</v>
      </c>
      <c r="W15" s="495">
        <v>335000</v>
      </c>
      <c r="X15" s="495">
        <v>302357</v>
      </c>
      <c r="Y15" s="343">
        <f>AVERAGE(CountyScoresTbl[[#This Row],[Redfin.com 
Median Sales Price]:[Zillow.com Median Sales Price]])</f>
        <v>320452.33333333331</v>
      </c>
      <c r="Z15" s="344">
        <v>1630</v>
      </c>
      <c r="AA15" s="342" cm="1">
        <f t="array" ref="AA15">IF(INDEX(CHMATbl[NEW CONSTRUCTION OR AQUIRE/REHAB],ROW(A13),1)="",
INDEX(CHMATbl[UNRESTRICTED UNITS],ROW(A13),1)+
INDEX(CHMATbl[MANUFACTURED UNITS],ROW(A13),1)+
INDEX(CHMATbl[RURAL UNITS],ROW(A13),1)+
INDEX(CHMATbl[MANUFACTURED AND RURAL UNITS],ROW(A13),1),
0)</f>
        <v>0</v>
      </c>
      <c r="AB15" s="473" cm="1">
        <f t="array" ref="AB15">IF(INDEX(CHMATbl[NEW CONSTRUCTION OR AQUIRE/REHAB],ROW(A13),1)="",
INDEX(S1MATbl[UNRESTRICTED UNITS],ROW(A13),1)+
INDEX(S1MATbl[RURAL UNITS],ROW(A13),1),
0)</f>
        <v>0</v>
      </c>
      <c r="AC15" s="345">
        <f>IFERROR(
CountyScoresTbl[[#This Row],[Affordable Single Family Homes Sold In Last Year
(Zillow.com)]]/CountyScoresTbl[[#This Row],[CalHome Proposed Number of Loans (entered by Applicant)]],
0)</f>
        <v>0</v>
      </c>
      <c r="AD15" s="345">
        <f>IFERROR(
CountyScoresTbl[[#This Row],[Affordable Single Family Homes Sold In Last Year
(Zillow.com)]]/CountyScoresTbl[[#This Row],[Serna Proposed Number of Loans (entered by Applicant)]],
0)</f>
        <v>0</v>
      </c>
      <c r="AE15" s="342">
        <f t="shared" si="0"/>
        <v>2</v>
      </c>
      <c r="AF15" s="373">
        <f t="shared" si="1"/>
        <v>2</v>
      </c>
      <c r="AG15" s="346">
        <f>CountyScoresTbl[[#This Row],[Median Owner Renter Cost Ratio Points]]+CountyScoresTbl[[#This Row],[CalHome Proposed Loans to Sales Ratio Points]]</f>
        <v>4</v>
      </c>
      <c r="AH15" s="375">
        <f>CountyScoresTbl[[#This Row],[Median Owner Renter Cost Ratio Points]]+CountyScoresTbl[[#This Row],[Serna Proposed Loans to Sales Ratio Points]]</f>
        <v>4</v>
      </c>
      <c r="AI15" s="347">
        <f>CountyScoresTbl[[#This Row],[Age of Housing Stock]]</f>
        <v>0.48640415209297078</v>
      </c>
      <c r="AJ15" s="345">
        <v>0.34482758620689657</v>
      </c>
      <c r="AK15" s="348">
        <f>CountyScoresTbl[[#This Row],[Percent of Overcrowded Homeowners]]</f>
        <v>2.504301280825846E-2</v>
      </c>
      <c r="AL15" s="345">
        <v>10</v>
      </c>
      <c r="AM15" s="346">
        <v>12</v>
      </c>
      <c r="AN15" s="347">
        <v>0.34029528267915016</v>
      </c>
      <c r="AO15" s="342">
        <v>6</v>
      </c>
      <c r="AP15" s="348">
        <f>CountyScoresTbl[[#This Row],[Rental Vacancy Rate]]</f>
        <v>4.2553191489361701E-2</v>
      </c>
      <c r="AQ15" s="342">
        <v>6</v>
      </c>
      <c r="AR15" s="346">
        <v>10</v>
      </c>
      <c r="AS15" s="349">
        <f>CountyScoresTbl[[#This Row],[Median Owner to Renter Cost Ratio]]</f>
        <v>1.7272727272727273</v>
      </c>
      <c r="AT15" s="342">
        <v>1</v>
      </c>
      <c r="AU15" s="346">
        <v>16</v>
      </c>
      <c r="AV15" s="350">
        <v>0</v>
      </c>
      <c r="AW15" s="351">
        <v>0</v>
      </c>
    </row>
    <row r="16" spans="1:49" ht="16" x14ac:dyDescent="0.35">
      <c r="A16" s="332" t="s">
        <v>128</v>
      </c>
      <c r="B16" s="333">
        <v>15</v>
      </c>
      <c r="C16" s="334">
        <v>4</v>
      </c>
      <c r="D16" s="335">
        <v>0.52459016393442626</v>
      </c>
      <c r="E16" s="334">
        <v>1</v>
      </c>
      <c r="F16" s="335">
        <v>7.2859744990892532E-3</v>
      </c>
      <c r="G16" s="334">
        <v>1</v>
      </c>
      <c r="H16" s="335">
        <v>5.5077452667814115E-2</v>
      </c>
      <c r="I16" s="334">
        <v>1</v>
      </c>
      <c r="J16" s="336">
        <f>MIN(15,CountyScoresTbl[[#This Row],[Housing Affordability Points]]+CountyScoresTbl[[#This Row],[Percent of Low-Income Renter households Points]]+CountyScoresTbl[[#This Row],[Percent of Overcrowded Renter Households Points]]+CountyScoresTbl[[#This Row],[Rental Vacancy Rate Points]])</f>
        <v>7</v>
      </c>
      <c r="K16" s="337">
        <v>0.79864603481624763</v>
      </c>
      <c r="L16" s="352">
        <v>4</v>
      </c>
      <c r="M16" s="335">
        <v>6.085479762241721E-2</v>
      </c>
      <c r="N16" s="334">
        <v>4</v>
      </c>
      <c r="O16" s="339">
        <v>0.36599423631123917</v>
      </c>
      <c r="P16" s="334">
        <v>3</v>
      </c>
      <c r="Q16" s="335">
        <v>0</v>
      </c>
      <c r="R16" s="334">
        <v>1</v>
      </c>
      <c r="S16" s="340">
        <f>ROUND(CountyScoresTbl[[#This Row],[Age of Housing Stock Points]],0)+
ROUND(CountyScoresTbl[[#This Row],[Percent of Homeowners in Poverty Points]],0)+
ROUND(CountyScoresTbl[[#This Row],[Percent of Low-Income Homeowners Points]],0)+
ROUND(CountyScoresTbl[[#This Row],[Percent of Overcrowded Homeowners Points]],0)</f>
        <v>12</v>
      </c>
      <c r="T16" s="341">
        <v>1.9680170575692963</v>
      </c>
      <c r="U16" s="342">
        <v>2</v>
      </c>
      <c r="V16" s="495">
        <v>417500</v>
      </c>
      <c r="W16" s="495">
        <v>459900</v>
      </c>
      <c r="X16" s="495">
        <v>460568</v>
      </c>
      <c r="Y16" s="343">
        <f>AVERAGE(CountyScoresTbl[[#This Row],[Redfin.com 
Median Sales Price]:[Zillow.com Median Sales Price]])</f>
        <v>445989.33333333331</v>
      </c>
      <c r="Z16" s="344">
        <v>180</v>
      </c>
      <c r="AA16" s="342" cm="1">
        <f t="array" ref="AA16">IF(INDEX(CHMATbl[NEW CONSTRUCTION OR AQUIRE/REHAB],ROW(A14),1)="",
INDEX(CHMATbl[UNRESTRICTED UNITS],ROW(A14),1)+
INDEX(CHMATbl[MANUFACTURED UNITS],ROW(A14),1)+
INDEX(CHMATbl[RURAL UNITS],ROW(A14),1)+
INDEX(CHMATbl[MANUFACTURED AND RURAL UNITS],ROW(A14),1),
0)</f>
        <v>0</v>
      </c>
      <c r="AB16" s="473" cm="1">
        <f t="array" ref="AB16">IF(INDEX(CHMATbl[NEW CONSTRUCTION OR AQUIRE/REHAB],ROW(A14),1)="",
INDEX(S1MATbl[UNRESTRICTED UNITS],ROW(A14),1)+
INDEX(S1MATbl[RURAL UNITS],ROW(A14),1),
0)</f>
        <v>0</v>
      </c>
      <c r="AC16" s="345">
        <f>IFERROR(
CountyScoresTbl[[#This Row],[Affordable Single Family Homes Sold In Last Year
(Zillow.com)]]/CountyScoresTbl[[#This Row],[CalHome Proposed Number of Loans (entered by Applicant)]],
0)</f>
        <v>0</v>
      </c>
      <c r="AD16" s="345">
        <f>IFERROR(
CountyScoresTbl[[#This Row],[Affordable Single Family Homes Sold In Last Year
(Zillow.com)]]/CountyScoresTbl[[#This Row],[Serna Proposed Number of Loans (entered by Applicant)]],
0)</f>
        <v>0</v>
      </c>
      <c r="AE16" s="342">
        <f t="shared" si="0"/>
        <v>2</v>
      </c>
      <c r="AF16" s="373">
        <f t="shared" si="1"/>
        <v>2</v>
      </c>
      <c r="AG16" s="346">
        <f>CountyScoresTbl[[#This Row],[Median Owner Renter Cost Ratio Points]]+CountyScoresTbl[[#This Row],[CalHome Proposed Loans to Sales Ratio Points]]</f>
        <v>4</v>
      </c>
      <c r="AH16" s="375">
        <f>CountyScoresTbl[[#This Row],[Median Owner Renter Cost Ratio Points]]+CountyScoresTbl[[#This Row],[Serna Proposed Loans to Sales Ratio Points]]</f>
        <v>4</v>
      </c>
      <c r="AI16" s="347">
        <f>CountyScoresTbl[[#This Row],[Age of Housing Stock]]</f>
        <v>0.79864603481624763</v>
      </c>
      <c r="AJ16" s="345">
        <v>9.1379310344827598</v>
      </c>
      <c r="AK16" s="348">
        <f>CountyScoresTbl[[#This Row],[Percent of Overcrowded Homeowners]]</f>
        <v>0</v>
      </c>
      <c r="AL16" s="345">
        <v>0.68965517241379315</v>
      </c>
      <c r="AM16" s="346">
        <v>12</v>
      </c>
      <c r="AN16" s="347">
        <v>0.23958333333333334</v>
      </c>
      <c r="AO16" s="342">
        <v>3</v>
      </c>
      <c r="AP16" s="348">
        <f>CountyScoresTbl[[#This Row],[Rental Vacancy Rate]]</f>
        <v>5.5077452667814115E-2</v>
      </c>
      <c r="AQ16" s="342">
        <v>3</v>
      </c>
      <c r="AR16" s="346">
        <v>4</v>
      </c>
      <c r="AS16" s="349">
        <f>CountyScoresTbl[[#This Row],[Median Owner to Renter Cost Ratio]]</f>
        <v>1.9680170575692963</v>
      </c>
      <c r="AT16" s="342">
        <v>1</v>
      </c>
      <c r="AU16" s="346">
        <v>16</v>
      </c>
      <c r="AV16" s="350">
        <v>0</v>
      </c>
      <c r="AW16" s="351">
        <v>0</v>
      </c>
    </row>
    <row r="17" spans="1:49" ht="16" x14ac:dyDescent="0.35">
      <c r="A17" s="332" t="s">
        <v>129</v>
      </c>
      <c r="B17" s="333">
        <v>4.5454545454545459</v>
      </c>
      <c r="C17" s="334">
        <v>1</v>
      </c>
      <c r="D17" s="335">
        <v>0.68109642508648982</v>
      </c>
      <c r="E17" s="334">
        <v>4</v>
      </c>
      <c r="F17" s="335">
        <v>4.9143972323250247E-2</v>
      </c>
      <c r="G17" s="334">
        <v>4</v>
      </c>
      <c r="H17" s="335">
        <v>5.4159499937072621E-2</v>
      </c>
      <c r="I17" s="334">
        <v>1</v>
      </c>
      <c r="J17" s="336">
        <f>MIN(15,CountyScoresTbl[[#This Row],[Housing Affordability Points]]+CountyScoresTbl[[#This Row],[Percent of Low-Income Renter households Points]]+CountyScoresTbl[[#This Row],[Percent of Overcrowded Renter Households Points]]+CountyScoresTbl[[#This Row],[Rental Vacancy Rate Points]])</f>
        <v>10</v>
      </c>
      <c r="K17" s="337">
        <v>0.55993619385152038</v>
      </c>
      <c r="L17" s="352">
        <v>1</v>
      </c>
      <c r="M17" s="335">
        <v>7.7166798012126669E-2</v>
      </c>
      <c r="N17" s="334">
        <v>4</v>
      </c>
      <c r="O17" s="339">
        <v>0.34956047094665355</v>
      </c>
      <c r="P17" s="334">
        <v>3</v>
      </c>
      <c r="Q17" s="335">
        <v>1.1297642093237283E-2</v>
      </c>
      <c r="R17" s="334">
        <v>4</v>
      </c>
      <c r="S17" s="340">
        <f>ROUND(CountyScoresTbl[[#This Row],[Age of Housing Stock Points]],0)+
ROUND(CountyScoresTbl[[#This Row],[Percent of Homeowners in Poverty Points]],0)+
ROUND(CountyScoresTbl[[#This Row],[Percent of Low-Income Homeowners Points]],0)+
ROUND(CountyScoresTbl[[#This Row],[Percent of Overcrowded Homeowners Points]],0)</f>
        <v>12</v>
      </c>
      <c r="T17" s="341">
        <v>1.5955734406438631</v>
      </c>
      <c r="U17" s="342">
        <v>6</v>
      </c>
      <c r="V17" s="495">
        <v>335250</v>
      </c>
      <c r="W17" s="495">
        <v>359000</v>
      </c>
      <c r="X17" s="495">
        <v>326064</v>
      </c>
      <c r="Y17" s="343">
        <f>AVERAGE(CountyScoresTbl[[#This Row],[Redfin.com 
Median Sales Price]:[Zillow.com Median Sales Price]])</f>
        <v>340104.66666666669</v>
      </c>
      <c r="Z17" s="344">
        <v>4870</v>
      </c>
      <c r="AA17" s="342" cm="1">
        <f t="array" ref="AA17">IF(INDEX(CHMATbl[NEW CONSTRUCTION OR AQUIRE/REHAB],ROW(A15),1)="",
INDEX(CHMATbl[UNRESTRICTED UNITS],ROW(A15),1)+
INDEX(CHMATbl[MANUFACTURED UNITS],ROW(A15),1)+
INDEX(CHMATbl[RURAL UNITS],ROW(A15),1)+
INDEX(CHMATbl[MANUFACTURED AND RURAL UNITS],ROW(A15),1),
0)</f>
        <v>0</v>
      </c>
      <c r="AB17" s="473" cm="1">
        <f t="array" ref="AB17">IF(INDEX(CHMATbl[NEW CONSTRUCTION OR AQUIRE/REHAB],ROW(A15),1)="",
INDEX(S1MATbl[UNRESTRICTED UNITS],ROW(A15),1)+
INDEX(S1MATbl[RURAL UNITS],ROW(A15),1),
0)</f>
        <v>0</v>
      </c>
      <c r="AC17" s="345">
        <f>IFERROR(
CountyScoresTbl[[#This Row],[Affordable Single Family Homes Sold In Last Year
(Zillow.com)]]/CountyScoresTbl[[#This Row],[CalHome Proposed Number of Loans (entered by Applicant)]],
0)</f>
        <v>0</v>
      </c>
      <c r="AD17" s="345">
        <f>IFERROR(
CountyScoresTbl[[#This Row],[Affordable Single Family Homes Sold In Last Year
(Zillow.com)]]/CountyScoresTbl[[#This Row],[Serna Proposed Number of Loans (entered by Applicant)]],
0)</f>
        <v>0</v>
      </c>
      <c r="AE17" s="342">
        <f t="shared" si="0"/>
        <v>2</v>
      </c>
      <c r="AF17" s="373">
        <f t="shared" si="1"/>
        <v>2</v>
      </c>
      <c r="AG17" s="346">
        <f>CountyScoresTbl[[#This Row],[Median Owner Renter Cost Ratio Points]]+CountyScoresTbl[[#This Row],[CalHome Proposed Loans to Sales Ratio Points]]</f>
        <v>8</v>
      </c>
      <c r="AH17" s="375">
        <f>CountyScoresTbl[[#This Row],[Median Owner Renter Cost Ratio Points]]+CountyScoresTbl[[#This Row],[Serna Proposed Loans to Sales Ratio Points]]</f>
        <v>8</v>
      </c>
      <c r="AI17" s="347">
        <f>CountyScoresTbl[[#This Row],[Age of Housing Stock]]</f>
        <v>0.55993619385152038</v>
      </c>
      <c r="AJ17" s="345">
        <v>2.0689655172413794</v>
      </c>
      <c r="AK17" s="348">
        <f>CountyScoresTbl[[#This Row],[Percent of Overcrowded Homeowners]]</f>
        <v>1.1297642093237283E-2</v>
      </c>
      <c r="AL17" s="345">
        <v>7.5862068965517242</v>
      </c>
      <c r="AM17" s="346">
        <v>10</v>
      </c>
      <c r="AN17" s="347">
        <v>0.3588174003646783</v>
      </c>
      <c r="AO17" s="342">
        <v>6</v>
      </c>
      <c r="AP17" s="348">
        <f>CountyScoresTbl[[#This Row],[Rental Vacancy Rate]]</f>
        <v>5.4159499937072621E-2</v>
      </c>
      <c r="AQ17" s="342">
        <v>3</v>
      </c>
      <c r="AR17" s="346">
        <v>8</v>
      </c>
      <c r="AS17" s="349">
        <f>CountyScoresTbl[[#This Row],[Median Owner to Renter Cost Ratio]]</f>
        <v>1.5955734406438631</v>
      </c>
      <c r="AT17" s="342">
        <v>3</v>
      </c>
      <c r="AU17" s="346">
        <v>18</v>
      </c>
      <c r="AV17" s="350">
        <v>2</v>
      </c>
      <c r="AW17" s="351">
        <v>20</v>
      </c>
    </row>
    <row r="18" spans="1:49" ht="16" x14ac:dyDescent="0.35">
      <c r="A18" s="332" t="s">
        <v>130</v>
      </c>
      <c r="B18" s="333">
        <v>4.2652552926525527</v>
      </c>
      <c r="C18" s="334">
        <v>1</v>
      </c>
      <c r="D18" s="335">
        <v>0.62355212355212353</v>
      </c>
      <c r="E18" s="334">
        <v>2</v>
      </c>
      <c r="F18" s="335">
        <v>2.7750965250965251E-2</v>
      </c>
      <c r="G18" s="334">
        <v>2</v>
      </c>
      <c r="H18" s="335">
        <v>3.1775700934579439E-2</v>
      </c>
      <c r="I18" s="334">
        <v>3</v>
      </c>
      <c r="J18" s="336">
        <f>MIN(15,CountyScoresTbl[[#This Row],[Housing Affordability Points]]+CountyScoresTbl[[#This Row],[Percent of Low-Income Renter households Points]]+CountyScoresTbl[[#This Row],[Percent of Overcrowded Renter Households Points]]+CountyScoresTbl[[#This Row],[Rental Vacancy Rate Points]])</f>
        <v>8</v>
      </c>
      <c r="K18" s="337">
        <v>0.5368452584731257</v>
      </c>
      <c r="L18" s="352">
        <v>1</v>
      </c>
      <c r="M18" s="335">
        <v>5.9325156603674267E-2</v>
      </c>
      <c r="N18" s="334">
        <v>4</v>
      </c>
      <c r="O18" s="339">
        <v>0.29601935341983726</v>
      </c>
      <c r="P18" s="334">
        <v>1</v>
      </c>
      <c r="Q18" s="335">
        <v>1.0996261271167804E-2</v>
      </c>
      <c r="R18" s="334">
        <v>3</v>
      </c>
      <c r="S18" s="340">
        <f>ROUND(CountyScoresTbl[[#This Row],[Age of Housing Stock Points]],0)+
ROUND(CountyScoresTbl[[#This Row],[Percent of Homeowners in Poverty Points]],0)+
ROUND(CountyScoresTbl[[#This Row],[Percent of Low-Income Homeowners Points]],0)+
ROUND(CountyScoresTbl[[#This Row],[Percent of Overcrowded Homeowners Points]],0)</f>
        <v>9</v>
      </c>
      <c r="T18" s="341">
        <v>1.4349514563106796</v>
      </c>
      <c r="U18" s="342">
        <v>10</v>
      </c>
      <c r="V18" s="495">
        <v>355000</v>
      </c>
      <c r="W18" s="495">
        <v>350000</v>
      </c>
      <c r="X18" s="495">
        <v>314284</v>
      </c>
      <c r="Y18" s="343">
        <f>AVERAGE(CountyScoresTbl[[#This Row],[Redfin.com 
Median Sales Price]:[Zillow.com Median Sales Price]])</f>
        <v>339761.33333333331</v>
      </c>
      <c r="Z18" s="344">
        <v>815</v>
      </c>
      <c r="AA18" s="342" cm="1">
        <f t="array" ref="AA18">IF(INDEX(CHMATbl[NEW CONSTRUCTION OR AQUIRE/REHAB],ROW(A16),1)="",
INDEX(CHMATbl[UNRESTRICTED UNITS],ROW(A16),1)+
INDEX(CHMATbl[MANUFACTURED UNITS],ROW(A16),1)+
INDEX(CHMATbl[RURAL UNITS],ROW(A16),1)+
INDEX(CHMATbl[MANUFACTURED AND RURAL UNITS],ROW(A16),1),
0)</f>
        <v>0</v>
      </c>
      <c r="AB18" s="473" cm="1">
        <f t="array" ref="AB18">IF(INDEX(CHMATbl[NEW CONSTRUCTION OR AQUIRE/REHAB],ROW(A16),1)="",
INDEX(S1MATbl[UNRESTRICTED UNITS],ROW(A16),1)+
INDEX(S1MATbl[RURAL UNITS],ROW(A16),1),
0)</f>
        <v>0</v>
      </c>
      <c r="AC18" s="345">
        <f>IFERROR(
CountyScoresTbl[[#This Row],[Affordable Single Family Homes Sold In Last Year
(Zillow.com)]]/CountyScoresTbl[[#This Row],[CalHome Proposed Number of Loans (entered by Applicant)]],
0)</f>
        <v>0</v>
      </c>
      <c r="AD18" s="345">
        <f>IFERROR(
CountyScoresTbl[[#This Row],[Affordable Single Family Homes Sold In Last Year
(Zillow.com)]]/CountyScoresTbl[[#This Row],[Serna Proposed Number of Loans (entered by Applicant)]],
0)</f>
        <v>0</v>
      </c>
      <c r="AE18" s="342">
        <f t="shared" si="0"/>
        <v>2</v>
      </c>
      <c r="AF18" s="373">
        <f t="shared" si="1"/>
        <v>2</v>
      </c>
      <c r="AG18" s="346">
        <f>CountyScoresTbl[[#This Row],[Median Owner Renter Cost Ratio Points]]+CountyScoresTbl[[#This Row],[CalHome Proposed Loans to Sales Ratio Points]]</f>
        <v>12</v>
      </c>
      <c r="AH18" s="375">
        <f>CountyScoresTbl[[#This Row],[Median Owner Renter Cost Ratio Points]]+CountyScoresTbl[[#This Row],[Serna Proposed Loans to Sales Ratio Points]]</f>
        <v>12</v>
      </c>
      <c r="AI18" s="347">
        <f>CountyScoresTbl[[#This Row],[Age of Housing Stock]]</f>
        <v>0.5368452584731257</v>
      </c>
      <c r="AJ18" s="345">
        <v>1.2068965517241379</v>
      </c>
      <c r="AK18" s="348">
        <f>CountyScoresTbl[[#This Row],[Percent of Overcrowded Homeowners]]</f>
        <v>1.0996261271167804E-2</v>
      </c>
      <c r="AL18" s="345">
        <v>7.4137931034482758</v>
      </c>
      <c r="AM18" s="346">
        <v>10</v>
      </c>
      <c r="AN18" s="347">
        <v>0.30108359133126933</v>
      </c>
      <c r="AO18" s="342">
        <v>3</v>
      </c>
      <c r="AP18" s="348">
        <f>CountyScoresTbl[[#This Row],[Rental Vacancy Rate]]</f>
        <v>3.1775700934579439E-2</v>
      </c>
      <c r="AQ18" s="342">
        <v>9</v>
      </c>
      <c r="AR18" s="346">
        <v>10</v>
      </c>
      <c r="AS18" s="349">
        <f>CountyScoresTbl[[#This Row],[Median Owner to Renter Cost Ratio]]</f>
        <v>1.4349514563106796</v>
      </c>
      <c r="AT18" s="342">
        <v>5</v>
      </c>
      <c r="AU18" s="346">
        <v>20</v>
      </c>
      <c r="AV18" s="350">
        <v>0</v>
      </c>
      <c r="AW18" s="351">
        <v>0</v>
      </c>
    </row>
    <row r="19" spans="1:49" ht="16" x14ac:dyDescent="0.35">
      <c r="A19" s="332" t="s">
        <v>131</v>
      </c>
      <c r="B19" s="333">
        <v>4.2278953922789535</v>
      </c>
      <c r="C19" s="334">
        <v>1</v>
      </c>
      <c r="D19" s="335">
        <v>0.67594202898550726</v>
      </c>
      <c r="E19" s="334">
        <v>4</v>
      </c>
      <c r="F19" s="335">
        <v>1.1014492753623189E-2</v>
      </c>
      <c r="G19" s="334">
        <v>1</v>
      </c>
      <c r="H19" s="335">
        <v>5.6345733041575495E-2</v>
      </c>
      <c r="I19" s="334">
        <v>1</v>
      </c>
      <c r="J19" s="336">
        <f>MIN(15,CountyScoresTbl[[#This Row],[Housing Affordability Points]]+CountyScoresTbl[[#This Row],[Percent of Low-Income Renter households Points]]+CountyScoresTbl[[#This Row],[Percent of Overcrowded Renter Households Points]]+CountyScoresTbl[[#This Row],[Rental Vacancy Rate Points]])</f>
        <v>7</v>
      </c>
      <c r="K19" s="337">
        <v>0.69894651539708263</v>
      </c>
      <c r="L19" s="352">
        <v>3</v>
      </c>
      <c r="M19" s="335">
        <v>7.514505849900123E-2</v>
      </c>
      <c r="N19" s="334">
        <v>4</v>
      </c>
      <c r="O19" s="339">
        <v>0.43469327854417378</v>
      </c>
      <c r="P19" s="334">
        <v>4</v>
      </c>
      <c r="Q19" s="335">
        <v>1.3501614323451717E-2</v>
      </c>
      <c r="R19" s="334">
        <v>4</v>
      </c>
      <c r="S19" s="340">
        <f>ROUND(CountyScoresTbl[[#This Row],[Age of Housing Stock Points]],0)+
ROUND(CountyScoresTbl[[#This Row],[Percent of Homeowners in Poverty Points]],0)+
ROUND(CountyScoresTbl[[#This Row],[Percent of Low-Income Homeowners Points]],0)+
ROUND(CountyScoresTbl[[#This Row],[Percent of Overcrowded Homeowners Points]],0)</f>
        <v>15</v>
      </c>
      <c r="T19" s="341">
        <v>1.5535019455252919</v>
      </c>
      <c r="U19" s="342">
        <v>6</v>
      </c>
      <c r="V19" s="495">
        <v>310000</v>
      </c>
      <c r="W19" s="495">
        <v>374900</v>
      </c>
      <c r="X19" s="495">
        <v>324136</v>
      </c>
      <c r="Y19" s="343">
        <f>AVERAGE(CountyScoresTbl[[#This Row],[Redfin.com 
Median Sales Price]:[Zillow.com Median Sales Price]])</f>
        <v>336345.33333333331</v>
      </c>
      <c r="Z19" s="344">
        <v>1035</v>
      </c>
      <c r="AA19" s="342" cm="1">
        <f t="array" ref="AA19">IF(INDEX(CHMATbl[NEW CONSTRUCTION OR AQUIRE/REHAB],ROW(A17),1)="",
INDEX(CHMATbl[UNRESTRICTED UNITS],ROW(A17),1)+
INDEX(CHMATbl[MANUFACTURED UNITS],ROW(A17),1)+
INDEX(CHMATbl[RURAL UNITS],ROW(A17),1)+
INDEX(CHMATbl[MANUFACTURED AND RURAL UNITS],ROW(A17),1),
0)</f>
        <v>0</v>
      </c>
      <c r="AB19" s="473" cm="1">
        <f t="array" ref="AB19">IF(INDEX(CHMATbl[NEW CONSTRUCTION OR AQUIRE/REHAB],ROW(A17),1)="",
INDEX(S1MATbl[UNRESTRICTED UNITS],ROW(A17),1)+
INDEX(S1MATbl[RURAL UNITS],ROW(A17),1),
0)</f>
        <v>0</v>
      </c>
      <c r="AC19" s="345">
        <f>IFERROR(
CountyScoresTbl[[#This Row],[Affordable Single Family Homes Sold In Last Year
(Zillow.com)]]/CountyScoresTbl[[#This Row],[CalHome Proposed Number of Loans (entered by Applicant)]],
0)</f>
        <v>0</v>
      </c>
      <c r="AD19" s="345">
        <f>IFERROR(
CountyScoresTbl[[#This Row],[Affordable Single Family Homes Sold In Last Year
(Zillow.com)]]/CountyScoresTbl[[#This Row],[Serna Proposed Number of Loans (entered by Applicant)]],
0)</f>
        <v>0</v>
      </c>
      <c r="AE19" s="342">
        <f t="shared" si="0"/>
        <v>2</v>
      </c>
      <c r="AF19" s="373">
        <f t="shared" si="1"/>
        <v>2</v>
      </c>
      <c r="AG19" s="346">
        <f>CountyScoresTbl[[#This Row],[Median Owner Renter Cost Ratio Points]]+CountyScoresTbl[[#This Row],[CalHome Proposed Loans to Sales Ratio Points]]</f>
        <v>8</v>
      </c>
      <c r="AH19" s="375">
        <f>CountyScoresTbl[[#This Row],[Median Owner Renter Cost Ratio Points]]+CountyScoresTbl[[#This Row],[Serna Proposed Loans to Sales Ratio Points]]</f>
        <v>8</v>
      </c>
      <c r="AI19" s="347">
        <f>CountyScoresTbl[[#This Row],[Age of Housing Stock]]</f>
        <v>0.69894651539708263</v>
      </c>
      <c r="AJ19" s="345">
        <v>5.8620689655172411</v>
      </c>
      <c r="AK19" s="348">
        <f>CountyScoresTbl[[#This Row],[Percent of Overcrowded Homeowners]]</f>
        <v>1.3501614323451717E-2</v>
      </c>
      <c r="AL19" s="345">
        <v>8.9655172413793096</v>
      </c>
      <c r="AM19" s="346">
        <v>16</v>
      </c>
      <c r="AN19" s="347">
        <v>0.32075471698113206</v>
      </c>
      <c r="AO19" s="342">
        <v>3</v>
      </c>
      <c r="AP19" s="348">
        <f>CountyScoresTbl[[#This Row],[Rental Vacancy Rate]]</f>
        <v>5.6345733041575495E-2</v>
      </c>
      <c r="AQ19" s="342">
        <v>3</v>
      </c>
      <c r="AR19" s="346">
        <v>4</v>
      </c>
      <c r="AS19" s="349">
        <f>CountyScoresTbl[[#This Row],[Median Owner to Renter Cost Ratio]]</f>
        <v>1.5535019455252919</v>
      </c>
      <c r="AT19" s="342">
        <v>3</v>
      </c>
      <c r="AU19" s="346">
        <v>18</v>
      </c>
      <c r="AV19" s="350">
        <v>0</v>
      </c>
      <c r="AW19" s="351">
        <v>0</v>
      </c>
    </row>
    <row r="20" spans="1:49" ht="16" x14ac:dyDescent="0.35">
      <c r="A20" s="332" t="s">
        <v>132</v>
      </c>
      <c r="B20" s="333">
        <v>3.3499377334993774</v>
      </c>
      <c r="C20" s="334">
        <v>1</v>
      </c>
      <c r="D20" s="335">
        <v>0.61627906976744184</v>
      </c>
      <c r="E20" s="334">
        <v>2</v>
      </c>
      <c r="F20" s="335">
        <v>6.6445182724252493E-3</v>
      </c>
      <c r="G20" s="334">
        <v>1</v>
      </c>
      <c r="H20" s="335">
        <v>6.3763608087091764E-2</v>
      </c>
      <c r="I20" s="334">
        <v>1</v>
      </c>
      <c r="J20" s="336">
        <f>MIN(15,CountyScoresTbl[[#This Row],[Housing Affordability Points]]+CountyScoresTbl[[#This Row],[Percent of Low-Income Renter households Points]]+CountyScoresTbl[[#This Row],[Percent of Overcrowded Renter Households Points]]+CountyScoresTbl[[#This Row],[Rental Vacancy Rate Points]])</f>
        <v>5</v>
      </c>
      <c r="K20" s="337">
        <v>0.67604514385630265</v>
      </c>
      <c r="L20" s="352">
        <v>2</v>
      </c>
      <c r="M20" s="335">
        <v>7.4189249222567741E-2</v>
      </c>
      <c r="N20" s="334">
        <v>4</v>
      </c>
      <c r="O20" s="339">
        <v>0.3197767145135566</v>
      </c>
      <c r="P20" s="334">
        <v>2</v>
      </c>
      <c r="Q20" s="335">
        <v>1.594896331738437E-3</v>
      </c>
      <c r="R20" s="334">
        <v>1</v>
      </c>
      <c r="S20" s="340">
        <f>ROUND(CountyScoresTbl[[#This Row],[Age of Housing Stock Points]],0)+
ROUND(CountyScoresTbl[[#This Row],[Percent of Homeowners in Poverty Points]],0)+
ROUND(CountyScoresTbl[[#This Row],[Percent of Low-Income Homeowners Points]],0)+
ROUND(CountyScoresTbl[[#This Row],[Percent of Overcrowded Homeowners Points]],0)</f>
        <v>9</v>
      </c>
      <c r="T20" s="341">
        <v>1.5678879310344827</v>
      </c>
      <c r="U20" s="342">
        <v>6</v>
      </c>
      <c r="V20" s="495">
        <v>228000</v>
      </c>
      <c r="W20" s="495">
        <v>259000</v>
      </c>
      <c r="X20" s="495">
        <v>225869</v>
      </c>
      <c r="Y20" s="343">
        <f>AVERAGE(CountyScoresTbl[[#This Row],[Redfin.com 
Median Sales Price]:[Zillow.com Median Sales Price]])</f>
        <v>237623</v>
      </c>
      <c r="Z20" s="344">
        <v>313</v>
      </c>
      <c r="AA20" s="342" cm="1">
        <f t="array" ref="AA20">IF(INDEX(CHMATbl[NEW CONSTRUCTION OR AQUIRE/REHAB],ROW(A18),1)="",
INDEX(CHMATbl[UNRESTRICTED UNITS],ROW(A18),1)+
INDEX(CHMATbl[MANUFACTURED UNITS],ROW(A18),1)+
INDEX(CHMATbl[RURAL UNITS],ROW(A18),1)+
INDEX(CHMATbl[MANUFACTURED AND RURAL UNITS],ROW(A18),1),
0)</f>
        <v>0</v>
      </c>
      <c r="AB20" s="473" cm="1">
        <f t="array" ref="AB20">IF(INDEX(CHMATbl[NEW CONSTRUCTION OR AQUIRE/REHAB],ROW(A18),1)="",
INDEX(S1MATbl[UNRESTRICTED UNITS],ROW(A18),1)+
INDEX(S1MATbl[RURAL UNITS],ROW(A18),1),
0)</f>
        <v>0</v>
      </c>
      <c r="AC20" s="345">
        <f>IFERROR(
CountyScoresTbl[[#This Row],[Affordable Single Family Homes Sold In Last Year
(Zillow.com)]]/CountyScoresTbl[[#This Row],[CalHome Proposed Number of Loans (entered by Applicant)]],
0)</f>
        <v>0</v>
      </c>
      <c r="AD20" s="345">
        <f>IFERROR(
CountyScoresTbl[[#This Row],[Affordable Single Family Homes Sold In Last Year
(Zillow.com)]]/CountyScoresTbl[[#This Row],[Serna Proposed Number of Loans (entered by Applicant)]],
0)</f>
        <v>0</v>
      </c>
      <c r="AE20" s="342">
        <f t="shared" si="0"/>
        <v>2</v>
      </c>
      <c r="AF20" s="373">
        <f t="shared" si="1"/>
        <v>2</v>
      </c>
      <c r="AG20" s="346">
        <f>CountyScoresTbl[[#This Row],[Median Owner Renter Cost Ratio Points]]+CountyScoresTbl[[#This Row],[CalHome Proposed Loans to Sales Ratio Points]]</f>
        <v>8</v>
      </c>
      <c r="AH20" s="375">
        <f>CountyScoresTbl[[#This Row],[Median Owner Renter Cost Ratio Points]]+CountyScoresTbl[[#This Row],[Serna Proposed Loans to Sales Ratio Points]]</f>
        <v>8</v>
      </c>
      <c r="AI20" s="347">
        <f>CountyScoresTbl[[#This Row],[Age of Housing Stock]]</f>
        <v>0.67604514385630265</v>
      </c>
      <c r="AJ20" s="345">
        <v>5</v>
      </c>
      <c r="AK20" s="348">
        <f>CountyScoresTbl[[#This Row],[Percent of Overcrowded Homeowners]]</f>
        <v>1.594896331738437E-3</v>
      </c>
      <c r="AL20" s="345">
        <v>0.86206896551724144</v>
      </c>
      <c r="AM20" s="346">
        <v>8</v>
      </c>
      <c r="AN20" s="347">
        <v>0.32345013477088946</v>
      </c>
      <c r="AO20" s="342">
        <v>3</v>
      </c>
      <c r="AP20" s="348">
        <f>CountyScoresTbl[[#This Row],[Rental Vacancy Rate]]</f>
        <v>6.3763608087091764E-2</v>
      </c>
      <c r="AQ20" s="342">
        <v>3</v>
      </c>
      <c r="AR20" s="346">
        <v>6</v>
      </c>
      <c r="AS20" s="349">
        <f>CountyScoresTbl[[#This Row],[Median Owner to Renter Cost Ratio]]</f>
        <v>1.5678879310344827</v>
      </c>
      <c r="AT20" s="342">
        <v>4</v>
      </c>
      <c r="AU20" s="346">
        <v>18</v>
      </c>
      <c r="AV20" s="350">
        <v>0</v>
      </c>
      <c r="AW20" s="351">
        <v>0</v>
      </c>
    </row>
    <row r="21" spans="1:49" ht="16" x14ac:dyDescent="0.35">
      <c r="A21" s="332" t="s">
        <v>133</v>
      </c>
      <c r="B21" s="333">
        <v>9.7889132821075737</v>
      </c>
      <c r="C21" s="334">
        <v>4</v>
      </c>
      <c r="D21" s="335">
        <v>0.69426021543665983</v>
      </c>
      <c r="E21" s="334">
        <v>4</v>
      </c>
      <c r="F21" s="335">
        <v>7.481026885070774E-2</v>
      </c>
      <c r="G21" s="334">
        <v>4</v>
      </c>
      <c r="H21" s="335">
        <v>3.2099456886129189E-2</v>
      </c>
      <c r="I21" s="334">
        <v>3</v>
      </c>
      <c r="J21" s="336">
        <f>MIN(15,CountyScoresTbl[[#This Row],[Housing Affordability Points]]+CountyScoresTbl[[#This Row],[Percent of Low-Income Renter households Points]]+CountyScoresTbl[[#This Row],[Percent of Overcrowded Renter Households Points]]+CountyScoresTbl[[#This Row],[Rental Vacancy Rate Points]])</f>
        <v>15</v>
      </c>
      <c r="K21" s="337">
        <v>0.86830714408604392</v>
      </c>
      <c r="L21" s="352">
        <v>4</v>
      </c>
      <c r="M21" s="335">
        <v>4.117750668167651E-2</v>
      </c>
      <c r="N21" s="334">
        <v>2</v>
      </c>
      <c r="O21" s="339">
        <v>0.39293787820455867</v>
      </c>
      <c r="P21" s="334">
        <v>4</v>
      </c>
      <c r="Q21" s="335">
        <v>1.4869876243406613E-2</v>
      </c>
      <c r="R21" s="334">
        <v>4</v>
      </c>
      <c r="S21" s="340">
        <f>ROUND(CountyScoresTbl[[#This Row],[Age of Housing Stock Points]],0)+
ROUND(CountyScoresTbl[[#This Row],[Percent of Homeowners in Poverty Points]],0)+
ROUND(CountyScoresTbl[[#This Row],[Percent of Low-Income Homeowners Points]],0)+
ROUND(CountyScoresTbl[[#This Row],[Percent of Overcrowded Homeowners Points]],0)</f>
        <v>14</v>
      </c>
      <c r="T21" s="341">
        <v>1.6857887874837028</v>
      </c>
      <c r="U21" s="342">
        <v>4</v>
      </c>
      <c r="V21" s="495">
        <v>832500</v>
      </c>
      <c r="W21" s="495">
        <v>1100000</v>
      </c>
      <c r="X21" s="495">
        <v>833230</v>
      </c>
      <c r="Y21" s="343">
        <f>AVERAGE(CountyScoresTbl[[#This Row],[Redfin.com 
Median Sales Price]:[Zillow.com Median Sales Price]])</f>
        <v>921910</v>
      </c>
      <c r="Z21" s="344">
        <v>25855</v>
      </c>
      <c r="AA21" s="342" cm="1">
        <f t="array" ref="AA21">IF(INDEX(CHMATbl[NEW CONSTRUCTION OR AQUIRE/REHAB],ROW(A19),1)="",
INDEX(CHMATbl[UNRESTRICTED UNITS],ROW(A19),1)+
INDEX(CHMATbl[MANUFACTURED UNITS],ROW(A19),1)+
INDEX(CHMATbl[RURAL UNITS],ROW(A19),1)+
INDEX(CHMATbl[MANUFACTURED AND RURAL UNITS],ROW(A19),1),
0)</f>
        <v>0</v>
      </c>
      <c r="AB21" s="473" cm="1">
        <f t="array" ref="AB21">IF(INDEX(CHMATbl[NEW CONSTRUCTION OR AQUIRE/REHAB],ROW(A19),1)="",
INDEX(S1MATbl[UNRESTRICTED UNITS],ROW(A19),1)+
INDEX(S1MATbl[RURAL UNITS],ROW(A19),1),
0)</f>
        <v>0</v>
      </c>
      <c r="AC21" s="345">
        <f>IFERROR(
CountyScoresTbl[[#This Row],[Affordable Single Family Homes Sold In Last Year
(Zillow.com)]]/CountyScoresTbl[[#This Row],[CalHome Proposed Number of Loans (entered by Applicant)]],
0)</f>
        <v>0</v>
      </c>
      <c r="AD21" s="345">
        <f>IFERROR(
CountyScoresTbl[[#This Row],[Affordable Single Family Homes Sold In Last Year
(Zillow.com)]]/CountyScoresTbl[[#This Row],[Serna Proposed Number of Loans (entered by Applicant)]],
0)</f>
        <v>0</v>
      </c>
      <c r="AE21" s="342">
        <f t="shared" si="0"/>
        <v>2</v>
      </c>
      <c r="AF21" s="373">
        <f t="shared" si="1"/>
        <v>2</v>
      </c>
      <c r="AG21" s="346">
        <f>CountyScoresTbl[[#This Row],[Median Owner Renter Cost Ratio Points]]+CountyScoresTbl[[#This Row],[CalHome Proposed Loans to Sales Ratio Points]]</f>
        <v>6</v>
      </c>
      <c r="AH21" s="375">
        <f>CountyScoresTbl[[#This Row],[Median Owner Renter Cost Ratio Points]]+CountyScoresTbl[[#This Row],[Serna Proposed Loans to Sales Ratio Points]]</f>
        <v>6</v>
      </c>
      <c r="AI21" s="347">
        <f>CountyScoresTbl[[#This Row],[Age of Housing Stock]]</f>
        <v>0.86830714408604392</v>
      </c>
      <c r="AJ21" s="345">
        <v>9.6551724137931032</v>
      </c>
      <c r="AK21" s="348">
        <f>CountyScoresTbl[[#This Row],[Percent of Overcrowded Homeowners]]</f>
        <v>1.4869876243406613E-2</v>
      </c>
      <c r="AL21" s="345">
        <v>9.4827586206896548</v>
      </c>
      <c r="AM21" s="346">
        <v>20</v>
      </c>
      <c r="AN21" s="347">
        <v>0.40330827549728315</v>
      </c>
      <c r="AO21" s="342">
        <v>9</v>
      </c>
      <c r="AP21" s="348">
        <f>CountyScoresTbl[[#This Row],[Rental Vacancy Rate]]</f>
        <v>3.2099456886129189E-2</v>
      </c>
      <c r="AQ21" s="342">
        <v>9</v>
      </c>
      <c r="AR21" s="346">
        <v>16</v>
      </c>
      <c r="AS21" s="349">
        <f>CountyScoresTbl[[#This Row],[Median Owner to Renter Cost Ratio]]</f>
        <v>1.6857887874837028</v>
      </c>
      <c r="AT21" s="342">
        <v>2</v>
      </c>
      <c r="AU21" s="346">
        <v>17</v>
      </c>
      <c r="AV21" s="350">
        <v>0</v>
      </c>
      <c r="AW21" s="351">
        <v>0</v>
      </c>
    </row>
    <row r="22" spans="1:49" ht="16" x14ac:dyDescent="0.35">
      <c r="A22" s="332" t="s">
        <v>134</v>
      </c>
      <c r="B22" s="333">
        <v>5.1058530510585305</v>
      </c>
      <c r="C22" s="334">
        <v>2</v>
      </c>
      <c r="D22" s="335">
        <v>0.69956548727498447</v>
      </c>
      <c r="E22" s="334">
        <v>4</v>
      </c>
      <c r="F22" s="335">
        <v>5.7107386716325266E-2</v>
      </c>
      <c r="G22" s="334">
        <v>4</v>
      </c>
      <c r="H22" s="335">
        <v>4.3633125556544972E-2</v>
      </c>
      <c r="I22" s="334">
        <v>2</v>
      </c>
      <c r="J22" s="336">
        <f>MIN(15,CountyScoresTbl[[#This Row],[Housing Affordability Points]]+CountyScoresTbl[[#This Row],[Percent of Low-Income Renter households Points]]+CountyScoresTbl[[#This Row],[Percent of Overcrowded Renter Households Points]]+CountyScoresTbl[[#This Row],[Rental Vacancy Rate Points]])</f>
        <v>12</v>
      </c>
      <c r="K22" s="337">
        <v>0.49859924837717801</v>
      </c>
      <c r="L22" s="352">
        <v>1</v>
      </c>
      <c r="M22" s="335">
        <v>6.1929764159063524E-2</v>
      </c>
      <c r="N22" s="334">
        <v>4</v>
      </c>
      <c r="O22" s="339">
        <v>0.31630170316301703</v>
      </c>
      <c r="P22" s="334">
        <v>2</v>
      </c>
      <c r="Q22" s="335">
        <v>9.384775808133473E-3</v>
      </c>
      <c r="R22" s="334">
        <v>3</v>
      </c>
      <c r="S22" s="340">
        <f>ROUND(CountyScoresTbl[[#This Row],[Age of Housing Stock Points]],0)+
ROUND(CountyScoresTbl[[#This Row],[Percent of Homeowners in Poverty Points]],0)+
ROUND(CountyScoresTbl[[#This Row],[Percent of Low-Income Homeowners Points]],0)+
ROUND(CountyScoresTbl[[#This Row],[Percent of Overcrowded Homeowners Points]],0)</f>
        <v>10</v>
      </c>
      <c r="T22" s="341">
        <v>1.4775280898876404</v>
      </c>
      <c r="U22" s="342">
        <v>8</v>
      </c>
      <c r="V22" s="495">
        <v>392500</v>
      </c>
      <c r="W22" s="495">
        <v>425000</v>
      </c>
      <c r="X22" s="495">
        <v>376950</v>
      </c>
      <c r="Y22" s="343">
        <f>AVERAGE(CountyScoresTbl[[#This Row],[Redfin.com 
Median Sales Price]:[Zillow.com Median Sales Price]])</f>
        <v>398150</v>
      </c>
      <c r="Z22" s="344">
        <v>1006</v>
      </c>
      <c r="AA22" s="342" cm="1">
        <f t="array" ref="AA22">IF(INDEX(CHMATbl[NEW CONSTRUCTION OR AQUIRE/REHAB],ROW(A20),1)="",
INDEX(CHMATbl[UNRESTRICTED UNITS],ROW(A20),1)+
INDEX(CHMATbl[MANUFACTURED UNITS],ROW(A20),1)+
INDEX(CHMATbl[RURAL UNITS],ROW(A20),1)+
INDEX(CHMATbl[MANUFACTURED AND RURAL UNITS],ROW(A20),1),
0)</f>
        <v>0</v>
      </c>
      <c r="AB22" s="473" cm="1">
        <f t="array" ref="AB22">IF(INDEX(CHMATbl[NEW CONSTRUCTION OR AQUIRE/REHAB],ROW(A20),1)="",
INDEX(S1MATbl[UNRESTRICTED UNITS],ROW(A20),1)+
INDEX(S1MATbl[RURAL UNITS],ROW(A20),1),
0)</f>
        <v>0</v>
      </c>
      <c r="AC22" s="345">
        <f>IFERROR(
CountyScoresTbl[[#This Row],[Affordable Single Family Homes Sold In Last Year
(Zillow.com)]]/CountyScoresTbl[[#This Row],[CalHome Proposed Number of Loans (entered by Applicant)]],
0)</f>
        <v>0</v>
      </c>
      <c r="AD22" s="345">
        <f>IFERROR(
CountyScoresTbl[[#This Row],[Affordable Single Family Homes Sold In Last Year
(Zillow.com)]]/CountyScoresTbl[[#This Row],[Serna Proposed Number of Loans (entered by Applicant)]],
0)</f>
        <v>0</v>
      </c>
      <c r="AE22" s="342">
        <f t="shared" si="0"/>
        <v>2</v>
      </c>
      <c r="AF22" s="373">
        <f t="shared" si="1"/>
        <v>2</v>
      </c>
      <c r="AG22" s="346">
        <f>CountyScoresTbl[[#This Row],[Median Owner Renter Cost Ratio Points]]+CountyScoresTbl[[#This Row],[CalHome Proposed Loans to Sales Ratio Points]]</f>
        <v>10</v>
      </c>
      <c r="AH22" s="375">
        <f>CountyScoresTbl[[#This Row],[Median Owner Renter Cost Ratio Points]]+CountyScoresTbl[[#This Row],[Serna Proposed Loans to Sales Ratio Points]]</f>
        <v>10</v>
      </c>
      <c r="AI22" s="347">
        <f>CountyScoresTbl[[#This Row],[Age of Housing Stock]]</f>
        <v>0.49859924837717801</v>
      </c>
      <c r="AJ22" s="345">
        <v>0.68965517241379315</v>
      </c>
      <c r="AK22" s="348">
        <f>CountyScoresTbl[[#This Row],[Percent of Overcrowded Homeowners]]</f>
        <v>9.384775808133473E-3</v>
      </c>
      <c r="AL22" s="345">
        <v>6.2068965517241379</v>
      </c>
      <c r="AM22" s="346">
        <v>10</v>
      </c>
      <c r="AN22" s="347">
        <v>0.29370008873114462</v>
      </c>
      <c r="AO22" s="342">
        <v>3</v>
      </c>
      <c r="AP22" s="348">
        <f>CountyScoresTbl[[#This Row],[Rental Vacancy Rate]]</f>
        <v>4.3633125556544972E-2</v>
      </c>
      <c r="AQ22" s="342">
        <v>6</v>
      </c>
      <c r="AR22" s="346">
        <v>6</v>
      </c>
      <c r="AS22" s="349">
        <f>CountyScoresTbl[[#This Row],[Median Owner to Renter Cost Ratio]]</f>
        <v>1.4775280898876404</v>
      </c>
      <c r="AT22" s="342">
        <v>4</v>
      </c>
      <c r="AU22" s="346">
        <v>19</v>
      </c>
      <c r="AV22" s="350">
        <v>1</v>
      </c>
      <c r="AW22" s="351">
        <v>10</v>
      </c>
    </row>
    <row r="23" spans="1:49" ht="16" x14ac:dyDescent="0.35">
      <c r="A23" s="332" t="s">
        <v>135</v>
      </c>
      <c r="B23" s="333">
        <v>10.451807228915662</v>
      </c>
      <c r="C23" s="334">
        <v>4</v>
      </c>
      <c r="D23" s="335">
        <v>0.62899647657575364</v>
      </c>
      <c r="E23" s="334">
        <v>2</v>
      </c>
      <c r="F23" s="335">
        <v>4.9719431032232808E-2</v>
      </c>
      <c r="G23" s="334">
        <v>4</v>
      </c>
      <c r="H23" s="335">
        <v>2.3074961754207039E-2</v>
      </c>
      <c r="I23" s="334">
        <v>4</v>
      </c>
      <c r="J23" s="336">
        <f>MIN(15,CountyScoresTbl[[#This Row],[Housing Affordability Points]]+CountyScoresTbl[[#This Row],[Percent of Low-Income Renter households Points]]+CountyScoresTbl[[#This Row],[Percent of Overcrowded Renter Households Points]]+CountyScoresTbl[[#This Row],[Rental Vacancy Rate Points]])</f>
        <v>14</v>
      </c>
      <c r="K23" s="337">
        <v>0.87242015018210706</v>
      </c>
      <c r="L23" s="352">
        <v>4</v>
      </c>
      <c r="M23" s="335">
        <v>2.2068643870174473E-2</v>
      </c>
      <c r="N23" s="334">
        <v>1</v>
      </c>
      <c r="O23" s="339">
        <v>0.34314236757803768</v>
      </c>
      <c r="P23" s="334">
        <v>3</v>
      </c>
      <c r="Q23" s="335">
        <v>3.5759517246517171E-3</v>
      </c>
      <c r="R23" s="334">
        <v>1</v>
      </c>
      <c r="S23" s="340">
        <f>ROUND(CountyScoresTbl[[#This Row],[Age of Housing Stock Points]],0)+
ROUND(CountyScoresTbl[[#This Row],[Percent of Homeowners in Poverty Points]],0)+
ROUND(CountyScoresTbl[[#This Row],[Percent of Low-Income Homeowners Points]],0)+
ROUND(CountyScoresTbl[[#This Row],[Percent of Overcrowded Homeowners Points]],0)</f>
        <v>9</v>
      </c>
      <c r="T23" s="341">
        <v>1.7622119815668202</v>
      </c>
      <c r="U23" s="342">
        <v>2</v>
      </c>
      <c r="V23" s="495">
        <v>1397500</v>
      </c>
      <c r="W23" s="495">
        <v>1200000</v>
      </c>
      <c r="X23" s="495">
        <v>1473508</v>
      </c>
      <c r="Y23" s="343">
        <f>AVERAGE(CountyScoresTbl[[#This Row],[Redfin.com 
Median Sales Price]:[Zillow.com Median Sales Price]])</f>
        <v>1357002.6666666667</v>
      </c>
      <c r="Z23" s="344">
        <v>768</v>
      </c>
      <c r="AA23" s="342" cm="1">
        <f t="array" ref="AA23">IF(INDEX(CHMATbl[NEW CONSTRUCTION OR AQUIRE/REHAB],ROW(A21),1)="",
INDEX(CHMATbl[UNRESTRICTED UNITS],ROW(A21),1)+
INDEX(CHMATbl[MANUFACTURED UNITS],ROW(A21),1)+
INDEX(CHMATbl[RURAL UNITS],ROW(A21),1)+
INDEX(CHMATbl[MANUFACTURED AND RURAL UNITS],ROW(A21),1),
0)</f>
        <v>0</v>
      </c>
      <c r="AB23" s="473" cm="1">
        <f t="array" ref="AB23">IF(INDEX(CHMATbl[NEW CONSTRUCTION OR AQUIRE/REHAB],ROW(A21),1)="",
INDEX(S1MATbl[UNRESTRICTED UNITS],ROW(A21),1)+
INDEX(S1MATbl[RURAL UNITS],ROW(A21),1),
0)</f>
        <v>0</v>
      </c>
      <c r="AC23" s="345">
        <f>IFERROR(
CountyScoresTbl[[#This Row],[Affordable Single Family Homes Sold In Last Year
(Zillow.com)]]/CountyScoresTbl[[#This Row],[CalHome Proposed Number of Loans (entered by Applicant)]],
0)</f>
        <v>0</v>
      </c>
      <c r="AD23" s="345">
        <f>IFERROR(
CountyScoresTbl[[#This Row],[Affordable Single Family Homes Sold In Last Year
(Zillow.com)]]/CountyScoresTbl[[#This Row],[Serna Proposed Number of Loans (entered by Applicant)]],
0)</f>
        <v>0</v>
      </c>
      <c r="AE23" s="342">
        <f t="shared" si="0"/>
        <v>2</v>
      </c>
      <c r="AF23" s="373">
        <f t="shared" si="1"/>
        <v>2</v>
      </c>
      <c r="AG23" s="346">
        <f>CountyScoresTbl[[#This Row],[Median Owner Renter Cost Ratio Points]]+CountyScoresTbl[[#This Row],[CalHome Proposed Loans to Sales Ratio Points]]</f>
        <v>4</v>
      </c>
      <c r="AH23" s="375">
        <f>CountyScoresTbl[[#This Row],[Median Owner Renter Cost Ratio Points]]+CountyScoresTbl[[#This Row],[Serna Proposed Loans to Sales Ratio Points]]</f>
        <v>4</v>
      </c>
      <c r="AI23" s="347">
        <f>CountyScoresTbl[[#This Row],[Age of Housing Stock]]</f>
        <v>0.87242015018210706</v>
      </c>
      <c r="AJ23" s="345">
        <v>9.8275862068965516</v>
      </c>
      <c r="AK23" s="348">
        <f>CountyScoresTbl[[#This Row],[Percent of Overcrowded Homeowners]]</f>
        <v>3.5759517246517171E-3</v>
      </c>
      <c r="AL23" s="345">
        <v>1.7241379310344829</v>
      </c>
      <c r="AM23" s="346">
        <v>12</v>
      </c>
      <c r="AN23" s="347">
        <v>0.37655601659751037</v>
      </c>
      <c r="AO23" s="342">
        <v>6</v>
      </c>
      <c r="AP23" s="348">
        <f>CountyScoresTbl[[#This Row],[Rental Vacancy Rate]]</f>
        <v>2.3074961754207039E-2</v>
      </c>
      <c r="AQ23" s="342">
        <v>12</v>
      </c>
      <c r="AR23" s="346">
        <v>16</v>
      </c>
      <c r="AS23" s="349">
        <f>CountyScoresTbl[[#This Row],[Median Owner to Renter Cost Ratio]]</f>
        <v>1.7622119815668202</v>
      </c>
      <c r="AT23" s="342">
        <v>1</v>
      </c>
      <c r="AU23" s="346">
        <v>16</v>
      </c>
      <c r="AV23" s="350">
        <v>0</v>
      </c>
      <c r="AW23" s="351">
        <v>0</v>
      </c>
    </row>
    <row r="24" spans="1:49" ht="16" x14ac:dyDescent="0.35">
      <c r="A24" s="332" t="s">
        <v>136</v>
      </c>
      <c r="B24" s="333">
        <v>4.2615193026151932</v>
      </c>
      <c r="C24" s="334">
        <v>1</v>
      </c>
      <c r="D24" s="335">
        <v>0.67494824016563149</v>
      </c>
      <c r="E24" s="334">
        <v>4</v>
      </c>
      <c r="F24" s="335">
        <v>6.2111801242236021E-3</v>
      </c>
      <c r="G24" s="334">
        <v>1</v>
      </c>
      <c r="H24" s="335">
        <v>0.14209591474245115</v>
      </c>
      <c r="I24" s="334">
        <v>1</v>
      </c>
      <c r="J24" s="336">
        <f>MIN(15,CountyScoresTbl[[#This Row],[Housing Affordability Points]]+CountyScoresTbl[[#This Row],[Percent of Low-Income Renter households Points]]+CountyScoresTbl[[#This Row],[Percent of Overcrowded Renter Households Points]]+CountyScoresTbl[[#This Row],[Rental Vacancy Rate Points]])</f>
        <v>7</v>
      </c>
      <c r="K24" s="337">
        <v>0.59329710144927539</v>
      </c>
      <c r="L24" s="352">
        <v>2</v>
      </c>
      <c r="M24" s="335">
        <v>7.0581428984668793E-2</v>
      </c>
      <c r="N24" s="334">
        <v>4</v>
      </c>
      <c r="O24" s="339">
        <v>0.38910133843212236</v>
      </c>
      <c r="P24" s="334">
        <v>4</v>
      </c>
      <c r="Q24" s="335">
        <v>3.8240917782026767E-3</v>
      </c>
      <c r="R24" s="334">
        <v>1</v>
      </c>
      <c r="S24" s="340">
        <f>ROUND(CountyScoresTbl[[#This Row],[Age of Housing Stock Points]],0)+
ROUND(CountyScoresTbl[[#This Row],[Percent of Homeowners in Poverty Points]],0)+
ROUND(CountyScoresTbl[[#This Row],[Percent of Low-Income Homeowners Points]],0)+
ROUND(CountyScoresTbl[[#This Row],[Percent of Overcrowded Homeowners Points]],0)</f>
        <v>11</v>
      </c>
      <c r="T24" s="341">
        <v>1.6861386138613861</v>
      </c>
      <c r="U24" s="342">
        <v>4</v>
      </c>
      <c r="V24" s="495">
        <v>320000</v>
      </c>
      <c r="W24" s="495">
        <v>450000</v>
      </c>
      <c r="X24" s="495">
        <v>370011</v>
      </c>
      <c r="Y24" s="343">
        <f>AVERAGE(CountyScoresTbl[[#This Row],[Redfin.com 
Median Sales Price]:[Zillow.com Median Sales Price]])</f>
        <v>380003.66666666669</v>
      </c>
      <c r="Z24" s="344">
        <v>164</v>
      </c>
      <c r="AA24" s="342" cm="1">
        <f t="array" ref="AA24">IF(INDEX(CHMATbl[NEW CONSTRUCTION OR AQUIRE/REHAB],ROW(A22),1)="",
INDEX(CHMATbl[UNRESTRICTED UNITS],ROW(A22),1)+
INDEX(CHMATbl[MANUFACTURED UNITS],ROW(A22),1)+
INDEX(CHMATbl[RURAL UNITS],ROW(A22),1)+
INDEX(CHMATbl[MANUFACTURED AND RURAL UNITS],ROW(A22),1),
0)</f>
        <v>0</v>
      </c>
      <c r="AB24" s="473" cm="1">
        <f t="array" ref="AB24">IF(INDEX(CHMATbl[NEW CONSTRUCTION OR AQUIRE/REHAB],ROW(A22),1)="",
INDEX(S1MATbl[UNRESTRICTED UNITS],ROW(A22),1)+
INDEX(S1MATbl[RURAL UNITS],ROW(A22),1),
0)</f>
        <v>0</v>
      </c>
      <c r="AC24" s="345">
        <f>IFERROR(
CountyScoresTbl[[#This Row],[Affordable Single Family Homes Sold In Last Year
(Zillow.com)]]/CountyScoresTbl[[#This Row],[CalHome Proposed Number of Loans (entered by Applicant)]],
0)</f>
        <v>0</v>
      </c>
      <c r="AD24" s="345">
        <f>IFERROR(
CountyScoresTbl[[#This Row],[Affordable Single Family Homes Sold In Last Year
(Zillow.com)]]/CountyScoresTbl[[#This Row],[Serna Proposed Number of Loans (entered by Applicant)]],
0)</f>
        <v>0</v>
      </c>
      <c r="AE24" s="342">
        <f t="shared" si="0"/>
        <v>2</v>
      </c>
      <c r="AF24" s="373">
        <f t="shared" si="1"/>
        <v>2</v>
      </c>
      <c r="AG24" s="346">
        <f>CountyScoresTbl[[#This Row],[Median Owner Renter Cost Ratio Points]]+CountyScoresTbl[[#This Row],[CalHome Proposed Loans to Sales Ratio Points]]</f>
        <v>6</v>
      </c>
      <c r="AH24" s="375">
        <f>CountyScoresTbl[[#This Row],[Median Owner Renter Cost Ratio Points]]+CountyScoresTbl[[#This Row],[Serna Proposed Loans to Sales Ratio Points]]</f>
        <v>6</v>
      </c>
      <c r="AI24" s="347">
        <f>CountyScoresTbl[[#This Row],[Age of Housing Stock]]</f>
        <v>0.59329710144927539</v>
      </c>
      <c r="AJ24" s="345">
        <v>2.9310344827586206</v>
      </c>
      <c r="AK24" s="348">
        <f>CountyScoresTbl[[#This Row],[Percent of Overcrowded Homeowners]]</f>
        <v>3.8240917782026767E-3</v>
      </c>
      <c r="AL24" s="345">
        <v>2.0689655172413794</v>
      </c>
      <c r="AM24" s="346">
        <v>6</v>
      </c>
      <c r="AN24" s="347">
        <v>0.39570552147239263</v>
      </c>
      <c r="AO24" s="342">
        <v>9</v>
      </c>
      <c r="AP24" s="348">
        <f>CountyScoresTbl[[#This Row],[Rental Vacancy Rate]]</f>
        <v>0.14209591474245115</v>
      </c>
      <c r="AQ24" s="342">
        <v>3</v>
      </c>
      <c r="AR24" s="346">
        <v>8</v>
      </c>
      <c r="AS24" s="349">
        <f>CountyScoresTbl[[#This Row],[Median Owner to Renter Cost Ratio]]</f>
        <v>1.6861386138613861</v>
      </c>
      <c r="AT24" s="342">
        <v>1</v>
      </c>
      <c r="AU24" s="346">
        <v>17</v>
      </c>
      <c r="AV24" s="350">
        <v>0</v>
      </c>
      <c r="AW24" s="351">
        <v>0</v>
      </c>
    </row>
    <row r="25" spans="1:49" ht="16" x14ac:dyDescent="0.35">
      <c r="A25" s="332" t="s">
        <v>137</v>
      </c>
      <c r="B25" s="333">
        <v>6.6625155666251556</v>
      </c>
      <c r="C25" s="334">
        <v>3</v>
      </c>
      <c r="D25" s="335">
        <v>0.63682493657122141</v>
      </c>
      <c r="E25" s="334">
        <v>3</v>
      </c>
      <c r="F25" s="335">
        <v>2.464661109097499E-2</v>
      </c>
      <c r="G25" s="334">
        <v>2</v>
      </c>
      <c r="H25" s="335">
        <v>2.852112676056338E-2</v>
      </c>
      <c r="I25" s="334">
        <v>4</v>
      </c>
      <c r="J25" s="336">
        <f>MIN(15,CountyScoresTbl[[#This Row],[Housing Affordability Points]]+CountyScoresTbl[[#This Row],[Percent of Low-Income Renter households Points]]+CountyScoresTbl[[#This Row],[Percent of Overcrowded Renter Households Points]]+CountyScoresTbl[[#This Row],[Rental Vacancy Rate Points]])</f>
        <v>12</v>
      </c>
      <c r="K25" s="337">
        <v>0.7598854980350298</v>
      </c>
      <c r="L25" s="352">
        <v>4</v>
      </c>
      <c r="M25" s="335">
        <v>5.5159332321699547E-2</v>
      </c>
      <c r="N25" s="334">
        <v>3</v>
      </c>
      <c r="O25" s="339">
        <v>0.35177098495875786</v>
      </c>
      <c r="P25" s="334">
        <v>3</v>
      </c>
      <c r="Q25" s="335">
        <v>7.0354196991751581E-3</v>
      </c>
      <c r="R25" s="334">
        <v>2</v>
      </c>
      <c r="S25" s="340">
        <f>ROUND(CountyScoresTbl[[#This Row],[Age of Housing Stock Points]],0)+
ROUND(CountyScoresTbl[[#This Row],[Percent of Homeowners in Poverty Points]],0)+
ROUND(CountyScoresTbl[[#This Row],[Percent of Low-Income Homeowners Points]],0)+
ROUND(CountyScoresTbl[[#This Row],[Percent of Overcrowded Homeowners Points]],0)</f>
        <v>12</v>
      </c>
      <c r="T25" s="341">
        <v>1.7204585537918871</v>
      </c>
      <c r="U25" s="342">
        <v>4</v>
      </c>
      <c r="V25" s="495">
        <v>394000</v>
      </c>
      <c r="W25" s="495">
        <v>529000</v>
      </c>
      <c r="X25" s="495">
        <v>474694</v>
      </c>
      <c r="Y25" s="343">
        <f>AVERAGE(CountyScoresTbl[[#This Row],[Redfin.com 
Median Sales Price]:[Zillow.com Median Sales Price]])</f>
        <v>465898</v>
      </c>
      <c r="Z25" s="344">
        <v>446</v>
      </c>
      <c r="AA25" s="342" cm="1">
        <f t="array" ref="AA25">IF(INDEX(CHMATbl[NEW CONSTRUCTION OR AQUIRE/REHAB],ROW(A23),1)="",
INDEX(CHMATbl[UNRESTRICTED UNITS],ROW(A23),1)+
INDEX(CHMATbl[MANUFACTURED UNITS],ROW(A23),1)+
INDEX(CHMATbl[RURAL UNITS],ROW(A23),1)+
INDEX(CHMATbl[MANUFACTURED AND RURAL UNITS],ROW(A23),1),
0)</f>
        <v>0</v>
      </c>
      <c r="AB25" s="473" cm="1">
        <f t="array" ref="AB25">IF(INDEX(CHMATbl[NEW CONSTRUCTION OR AQUIRE/REHAB],ROW(A23),1)="",
INDEX(S1MATbl[UNRESTRICTED UNITS],ROW(A23),1)+
INDEX(S1MATbl[RURAL UNITS],ROW(A23),1),
0)</f>
        <v>0</v>
      </c>
      <c r="AC25" s="345">
        <f>IFERROR(
CountyScoresTbl[[#This Row],[Affordable Single Family Homes Sold In Last Year
(Zillow.com)]]/CountyScoresTbl[[#This Row],[CalHome Proposed Number of Loans (entered by Applicant)]],
0)</f>
        <v>0</v>
      </c>
      <c r="AD25" s="345">
        <f>IFERROR(
CountyScoresTbl[[#This Row],[Affordable Single Family Homes Sold In Last Year
(Zillow.com)]]/CountyScoresTbl[[#This Row],[Serna Proposed Number of Loans (entered by Applicant)]],
0)</f>
        <v>0</v>
      </c>
      <c r="AE25" s="342">
        <f t="shared" si="0"/>
        <v>2</v>
      </c>
      <c r="AF25" s="373">
        <f t="shared" si="1"/>
        <v>2</v>
      </c>
      <c r="AG25" s="346">
        <f>CountyScoresTbl[[#This Row],[Median Owner Renter Cost Ratio Points]]+CountyScoresTbl[[#This Row],[CalHome Proposed Loans to Sales Ratio Points]]</f>
        <v>6</v>
      </c>
      <c r="AH25" s="375">
        <f>CountyScoresTbl[[#This Row],[Median Owner Renter Cost Ratio Points]]+CountyScoresTbl[[#This Row],[Serna Proposed Loans to Sales Ratio Points]]</f>
        <v>6</v>
      </c>
      <c r="AI25" s="347">
        <f>CountyScoresTbl[[#This Row],[Age of Housing Stock]]</f>
        <v>0.7598854980350298</v>
      </c>
      <c r="AJ25" s="345">
        <v>7.931034482758621</v>
      </c>
      <c r="AK25" s="348">
        <f>CountyScoresTbl[[#This Row],[Percent of Overcrowded Homeowners]]</f>
        <v>7.0354196991751581E-3</v>
      </c>
      <c r="AL25" s="345">
        <v>4.8275862068965516</v>
      </c>
      <c r="AM25" s="346">
        <v>14</v>
      </c>
      <c r="AN25" s="347">
        <v>0.39726807057484348</v>
      </c>
      <c r="AO25" s="342">
        <v>9</v>
      </c>
      <c r="AP25" s="348">
        <f>CountyScoresTbl[[#This Row],[Rental Vacancy Rate]]</f>
        <v>2.852112676056338E-2</v>
      </c>
      <c r="AQ25" s="342">
        <v>12</v>
      </c>
      <c r="AR25" s="346">
        <v>14</v>
      </c>
      <c r="AS25" s="349">
        <f>CountyScoresTbl[[#This Row],[Median Owner to Renter Cost Ratio]]</f>
        <v>1.7204585537918871</v>
      </c>
      <c r="AT25" s="342">
        <v>2</v>
      </c>
      <c r="AU25" s="346">
        <v>17</v>
      </c>
      <c r="AV25" s="350">
        <v>0</v>
      </c>
      <c r="AW25" s="351">
        <v>0</v>
      </c>
    </row>
    <row r="26" spans="1:49" ht="16" x14ac:dyDescent="0.35">
      <c r="A26" s="332" t="s">
        <v>138</v>
      </c>
      <c r="B26" s="333">
        <v>4.6948941469489416</v>
      </c>
      <c r="C26" s="334">
        <v>1</v>
      </c>
      <c r="D26" s="335">
        <v>0.65340834750752319</v>
      </c>
      <c r="E26" s="334">
        <v>3</v>
      </c>
      <c r="F26" s="335">
        <v>3.1008766191286143E-2</v>
      </c>
      <c r="G26" s="334">
        <v>3</v>
      </c>
      <c r="H26" s="335">
        <v>3.8858148893360159E-2</v>
      </c>
      <c r="I26" s="334">
        <v>2</v>
      </c>
      <c r="J26" s="336">
        <f>MIN(15,CountyScoresTbl[[#This Row],[Housing Affordability Points]]+CountyScoresTbl[[#This Row],[Percent of Low-Income Renter households Points]]+CountyScoresTbl[[#This Row],[Percent of Overcrowded Renter Households Points]]+CountyScoresTbl[[#This Row],[Rental Vacancy Rate Points]])</f>
        <v>9</v>
      </c>
      <c r="K26" s="337">
        <v>0.55343691148775898</v>
      </c>
      <c r="L26" s="352">
        <v>1</v>
      </c>
      <c r="M26" s="335">
        <v>6.279328953542937E-2</v>
      </c>
      <c r="N26" s="334">
        <v>4</v>
      </c>
      <c r="O26" s="339">
        <v>0.34322287354946762</v>
      </c>
      <c r="P26" s="334">
        <v>3</v>
      </c>
      <c r="Q26" s="335">
        <v>1.0766838138533318E-2</v>
      </c>
      <c r="R26" s="334">
        <v>3</v>
      </c>
      <c r="S26" s="340">
        <f>ROUND(CountyScoresTbl[[#This Row],[Age of Housing Stock Points]],0)+
ROUND(CountyScoresTbl[[#This Row],[Percent of Homeowners in Poverty Points]],0)+
ROUND(CountyScoresTbl[[#This Row],[Percent of Low-Income Homeowners Points]],0)+
ROUND(CountyScoresTbl[[#This Row],[Percent of Overcrowded Homeowners Points]],0)</f>
        <v>11</v>
      </c>
      <c r="T26" s="341">
        <v>1.4573055028462998</v>
      </c>
      <c r="U26" s="342">
        <v>10</v>
      </c>
      <c r="V26" s="495">
        <v>382500</v>
      </c>
      <c r="W26" s="495">
        <v>413100</v>
      </c>
      <c r="X26" s="495">
        <v>383168</v>
      </c>
      <c r="Y26" s="343">
        <f>AVERAGE(CountyScoresTbl[[#This Row],[Redfin.com 
Median Sales Price]:[Zillow.com Median Sales Price]])</f>
        <v>392922.66666666669</v>
      </c>
      <c r="Z26" s="344">
        <v>1161</v>
      </c>
      <c r="AA26" s="342" cm="1">
        <f t="array" ref="AA26">IF(INDEX(CHMATbl[NEW CONSTRUCTION OR AQUIRE/REHAB],ROW(A24),1)="",
INDEX(CHMATbl[UNRESTRICTED UNITS],ROW(A24),1)+
INDEX(CHMATbl[MANUFACTURED UNITS],ROW(A24),1)+
INDEX(CHMATbl[RURAL UNITS],ROW(A24),1)+
INDEX(CHMATbl[MANUFACTURED AND RURAL UNITS],ROW(A24),1),
0)</f>
        <v>0</v>
      </c>
      <c r="AB26" s="473" cm="1">
        <f t="array" ref="AB26">IF(INDEX(CHMATbl[NEW CONSTRUCTION OR AQUIRE/REHAB],ROW(A24),1)="",
INDEX(S1MATbl[UNRESTRICTED UNITS],ROW(A24),1)+
INDEX(S1MATbl[RURAL UNITS],ROW(A24),1),
0)</f>
        <v>0</v>
      </c>
      <c r="AC26" s="345">
        <f>IFERROR(
CountyScoresTbl[[#This Row],[Affordable Single Family Homes Sold In Last Year
(Zillow.com)]]/CountyScoresTbl[[#This Row],[CalHome Proposed Number of Loans (entered by Applicant)]],
0)</f>
        <v>0</v>
      </c>
      <c r="AD26" s="345">
        <f>IFERROR(
CountyScoresTbl[[#This Row],[Affordable Single Family Homes Sold In Last Year
(Zillow.com)]]/CountyScoresTbl[[#This Row],[Serna Proposed Number of Loans (entered by Applicant)]],
0)</f>
        <v>0</v>
      </c>
      <c r="AE26" s="342">
        <f t="shared" si="0"/>
        <v>2</v>
      </c>
      <c r="AF26" s="373">
        <f t="shared" si="1"/>
        <v>2</v>
      </c>
      <c r="AG26" s="346">
        <f>CountyScoresTbl[[#This Row],[Median Owner Renter Cost Ratio Points]]+CountyScoresTbl[[#This Row],[CalHome Proposed Loans to Sales Ratio Points]]</f>
        <v>12</v>
      </c>
      <c r="AH26" s="375">
        <f>CountyScoresTbl[[#This Row],[Median Owner Renter Cost Ratio Points]]+CountyScoresTbl[[#This Row],[Serna Proposed Loans to Sales Ratio Points]]</f>
        <v>12</v>
      </c>
      <c r="AI26" s="347">
        <f>CountyScoresTbl[[#This Row],[Age of Housing Stock]]</f>
        <v>0.55343691148775898</v>
      </c>
      <c r="AJ26" s="345">
        <v>1.7241379310344829</v>
      </c>
      <c r="AK26" s="348">
        <f>CountyScoresTbl[[#This Row],[Percent of Overcrowded Homeowners]]</f>
        <v>1.0766838138533318E-2</v>
      </c>
      <c r="AL26" s="345">
        <v>7.068965517241379</v>
      </c>
      <c r="AM26" s="346">
        <v>10</v>
      </c>
      <c r="AN26" s="347">
        <v>0.3311974369243092</v>
      </c>
      <c r="AO26" s="342">
        <v>3</v>
      </c>
      <c r="AP26" s="348">
        <f>CountyScoresTbl[[#This Row],[Rental Vacancy Rate]]</f>
        <v>3.8858148893360159E-2</v>
      </c>
      <c r="AQ26" s="342">
        <v>6</v>
      </c>
      <c r="AR26" s="346">
        <v>10</v>
      </c>
      <c r="AS26" s="349">
        <f>CountyScoresTbl[[#This Row],[Median Owner to Renter Cost Ratio]]</f>
        <v>1.4573055028462998</v>
      </c>
      <c r="AT26" s="342">
        <v>5</v>
      </c>
      <c r="AU26" s="346">
        <v>20</v>
      </c>
      <c r="AV26" s="350">
        <v>4</v>
      </c>
      <c r="AW26" s="351">
        <v>30</v>
      </c>
    </row>
    <row r="27" spans="1:49" ht="16" x14ac:dyDescent="0.35">
      <c r="A27" s="332" t="s">
        <v>139</v>
      </c>
      <c r="B27" s="333">
        <v>15</v>
      </c>
      <c r="C27" s="334">
        <v>4</v>
      </c>
      <c r="D27" s="335">
        <v>0.62087912087912089</v>
      </c>
      <c r="E27" s="334">
        <v>2</v>
      </c>
      <c r="F27" s="335">
        <v>1.098901098901099E-2</v>
      </c>
      <c r="G27" s="334">
        <v>1</v>
      </c>
      <c r="H27" s="335">
        <v>0</v>
      </c>
      <c r="I27" s="334">
        <v>4</v>
      </c>
      <c r="J27" s="336">
        <f>MIN(15,CountyScoresTbl[[#This Row],[Housing Affordability Points]]+CountyScoresTbl[[#This Row],[Percent of Low-Income Renter households Points]]+CountyScoresTbl[[#This Row],[Percent of Overcrowded Renter Households Points]]+CountyScoresTbl[[#This Row],[Rental Vacancy Rate Points]])</f>
        <v>11</v>
      </c>
      <c r="K27" s="337">
        <v>0.70566860465116277</v>
      </c>
      <c r="L27" s="352">
        <v>3</v>
      </c>
      <c r="M27" s="335">
        <v>7.4254742547425479E-2</v>
      </c>
      <c r="N27" s="334">
        <v>4</v>
      </c>
      <c r="O27" s="339">
        <v>0.477859778597786</v>
      </c>
      <c r="P27" s="334">
        <v>4</v>
      </c>
      <c r="Q27" s="335">
        <v>3.6900369003690036E-3</v>
      </c>
      <c r="R27" s="334">
        <v>1</v>
      </c>
      <c r="S27" s="340">
        <f>ROUND(CountyScoresTbl[[#This Row],[Age of Housing Stock Points]],0)+
ROUND(CountyScoresTbl[[#This Row],[Percent of Homeowners in Poverty Points]],0)+
ROUND(CountyScoresTbl[[#This Row],[Percent of Low-Income Homeowners Points]],0)+
ROUND(CountyScoresTbl[[#This Row],[Percent of Overcrowded Homeowners Points]],0)</f>
        <v>12</v>
      </c>
      <c r="T27" s="341">
        <v>1.5548216644649935</v>
      </c>
      <c r="U27" s="342">
        <v>6</v>
      </c>
      <c r="V27" s="495">
        <v>190000</v>
      </c>
      <c r="W27" s="495">
        <v>200000</v>
      </c>
      <c r="X27" s="495">
        <v>181153</v>
      </c>
      <c r="Y27" s="343">
        <f>AVERAGE(CountyScoresTbl[[#This Row],[Redfin.com 
Median Sales Price]:[Zillow.com Median Sales Price]])</f>
        <v>190384.33333333334</v>
      </c>
      <c r="Z27" s="344">
        <v>90</v>
      </c>
      <c r="AA27" s="342" cm="1">
        <f t="array" ref="AA27">IF(INDEX(CHMATbl[NEW CONSTRUCTION OR AQUIRE/REHAB],ROW(A25),1)="",
INDEX(CHMATbl[UNRESTRICTED UNITS],ROW(A25),1)+
INDEX(CHMATbl[MANUFACTURED UNITS],ROW(A25),1)+
INDEX(CHMATbl[RURAL UNITS],ROW(A25),1)+
INDEX(CHMATbl[MANUFACTURED AND RURAL UNITS],ROW(A25),1),
0)</f>
        <v>0</v>
      </c>
      <c r="AB27" s="473" cm="1">
        <f t="array" ref="AB27">IF(INDEX(CHMATbl[NEW CONSTRUCTION OR AQUIRE/REHAB],ROW(A25),1)="",
INDEX(S1MATbl[UNRESTRICTED UNITS],ROW(A25),1)+
INDEX(S1MATbl[RURAL UNITS],ROW(A25),1),
0)</f>
        <v>0</v>
      </c>
      <c r="AC27" s="345">
        <f>IFERROR(
CountyScoresTbl[[#This Row],[Affordable Single Family Homes Sold In Last Year
(Zillow.com)]]/CountyScoresTbl[[#This Row],[CalHome Proposed Number of Loans (entered by Applicant)]],
0)</f>
        <v>0</v>
      </c>
      <c r="AD27" s="345">
        <f>IFERROR(
CountyScoresTbl[[#This Row],[Affordable Single Family Homes Sold In Last Year
(Zillow.com)]]/CountyScoresTbl[[#This Row],[Serna Proposed Number of Loans (entered by Applicant)]],
0)</f>
        <v>0</v>
      </c>
      <c r="AE27" s="342">
        <f t="shared" si="0"/>
        <v>2</v>
      </c>
      <c r="AF27" s="373">
        <f t="shared" si="1"/>
        <v>2</v>
      </c>
      <c r="AG27" s="346">
        <f>CountyScoresTbl[[#This Row],[Median Owner Renter Cost Ratio Points]]+CountyScoresTbl[[#This Row],[CalHome Proposed Loans to Sales Ratio Points]]</f>
        <v>8</v>
      </c>
      <c r="AH27" s="375">
        <f>CountyScoresTbl[[#This Row],[Median Owner Renter Cost Ratio Points]]+CountyScoresTbl[[#This Row],[Serna Proposed Loans to Sales Ratio Points]]</f>
        <v>8</v>
      </c>
      <c r="AI27" s="347">
        <f>CountyScoresTbl[[#This Row],[Age of Housing Stock]]</f>
        <v>0.70566860465116277</v>
      </c>
      <c r="AJ27" s="345">
        <v>6.0344827586206895</v>
      </c>
      <c r="AK27" s="348">
        <f>CountyScoresTbl[[#This Row],[Percent of Overcrowded Homeowners]]</f>
        <v>3.6900369003690036E-3</v>
      </c>
      <c r="AL27" s="345">
        <v>1.896551724137931</v>
      </c>
      <c r="AM27" s="346">
        <v>8</v>
      </c>
      <c r="AN27" s="347">
        <v>0.33628318584070799</v>
      </c>
      <c r="AO27" s="342">
        <v>6</v>
      </c>
      <c r="AP27" s="348">
        <f>CountyScoresTbl[[#This Row],[Rental Vacancy Rate]]</f>
        <v>0</v>
      </c>
      <c r="AQ27" s="342">
        <v>12</v>
      </c>
      <c r="AR27" s="346">
        <v>14</v>
      </c>
      <c r="AS27" s="349">
        <f>CountyScoresTbl[[#This Row],[Median Owner to Renter Cost Ratio]]</f>
        <v>1.5548216644649935</v>
      </c>
      <c r="AT27" s="342">
        <v>3</v>
      </c>
      <c r="AU27" s="346">
        <v>18</v>
      </c>
      <c r="AV27" s="350">
        <v>1</v>
      </c>
      <c r="AW27" s="351">
        <v>10</v>
      </c>
    </row>
    <row r="28" spans="1:49" ht="16" x14ac:dyDescent="0.35">
      <c r="A28" s="332" t="s">
        <v>140</v>
      </c>
      <c r="B28" s="333">
        <v>13.760896637608967</v>
      </c>
      <c r="C28" s="334">
        <v>4</v>
      </c>
      <c r="D28" s="335">
        <v>0.39233038348082594</v>
      </c>
      <c r="E28" s="334">
        <v>1</v>
      </c>
      <c r="F28" s="335">
        <v>0</v>
      </c>
      <c r="G28" s="334">
        <v>1</v>
      </c>
      <c r="H28" s="335">
        <v>0.41952054794520549</v>
      </c>
      <c r="I28" s="334">
        <v>1</v>
      </c>
      <c r="J28" s="336">
        <f>MIN(15,CountyScoresTbl[[#This Row],[Housing Affordability Points]]+CountyScoresTbl[[#This Row],[Percent of Low-Income Renter households Points]]+CountyScoresTbl[[#This Row],[Percent of Overcrowded Renter Households Points]]+CountyScoresTbl[[#This Row],[Rental Vacancy Rate Points]])</f>
        <v>7</v>
      </c>
      <c r="K28" s="337">
        <v>0.76124469589816124</v>
      </c>
      <c r="L28" s="352">
        <v>4</v>
      </c>
      <c r="M28" s="335">
        <v>6.6324147594581967E-2</v>
      </c>
      <c r="N28" s="334">
        <v>4</v>
      </c>
      <c r="O28" s="339">
        <v>0.21824104234527689</v>
      </c>
      <c r="P28" s="334">
        <v>1</v>
      </c>
      <c r="Q28" s="335">
        <v>0</v>
      </c>
      <c r="R28" s="334">
        <v>1</v>
      </c>
      <c r="S28" s="340">
        <f>ROUND(CountyScoresTbl[[#This Row],[Age of Housing Stock Points]],0)+
ROUND(CountyScoresTbl[[#This Row],[Percent of Homeowners in Poverty Points]],0)+
ROUND(CountyScoresTbl[[#This Row],[Percent of Low-Income Homeowners Points]],0)+
ROUND(CountyScoresTbl[[#This Row],[Percent of Overcrowded Homeowners Points]],0)</f>
        <v>10</v>
      </c>
      <c r="T28" s="341">
        <v>1.6306089743589745</v>
      </c>
      <c r="U28" s="342">
        <v>4</v>
      </c>
      <c r="V28" s="495">
        <v>1125500</v>
      </c>
      <c r="W28" s="495">
        <v>775000</v>
      </c>
      <c r="X28" s="495">
        <v>762355</v>
      </c>
      <c r="Y28" s="343">
        <f>AVERAGE(CountyScoresTbl[[#This Row],[Redfin.com 
Median Sales Price]:[Zillow.com Median Sales Price]])</f>
        <v>887618.33333333337</v>
      </c>
      <c r="Z28" s="344">
        <v>157</v>
      </c>
      <c r="AA28" s="342" cm="1">
        <f t="array" ref="AA28">IF(INDEX(CHMATbl[NEW CONSTRUCTION OR AQUIRE/REHAB],ROW(A26),1)="",
INDEX(CHMATbl[UNRESTRICTED UNITS],ROW(A26),1)+
INDEX(CHMATbl[MANUFACTURED UNITS],ROW(A26),1)+
INDEX(CHMATbl[RURAL UNITS],ROW(A26),1)+
INDEX(CHMATbl[MANUFACTURED AND RURAL UNITS],ROW(A26),1),
0)</f>
        <v>0</v>
      </c>
      <c r="AB28" s="473" cm="1">
        <f t="array" ref="AB28">IF(INDEX(CHMATbl[NEW CONSTRUCTION OR AQUIRE/REHAB],ROW(A26),1)="",
INDEX(S1MATbl[UNRESTRICTED UNITS],ROW(A26),1)+
INDEX(S1MATbl[RURAL UNITS],ROW(A26),1),
0)</f>
        <v>0</v>
      </c>
      <c r="AC28" s="345">
        <f>IFERROR(
CountyScoresTbl[[#This Row],[Affordable Single Family Homes Sold In Last Year
(Zillow.com)]]/CountyScoresTbl[[#This Row],[CalHome Proposed Number of Loans (entered by Applicant)]],
0)</f>
        <v>0</v>
      </c>
      <c r="AD28" s="345">
        <f>IFERROR(
CountyScoresTbl[[#This Row],[Affordable Single Family Homes Sold In Last Year
(Zillow.com)]]/CountyScoresTbl[[#This Row],[Serna Proposed Number of Loans (entered by Applicant)]],
0)</f>
        <v>0</v>
      </c>
      <c r="AE28" s="342">
        <f t="shared" si="0"/>
        <v>2</v>
      </c>
      <c r="AF28" s="373">
        <f t="shared" si="1"/>
        <v>2</v>
      </c>
      <c r="AG28" s="346">
        <f>CountyScoresTbl[[#This Row],[Median Owner Renter Cost Ratio Points]]+CountyScoresTbl[[#This Row],[CalHome Proposed Loans to Sales Ratio Points]]</f>
        <v>6</v>
      </c>
      <c r="AH28" s="375">
        <f>CountyScoresTbl[[#This Row],[Median Owner Renter Cost Ratio Points]]+CountyScoresTbl[[#This Row],[Serna Proposed Loans to Sales Ratio Points]]</f>
        <v>6</v>
      </c>
      <c r="AI28" s="347">
        <f>CountyScoresTbl[[#This Row],[Age of Housing Stock]]</f>
        <v>0.76124469589816124</v>
      </c>
      <c r="AJ28" s="345">
        <v>8.2758620689655178</v>
      </c>
      <c r="AK28" s="348">
        <f>CountyScoresTbl[[#This Row],[Percent of Overcrowded Homeowners]]</f>
        <v>0</v>
      </c>
      <c r="AL28" s="345">
        <v>0.34482758620689657</v>
      </c>
      <c r="AM28" s="346">
        <v>12</v>
      </c>
      <c r="AN28" s="347">
        <v>0.26315789473684209</v>
      </c>
      <c r="AO28" s="342">
        <v>3</v>
      </c>
      <c r="AP28" s="348">
        <f>CountyScoresTbl[[#This Row],[Rental Vacancy Rate]]</f>
        <v>0.41952054794520549</v>
      </c>
      <c r="AQ28" s="342">
        <v>3</v>
      </c>
      <c r="AR28" s="346">
        <v>4</v>
      </c>
      <c r="AS28" s="349">
        <f>CountyScoresTbl[[#This Row],[Median Owner to Renter Cost Ratio]]</f>
        <v>1.6306089743589745</v>
      </c>
      <c r="AT28" s="342">
        <v>4</v>
      </c>
      <c r="AU28" s="346">
        <v>17</v>
      </c>
      <c r="AV28" s="350">
        <v>0</v>
      </c>
      <c r="AW28" s="351">
        <v>0</v>
      </c>
    </row>
    <row r="29" spans="1:49" ht="16" x14ac:dyDescent="0.35">
      <c r="A29" s="332" t="s">
        <v>141</v>
      </c>
      <c r="B29" s="333">
        <v>9.1287458379578243</v>
      </c>
      <c r="C29" s="334">
        <v>3</v>
      </c>
      <c r="D29" s="335">
        <v>0.60573447915830059</v>
      </c>
      <c r="E29" s="334">
        <v>1</v>
      </c>
      <c r="F29" s="335">
        <v>8.3206168179262713E-2</v>
      </c>
      <c r="G29" s="334">
        <v>4</v>
      </c>
      <c r="H29" s="335">
        <v>4.8379700397431981E-2</v>
      </c>
      <c r="I29" s="334">
        <v>2</v>
      </c>
      <c r="J29" s="336">
        <f>MIN(15,CountyScoresTbl[[#This Row],[Housing Affordability Points]]+CountyScoresTbl[[#This Row],[Percent of Low-Income Renter households Points]]+CountyScoresTbl[[#This Row],[Percent of Overcrowded Renter Households Points]]+CountyScoresTbl[[#This Row],[Rental Vacancy Rate Points]])</f>
        <v>10</v>
      </c>
      <c r="K29" s="337">
        <v>0.75309739848672108</v>
      </c>
      <c r="L29" s="352">
        <v>4</v>
      </c>
      <c r="M29" s="335">
        <v>3.2826960013968919E-2</v>
      </c>
      <c r="N29" s="334">
        <v>2</v>
      </c>
      <c r="O29" s="339">
        <v>0.31317411402157164</v>
      </c>
      <c r="P29" s="334">
        <v>2</v>
      </c>
      <c r="Q29" s="335">
        <v>1.6255778120184899E-2</v>
      </c>
      <c r="R29" s="334">
        <v>4</v>
      </c>
      <c r="S29" s="340">
        <f>ROUND(CountyScoresTbl[[#This Row],[Age of Housing Stock Points]],0)+
ROUND(CountyScoresTbl[[#This Row],[Percent of Homeowners in Poverty Points]],0)+
ROUND(CountyScoresTbl[[#This Row],[Percent of Low-Income Homeowners Points]],0)+
ROUND(CountyScoresTbl[[#This Row],[Percent of Overcrowded Homeowners Points]],0)</f>
        <v>12</v>
      </c>
      <c r="T29" s="341">
        <v>1.47</v>
      </c>
      <c r="U29" s="342">
        <v>10</v>
      </c>
      <c r="V29" s="495">
        <v>850000</v>
      </c>
      <c r="W29" s="495">
        <v>849300</v>
      </c>
      <c r="X29" s="495">
        <v>768952</v>
      </c>
      <c r="Y29" s="343">
        <f>AVERAGE(CountyScoresTbl[[#This Row],[Redfin.com 
Median Sales Price]:[Zillow.com Median Sales Price]])</f>
        <v>822750.66666666663</v>
      </c>
      <c r="Z29" s="344">
        <v>1220</v>
      </c>
      <c r="AA29" s="342" cm="1">
        <f t="array" ref="AA29">IF(INDEX(CHMATbl[NEW CONSTRUCTION OR AQUIRE/REHAB],ROW(A27),1)="",
INDEX(CHMATbl[UNRESTRICTED UNITS],ROW(A27),1)+
INDEX(CHMATbl[MANUFACTURED UNITS],ROW(A27),1)+
INDEX(CHMATbl[RURAL UNITS],ROW(A27),1)+
INDEX(CHMATbl[MANUFACTURED AND RURAL UNITS],ROW(A27),1),
0)</f>
        <v>0</v>
      </c>
      <c r="AB29" s="473" cm="1">
        <f t="array" ref="AB29">IF(INDEX(CHMATbl[NEW CONSTRUCTION OR AQUIRE/REHAB],ROW(A27),1)="",
INDEX(S1MATbl[UNRESTRICTED UNITS],ROW(A27),1)+
INDEX(S1MATbl[RURAL UNITS],ROW(A27),1),
0)</f>
        <v>0</v>
      </c>
      <c r="AC29" s="345">
        <f>IFERROR(
CountyScoresTbl[[#This Row],[Affordable Single Family Homes Sold In Last Year
(Zillow.com)]]/CountyScoresTbl[[#This Row],[CalHome Proposed Number of Loans (entered by Applicant)]],
0)</f>
        <v>0</v>
      </c>
      <c r="AD29" s="345">
        <f>IFERROR(
CountyScoresTbl[[#This Row],[Affordable Single Family Homes Sold In Last Year
(Zillow.com)]]/CountyScoresTbl[[#This Row],[Serna Proposed Number of Loans (entered by Applicant)]],
0)</f>
        <v>0</v>
      </c>
      <c r="AE29" s="342">
        <f t="shared" si="0"/>
        <v>2</v>
      </c>
      <c r="AF29" s="373">
        <f t="shared" si="1"/>
        <v>2</v>
      </c>
      <c r="AG29" s="346">
        <f>CountyScoresTbl[[#This Row],[Median Owner Renter Cost Ratio Points]]+CountyScoresTbl[[#This Row],[CalHome Proposed Loans to Sales Ratio Points]]</f>
        <v>12</v>
      </c>
      <c r="AH29" s="375">
        <f>CountyScoresTbl[[#This Row],[Median Owner Renter Cost Ratio Points]]+CountyScoresTbl[[#This Row],[Serna Proposed Loans to Sales Ratio Points]]</f>
        <v>12</v>
      </c>
      <c r="AI29" s="347">
        <f>CountyScoresTbl[[#This Row],[Age of Housing Stock]]</f>
        <v>0.75309739848672108</v>
      </c>
      <c r="AJ29" s="345">
        <v>7.5862068965517242</v>
      </c>
      <c r="AK29" s="348">
        <f>CountyScoresTbl[[#This Row],[Percent of Overcrowded Homeowners]]</f>
        <v>1.6255778120184899E-2</v>
      </c>
      <c r="AL29" s="345">
        <v>9.8275862068965516</v>
      </c>
      <c r="AM29" s="346">
        <v>18</v>
      </c>
      <c r="AN29" s="347">
        <v>0.36926544683107931</v>
      </c>
      <c r="AO29" s="342">
        <v>6</v>
      </c>
      <c r="AP29" s="348">
        <f>CountyScoresTbl[[#This Row],[Rental Vacancy Rate]]</f>
        <v>4.8379700397431981E-2</v>
      </c>
      <c r="AQ29" s="342">
        <v>6</v>
      </c>
      <c r="AR29" s="346">
        <v>10</v>
      </c>
      <c r="AS29" s="349">
        <f>CountyScoresTbl[[#This Row],[Median Owner to Renter Cost Ratio]]</f>
        <v>1.47</v>
      </c>
      <c r="AT29" s="342">
        <v>4</v>
      </c>
      <c r="AU29" s="346">
        <v>20</v>
      </c>
      <c r="AV29" s="350">
        <v>1</v>
      </c>
      <c r="AW29" s="351">
        <v>10</v>
      </c>
    </row>
    <row r="30" spans="1:49" ht="16" x14ac:dyDescent="0.35">
      <c r="A30" s="332" t="s">
        <v>142</v>
      </c>
      <c r="B30" s="333">
        <v>8.2663316582914579</v>
      </c>
      <c r="C30" s="334">
        <v>3</v>
      </c>
      <c r="D30" s="335">
        <v>0.57630522088353409</v>
      </c>
      <c r="E30" s="334">
        <v>1</v>
      </c>
      <c r="F30" s="335">
        <v>3.4997131382673553E-2</v>
      </c>
      <c r="G30" s="334">
        <v>3</v>
      </c>
      <c r="H30" s="335">
        <v>5.297473512632437E-2</v>
      </c>
      <c r="I30" s="334">
        <v>1</v>
      </c>
      <c r="J30" s="336">
        <f>MIN(15,CountyScoresTbl[[#This Row],[Housing Affordability Points]]+CountyScoresTbl[[#This Row],[Percent of Low-Income Renter households Points]]+CountyScoresTbl[[#This Row],[Percent of Overcrowded Renter Households Points]]+CountyScoresTbl[[#This Row],[Rental Vacancy Rate Points]])</f>
        <v>8</v>
      </c>
      <c r="K30" s="337">
        <v>0.74920442973523427</v>
      </c>
      <c r="L30" s="352">
        <v>3</v>
      </c>
      <c r="M30" s="335">
        <v>2.9355233269264373E-2</v>
      </c>
      <c r="N30" s="334">
        <v>1</v>
      </c>
      <c r="O30" s="339">
        <v>0.31446842525979218</v>
      </c>
      <c r="P30" s="334">
        <v>2</v>
      </c>
      <c r="Q30" s="335">
        <v>6.3948840927258192E-3</v>
      </c>
      <c r="R30" s="334">
        <v>2</v>
      </c>
      <c r="S30" s="340">
        <f>ROUND(CountyScoresTbl[[#This Row],[Age of Housing Stock Points]],0)+
ROUND(CountyScoresTbl[[#This Row],[Percent of Homeowners in Poverty Points]],0)+
ROUND(CountyScoresTbl[[#This Row],[Percent of Low-Income Homeowners Points]],0)+
ROUND(CountyScoresTbl[[#This Row],[Percent of Overcrowded Homeowners Points]],0)</f>
        <v>8</v>
      </c>
      <c r="T30" s="341">
        <v>1.5273239436619719</v>
      </c>
      <c r="U30" s="342">
        <v>6</v>
      </c>
      <c r="V30" s="495">
        <v>807500</v>
      </c>
      <c r="W30" s="495">
        <v>949000</v>
      </c>
      <c r="X30" s="495">
        <v>863895</v>
      </c>
      <c r="Y30" s="343">
        <f>AVERAGE(CountyScoresTbl[[#This Row],[Redfin.com 
Median Sales Price]:[Zillow.com Median Sales Price]])</f>
        <v>873465</v>
      </c>
      <c r="Z30" s="344">
        <v>584</v>
      </c>
      <c r="AA30" s="342" cm="1">
        <f t="array" ref="AA30">IF(INDEX(CHMATbl[NEW CONSTRUCTION OR AQUIRE/REHAB],ROW(A28),1)="",
INDEX(CHMATbl[UNRESTRICTED UNITS],ROW(A28),1)+
INDEX(CHMATbl[MANUFACTURED UNITS],ROW(A28),1)+
INDEX(CHMATbl[RURAL UNITS],ROW(A28),1)+
INDEX(CHMATbl[MANUFACTURED AND RURAL UNITS],ROW(A28),1),
0)</f>
        <v>0</v>
      </c>
      <c r="AB30" s="473" cm="1">
        <f t="array" ref="AB30">IF(INDEX(CHMATbl[NEW CONSTRUCTION OR AQUIRE/REHAB],ROW(A28),1)="",
INDEX(S1MATbl[UNRESTRICTED UNITS],ROW(A28),1)+
INDEX(S1MATbl[RURAL UNITS],ROW(A28),1),
0)</f>
        <v>0</v>
      </c>
      <c r="AC30" s="345">
        <f>IFERROR(
CountyScoresTbl[[#This Row],[Affordable Single Family Homes Sold In Last Year
(Zillow.com)]]/CountyScoresTbl[[#This Row],[CalHome Proposed Number of Loans (entered by Applicant)]],
0)</f>
        <v>0</v>
      </c>
      <c r="AD30" s="345">
        <f>IFERROR(
CountyScoresTbl[[#This Row],[Affordable Single Family Homes Sold In Last Year
(Zillow.com)]]/CountyScoresTbl[[#This Row],[Serna Proposed Number of Loans (entered by Applicant)]],
0)</f>
        <v>0</v>
      </c>
      <c r="AE30" s="342">
        <f t="shared" si="0"/>
        <v>2</v>
      </c>
      <c r="AF30" s="373">
        <f t="shared" si="1"/>
        <v>2</v>
      </c>
      <c r="AG30" s="346">
        <f>CountyScoresTbl[[#This Row],[Median Owner Renter Cost Ratio Points]]+CountyScoresTbl[[#This Row],[CalHome Proposed Loans to Sales Ratio Points]]</f>
        <v>8</v>
      </c>
      <c r="AH30" s="375">
        <f>CountyScoresTbl[[#This Row],[Median Owner Renter Cost Ratio Points]]+CountyScoresTbl[[#This Row],[Serna Proposed Loans to Sales Ratio Points]]</f>
        <v>8</v>
      </c>
      <c r="AI30" s="347">
        <f>CountyScoresTbl[[#This Row],[Age of Housing Stock]]</f>
        <v>0.74920442973523427</v>
      </c>
      <c r="AJ30" s="345">
        <v>7.2413793103448274</v>
      </c>
      <c r="AK30" s="348">
        <f>CountyScoresTbl[[#This Row],[Percent of Overcrowded Homeowners]]</f>
        <v>6.3948840927258192E-3</v>
      </c>
      <c r="AL30" s="345">
        <v>3.9655172413793105</v>
      </c>
      <c r="AM30" s="346">
        <v>12</v>
      </c>
      <c r="AN30" s="347">
        <v>0.37779990044798406</v>
      </c>
      <c r="AO30" s="342">
        <v>6</v>
      </c>
      <c r="AP30" s="348">
        <f>CountyScoresTbl[[#This Row],[Rental Vacancy Rate]]</f>
        <v>5.297473512632437E-2</v>
      </c>
      <c r="AQ30" s="342">
        <v>3</v>
      </c>
      <c r="AR30" s="346">
        <v>10</v>
      </c>
      <c r="AS30" s="349">
        <f>CountyScoresTbl[[#This Row],[Median Owner to Renter Cost Ratio]]</f>
        <v>1.5273239436619719</v>
      </c>
      <c r="AT30" s="342">
        <v>3</v>
      </c>
      <c r="AU30" s="346">
        <v>18</v>
      </c>
      <c r="AV30" s="350">
        <v>0</v>
      </c>
      <c r="AW30" s="351">
        <v>0</v>
      </c>
    </row>
    <row r="31" spans="1:49" ht="16" x14ac:dyDescent="0.35">
      <c r="A31" s="332" t="s">
        <v>143</v>
      </c>
      <c r="B31" s="333">
        <v>5.9335443037974684</v>
      </c>
      <c r="C31" s="334">
        <v>2</v>
      </c>
      <c r="D31" s="335">
        <v>0.65796963946869069</v>
      </c>
      <c r="E31" s="334">
        <v>3</v>
      </c>
      <c r="F31" s="335">
        <v>1.5180265654648957E-2</v>
      </c>
      <c r="G31" s="334">
        <v>2</v>
      </c>
      <c r="H31" s="335">
        <v>3.875968992248062E-2</v>
      </c>
      <c r="I31" s="334">
        <v>2</v>
      </c>
      <c r="J31" s="336">
        <f>MIN(15,CountyScoresTbl[[#This Row],[Housing Affordability Points]]+CountyScoresTbl[[#This Row],[Percent of Low-Income Renter households Points]]+CountyScoresTbl[[#This Row],[Percent of Overcrowded Renter Households Points]]+CountyScoresTbl[[#This Row],[Rental Vacancy Rate Points]])</f>
        <v>9</v>
      </c>
      <c r="K31" s="337">
        <v>0.66851821597778138</v>
      </c>
      <c r="L31" s="352">
        <v>2</v>
      </c>
      <c r="M31" s="335">
        <v>3.2232558139534885E-2</v>
      </c>
      <c r="N31" s="334">
        <v>2</v>
      </c>
      <c r="O31" s="339">
        <v>0.35774369124195943</v>
      </c>
      <c r="P31" s="334">
        <v>3</v>
      </c>
      <c r="Q31" s="335">
        <v>6.5973940293584032E-3</v>
      </c>
      <c r="R31" s="334">
        <v>2</v>
      </c>
      <c r="S31" s="340">
        <f>ROUND(CountyScoresTbl[[#This Row],[Age of Housing Stock Points]],0)+
ROUND(CountyScoresTbl[[#This Row],[Percent of Homeowners in Poverty Points]],0)+
ROUND(CountyScoresTbl[[#This Row],[Percent of Low-Income Homeowners Points]],0)+
ROUND(CountyScoresTbl[[#This Row],[Percent of Overcrowded Homeowners Points]],0)</f>
        <v>9</v>
      </c>
      <c r="T31" s="341">
        <v>1.6577946768060836</v>
      </c>
      <c r="U31" s="342">
        <v>4</v>
      </c>
      <c r="V31" s="495">
        <v>520000</v>
      </c>
      <c r="W31" s="495">
        <v>650000</v>
      </c>
      <c r="X31" s="495">
        <v>592786</v>
      </c>
      <c r="Y31" s="343">
        <f>AVERAGE(CountyScoresTbl[[#This Row],[Redfin.com 
Median Sales Price]:[Zillow.com Median Sales Price]])</f>
        <v>587595.33333333337</v>
      </c>
      <c r="Z31" s="344">
        <v>1139</v>
      </c>
      <c r="AA31" s="342" cm="1">
        <f t="array" ref="AA31">IF(INDEX(CHMATbl[NEW CONSTRUCTION OR AQUIRE/REHAB],ROW(A29),1)="",
INDEX(CHMATbl[UNRESTRICTED UNITS],ROW(A29),1)+
INDEX(CHMATbl[MANUFACTURED UNITS],ROW(A29),1)+
INDEX(CHMATbl[RURAL UNITS],ROW(A29),1)+
INDEX(CHMATbl[MANUFACTURED AND RURAL UNITS],ROW(A29),1),
0)</f>
        <v>0</v>
      </c>
      <c r="AB31" s="473" cm="1">
        <f t="array" ref="AB31">IF(INDEX(CHMATbl[NEW CONSTRUCTION OR AQUIRE/REHAB],ROW(A29),1)="",
INDEX(S1MATbl[UNRESTRICTED UNITS],ROW(A29),1)+
INDEX(S1MATbl[RURAL UNITS],ROW(A29),1),
0)</f>
        <v>0</v>
      </c>
      <c r="AC31" s="345">
        <f>IFERROR(
CountyScoresTbl[[#This Row],[Affordable Single Family Homes Sold In Last Year
(Zillow.com)]]/CountyScoresTbl[[#This Row],[CalHome Proposed Number of Loans (entered by Applicant)]],
0)</f>
        <v>0</v>
      </c>
      <c r="AD31" s="345">
        <f>IFERROR(
CountyScoresTbl[[#This Row],[Affordable Single Family Homes Sold In Last Year
(Zillow.com)]]/CountyScoresTbl[[#This Row],[Serna Proposed Number of Loans (entered by Applicant)]],
0)</f>
        <v>0</v>
      </c>
      <c r="AE31" s="342">
        <f t="shared" si="0"/>
        <v>2</v>
      </c>
      <c r="AF31" s="373">
        <f t="shared" si="1"/>
        <v>2</v>
      </c>
      <c r="AG31" s="346">
        <f>CountyScoresTbl[[#This Row],[Median Owner Renter Cost Ratio Points]]+CountyScoresTbl[[#This Row],[CalHome Proposed Loans to Sales Ratio Points]]</f>
        <v>6</v>
      </c>
      <c r="AH31" s="375">
        <f>CountyScoresTbl[[#This Row],[Median Owner Renter Cost Ratio Points]]+CountyScoresTbl[[#This Row],[Serna Proposed Loans to Sales Ratio Points]]</f>
        <v>6</v>
      </c>
      <c r="AI31" s="347">
        <f>CountyScoresTbl[[#This Row],[Age of Housing Stock]]</f>
        <v>0.66851821597778138</v>
      </c>
      <c r="AJ31" s="345">
        <v>4.6551724137931032</v>
      </c>
      <c r="AK31" s="348">
        <f>CountyScoresTbl[[#This Row],[Percent of Overcrowded Homeowners]]</f>
        <v>6.5973940293584032E-3</v>
      </c>
      <c r="AL31" s="345">
        <v>4.3103448275862064</v>
      </c>
      <c r="AM31" s="346">
        <v>12</v>
      </c>
      <c r="AN31" s="347">
        <v>0.4275414563806777</v>
      </c>
      <c r="AO31" s="342">
        <v>12</v>
      </c>
      <c r="AP31" s="348">
        <f>CountyScoresTbl[[#This Row],[Rental Vacancy Rate]]</f>
        <v>3.875968992248062E-2</v>
      </c>
      <c r="AQ31" s="342">
        <v>6</v>
      </c>
      <c r="AR31" s="346">
        <v>16</v>
      </c>
      <c r="AS31" s="349">
        <f>CountyScoresTbl[[#This Row],[Median Owner to Renter Cost Ratio]]</f>
        <v>1.6577946768060836</v>
      </c>
      <c r="AT31" s="342">
        <v>2</v>
      </c>
      <c r="AU31" s="346">
        <v>17</v>
      </c>
      <c r="AV31" s="350">
        <v>0</v>
      </c>
      <c r="AW31" s="351">
        <v>0</v>
      </c>
    </row>
    <row r="32" spans="1:49" ht="16" x14ac:dyDescent="0.35">
      <c r="A32" s="332" t="s">
        <v>144</v>
      </c>
      <c r="B32" s="333">
        <v>10.075566750629722</v>
      </c>
      <c r="C32" s="334">
        <v>4</v>
      </c>
      <c r="D32" s="335">
        <v>0.66077970241056483</v>
      </c>
      <c r="E32" s="334">
        <v>3</v>
      </c>
      <c r="F32" s="335">
        <v>5.9857084708968389E-2</v>
      </c>
      <c r="G32" s="334">
        <v>4</v>
      </c>
      <c r="H32" s="335">
        <v>3.1832910062177075E-2</v>
      </c>
      <c r="I32" s="334">
        <v>3</v>
      </c>
      <c r="J32" s="336">
        <f>MIN(15,CountyScoresTbl[[#This Row],[Housing Affordability Points]]+CountyScoresTbl[[#This Row],[Percent of Low-Income Renter households Points]]+CountyScoresTbl[[#This Row],[Percent of Overcrowded Renter Households Points]]+CountyScoresTbl[[#This Row],[Rental Vacancy Rate Points]])</f>
        <v>14</v>
      </c>
      <c r="K32" s="337">
        <v>0.76092858534880747</v>
      </c>
      <c r="L32" s="352">
        <v>4</v>
      </c>
      <c r="M32" s="335">
        <v>2.9845165974337069E-2</v>
      </c>
      <c r="N32" s="334">
        <v>1</v>
      </c>
      <c r="O32" s="339">
        <v>0.36674954222453676</v>
      </c>
      <c r="P32" s="334">
        <v>4</v>
      </c>
      <c r="Q32" s="335">
        <v>1.0390243082970752E-2</v>
      </c>
      <c r="R32" s="334">
        <v>3</v>
      </c>
      <c r="S32" s="340">
        <f>ROUND(CountyScoresTbl[[#This Row],[Age of Housing Stock Points]],0)+
ROUND(CountyScoresTbl[[#This Row],[Percent of Homeowners in Poverty Points]],0)+
ROUND(CountyScoresTbl[[#This Row],[Percent of Low-Income Homeowners Points]],0)+
ROUND(CountyScoresTbl[[#This Row],[Percent of Overcrowded Homeowners Points]],0)</f>
        <v>12</v>
      </c>
      <c r="T32" s="341">
        <v>1.4714730290456433</v>
      </c>
      <c r="U32" s="342">
        <v>10</v>
      </c>
      <c r="V32" s="495">
        <v>1150000</v>
      </c>
      <c r="W32" s="495">
        <v>999900</v>
      </c>
      <c r="X32" s="495">
        <v>1036655</v>
      </c>
      <c r="Y32" s="343">
        <f>AVERAGE(CountyScoresTbl[[#This Row],[Redfin.com 
Median Sales Price]:[Zillow.com Median Sales Price]])</f>
        <v>1062185</v>
      </c>
      <c r="Z32" s="344">
        <v>6778</v>
      </c>
      <c r="AA32" s="342" cm="1">
        <f t="array" ref="AA32">IF(INDEX(CHMATbl[NEW CONSTRUCTION OR AQUIRE/REHAB],ROW(A30),1)="",
INDEX(CHMATbl[UNRESTRICTED UNITS],ROW(A30),1)+
INDEX(CHMATbl[MANUFACTURED UNITS],ROW(A30),1)+
INDEX(CHMATbl[RURAL UNITS],ROW(A30),1)+
INDEX(CHMATbl[MANUFACTURED AND RURAL UNITS],ROW(A30),1),
0)</f>
        <v>0</v>
      </c>
      <c r="AB32" s="473" cm="1">
        <f t="array" ref="AB32">IF(INDEX(CHMATbl[NEW CONSTRUCTION OR AQUIRE/REHAB],ROW(A30),1)="",
INDEX(S1MATbl[UNRESTRICTED UNITS],ROW(A30),1)+
INDEX(S1MATbl[RURAL UNITS],ROW(A30),1),
0)</f>
        <v>0</v>
      </c>
      <c r="AC32" s="345">
        <f>IFERROR(
CountyScoresTbl[[#This Row],[Affordable Single Family Homes Sold In Last Year
(Zillow.com)]]/CountyScoresTbl[[#This Row],[CalHome Proposed Number of Loans (entered by Applicant)]],
0)</f>
        <v>0</v>
      </c>
      <c r="AD32" s="345">
        <f>IFERROR(
CountyScoresTbl[[#This Row],[Affordable Single Family Homes Sold In Last Year
(Zillow.com)]]/CountyScoresTbl[[#This Row],[Serna Proposed Number of Loans (entered by Applicant)]],
0)</f>
        <v>0</v>
      </c>
      <c r="AE32" s="342">
        <f t="shared" si="0"/>
        <v>2</v>
      </c>
      <c r="AF32" s="373">
        <f t="shared" si="1"/>
        <v>2</v>
      </c>
      <c r="AG32" s="346">
        <f>CountyScoresTbl[[#This Row],[Median Owner Renter Cost Ratio Points]]+CountyScoresTbl[[#This Row],[CalHome Proposed Loans to Sales Ratio Points]]</f>
        <v>12</v>
      </c>
      <c r="AH32" s="375">
        <f>CountyScoresTbl[[#This Row],[Median Owner Renter Cost Ratio Points]]+CountyScoresTbl[[#This Row],[Serna Proposed Loans to Sales Ratio Points]]</f>
        <v>12</v>
      </c>
      <c r="AI32" s="347">
        <f>CountyScoresTbl[[#This Row],[Age of Housing Stock]]</f>
        <v>0.76092858534880747</v>
      </c>
      <c r="AJ32" s="345">
        <v>8.1034482758620676</v>
      </c>
      <c r="AK32" s="348">
        <f>CountyScoresTbl[[#This Row],[Percent of Overcrowded Homeowners]]</f>
        <v>1.0390243082970752E-2</v>
      </c>
      <c r="AL32" s="345">
        <v>6.8965517241379315</v>
      </c>
      <c r="AM32" s="346">
        <v>18</v>
      </c>
      <c r="AN32" s="347">
        <v>0.39620478423051914</v>
      </c>
      <c r="AO32" s="342">
        <v>9</v>
      </c>
      <c r="AP32" s="348">
        <f>CountyScoresTbl[[#This Row],[Rental Vacancy Rate]]</f>
        <v>3.1832910062177075E-2</v>
      </c>
      <c r="AQ32" s="342">
        <v>9</v>
      </c>
      <c r="AR32" s="346">
        <v>14</v>
      </c>
      <c r="AS32" s="349">
        <f>CountyScoresTbl[[#This Row],[Median Owner to Renter Cost Ratio]]</f>
        <v>1.4714730290456433</v>
      </c>
      <c r="AT32" s="342">
        <v>5</v>
      </c>
      <c r="AU32" s="346">
        <v>20</v>
      </c>
      <c r="AV32" s="350">
        <v>0</v>
      </c>
      <c r="AW32" s="351">
        <v>0</v>
      </c>
    </row>
    <row r="33" spans="1:49" ht="16" x14ac:dyDescent="0.35">
      <c r="A33" s="332" t="s">
        <v>145</v>
      </c>
      <c r="B33" s="333">
        <v>6.3111545988258317</v>
      </c>
      <c r="C33" s="334">
        <v>3</v>
      </c>
      <c r="D33" s="335">
        <v>0.53637607262778264</v>
      </c>
      <c r="E33" s="334">
        <v>1</v>
      </c>
      <c r="F33" s="335">
        <v>1.3182439995025495E-2</v>
      </c>
      <c r="G33" s="334">
        <v>2</v>
      </c>
      <c r="H33" s="335">
        <v>5.3108808290155442E-2</v>
      </c>
      <c r="I33" s="334">
        <v>1</v>
      </c>
      <c r="J33" s="336">
        <f>MIN(15,CountyScoresTbl[[#This Row],[Housing Affordability Points]]+CountyScoresTbl[[#This Row],[Percent of Low-Income Renter households Points]]+CountyScoresTbl[[#This Row],[Percent of Overcrowded Renter Households Points]]+CountyScoresTbl[[#This Row],[Rental Vacancy Rate Points]])</f>
        <v>7</v>
      </c>
      <c r="K33" s="337">
        <v>0.41161337399666958</v>
      </c>
      <c r="L33" s="352">
        <v>1</v>
      </c>
      <c r="M33" s="335">
        <v>3.0911977160577385E-2</v>
      </c>
      <c r="N33" s="334">
        <v>2</v>
      </c>
      <c r="O33" s="339">
        <v>0.26302971261568436</v>
      </c>
      <c r="P33" s="334">
        <v>1</v>
      </c>
      <c r="Q33" s="335">
        <v>2.1432050657574282E-3</v>
      </c>
      <c r="R33" s="334">
        <v>1</v>
      </c>
      <c r="S33" s="340">
        <f>ROUND(CountyScoresTbl[[#This Row],[Age of Housing Stock Points]],0)+
ROUND(CountyScoresTbl[[#This Row],[Percent of Homeowners in Poverty Points]],0)+
ROUND(CountyScoresTbl[[#This Row],[Percent of Low-Income Homeowners Points]],0)+
ROUND(CountyScoresTbl[[#This Row],[Percent of Overcrowded Homeowners Points]],0)</f>
        <v>5</v>
      </c>
      <c r="T33" s="341">
        <v>1.5235148514851484</v>
      </c>
      <c r="U33" s="342">
        <v>8</v>
      </c>
      <c r="V33" s="495">
        <v>630000</v>
      </c>
      <c r="W33" s="495">
        <v>699000</v>
      </c>
      <c r="X33" s="495">
        <v>660809</v>
      </c>
      <c r="Y33" s="343">
        <f>AVERAGE(CountyScoresTbl[[#This Row],[Redfin.com 
Median Sales Price]:[Zillow.com Median Sales Price]])</f>
        <v>663269.66666666663</v>
      </c>
      <c r="Z33" s="344">
        <v>3672</v>
      </c>
      <c r="AA33" s="342" cm="1">
        <f t="array" ref="AA33">IF(INDEX(CHMATbl[NEW CONSTRUCTION OR AQUIRE/REHAB],ROW(A31),1)="",
INDEX(CHMATbl[UNRESTRICTED UNITS],ROW(A31),1)+
INDEX(CHMATbl[MANUFACTURED UNITS],ROW(A31),1)+
INDEX(CHMATbl[RURAL UNITS],ROW(A31),1)+
INDEX(CHMATbl[MANUFACTURED AND RURAL UNITS],ROW(A31),1),
0)</f>
        <v>0</v>
      </c>
      <c r="AB33" s="473" cm="1">
        <f t="array" ref="AB33">IF(INDEX(CHMATbl[NEW CONSTRUCTION OR AQUIRE/REHAB],ROW(A31),1)="",
INDEX(S1MATbl[UNRESTRICTED UNITS],ROW(A31),1)+
INDEX(S1MATbl[RURAL UNITS],ROW(A31),1),
0)</f>
        <v>0</v>
      </c>
      <c r="AC33" s="345">
        <f>IFERROR(
CountyScoresTbl[[#This Row],[Affordable Single Family Homes Sold In Last Year
(Zillow.com)]]/CountyScoresTbl[[#This Row],[CalHome Proposed Number of Loans (entered by Applicant)]],
0)</f>
        <v>0</v>
      </c>
      <c r="AD33" s="345">
        <f>IFERROR(
CountyScoresTbl[[#This Row],[Affordable Single Family Homes Sold In Last Year
(Zillow.com)]]/CountyScoresTbl[[#This Row],[Serna Proposed Number of Loans (entered by Applicant)]],
0)</f>
        <v>0</v>
      </c>
      <c r="AE33" s="342">
        <f t="shared" si="0"/>
        <v>2</v>
      </c>
      <c r="AF33" s="373">
        <f t="shared" si="1"/>
        <v>2</v>
      </c>
      <c r="AG33" s="346">
        <f>CountyScoresTbl[[#This Row],[Median Owner Renter Cost Ratio Points]]+CountyScoresTbl[[#This Row],[CalHome Proposed Loans to Sales Ratio Points]]</f>
        <v>10</v>
      </c>
      <c r="AH33" s="375">
        <f>CountyScoresTbl[[#This Row],[Median Owner Renter Cost Ratio Points]]+CountyScoresTbl[[#This Row],[Serna Proposed Loans to Sales Ratio Points]]</f>
        <v>10</v>
      </c>
      <c r="AI33" s="347">
        <f>CountyScoresTbl[[#This Row],[Age of Housing Stock]]</f>
        <v>0.41161337399666958</v>
      </c>
      <c r="AJ33" s="345">
        <v>0.17241379310344829</v>
      </c>
      <c r="AK33" s="348">
        <f>CountyScoresTbl[[#This Row],[Percent of Overcrowded Homeowners]]</f>
        <v>2.1432050657574282E-3</v>
      </c>
      <c r="AL33" s="345">
        <v>1.0344827586206897</v>
      </c>
      <c r="AM33" s="346">
        <v>4</v>
      </c>
      <c r="AN33" s="347">
        <v>0.42290748898678415</v>
      </c>
      <c r="AO33" s="342">
        <v>12</v>
      </c>
      <c r="AP33" s="348">
        <f>CountyScoresTbl[[#This Row],[Rental Vacancy Rate]]</f>
        <v>5.3108808290155442E-2</v>
      </c>
      <c r="AQ33" s="342">
        <v>3</v>
      </c>
      <c r="AR33" s="346">
        <v>14</v>
      </c>
      <c r="AS33" s="349">
        <f>CountyScoresTbl[[#This Row],[Median Owner to Renter Cost Ratio]]</f>
        <v>1.5235148514851484</v>
      </c>
      <c r="AT33" s="342">
        <v>4</v>
      </c>
      <c r="AU33" s="346">
        <v>19</v>
      </c>
      <c r="AV33" s="350">
        <v>0</v>
      </c>
      <c r="AW33" s="351">
        <v>0</v>
      </c>
    </row>
    <row r="34" spans="1:49" ht="16" x14ac:dyDescent="0.35">
      <c r="A34" s="332" t="s">
        <v>146</v>
      </c>
      <c r="B34" s="333">
        <v>5.7645631067961167</v>
      </c>
      <c r="C34" s="334">
        <v>2</v>
      </c>
      <c r="D34" s="335">
        <v>0.62091503267973858</v>
      </c>
      <c r="E34" s="334">
        <v>2</v>
      </c>
      <c r="F34" s="335">
        <v>1.0893246187363835E-2</v>
      </c>
      <c r="G34" s="334">
        <v>1</v>
      </c>
      <c r="H34" s="335">
        <v>6.7073170731707321E-2</v>
      </c>
      <c r="I34" s="334">
        <v>1</v>
      </c>
      <c r="J34" s="336">
        <f>MIN(15,CountyScoresTbl[[#This Row],[Housing Affordability Points]]+CountyScoresTbl[[#This Row],[Percent of Low-Income Renter households Points]]+CountyScoresTbl[[#This Row],[Percent of Overcrowded Renter Households Points]]+CountyScoresTbl[[#This Row],[Rental Vacancy Rate Points]])</f>
        <v>6</v>
      </c>
      <c r="K34" s="337">
        <v>0.6310679611650486</v>
      </c>
      <c r="L34" s="352">
        <v>2</v>
      </c>
      <c r="M34" s="335">
        <v>3.1584309730005096E-2</v>
      </c>
      <c r="N34" s="334">
        <v>2</v>
      </c>
      <c r="O34" s="339">
        <v>0.35824532900081235</v>
      </c>
      <c r="P34" s="334">
        <v>3</v>
      </c>
      <c r="Q34" s="335">
        <v>0</v>
      </c>
      <c r="R34" s="334">
        <v>1</v>
      </c>
      <c r="S34" s="340">
        <f>ROUND(CountyScoresTbl[[#This Row],[Age of Housing Stock Points]],0)+
ROUND(CountyScoresTbl[[#This Row],[Percent of Homeowners in Poverty Points]],0)+
ROUND(CountyScoresTbl[[#This Row],[Percent of Low-Income Homeowners Points]],0)+
ROUND(CountyScoresTbl[[#This Row],[Percent of Overcrowded Homeowners Points]],0)</f>
        <v>8</v>
      </c>
      <c r="T34" s="341">
        <v>1.6949152542372881</v>
      </c>
      <c r="U34" s="342">
        <v>4</v>
      </c>
      <c r="V34" s="495">
        <v>360000</v>
      </c>
      <c r="W34" s="495">
        <v>380000</v>
      </c>
      <c r="X34" s="495">
        <v>366857</v>
      </c>
      <c r="Y34" s="343">
        <f>AVERAGE(CountyScoresTbl[[#This Row],[Redfin.com 
Median Sales Price]:[Zillow.com Median Sales Price]])</f>
        <v>368952.33333333331</v>
      </c>
      <c r="Z34" s="344">
        <v>393</v>
      </c>
      <c r="AA34" s="342" cm="1">
        <f t="array" ref="AA34">IF(INDEX(CHMATbl[NEW CONSTRUCTION OR AQUIRE/REHAB],ROW(A32),1)="",
INDEX(CHMATbl[UNRESTRICTED UNITS],ROW(A32),1)+
INDEX(CHMATbl[MANUFACTURED UNITS],ROW(A32),1)+
INDEX(CHMATbl[RURAL UNITS],ROW(A32),1)+
INDEX(CHMATbl[MANUFACTURED AND RURAL UNITS],ROW(A32),1),
0)</f>
        <v>0</v>
      </c>
      <c r="AB34" s="473" cm="1">
        <f t="array" ref="AB34">IF(INDEX(CHMATbl[NEW CONSTRUCTION OR AQUIRE/REHAB],ROW(A32),1)="",
INDEX(S1MATbl[UNRESTRICTED UNITS],ROW(A32),1)+
INDEX(S1MATbl[RURAL UNITS],ROW(A32),1),
0)</f>
        <v>0</v>
      </c>
      <c r="AC34" s="345">
        <f>IFERROR(
CountyScoresTbl[[#This Row],[Affordable Single Family Homes Sold In Last Year
(Zillow.com)]]/CountyScoresTbl[[#This Row],[CalHome Proposed Number of Loans (entered by Applicant)]],
0)</f>
        <v>0</v>
      </c>
      <c r="AD34" s="345">
        <f>IFERROR(
CountyScoresTbl[[#This Row],[Affordable Single Family Homes Sold In Last Year
(Zillow.com)]]/CountyScoresTbl[[#This Row],[Serna Proposed Number of Loans (entered by Applicant)]],
0)</f>
        <v>0</v>
      </c>
      <c r="AE34" s="342">
        <f t="shared" si="0"/>
        <v>2</v>
      </c>
      <c r="AF34" s="373">
        <f t="shared" si="1"/>
        <v>2</v>
      </c>
      <c r="AG34" s="346">
        <f>CountyScoresTbl[[#This Row],[Median Owner Renter Cost Ratio Points]]+CountyScoresTbl[[#This Row],[CalHome Proposed Loans to Sales Ratio Points]]</f>
        <v>6</v>
      </c>
      <c r="AH34" s="375">
        <f>CountyScoresTbl[[#This Row],[Median Owner Renter Cost Ratio Points]]+CountyScoresTbl[[#This Row],[Serna Proposed Loans to Sales Ratio Points]]</f>
        <v>6</v>
      </c>
      <c r="AI34" s="347">
        <f>CountyScoresTbl[[#This Row],[Age of Housing Stock]]</f>
        <v>0.6310679611650486</v>
      </c>
      <c r="AJ34" s="345">
        <v>3.7931034482758621</v>
      </c>
      <c r="AK34" s="348">
        <f>CountyScoresTbl[[#This Row],[Percent of Overcrowded Homeowners]]</f>
        <v>0</v>
      </c>
      <c r="AL34" s="345">
        <v>0.17241379310344829</v>
      </c>
      <c r="AM34" s="346">
        <v>6</v>
      </c>
      <c r="AN34" s="347">
        <v>0.3719298245614035</v>
      </c>
      <c r="AO34" s="342">
        <v>6</v>
      </c>
      <c r="AP34" s="348">
        <f>CountyScoresTbl[[#This Row],[Rental Vacancy Rate]]</f>
        <v>6.7073170731707321E-2</v>
      </c>
      <c r="AQ34" s="342">
        <v>3</v>
      </c>
      <c r="AR34" s="346">
        <v>8</v>
      </c>
      <c r="AS34" s="349">
        <f>CountyScoresTbl[[#This Row],[Median Owner to Renter Cost Ratio]]</f>
        <v>1.6949152542372881</v>
      </c>
      <c r="AT34" s="342">
        <v>2</v>
      </c>
      <c r="AU34" s="346">
        <v>17</v>
      </c>
      <c r="AV34" s="350">
        <v>0</v>
      </c>
      <c r="AW34" s="351">
        <v>0</v>
      </c>
    </row>
    <row r="35" spans="1:49" ht="16" x14ac:dyDescent="0.35">
      <c r="A35" s="332" t="s">
        <v>147</v>
      </c>
      <c r="B35" s="333">
        <v>6.8649885583524028</v>
      </c>
      <c r="C35" s="334">
        <v>3</v>
      </c>
      <c r="D35" s="335">
        <v>0.60907972945275668</v>
      </c>
      <c r="E35" s="334">
        <v>2</v>
      </c>
      <c r="F35" s="335">
        <v>3.1973765115802417E-2</v>
      </c>
      <c r="G35" s="334">
        <v>3</v>
      </c>
      <c r="H35" s="335">
        <v>5.7780695994747208E-2</v>
      </c>
      <c r="I35" s="334">
        <v>1</v>
      </c>
      <c r="J35" s="336">
        <f>MIN(15,CountyScoresTbl[[#This Row],[Housing Affordability Points]]+CountyScoresTbl[[#This Row],[Percent of Low-Income Renter households Points]]+CountyScoresTbl[[#This Row],[Percent of Overcrowded Renter Households Points]]+CountyScoresTbl[[#This Row],[Rental Vacancy Rate Points]])</f>
        <v>9</v>
      </c>
      <c r="K35" s="337">
        <v>0.48965629581365044</v>
      </c>
      <c r="L35" s="352">
        <v>1</v>
      </c>
      <c r="M35" s="335">
        <v>5.2876771259043193E-2</v>
      </c>
      <c r="N35" s="334">
        <v>3</v>
      </c>
      <c r="O35" s="339">
        <v>0.33877054548856939</v>
      </c>
      <c r="P35" s="334">
        <v>2</v>
      </c>
      <c r="Q35" s="335">
        <v>1.1498196259447546E-2</v>
      </c>
      <c r="R35" s="334">
        <v>4</v>
      </c>
      <c r="S35" s="340">
        <f>ROUND(CountyScoresTbl[[#This Row],[Age of Housing Stock Points]],0)+
ROUND(CountyScoresTbl[[#This Row],[Percent of Homeowners in Poverty Points]],0)+
ROUND(CountyScoresTbl[[#This Row],[Percent of Low-Income Homeowners Points]],0)+
ROUND(CountyScoresTbl[[#This Row],[Percent of Overcrowded Homeowners Points]],0)</f>
        <v>10</v>
      </c>
      <c r="T35" s="341">
        <v>1.4360746371803732</v>
      </c>
      <c r="U35" s="342">
        <v>10</v>
      </c>
      <c r="V35" s="495">
        <v>570000</v>
      </c>
      <c r="W35" s="495">
        <v>594900</v>
      </c>
      <c r="X35" s="495">
        <v>569163</v>
      </c>
      <c r="Y35" s="343">
        <f>AVERAGE(CountyScoresTbl[[#This Row],[Redfin.com 
Median Sales Price]:[Zillow.com Median Sales Price]])</f>
        <v>578021</v>
      </c>
      <c r="Z35" s="344">
        <v>14106</v>
      </c>
      <c r="AA35" s="342" cm="1">
        <f t="array" ref="AA35">IF(INDEX(CHMATbl[NEW CONSTRUCTION OR AQUIRE/REHAB],ROW(A33),1)="",
INDEX(CHMATbl[UNRESTRICTED UNITS],ROW(A33),1)+
INDEX(CHMATbl[MANUFACTURED UNITS],ROW(A33),1)+
INDEX(CHMATbl[RURAL UNITS],ROW(A33),1)+
INDEX(CHMATbl[MANUFACTURED AND RURAL UNITS],ROW(A33),1),
0)</f>
        <v>0</v>
      </c>
      <c r="AB35" s="473" cm="1">
        <f t="array" ref="AB35">IF(INDEX(CHMATbl[NEW CONSTRUCTION OR AQUIRE/REHAB],ROW(A33),1)="",
INDEX(S1MATbl[UNRESTRICTED UNITS],ROW(A33),1)+
INDEX(S1MATbl[RURAL UNITS],ROW(A33),1),
0)</f>
        <v>0</v>
      </c>
      <c r="AC35" s="345">
        <f>IFERROR(
CountyScoresTbl[[#This Row],[Affordable Single Family Homes Sold In Last Year
(Zillow.com)]]/CountyScoresTbl[[#This Row],[CalHome Proposed Number of Loans (entered by Applicant)]],
0)</f>
        <v>0</v>
      </c>
      <c r="AD35" s="345">
        <f>IFERROR(
CountyScoresTbl[[#This Row],[Affordable Single Family Homes Sold In Last Year
(Zillow.com)]]/CountyScoresTbl[[#This Row],[Serna Proposed Number of Loans (entered by Applicant)]],
0)</f>
        <v>0</v>
      </c>
      <c r="AE35" s="342">
        <f t="shared" ref="AE35:AE60" si="2">IF(AC35&gt;=167, 10,
IF(AC35&gt;=73, 8,
IF(AC35&gt;=34, 6,
IF(AC35&gt;=11, 4,
2))))</f>
        <v>2</v>
      </c>
      <c r="AF35" s="373">
        <f t="shared" ref="AF35:AF60" si="3">IF(AD35&gt;=167, 10,
IF(AD35&gt;=73, 8,
IF(AD35&gt;=34, 6,
IF(AD35&gt;=11, 4,
2))))</f>
        <v>2</v>
      </c>
      <c r="AG35" s="346">
        <f>CountyScoresTbl[[#This Row],[Median Owner Renter Cost Ratio Points]]+CountyScoresTbl[[#This Row],[CalHome Proposed Loans to Sales Ratio Points]]</f>
        <v>12</v>
      </c>
      <c r="AH35" s="375">
        <f>CountyScoresTbl[[#This Row],[Median Owner Renter Cost Ratio Points]]+CountyScoresTbl[[#This Row],[Serna Proposed Loans to Sales Ratio Points]]</f>
        <v>12</v>
      </c>
      <c r="AI35" s="347">
        <f>CountyScoresTbl[[#This Row],[Age of Housing Stock]]</f>
        <v>0.48965629581365044</v>
      </c>
      <c r="AJ35" s="345">
        <v>0.51724137931034486</v>
      </c>
      <c r="AK35" s="348">
        <f>CountyScoresTbl[[#This Row],[Percent of Overcrowded Homeowners]]</f>
        <v>1.1498196259447546E-2</v>
      </c>
      <c r="AL35" s="345">
        <v>7.931034482758621</v>
      </c>
      <c r="AM35" s="346">
        <v>10</v>
      </c>
      <c r="AN35" s="347">
        <v>0.44933876232459535</v>
      </c>
      <c r="AO35" s="342">
        <v>12</v>
      </c>
      <c r="AP35" s="348">
        <f>CountyScoresTbl[[#This Row],[Rental Vacancy Rate]]</f>
        <v>5.7780695994747208E-2</v>
      </c>
      <c r="AQ35" s="342">
        <v>3</v>
      </c>
      <c r="AR35" s="346">
        <v>12</v>
      </c>
      <c r="AS35" s="349">
        <f>CountyScoresTbl[[#This Row],[Median Owner to Renter Cost Ratio]]</f>
        <v>1.4360746371803732</v>
      </c>
      <c r="AT35" s="342">
        <v>5</v>
      </c>
      <c r="AU35" s="346">
        <v>20</v>
      </c>
      <c r="AV35" s="350">
        <v>0</v>
      </c>
      <c r="AW35" s="351">
        <v>0</v>
      </c>
    </row>
    <row r="36" spans="1:49" ht="16" x14ac:dyDescent="0.35">
      <c r="A36" s="332" t="s">
        <v>148</v>
      </c>
      <c r="B36" s="333">
        <v>5.0880626223091978</v>
      </c>
      <c r="C36" s="334">
        <v>2</v>
      </c>
      <c r="D36" s="335">
        <v>0.65534431770173218</v>
      </c>
      <c r="E36" s="334">
        <v>3</v>
      </c>
      <c r="F36" s="335">
        <v>2.422898183354457E-2</v>
      </c>
      <c r="G36" s="334">
        <v>2</v>
      </c>
      <c r="H36" s="335">
        <v>4.3481774832296129E-2</v>
      </c>
      <c r="I36" s="334">
        <v>2</v>
      </c>
      <c r="J36" s="336">
        <f>MIN(15,CountyScoresTbl[[#This Row],[Housing Affordability Points]]+CountyScoresTbl[[#This Row],[Percent of Low-Income Renter households Points]]+CountyScoresTbl[[#This Row],[Percent of Overcrowded Renter Households Points]]+CountyScoresTbl[[#This Row],[Rental Vacancy Rate Points]])</f>
        <v>9</v>
      </c>
      <c r="K36" s="337">
        <v>0.65266330187058053</v>
      </c>
      <c r="L36" s="352">
        <v>2</v>
      </c>
      <c r="M36" s="335">
        <v>4.2682369132807499E-2</v>
      </c>
      <c r="N36" s="334">
        <v>3</v>
      </c>
      <c r="O36" s="339">
        <v>0.32117848690116707</v>
      </c>
      <c r="P36" s="334">
        <v>2</v>
      </c>
      <c r="Q36" s="335">
        <v>6.4637231698359589E-3</v>
      </c>
      <c r="R36" s="334">
        <v>2</v>
      </c>
      <c r="S36" s="340">
        <f>ROUND(CountyScoresTbl[[#This Row],[Age of Housing Stock Points]],0)+
ROUND(CountyScoresTbl[[#This Row],[Percent of Homeowners in Poverty Points]],0)+
ROUND(CountyScoresTbl[[#This Row],[Percent of Low-Income Homeowners Points]],0)+
ROUND(CountyScoresTbl[[#This Row],[Percent of Overcrowded Homeowners Points]],0)</f>
        <v>9</v>
      </c>
      <c r="T36" s="341">
        <v>1.4823705926481621</v>
      </c>
      <c r="U36" s="342">
        <v>8</v>
      </c>
      <c r="V36" s="495">
        <v>495000</v>
      </c>
      <c r="W36" s="495">
        <v>499900</v>
      </c>
      <c r="X36" s="495">
        <v>494607</v>
      </c>
      <c r="Y36" s="343">
        <f>AVERAGE(CountyScoresTbl[[#This Row],[Redfin.com 
Median Sales Price]:[Zillow.com Median Sales Price]])</f>
        <v>496502.33333333331</v>
      </c>
      <c r="Z36" s="344">
        <v>5796</v>
      </c>
      <c r="AA36" s="342" cm="1">
        <f t="array" ref="AA36">IF(INDEX(CHMATbl[NEW CONSTRUCTION OR AQUIRE/REHAB],ROW(A34),1)="",
INDEX(CHMATbl[UNRESTRICTED UNITS],ROW(A34),1)+
INDEX(CHMATbl[MANUFACTURED UNITS],ROW(A34),1)+
INDEX(CHMATbl[RURAL UNITS],ROW(A34),1)+
INDEX(CHMATbl[MANUFACTURED AND RURAL UNITS],ROW(A34),1),
0)</f>
        <v>0</v>
      </c>
      <c r="AB36" s="473" cm="1">
        <f t="array" ref="AB36">IF(INDEX(CHMATbl[NEW CONSTRUCTION OR AQUIRE/REHAB],ROW(A34),1)="",
INDEX(S1MATbl[UNRESTRICTED UNITS],ROW(A34),1)+
INDEX(S1MATbl[RURAL UNITS],ROW(A34),1),
0)</f>
        <v>0</v>
      </c>
      <c r="AC36" s="345">
        <f>IFERROR(
CountyScoresTbl[[#This Row],[Affordable Single Family Homes Sold In Last Year
(Zillow.com)]]/CountyScoresTbl[[#This Row],[CalHome Proposed Number of Loans (entered by Applicant)]],
0)</f>
        <v>0</v>
      </c>
      <c r="AD36" s="345">
        <f>IFERROR(
CountyScoresTbl[[#This Row],[Affordable Single Family Homes Sold In Last Year
(Zillow.com)]]/CountyScoresTbl[[#This Row],[Serna Proposed Number of Loans (entered by Applicant)]],
0)</f>
        <v>0</v>
      </c>
      <c r="AE36" s="342">
        <f t="shared" si="2"/>
        <v>2</v>
      </c>
      <c r="AF36" s="373">
        <f t="shared" si="3"/>
        <v>2</v>
      </c>
      <c r="AG36" s="346">
        <f>CountyScoresTbl[[#This Row],[Median Owner Renter Cost Ratio Points]]+CountyScoresTbl[[#This Row],[CalHome Proposed Loans to Sales Ratio Points]]</f>
        <v>10</v>
      </c>
      <c r="AH36" s="375">
        <f>CountyScoresTbl[[#This Row],[Median Owner Renter Cost Ratio Points]]+CountyScoresTbl[[#This Row],[Serna Proposed Loans to Sales Ratio Points]]</f>
        <v>10</v>
      </c>
      <c r="AI36" s="347">
        <f>CountyScoresTbl[[#This Row],[Age of Housing Stock]]</f>
        <v>0.65266330187058053</v>
      </c>
      <c r="AJ36" s="345">
        <v>4.3103448275862064</v>
      </c>
      <c r="AK36" s="348">
        <f>CountyScoresTbl[[#This Row],[Percent of Overcrowded Homeowners]]</f>
        <v>6.4637231698359589E-3</v>
      </c>
      <c r="AL36" s="345">
        <v>4.1379310344827589</v>
      </c>
      <c r="AM36" s="346">
        <v>12</v>
      </c>
      <c r="AN36" s="347">
        <v>0.39317947395564723</v>
      </c>
      <c r="AO36" s="342">
        <v>9</v>
      </c>
      <c r="AP36" s="348">
        <f>CountyScoresTbl[[#This Row],[Rental Vacancy Rate]]</f>
        <v>4.3481774832296129E-2</v>
      </c>
      <c r="AQ36" s="342">
        <v>6</v>
      </c>
      <c r="AR36" s="346">
        <v>10</v>
      </c>
      <c r="AS36" s="349">
        <f>CountyScoresTbl[[#This Row],[Median Owner to Renter Cost Ratio]]</f>
        <v>1.4823705926481621</v>
      </c>
      <c r="AT36" s="342">
        <v>4</v>
      </c>
      <c r="AU36" s="346">
        <v>19</v>
      </c>
      <c r="AV36" s="350">
        <v>0</v>
      </c>
      <c r="AW36" s="351">
        <v>0</v>
      </c>
    </row>
    <row r="37" spans="1:49" ht="16" x14ac:dyDescent="0.35">
      <c r="A37" s="332" t="s">
        <v>149</v>
      </c>
      <c r="B37" s="333">
        <v>7.1360608943862989</v>
      </c>
      <c r="C37" s="334">
        <v>3</v>
      </c>
      <c r="D37" s="335">
        <v>0.5942249240121581</v>
      </c>
      <c r="E37" s="334">
        <v>1</v>
      </c>
      <c r="F37" s="335">
        <v>5.1671732522796353E-2</v>
      </c>
      <c r="G37" s="334">
        <v>4</v>
      </c>
      <c r="H37" s="335">
        <v>1.7176997759522031E-2</v>
      </c>
      <c r="I37" s="334">
        <v>4</v>
      </c>
      <c r="J37" s="336">
        <f>MIN(15,CountyScoresTbl[[#This Row],[Housing Affordability Points]]+CountyScoresTbl[[#This Row],[Percent of Low-Income Renter households Points]]+CountyScoresTbl[[#This Row],[Percent of Overcrowded Renter Households Points]]+CountyScoresTbl[[#This Row],[Rental Vacancy Rate Points]])</f>
        <v>12</v>
      </c>
      <c r="K37" s="337">
        <v>0.50428702239240819</v>
      </c>
      <c r="L37" s="352">
        <v>1</v>
      </c>
      <c r="M37" s="335">
        <v>2.5702093877145976E-2</v>
      </c>
      <c r="N37" s="334">
        <v>1</v>
      </c>
      <c r="O37" s="339">
        <v>0.25227174383383816</v>
      </c>
      <c r="P37" s="334">
        <v>1</v>
      </c>
      <c r="Q37" s="335">
        <v>1.2981393336218087E-2</v>
      </c>
      <c r="R37" s="334">
        <v>4</v>
      </c>
      <c r="S37" s="340">
        <f>ROUND(CountyScoresTbl[[#This Row],[Age of Housing Stock Points]],0)+
ROUND(CountyScoresTbl[[#This Row],[Percent of Homeowners in Poverty Points]],0)+
ROUND(CountyScoresTbl[[#This Row],[Percent of Low-Income Homeowners Points]],0)+
ROUND(CountyScoresTbl[[#This Row],[Percent of Overcrowded Homeowners Points]],0)</f>
        <v>7</v>
      </c>
      <c r="T37" s="341">
        <v>1.7142857142857142</v>
      </c>
      <c r="U37" s="342">
        <v>4</v>
      </c>
      <c r="V37" s="495">
        <v>745000</v>
      </c>
      <c r="W37" s="495">
        <v>810000</v>
      </c>
      <c r="X37" s="495">
        <v>731036</v>
      </c>
      <c r="Y37" s="343">
        <f>AVERAGE(CountyScoresTbl[[#This Row],[Redfin.com 
Median Sales Price]:[Zillow.com Median Sales Price]])</f>
        <v>762012</v>
      </c>
      <c r="Z37" s="344">
        <v>280</v>
      </c>
      <c r="AA37" s="342" cm="1">
        <f t="array" ref="AA37">IF(INDEX(CHMATbl[NEW CONSTRUCTION OR AQUIRE/REHAB],ROW(A35),1)="",
INDEX(CHMATbl[UNRESTRICTED UNITS],ROW(A35),1)+
INDEX(CHMATbl[MANUFACTURED UNITS],ROW(A35),1)+
INDEX(CHMATbl[RURAL UNITS],ROW(A35),1)+
INDEX(CHMATbl[MANUFACTURED AND RURAL UNITS],ROW(A35),1),
0)</f>
        <v>0</v>
      </c>
      <c r="AB37" s="473" cm="1">
        <f t="array" ref="AB37">IF(INDEX(CHMATbl[NEW CONSTRUCTION OR AQUIRE/REHAB],ROW(A35),1)="",
INDEX(S1MATbl[UNRESTRICTED UNITS],ROW(A35),1)+
INDEX(S1MATbl[RURAL UNITS],ROW(A35),1),
0)</f>
        <v>0</v>
      </c>
      <c r="AC37" s="345">
        <f>IFERROR(
CountyScoresTbl[[#This Row],[Affordable Single Family Homes Sold In Last Year
(Zillow.com)]]/CountyScoresTbl[[#This Row],[CalHome Proposed Number of Loans (entered by Applicant)]],
0)</f>
        <v>0</v>
      </c>
      <c r="AD37" s="345">
        <f>IFERROR(
CountyScoresTbl[[#This Row],[Affordable Single Family Homes Sold In Last Year
(Zillow.com)]]/CountyScoresTbl[[#This Row],[Serna Proposed Number of Loans (entered by Applicant)]],
0)</f>
        <v>0</v>
      </c>
      <c r="AE37" s="342">
        <f t="shared" si="2"/>
        <v>2</v>
      </c>
      <c r="AF37" s="373">
        <f t="shared" si="3"/>
        <v>2</v>
      </c>
      <c r="AG37" s="346">
        <f>CountyScoresTbl[[#This Row],[Median Owner Renter Cost Ratio Points]]+CountyScoresTbl[[#This Row],[CalHome Proposed Loans to Sales Ratio Points]]</f>
        <v>6</v>
      </c>
      <c r="AH37" s="375">
        <f>CountyScoresTbl[[#This Row],[Median Owner Renter Cost Ratio Points]]+CountyScoresTbl[[#This Row],[Serna Proposed Loans to Sales Ratio Points]]</f>
        <v>6</v>
      </c>
      <c r="AI37" s="347">
        <f>CountyScoresTbl[[#This Row],[Age of Housing Stock]]</f>
        <v>0.50428702239240819</v>
      </c>
      <c r="AJ37" s="345">
        <v>1.0344827586206897</v>
      </c>
      <c r="AK37" s="348">
        <f>CountyScoresTbl[[#This Row],[Percent of Overcrowded Homeowners]]</f>
        <v>1.2981393336218087E-2</v>
      </c>
      <c r="AL37" s="345">
        <v>8.4482758620689662</v>
      </c>
      <c r="AM37" s="346">
        <v>12</v>
      </c>
      <c r="AN37" s="347">
        <v>0.31585677749360613</v>
      </c>
      <c r="AO37" s="342">
        <v>3</v>
      </c>
      <c r="AP37" s="348">
        <f>CountyScoresTbl[[#This Row],[Rental Vacancy Rate]]</f>
        <v>1.7176997759522031E-2</v>
      </c>
      <c r="AQ37" s="342">
        <v>12</v>
      </c>
      <c r="AR37" s="346">
        <v>12</v>
      </c>
      <c r="AS37" s="349">
        <f>CountyScoresTbl[[#This Row],[Median Owner to Renter Cost Ratio]]</f>
        <v>1.7142857142857142</v>
      </c>
      <c r="AT37" s="342">
        <v>2</v>
      </c>
      <c r="AU37" s="346">
        <v>17</v>
      </c>
      <c r="AV37" s="350">
        <v>1</v>
      </c>
      <c r="AW37" s="351">
        <v>10</v>
      </c>
    </row>
    <row r="38" spans="1:49" ht="16" x14ac:dyDescent="0.35">
      <c r="A38" s="332" t="s">
        <v>150</v>
      </c>
      <c r="B38" s="333">
        <v>5.4919908466819223</v>
      </c>
      <c r="C38" s="334">
        <v>2</v>
      </c>
      <c r="D38" s="335">
        <v>0.62320143884892087</v>
      </c>
      <c r="E38" s="334">
        <v>2</v>
      </c>
      <c r="F38" s="335">
        <v>3.9939787300594304E-2</v>
      </c>
      <c r="G38" s="334">
        <v>3</v>
      </c>
      <c r="H38" s="335">
        <v>4.8954169378079393E-2</v>
      </c>
      <c r="I38" s="334">
        <v>2</v>
      </c>
      <c r="J38" s="336">
        <f>MIN(15,CountyScoresTbl[[#This Row],[Housing Affordability Points]]+CountyScoresTbl[[#This Row],[Percent of Low-Income Renter households Points]]+CountyScoresTbl[[#This Row],[Percent of Overcrowded Renter Households Points]]+CountyScoresTbl[[#This Row],[Rental Vacancy Rate Points]])</f>
        <v>9</v>
      </c>
      <c r="K38" s="337">
        <v>0.67215820195751275</v>
      </c>
      <c r="L38" s="352">
        <v>2</v>
      </c>
      <c r="M38" s="335">
        <v>5.4481603719901801E-2</v>
      </c>
      <c r="N38" s="334">
        <v>3</v>
      </c>
      <c r="O38" s="339">
        <v>0.33896076575155148</v>
      </c>
      <c r="P38" s="334">
        <v>2</v>
      </c>
      <c r="Q38" s="335">
        <v>1.3213947617544967E-2</v>
      </c>
      <c r="R38" s="334">
        <v>4</v>
      </c>
      <c r="S38" s="340">
        <f>ROUND(CountyScoresTbl[[#This Row],[Age of Housing Stock Points]],0)+
ROUND(CountyScoresTbl[[#This Row],[Percent of Homeowners in Poverty Points]],0)+
ROUND(CountyScoresTbl[[#This Row],[Percent of Low-Income Homeowners Points]],0)+
ROUND(CountyScoresTbl[[#This Row],[Percent of Overcrowded Homeowners Points]],0)</f>
        <v>11</v>
      </c>
      <c r="T38" s="341">
        <v>1.3998505231689089</v>
      </c>
      <c r="U38" s="342">
        <v>10</v>
      </c>
      <c r="V38" s="495">
        <v>465000</v>
      </c>
      <c r="W38" s="495">
        <v>489900</v>
      </c>
      <c r="X38" s="495">
        <v>507151</v>
      </c>
      <c r="Y38" s="343">
        <f>AVERAGE(CountyScoresTbl[[#This Row],[Redfin.com 
Median Sales Price]:[Zillow.com Median Sales Price]])</f>
        <v>487350.33333333331</v>
      </c>
      <c r="Z38" s="344">
        <v>11484</v>
      </c>
      <c r="AA38" s="342" cm="1">
        <f t="array" ref="AA38">IF(INDEX(CHMATbl[NEW CONSTRUCTION OR AQUIRE/REHAB],ROW(A36),1)="",
INDEX(CHMATbl[UNRESTRICTED UNITS],ROW(A36),1)+
INDEX(CHMATbl[MANUFACTURED UNITS],ROW(A36),1)+
INDEX(CHMATbl[RURAL UNITS],ROW(A36),1)+
INDEX(CHMATbl[MANUFACTURED AND RURAL UNITS],ROW(A36),1),
0)</f>
        <v>0</v>
      </c>
      <c r="AB38" s="473" cm="1">
        <f t="array" ref="AB38">IF(INDEX(CHMATbl[NEW CONSTRUCTION OR AQUIRE/REHAB],ROW(A36),1)="",
INDEX(S1MATbl[UNRESTRICTED UNITS],ROW(A36),1)+
INDEX(S1MATbl[RURAL UNITS],ROW(A36),1),
0)</f>
        <v>0</v>
      </c>
      <c r="AC38" s="345">
        <f>IFERROR(
CountyScoresTbl[[#This Row],[Affordable Single Family Homes Sold In Last Year
(Zillow.com)]]/CountyScoresTbl[[#This Row],[CalHome Proposed Number of Loans (entered by Applicant)]],
0)</f>
        <v>0</v>
      </c>
      <c r="AD38" s="345">
        <f>IFERROR(
CountyScoresTbl[[#This Row],[Affordable Single Family Homes Sold In Last Year
(Zillow.com)]]/CountyScoresTbl[[#This Row],[Serna Proposed Number of Loans (entered by Applicant)]],
0)</f>
        <v>0</v>
      </c>
      <c r="AE38" s="342">
        <f t="shared" si="2"/>
        <v>2</v>
      </c>
      <c r="AF38" s="373">
        <f t="shared" si="3"/>
        <v>2</v>
      </c>
      <c r="AG38" s="346">
        <f>CountyScoresTbl[[#This Row],[Median Owner Renter Cost Ratio Points]]+CountyScoresTbl[[#This Row],[CalHome Proposed Loans to Sales Ratio Points]]</f>
        <v>12</v>
      </c>
      <c r="AH38" s="375">
        <f>CountyScoresTbl[[#This Row],[Median Owner Renter Cost Ratio Points]]+CountyScoresTbl[[#This Row],[Serna Proposed Loans to Sales Ratio Points]]</f>
        <v>12</v>
      </c>
      <c r="AI38" s="347">
        <f>CountyScoresTbl[[#This Row],[Age of Housing Stock]]</f>
        <v>0.67215820195751275</v>
      </c>
      <c r="AJ38" s="345">
        <v>4.8275862068965516</v>
      </c>
      <c r="AK38" s="348">
        <f>CountyScoresTbl[[#This Row],[Percent of Overcrowded Homeowners]]</f>
        <v>1.3213947617544967E-2</v>
      </c>
      <c r="AL38" s="345">
        <v>8.6206896551724128</v>
      </c>
      <c r="AM38" s="346">
        <v>16</v>
      </c>
      <c r="AN38" s="347">
        <v>0.42700294874207917</v>
      </c>
      <c r="AO38" s="342">
        <v>12</v>
      </c>
      <c r="AP38" s="348">
        <f>CountyScoresTbl[[#This Row],[Rental Vacancy Rate]]</f>
        <v>4.8954169378079393E-2</v>
      </c>
      <c r="AQ38" s="342">
        <v>6</v>
      </c>
      <c r="AR38" s="346">
        <v>14</v>
      </c>
      <c r="AS38" s="349">
        <f>CountyScoresTbl[[#This Row],[Median Owner to Renter Cost Ratio]]</f>
        <v>1.3998505231689089</v>
      </c>
      <c r="AT38" s="342">
        <v>5</v>
      </c>
      <c r="AU38" s="346">
        <v>20</v>
      </c>
      <c r="AV38" s="350">
        <v>0</v>
      </c>
      <c r="AW38" s="351">
        <v>0</v>
      </c>
    </row>
    <row r="39" spans="1:49" ht="16" x14ac:dyDescent="0.35">
      <c r="A39" s="332" t="s">
        <v>151</v>
      </c>
      <c r="B39" s="333">
        <v>8.4097287184284379</v>
      </c>
      <c r="C39" s="334">
        <v>3</v>
      </c>
      <c r="D39" s="335">
        <v>0.62686126661335162</v>
      </c>
      <c r="E39" s="334">
        <v>2</v>
      </c>
      <c r="F39" s="335">
        <v>3.9605468601241478E-2</v>
      </c>
      <c r="G39" s="334">
        <v>3</v>
      </c>
      <c r="H39" s="335">
        <v>3.5845090461809601E-2</v>
      </c>
      <c r="I39" s="334">
        <v>3</v>
      </c>
      <c r="J39" s="336">
        <f>MIN(15,CountyScoresTbl[[#This Row],[Housing Affordability Points]]+CountyScoresTbl[[#This Row],[Percent of Low-Income Renter households Points]]+CountyScoresTbl[[#This Row],[Percent of Overcrowded Renter Households Points]]+CountyScoresTbl[[#This Row],[Rental Vacancy Rate Points]])</f>
        <v>11</v>
      </c>
      <c r="K39" s="337">
        <v>0.71166160663001554</v>
      </c>
      <c r="L39" s="352">
        <v>3</v>
      </c>
      <c r="M39" s="335">
        <v>3.1218637367240613E-2</v>
      </c>
      <c r="N39" s="334">
        <v>2</v>
      </c>
      <c r="O39" s="339">
        <v>0.33045883637030188</v>
      </c>
      <c r="P39" s="334">
        <v>2</v>
      </c>
      <c r="Q39" s="335">
        <v>8.3735346314394981E-3</v>
      </c>
      <c r="R39" s="334">
        <v>3</v>
      </c>
      <c r="S39" s="340">
        <f>ROUND(CountyScoresTbl[[#This Row],[Age of Housing Stock Points]],0)+
ROUND(CountyScoresTbl[[#This Row],[Percent of Homeowners in Poverty Points]],0)+
ROUND(CountyScoresTbl[[#This Row],[Percent of Low-Income Homeowners Points]],0)+
ROUND(CountyScoresTbl[[#This Row],[Percent of Overcrowded Homeowners Points]],0)</f>
        <v>10</v>
      </c>
      <c r="T39" s="341">
        <v>1.5317551963048499</v>
      </c>
      <c r="U39" s="342">
        <v>6</v>
      </c>
      <c r="V39" s="495">
        <v>849000</v>
      </c>
      <c r="W39" s="495">
        <v>860000</v>
      </c>
      <c r="X39" s="495">
        <v>866169</v>
      </c>
      <c r="Y39" s="343">
        <f>AVERAGE(CountyScoresTbl[[#This Row],[Redfin.com 
Median Sales Price]:[Zillow.com Median Sales Price]])</f>
        <v>858389.66666666663</v>
      </c>
      <c r="Z39" s="344">
        <v>8654</v>
      </c>
      <c r="AA39" s="342" cm="1">
        <f t="array" ref="AA39">IF(INDEX(CHMATbl[NEW CONSTRUCTION OR AQUIRE/REHAB],ROW(A37),1)="",
INDEX(CHMATbl[UNRESTRICTED UNITS],ROW(A37),1)+
INDEX(CHMATbl[MANUFACTURED UNITS],ROW(A37),1)+
INDEX(CHMATbl[RURAL UNITS],ROW(A37),1)+
INDEX(CHMATbl[MANUFACTURED AND RURAL UNITS],ROW(A37),1),
0)</f>
        <v>0</v>
      </c>
      <c r="AB39" s="473" cm="1">
        <f t="array" ref="AB39">IF(INDEX(CHMATbl[NEW CONSTRUCTION OR AQUIRE/REHAB],ROW(A37),1)="",
INDEX(S1MATbl[UNRESTRICTED UNITS],ROW(A37),1)+
INDEX(S1MATbl[RURAL UNITS],ROW(A37),1),
0)</f>
        <v>0</v>
      </c>
      <c r="AC39" s="345">
        <f>IFERROR(
CountyScoresTbl[[#This Row],[Affordable Single Family Homes Sold In Last Year
(Zillow.com)]]/CountyScoresTbl[[#This Row],[CalHome Proposed Number of Loans (entered by Applicant)]],
0)</f>
        <v>0</v>
      </c>
      <c r="AD39" s="345">
        <f>IFERROR(
CountyScoresTbl[[#This Row],[Affordable Single Family Homes Sold In Last Year
(Zillow.com)]]/CountyScoresTbl[[#This Row],[Serna Proposed Number of Loans (entered by Applicant)]],
0)</f>
        <v>0</v>
      </c>
      <c r="AE39" s="342">
        <f t="shared" si="2"/>
        <v>2</v>
      </c>
      <c r="AF39" s="373">
        <f t="shared" si="3"/>
        <v>2</v>
      </c>
      <c r="AG39" s="346">
        <f>CountyScoresTbl[[#This Row],[Median Owner Renter Cost Ratio Points]]+CountyScoresTbl[[#This Row],[CalHome Proposed Loans to Sales Ratio Points]]</f>
        <v>8</v>
      </c>
      <c r="AH39" s="375">
        <f>CountyScoresTbl[[#This Row],[Median Owner Renter Cost Ratio Points]]+CountyScoresTbl[[#This Row],[Serna Proposed Loans to Sales Ratio Points]]</f>
        <v>8</v>
      </c>
      <c r="AI39" s="347">
        <f>CountyScoresTbl[[#This Row],[Age of Housing Stock]]</f>
        <v>0.71166160663001554</v>
      </c>
      <c r="AJ39" s="345">
        <v>6.3793103448275872</v>
      </c>
      <c r="AK39" s="348">
        <f>CountyScoresTbl[[#This Row],[Percent of Overcrowded Homeowners]]</f>
        <v>8.3735346314394981E-3</v>
      </c>
      <c r="AL39" s="345">
        <v>5.6896551724137936</v>
      </c>
      <c r="AM39" s="346">
        <v>14</v>
      </c>
      <c r="AN39" s="347">
        <v>0.42203423294807346</v>
      </c>
      <c r="AO39" s="342">
        <v>12</v>
      </c>
      <c r="AP39" s="348">
        <f>CountyScoresTbl[[#This Row],[Rental Vacancy Rate]]</f>
        <v>3.5845090461809601E-2</v>
      </c>
      <c r="AQ39" s="342">
        <v>9</v>
      </c>
      <c r="AR39" s="346">
        <v>16</v>
      </c>
      <c r="AS39" s="349">
        <f>CountyScoresTbl[[#This Row],[Median Owner to Renter Cost Ratio]]</f>
        <v>1.5317551963048499</v>
      </c>
      <c r="AT39" s="342">
        <v>3</v>
      </c>
      <c r="AU39" s="346">
        <v>18</v>
      </c>
      <c r="AV39" s="350">
        <v>0</v>
      </c>
      <c r="AW39" s="351">
        <v>0</v>
      </c>
    </row>
    <row r="40" spans="1:49" ht="16" x14ac:dyDescent="0.35">
      <c r="A40" s="332" t="s">
        <v>152</v>
      </c>
      <c r="B40" s="333">
        <v>9.9397590361445776</v>
      </c>
      <c r="C40" s="334">
        <v>4</v>
      </c>
      <c r="D40" s="335">
        <v>0.52230059925259276</v>
      </c>
      <c r="E40" s="334">
        <v>1</v>
      </c>
      <c r="F40" s="335">
        <v>5.6497799792141166E-2</v>
      </c>
      <c r="G40" s="334">
        <v>4</v>
      </c>
      <c r="H40" s="335">
        <v>2.7043889845094666E-2</v>
      </c>
      <c r="I40" s="334">
        <v>4</v>
      </c>
      <c r="J40" s="336">
        <f>MIN(15,CountyScoresTbl[[#This Row],[Housing Affordability Points]]+CountyScoresTbl[[#This Row],[Percent of Low-Income Renter households Points]]+CountyScoresTbl[[#This Row],[Percent of Overcrowded Renter Households Points]]+CountyScoresTbl[[#This Row],[Rental Vacancy Rate Points]])</f>
        <v>13</v>
      </c>
      <c r="K40" s="337">
        <v>0.85964453547745112</v>
      </c>
      <c r="L40" s="352">
        <v>4</v>
      </c>
      <c r="M40" s="335">
        <v>2.4660522440966351E-2</v>
      </c>
      <c r="N40" s="334">
        <v>1</v>
      </c>
      <c r="O40" s="339">
        <v>0.37121990604815031</v>
      </c>
      <c r="P40" s="334">
        <v>4</v>
      </c>
      <c r="Q40" s="335">
        <v>1.4900176159718144E-2</v>
      </c>
      <c r="R40" s="334">
        <v>4</v>
      </c>
      <c r="S40" s="340">
        <f>ROUND(CountyScoresTbl[[#This Row],[Age of Housing Stock Points]],0)+
ROUND(CountyScoresTbl[[#This Row],[Percent of Homeowners in Poverty Points]],0)+
ROUND(CountyScoresTbl[[#This Row],[Percent of Low-Income Homeowners Points]],0)+
ROUND(CountyScoresTbl[[#This Row],[Percent of Overcrowded Homeowners Points]],0)</f>
        <v>13</v>
      </c>
      <c r="T40" s="341">
        <v>1.9014925373134328</v>
      </c>
      <c r="U40" s="342">
        <v>2</v>
      </c>
      <c r="V40" s="495">
        <v>1365000</v>
      </c>
      <c r="W40" s="495">
        <v>1300000</v>
      </c>
      <c r="X40" s="495">
        <v>1391308</v>
      </c>
      <c r="Y40" s="343">
        <f>AVERAGE(CountyScoresTbl[[#This Row],[Redfin.com 
Median Sales Price]:[Zillow.com Median Sales Price]])</f>
        <v>1352102.6666666667</v>
      </c>
      <c r="Z40" s="344">
        <v>891</v>
      </c>
      <c r="AA40" s="342" cm="1">
        <f t="array" ref="AA40">IF(INDEX(CHMATbl[NEW CONSTRUCTION OR AQUIRE/REHAB],ROW(A38),1)="",
INDEX(CHMATbl[UNRESTRICTED UNITS],ROW(A38),1)+
INDEX(CHMATbl[MANUFACTURED UNITS],ROW(A38),1)+
INDEX(CHMATbl[RURAL UNITS],ROW(A38),1)+
INDEX(CHMATbl[MANUFACTURED AND RURAL UNITS],ROW(A38),1),
0)</f>
        <v>0</v>
      </c>
      <c r="AB40" s="473" cm="1">
        <f t="array" ref="AB40">IF(INDEX(CHMATbl[NEW CONSTRUCTION OR AQUIRE/REHAB],ROW(A38),1)="",
INDEX(S1MATbl[UNRESTRICTED UNITS],ROW(A38),1)+
INDEX(S1MATbl[RURAL UNITS],ROW(A38),1),
0)</f>
        <v>0</v>
      </c>
      <c r="AC40" s="345">
        <f>IFERROR(
CountyScoresTbl[[#This Row],[Affordable Single Family Homes Sold In Last Year
(Zillow.com)]]/CountyScoresTbl[[#This Row],[CalHome Proposed Number of Loans (entered by Applicant)]],
0)</f>
        <v>0</v>
      </c>
      <c r="AD40" s="345">
        <f>IFERROR(
CountyScoresTbl[[#This Row],[Affordable Single Family Homes Sold In Last Year
(Zillow.com)]]/CountyScoresTbl[[#This Row],[Serna Proposed Number of Loans (entered by Applicant)]],
0)</f>
        <v>0</v>
      </c>
      <c r="AE40" s="342">
        <f t="shared" si="2"/>
        <v>2</v>
      </c>
      <c r="AF40" s="373">
        <f t="shared" si="3"/>
        <v>2</v>
      </c>
      <c r="AG40" s="346">
        <f>CountyScoresTbl[[#This Row],[Median Owner Renter Cost Ratio Points]]+CountyScoresTbl[[#This Row],[CalHome Proposed Loans to Sales Ratio Points]]</f>
        <v>4</v>
      </c>
      <c r="AH40" s="375">
        <f>CountyScoresTbl[[#This Row],[Median Owner Renter Cost Ratio Points]]+CountyScoresTbl[[#This Row],[Serna Proposed Loans to Sales Ratio Points]]</f>
        <v>4</v>
      </c>
      <c r="AI40" s="347">
        <f>CountyScoresTbl[[#This Row],[Age of Housing Stock]]</f>
        <v>0.85964453547745112</v>
      </c>
      <c r="AJ40" s="345">
        <v>9.4827586206896548</v>
      </c>
      <c r="AK40" s="348">
        <f>CountyScoresTbl[[#This Row],[Percent of Overcrowded Homeowners]]</f>
        <v>1.4900176159718144E-2</v>
      </c>
      <c r="AL40" s="345">
        <v>9.6551724137931032</v>
      </c>
      <c r="AM40" s="346">
        <v>20</v>
      </c>
      <c r="AN40" s="347">
        <v>0.31651143099068585</v>
      </c>
      <c r="AO40" s="342">
        <v>3</v>
      </c>
      <c r="AP40" s="348">
        <f>CountyScoresTbl[[#This Row],[Rental Vacancy Rate]]</f>
        <v>2.7043889845094666E-2</v>
      </c>
      <c r="AQ40" s="342">
        <v>12</v>
      </c>
      <c r="AR40" s="346">
        <v>12</v>
      </c>
      <c r="AS40" s="349">
        <f>CountyScoresTbl[[#This Row],[Median Owner to Renter Cost Ratio]]</f>
        <v>1.9014925373134328</v>
      </c>
      <c r="AT40" s="342">
        <v>1</v>
      </c>
      <c r="AU40" s="346">
        <v>16</v>
      </c>
      <c r="AV40" s="350">
        <v>0</v>
      </c>
      <c r="AW40" s="351">
        <v>0</v>
      </c>
    </row>
    <row r="41" spans="1:49" ht="16" x14ac:dyDescent="0.35">
      <c r="A41" s="332" t="s">
        <v>153</v>
      </c>
      <c r="B41" s="333">
        <v>6.0588235294117645</v>
      </c>
      <c r="C41" s="334">
        <v>2</v>
      </c>
      <c r="D41" s="335">
        <v>0.60922844175491675</v>
      </c>
      <c r="E41" s="334">
        <v>2</v>
      </c>
      <c r="F41" s="335">
        <v>3.2375189107413008E-2</v>
      </c>
      <c r="G41" s="334">
        <v>3</v>
      </c>
      <c r="H41" s="335">
        <v>4.5395465267414434E-2</v>
      </c>
      <c r="I41" s="334">
        <v>2</v>
      </c>
      <c r="J41" s="336">
        <f>MIN(15,CountyScoresTbl[[#This Row],[Housing Affordability Points]]+CountyScoresTbl[[#This Row],[Percent of Low-Income Renter households Points]]+CountyScoresTbl[[#This Row],[Percent of Overcrowded Renter Households Points]]+CountyScoresTbl[[#This Row],[Rental Vacancy Rate Points]])</f>
        <v>9</v>
      </c>
      <c r="K41" s="337">
        <v>0.54306085574407148</v>
      </c>
      <c r="L41" s="352">
        <v>1</v>
      </c>
      <c r="M41" s="335">
        <v>4.9255727578011492E-2</v>
      </c>
      <c r="N41" s="334">
        <v>3</v>
      </c>
      <c r="O41" s="339">
        <v>0.28453871117292534</v>
      </c>
      <c r="P41" s="334">
        <v>1</v>
      </c>
      <c r="Q41" s="335">
        <v>9.5425745634368717E-3</v>
      </c>
      <c r="R41" s="334">
        <v>3</v>
      </c>
      <c r="S41" s="340">
        <f>ROUND(CountyScoresTbl[[#This Row],[Age of Housing Stock Points]],0)+
ROUND(CountyScoresTbl[[#This Row],[Percent of Homeowners in Poverty Points]],0)+
ROUND(CountyScoresTbl[[#This Row],[Percent of Low-Income Homeowners Points]],0)+
ROUND(CountyScoresTbl[[#This Row],[Percent of Overcrowded Homeowners Points]],0)</f>
        <v>8</v>
      </c>
      <c r="T41" s="341">
        <v>1.5326594090202177</v>
      </c>
      <c r="U41" s="342">
        <v>6</v>
      </c>
      <c r="V41" s="495">
        <v>501250</v>
      </c>
      <c r="W41" s="495">
        <v>525000</v>
      </c>
      <c r="X41" s="495">
        <v>509411</v>
      </c>
      <c r="Y41" s="343">
        <f>AVERAGE(CountyScoresTbl[[#This Row],[Redfin.com 
Median Sales Price]:[Zillow.com Median Sales Price]])</f>
        <v>511887</v>
      </c>
      <c r="Z41" s="344">
        <v>3359</v>
      </c>
      <c r="AA41" s="342" cm="1">
        <f t="array" ref="AA41">IF(INDEX(CHMATbl[NEW CONSTRUCTION OR AQUIRE/REHAB],ROW(A39),1)="",
INDEX(CHMATbl[UNRESTRICTED UNITS],ROW(A39),1)+
INDEX(CHMATbl[MANUFACTURED UNITS],ROW(A39),1)+
INDEX(CHMATbl[RURAL UNITS],ROW(A39),1)+
INDEX(CHMATbl[MANUFACTURED AND RURAL UNITS],ROW(A39),1),
0)</f>
        <v>0</v>
      </c>
      <c r="AB41" s="473" cm="1">
        <f t="array" ref="AB41">IF(INDEX(CHMATbl[NEW CONSTRUCTION OR AQUIRE/REHAB],ROW(A39),1)="",
INDEX(S1MATbl[UNRESTRICTED UNITS],ROW(A39),1)+
INDEX(S1MATbl[RURAL UNITS],ROW(A39),1),
0)</f>
        <v>0</v>
      </c>
      <c r="AC41" s="345">
        <f>IFERROR(
CountyScoresTbl[[#This Row],[Affordable Single Family Homes Sold In Last Year
(Zillow.com)]]/CountyScoresTbl[[#This Row],[CalHome Proposed Number of Loans (entered by Applicant)]],
0)</f>
        <v>0</v>
      </c>
      <c r="AD41" s="345">
        <f>IFERROR(
CountyScoresTbl[[#This Row],[Affordable Single Family Homes Sold In Last Year
(Zillow.com)]]/CountyScoresTbl[[#This Row],[Serna Proposed Number of Loans (entered by Applicant)]],
0)</f>
        <v>0</v>
      </c>
      <c r="AE41" s="342">
        <f t="shared" si="2"/>
        <v>2</v>
      </c>
      <c r="AF41" s="373">
        <f t="shared" si="3"/>
        <v>2</v>
      </c>
      <c r="AG41" s="346">
        <f>CountyScoresTbl[[#This Row],[Median Owner Renter Cost Ratio Points]]+CountyScoresTbl[[#This Row],[CalHome Proposed Loans to Sales Ratio Points]]</f>
        <v>8</v>
      </c>
      <c r="AH41" s="375">
        <f>CountyScoresTbl[[#This Row],[Median Owner Renter Cost Ratio Points]]+CountyScoresTbl[[#This Row],[Serna Proposed Loans to Sales Ratio Points]]</f>
        <v>8</v>
      </c>
      <c r="AI41" s="347">
        <f>CountyScoresTbl[[#This Row],[Age of Housing Stock]]</f>
        <v>0.54306085574407148</v>
      </c>
      <c r="AJ41" s="345">
        <v>1.3793103448275863</v>
      </c>
      <c r="AK41" s="348">
        <f>CountyScoresTbl[[#This Row],[Percent of Overcrowded Homeowners]]</f>
        <v>9.5425745634368717E-3</v>
      </c>
      <c r="AL41" s="345">
        <v>6.3793103448275872</v>
      </c>
      <c r="AM41" s="346">
        <v>10</v>
      </c>
      <c r="AN41" s="347">
        <v>0.40402284579091136</v>
      </c>
      <c r="AO41" s="342">
        <v>9</v>
      </c>
      <c r="AP41" s="348">
        <f>CountyScoresTbl[[#This Row],[Rental Vacancy Rate]]</f>
        <v>4.5395465267414434E-2</v>
      </c>
      <c r="AQ41" s="342">
        <v>6</v>
      </c>
      <c r="AR41" s="346">
        <v>12</v>
      </c>
      <c r="AS41" s="349">
        <f>CountyScoresTbl[[#This Row],[Median Owner to Renter Cost Ratio]]</f>
        <v>1.5326594090202177</v>
      </c>
      <c r="AT41" s="342">
        <v>3</v>
      </c>
      <c r="AU41" s="346">
        <v>18</v>
      </c>
      <c r="AV41" s="350">
        <v>3</v>
      </c>
      <c r="AW41" s="351">
        <v>30</v>
      </c>
    </row>
    <row r="42" spans="1:49" ht="16" x14ac:dyDescent="0.35">
      <c r="A42" s="332" t="s">
        <v>154</v>
      </c>
      <c r="B42" s="333">
        <v>8.0128205128205128</v>
      </c>
      <c r="C42" s="334">
        <v>3</v>
      </c>
      <c r="D42" s="335">
        <v>0.63201178347858111</v>
      </c>
      <c r="E42" s="334">
        <v>2</v>
      </c>
      <c r="F42" s="335">
        <v>2.0621087516877377E-2</v>
      </c>
      <c r="G42" s="334">
        <v>2</v>
      </c>
      <c r="H42" s="335">
        <v>2.9078774877845312E-2</v>
      </c>
      <c r="I42" s="334">
        <v>4</v>
      </c>
      <c r="J42" s="336">
        <f>MIN(15,CountyScoresTbl[[#This Row],[Housing Affordability Points]]+CountyScoresTbl[[#This Row],[Percent of Low-Income Renter households Points]]+CountyScoresTbl[[#This Row],[Percent of Overcrowded Renter Households Points]]+CountyScoresTbl[[#This Row],[Rental Vacancy Rate Points]])</f>
        <v>11</v>
      </c>
      <c r="K42" s="337">
        <v>0.6262624746754708</v>
      </c>
      <c r="L42" s="352">
        <v>2</v>
      </c>
      <c r="M42" s="335">
        <v>3.3177027139181678E-2</v>
      </c>
      <c r="N42" s="334">
        <v>2</v>
      </c>
      <c r="O42" s="339">
        <v>0.33770114942528734</v>
      </c>
      <c r="P42" s="334">
        <v>2</v>
      </c>
      <c r="Q42" s="335">
        <v>4.3678160919540226E-3</v>
      </c>
      <c r="R42" s="334">
        <v>1</v>
      </c>
      <c r="S42" s="340">
        <f>ROUND(CountyScoresTbl[[#This Row],[Age of Housing Stock Points]],0)+
ROUND(CountyScoresTbl[[#This Row],[Percent of Homeowners in Poverty Points]],0)+
ROUND(CountyScoresTbl[[#This Row],[Percent of Low-Income Homeowners Points]],0)+
ROUND(CountyScoresTbl[[#This Row],[Percent of Overcrowded Homeowners Points]],0)</f>
        <v>7</v>
      </c>
      <c r="T42" s="341">
        <v>1.562214983713355</v>
      </c>
      <c r="U42" s="342">
        <v>6</v>
      </c>
      <c r="V42" s="495">
        <v>791500</v>
      </c>
      <c r="W42" s="495">
        <v>849000</v>
      </c>
      <c r="X42" s="495">
        <v>825772</v>
      </c>
      <c r="Y42" s="343">
        <f>AVERAGE(CountyScoresTbl[[#This Row],[Redfin.com 
Median Sales Price]:[Zillow.com Median Sales Price]])</f>
        <v>822090.66666666663</v>
      </c>
      <c r="Z42" s="344">
        <v>1436</v>
      </c>
      <c r="AA42" s="342" cm="1">
        <f t="array" ref="AA42">IF(INDEX(CHMATbl[NEW CONSTRUCTION OR AQUIRE/REHAB],ROW(A40),1)="",
INDEX(CHMATbl[UNRESTRICTED UNITS],ROW(A40),1)+
INDEX(CHMATbl[MANUFACTURED UNITS],ROW(A40),1)+
INDEX(CHMATbl[RURAL UNITS],ROW(A40),1)+
INDEX(CHMATbl[MANUFACTURED AND RURAL UNITS],ROW(A40),1),
0)</f>
        <v>0</v>
      </c>
      <c r="AB42" s="473" cm="1">
        <f t="array" ref="AB42">IF(INDEX(CHMATbl[NEW CONSTRUCTION OR AQUIRE/REHAB],ROW(A40),1)="",
INDEX(S1MATbl[UNRESTRICTED UNITS],ROW(A40),1)+
INDEX(S1MATbl[RURAL UNITS],ROW(A40),1),
0)</f>
        <v>0</v>
      </c>
      <c r="AC42" s="345">
        <f>IFERROR(
CountyScoresTbl[[#This Row],[Affordable Single Family Homes Sold In Last Year
(Zillow.com)]]/CountyScoresTbl[[#This Row],[CalHome Proposed Number of Loans (entered by Applicant)]],
0)</f>
        <v>0</v>
      </c>
      <c r="AD42" s="345">
        <f>IFERROR(
CountyScoresTbl[[#This Row],[Affordable Single Family Homes Sold In Last Year
(Zillow.com)]]/CountyScoresTbl[[#This Row],[Serna Proposed Number of Loans (entered by Applicant)]],
0)</f>
        <v>0</v>
      </c>
      <c r="AE42" s="342">
        <f t="shared" si="2"/>
        <v>2</v>
      </c>
      <c r="AF42" s="373">
        <f t="shared" si="3"/>
        <v>2</v>
      </c>
      <c r="AG42" s="346">
        <f>CountyScoresTbl[[#This Row],[Median Owner Renter Cost Ratio Points]]+CountyScoresTbl[[#This Row],[CalHome Proposed Loans to Sales Ratio Points]]</f>
        <v>8</v>
      </c>
      <c r="AH42" s="375">
        <f>CountyScoresTbl[[#This Row],[Median Owner Renter Cost Ratio Points]]+CountyScoresTbl[[#This Row],[Serna Proposed Loans to Sales Ratio Points]]</f>
        <v>8</v>
      </c>
      <c r="AI42" s="347">
        <f>CountyScoresTbl[[#This Row],[Age of Housing Stock]]</f>
        <v>0.6262624746754708</v>
      </c>
      <c r="AJ42" s="345">
        <v>3.4482758620689657</v>
      </c>
      <c r="AK42" s="348">
        <f>CountyScoresTbl[[#This Row],[Percent of Overcrowded Homeowners]]</f>
        <v>4.3678160919540226E-3</v>
      </c>
      <c r="AL42" s="345">
        <v>2.4137931034482758</v>
      </c>
      <c r="AM42" s="346">
        <v>8</v>
      </c>
      <c r="AN42" s="347">
        <v>0.40124295979801905</v>
      </c>
      <c r="AO42" s="342">
        <v>9</v>
      </c>
      <c r="AP42" s="348">
        <f>CountyScoresTbl[[#This Row],[Rental Vacancy Rate]]</f>
        <v>2.9078774877845312E-2</v>
      </c>
      <c r="AQ42" s="342">
        <v>12</v>
      </c>
      <c r="AR42" s="346">
        <v>16</v>
      </c>
      <c r="AS42" s="349">
        <f>CountyScoresTbl[[#This Row],[Median Owner to Renter Cost Ratio]]</f>
        <v>1.562214983713355</v>
      </c>
      <c r="AT42" s="342">
        <v>3</v>
      </c>
      <c r="AU42" s="346">
        <v>18</v>
      </c>
      <c r="AV42" s="350">
        <v>0</v>
      </c>
      <c r="AW42" s="351">
        <v>0</v>
      </c>
    </row>
    <row r="43" spans="1:49" ht="16" x14ac:dyDescent="0.35">
      <c r="A43" s="332" t="s">
        <v>155</v>
      </c>
      <c r="B43" s="333">
        <v>11.207831325301205</v>
      </c>
      <c r="C43" s="334">
        <v>4</v>
      </c>
      <c r="D43" s="335">
        <v>0.57819047619047614</v>
      </c>
      <c r="E43" s="334">
        <v>1</v>
      </c>
      <c r="F43" s="335">
        <v>6.7952380952380959E-2</v>
      </c>
      <c r="G43" s="334">
        <v>4</v>
      </c>
      <c r="H43" s="335">
        <v>3.0470914127423823E-2</v>
      </c>
      <c r="I43" s="334">
        <v>3</v>
      </c>
      <c r="J43" s="336">
        <f>MIN(15,CountyScoresTbl[[#This Row],[Housing Affordability Points]]+CountyScoresTbl[[#This Row],[Percent of Low-Income Renter households Points]]+CountyScoresTbl[[#This Row],[Percent of Overcrowded Renter Households Points]]+CountyScoresTbl[[#This Row],[Rental Vacancy Rate Points]])</f>
        <v>12</v>
      </c>
      <c r="K43" s="337">
        <v>0.87405439338503388</v>
      </c>
      <c r="L43" s="352">
        <v>4</v>
      </c>
      <c r="M43" s="335">
        <v>2.1469798602615785E-2</v>
      </c>
      <c r="N43" s="334">
        <v>1</v>
      </c>
      <c r="O43" s="339">
        <v>0.35500961872023717</v>
      </c>
      <c r="P43" s="334">
        <v>3</v>
      </c>
      <c r="Q43" s="335">
        <v>9.3033523605285558E-3</v>
      </c>
      <c r="R43" s="334">
        <v>3</v>
      </c>
      <c r="S43" s="340">
        <f>ROUND(CountyScoresTbl[[#This Row],[Age of Housing Stock Points]],0)+
ROUND(CountyScoresTbl[[#This Row],[Percent of Homeowners in Poverty Points]],0)+
ROUND(CountyScoresTbl[[#This Row],[Percent of Low-Income Homeowners Points]],0)+
ROUND(CountyScoresTbl[[#This Row],[Percent of Overcrowded Homeowners Points]],0)</f>
        <v>11</v>
      </c>
      <c r="T43" s="341">
        <v>1.4997946611909652</v>
      </c>
      <c r="U43" s="342">
        <v>8</v>
      </c>
      <c r="V43" s="495">
        <v>1490000</v>
      </c>
      <c r="W43" s="495">
        <v>1600000</v>
      </c>
      <c r="X43" s="495">
        <v>1573526</v>
      </c>
      <c r="Y43" s="343">
        <f>AVERAGE(CountyScoresTbl[[#This Row],[Redfin.com 
Median Sales Price]:[Zillow.com Median Sales Price]])</f>
        <v>1554508.6666666667</v>
      </c>
      <c r="Z43" s="344">
        <v>1692</v>
      </c>
      <c r="AA43" s="342" cm="1">
        <f t="array" ref="AA43">IF(INDEX(CHMATbl[NEW CONSTRUCTION OR AQUIRE/REHAB],ROW(A41),1)="",
INDEX(CHMATbl[UNRESTRICTED UNITS],ROW(A41),1)+
INDEX(CHMATbl[MANUFACTURED UNITS],ROW(A41),1)+
INDEX(CHMATbl[RURAL UNITS],ROW(A41),1)+
INDEX(CHMATbl[MANUFACTURED AND RURAL UNITS],ROW(A41),1),
0)</f>
        <v>0</v>
      </c>
      <c r="AB43" s="473" cm="1">
        <f t="array" ref="AB43">IF(INDEX(CHMATbl[NEW CONSTRUCTION OR AQUIRE/REHAB],ROW(A41),1)="",
INDEX(S1MATbl[UNRESTRICTED UNITS],ROW(A41),1)+
INDEX(S1MATbl[RURAL UNITS],ROW(A41),1),
0)</f>
        <v>0</v>
      </c>
      <c r="AC43" s="345">
        <f>IFERROR(
CountyScoresTbl[[#This Row],[Affordable Single Family Homes Sold In Last Year
(Zillow.com)]]/CountyScoresTbl[[#This Row],[CalHome Proposed Number of Loans (entered by Applicant)]],
0)</f>
        <v>0</v>
      </c>
      <c r="AD43" s="345">
        <f>IFERROR(
CountyScoresTbl[[#This Row],[Affordable Single Family Homes Sold In Last Year
(Zillow.com)]]/CountyScoresTbl[[#This Row],[Serna Proposed Number of Loans (entered by Applicant)]],
0)</f>
        <v>0</v>
      </c>
      <c r="AE43" s="342">
        <f t="shared" si="2"/>
        <v>2</v>
      </c>
      <c r="AF43" s="373">
        <f t="shared" si="3"/>
        <v>2</v>
      </c>
      <c r="AG43" s="346">
        <f>CountyScoresTbl[[#This Row],[Median Owner Renter Cost Ratio Points]]+CountyScoresTbl[[#This Row],[CalHome Proposed Loans to Sales Ratio Points]]</f>
        <v>10</v>
      </c>
      <c r="AH43" s="375">
        <f>CountyScoresTbl[[#This Row],[Median Owner Renter Cost Ratio Points]]+CountyScoresTbl[[#This Row],[Serna Proposed Loans to Sales Ratio Points]]</f>
        <v>10</v>
      </c>
      <c r="AI43" s="347">
        <f>CountyScoresTbl[[#This Row],[Age of Housing Stock]]</f>
        <v>0.87405439338503388</v>
      </c>
      <c r="AJ43" s="345">
        <v>10</v>
      </c>
      <c r="AK43" s="348">
        <f>CountyScoresTbl[[#This Row],[Percent of Overcrowded Homeowners]]</f>
        <v>9.3033523605285558E-3</v>
      </c>
      <c r="AL43" s="345">
        <v>6.0344827586206895</v>
      </c>
      <c r="AM43" s="346">
        <v>16</v>
      </c>
      <c r="AN43" s="347">
        <v>0.40413440948772855</v>
      </c>
      <c r="AO43" s="342">
        <v>9</v>
      </c>
      <c r="AP43" s="348">
        <f>CountyScoresTbl[[#This Row],[Rental Vacancy Rate]]</f>
        <v>3.0470914127423823E-2</v>
      </c>
      <c r="AQ43" s="342">
        <v>9</v>
      </c>
      <c r="AR43" s="346">
        <v>16</v>
      </c>
      <c r="AS43" s="349">
        <f>CountyScoresTbl[[#This Row],[Median Owner to Renter Cost Ratio]]</f>
        <v>1.4997946611909652</v>
      </c>
      <c r="AT43" s="342">
        <v>4</v>
      </c>
      <c r="AU43" s="346">
        <v>19</v>
      </c>
      <c r="AV43" s="350">
        <v>0</v>
      </c>
      <c r="AW43" s="351">
        <v>0</v>
      </c>
    </row>
    <row r="44" spans="1:49" customFormat="1" ht="16" x14ac:dyDescent="0.35">
      <c r="A44" s="463" t="s">
        <v>156</v>
      </c>
      <c r="B44" s="464">
        <v>9.0409590409590415</v>
      </c>
      <c r="C44" s="465">
        <v>3</v>
      </c>
      <c r="D44" s="466">
        <v>0.58425118008868548</v>
      </c>
      <c r="E44" s="465">
        <v>1</v>
      </c>
      <c r="F44" s="466">
        <v>6.4726076383922179E-2</v>
      </c>
      <c r="G44" s="465">
        <v>4</v>
      </c>
      <c r="H44" s="466">
        <v>2.9432181035679579E-2</v>
      </c>
      <c r="I44" s="465">
        <v>3</v>
      </c>
      <c r="J44" s="467">
        <f>MIN(15,CountyScoresTbl[[#This Row],[Housing Affordability Points]]+CountyScoresTbl[[#This Row],[Percent of Low-Income Renter households Points]]+CountyScoresTbl[[#This Row],[Percent of Overcrowded Renter Households Points]]+CountyScoresTbl[[#This Row],[Rental Vacancy Rate Points]])</f>
        <v>11</v>
      </c>
      <c r="K44" s="468">
        <v>0.79784269199009084</v>
      </c>
      <c r="L44" s="469">
        <v>4</v>
      </c>
      <c r="M44" s="466">
        <v>2.6810689091005049E-2</v>
      </c>
      <c r="N44" s="465">
        <v>1</v>
      </c>
      <c r="O44" s="470">
        <v>0.2906708802422806</v>
      </c>
      <c r="P44" s="465">
        <v>1</v>
      </c>
      <c r="Q44" s="466">
        <v>1.323326091250247E-2</v>
      </c>
      <c r="R44" s="465">
        <v>4</v>
      </c>
      <c r="S44" s="471">
        <f>ROUND(CountyScoresTbl[[#This Row],[Age of Housing Stock Points]],0)+
ROUND(CountyScoresTbl[[#This Row],[Percent of Homeowners in Poverty Points]],0)+
ROUND(CountyScoresTbl[[#This Row],[Percent of Low-Income Homeowners Points]],0)+
ROUND(CountyScoresTbl[[#This Row],[Percent of Overcrowded Homeowners Points]],0)</f>
        <v>10</v>
      </c>
      <c r="T44" s="472">
        <v>1.4419563936358279</v>
      </c>
      <c r="U44" s="473">
        <v>10</v>
      </c>
      <c r="V44" s="495">
        <v>822500</v>
      </c>
      <c r="W44" s="495">
        <v>699000</v>
      </c>
      <c r="X44" s="495">
        <v>886946</v>
      </c>
      <c r="Y44" s="474">
        <f>AVERAGE(CountyScoresTbl[[#This Row],[Redfin.com 
Median Sales Price]:[Zillow.com Median Sales Price]])</f>
        <v>802815.33333333337</v>
      </c>
      <c r="Z44" s="475">
        <v>1462</v>
      </c>
      <c r="AA44" s="473" cm="1">
        <f t="array" ref="AA44">IF(INDEX(CHMATbl[NEW CONSTRUCTION OR AQUIRE/REHAB],ROW(A42),1)="",
INDEX(CHMATbl[UNRESTRICTED UNITS],ROW(A42),1)+
INDEX(CHMATbl[MANUFACTURED UNITS],ROW(A42),1)+
INDEX(CHMATbl[RURAL UNITS],ROW(A42),1)+
INDEX(CHMATbl[MANUFACTURED AND RURAL UNITS],ROW(A42),1),
0)</f>
        <v>0</v>
      </c>
      <c r="AB44" s="473" cm="1">
        <f t="array" ref="AB44">IF(INDEX(CHMATbl[NEW CONSTRUCTION OR AQUIRE/REHAB],ROW(A42),1)="",
INDEX(S1MATbl[UNRESTRICTED UNITS],ROW(A42),1)+
INDEX(S1MATbl[RURAL UNITS],ROW(A42),1),
0)</f>
        <v>0</v>
      </c>
      <c r="AC44" s="476">
        <f>IFERROR(
CountyScoresTbl[[#This Row],[Affordable Single Family Homes Sold In Last Year
(Zillow.com)]]/CountyScoresTbl[[#This Row],[CalHome Proposed Number of Loans (entered by Applicant)]],
0)</f>
        <v>0</v>
      </c>
      <c r="AD44" s="476">
        <f>IFERROR(
CountyScoresTbl[[#This Row],[Affordable Single Family Homes Sold In Last Year
(Zillow.com)]]/CountyScoresTbl[[#This Row],[Serna Proposed Number of Loans (entered by Applicant)]],
0)</f>
        <v>0</v>
      </c>
      <c r="AE44" s="473">
        <f t="shared" si="2"/>
        <v>2</v>
      </c>
      <c r="AF44" s="477">
        <f t="shared" si="3"/>
        <v>2</v>
      </c>
      <c r="AG44" s="478">
        <f>CountyScoresTbl[[#This Row],[Median Owner Renter Cost Ratio Points]]+CountyScoresTbl[[#This Row],[CalHome Proposed Loans to Sales Ratio Points]]</f>
        <v>12</v>
      </c>
      <c r="AH44" s="479">
        <f>CountyScoresTbl[[#This Row],[Median Owner Renter Cost Ratio Points]]+CountyScoresTbl[[#This Row],[Serna Proposed Loans to Sales Ratio Points]]</f>
        <v>12</v>
      </c>
      <c r="AI44" s="480">
        <f>CountyScoresTbl[[#This Row],[Age of Housing Stock]]</f>
        <v>0.79784269199009084</v>
      </c>
      <c r="AJ44" s="476">
        <v>8.9655172413793096</v>
      </c>
      <c r="AK44" s="481">
        <f>CountyScoresTbl[[#This Row],[Percent of Overcrowded Homeowners]]</f>
        <v>1.323326091250247E-2</v>
      </c>
      <c r="AL44" s="476">
        <v>8.7931034482758612</v>
      </c>
      <c r="AM44" s="478">
        <v>20</v>
      </c>
      <c r="AN44" s="480">
        <v>0.43432488676704617</v>
      </c>
      <c r="AO44" s="473">
        <v>12</v>
      </c>
      <c r="AP44" s="481">
        <f>CountyScoresTbl[[#This Row],[Rental Vacancy Rate]]</f>
        <v>2.9432181035679579E-2</v>
      </c>
      <c r="AQ44" s="473">
        <v>9</v>
      </c>
      <c r="AR44" s="478">
        <v>18</v>
      </c>
      <c r="AS44" s="482">
        <f>CountyScoresTbl[[#This Row],[Median Owner to Renter Cost Ratio]]</f>
        <v>1.4419563936358279</v>
      </c>
      <c r="AT44" s="473">
        <v>5</v>
      </c>
      <c r="AU44" s="478">
        <v>20</v>
      </c>
      <c r="AV44" s="483">
        <v>0</v>
      </c>
      <c r="AW44" s="484">
        <v>0</v>
      </c>
    </row>
    <row r="45" spans="1:49" ht="16" x14ac:dyDescent="0.35">
      <c r="A45" s="332" t="s">
        <v>157</v>
      </c>
      <c r="B45" s="333">
        <v>10.089020771513352</v>
      </c>
      <c r="C45" s="334">
        <v>4</v>
      </c>
      <c r="D45" s="335">
        <v>0.51191286589516682</v>
      </c>
      <c r="E45" s="334">
        <v>1</v>
      </c>
      <c r="F45" s="335">
        <v>5.6536849270896777E-2</v>
      </c>
      <c r="G45" s="334">
        <v>4</v>
      </c>
      <c r="H45" s="335">
        <v>3.2732061478747555E-2</v>
      </c>
      <c r="I45" s="334">
        <v>3</v>
      </c>
      <c r="J45" s="336">
        <f>MIN(15,CountyScoresTbl[[#This Row],[Housing Affordability Points]]+CountyScoresTbl[[#This Row],[Percent of Low-Income Renter households Points]]+CountyScoresTbl[[#This Row],[Percent of Overcrowded Renter Households Points]]+CountyScoresTbl[[#This Row],[Rental Vacancy Rate Points]])</f>
        <v>12</v>
      </c>
      <c r="K45" s="337">
        <v>0.79229987605658969</v>
      </c>
      <c r="L45" s="352">
        <v>4</v>
      </c>
      <c r="M45" s="335">
        <v>2.1347820735974118E-2</v>
      </c>
      <c r="N45" s="334">
        <v>1</v>
      </c>
      <c r="O45" s="339">
        <v>0.29455421553287825</v>
      </c>
      <c r="P45" s="334">
        <v>1</v>
      </c>
      <c r="Q45" s="335">
        <v>7.8924412566981905E-3</v>
      </c>
      <c r="R45" s="334">
        <v>3</v>
      </c>
      <c r="S45" s="340">
        <f>ROUND(CountyScoresTbl[[#This Row],[Age of Housing Stock Points]],0)+
ROUND(CountyScoresTbl[[#This Row],[Percent of Homeowners in Poverty Points]],0)+
ROUND(CountyScoresTbl[[#This Row],[Percent of Low-Income Homeowners Points]],0)+
ROUND(CountyScoresTbl[[#This Row],[Percent of Overcrowded Homeowners Points]],0)</f>
        <v>9</v>
      </c>
      <c r="T45" s="341">
        <v>1.4870075440067059</v>
      </c>
      <c r="U45" s="342">
        <v>8</v>
      </c>
      <c r="V45" s="495">
        <v>1509000</v>
      </c>
      <c r="W45" s="495">
        <v>1400000</v>
      </c>
      <c r="X45" s="495">
        <v>1507288</v>
      </c>
      <c r="Y45" s="343">
        <f>AVERAGE(CountyScoresTbl[[#This Row],[Redfin.com 
Median Sales Price]:[Zillow.com Median Sales Price]])</f>
        <v>1472096</v>
      </c>
      <c r="Z45" s="344">
        <v>3768</v>
      </c>
      <c r="AA45" s="342" cm="1">
        <f t="array" ref="AA45">IF(INDEX(CHMATbl[NEW CONSTRUCTION OR AQUIRE/REHAB],ROW(A43),1)="",
INDEX(CHMATbl[UNRESTRICTED UNITS],ROW(A43),1)+
INDEX(CHMATbl[MANUFACTURED UNITS],ROW(A43),1)+
INDEX(CHMATbl[RURAL UNITS],ROW(A43),1)+
INDEX(CHMATbl[MANUFACTURED AND RURAL UNITS],ROW(A43),1),
0)</f>
        <v>0</v>
      </c>
      <c r="AB45" s="473" cm="1">
        <f t="array" ref="AB45">IF(INDEX(CHMATbl[NEW CONSTRUCTION OR AQUIRE/REHAB],ROW(A43),1)="",
INDEX(S1MATbl[UNRESTRICTED UNITS],ROW(A43),1)+
INDEX(S1MATbl[RURAL UNITS],ROW(A43),1),
0)</f>
        <v>0</v>
      </c>
      <c r="AC45" s="345">
        <f>IFERROR(
CountyScoresTbl[[#This Row],[Affordable Single Family Homes Sold In Last Year
(Zillow.com)]]/CountyScoresTbl[[#This Row],[CalHome Proposed Number of Loans (entered by Applicant)]],
0)</f>
        <v>0</v>
      </c>
      <c r="AD45" s="345">
        <f>IFERROR(
CountyScoresTbl[[#This Row],[Affordable Single Family Homes Sold In Last Year
(Zillow.com)]]/CountyScoresTbl[[#This Row],[Serna Proposed Number of Loans (entered by Applicant)]],
0)</f>
        <v>0</v>
      </c>
      <c r="AE45" s="342">
        <f t="shared" si="2"/>
        <v>2</v>
      </c>
      <c r="AF45" s="373">
        <f t="shared" si="3"/>
        <v>2</v>
      </c>
      <c r="AG45" s="346">
        <f>CountyScoresTbl[[#This Row],[Median Owner Renter Cost Ratio Points]]+CountyScoresTbl[[#This Row],[CalHome Proposed Loans to Sales Ratio Points]]</f>
        <v>10</v>
      </c>
      <c r="AH45" s="375">
        <f>CountyScoresTbl[[#This Row],[Median Owner Renter Cost Ratio Points]]+CountyScoresTbl[[#This Row],[Serna Proposed Loans to Sales Ratio Points]]</f>
        <v>10</v>
      </c>
      <c r="AI45" s="347">
        <f>CountyScoresTbl[[#This Row],[Age of Housing Stock]]</f>
        <v>0.79229987605658969</v>
      </c>
      <c r="AJ45" s="345">
        <v>8.6206896551724128</v>
      </c>
      <c r="AK45" s="348">
        <f>CountyScoresTbl[[#This Row],[Percent of Overcrowded Homeowners]]</f>
        <v>7.8924412566981905E-3</v>
      </c>
      <c r="AL45" s="345">
        <v>5.3448275862068959</v>
      </c>
      <c r="AM45" s="346">
        <v>16</v>
      </c>
      <c r="AN45" s="347">
        <v>0.40422032474804032</v>
      </c>
      <c r="AO45" s="342">
        <v>9</v>
      </c>
      <c r="AP45" s="348">
        <f>CountyScoresTbl[[#This Row],[Rental Vacancy Rate]]</f>
        <v>3.2732061478747555E-2</v>
      </c>
      <c r="AQ45" s="342">
        <v>9</v>
      </c>
      <c r="AR45" s="346">
        <v>14</v>
      </c>
      <c r="AS45" s="349">
        <f>CountyScoresTbl[[#This Row],[Median Owner to Renter Cost Ratio]]</f>
        <v>1.4870075440067059</v>
      </c>
      <c r="AT45" s="342">
        <v>5</v>
      </c>
      <c r="AU45" s="346">
        <v>19</v>
      </c>
      <c r="AV45" s="350">
        <v>1</v>
      </c>
      <c r="AW45" s="351">
        <v>10</v>
      </c>
    </row>
    <row r="46" spans="1:49" ht="16" x14ac:dyDescent="0.35">
      <c r="A46" s="332" t="s">
        <v>158</v>
      </c>
      <c r="B46" s="333">
        <v>10.205364626990779</v>
      </c>
      <c r="C46" s="334">
        <v>4</v>
      </c>
      <c r="D46" s="335">
        <v>0.68997516664488301</v>
      </c>
      <c r="E46" s="334">
        <v>4</v>
      </c>
      <c r="F46" s="335">
        <v>5.5417592471572345E-2</v>
      </c>
      <c r="G46" s="334">
        <v>4</v>
      </c>
      <c r="H46" s="335">
        <v>1.822148081611703E-2</v>
      </c>
      <c r="I46" s="334">
        <v>4</v>
      </c>
      <c r="J46" s="336">
        <f>MIN(15,CountyScoresTbl[[#This Row],[Housing Affordability Points]]+CountyScoresTbl[[#This Row],[Percent of Low-Income Renter households Points]]+CountyScoresTbl[[#This Row],[Percent of Overcrowded Renter Households Points]]+CountyScoresTbl[[#This Row],[Rental Vacancy Rate Points]])</f>
        <v>15</v>
      </c>
      <c r="K46" s="337">
        <v>0.81485179192343449</v>
      </c>
      <c r="L46" s="352">
        <v>4</v>
      </c>
      <c r="M46" s="335">
        <v>3.090448589937168E-2</v>
      </c>
      <c r="N46" s="334">
        <v>2</v>
      </c>
      <c r="O46" s="339">
        <v>0.35102501737317582</v>
      </c>
      <c r="P46" s="334">
        <v>3</v>
      </c>
      <c r="Q46" s="335">
        <v>7.036136205698402E-3</v>
      </c>
      <c r="R46" s="334">
        <v>2</v>
      </c>
      <c r="S46" s="340">
        <f>ROUND(CountyScoresTbl[[#This Row],[Age of Housing Stock Points]],0)+
ROUND(CountyScoresTbl[[#This Row],[Percent of Homeowners in Poverty Points]],0)+
ROUND(CountyScoresTbl[[#This Row],[Percent of Low-Income Homeowners Points]],0)+
ROUND(CountyScoresTbl[[#This Row],[Percent of Overcrowded Homeowners Points]],0)</f>
        <v>11</v>
      </c>
      <c r="T46" s="341">
        <v>1.5919696147585458</v>
      </c>
      <c r="U46" s="342">
        <v>6</v>
      </c>
      <c r="V46" s="495">
        <v>1170000</v>
      </c>
      <c r="W46" s="495">
        <v>1200000</v>
      </c>
      <c r="X46" s="495">
        <v>1122428</v>
      </c>
      <c r="Y46" s="343">
        <f>AVERAGE(CountyScoresTbl[[#This Row],[Redfin.com 
Median Sales Price]:[Zillow.com Median Sales Price]])</f>
        <v>1164142.6666666667</v>
      </c>
      <c r="Z46" s="344">
        <v>827</v>
      </c>
      <c r="AA46" s="342" cm="1">
        <f t="array" ref="AA46">IF(INDEX(CHMATbl[NEW CONSTRUCTION OR AQUIRE/REHAB],ROW(A44),1)="",
INDEX(CHMATbl[UNRESTRICTED UNITS],ROW(A44),1)+
INDEX(CHMATbl[MANUFACTURED UNITS],ROW(A44),1)+
INDEX(CHMATbl[RURAL UNITS],ROW(A44),1)+
INDEX(CHMATbl[MANUFACTURED AND RURAL UNITS],ROW(A44),1),
0)</f>
        <v>0</v>
      </c>
      <c r="AB46" s="473" cm="1">
        <f t="array" ref="AB46">IF(INDEX(CHMATbl[NEW CONSTRUCTION OR AQUIRE/REHAB],ROW(A44),1)="",
INDEX(S1MATbl[UNRESTRICTED UNITS],ROW(A44),1)+
INDEX(S1MATbl[RURAL UNITS],ROW(A44),1),
0)</f>
        <v>0</v>
      </c>
      <c r="AC46" s="345">
        <f>IFERROR(
CountyScoresTbl[[#This Row],[Affordable Single Family Homes Sold In Last Year
(Zillow.com)]]/CountyScoresTbl[[#This Row],[CalHome Proposed Number of Loans (entered by Applicant)]],
0)</f>
        <v>0</v>
      </c>
      <c r="AD46" s="345">
        <f>IFERROR(
CountyScoresTbl[[#This Row],[Affordable Single Family Homes Sold In Last Year
(Zillow.com)]]/CountyScoresTbl[[#This Row],[Serna Proposed Number of Loans (entered by Applicant)]],
0)</f>
        <v>0</v>
      </c>
      <c r="AE46" s="342">
        <f t="shared" si="2"/>
        <v>2</v>
      </c>
      <c r="AF46" s="373">
        <f t="shared" si="3"/>
        <v>2</v>
      </c>
      <c r="AG46" s="346">
        <f>CountyScoresTbl[[#This Row],[Median Owner Renter Cost Ratio Points]]+CountyScoresTbl[[#This Row],[CalHome Proposed Loans to Sales Ratio Points]]</f>
        <v>8</v>
      </c>
      <c r="AH46" s="375">
        <f>CountyScoresTbl[[#This Row],[Median Owner Renter Cost Ratio Points]]+CountyScoresTbl[[#This Row],[Serna Proposed Loans to Sales Ratio Points]]</f>
        <v>8</v>
      </c>
      <c r="AI46" s="347">
        <f>CountyScoresTbl[[#This Row],[Age of Housing Stock]]</f>
        <v>0.81485179192343449</v>
      </c>
      <c r="AJ46" s="345">
        <v>9.3103448275862064</v>
      </c>
      <c r="AK46" s="348">
        <f>CountyScoresTbl[[#This Row],[Percent of Overcrowded Homeowners]]</f>
        <v>7.036136205698402E-3</v>
      </c>
      <c r="AL46" s="345">
        <v>5</v>
      </c>
      <c r="AM46" s="346">
        <v>16</v>
      </c>
      <c r="AN46" s="347">
        <v>0.42849024436446298</v>
      </c>
      <c r="AO46" s="342">
        <v>12</v>
      </c>
      <c r="AP46" s="348">
        <f>CountyScoresTbl[[#This Row],[Rental Vacancy Rate]]</f>
        <v>1.822148081611703E-2</v>
      </c>
      <c r="AQ46" s="342">
        <v>12</v>
      </c>
      <c r="AR46" s="346">
        <v>20</v>
      </c>
      <c r="AS46" s="349">
        <f>CountyScoresTbl[[#This Row],[Median Owner to Renter Cost Ratio]]</f>
        <v>1.5919696147585458</v>
      </c>
      <c r="AT46" s="342">
        <v>2</v>
      </c>
      <c r="AU46" s="346">
        <v>18</v>
      </c>
      <c r="AV46" s="350">
        <v>1</v>
      </c>
      <c r="AW46" s="351">
        <v>10</v>
      </c>
    </row>
    <row r="47" spans="1:49" ht="16" x14ac:dyDescent="0.35">
      <c r="A47" s="332" t="s">
        <v>159</v>
      </c>
      <c r="B47" s="333">
        <v>4.1759465478841875</v>
      </c>
      <c r="C47" s="334">
        <v>1</v>
      </c>
      <c r="D47" s="335">
        <v>0.62297639945387162</v>
      </c>
      <c r="E47" s="334">
        <v>2</v>
      </c>
      <c r="F47" s="335">
        <v>1.7554125219426564E-2</v>
      </c>
      <c r="G47" s="334">
        <v>2</v>
      </c>
      <c r="H47" s="335">
        <v>3.1728045325779039E-2</v>
      </c>
      <c r="I47" s="334">
        <v>3</v>
      </c>
      <c r="J47" s="336">
        <f>MIN(15,CountyScoresTbl[[#This Row],[Housing Affordability Points]]+CountyScoresTbl[[#This Row],[Percent of Low-Income Renter households Points]]+CountyScoresTbl[[#This Row],[Percent of Overcrowded Renter Households Points]]+CountyScoresTbl[[#This Row],[Rental Vacancy Rate Points]])</f>
        <v>8</v>
      </c>
      <c r="K47" s="337">
        <v>0.64678403045114408</v>
      </c>
      <c r="L47" s="352">
        <v>2</v>
      </c>
      <c r="M47" s="335">
        <v>5.0517548359839452E-2</v>
      </c>
      <c r="N47" s="334">
        <v>3</v>
      </c>
      <c r="O47" s="339">
        <v>0.35279912184412732</v>
      </c>
      <c r="P47" s="334">
        <v>3</v>
      </c>
      <c r="Q47" s="335">
        <v>5.9275521405049393E-3</v>
      </c>
      <c r="R47" s="334">
        <v>2</v>
      </c>
      <c r="S47" s="340">
        <f>ROUND(CountyScoresTbl[[#This Row],[Age of Housing Stock Points]],0)+
ROUND(CountyScoresTbl[[#This Row],[Percent of Homeowners in Poverty Points]],0)+
ROUND(CountyScoresTbl[[#This Row],[Percent of Low-Income Homeowners Points]],0)+
ROUND(CountyScoresTbl[[#This Row],[Percent of Overcrowded Homeowners Points]],0)</f>
        <v>10</v>
      </c>
      <c r="T47" s="341">
        <v>1.5023255813953489</v>
      </c>
      <c r="U47" s="342">
        <v>8</v>
      </c>
      <c r="V47" s="495">
        <v>355000</v>
      </c>
      <c r="W47" s="495">
        <v>399000</v>
      </c>
      <c r="X47" s="495">
        <v>353615</v>
      </c>
      <c r="Y47" s="343">
        <f>AVERAGE(CountyScoresTbl[[#This Row],[Redfin.com 
Median Sales Price]:[Zillow.com Median Sales Price]])</f>
        <v>369205</v>
      </c>
      <c r="Z47" s="344">
        <v>1624</v>
      </c>
      <c r="AA47" s="342" cm="1">
        <f t="array" ref="AA47">IF(INDEX(CHMATbl[NEW CONSTRUCTION OR AQUIRE/REHAB],ROW(A45),1)="",
INDEX(CHMATbl[UNRESTRICTED UNITS],ROW(A45),1)+
INDEX(CHMATbl[MANUFACTURED UNITS],ROW(A45),1)+
INDEX(CHMATbl[RURAL UNITS],ROW(A45),1)+
INDEX(CHMATbl[MANUFACTURED AND RURAL UNITS],ROW(A45),1),
0)</f>
        <v>0</v>
      </c>
      <c r="AB47" s="473" cm="1">
        <f t="array" ref="AB47">IF(INDEX(CHMATbl[NEW CONSTRUCTION OR AQUIRE/REHAB],ROW(A45),1)="",
INDEX(S1MATbl[UNRESTRICTED UNITS],ROW(A45),1)+
INDEX(S1MATbl[RURAL UNITS],ROW(A45),1),
0)</f>
        <v>0</v>
      </c>
      <c r="AC47" s="345">
        <f>IFERROR(
CountyScoresTbl[[#This Row],[Affordable Single Family Homes Sold In Last Year
(Zillow.com)]]/CountyScoresTbl[[#This Row],[CalHome Proposed Number of Loans (entered by Applicant)]],
0)</f>
        <v>0</v>
      </c>
      <c r="AD47" s="345">
        <f>IFERROR(
CountyScoresTbl[[#This Row],[Affordable Single Family Homes Sold In Last Year
(Zillow.com)]]/CountyScoresTbl[[#This Row],[Serna Proposed Number of Loans (entered by Applicant)]],
0)</f>
        <v>0</v>
      </c>
      <c r="AE47" s="342">
        <f t="shared" si="2"/>
        <v>2</v>
      </c>
      <c r="AF47" s="373">
        <f t="shared" si="3"/>
        <v>2</v>
      </c>
      <c r="AG47" s="346">
        <f>CountyScoresTbl[[#This Row],[Median Owner Renter Cost Ratio Points]]+CountyScoresTbl[[#This Row],[CalHome Proposed Loans to Sales Ratio Points]]</f>
        <v>10</v>
      </c>
      <c r="AH47" s="375">
        <f>CountyScoresTbl[[#This Row],[Median Owner Renter Cost Ratio Points]]+CountyScoresTbl[[#This Row],[Serna Proposed Loans to Sales Ratio Points]]</f>
        <v>10</v>
      </c>
      <c r="AI47" s="347">
        <f>CountyScoresTbl[[#This Row],[Age of Housing Stock]]</f>
        <v>0.64678403045114408</v>
      </c>
      <c r="AJ47" s="345">
        <v>4.1379310344827589</v>
      </c>
      <c r="AK47" s="348">
        <f>CountyScoresTbl[[#This Row],[Percent of Overcrowded Homeowners]]</f>
        <v>5.9275521405049393E-3</v>
      </c>
      <c r="AL47" s="345">
        <v>3.6206896551724137</v>
      </c>
      <c r="AM47" s="346">
        <v>10</v>
      </c>
      <c r="AN47" s="347">
        <v>0.4308077645585473</v>
      </c>
      <c r="AO47" s="342">
        <v>12</v>
      </c>
      <c r="AP47" s="348">
        <f>CountyScoresTbl[[#This Row],[Rental Vacancy Rate]]</f>
        <v>3.1728045325779039E-2</v>
      </c>
      <c r="AQ47" s="342">
        <v>9</v>
      </c>
      <c r="AR47" s="346">
        <v>18</v>
      </c>
      <c r="AS47" s="349">
        <f>CountyScoresTbl[[#This Row],[Median Owner to Renter Cost Ratio]]</f>
        <v>1.5023255813953489</v>
      </c>
      <c r="AT47" s="342">
        <v>4</v>
      </c>
      <c r="AU47" s="346">
        <v>19</v>
      </c>
      <c r="AV47" s="350">
        <v>0</v>
      </c>
      <c r="AW47" s="351">
        <v>0</v>
      </c>
    </row>
    <row r="48" spans="1:49" ht="16" x14ac:dyDescent="0.35">
      <c r="A48" s="332" t="s">
        <v>160</v>
      </c>
      <c r="B48" s="333">
        <v>15</v>
      </c>
      <c r="C48" s="334">
        <v>4</v>
      </c>
      <c r="D48" s="335">
        <v>0.64615384615384619</v>
      </c>
      <c r="E48" s="334">
        <v>3</v>
      </c>
      <c r="F48" s="335">
        <v>0</v>
      </c>
      <c r="G48" s="334">
        <v>1</v>
      </c>
      <c r="H48" s="335">
        <v>0</v>
      </c>
      <c r="I48" s="334">
        <v>4</v>
      </c>
      <c r="J48" s="336">
        <f>MIN(15,CountyScoresTbl[[#This Row],[Housing Affordability Points]]+CountyScoresTbl[[#This Row],[Percent of Low-Income Renter households Points]]+CountyScoresTbl[[#This Row],[Percent of Overcrowded Renter Households Points]]+CountyScoresTbl[[#This Row],[Rental Vacancy Rate Points]])</f>
        <v>12</v>
      </c>
      <c r="K48" s="337">
        <v>0.79389312977099236</v>
      </c>
      <c r="L48" s="352">
        <v>4</v>
      </c>
      <c r="M48" s="335">
        <v>1.4814814814814815E-2</v>
      </c>
      <c r="N48" s="334">
        <v>1</v>
      </c>
      <c r="O48" s="339">
        <v>0.45226130653266333</v>
      </c>
      <c r="P48" s="334">
        <v>4</v>
      </c>
      <c r="Q48" s="335">
        <v>0</v>
      </c>
      <c r="R48" s="334">
        <v>1</v>
      </c>
      <c r="S48" s="340">
        <f>ROUND(CountyScoresTbl[[#This Row],[Age of Housing Stock Points]],0)+
ROUND(CountyScoresTbl[[#This Row],[Percent of Homeowners in Poverty Points]],0)+
ROUND(CountyScoresTbl[[#This Row],[Percent of Low-Income Homeowners Points]],0)+
ROUND(CountyScoresTbl[[#This Row],[Percent of Overcrowded Homeowners Points]],0)</f>
        <v>10</v>
      </c>
      <c r="T48" s="341">
        <v>1.5116279069767442</v>
      </c>
      <c r="U48" s="342">
        <v>8</v>
      </c>
      <c r="V48" s="495">
        <v>405000</v>
      </c>
      <c r="W48" s="495">
        <v>462300</v>
      </c>
      <c r="X48" s="495">
        <v>335679</v>
      </c>
      <c r="Y48" s="343">
        <f>AVERAGE(CountyScoresTbl[[#This Row],[Redfin.com 
Median Sales Price]:[Zillow.com Median Sales Price]])</f>
        <v>400993</v>
      </c>
      <c r="Z48" s="344">
        <v>49</v>
      </c>
      <c r="AA48" s="342" cm="1">
        <f t="array" ref="AA48">IF(INDEX(CHMATbl[NEW CONSTRUCTION OR AQUIRE/REHAB],ROW(A46),1)="",
INDEX(CHMATbl[UNRESTRICTED UNITS],ROW(A46),1)+
INDEX(CHMATbl[MANUFACTURED UNITS],ROW(A46),1)+
INDEX(CHMATbl[RURAL UNITS],ROW(A46),1)+
INDEX(CHMATbl[MANUFACTURED AND RURAL UNITS],ROW(A46),1),
0)</f>
        <v>0</v>
      </c>
      <c r="AB48" s="473" cm="1">
        <f t="array" ref="AB48">IF(INDEX(CHMATbl[NEW CONSTRUCTION OR AQUIRE/REHAB],ROW(A46),1)="",
INDEX(S1MATbl[UNRESTRICTED UNITS],ROW(A46),1)+
INDEX(S1MATbl[RURAL UNITS],ROW(A46),1),
0)</f>
        <v>0</v>
      </c>
      <c r="AC48" s="345">
        <f>IFERROR(
CountyScoresTbl[[#This Row],[Affordable Single Family Homes Sold In Last Year
(Zillow.com)]]/CountyScoresTbl[[#This Row],[CalHome Proposed Number of Loans (entered by Applicant)]],
0)</f>
        <v>0</v>
      </c>
      <c r="AD48" s="345">
        <f>IFERROR(
CountyScoresTbl[[#This Row],[Affordable Single Family Homes Sold In Last Year
(Zillow.com)]]/CountyScoresTbl[[#This Row],[Serna Proposed Number of Loans (entered by Applicant)]],
0)</f>
        <v>0</v>
      </c>
      <c r="AE48" s="342">
        <f t="shared" si="2"/>
        <v>2</v>
      </c>
      <c r="AF48" s="373">
        <f t="shared" si="3"/>
        <v>2</v>
      </c>
      <c r="AG48" s="346">
        <f>CountyScoresTbl[[#This Row],[Median Owner Renter Cost Ratio Points]]+CountyScoresTbl[[#This Row],[CalHome Proposed Loans to Sales Ratio Points]]</f>
        <v>10</v>
      </c>
      <c r="AH48" s="375">
        <f>CountyScoresTbl[[#This Row],[Median Owner Renter Cost Ratio Points]]+CountyScoresTbl[[#This Row],[Serna Proposed Loans to Sales Ratio Points]]</f>
        <v>10</v>
      </c>
      <c r="AI48" s="347">
        <f>CountyScoresTbl[[#This Row],[Age of Housing Stock]]</f>
        <v>0.79389312977099236</v>
      </c>
      <c r="AJ48" s="345">
        <v>8.7931034482758612</v>
      </c>
      <c r="AK48" s="348">
        <f>CountyScoresTbl[[#This Row],[Percent of Overcrowded Homeowners]]</f>
        <v>0</v>
      </c>
      <c r="AL48" s="345">
        <v>0.51724137931034486</v>
      </c>
      <c r="AM48" s="346">
        <v>12</v>
      </c>
      <c r="AN48" s="347">
        <v>0.47142857142857142</v>
      </c>
      <c r="AO48" s="342">
        <v>12</v>
      </c>
      <c r="AP48" s="348">
        <f>CountyScoresTbl[[#This Row],[Rental Vacancy Rate]]</f>
        <v>0</v>
      </c>
      <c r="AQ48" s="342">
        <v>12</v>
      </c>
      <c r="AR48" s="346">
        <v>20</v>
      </c>
      <c r="AS48" s="349">
        <f>CountyScoresTbl[[#This Row],[Median Owner to Renter Cost Ratio]]</f>
        <v>1.5116279069767442</v>
      </c>
      <c r="AT48" s="342">
        <v>3</v>
      </c>
      <c r="AU48" s="346">
        <v>19</v>
      </c>
      <c r="AV48" s="350">
        <v>0</v>
      </c>
      <c r="AW48" s="351">
        <v>0</v>
      </c>
    </row>
    <row r="49" spans="1:49" ht="16" x14ac:dyDescent="0.35">
      <c r="A49" s="332" t="s">
        <v>161</v>
      </c>
      <c r="B49" s="333">
        <v>4.3891656288916563</v>
      </c>
      <c r="C49" s="334">
        <v>1</v>
      </c>
      <c r="D49" s="335">
        <v>0.67087667161961362</v>
      </c>
      <c r="E49" s="334">
        <v>3</v>
      </c>
      <c r="F49" s="335">
        <v>1.7087667161961365E-2</v>
      </c>
      <c r="G49" s="334">
        <v>2</v>
      </c>
      <c r="H49" s="335">
        <v>2.5343953656770456E-2</v>
      </c>
      <c r="I49" s="334">
        <v>4</v>
      </c>
      <c r="J49" s="336">
        <f>MIN(15,CountyScoresTbl[[#This Row],[Housing Affordability Points]]+CountyScoresTbl[[#This Row],[Percent of Low-Income Renter households Points]]+CountyScoresTbl[[#This Row],[Percent of Overcrowded Renter Households Points]]+CountyScoresTbl[[#This Row],[Rental Vacancy Rate Points]])</f>
        <v>10</v>
      </c>
      <c r="K49" s="337">
        <v>0.72225294257050321</v>
      </c>
      <c r="L49" s="352">
        <v>3</v>
      </c>
      <c r="M49" s="335">
        <v>5.1680883090817864E-2</v>
      </c>
      <c r="N49" s="334">
        <v>3</v>
      </c>
      <c r="O49" s="339">
        <v>0.43285371702637887</v>
      </c>
      <c r="P49" s="334">
        <v>4</v>
      </c>
      <c r="Q49" s="335">
        <v>4.7961630695443642E-3</v>
      </c>
      <c r="R49" s="334">
        <v>2</v>
      </c>
      <c r="S49" s="340">
        <f>ROUND(CountyScoresTbl[[#This Row],[Age of Housing Stock Points]],0)+
ROUND(CountyScoresTbl[[#This Row],[Percent of Homeowners in Poverty Points]],0)+
ROUND(CountyScoresTbl[[#This Row],[Percent of Low-Income Homeowners Points]],0)+
ROUND(CountyScoresTbl[[#This Row],[Percent of Overcrowded Homeowners Points]],0)</f>
        <v>12</v>
      </c>
      <c r="T49" s="341">
        <v>1.6025056947608201</v>
      </c>
      <c r="U49" s="342">
        <v>6</v>
      </c>
      <c r="V49" s="495">
        <v>400000</v>
      </c>
      <c r="W49" s="495">
        <v>317000</v>
      </c>
      <c r="X49" s="495">
        <v>280519</v>
      </c>
      <c r="Y49" s="343">
        <f>AVERAGE(CountyScoresTbl[[#This Row],[Redfin.com 
Median Sales Price]:[Zillow.com Median Sales Price]])</f>
        <v>332506.33333333331</v>
      </c>
      <c r="Z49" s="344">
        <v>421</v>
      </c>
      <c r="AA49" s="342" cm="1">
        <f t="array" ref="AA49">IF(INDEX(CHMATbl[NEW CONSTRUCTION OR AQUIRE/REHAB],ROW(A47),1)="",
INDEX(CHMATbl[UNRESTRICTED UNITS],ROW(A47),1)+
INDEX(CHMATbl[MANUFACTURED UNITS],ROW(A47),1)+
INDEX(CHMATbl[RURAL UNITS],ROW(A47),1)+
INDEX(CHMATbl[MANUFACTURED AND RURAL UNITS],ROW(A47),1),
0)</f>
        <v>0</v>
      </c>
      <c r="AB49" s="473" cm="1">
        <f t="array" ref="AB49">IF(INDEX(CHMATbl[NEW CONSTRUCTION OR AQUIRE/REHAB],ROW(A47),1)="",
INDEX(S1MATbl[UNRESTRICTED UNITS],ROW(A47),1)+
INDEX(S1MATbl[RURAL UNITS],ROW(A47),1),
0)</f>
        <v>0</v>
      </c>
      <c r="AC49" s="345">
        <f>IFERROR(
CountyScoresTbl[[#This Row],[Affordable Single Family Homes Sold In Last Year
(Zillow.com)]]/CountyScoresTbl[[#This Row],[CalHome Proposed Number of Loans (entered by Applicant)]],
0)</f>
        <v>0</v>
      </c>
      <c r="AD49" s="345">
        <f>IFERROR(
CountyScoresTbl[[#This Row],[Affordable Single Family Homes Sold In Last Year
(Zillow.com)]]/CountyScoresTbl[[#This Row],[Serna Proposed Number of Loans (entered by Applicant)]],
0)</f>
        <v>0</v>
      </c>
      <c r="AE49" s="342">
        <f t="shared" si="2"/>
        <v>2</v>
      </c>
      <c r="AF49" s="373">
        <f t="shared" si="3"/>
        <v>2</v>
      </c>
      <c r="AG49" s="346">
        <f>CountyScoresTbl[[#This Row],[Median Owner Renter Cost Ratio Points]]+CountyScoresTbl[[#This Row],[CalHome Proposed Loans to Sales Ratio Points]]</f>
        <v>8</v>
      </c>
      <c r="AH49" s="375">
        <f>CountyScoresTbl[[#This Row],[Median Owner Renter Cost Ratio Points]]+CountyScoresTbl[[#This Row],[Serna Proposed Loans to Sales Ratio Points]]</f>
        <v>8</v>
      </c>
      <c r="AI49" s="347">
        <f>CountyScoresTbl[[#This Row],[Age of Housing Stock]]</f>
        <v>0.72225294257050321</v>
      </c>
      <c r="AJ49" s="345">
        <v>6.7241379310344831</v>
      </c>
      <c r="AK49" s="348">
        <f>CountyScoresTbl[[#This Row],[Percent of Overcrowded Homeowners]]</f>
        <v>4.7961630695443642E-3</v>
      </c>
      <c r="AL49" s="345">
        <v>2.7586206896551726</v>
      </c>
      <c r="AM49" s="346">
        <v>12</v>
      </c>
      <c r="AN49" s="347">
        <v>0.33887043189368771</v>
      </c>
      <c r="AO49" s="342">
        <v>6</v>
      </c>
      <c r="AP49" s="348">
        <f>CountyScoresTbl[[#This Row],[Rental Vacancy Rate]]</f>
        <v>2.5343953656770456E-2</v>
      </c>
      <c r="AQ49" s="342">
        <v>12</v>
      </c>
      <c r="AR49" s="346">
        <v>14</v>
      </c>
      <c r="AS49" s="349">
        <f>CountyScoresTbl[[#This Row],[Median Owner to Renter Cost Ratio]]</f>
        <v>1.6025056947608201</v>
      </c>
      <c r="AT49" s="342">
        <v>3</v>
      </c>
      <c r="AU49" s="346">
        <v>18</v>
      </c>
      <c r="AV49" s="350">
        <v>0</v>
      </c>
      <c r="AW49" s="351">
        <v>0</v>
      </c>
    </row>
    <row r="50" spans="1:49" ht="16" x14ac:dyDescent="0.35">
      <c r="A50" s="332" t="s">
        <v>162</v>
      </c>
      <c r="B50" s="333">
        <v>5.4001839926402946</v>
      </c>
      <c r="C50" s="334">
        <v>2</v>
      </c>
      <c r="D50" s="335">
        <v>0.5802650957290133</v>
      </c>
      <c r="E50" s="334">
        <v>1</v>
      </c>
      <c r="F50" s="335">
        <v>3.1274365416269601E-2</v>
      </c>
      <c r="G50" s="334">
        <v>3</v>
      </c>
      <c r="H50" s="335">
        <v>4.2630836858256617E-2</v>
      </c>
      <c r="I50" s="334">
        <v>2</v>
      </c>
      <c r="J50" s="336">
        <f>MIN(15,CountyScoresTbl[[#This Row],[Housing Affordability Points]]+CountyScoresTbl[[#This Row],[Percent of Low-Income Renter households Points]]+CountyScoresTbl[[#This Row],[Percent of Overcrowded Renter Households Points]]+CountyScoresTbl[[#This Row],[Rental Vacancy Rate Points]])</f>
        <v>8</v>
      </c>
      <c r="K50" s="337">
        <v>0.65897974189835784</v>
      </c>
      <c r="L50" s="352">
        <v>2</v>
      </c>
      <c r="M50" s="335">
        <v>2.7612863757073537E-2</v>
      </c>
      <c r="N50" s="334">
        <v>1</v>
      </c>
      <c r="O50" s="339">
        <v>0.29837221920781337</v>
      </c>
      <c r="P50" s="334">
        <v>1</v>
      </c>
      <c r="Q50" s="335">
        <v>6.7824199674443838E-3</v>
      </c>
      <c r="R50" s="334">
        <v>2</v>
      </c>
      <c r="S50" s="340">
        <f>ROUND(CountyScoresTbl[[#This Row],[Age of Housing Stock Points]],0)+
ROUND(CountyScoresTbl[[#This Row],[Percent of Homeowners in Poverty Points]],0)+
ROUND(CountyScoresTbl[[#This Row],[Percent of Low-Income Homeowners Points]],0)+
ROUND(CountyScoresTbl[[#This Row],[Percent of Overcrowded Homeowners Points]],0)</f>
        <v>6</v>
      </c>
      <c r="T50" s="341">
        <v>1.3271971496437054</v>
      </c>
      <c r="U50" s="342">
        <v>10</v>
      </c>
      <c r="V50" s="495">
        <v>575000</v>
      </c>
      <c r="W50" s="495">
        <v>575000</v>
      </c>
      <c r="X50" s="495">
        <v>568871</v>
      </c>
      <c r="Y50" s="343">
        <f>AVERAGE(CountyScoresTbl[[#This Row],[Redfin.com 
Median Sales Price]:[Zillow.com Median Sales Price]])</f>
        <v>572957</v>
      </c>
      <c r="Z50" s="344">
        <v>2311</v>
      </c>
      <c r="AA50" s="342" cm="1">
        <f t="array" ref="AA50">IF(INDEX(CHMATbl[NEW CONSTRUCTION OR AQUIRE/REHAB],ROW(A48),1)="",
INDEX(CHMATbl[UNRESTRICTED UNITS],ROW(A48),1)+
INDEX(CHMATbl[MANUFACTURED UNITS],ROW(A48),1)+
INDEX(CHMATbl[RURAL UNITS],ROW(A48),1)+
INDEX(CHMATbl[MANUFACTURED AND RURAL UNITS],ROW(A48),1),
0)</f>
        <v>0</v>
      </c>
      <c r="AB50" s="473" cm="1">
        <f t="array" ref="AB50">IF(INDEX(CHMATbl[NEW CONSTRUCTION OR AQUIRE/REHAB],ROW(A48),1)="",
INDEX(S1MATbl[UNRESTRICTED UNITS],ROW(A48),1)+
INDEX(S1MATbl[RURAL UNITS],ROW(A48),1),
0)</f>
        <v>0</v>
      </c>
      <c r="AC50" s="345">
        <f>IFERROR(
CountyScoresTbl[[#This Row],[Affordable Single Family Homes Sold In Last Year
(Zillow.com)]]/CountyScoresTbl[[#This Row],[CalHome Proposed Number of Loans (entered by Applicant)]],
0)</f>
        <v>0</v>
      </c>
      <c r="AD50" s="345">
        <f>IFERROR(
CountyScoresTbl[[#This Row],[Affordable Single Family Homes Sold In Last Year
(Zillow.com)]]/CountyScoresTbl[[#This Row],[Serna Proposed Number of Loans (entered by Applicant)]],
0)</f>
        <v>0</v>
      </c>
      <c r="AE50" s="342">
        <f t="shared" si="2"/>
        <v>2</v>
      </c>
      <c r="AF50" s="373">
        <f t="shared" si="3"/>
        <v>2</v>
      </c>
      <c r="AG50" s="346">
        <f>CountyScoresTbl[[#This Row],[Median Owner Renter Cost Ratio Points]]+CountyScoresTbl[[#This Row],[CalHome Proposed Loans to Sales Ratio Points]]</f>
        <v>12</v>
      </c>
      <c r="AH50" s="375">
        <f>CountyScoresTbl[[#This Row],[Median Owner Renter Cost Ratio Points]]+CountyScoresTbl[[#This Row],[Serna Proposed Loans to Sales Ratio Points]]</f>
        <v>12</v>
      </c>
      <c r="AI50" s="347">
        <f>CountyScoresTbl[[#This Row],[Age of Housing Stock]]</f>
        <v>0.65897974189835784</v>
      </c>
      <c r="AJ50" s="345">
        <v>4.4827586206896548</v>
      </c>
      <c r="AK50" s="348">
        <f>CountyScoresTbl[[#This Row],[Percent of Overcrowded Homeowners]]</f>
        <v>6.7824199674443838E-3</v>
      </c>
      <c r="AL50" s="345">
        <v>4.4827586206896548</v>
      </c>
      <c r="AM50" s="346">
        <v>12</v>
      </c>
      <c r="AN50" s="347">
        <v>0.41788593610032848</v>
      </c>
      <c r="AO50" s="342">
        <v>12</v>
      </c>
      <c r="AP50" s="348">
        <f>CountyScoresTbl[[#This Row],[Rental Vacancy Rate]]</f>
        <v>4.2630836858256617E-2</v>
      </c>
      <c r="AQ50" s="342">
        <v>6</v>
      </c>
      <c r="AR50" s="346">
        <v>16</v>
      </c>
      <c r="AS50" s="349">
        <f>CountyScoresTbl[[#This Row],[Median Owner to Renter Cost Ratio]]</f>
        <v>1.3271971496437054</v>
      </c>
      <c r="AT50" s="342">
        <v>5</v>
      </c>
      <c r="AU50" s="346">
        <v>20</v>
      </c>
      <c r="AV50" s="350">
        <v>1</v>
      </c>
      <c r="AW50" s="351">
        <v>10</v>
      </c>
    </row>
    <row r="51" spans="1:49" ht="16" x14ac:dyDescent="0.35">
      <c r="A51" s="332" t="s">
        <v>163</v>
      </c>
      <c r="B51" s="333">
        <v>7.1808510638297873</v>
      </c>
      <c r="C51" s="334">
        <v>3</v>
      </c>
      <c r="D51" s="335">
        <v>0.57474650589202525</v>
      </c>
      <c r="E51" s="334">
        <v>1</v>
      </c>
      <c r="F51" s="335">
        <v>2.9665661825157577E-2</v>
      </c>
      <c r="G51" s="334">
        <v>3</v>
      </c>
      <c r="H51" s="335">
        <v>2.9843801927550682E-2</v>
      </c>
      <c r="I51" s="334">
        <v>3</v>
      </c>
      <c r="J51" s="336">
        <f>MIN(15,CountyScoresTbl[[#This Row],[Housing Affordability Points]]+CountyScoresTbl[[#This Row],[Percent of Low-Income Renter households Points]]+CountyScoresTbl[[#This Row],[Percent of Overcrowded Renter Households Points]]+CountyScoresTbl[[#This Row],[Rental Vacancy Rate Points]])</f>
        <v>10</v>
      </c>
      <c r="K51" s="337">
        <v>0.7344900513617334</v>
      </c>
      <c r="L51" s="352">
        <v>3</v>
      </c>
      <c r="M51" s="335">
        <v>2.6135257965588167E-2</v>
      </c>
      <c r="N51" s="334">
        <v>1</v>
      </c>
      <c r="O51" s="339">
        <v>0.28742643584346406</v>
      </c>
      <c r="P51" s="334">
        <v>1</v>
      </c>
      <c r="Q51" s="335">
        <v>4.9400747454787577E-3</v>
      </c>
      <c r="R51" s="334">
        <v>2</v>
      </c>
      <c r="S51" s="340">
        <f>ROUND(CountyScoresTbl[[#This Row],[Age of Housing Stock Points]],0)+
ROUND(CountyScoresTbl[[#This Row],[Percent of Homeowners in Poverty Points]],0)+
ROUND(CountyScoresTbl[[#This Row],[Percent of Low-Income Homeowners Points]],0)+
ROUND(CountyScoresTbl[[#This Row],[Percent of Overcrowded Homeowners Points]],0)</f>
        <v>7</v>
      </c>
      <c r="T51" s="341">
        <v>1.4779116465863453</v>
      </c>
      <c r="U51" s="342">
        <v>8</v>
      </c>
      <c r="V51" s="495">
        <v>760000</v>
      </c>
      <c r="W51" s="495">
        <v>825000</v>
      </c>
      <c r="X51" s="495">
        <v>778898</v>
      </c>
      <c r="Y51" s="343">
        <f>AVERAGE(CountyScoresTbl[[#This Row],[Redfin.com 
Median Sales Price]:[Zillow.com Median Sales Price]])</f>
        <v>787966</v>
      </c>
      <c r="Z51" s="344">
        <v>2518</v>
      </c>
      <c r="AA51" s="342" cm="1">
        <f t="array" ref="AA51">IF(INDEX(CHMATbl[NEW CONSTRUCTION OR AQUIRE/REHAB],ROW(A49),1)="",
INDEX(CHMATbl[UNRESTRICTED UNITS],ROW(A49),1)+
INDEX(CHMATbl[MANUFACTURED UNITS],ROW(A49),1)+
INDEX(CHMATbl[RURAL UNITS],ROW(A49),1)+
INDEX(CHMATbl[MANUFACTURED AND RURAL UNITS],ROW(A49),1),
0)</f>
        <v>0</v>
      </c>
      <c r="AB51" s="473" cm="1">
        <f t="array" ref="AB51">IF(INDEX(CHMATbl[NEW CONSTRUCTION OR AQUIRE/REHAB],ROW(A49),1)="",
INDEX(S1MATbl[UNRESTRICTED UNITS],ROW(A49),1)+
INDEX(S1MATbl[RURAL UNITS],ROW(A49),1),
0)</f>
        <v>0</v>
      </c>
      <c r="AC51" s="345">
        <f>IFERROR(
CountyScoresTbl[[#This Row],[Affordable Single Family Homes Sold In Last Year
(Zillow.com)]]/CountyScoresTbl[[#This Row],[CalHome Proposed Number of Loans (entered by Applicant)]],
0)</f>
        <v>0</v>
      </c>
      <c r="AD51" s="345">
        <f>IFERROR(
CountyScoresTbl[[#This Row],[Affordable Single Family Homes Sold In Last Year
(Zillow.com)]]/CountyScoresTbl[[#This Row],[Serna Proposed Number of Loans (entered by Applicant)]],
0)</f>
        <v>0</v>
      </c>
      <c r="AE51" s="342">
        <f t="shared" si="2"/>
        <v>2</v>
      </c>
      <c r="AF51" s="373">
        <f t="shared" si="3"/>
        <v>2</v>
      </c>
      <c r="AG51" s="346">
        <f>CountyScoresTbl[[#This Row],[Median Owner Renter Cost Ratio Points]]+CountyScoresTbl[[#This Row],[CalHome Proposed Loans to Sales Ratio Points]]</f>
        <v>10</v>
      </c>
      <c r="AH51" s="375">
        <f>CountyScoresTbl[[#This Row],[Median Owner Renter Cost Ratio Points]]+CountyScoresTbl[[#This Row],[Serna Proposed Loans to Sales Ratio Points]]</f>
        <v>10</v>
      </c>
      <c r="AI51" s="347">
        <f>CountyScoresTbl[[#This Row],[Age of Housing Stock]]</f>
        <v>0.7344900513617334</v>
      </c>
      <c r="AJ51" s="345">
        <v>6.8965517241379315</v>
      </c>
      <c r="AK51" s="348">
        <f>CountyScoresTbl[[#This Row],[Percent of Overcrowded Homeowners]]</f>
        <v>4.9400747454787577E-3</v>
      </c>
      <c r="AL51" s="345">
        <v>2.9310344827586206</v>
      </c>
      <c r="AM51" s="346">
        <v>12</v>
      </c>
      <c r="AN51" s="347">
        <v>0.40779592323280489</v>
      </c>
      <c r="AO51" s="342">
        <v>12</v>
      </c>
      <c r="AP51" s="348">
        <f>CountyScoresTbl[[#This Row],[Rental Vacancy Rate]]</f>
        <v>2.9843801927550682E-2</v>
      </c>
      <c r="AQ51" s="342">
        <v>9</v>
      </c>
      <c r="AR51" s="346">
        <v>16</v>
      </c>
      <c r="AS51" s="349">
        <f>CountyScoresTbl[[#This Row],[Median Owner to Renter Cost Ratio]]</f>
        <v>1.4779116465863453</v>
      </c>
      <c r="AT51" s="342">
        <v>5</v>
      </c>
      <c r="AU51" s="346">
        <v>19</v>
      </c>
      <c r="AV51" s="350">
        <v>0</v>
      </c>
      <c r="AW51" s="351">
        <v>0</v>
      </c>
    </row>
    <row r="52" spans="1:49" ht="16" x14ac:dyDescent="0.35">
      <c r="A52" s="332" t="s">
        <v>164</v>
      </c>
      <c r="B52" s="333">
        <v>5.5417185554171855</v>
      </c>
      <c r="C52" s="334">
        <v>2</v>
      </c>
      <c r="D52" s="335">
        <v>0.60256410256410253</v>
      </c>
      <c r="E52" s="334">
        <v>1</v>
      </c>
      <c r="F52" s="335">
        <v>2.2776868521549372E-2</v>
      </c>
      <c r="G52" s="334">
        <v>2</v>
      </c>
      <c r="H52" s="335">
        <v>3.7353114947810677E-2</v>
      </c>
      <c r="I52" s="334">
        <v>3</v>
      </c>
      <c r="J52" s="336">
        <f>MIN(15,CountyScoresTbl[[#This Row],[Housing Affordability Points]]+CountyScoresTbl[[#This Row],[Percent of Low-Income Renter households Points]]+CountyScoresTbl[[#This Row],[Percent of Overcrowded Renter Households Points]]+CountyScoresTbl[[#This Row],[Rental Vacancy Rate Points]])</f>
        <v>8</v>
      </c>
      <c r="K52" s="337">
        <v>0.61718042366691017</v>
      </c>
      <c r="L52" s="352">
        <v>2</v>
      </c>
      <c r="M52" s="335">
        <v>4.6804233723368616E-2</v>
      </c>
      <c r="N52" s="334">
        <v>3</v>
      </c>
      <c r="O52" s="339">
        <v>0.29212030822769075</v>
      </c>
      <c r="P52" s="334">
        <v>1</v>
      </c>
      <c r="Q52" s="335">
        <v>1.1384538901317425E-2</v>
      </c>
      <c r="R52" s="334">
        <v>4</v>
      </c>
      <c r="S52" s="340">
        <f>ROUND(CountyScoresTbl[[#This Row],[Age of Housing Stock Points]],0)+
ROUND(CountyScoresTbl[[#This Row],[Percent of Homeowners in Poverty Points]],0)+
ROUND(CountyScoresTbl[[#This Row],[Percent of Low-Income Homeowners Points]],0)+
ROUND(CountyScoresTbl[[#This Row],[Percent of Overcrowded Homeowners Points]],0)</f>
        <v>10</v>
      </c>
      <c r="T52" s="341">
        <v>1.431404958677686</v>
      </c>
      <c r="U52" s="342">
        <v>10</v>
      </c>
      <c r="V52" s="495">
        <v>412500</v>
      </c>
      <c r="W52" s="495">
        <v>450000</v>
      </c>
      <c r="X52" s="495">
        <v>430053</v>
      </c>
      <c r="Y52" s="343">
        <f>AVERAGE(CountyScoresTbl[[#This Row],[Redfin.com 
Median Sales Price]:[Zillow.com Median Sales Price]])</f>
        <v>430851</v>
      </c>
      <c r="Z52" s="344">
        <v>2378</v>
      </c>
      <c r="AA52" s="342" cm="1">
        <f t="array" ref="AA52">IF(INDEX(CHMATbl[NEW CONSTRUCTION OR AQUIRE/REHAB],ROW(A50),1)="",
INDEX(CHMATbl[UNRESTRICTED UNITS],ROW(A50),1)+
INDEX(CHMATbl[MANUFACTURED UNITS],ROW(A50),1)+
INDEX(CHMATbl[RURAL UNITS],ROW(A50),1)+
INDEX(CHMATbl[MANUFACTURED AND RURAL UNITS],ROW(A50),1),
0)</f>
        <v>0</v>
      </c>
      <c r="AB52" s="473" cm="1">
        <f t="array" ref="AB52">IF(INDEX(CHMATbl[NEW CONSTRUCTION OR AQUIRE/REHAB],ROW(A50),1)="",
INDEX(S1MATbl[UNRESTRICTED UNITS],ROW(A50),1)+
INDEX(S1MATbl[RURAL UNITS],ROW(A50),1),
0)</f>
        <v>0</v>
      </c>
      <c r="AC52" s="345">
        <f>IFERROR(
CountyScoresTbl[[#This Row],[Affordable Single Family Homes Sold In Last Year
(Zillow.com)]]/CountyScoresTbl[[#This Row],[CalHome Proposed Number of Loans (entered by Applicant)]],
0)</f>
        <v>0</v>
      </c>
      <c r="AD52" s="345">
        <f>IFERROR(
CountyScoresTbl[[#This Row],[Affordable Single Family Homes Sold In Last Year
(Zillow.com)]]/CountyScoresTbl[[#This Row],[Serna Proposed Number of Loans (entered by Applicant)]],
0)</f>
        <v>0</v>
      </c>
      <c r="AE52" s="342">
        <f t="shared" si="2"/>
        <v>2</v>
      </c>
      <c r="AF52" s="373">
        <f t="shared" si="3"/>
        <v>2</v>
      </c>
      <c r="AG52" s="346">
        <f>CountyScoresTbl[[#This Row],[Median Owner Renter Cost Ratio Points]]+CountyScoresTbl[[#This Row],[CalHome Proposed Loans to Sales Ratio Points]]</f>
        <v>12</v>
      </c>
      <c r="AH52" s="375">
        <f>CountyScoresTbl[[#This Row],[Median Owner Renter Cost Ratio Points]]+CountyScoresTbl[[#This Row],[Serna Proposed Loans to Sales Ratio Points]]</f>
        <v>12</v>
      </c>
      <c r="AI52" s="347">
        <f>CountyScoresTbl[[#This Row],[Age of Housing Stock]]</f>
        <v>0.61718042366691017</v>
      </c>
      <c r="AJ52" s="345">
        <v>3.2758620689655169</v>
      </c>
      <c r="AK52" s="348">
        <f>CountyScoresTbl[[#This Row],[Percent of Overcrowded Homeowners]]</f>
        <v>1.1384538901317425E-2</v>
      </c>
      <c r="AL52" s="345">
        <v>7.7586206896551726</v>
      </c>
      <c r="AM52" s="346">
        <v>12</v>
      </c>
      <c r="AN52" s="347">
        <v>0.40425531914893614</v>
      </c>
      <c r="AO52" s="342">
        <v>9</v>
      </c>
      <c r="AP52" s="348">
        <f>CountyScoresTbl[[#This Row],[Rental Vacancy Rate]]</f>
        <v>3.7353114947810677E-2</v>
      </c>
      <c r="AQ52" s="342">
        <v>9</v>
      </c>
      <c r="AR52" s="346">
        <v>14</v>
      </c>
      <c r="AS52" s="349">
        <f>CountyScoresTbl[[#This Row],[Median Owner to Renter Cost Ratio]]</f>
        <v>1.431404958677686</v>
      </c>
      <c r="AT52" s="342">
        <v>5</v>
      </c>
      <c r="AU52" s="346">
        <v>20</v>
      </c>
      <c r="AV52" s="350">
        <v>3</v>
      </c>
      <c r="AW52" s="351">
        <v>30</v>
      </c>
    </row>
    <row r="53" spans="1:49" ht="16" x14ac:dyDescent="0.35">
      <c r="A53" s="332" t="s">
        <v>165</v>
      </c>
      <c r="B53" s="333">
        <v>5.4526774595267744</v>
      </c>
      <c r="C53" s="334">
        <v>2</v>
      </c>
      <c r="D53" s="335">
        <v>0.66074664733599131</v>
      </c>
      <c r="E53" s="334">
        <v>3</v>
      </c>
      <c r="F53" s="335">
        <v>3.0083363537513591E-2</v>
      </c>
      <c r="G53" s="334">
        <v>3</v>
      </c>
      <c r="H53" s="335">
        <v>3.2947774272695407E-2</v>
      </c>
      <c r="I53" s="334">
        <v>3</v>
      </c>
      <c r="J53" s="336">
        <f>MIN(15,CountyScoresTbl[[#This Row],[Housing Affordability Points]]+CountyScoresTbl[[#This Row],[Percent of Low-Income Renter households Points]]+CountyScoresTbl[[#This Row],[Percent of Overcrowded Renter Households Points]]+CountyScoresTbl[[#This Row],[Rental Vacancy Rate Points]])</f>
        <v>11</v>
      </c>
      <c r="K53" s="337">
        <v>0.5584159443608242</v>
      </c>
      <c r="L53" s="352">
        <v>1</v>
      </c>
      <c r="M53" s="335">
        <v>3.6881579852748918E-2</v>
      </c>
      <c r="N53" s="334">
        <v>2</v>
      </c>
      <c r="O53" s="339">
        <v>0.26884288747346075</v>
      </c>
      <c r="P53" s="334">
        <v>1</v>
      </c>
      <c r="Q53" s="335">
        <v>1.2208067940552018E-2</v>
      </c>
      <c r="R53" s="334">
        <v>4</v>
      </c>
      <c r="S53" s="340">
        <f>ROUND(CountyScoresTbl[[#This Row],[Age of Housing Stock Points]],0)+
ROUND(CountyScoresTbl[[#This Row],[Percent of Homeowners in Poverty Points]],0)+
ROUND(CountyScoresTbl[[#This Row],[Percent of Low-Income Homeowners Points]],0)+
ROUND(CountyScoresTbl[[#This Row],[Percent of Overcrowded Homeowners Points]],0)</f>
        <v>8</v>
      </c>
      <c r="T53" s="341">
        <v>1.5707762557077625</v>
      </c>
      <c r="U53" s="342">
        <v>6</v>
      </c>
      <c r="V53" s="495">
        <v>392000</v>
      </c>
      <c r="W53" s="495">
        <v>413500</v>
      </c>
      <c r="X53" s="495">
        <v>410260</v>
      </c>
      <c r="Y53" s="343">
        <f>AVERAGE(CountyScoresTbl[[#This Row],[Redfin.com 
Median Sales Price]:[Zillow.com Median Sales Price]])</f>
        <v>405253.33333333331</v>
      </c>
      <c r="Z53" s="344">
        <v>438</v>
      </c>
      <c r="AA53" s="342" cm="1">
        <f t="array" ref="AA53">IF(INDEX(CHMATbl[NEW CONSTRUCTION OR AQUIRE/REHAB],ROW(A51),1)="",
INDEX(CHMATbl[UNRESTRICTED UNITS],ROW(A51),1)+
INDEX(CHMATbl[MANUFACTURED UNITS],ROW(A51),1)+
INDEX(CHMATbl[RURAL UNITS],ROW(A51),1)+
INDEX(CHMATbl[MANUFACTURED AND RURAL UNITS],ROW(A51),1),
0)</f>
        <v>0</v>
      </c>
      <c r="AB53" s="473" cm="1">
        <f t="array" ref="AB53">IF(INDEX(CHMATbl[NEW CONSTRUCTION OR AQUIRE/REHAB],ROW(A51),1)="",
INDEX(S1MATbl[UNRESTRICTED UNITS],ROW(A51),1)+
INDEX(S1MATbl[RURAL UNITS],ROW(A51),1),
0)</f>
        <v>0</v>
      </c>
      <c r="AC53" s="345">
        <f>IFERROR(
CountyScoresTbl[[#This Row],[Affordable Single Family Homes Sold In Last Year
(Zillow.com)]]/CountyScoresTbl[[#This Row],[CalHome Proposed Number of Loans (entered by Applicant)]],
0)</f>
        <v>0</v>
      </c>
      <c r="AD53" s="345">
        <f>IFERROR(
CountyScoresTbl[[#This Row],[Affordable Single Family Homes Sold In Last Year
(Zillow.com)]]/CountyScoresTbl[[#This Row],[Serna Proposed Number of Loans (entered by Applicant)]],
0)</f>
        <v>0</v>
      </c>
      <c r="AE53" s="342">
        <f t="shared" si="2"/>
        <v>2</v>
      </c>
      <c r="AF53" s="373">
        <f t="shared" si="3"/>
        <v>2</v>
      </c>
      <c r="AG53" s="346">
        <f>CountyScoresTbl[[#This Row],[Median Owner Renter Cost Ratio Points]]+CountyScoresTbl[[#This Row],[CalHome Proposed Loans to Sales Ratio Points]]</f>
        <v>8</v>
      </c>
      <c r="AH53" s="375">
        <f>CountyScoresTbl[[#This Row],[Median Owner Renter Cost Ratio Points]]+CountyScoresTbl[[#This Row],[Serna Proposed Loans to Sales Ratio Points]]</f>
        <v>8</v>
      </c>
      <c r="AI53" s="347">
        <f>CountyScoresTbl[[#This Row],[Age of Housing Stock]]</f>
        <v>0.5584159443608242</v>
      </c>
      <c r="AJ53" s="345">
        <v>1.896551724137931</v>
      </c>
      <c r="AK53" s="348">
        <f>CountyScoresTbl[[#This Row],[Percent of Overcrowded Homeowners]]</f>
        <v>1.2208067940552018E-2</v>
      </c>
      <c r="AL53" s="345">
        <v>8.2758620689655178</v>
      </c>
      <c r="AM53" s="346">
        <v>12</v>
      </c>
      <c r="AN53" s="347">
        <v>0.27098189797037847</v>
      </c>
      <c r="AO53" s="342">
        <v>3</v>
      </c>
      <c r="AP53" s="348">
        <f>CountyScoresTbl[[#This Row],[Rental Vacancy Rate]]</f>
        <v>3.2947774272695407E-2</v>
      </c>
      <c r="AQ53" s="342">
        <v>9</v>
      </c>
      <c r="AR53" s="346">
        <v>8</v>
      </c>
      <c r="AS53" s="349">
        <f>CountyScoresTbl[[#This Row],[Median Owner to Renter Cost Ratio]]</f>
        <v>1.5707762557077625</v>
      </c>
      <c r="AT53" s="342">
        <v>2</v>
      </c>
      <c r="AU53" s="346">
        <v>18</v>
      </c>
      <c r="AV53" s="350">
        <v>1</v>
      </c>
      <c r="AW53" s="351">
        <v>10</v>
      </c>
    </row>
    <row r="54" spans="1:49" ht="16" x14ac:dyDescent="0.35">
      <c r="A54" s="332" t="s">
        <v>166</v>
      </c>
      <c r="B54" s="333">
        <v>3.7608966376089663</v>
      </c>
      <c r="C54" s="334">
        <v>1</v>
      </c>
      <c r="D54" s="335">
        <v>0.73373134328358214</v>
      </c>
      <c r="E54" s="334">
        <v>4</v>
      </c>
      <c r="F54" s="335">
        <v>1.9104477611940299E-2</v>
      </c>
      <c r="G54" s="334">
        <v>2</v>
      </c>
      <c r="H54" s="335">
        <v>5.0453514739229023E-2</v>
      </c>
      <c r="I54" s="334">
        <v>2</v>
      </c>
      <c r="J54" s="336">
        <f>MIN(15,CountyScoresTbl[[#This Row],[Housing Affordability Points]]+CountyScoresTbl[[#This Row],[Percent of Low-Income Renter households Points]]+CountyScoresTbl[[#This Row],[Percent of Overcrowded Renter Households Points]]+CountyScoresTbl[[#This Row],[Rental Vacancy Rate Points]])</f>
        <v>9</v>
      </c>
      <c r="K54" s="337">
        <v>0.63358309789952094</v>
      </c>
      <c r="L54" s="352">
        <v>2</v>
      </c>
      <c r="M54" s="335">
        <v>6.8199702719244554E-2</v>
      </c>
      <c r="N54" s="334">
        <v>4</v>
      </c>
      <c r="O54" s="339">
        <v>0.44166930129623777</v>
      </c>
      <c r="P54" s="334">
        <v>4</v>
      </c>
      <c r="Q54" s="335">
        <v>8.220044261776794E-3</v>
      </c>
      <c r="R54" s="334">
        <v>3</v>
      </c>
      <c r="S54" s="340">
        <f>ROUND(CountyScoresTbl[[#This Row],[Age of Housing Stock Points]],0)+
ROUND(CountyScoresTbl[[#This Row],[Percent of Homeowners in Poverty Points]],0)+
ROUND(CountyScoresTbl[[#This Row],[Percent of Low-Income Homeowners Points]],0)+
ROUND(CountyScoresTbl[[#This Row],[Percent of Overcrowded Homeowners Points]],0)</f>
        <v>13</v>
      </c>
      <c r="T54" s="341">
        <v>1.4866255144032923</v>
      </c>
      <c r="U54" s="342">
        <v>8</v>
      </c>
      <c r="V54" s="495">
        <v>330500</v>
      </c>
      <c r="W54" s="495">
        <v>364000</v>
      </c>
      <c r="X54" s="495">
        <v>306305</v>
      </c>
      <c r="Y54" s="343">
        <f>AVERAGE(CountyScoresTbl[[#This Row],[Redfin.com 
Median Sales Price]:[Zillow.com Median Sales Price]])</f>
        <v>333601.66666666669</v>
      </c>
      <c r="Z54" s="344">
        <v>560</v>
      </c>
      <c r="AA54" s="342" cm="1">
        <f t="array" ref="AA54">IF(INDEX(CHMATbl[NEW CONSTRUCTION OR AQUIRE/REHAB],ROW(A52),1)="",
INDEX(CHMATbl[UNRESTRICTED UNITS],ROW(A52),1)+
INDEX(CHMATbl[MANUFACTURED UNITS],ROW(A52),1)+
INDEX(CHMATbl[RURAL UNITS],ROW(A52),1)+
INDEX(CHMATbl[MANUFACTURED AND RURAL UNITS],ROW(A52),1),
0)</f>
        <v>0</v>
      </c>
      <c r="AB54" s="473" cm="1">
        <f t="array" ref="AB54">IF(INDEX(CHMATbl[NEW CONSTRUCTION OR AQUIRE/REHAB],ROW(A52),1)="",
INDEX(S1MATbl[UNRESTRICTED UNITS],ROW(A52),1)+
INDEX(S1MATbl[RURAL UNITS],ROW(A52),1),
0)</f>
        <v>0</v>
      </c>
      <c r="AC54" s="345">
        <f>IFERROR(
CountyScoresTbl[[#This Row],[Affordable Single Family Homes Sold In Last Year
(Zillow.com)]]/CountyScoresTbl[[#This Row],[CalHome Proposed Number of Loans (entered by Applicant)]],
0)</f>
        <v>0</v>
      </c>
      <c r="AD54" s="345">
        <f>IFERROR(
CountyScoresTbl[[#This Row],[Affordable Single Family Homes Sold In Last Year
(Zillow.com)]]/CountyScoresTbl[[#This Row],[Serna Proposed Number of Loans (entered by Applicant)]],
0)</f>
        <v>0</v>
      </c>
      <c r="AE54" s="342">
        <f t="shared" si="2"/>
        <v>2</v>
      </c>
      <c r="AF54" s="373">
        <f t="shared" si="3"/>
        <v>2</v>
      </c>
      <c r="AG54" s="346">
        <f>CountyScoresTbl[[#This Row],[Median Owner Renter Cost Ratio Points]]+CountyScoresTbl[[#This Row],[CalHome Proposed Loans to Sales Ratio Points]]</f>
        <v>10</v>
      </c>
      <c r="AH54" s="375">
        <f>CountyScoresTbl[[#This Row],[Median Owner Renter Cost Ratio Points]]+CountyScoresTbl[[#This Row],[Serna Proposed Loans to Sales Ratio Points]]</f>
        <v>10</v>
      </c>
      <c r="AI54" s="347">
        <f>CountyScoresTbl[[#This Row],[Age of Housing Stock]]</f>
        <v>0.63358309789952094</v>
      </c>
      <c r="AJ54" s="345">
        <v>3.9655172413793105</v>
      </c>
      <c r="AK54" s="348">
        <f>CountyScoresTbl[[#This Row],[Percent of Overcrowded Homeowners]]</f>
        <v>8.220044261776794E-3</v>
      </c>
      <c r="AL54" s="345">
        <v>5.5172413793103452</v>
      </c>
      <c r="AM54" s="346">
        <v>10</v>
      </c>
      <c r="AN54" s="347">
        <v>0.35964198535394631</v>
      </c>
      <c r="AO54" s="342">
        <v>6</v>
      </c>
      <c r="AP54" s="348">
        <f>CountyScoresTbl[[#This Row],[Rental Vacancy Rate]]</f>
        <v>5.0453514739229023E-2</v>
      </c>
      <c r="AQ54" s="342">
        <v>6</v>
      </c>
      <c r="AR54" s="346">
        <v>10</v>
      </c>
      <c r="AS54" s="349">
        <f>CountyScoresTbl[[#This Row],[Median Owner to Renter Cost Ratio]]</f>
        <v>1.4866255144032923</v>
      </c>
      <c r="AT54" s="342">
        <v>3</v>
      </c>
      <c r="AU54" s="346">
        <v>19</v>
      </c>
      <c r="AV54" s="350">
        <v>0</v>
      </c>
      <c r="AW54" s="351">
        <v>0</v>
      </c>
    </row>
    <row r="55" spans="1:49" ht="16" x14ac:dyDescent="0.35">
      <c r="A55" s="332" t="s">
        <v>167</v>
      </c>
      <c r="B55" s="333">
        <v>15</v>
      </c>
      <c r="C55" s="334">
        <v>4</v>
      </c>
      <c r="D55" s="335">
        <v>0.79945799457994582</v>
      </c>
      <c r="E55" s="334">
        <v>4</v>
      </c>
      <c r="F55" s="335">
        <v>5.4200542005420054E-3</v>
      </c>
      <c r="G55" s="334">
        <v>1</v>
      </c>
      <c r="H55" s="335">
        <v>1.8617021276595744E-2</v>
      </c>
      <c r="I55" s="334">
        <v>4</v>
      </c>
      <c r="J55" s="336">
        <f>MIN(15,CountyScoresTbl[[#This Row],[Housing Affordability Points]]+CountyScoresTbl[[#This Row],[Percent of Low-Income Renter households Points]]+CountyScoresTbl[[#This Row],[Percent of Overcrowded Renter Households Points]]+CountyScoresTbl[[#This Row],[Rental Vacancy Rate Points]])</f>
        <v>13</v>
      </c>
      <c r="K55" s="337">
        <v>0.75154664686958672</v>
      </c>
      <c r="L55" s="352">
        <v>3</v>
      </c>
      <c r="M55" s="335">
        <v>9.5762711864406783E-2</v>
      </c>
      <c r="N55" s="334">
        <v>4</v>
      </c>
      <c r="O55" s="339">
        <v>0.46031746031746029</v>
      </c>
      <c r="P55" s="334">
        <v>4</v>
      </c>
      <c r="Q55" s="335">
        <v>1.098901098901099E-2</v>
      </c>
      <c r="R55" s="334">
        <v>3</v>
      </c>
      <c r="S55" s="340">
        <f>ROUND(CountyScoresTbl[[#This Row],[Age of Housing Stock Points]],0)+
ROUND(CountyScoresTbl[[#This Row],[Percent of Homeowners in Poverty Points]],0)+
ROUND(CountyScoresTbl[[#This Row],[Percent of Low-Income Homeowners Points]],0)+
ROUND(CountyScoresTbl[[#This Row],[Percent of Overcrowded Homeowners Points]],0)</f>
        <v>14</v>
      </c>
      <c r="T55" s="341">
        <v>1.8019680196801968</v>
      </c>
      <c r="U55" s="342">
        <v>2</v>
      </c>
      <c r="V55" s="495">
        <v>380000</v>
      </c>
      <c r="W55" s="495">
        <v>375000</v>
      </c>
      <c r="X55" s="495">
        <v>299184</v>
      </c>
      <c r="Y55" s="343">
        <f>AVERAGE(CountyScoresTbl[[#This Row],[Redfin.com 
Median Sales Price]:[Zillow.com Median Sales Price]])</f>
        <v>351394.66666666669</v>
      </c>
      <c r="Z55" s="344">
        <v>217</v>
      </c>
      <c r="AA55" s="342" cm="1">
        <f t="array" ref="AA55">IF(INDEX(CHMATbl[NEW CONSTRUCTION OR AQUIRE/REHAB],ROW(A53),1)="",
INDEX(CHMATbl[UNRESTRICTED UNITS],ROW(A53),1)+
INDEX(CHMATbl[MANUFACTURED UNITS],ROW(A53),1)+
INDEX(CHMATbl[RURAL UNITS],ROW(A53),1)+
INDEX(CHMATbl[MANUFACTURED AND RURAL UNITS],ROW(A53),1),
0)</f>
        <v>0</v>
      </c>
      <c r="AB55" s="473" cm="1">
        <f t="array" ref="AB55">IF(INDEX(CHMATbl[NEW CONSTRUCTION OR AQUIRE/REHAB],ROW(A53),1)="",
INDEX(S1MATbl[UNRESTRICTED UNITS],ROW(A53),1)+
INDEX(S1MATbl[RURAL UNITS],ROW(A53),1),
0)</f>
        <v>0</v>
      </c>
      <c r="AC55" s="345">
        <f>IFERROR(
CountyScoresTbl[[#This Row],[Affordable Single Family Homes Sold In Last Year
(Zillow.com)]]/CountyScoresTbl[[#This Row],[CalHome Proposed Number of Loans (entered by Applicant)]],
0)</f>
        <v>0</v>
      </c>
      <c r="AD55" s="345">
        <f>IFERROR(
CountyScoresTbl[[#This Row],[Affordable Single Family Homes Sold In Last Year
(Zillow.com)]]/CountyScoresTbl[[#This Row],[Serna Proposed Number of Loans (entered by Applicant)]],
0)</f>
        <v>0</v>
      </c>
      <c r="AE55" s="342">
        <f t="shared" si="2"/>
        <v>2</v>
      </c>
      <c r="AF55" s="373">
        <f t="shared" si="3"/>
        <v>2</v>
      </c>
      <c r="AG55" s="346">
        <f>CountyScoresTbl[[#This Row],[Median Owner Renter Cost Ratio Points]]+CountyScoresTbl[[#This Row],[CalHome Proposed Loans to Sales Ratio Points]]</f>
        <v>4</v>
      </c>
      <c r="AH55" s="375">
        <f>CountyScoresTbl[[#This Row],[Median Owner Renter Cost Ratio Points]]+CountyScoresTbl[[#This Row],[Serna Proposed Loans to Sales Ratio Points]]</f>
        <v>4</v>
      </c>
      <c r="AI55" s="347">
        <f>CountyScoresTbl[[#This Row],[Age of Housing Stock]]</f>
        <v>0.75154664686958672</v>
      </c>
      <c r="AJ55" s="345">
        <v>7.4137931034482758</v>
      </c>
      <c r="AK55" s="348">
        <f>CountyScoresTbl[[#This Row],[Percent of Overcrowded Homeowners]]</f>
        <v>1.098901098901099E-2</v>
      </c>
      <c r="AL55" s="345">
        <v>7.2413793103448274</v>
      </c>
      <c r="AM55" s="346">
        <v>16</v>
      </c>
      <c r="AN55" s="347">
        <v>0.28406779661016951</v>
      </c>
      <c r="AO55" s="342">
        <v>3</v>
      </c>
      <c r="AP55" s="348">
        <f>CountyScoresTbl[[#This Row],[Rental Vacancy Rate]]</f>
        <v>1.8617021276595744E-2</v>
      </c>
      <c r="AQ55" s="342">
        <v>12</v>
      </c>
      <c r="AR55" s="346">
        <v>12</v>
      </c>
      <c r="AS55" s="349">
        <f>CountyScoresTbl[[#This Row],[Median Owner to Renter Cost Ratio]]</f>
        <v>1.8019680196801968</v>
      </c>
      <c r="AT55" s="342">
        <v>1</v>
      </c>
      <c r="AU55" s="346">
        <v>16</v>
      </c>
      <c r="AV55" s="350">
        <v>0</v>
      </c>
      <c r="AW55" s="351">
        <v>0</v>
      </c>
    </row>
    <row r="56" spans="1:49" ht="16" x14ac:dyDescent="0.35">
      <c r="A56" s="332" t="s">
        <v>168</v>
      </c>
      <c r="B56" s="333">
        <v>4.1718555417185552</v>
      </c>
      <c r="C56" s="334">
        <v>1</v>
      </c>
      <c r="D56" s="335">
        <v>0.70793329964628604</v>
      </c>
      <c r="E56" s="334">
        <v>4</v>
      </c>
      <c r="F56" s="335">
        <v>2.9560384032339567E-2</v>
      </c>
      <c r="G56" s="334">
        <v>3</v>
      </c>
      <c r="H56" s="335">
        <v>3.424156161041074E-2</v>
      </c>
      <c r="I56" s="334">
        <v>3</v>
      </c>
      <c r="J56" s="336">
        <f>MIN(15,CountyScoresTbl[[#This Row],[Housing Affordability Points]]+CountyScoresTbl[[#This Row],[Percent of Low-Income Renter households Points]]+CountyScoresTbl[[#This Row],[Percent of Overcrowded Renter Households Points]]+CountyScoresTbl[[#This Row],[Rental Vacancy Rate Points]])</f>
        <v>11</v>
      </c>
      <c r="K56" s="337">
        <v>0.58842135773064663</v>
      </c>
      <c r="L56" s="352">
        <v>1</v>
      </c>
      <c r="M56" s="335">
        <v>8.7095396973482397E-2</v>
      </c>
      <c r="N56" s="334">
        <v>4</v>
      </c>
      <c r="O56" s="339">
        <v>0.38540543967539465</v>
      </c>
      <c r="P56" s="334">
        <v>4</v>
      </c>
      <c r="Q56" s="335">
        <v>1.4772078868953275E-2</v>
      </c>
      <c r="R56" s="334">
        <v>4</v>
      </c>
      <c r="S56" s="340">
        <f>ROUND(CountyScoresTbl[[#This Row],[Age of Housing Stock Points]],0)+
ROUND(CountyScoresTbl[[#This Row],[Percent of Homeowners in Poverty Points]],0)+
ROUND(CountyScoresTbl[[#This Row],[Percent of Low-Income Homeowners Points]],0)+
ROUND(CountyScoresTbl[[#This Row],[Percent of Overcrowded Homeowners Points]],0)</f>
        <v>13</v>
      </c>
      <c r="T56" s="341">
        <v>1.517453798767967</v>
      </c>
      <c r="U56" s="342">
        <v>8</v>
      </c>
      <c r="V56" s="495">
        <v>330000</v>
      </c>
      <c r="W56" s="495">
        <v>357400</v>
      </c>
      <c r="X56" s="495">
        <v>314671</v>
      </c>
      <c r="Y56" s="343">
        <f>AVERAGE(CountyScoresTbl[[#This Row],[Redfin.com 
Median Sales Price]:[Zillow.com Median Sales Price]])</f>
        <v>334023.66666666669</v>
      </c>
      <c r="Z56" s="344">
        <v>2139</v>
      </c>
      <c r="AA56" s="342" cm="1">
        <f t="array" ref="AA56">IF(INDEX(CHMATbl[NEW CONSTRUCTION OR AQUIRE/REHAB],ROW(A54),1)="",
INDEX(CHMATbl[UNRESTRICTED UNITS],ROW(A54),1)+
INDEX(CHMATbl[MANUFACTURED UNITS],ROW(A54),1)+
INDEX(CHMATbl[RURAL UNITS],ROW(A54),1)+
INDEX(CHMATbl[MANUFACTURED AND RURAL UNITS],ROW(A54),1),
0)</f>
        <v>0</v>
      </c>
      <c r="AB56" s="473" cm="1">
        <f t="array" ref="AB56">IF(INDEX(CHMATbl[NEW CONSTRUCTION OR AQUIRE/REHAB],ROW(A54),1)="",
INDEX(S1MATbl[UNRESTRICTED UNITS],ROW(A54),1)+
INDEX(S1MATbl[RURAL UNITS],ROW(A54),1),
0)</f>
        <v>0</v>
      </c>
      <c r="AC56" s="345">
        <f>IFERROR(
CountyScoresTbl[[#This Row],[Affordable Single Family Homes Sold In Last Year
(Zillow.com)]]/CountyScoresTbl[[#This Row],[CalHome Proposed Number of Loans (entered by Applicant)]],
0)</f>
        <v>0</v>
      </c>
      <c r="AD56" s="345">
        <f>IFERROR(
CountyScoresTbl[[#This Row],[Affordable Single Family Homes Sold In Last Year
(Zillow.com)]]/CountyScoresTbl[[#This Row],[Serna Proposed Number of Loans (entered by Applicant)]],
0)</f>
        <v>0</v>
      </c>
      <c r="AE56" s="342">
        <f t="shared" si="2"/>
        <v>2</v>
      </c>
      <c r="AF56" s="373">
        <f t="shared" si="3"/>
        <v>2</v>
      </c>
      <c r="AG56" s="346">
        <f>CountyScoresTbl[[#This Row],[Median Owner Renter Cost Ratio Points]]+CountyScoresTbl[[#This Row],[CalHome Proposed Loans to Sales Ratio Points]]</f>
        <v>10</v>
      </c>
      <c r="AH56" s="375">
        <f>CountyScoresTbl[[#This Row],[Median Owner Renter Cost Ratio Points]]+CountyScoresTbl[[#This Row],[Serna Proposed Loans to Sales Ratio Points]]</f>
        <v>10</v>
      </c>
      <c r="AI56" s="347">
        <f>CountyScoresTbl[[#This Row],[Age of Housing Stock]]</f>
        <v>0.58842135773064663</v>
      </c>
      <c r="AJ56" s="345">
        <v>2.4137931034482758</v>
      </c>
      <c r="AK56" s="348">
        <f>CountyScoresTbl[[#This Row],[Percent of Overcrowded Homeowners]]</f>
        <v>1.4772078868953275E-2</v>
      </c>
      <c r="AL56" s="345">
        <v>9.3103448275862064</v>
      </c>
      <c r="AM56" s="346">
        <v>14</v>
      </c>
      <c r="AN56" s="347">
        <v>0.35367594575303357</v>
      </c>
      <c r="AO56" s="342">
        <v>6</v>
      </c>
      <c r="AP56" s="348">
        <f>CountyScoresTbl[[#This Row],[Rental Vacancy Rate]]</f>
        <v>3.424156161041074E-2</v>
      </c>
      <c r="AQ56" s="342">
        <v>9</v>
      </c>
      <c r="AR56" s="346">
        <v>10</v>
      </c>
      <c r="AS56" s="349">
        <f>CountyScoresTbl[[#This Row],[Median Owner to Renter Cost Ratio]]</f>
        <v>1.517453798767967</v>
      </c>
      <c r="AT56" s="342">
        <v>4</v>
      </c>
      <c r="AU56" s="346">
        <v>19</v>
      </c>
      <c r="AV56" s="350">
        <v>0</v>
      </c>
      <c r="AW56" s="351">
        <v>0</v>
      </c>
    </row>
    <row r="57" spans="1:49" ht="16" x14ac:dyDescent="0.35">
      <c r="A57" s="332" t="s">
        <v>169</v>
      </c>
      <c r="B57" s="333">
        <v>4.7390272835112697</v>
      </c>
      <c r="C57" s="334">
        <v>1</v>
      </c>
      <c r="D57" s="335">
        <v>0.63186388244392888</v>
      </c>
      <c r="E57" s="334">
        <v>2</v>
      </c>
      <c r="F57" s="335">
        <v>9.2807424593967514E-3</v>
      </c>
      <c r="G57" s="334">
        <v>1</v>
      </c>
      <c r="H57" s="335">
        <v>6.2364031907179117E-2</v>
      </c>
      <c r="I57" s="334">
        <v>1</v>
      </c>
      <c r="J57" s="336">
        <f>MIN(15,CountyScoresTbl[[#This Row],[Housing Affordability Points]]+CountyScoresTbl[[#This Row],[Percent of Low-Income Renter households Points]]+CountyScoresTbl[[#This Row],[Percent of Overcrowded Renter Households Points]]+CountyScoresTbl[[#This Row],[Rental Vacancy Rate Points]])</f>
        <v>5</v>
      </c>
      <c r="K57" s="337">
        <v>0.69838919815231548</v>
      </c>
      <c r="L57" s="352">
        <v>3</v>
      </c>
      <c r="M57" s="335">
        <v>5.0909759235434664E-2</v>
      </c>
      <c r="N57" s="334">
        <v>3</v>
      </c>
      <c r="O57" s="339">
        <v>0.32107231920199503</v>
      </c>
      <c r="P57" s="334">
        <v>2</v>
      </c>
      <c r="Q57" s="335">
        <v>2.8054862842892768E-3</v>
      </c>
      <c r="R57" s="334">
        <v>1</v>
      </c>
      <c r="S57" s="340">
        <f>ROUND(CountyScoresTbl[[#This Row],[Age of Housing Stock Points]],0)+
ROUND(CountyScoresTbl[[#This Row],[Percent of Homeowners in Poverty Points]],0)+
ROUND(CountyScoresTbl[[#This Row],[Percent of Low-Income Homeowners Points]],0)+
ROUND(CountyScoresTbl[[#This Row],[Percent of Overcrowded Homeowners Points]],0)</f>
        <v>9</v>
      </c>
      <c r="T57" s="341">
        <v>1.7951219512195122</v>
      </c>
      <c r="U57" s="342">
        <v>2</v>
      </c>
      <c r="V57" s="495">
        <v>380000</v>
      </c>
      <c r="W57" s="495">
        <v>425000</v>
      </c>
      <c r="X57" s="495">
        <v>378861</v>
      </c>
      <c r="Y57" s="343">
        <f>AVERAGE(CountyScoresTbl[[#This Row],[Redfin.com 
Median Sales Price]:[Zillow.com Median Sales Price]])</f>
        <v>394620.33333333331</v>
      </c>
      <c r="Z57" s="344">
        <v>929</v>
      </c>
      <c r="AA57" s="342" cm="1">
        <f t="array" ref="AA57">IF(INDEX(CHMATbl[NEW CONSTRUCTION OR AQUIRE/REHAB],ROW(A55),1)="",
INDEX(CHMATbl[UNRESTRICTED UNITS],ROW(A55),1)+
INDEX(CHMATbl[MANUFACTURED UNITS],ROW(A55),1)+
INDEX(CHMATbl[RURAL UNITS],ROW(A55),1)+
INDEX(CHMATbl[MANUFACTURED AND RURAL UNITS],ROW(A55),1),
0)</f>
        <v>0</v>
      </c>
      <c r="AB57" s="473" cm="1">
        <f t="array" ref="AB57">IF(INDEX(CHMATbl[NEW CONSTRUCTION OR AQUIRE/REHAB],ROW(A55),1)="",
INDEX(S1MATbl[UNRESTRICTED UNITS],ROW(A55),1)+
INDEX(S1MATbl[RURAL UNITS],ROW(A55),1),
0)</f>
        <v>0</v>
      </c>
      <c r="AC57" s="345">
        <f>IFERROR(
CountyScoresTbl[[#This Row],[Affordable Single Family Homes Sold In Last Year
(Zillow.com)]]/CountyScoresTbl[[#This Row],[CalHome Proposed Number of Loans (entered by Applicant)]],
0)</f>
        <v>0</v>
      </c>
      <c r="AD57" s="345">
        <f>IFERROR(
CountyScoresTbl[[#This Row],[Affordable Single Family Homes Sold In Last Year
(Zillow.com)]]/CountyScoresTbl[[#This Row],[Serna Proposed Number of Loans (entered by Applicant)]],
0)</f>
        <v>0</v>
      </c>
      <c r="AE57" s="342">
        <f t="shared" si="2"/>
        <v>2</v>
      </c>
      <c r="AF57" s="373">
        <f t="shared" si="3"/>
        <v>2</v>
      </c>
      <c r="AG57" s="346">
        <f>CountyScoresTbl[[#This Row],[Median Owner Renter Cost Ratio Points]]+CountyScoresTbl[[#This Row],[CalHome Proposed Loans to Sales Ratio Points]]</f>
        <v>4</v>
      </c>
      <c r="AH57" s="375">
        <f>CountyScoresTbl[[#This Row],[Median Owner Renter Cost Ratio Points]]+CountyScoresTbl[[#This Row],[Serna Proposed Loans to Sales Ratio Points]]</f>
        <v>4</v>
      </c>
      <c r="AI57" s="347">
        <f>CountyScoresTbl[[#This Row],[Age of Housing Stock]]</f>
        <v>0.69838919815231548</v>
      </c>
      <c r="AJ57" s="345">
        <v>5.6896551724137936</v>
      </c>
      <c r="AK57" s="348">
        <f>CountyScoresTbl[[#This Row],[Percent of Overcrowded Homeowners]]</f>
        <v>2.8054862842892768E-3</v>
      </c>
      <c r="AL57" s="345">
        <v>1.2068965517241379</v>
      </c>
      <c r="AM57" s="346">
        <v>8</v>
      </c>
      <c r="AN57" s="347">
        <v>0.35862913096695226</v>
      </c>
      <c r="AO57" s="342">
        <v>6</v>
      </c>
      <c r="AP57" s="348">
        <f>CountyScoresTbl[[#This Row],[Rental Vacancy Rate]]</f>
        <v>6.2364031907179117E-2</v>
      </c>
      <c r="AQ57" s="342">
        <v>3</v>
      </c>
      <c r="AR57" s="346">
        <v>6</v>
      </c>
      <c r="AS57" s="349">
        <f>CountyScoresTbl[[#This Row],[Median Owner to Renter Cost Ratio]]</f>
        <v>1.7951219512195122</v>
      </c>
      <c r="AT57" s="342">
        <v>1</v>
      </c>
      <c r="AU57" s="346">
        <v>16</v>
      </c>
      <c r="AV57" s="350">
        <v>0</v>
      </c>
      <c r="AW57" s="351">
        <v>0</v>
      </c>
    </row>
    <row r="58" spans="1:49" ht="16" x14ac:dyDescent="0.35">
      <c r="A58" s="332" t="s">
        <v>170</v>
      </c>
      <c r="B58" s="333">
        <v>7.365684575389948</v>
      </c>
      <c r="C58" s="334">
        <v>3</v>
      </c>
      <c r="D58" s="335">
        <v>0.65107895659139836</v>
      </c>
      <c r="E58" s="334">
        <v>3</v>
      </c>
      <c r="F58" s="335">
        <v>4.3358534020928256E-2</v>
      </c>
      <c r="G58" s="334">
        <v>3</v>
      </c>
      <c r="H58" s="335">
        <v>3.4514429351766809E-2</v>
      </c>
      <c r="I58" s="334">
        <v>3</v>
      </c>
      <c r="J58" s="336">
        <f>MIN(15,CountyScoresTbl[[#This Row],[Housing Affordability Points]]+CountyScoresTbl[[#This Row],[Percent of Low-Income Renter households Points]]+CountyScoresTbl[[#This Row],[Percent of Overcrowded Renter Households Points]]+CountyScoresTbl[[#This Row],[Rental Vacancy Rate Points]])</f>
        <v>12</v>
      </c>
      <c r="K58" s="337">
        <v>0.75755796718147839</v>
      </c>
      <c r="L58" s="352">
        <v>4</v>
      </c>
      <c r="M58" s="335">
        <v>2.8564132222714606E-2</v>
      </c>
      <c r="N58" s="334">
        <v>1</v>
      </c>
      <c r="O58" s="339">
        <v>0.34120052577771287</v>
      </c>
      <c r="P58" s="334">
        <v>2</v>
      </c>
      <c r="Q58" s="335">
        <v>6.3093325544033886E-3</v>
      </c>
      <c r="R58" s="334">
        <v>2</v>
      </c>
      <c r="S58" s="340">
        <f>ROUND(CountyScoresTbl[[#This Row],[Age of Housing Stock Points]],0)+
ROUND(CountyScoresTbl[[#This Row],[Percent of Homeowners in Poverty Points]],0)+
ROUND(CountyScoresTbl[[#This Row],[Percent of Low-Income Homeowners Points]],0)+
ROUND(CountyScoresTbl[[#This Row],[Percent of Overcrowded Homeowners Points]],0)</f>
        <v>9</v>
      </c>
      <c r="T58" s="341">
        <v>1.4039913700107876</v>
      </c>
      <c r="U58" s="342">
        <v>10</v>
      </c>
      <c r="V58" s="495">
        <v>840000</v>
      </c>
      <c r="W58" s="495">
        <v>829900</v>
      </c>
      <c r="X58" s="495">
        <v>804758</v>
      </c>
      <c r="Y58" s="343">
        <f>AVERAGE(CountyScoresTbl[[#This Row],[Redfin.com 
Median Sales Price]:[Zillow.com Median Sales Price]])</f>
        <v>824886</v>
      </c>
      <c r="Z58" s="344">
        <v>2546</v>
      </c>
      <c r="AA58" s="342" cm="1">
        <f t="array" ref="AA58">IF(INDEX(CHMATbl[NEW CONSTRUCTION OR AQUIRE/REHAB],ROW(A56),1)="",
INDEX(CHMATbl[UNRESTRICTED UNITS],ROW(A56),1)+
INDEX(CHMATbl[MANUFACTURED UNITS],ROW(A56),1)+
INDEX(CHMATbl[RURAL UNITS],ROW(A56),1)+
INDEX(CHMATbl[MANUFACTURED AND RURAL UNITS],ROW(A56),1),
0)</f>
        <v>0</v>
      </c>
      <c r="AB58" s="473" cm="1">
        <f t="array" ref="AB58">IF(INDEX(CHMATbl[NEW CONSTRUCTION OR AQUIRE/REHAB],ROW(A56),1)="",
INDEX(S1MATbl[UNRESTRICTED UNITS],ROW(A56),1)+
INDEX(S1MATbl[RURAL UNITS],ROW(A56),1),
0)</f>
        <v>0</v>
      </c>
      <c r="AC58" s="345">
        <f>IFERROR(
CountyScoresTbl[[#This Row],[Affordable Single Family Homes Sold In Last Year
(Zillow.com)]]/CountyScoresTbl[[#This Row],[CalHome Proposed Number of Loans (entered by Applicant)]],
0)</f>
        <v>0</v>
      </c>
      <c r="AD58" s="345">
        <f>IFERROR(
CountyScoresTbl[[#This Row],[Affordable Single Family Homes Sold In Last Year
(Zillow.com)]]/CountyScoresTbl[[#This Row],[Serna Proposed Number of Loans (entered by Applicant)]],
0)</f>
        <v>0</v>
      </c>
      <c r="AE58" s="342">
        <f t="shared" si="2"/>
        <v>2</v>
      </c>
      <c r="AF58" s="373">
        <f t="shared" si="3"/>
        <v>2</v>
      </c>
      <c r="AG58" s="346">
        <f>CountyScoresTbl[[#This Row],[Median Owner Renter Cost Ratio Points]]+CountyScoresTbl[[#This Row],[CalHome Proposed Loans to Sales Ratio Points]]</f>
        <v>12</v>
      </c>
      <c r="AH58" s="375">
        <f>CountyScoresTbl[[#This Row],[Median Owner Renter Cost Ratio Points]]+CountyScoresTbl[[#This Row],[Serna Proposed Loans to Sales Ratio Points]]</f>
        <v>12</v>
      </c>
      <c r="AI58" s="347">
        <f>CountyScoresTbl[[#This Row],[Age of Housing Stock]]</f>
        <v>0.75755796718147839</v>
      </c>
      <c r="AJ58" s="345">
        <v>7.7586206896551726</v>
      </c>
      <c r="AK58" s="348">
        <f>CountyScoresTbl[[#This Row],[Percent of Overcrowded Homeowners]]</f>
        <v>6.3093325544033886E-3</v>
      </c>
      <c r="AL58" s="345">
        <v>3.7931034482758621</v>
      </c>
      <c r="AM58" s="346">
        <v>12</v>
      </c>
      <c r="AN58" s="347">
        <v>0.39480159950784371</v>
      </c>
      <c r="AO58" s="342">
        <v>9</v>
      </c>
      <c r="AP58" s="348">
        <f>CountyScoresTbl[[#This Row],[Rental Vacancy Rate]]</f>
        <v>3.4514429351766809E-2</v>
      </c>
      <c r="AQ58" s="342">
        <v>9</v>
      </c>
      <c r="AR58" s="346">
        <v>12</v>
      </c>
      <c r="AS58" s="349">
        <f>CountyScoresTbl[[#This Row],[Median Owner to Renter Cost Ratio]]</f>
        <v>1.4039913700107876</v>
      </c>
      <c r="AT58" s="342">
        <v>5</v>
      </c>
      <c r="AU58" s="346">
        <v>20</v>
      </c>
      <c r="AV58" s="350">
        <v>0</v>
      </c>
      <c r="AW58" s="351">
        <v>0</v>
      </c>
    </row>
    <row r="59" spans="1:49" ht="16" x14ac:dyDescent="0.35">
      <c r="A59" s="332" t="s">
        <v>171</v>
      </c>
      <c r="B59" s="333">
        <v>5.9568480300187616</v>
      </c>
      <c r="C59" s="334">
        <v>2</v>
      </c>
      <c r="D59" s="335">
        <v>0.70163979988882708</v>
      </c>
      <c r="E59" s="334">
        <v>4</v>
      </c>
      <c r="F59" s="335">
        <v>2.4458032240133407E-2</v>
      </c>
      <c r="G59" s="334">
        <v>2</v>
      </c>
      <c r="H59" s="335">
        <v>2.4932249322493227E-2</v>
      </c>
      <c r="I59" s="334">
        <v>4</v>
      </c>
      <c r="J59" s="336">
        <f>MIN(15,CountyScoresTbl[[#This Row],[Housing Affordability Points]]+CountyScoresTbl[[#This Row],[Percent of Low-Income Renter households Points]]+CountyScoresTbl[[#This Row],[Percent of Overcrowded Renter Households Points]]+CountyScoresTbl[[#This Row],[Rental Vacancy Rate Points]])</f>
        <v>12</v>
      </c>
      <c r="K59" s="337">
        <v>0.59490595611285269</v>
      </c>
      <c r="L59" s="352">
        <v>2</v>
      </c>
      <c r="M59" s="335">
        <v>3.7397676260892528E-2</v>
      </c>
      <c r="N59" s="334">
        <v>2</v>
      </c>
      <c r="O59" s="339">
        <v>0.26282134934098916</v>
      </c>
      <c r="P59" s="334">
        <v>1</v>
      </c>
      <c r="Q59" s="335">
        <v>3.9149158293096701E-3</v>
      </c>
      <c r="R59" s="334">
        <v>1</v>
      </c>
      <c r="S59" s="340">
        <f>ROUND(CountyScoresTbl[[#This Row],[Age of Housing Stock Points]],0)+
ROUND(CountyScoresTbl[[#This Row],[Percent of Homeowners in Poverty Points]],0)+
ROUND(CountyScoresTbl[[#This Row],[Percent of Low-Income Homeowners Points]],0)+
ROUND(CountyScoresTbl[[#This Row],[Percent of Overcrowded Homeowners Points]],0)</f>
        <v>6</v>
      </c>
      <c r="T59" s="341">
        <v>1.6544923301680059</v>
      </c>
      <c r="U59" s="342">
        <v>4</v>
      </c>
      <c r="V59" s="495">
        <v>522500</v>
      </c>
      <c r="W59" s="495">
        <v>577500</v>
      </c>
      <c r="X59" s="495">
        <v>585351</v>
      </c>
      <c r="Y59" s="343">
        <f>AVERAGE(CountyScoresTbl[[#This Row],[Redfin.com 
Median Sales Price]:[Zillow.com Median Sales Price]])</f>
        <v>561783.66666666663</v>
      </c>
      <c r="Z59" s="344">
        <v>720</v>
      </c>
      <c r="AA59" s="342" cm="1">
        <f t="array" ref="AA59">IF(INDEX(CHMATbl[NEW CONSTRUCTION OR AQUIRE/REHAB],ROW(A57),1)="",
INDEX(CHMATbl[UNRESTRICTED UNITS],ROW(A57),1)+
INDEX(CHMATbl[MANUFACTURED UNITS],ROW(A57),1)+
INDEX(CHMATbl[RURAL UNITS],ROW(A57),1)+
INDEX(CHMATbl[MANUFACTURED AND RURAL UNITS],ROW(A57),1),
0)</f>
        <v>0</v>
      </c>
      <c r="AB59" s="473" cm="1">
        <f t="array" ref="AB59">IF(INDEX(CHMATbl[NEW CONSTRUCTION OR AQUIRE/REHAB],ROW(A57),1)="",
INDEX(S1MATbl[UNRESTRICTED UNITS],ROW(A57),1)+
INDEX(S1MATbl[RURAL UNITS],ROW(A57),1),
0)</f>
        <v>0</v>
      </c>
      <c r="AC59" s="345">
        <f>IFERROR(
CountyScoresTbl[[#This Row],[Affordable Single Family Homes Sold In Last Year
(Zillow.com)]]/CountyScoresTbl[[#This Row],[CalHome Proposed Number of Loans (entered by Applicant)]],
0)</f>
        <v>0</v>
      </c>
      <c r="AD59" s="345">
        <f>IFERROR(
CountyScoresTbl[[#This Row],[Affordable Single Family Homes Sold In Last Year
(Zillow.com)]]/CountyScoresTbl[[#This Row],[Serna Proposed Number of Loans (entered by Applicant)]],
0)</f>
        <v>0</v>
      </c>
      <c r="AE59" s="342">
        <f t="shared" si="2"/>
        <v>2</v>
      </c>
      <c r="AF59" s="373">
        <f t="shared" si="3"/>
        <v>2</v>
      </c>
      <c r="AG59" s="346">
        <f>CountyScoresTbl[[#This Row],[Median Owner Renter Cost Ratio Points]]+CountyScoresTbl[[#This Row],[CalHome Proposed Loans to Sales Ratio Points]]</f>
        <v>6</v>
      </c>
      <c r="AH59" s="375">
        <f>CountyScoresTbl[[#This Row],[Median Owner Renter Cost Ratio Points]]+CountyScoresTbl[[#This Row],[Serna Proposed Loans to Sales Ratio Points]]</f>
        <v>6</v>
      </c>
      <c r="AI59" s="347">
        <f>CountyScoresTbl[[#This Row],[Age of Housing Stock]]</f>
        <v>0.59490595611285269</v>
      </c>
      <c r="AJ59" s="345">
        <v>3.103448275862069</v>
      </c>
      <c r="AK59" s="348">
        <f>CountyScoresTbl[[#This Row],[Percent of Overcrowded Homeowners]]</f>
        <v>3.9149158293096701E-3</v>
      </c>
      <c r="AL59" s="345">
        <v>2.2413793103448274</v>
      </c>
      <c r="AM59" s="346">
        <v>8</v>
      </c>
      <c r="AN59" s="347">
        <v>0.41057635175282237</v>
      </c>
      <c r="AO59" s="342">
        <v>12</v>
      </c>
      <c r="AP59" s="348">
        <f>CountyScoresTbl[[#This Row],[Rental Vacancy Rate]]</f>
        <v>2.4932249322493227E-2</v>
      </c>
      <c r="AQ59" s="342">
        <v>12</v>
      </c>
      <c r="AR59" s="346">
        <v>18</v>
      </c>
      <c r="AS59" s="349">
        <f>CountyScoresTbl[[#This Row],[Median Owner to Renter Cost Ratio]]</f>
        <v>1.6544923301680059</v>
      </c>
      <c r="AT59" s="342">
        <v>2</v>
      </c>
      <c r="AU59" s="346">
        <v>17</v>
      </c>
      <c r="AV59" s="350">
        <v>2</v>
      </c>
      <c r="AW59" s="351">
        <v>20</v>
      </c>
    </row>
    <row r="60" spans="1:49" ht="16.5" thickBot="1" x14ac:dyDescent="0.4">
      <c r="A60" s="353" t="s">
        <v>172</v>
      </c>
      <c r="B60" s="354">
        <v>5.4171855541718559</v>
      </c>
      <c r="C60" s="355">
        <v>2</v>
      </c>
      <c r="D60" s="356">
        <v>0.63479096588178763</v>
      </c>
      <c r="E60" s="355">
        <v>2</v>
      </c>
      <c r="F60" s="356">
        <v>3.0754444978375782E-2</v>
      </c>
      <c r="G60" s="355">
        <v>3</v>
      </c>
      <c r="H60" s="356">
        <v>4.7597254004576657E-2</v>
      </c>
      <c r="I60" s="355">
        <v>2</v>
      </c>
      <c r="J60" s="357">
        <f>MIN(15,CountyScoresTbl[[#This Row],[Housing Affordability Points]]+CountyScoresTbl[[#This Row],[Percent of Low-Income Renter households Points]]+CountyScoresTbl[[#This Row],[Percent of Overcrowded Renter Households Points]]+CountyScoresTbl[[#This Row],[Rental Vacancy Rate Points]])</f>
        <v>9</v>
      </c>
      <c r="K60" s="358">
        <v>0.55286220399030395</v>
      </c>
      <c r="L60" s="359">
        <v>1</v>
      </c>
      <c r="M60" s="356">
        <v>5.594812536370438E-2</v>
      </c>
      <c r="N60" s="355">
        <v>3</v>
      </c>
      <c r="O60" s="360">
        <v>0.30501567398119123</v>
      </c>
      <c r="P60" s="355">
        <v>2</v>
      </c>
      <c r="Q60" s="356">
        <v>7.2100313479623824E-3</v>
      </c>
      <c r="R60" s="355">
        <v>3</v>
      </c>
      <c r="S60" s="357">
        <f>ROUND(CountyScoresTbl[[#This Row],[Age of Housing Stock Points]],0)+
ROUND(CountyScoresTbl[[#This Row],[Percent of Homeowners in Poverty Points]],0)+
ROUND(CountyScoresTbl[[#This Row],[Percent of Low-Income Homeowners Points]],0)+
ROUND(CountyScoresTbl[[#This Row],[Percent of Overcrowded Homeowners Points]],0)</f>
        <v>9</v>
      </c>
      <c r="T60" s="361">
        <v>1.7320197044334975</v>
      </c>
      <c r="U60" s="362">
        <v>2</v>
      </c>
      <c r="V60" s="363">
        <v>425000</v>
      </c>
      <c r="W60" s="363">
        <v>432000</v>
      </c>
      <c r="X60" s="363">
        <v>387397</v>
      </c>
      <c r="Y60" s="363">
        <f>AVERAGE(CountyScoresTbl[[#This Row],[Redfin.com 
Median Sales Price]:[Zillow.com Median Sales Price]])</f>
        <v>414799</v>
      </c>
      <c r="Z60" s="364">
        <v>585</v>
      </c>
      <c r="AA60" s="362" cm="1">
        <f t="array" ref="AA60">IF(INDEX(CHMATbl[NEW CONSTRUCTION OR AQUIRE/REHAB],ROW(A58),1)="",
INDEX(CHMATbl[UNRESTRICTED UNITS],ROW(A58),1)+
INDEX(CHMATbl[MANUFACTURED UNITS],ROW(A58),1)+
INDEX(CHMATbl[RURAL UNITS],ROW(A58),1)+
INDEX(CHMATbl[MANUFACTURED AND RURAL UNITS],ROW(A58),1),
0)</f>
        <v>0</v>
      </c>
      <c r="AB60" s="513" cm="1">
        <f t="array" ref="AB60">IF(INDEX(CHMATbl[NEW CONSTRUCTION OR AQUIRE/REHAB],ROW(A58),1)="",
INDEX(S1MATbl[UNRESTRICTED UNITS],ROW(A58),1)+
INDEX(S1MATbl[RURAL UNITS],ROW(A58),1),
0)</f>
        <v>0</v>
      </c>
      <c r="AC60" s="365">
        <f>IFERROR(
CountyScoresTbl[[#This Row],[Affordable Single Family Homes Sold In Last Year
(Zillow.com)]]/CountyScoresTbl[[#This Row],[CalHome Proposed Number of Loans (entered by Applicant)]],
0)</f>
        <v>0</v>
      </c>
      <c r="AD60" s="365">
        <f>IFERROR(
CountyScoresTbl[[#This Row],[Affordable Single Family Homes Sold In Last Year
(Zillow.com)]]/CountyScoresTbl[[#This Row],[Serna Proposed Number of Loans (entered by Applicant)]],
0)</f>
        <v>0</v>
      </c>
      <c r="AE60" s="362">
        <f t="shared" si="2"/>
        <v>2</v>
      </c>
      <c r="AF60" s="374">
        <f t="shared" si="3"/>
        <v>2</v>
      </c>
      <c r="AG60" s="366">
        <f>CountyScoresTbl[[#This Row],[Median Owner Renter Cost Ratio Points]]+CountyScoresTbl[[#This Row],[CalHome Proposed Loans to Sales Ratio Points]]</f>
        <v>4</v>
      </c>
      <c r="AH60" s="376">
        <f>CountyScoresTbl[[#This Row],[Median Owner Renter Cost Ratio Points]]+CountyScoresTbl[[#This Row],[Serna Proposed Loans to Sales Ratio Points]]</f>
        <v>4</v>
      </c>
      <c r="AI60" s="367">
        <f>CountyScoresTbl[[#This Row],[Age of Housing Stock]]</f>
        <v>0.55286220399030395</v>
      </c>
      <c r="AJ60" s="365">
        <v>1.5517241379310345</v>
      </c>
      <c r="AK60" s="368">
        <f>CountyScoresTbl[[#This Row],[Percent of Overcrowded Homeowners]]</f>
        <v>7.2100313479623824E-3</v>
      </c>
      <c r="AL60" s="365">
        <v>5.1724137931034484</v>
      </c>
      <c r="AM60" s="366">
        <v>8</v>
      </c>
      <c r="AN60" s="367">
        <v>0.33459500378501134</v>
      </c>
      <c r="AO60" s="362">
        <v>3</v>
      </c>
      <c r="AP60" s="368">
        <f>CountyScoresTbl[[#This Row],[Rental Vacancy Rate]]</f>
        <v>4.7597254004576657E-2</v>
      </c>
      <c r="AQ60" s="362">
        <v>6</v>
      </c>
      <c r="AR60" s="366">
        <v>8</v>
      </c>
      <c r="AS60" s="361">
        <f>CountyScoresTbl[[#This Row],[Median Owner to Renter Cost Ratio]]</f>
        <v>1.7320197044334975</v>
      </c>
      <c r="AT60" s="362">
        <v>2</v>
      </c>
      <c r="AU60" s="366">
        <v>16</v>
      </c>
      <c r="AV60" s="369">
        <v>0</v>
      </c>
      <c r="AW60" s="370">
        <v>0</v>
      </c>
    </row>
  </sheetData>
  <sheetProtection algorithmName="SHA-512" hashValue="HrP/3/VNz41fxtAemSSrV/IAKypOCsxoqge30bNugbsiS2ttQNlQTYdM0L95b3VEsoFrO8J30dyy3zENt2NpsA==" saltValue="UInLqk++Do0xNon8Wy304A==" spinCount="100000" sheet="1" objects="1" scenarios="1"/>
  <mergeCells count="1">
    <mergeCell ref="T1:AH1"/>
  </mergeCells>
  <phoneticPr fontId="6" type="noConversion"/>
  <hyperlinks>
    <hyperlink ref="V3" r:id="rId1" display="https://www.redfin.com/county/303/CA/Alameda-County/housing-market" xr:uid="{00000000-0004-0000-0600-000000000000}"/>
    <hyperlink ref="V4" r:id="rId2" display="https://www.redfin.com/county/304/CA/Alpine-County/housing-market" xr:uid="{00000000-0004-0000-0600-000001000000}"/>
    <hyperlink ref="V5" r:id="rId3" display="https://www.redfin.com/county/305/CA/Amador-County/housing-market" xr:uid="{00000000-0004-0000-0600-000002000000}"/>
    <hyperlink ref="V6" r:id="rId4" display="https://www.redfin.com/county/306/CA/Butte-County/housing-market" xr:uid="{00000000-0004-0000-0600-000003000000}"/>
    <hyperlink ref="V7" r:id="rId5" display="https://www.redfin.com/county/307/CA/Calaveras-County/housing-market" xr:uid="{00000000-0004-0000-0600-000004000000}"/>
    <hyperlink ref="V8" r:id="rId6" display="https://www.redfin.com/county/308/CA/Colusa-County/housing-market" xr:uid="{00000000-0004-0000-0600-000005000000}"/>
    <hyperlink ref="V9" r:id="rId7" display="https://www.redfin.com/county/309/CA/Contra-Costa-County/housing-market" xr:uid="{00000000-0004-0000-0600-000006000000}"/>
    <hyperlink ref="V10" r:id="rId8" display="https://www.redfin.com/county/310/CA/Del-Norte-County/housing-market" xr:uid="{00000000-0004-0000-0600-000007000000}"/>
    <hyperlink ref="V11" r:id="rId9" display="https://www.redfin.com/county/311/CA/El-Dorado-County/housing-market" xr:uid="{00000000-0004-0000-0600-000008000000}"/>
    <hyperlink ref="V12" r:id="rId10" display="https://www.redfin.com/county/312/CA/Fresno-County/housing-market" xr:uid="{00000000-0004-0000-0600-000009000000}"/>
    <hyperlink ref="V13" r:id="rId11" display="https://www.redfin.com/county/313/CA/Glenn-County/housing-market" xr:uid="{00000000-0004-0000-0600-00000A000000}"/>
    <hyperlink ref="V14" r:id="rId12" display="https://www.redfin.com/county/314/CA/Humboldt-County/housing-market" xr:uid="{00000000-0004-0000-0600-00000B000000}"/>
    <hyperlink ref="V15" r:id="rId13" display="https://www.redfin.com/county/315/CA/Imperial-County/housing-market" xr:uid="{00000000-0004-0000-0600-00000C000000}"/>
    <hyperlink ref="V16" r:id="rId14" display="https://www.redfin.com/county/316/CA/Inyo-County/housing-market" xr:uid="{00000000-0004-0000-0600-00000D000000}"/>
    <hyperlink ref="V17" r:id="rId15" display="https://www.redfin.com/county/317/CA/Kern-County/housing-market" xr:uid="{00000000-0004-0000-0600-00000E000000}"/>
    <hyperlink ref="V18" r:id="rId16" display="https://www.redfin.com/county/318/CA/Kings-County/housing-market" xr:uid="{00000000-0004-0000-0600-00000F000000}"/>
    <hyperlink ref="V19" r:id="rId17" display="https://www.redfin.com/county/319/CA/Lake-County/housing-market" xr:uid="{00000000-0004-0000-0600-000010000000}"/>
    <hyperlink ref="V20" r:id="rId18" display="https://www.redfin.com/county/320/CA/Lassen-County/housing-market" xr:uid="{00000000-0004-0000-0600-000011000000}"/>
    <hyperlink ref="V21" r:id="rId19" display="https://www.redfin.com/county/321/CA/Los-Angeles-County/housing-market" xr:uid="{00000000-0004-0000-0600-000012000000}"/>
    <hyperlink ref="V22" r:id="rId20" display="https://www.redfin.com/county/322/CA/Madera-County/housing-market" xr:uid="{00000000-0004-0000-0600-000013000000}"/>
    <hyperlink ref="V23" r:id="rId21" display="https://www.redfin.com/county/323/CA/Marin-County/housing-market" xr:uid="{00000000-0004-0000-0600-000014000000}"/>
    <hyperlink ref="V24" r:id="rId22" display="https://www.redfin.com/county/324/CA/Mariposa-County/housing-market" xr:uid="{00000000-0004-0000-0600-000015000000}"/>
    <hyperlink ref="V25" r:id="rId23" display="https://www.redfin.com/county/325/CA/Mendocino-County/housing-market" xr:uid="{00000000-0004-0000-0600-000016000000}"/>
    <hyperlink ref="V26" r:id="rId24" display="https://www.redfin.com/county/326/CA/Merced-County/housing-market" xr:uid="{00000000-0004-0000-0600-000017000000}"/>
    <hyperlink ref="V27" r:id="rId25" display="https://www.redfin.com/county/327/CA/Modoc-County/housing-market" xr:uid="{00000000-0004-0000-0600-000018000000}"/>
    <hyperlink ref="V28" r:id="rId26" display="https://www.redfin.com/county/328/CA/Mono-County/housing-market" xr:uid="{00000000-0004-0000-0600-000019000000}"/>
    <hyperlink ref="V29" r:id="rId27" display="https://www.redfin.com/county/329/CA/Monterey-County/housing-market" xr:uid="{00000000-0004-0000-0600-00001A000000}"/>
    <hyperlink ref="V30" r:id="rId28" display="https://www.redfin.com/county/330/CA/Napa-County/housing-market" xr:uid="{00000000-0004-0000-0600-00001B000000}"/>
    <hyperlink ref="V31" r:id="rId29" display="https://www.redfin.com/county/331/CA/Nevada-County/housing-market" xr:uid="{00000000-0004-0000-0600-00001C000000}"/>
    <hyperlink ref="V32" r:id="rId30" display="https://www.redfin.com/county/332/CA/Orange-County/housing-market" xr:uid="{00000000-0004-0000-0600-00001D000000}"/>
    <hyperlink ref="V33" r:id="rId31" display="https://www.redfin.com/county/333/CA/Placer-County/housing-market" xr:uid="{00000000-0004-0000-0600-00001E000000}"/>
    <hyperlink ref="V34" r:id="rId32" display="https://www.redfin.com/county/334/CA/Plumas-County/housing-market" xr:uid="{00000000-0004-0000-0600-00001F000000}"/>
    <hyperlink ref="V35" r:id="rId33" display="https://www.redfin.com/county/335/CA/Riverside-County/housing-market" xr:uid="{00000000-0004-0000-0600-000020000000}"/>
    <hyperlink ref="V36" r:id="rId34" display="https://www.redfin.com/county/336/CA/Sacramento-County/housing-market" xr:uid="{00000000-0004-0000-0600-000021000000}"/>
    <hyperlink ref="V37" r:id="rId35" display="https://www.redfin.com/county/337/CA/San-Benito-County/housing-market" xr:uid="{00000000-0004-0000-0600-000022000000}"/>
    <hyperlink ref="V38" r:id="rId36" display="https://www.redfin.com/county/338/CA/San-Bernardino-County/housing-market" xr:uid="{00000000-0004-0000-0600-000023000000}"/>
    <hyperlink ref="V39" r:id="rId37" display="https://www.redfin.com/county/339/CA/San-Diego-County/housing-market" xr:uid="{00000000-0004-0000-0600-000024000000}"/>
    <hyperlink ref="V40" r:id="rId38" display="https://www.redfin.com/county/340/CA/San-Francisco-County/housing-market" xr:uid="{00000000-0004-0000-0600-000025000000}"/>
    <hyperlink ref="V41" r:id="rId39" display="https://www.redfin.com/county/341/CA/San-Joaquin-County/housing-market" xr:uid="{00000000-0004-0000-0600-000026000000}"/>
    <hyperlink ref="V42" r:id="rId40" display="https://www.redfin.com/county/342/CA/San-Luis-Obispo-County/housing-market" xr:uid="{00000000-0004-0000-0600-000027000000}"/>
    <hyperlink ref="V43" r:id="rId41" display="https://www.redfin.com/county/343/CA/San-Mateo-County/housing-market" xr:uid="{00000000-0004-0000-0600-000028000000}"/>
    <hyperlink ref="V44" r:id="rId42" display="https://www.redfin.com/county/344/CA/Santa-Barbara-County/housing-market" xr:uid="{00000000-0004-0000-0600-000029000000}"/>
    <hyperlink ref="V45" r:id="rId43" display="https://www.redfin.com/county/345/CA/Santa-Clara-County/housing-market" xr:uid="{00000000-0004-0000-0600-00002A000000}"/>
    <hyperlink ref="V46" r:id="rId44" display="https://www.redfin.com/county/346/CA/Santa-Cruz-County/housing-market" xr:uid="{00000000-0004-0000-0600-00002B000000}"/>
    <hyperlink ref="V47" r:id="rId45" display="https://www.redfin.com/county/347/CA/Shasta-County/housing-market" xr:uid="{00000000-0004-0000-0600-00002C000000}"/>
    <hyperlink ref="V48" r:id="rId46" display="https://www.redfin.com/county/348/CA/Sierra-County/housing-market" xr:uid="{00000000-0004-0000-0600-00002D000000}"/>
    <hyperlink ref="V49" r:id="rId47" display="https://www.redfin.com/county/349/CA/Siskiyou-County/housing-market" xr:uid="{00000000-0004-0000-0600-00002E000000}"/>
    <hyperlink ref="V50" r:id="rId48" display="https://www.redfin.com/county/350/CA/Solano-County/housing-market" xr:uid="{00000000-0004-0000-0600-00002F000000}"/>
    <hyperlink ref="V51" r:id="rId49" display="https://www.redfin.com/county/351/CA/Sonoma-County/housing-market" xr:uid="{00000000-0004-0000-0600-000030000000}"/>
    <hyperlink ref="V52" r:id="rId50" display="https://www.redfin.com/county/352/CA/Stanislaus-County/housing-market" xr:uid="{00000000-0004-0000-0600-000031000000}"/>
    <hyperlink ref="V53" r:id="rId51" display="https://www.redfin.com/county/353/CA/Sutter-County/housing-market" xr:uid="{00000000-0004-0000-0600-000032000000}"/>
    <hyperlink ref="V54" r:id="rId52" display="https://www.redfin.com/county/354/CA/Tehama-County/housing-market" xr:uid="{00000000-0004-0000-0600-000033000000}"/>
    <hyperlink ref="V55" r:id="rId53" display="https://www.redfin.com/county/355/CA/Trinity-County/housing-market" xr:uid="{00000000-0004-0000-0600-000034000000}"/>
    <hyperlink ref="V56" r:id="rId54" display="https://www.redfin.com/county/356/CA/Tulare-County/housing-market" xr:uid="{00000000-0004-0000-0600-000035000000}"/>
    <hyperlink ref="V57" r:id="rId55" display="https://www.redfin.com/county/357/CA/Tuolumne-County/housing-market" xr:uid="{00000000-0004-0000-0600-000036000000}"/>
    <hyperlink ref="V58" r:id="rId56" display="https://www.redfin.com/county/358/CA/Ventura-County/housing-market" xr:uid="{00000000-0004-0000-0600-000037000000}"/>
    <hyperlink ref="V59" r:id="rId57" display="https://www.redfin.com/county/359/CA/Yolo-County/housing-market" xr:uid="{00000000-0004-0000-0600-000038000000}"/>
    <hyperlink ref="V60" r:id="rId58" display="https://www.redfin.com/county/360/CA/Yuba-County/housing-market" xr:uid="{00000000-0004-0000-0600-000039000000}"/>
    <hyperlink ref="W60" r:id="rId59" display="https://www.realtor.com/realestateandhomes-search/Yuba-County_CA/overview" xr:uid="{00000000-0004-0000-0600-00003A000000}"/>
    <hyperlink ref="W59" r:id="rId60" display="https://www.realtor.com/realestateandhomes-search/Yolo-County_CA/overview" xr:uid="{00000000-0004-0000-0600-00003B000000}"/>
    <hyperlink ref="W58" r:id="rId61" display="https://www.realtor.com/realestateandhomes-search/Ventura-County_CA/overview" xr:uid="{00000000-0004-0000-0600-00003C000000}"/>
    <hyperlink ref="W57" r:id="rId62" display="https://www.realtor.com/realestateandhomes-search/Tuolumne-County_CA/overview" xr:uid="{00000000-0004-0000-0600-00003D000000}"/>
    <hyperlink ref="W56" r:id="rId63" display="https://www.realtor.com/realestateandhomes-search/Tulare-County_CA/overview" xr:uid="{00000000-0004-0000-0600-00003E000000}"/>
    <hyperlink ref="W55" r:id="rId64" display="https://www.realtor.com/realestateandhomes-search/Trinity-County_CA/overview" xr:uid="{00000000-0004-0000-0600-00003F000000}"/>
    <hyperlink ref="W54" r:id="rId65" display="https://www.realtor.com/realestateandhomes-search/Tehama-County_CA/overview" xr:uid="{00000000-0004-0000-0600-000040000000}"/>
    <hyperlink ref="W3" r:id="rId66" display="https://www.realtor.com/realestateandhomes-search/Alameda-County_CA/overview" xr:uid="{00000000-0004-0000-0600-000041000000}"/>
    <hyperlink ref="W4" r:id="rId67" display="https://www.realtor.com/realestateandhomes-search/Alpine-County_CA/overview" xr:uid="{00000000-0004-0000-0600-000042000000}"/>
    <hyperlink ref="W5" r:id="rId68" display="https://www.realtor.com/realestateandhomes-search/Amador-County_CA/overview" xr:uid="{00000000-0004-0000-0600-000043000000}"/>
    <hyperlink ref="W6" r:id="rId69" display="https://www.realtor.com/realestateandhomes-search/Butte-County_CA/overview" xr:uid="{00000000-0004-0000-0600-000044000000}"/>
    <hyperlink ref="W7" r:id="rId70" display="https://www.realtor.com/realestateandhomes-search/Calaveras-County_CA/overview" xr:uid="{00000000-0004-0000-0600-000045000000}"/>
    <hyperlink ref="W8" r:id="rId71" display="https://www.realtor.com/realestateandhomes-search/Colusa-County_CA/overview" xr:uid="{00000000-0004-0000-0600-000046000000}"/>
    <hyperlink ref="W9" r:id="rId72" display="https://www.realtor.com/realestateandhomes-search/Contra-Costa-County_CA/overview" xr:uid="{00000000-0004-0000-0600-000047000000}"/>
    <hyperlink ref="W10" r:id="rId73" display="https://www.realtor.com/realestateandhomes-search/Del-Norte-County_CA/overview" xr:uid="{00000000-0004-0000-0600-000048000000}"/>
    <hyperlink ref="W11" r:id="rId74" display="https://www.realtor.com/realestateandhomes-search/El-Dorado-County_CA/overview" xr:uid="{00000000-0004-0000-0600-000049000000}"/>
    <hyperlink ref="W12" r:id="rId75" display="https://www.realtor.com/realestateandhomes-search/Fresno-County_CA/overview" xr:uid="{00000000-0004-0000-0600-00004A000000}"/>
    <hyperlink ref="W13" r:id="rId76" display="https://www.realtor.com/realestateandhomes-search/Glenn-County_CA/overview" xr:uid="{00000000-0004-0000-0600-00004B000000}"/>
    <hyperlink ref="W14" r:id="rId77" display="https://www.realtor.com/realestateandhomes-search/Humboldt-County_CA/overview" xr:uid="{00000000-0004-0000-0600-00004C000000}"/>
    <hyperlink ref="W15" r:id="rId78" display="https://www.realtor.com/realestateandhomes-search/Imperial-County_CA/overview" xr:uid="{00000000-0004-0000-0600-00004D000000}"/>
    <hyperlink ref="W16" r:id="rId79" display="https://www.realtor.com/realestateandhomes-search/Inyo-County_CA/overview" xr:uid="{00000000-0004-0000-0600-00004E000000}"/>
    <hyperlink ref="W17" r:id="rId80" display="https://www.realtor.com/realestateandhomes-search/Kern-County_CA/overview" xr:uid="{00000000-0004-0000-0600-00004F000000}"/>
    <hyperlink ref="W18" r:id="rId81" display="https://www.realtor.com/realestateandhomes-search/Kings-County_CA/overview" xr:uid="{00000000-0004-0000-0600-000050000000}"/>
    <hyperlink ref="W19" r:id="rId82" display="https://www.realtor.com/realestateandhomes-search/Lake-County_CA/overview" xr:uid="{00000000-0004-0000-0600-000051000000}"/>
    <hyperlink ref="W20" r:id="rId83" display="https://www.realtor.com/realestateandhomes-search/Lassen-County_CA/overview" xr:uid="{00000000-0004-0000-0600-000052000000}"/>
    <hyperlink ref="W21" r:id="rId84" display="https://www.realtor.com/realestateandhomes-search/Los-Angeles-County_CA/overview" xr:uid="{00000000-0004-0000-0600-000053000000}"/>
    <hyperlink ref="W22" r:id="rId85" display="https://www.realtor.com/realestateandhomes-search/Madera-County_CA/overview" xr:uid="{00000000-0004-0000-0600-000054000000}"/>
    <hyperlink ref="W23" r:id="rId86" display="https://www.realtor.com/realestateandhomes-search/Marin-County_CA/overview" xr:uid="{00000000-0004-0000-0600-000055000000}"/>
    <hyperlink ref="W24" r:id="rId87" display="https://www.realtor.com/realestateandhomes-search/Mariposa-County_CA/overview" xr:uid="{00000000-0004-0000-0600-000056000000}"/>
    <hyperlink ref="W25" r:id="rId88" display="https://www.realtor.com/realestateandhomes-search/Mendocino-County_CA/overview" xr:uid="{00000000-0004-0000-0600-000057000000}"/>
    <hyperlink ref="W26" r:id="rId89" display="https://www.realtor.com/realestateandhomes-search/Merced-County_CA/overview" xr:uid="{00000000-0004-0000-0600-000058000000}"/>
    <hyperlink ref="W27" r:id="rId90" display="https://www.realtor.com/realestateandhomes-search/Modoc-County_CA/overview" xr:uid="{00000000-0004-0000-0600-000059000000}"/>
    <hyperlink ref="W28" r:id="rId91" display="https://www.realtor.com/realestateandhomes-search/Mono-County_CA/overview" xr:uid="{00000000-0004-0000-0600-00005A000000}"/>
    <hyperlink ref="W29" r:id="rId92" display="https://www.realtor.com/realestateandhomes-search/Monterey-County_CA/overview" xr:uid="{00000000-0004-0000-0600-00005B000000}"/>
    <hyperlink ref="W30" r:id="rId93" display="https://www.realtor.com/realestateandhomes-search/Napa-County_CA/overview" xr:uid="{00000000-0004-0000-0600-00005C000000}"/>
    <hyperlink ref="W31" r:id="rId94" display="https://www.realtor.com/realestateandhomes-search/Nevada-County_CA/overview" xr:uid="{00000000-0004-0000-0600-00005D000000}"/>
    <hyperlink ref="W32" r:id="rId95" display="https://www.realtor.com/realestateandhomes-search/Orange-County_CA/overview" xr:uid="{00000000-0004-0000-0600-00005E000000}"/>
    <hyperlink ref="W33" r:id="rId96" display="https://www.realtor.com/realestateandhomes-search/Placer-County_CA/overview" xr:uid="{00000000-0004-0000-0600-00005F000000}"/>
    <hyperlink ref="W34" r:id="rId97" display="https://www.realtor.com/realestateandhomes-search/Plumas-County_CA/overview" xr:uid="{00000000-0004-0000-0600-000060000000}"/>
    <hyperlink ref="W35" r:id="rId98" display="https://www.realtor.com/realestateandhomes-search/Riverside-County_CA/overview" xr:uid="{00000000-0004-0000-0600-000061000000}"/>
    <hyperlink ref="W36" r:id="rId99" display="https://www.realtor.com/realestateandhomes-search/Sacramento-County_CA/overview" xr:uid="{00000000-0004-0000-0600-000062000000}"/>
    <hyperlink ref="W37" r:id="rId100" display="https://www.realtor.com/realestateandhomes-search/San-Benito-County_CA/overview" xr:uid="{00000000-0004-0000-0600-000063000000}"/>
    <hyperlink ref="W38" r:id="rId101" display="https://www.realtor.com/realestateandhomes-search/San-Bernardino-County_CA/overview" xr:uid="{00000000-0004-0000-0600-000064000000}"/>
    <hyperlink ref="W39" r:id="rId102" display="https://www.realtor.com/realestateandhomes-search/San-Diego-County_CA/overview" xr:uid="{00000000-0004-0000-0600-000065000000}"/>
    <hyperlink ref="W40" r:id="rId103" display="https://www.realtor.com/realestateandhomes-search/San-Francisco_CA/overview" xr:uid="{00000000-0004-0000-0600-000066000000}"/>
    <hyperlink ref="W41" r:id="rId104" display="https://www.realtor.com/realestateandhomes-search/San-Joaquin-County_CA/overview" xr:uid="{00000000-0004-0000-0600-000067000000}"/>
    <hyperlink ref="W42" r:id="rId105" display="https://www.realtor.com/realestateandhomes-search/San-Luis-Obispo-County_CA/overview" xr:uid="{00000000-0004-0000-0600-000068000000}"/>
    <hyperlink ref="W43" r:id="rId106" display="https://www.realtor.com/realestateandhomes-search/San-Mateo-County_CA/overview" xr:uid="{00000000-0004-0000-0600-000069000000}"/>
    <hyperlink ref="W44" r:id="rId107" display="https://www.realtor.com/realestateandhomes-search/Santa-Barbara-County_CA/overview" xr:uid="{00000000-0004-0000-0600-00006A000000}"/>
    <hyperlink ref="W45" r:id="rId108" display="https://www.realtor.com/realestateandhomes-search/Santa-Clara-County_CA/overview" xr:uid="{00000000-0004-0000-0600-00006B000000}"/>
    <hyperlink ref="W46" r:id="rId109" display="https://www.realtor.com/realestateandhomes-search/Santa-Cruz-County_CA/overview" xr:uid="{00000000-0004-0000-0600-00006C000000}"/>
    <hyperlink ref="W47" r:id="rId110" display="https://www.realtor.com/realestateandhomes-search/Shasta-County_CA/overview" xr:uid="{00000000-0004-0000-0600-00006D000000}"/>
    <hyperlink ref="W48" r:id="rId111" display="https://www.realtor.com/realestateandhomes-search/Sierra-County_CA/overview" xr:uid="{00000000-0004-0000-0600-00006E000000}"/>
    <hyperlink ref="W49" r:id="rId112" display="https://www.realtor.com/realestateandhomes-search/Siskiyou-County_CA/overview" xr:uid="{00000000-0004-0000-0600-00006F000000}"/>
    <hyperlink ref="W50" r:id="rId113" display="https://www.realtor.com/realestateandhomes-search/Solano-County_CA/overview" xr:uid="{00000000-0004-0000-0600-000070000000}"/>
    <hyperlink ref="W51" r:id="rId114" display="https://www.realtor.com/realestateandhomes-search/Sonoma-County_CA/overview" xr:uid="{00000000-0004-0000-0600-000071000000}"/>
    <hyperlink ref="W52" r:id="rId115" display="https://www.realtor.com/realestateandhomes-search/Stanislaus-County_CA/overview" xr:uid="{00000000-0004-0000-0600-000072000000}"/>
    <hyperlink ref="W53" r:id="rId116" display="https://www.realtor.com/realestateandhomes-search/Sutter-County_CA/overview" xr:uid="{00000000-0004-0000-0600-000073000000}"/>
    <hyperlink ref="X36" r:id="rId117" display="https://www.zillow.com/home-values/102001/united-states/" xr:uid="{00000000-0004-0000-0600-000074000000}"/>
    <hyperlink ref="X3" r:id="rId118" display="https://www.zillow.com/home-values/102001/united-states/" xr:uid="{00000000-0004-0000-0600-000075000000}"/>
    <hyperlink ref="X4" r:id="rId119" display="https://www.zillow.com/home-values/102001/united-states/" xr:uid="{00000000-0004-0000-0600-000076000000}"/>
    <hyperlink ref="X5" r:id="rId120" display="https://www.zillow.com/home-values/102001/united-states/" xr:uid="{00000000-0004-0000-0600-000077000000}"/>
    <hyperlink ref="X6" r:id="rId121" display="https://www.zillow.com/home-values/102001/united-states/" xr:uid="{00000000-0004-0000-0600-000078000000}"/>
    <hyperlink ref="X7" r:id="rId122" display="https://www.zillow.com/home-values/102001/united-states/" xr:uid="{00000000-0004-0000-0600-000079000000}"/>
    <hyperlink ref="X8" r:id="rId123" display="https://www.zillow.com/home-values/102001/united-states/" xr:uid="{00000000-0004-0000-0600-00007A000000}"/>
    <hyperlink ref="X9" r:id="rId124" display="https://www.zillow.com/home-values/102001/united-states/" xr:uid="{00000000-0004-0000-0600-00007B000000}"/>
    <hyperlink ref="X10" r:id="rId125" display="https://www.zillow.com/home-values/102001/united-states/" xr:uid="{00000000-0004-0000-0600-00007C000000}"/>
    <hyperlink ref="X11" r:id="rId126" display="https://www.zillow.com/home-values/102001/united-states/" xr:uid="{00000000-0004-0000-0600-00007D000000}"/>
    <hyperlink ref="X12" r:id="rId127" display="https://www.zillow.com/home-values/102001/united-states/" xr:uid="{00000000-0004-0000-0600-00007E000000}"/>
    <hyperlink ref="X13" r:id="rId128" display="https://www.zillow.com/home-values/102001/united-states/" xr:uid="{00000000-0004-0000-0600-00007F000000}"/>
    <hyperlink ref="X14" r:id="rId129" display="https://www.zillow.com/home-values/102001/united-states/" xr:uid="{00000000-0004-0000-0600-000080000000}"/>
    <hyperlink ref="X15" r:id="rId130" display="https://www.zillow.com/home-values/102001/united-states/" xr:uid="{00000000-0004-0000-0600-000081000000}"/>
    <hyperlink ref="X16" r:id="rId131" display="https://www.zillow.com/home-values/102001/united-states/" xr:uid="{00000000-0004-0000-0600-000082000000}"/>
    <hyperlink ref="X17" r:id="rId132" display="https://www.zillow.com/home-values/102001/united-states/" xr:uid="{00000000-0004-0000-0600-000083000000}"/>
    <hyperlink ref="X18" r:id="rId133" display="https://www.zillow.com/home-values/102001/united-states/" xr:uid="{00000000-0004-0000-0600-000084000000}"/>
    <hyperlink ref="X19" r:id="rId134" display="https://www.zillow.com/home-values/102001/united-states/" xr:uid="{00000000-0004-0000-0600-000085000000}"/>
    <hyperlink ref="X20" r:id="rId135" display="https://www.zillow.com/home-values/102001/united-states/" xr:uid="{00000000-0004-0000-0600-000086000000}"/>
    <hyperlink ref="X21" r:id="rId136" display="https://www.zillow.com/home-values/102001/united-states/" xr:uid="{00000000-0004-0000-0600-000087000000}"/>
    <hyperlink ref="X22" r:id="rId137" display="https://www.zillow.com/home-values/102001/united-states/" xr:uid="{00000000-0004-0000-0600-000088000000}"/>
    <hyperlink ref="X23" r:id="rId138" display="https://www.zillow.com/home-values/102001/united-states/" xr:uid="{00000000-0004-0000-0600-000089000000}"/>
    <hyperlink ref="X24" r:id="rId139" display="https://www.zillow.com/home-values/102001/united-states/" xr:uid="{00000000-0004-0000-0600-00008A000000}"/>
    <hyperlink ref="X25" r:id="rId140" display="https://www.zillow.com/home-values/102001/united-states/" xr:uid="{00000000-0004-0000-0600-00008B000000}"/>
    <hyperlink ref="X26" r:id="rId141" display="https://www.zillow.com/home-values/102001/united-states/" xr:uid="{00000000-0004-0000-0600-00008C000000}"/>
    <hyperlink ref="X27" r:id="rId142" display="https://www.zillow.com/home-values/102001/united-states/" xr:uid="{00000000-0004-0000-0600-00008D000000}"/>
    <hyperlink ref="X28" r:id="rId143" display="https://www.zillow.com/home-values/102001/united-states/" xr:uid="{00000000-0004-0000-0600-00008E000000}"/>
    <hyperlink ref="X29" r:id="rId144" display="https://www.zillow.com/home-values/102001/united-states/" xr:uid="{00000000-0004-0000-0600-00008F000000}"/>
    <hyperlink ref="X30" r:id="rId145" display="https://www.zillow.com/home-values/102001/united-states/" xr:uid="{00000000-0004-0000-0600-000090000000}"/>
    <hyperlink ref="X31" r:id="rId146" display="https://www.zillow.com/home-values/102001/united-states/" xr:uid="{00000000-0004-0000-0600-000091000000}"/>
    <hyperlink ref="X32" r:id="rId147" display="https://www.zillow.com/home-values/102001/united-states/" xr:uid="{00000000-0004-0000-0600-000092000000}"/>
    <hyperlink ref="X33" r:id="rId148" display="https://www.zillow.com/home-values/102001/united-states/" xr:uid="{00000000-0004-0000-0600-000093000000}"/>
    <hyperlink ref="X34" r:id="rId149" display="https://www.zillow.com/home-values/102001/united-states/" xr:uid="{00000000-0004-0000-0600-000094000000}"/>
    <hyperlink ref="X35" r:id="rId150" display="https://www.zillow.com/home-values/102001/united-states/" xr:uid="{00000000-0004-0000-0600-000095000000}"/>
    <hyperlink ref="X37" r:id="rId151" display="https://www.zillow.com/home-values/102001/united-states/" xr:uid="{00000000-0004-0000-0600-000096000000}"/>
    <hyperlink ref="X38" r:id="rId152" display="https://www.zillow.com/home-values/102001/united-states/" xr:uid="{00000000-0004-0000-0600-000097000000}"/>
    <hyperlink ref="X39" r:id="rId153" display="https://www.zillow.com/home-values/102001/united-states/" xr:uid="{00000000-0004-0000-0600-000098000000}"/>
    <hyperlink ref="X40" r:id="rId154" display="https://www.zillow.com/home-values/102001/united-states/" xr:uid="{00000000-0004-0000-0600-000099000000}"/>
    <hyperlink ref="X41" r:id="rId155" display="https://www.zillow.com/home-values/102001/united-states/" xr:uid="{00000000-0004-0000-0600-00009A000000}"/>
    <hyperlink ref="X42" r:id="rId156" display="https://www.zillow.com/home-values/102001/united-states/" xr:uid="{00000000-0004-0000-0600-00009B000000}"/>
    <hyperlink ref="X43" r:id="rId157" display="https://www.zillow.com/home-values/102001/united-states/" xr:uid="{00000000-0004-0000-0600-00009C000000}"/>
    <hyperlink ref="X44" r:id="rId158" display="https://www.zillow.com/home-values/102001/united-states/" xr:uid="{00000000-0004-0000-0600-00009D000000}"/>
    <hyperlink ref="X45" r:id="rId159" display="https://www.zillow.com/home-values/102001/united-states/" xr:uid="{00000000-0004-0000-0600-00009E000000}"/>
    <hyperlink ref="X46" r:id="rId160" display="https://www.zillow.com/home-values/102001/united-states/" xr:uid="{00000000-0004-0000-0600-00009F000000}"/>
    <hyperlink ref="X47" r:id="rId161" display="https://www.zillow.com/home-values/102001/united-states/" xr:uid="{00000000-0004-0000-0600-0000A0000000}"/>
    <hyperlink ref="X48" r:id="rId162" display="https://www.zillow.com/home-values/102001/united-states/" xr:uid="{00000000-0004-0000-0600-0000A1000000}"/>
    <hyperlink ref="X49" r:id="rId163" display="https://www.zillow.com/home-values/102001/united-states/" xr:uid="{00000000-0004-0000-0600-0000A2000000}"/>
    <hyperlink ref="X50" r:id="rId164" display="https://www.zillow.com/home-values/102001/united-states/" xr:uid="{00000000-0004-0000-0600-0000A3000000}"/>
    <hyperlink ref="X51" r:id="rId165" display="https://www.zillow.com/home-values/102001/united-states/" xr:uid="{00000000-0004-0000-0600-0000A4000000}"/>
    <hyperlink ref="X52" r:id="rId166" display="https://www.zillow.com/home-values/102001/united-states/" xr:uid="{00000000-0004-0000-0600-0000A5000000}"/>
    <hyperlink ref="X53" r:id="rId167" display="https://www.zillow.com/home-values/102001/united-states/" xr:uid="{00000000-0004-0000-0600-0000A6000000}"/>
    <hyperlink ref="X54" r:id="rId168" display="https://www.zillow.com/home-values/102001/united-states/" xr:uid="{00000000-0004-0000-0600-0000A7000000}"/>
    <hyperlink ref="X55" r:id="rId169" display="https://www.zillow.com/home-values/102001/united-states/" xr:uid="{00000000-0004-0000-0600-0000A8000000}"/>
    <hyperlink ref="X56" r:id="rId170" display="https://www.zillow.com/home-values/102001/united-states/" xr:uid="{00000000-0004-0000-0600-0000A9000000}"/>
    <hyperlink ref="X57" r:id="rId171" display="https://www.zillow.com/home-values/102001/united-states/" xr:uid="{00000000-0004-0000-0600-0000AA000000}"/>
    <hyperlink ref="X58" r:id="rId172" display="https://www.zillow.com/home-values/102001/united-states/" xr:uid="{00000000-0004-0000-0600-0000AB000000}"/>
    <hyperlink ref="X59" r:id="rId173" display="https://www.zillow.com/home-values/102001/united-states/" xr:uid="{00000000-0004-0000-0600-0000AC000000}"/>
    <hyperlink ref="X60" r:id="rId174" display="https://www.zillow.com/home-values/102001/united-states/" xr:uid="{00000000-0004-0000-0600-0000AD000000}"/>
  </hyperlinks>
  <pageMargins left="0.7" right="0.7" top="0.75" bottom="0.75" header="0.3" footer="0.3"/>
  <pageSetup orientation="portrait" horizontalDpi="1200" verticalDpi="1200" r:id="rId175"/>
  <tableParts count="1">
    <tablePart r:id="rId176"/>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1SHTAData"/>
  <dimension ref="A1:AH61"/>
  <sheetViews>
    <sheetView topLeftCell="A10" zoomScale="85" zoomScaleNormal="85" workbookViewId="0">
      <selection activeCell="A3" sqref="A3"/>
    </sheetView>
  </sheetViews>
  <sheetFormatPr defaultColWidth="5.54296875" defaultRowHeight="14.5" x14ac:dyDescent="0.35"/>
  <cols>
    <col min="1" max="2" width="22.54296875" customWidth="1"/>
    <col min="3" max="3" width="1.54296875" customWidth="1"/>
    <col min="4" max="6" width="18.54296875" customWidth="1"/>
    <col min="7" max="7" width="1.54296875" customWidth="1"/>
    <col min="8" max="10" width="18.54296875" customWidth="1"/>
    <col min="11" max="11" width="1.54296875" customWidth="1"/>
    <col min="12" max="31" width="18.54296875" customWidth="1"/>
    <col min="32" max="34" width="15.54296875" customWidth="1"/>
  </cols>
  <sheetData>
    <row r="1" spans="1:34" ht="21.5" thickBot="1" x14ac:dyDescent="0.4">
      <c r="A1" s="1369" t="s">
        <v>669</v>
      </c>
      <c r="B1" s="1370"/>
      <c r="C1" s="1370"/>
      <c r="D1" s="1371" t="s">
        <v>506</v>
      </c>
      <c r="E1" s="1372"/>
      <c r="F1" s="1372"/>
      <c r="G1" s="1373"/>
      <c r="H1" s="1367" t="s">
        <v>508</v>
      </c>
      <c r="I1" s="1374"/>
      <c r="J1" s="1374"/>
      <c r="K1" s="1368"/>
      <c r="L1" s="1367" t="s">
        <v>510</v>
      </c>
      <c r="M1" s="1368"/>
      <c r="N1" s="1364" t="s">
        <v>506</v>
      </c>
      <c r="O1" s="1365"/>
      <c r="P1" s="1365"/>
      <c r="Q1" s="1365"/>
      <c r="R1" s="1365"/>
      <c r="S1" s="1365"/>
      <c r="T1" s="1365"/>
      <c r="U1" s="1365"/>
      <c r="V1" s="1366"/>
      <c r="W1" s="1361" t="s">
        <v>670</v>
      </c>
      <c r="X1" s="1362"/>
      <c r="Y1" s="1362"/>
      <c r="Z1" s="1362"/>
      <c r="AA1" s="1362"/>
      <c r="AB1" s="1362"/>
      <c r="AC1" s="1362"/>
      <c r="AD1" s="1362"/>
      <c r="AE1" s="1363"/>
      <c r="AF1" s="401"/>
      <c r="AG1" s="1359"/>
      <c r="AH1" s="1360"/>
    </row>
    <row r="2" spans="1:34" ht="44" thickBot="1" x14ac:dyDescent="0.4">
      <c r="A2" s="377" t="s">
        <v>511</v>
      </c>
      <c r="B2" s="377" t="s">
        <v>512</v>
      </c>
      <c r="C2" s="44" t="s">
        <v>513</v>
      </c>
      <c r="D2" s="3" t="s">
        <v>514</v>
      </c>
      <c r="E2" s="16" t="s">
        <v>515</v>
      </c>
      <c r="F2" s="17" t="s">
        <v>516</v>
      </c>
      <c r="G2" s="31" t="s">
        <v>613</v>
      </c>
      <c r="H2" s="3" t="s">
        <v>518</v>
      </c>
      <c r="I2" s="16" t="s">
        <v>519</v>
      </c>
      <c r="J2" s="17" t="s">
        <v>520</v>
      </c>
      <c r="K2" s="31" t="s">
        <v>517</v>
      </c>
      <c r="L2" s="29" t="s">
        <v>530</v>
      </c>
      <c r="M2" s="4" t="s">
        <v>532</v>
      </c>
      <c r="N2" s="39" t="s">
        <v>534</v>
      </c>
      <c r="O2" s="40" t="s">
        <v>536</v>
      </c>
      <c r="P2" s="40" t="s">
        <v>671</v>
      </c>
      <c r="Q2" s="41" t="s">
        <v>618</v>
      </c>
      <c r="R2" s="42" t="s">
        <v>619</v>
      </c>
      <c r="S2" s="42" t="s">
        <v>620</v>
      </c>
      <c r="T2" s="42" t="s">
        <v>543</v>
      </c>
      <c r="U2" s="42" t="s">
        <v>544</v>
      </c>
      <c r="V2" s="43" t="s">
        <v>660</v>
      </c>
      <c r="W2" s="3" t="s">
        <v>556</v>
      </c>
      <c r="X2" s="377" t="s">
        <v>558</v>
      </c>
      <c r="Y2" s="18" t="s">
        <v>672</v>
      </c>
      <c r="Z2" s="23" t="s">
        <v>628</v>
      </c>
      <c r="AA2" s="5" t="s">
        <v>629</v>
      </c>
      <c r="AB2" s="5" t="s">
        <v>605</v>
      </c>
      <c r="AC2" s="5" t="s">
        <v>565</v>
      </c>
      <c r="AD2" s="5" t="s">
        <v>566</v>
      </c>
      <c r="AE2" s="38" t="s">
        <v>661</v>
      </c>
      <c r="AF2" s="396" t="s">
        <v>578</v>
      </c>
      <c r="AG2" s="136" t="s">
        <v>541</v>
      </c>
      <c r="AH2" s="407" t="s">
        <v>563</v>
      </c>
    </row>
    <row r="3" spans="1:34" x14ac:dyDescent="0.35">
      <c r="A3" s="164"/>
      <c r="B3" s="5" t="s">
        <v>115</v>
      </c>
      <c r="C3" s="44" t="s">
        <v>513</v>
      </c>
      <c r="D3" s="114" t="str">
        <f>IF(S1SHTATbl[[#This Row],[UNRESTRICTED UNITS]]=0,"",S1SHTATbl[[#This Row],[UNRESTRICTED UNITS]])</f>
        <v/>
      </c>
      <c r="E3" s="270" t="str">
        <f xml:space="preserve">
IF(S1SHTATbl[[#This Row],[UNRESTRICTED TOTAL REQUESTED]]=0,"",
S1SHTATbl[[#This Row],[UNRESTRICTED TOTAL REQUESTED]]*
IF(S1_SHTA_UnrestrictedTotalRequested&lt;=500000,1,
500000/S1_SHTA_UnrestrictedTotalRequested)
)</f>
        <v/>
      </c>
      <c r="F3" s="272" t="str">
        <f>IF(S1SHTATbl[[#This Row],[UNRESTRICTED % OF FUNDING]]=0,"",S1SHTATbl[[#This Row],[UNRESTRICTED % OF FUNDING]])</f>
        <v/>
      </c>
      <c r="G3" s="31" t="s">
        <v>513</v>
      </c>
      <c r="H3" s="114" t="str">
        <f>IF(S1SHTATbl[[#This Row],[RURAL UNITS]]=0,"",S1SHTATbl[[#This Row],[RURAL UNITS]])</f>
        <v/>
      </c>
      <c r="I3" s="270" t="str">
        <f xml:space="preserve">
IF(S1SHTATbl[[#This Row],[RURAL TOTAL REQUESTED]]=0,"",
S1SHTATbl[[#This Row],[RURAL TOTAL REQUESTED]]*
IF(S1_SHTA_RuralTotalRequested&lt;=(500000-E$61),1,
(500000-E$61)/S1_SHTA_RuralTotalRequested)
)</f>
        <v/>
      </c>
      <c r="J3" s="272" t="str">
        <f>IF(S1SHTATbl[[#This Row],[RURAL % OF FUNDING]]=0,"",S1SHTATbl[[#This Row],[RURAL % OF FUNDING]])</f>
        <v/>
      </c>
      <c r="K3" s="31" t="s">
        <v>513</v>
      </c>
      <c r="L3" s="163"/>
      <c r="M3" s="199"/>
      <c r="N3" s="123"/>
      <c r="O3" s="161"/>
      <c r="P3" s="198"/>
      <c r="Q3" s="98">
        <f t="shared" ref="Q3:Q34" si="0">SUM(O3:P3)</f>
        <v>0</v>
      </c>
      <c r="R3" s="6">
        <f>IF(S1SHTATbl[[#This Row],[UNRESTRICTED TOTAL REQUESTED]]=0,0,S1SHTATbl[[#This Row],[UNRESTRICTED TOTAL REQUESTED]]/S1_SHTA_UnrestrictedTotalRequested)</f>
        <v>0</v>
      </c>
      <c r="S3" s="7">
        <f>IF(S1SHTATbl[[#This Row],[ALL UNITS IN A HIGH OR HIGHEST RESOURCE AREA]]="Yes",10*S1SHTATbl[[#This Row],[UNRESTRICTED % OF FUNDING]],0)</f>
        <v>0</v>
      </c>
      <c r="T3" s="7" cm="1">
        <f t="array" ref="T3">INDEX(CountyScoresTbl[Community Need Total Points],ROW(S1SHTATbl[[#This Row],[COUNTY]])-2,1)*S1SHTATbl[[#This Row],[UNRESTRICTED % OF FUNDING]]</f>
        <v>0</v>
      </c>
      <c r="U3" s="7" cm="1">
        <f t="array" ref="U3">INDEX(CountyScoresTbl[SHTA Total Feasibility Points Awarded],ROW(S1SHTATbl[[#This Row],[COUNTY]])-2,1)*S1SHTATbl[[#This Row],[UNRESTRICTED % OF FUNDING]]</f>
        <v>0</v>
      </c>
      <c r="V3" s="8" cm="1">
        <f t="array" ref="V3">INDEX(CountyScoresTbl[Farmworker Need Points Awarded],ROW(S1SHTATbl[[#This Row],[COUNTY]])-2,1)*S1SHTATbl[[#This Row],[UNRESTRICTED % OF FUNDING]]</f>
        <v>0</v>
      </c>
      <c r="W3" s="123"/>
      <c r="X3" s="161"/>
      <c r="Y3" s="198"/>
      <c r="Z3" s="98">
        <f t="shared" ref="Z3:Z34" si="1">SUM(X3:Y3)</f>
        <v>0</v>
      </c>
      <c r="AA3" s="6">
        <f>IF(S1SHTATbl[[#This Row],[RURAL TOTAL REQUESTED]]=0,0,S1SHTATbl[[#This Row],[RURAL TOTAL REQUESTED]]/Z$61)</f>
        <v>0</v>
      </c>
      <c r="AB3" s="7">
        <f>IF(S1SHTATbl[[#This Row],[ALL UNITS IN A HIGH OR HIGHEST RESOURCE AREA]]="Yes",10*S1SHTATbl[[#This Row],[RURAL % OF FUNDING]],0)</f>
        <v>0</v>
      </c>
      <c r="AC3" s="7" cm="1">
        <f t="array" ref="AC3">INDEX(CountyScoresTbl[Community Need Total Points],ROW(S1SHTATbl[[#This Row],[COUNTY]])-2,1)*S1SHTATbl[[#This Row],[RURAL % OF FUNDING]]</f>
        <v>0</v>
      </c>
      <c r="AD3" s="7" cm="1">
        <f t="array" ref="AD3">INDEX(CountyScoresTbl[SHTA Total Feasibility Points Awarded],ROW(S1SHTATbl[[#This Row],[COUNTY]])-2,1)*S1SHTATbl[[#This Row],[RURAL % OF FUNDING]]</f>
        <v>0</v>
      </c>
      <c r="AE3" s="8" cm="1">
        <f t="array" ref="AE3">INDEX(CountyScoresTbl[Farmworker Need Points Awarded],ROW(S1SHTATbl[[#This Row],[COUNTY]])-2,1)*S1SHTATbl[[#This Row],[RURAL % OF FUNDING]]</f>
        <v>0</v>
      </c>
      <c r="AF3" s="404"/>
      <c r="AG3" s="409">
        <f>IF(S1SHTATbl[[#This Row],[INFILL SITE]]="Yes",5,3)*S1SHTATbl[[#This Row],[UNRESTRICTED % OF FUNDING]]</f>
        <v>0</v>
      </c>
      <c r="AH3" s="408">
        <f>IF(S1SHTATbl[[#This Row],[INFILL SITE]]="Yes",5,3)*S1SHTATbl[[#This Row],[RURAL % OF FUNDING]]</f>
        <v>0</v>
      </c>
    </row>
    <row r="4" spans="1:34" x14ac:dyDescent="0.35">
      <c r="A4" s="164"/>
      <c r="B4" s="5" t="s">
        <v>116</v>
      </c>
      <c r="C4" s="44" t="s">
        <v>513</v>
      </c>
      <c r="D4" s="114" t="str">
        <f>IF(S1SHTATbl[[#This Row],[UNRESTRICTED UNITS]]=0,"",S1SHTATbl[[#This Row],[UNRESTRICTED UNITS]])</f>
        <v/>
      </c>
      <c r="E4" s="270" t="str">
        <f xml:space="preserve">
IF(S1SHTATbl[[#This Row],[UNRESTRICTED TOTAL REQUESTED]]=0,"",
S1SHTATbl[[#This Row],[UNRESTRICTED TOTAL REQUESTED]]*
IF(S1_SHTA_UnrestrictedTotalRequested&lt;=500000,1,
500000/S1_SHTA_UnrestrictedTotalRequested)
)</f>
        <v/>
      </c>
      <c r="F4" s="272" t="str">
        <f>IF(S1SHTATbl[[#This Row],[UNRESTRICTED % OF FUNDING]]=0,"",S1SHTATbl[[#This Row],[UNRESTRICTED % OF FUNDING]])</f>
        <v/>
      </c>
      <c r="G4" s="31" t="s">
        <v>513</v>
      </c>
      <c r="H4" s="271" t="str">
        <f>IF(S1SHTATbl[[#This Row],[RURAL UNITS]]=0,"",S1SHTATbl[[#This Row],[RURAL UNITS]])</f>
        <v/>
      </c>
      <c r="I4" s="270" t="str">
        <f xml:space="preserve">
IF(S1SHTATbl[[#This Row],[RURAL TOTAL REQUESTED]]=0,"",
S1SHTATbl[[#This Row],[RURAL TOTAL REQUESTED]]*
IF(S1_SHTA_RuralTotalRequested&lt;=(500000-E$61),1,
(500000-E$61)/S1_SHTA_RuralTotalRequested)
)</f>
        <v/>
      </c>
      <c r="J4" s="272" t="str">
        <f>IF(S1SHTATbl[[#This Row],[RURAL % OF FUNDING]]=0,"",S1SHTATbl[[#This Row],[RURAL % OF FUNDING]])</f>
        <v/>
      </c>
      <c r="K4" s="31" t="s">
        <v>513</v>
      </c>
      <c r="L4" s="163"/>
      <c r="M4" s="199"/>
      <c r="N4" s="123"/>
      <c r="O4" s="161"/>
      <c r="P4" s="198"/>
      <c r="Q4" s="74">
        <f t="shared" si="0"/>
        <v>0</v>
      </c>
      <c r="R4" s="6">
        <f>IF(S1SHTATbl[[#This Row],[UNRESTRICTED TOTAL REQUESTED]]=0,0,S1SHTATbl[[#This Row],[UNRESTRICTED TOTAL REQUESTED]]/S1_SHTA_UnrestrictedTotalRequested)</f>
        <v>0</v>
      </c>
      <c r="S4" s="7">
        <f>IF(S1SHTATbl[[#This Row],[ALL UNITS IN A HIGH OR HIGHEST RESOURCE AREA]]="Yes",10*S1SHTATbl[[#This Row],[UNRESTRICTED % OF FUNDING]],0)</f>
        <v>0</v>
      </c>
      <c r="T4" s="7" cm="1">
        <f t="array" ref="T4">INDEX(CountyScoresTbl[Community Need Total Points],ROW(S1SHTATbl[[#This Row],[COUNTY]])-2,1)*S1SHTATbl[[#This Row],[UNRESTRICTED % OF FUNDING]]</f>
        <v>0</v>
      </c>
      <c r="U4" s="7" cm="1">
        <f t="array" ref="U4">INDEX(CountyScoresTbl[SHTA Total Feasibility Points Awarded],ROW(S1SHTATbl[[#This Row],[COUNTY]])-2,1)*S1SHTATbl[[#This Row],[UNRESTRICTED % OF FUNDING]]</f>
        <v>0</v>
      </c>
      <c r="V4" s="8" cm="1">
        <f t="array" ref="V4">INDEX(CountyScoresTbl[Farmworker Need Points Awarded],ROW(S1SHTATbl[[#This Row],[COUNTY]])-2,1)*S1SHTATbl[[#This Row],[UNRESTRICTED % OF FUNDING]]</f>
        <v>0</v>
      </c>
      <c r="W4" s="123"/>
      <c r="X4" s="161"/>
      <c r="Y4" s="198"/>
      <c r="Z4" s="74">
        <f t="shared" si="1"/>
        <v>0</v>
      </c>
      <c r="AA4" s="6">
        <f>IF(S1SHTATbl[[#This Row],[RURAL TOTAL REQUESTED]]=0,0,S1SHTATbl[[#This Row],[RURAL TOTAL REQUESTED]]/Z$61)</f>
        <v>0</v>
      </c>
      <c r="AB4" s="7">
        <f>IF(S1SHTATbl[[#This Row],[ALL UNITS IN A HIGH OR HIGHEST RESOURCE AREA]]="Yes",10*S1SHTATbl[[#This Row],[RURAL % OF FUNDING]],0)</f>
        <v>0</v>
      </c>
      <c r="AC4" s="7" cm="1">
        <f t="array" ref="AC4">INDEX(CountyScoresTbl[Community Need Total Points],ROW(S1SHTATbl[[#This Row],[COUNTY]])-2,1)*S1SHTATbl[[#This Row],[RURAL % OF FUNDING]]</f>
        <v>0</v>
      </c>
      <c r="AD4" s="7" cm="1">
        <f t="array" ref="AD4">INDEX(CountyScoresTbl[SHTA Total Feasibility Points Awarded],ROW(S1SHTATbl[[#This Row],[COUNTY]])-2,1)*S1SHTATbl[[#This Row],[RURAL % OF FUNDING]]</f>
        <v>0</v>
      </c>
      <c r="AE4" s="8" cm="1">
        <f t="array" ref="AE4">INDEX(CountyScoresTbl[Farmworker Need Points Awarded],ROW(S1SHTATbl[[#This Row],[COUNTY]])-2,1)*S1SHTATbl[[#This Row],[RURAL % OF FUNDING]]</f>
        <v>0</v>
      </c>
      <c r="AF4" s="399"/>
      <c r="AG4" s="7">
        <f>IF(S1SHTATbl[[#This Row],[INFILL SITE]]="Yes",5,3)*S1SHTATbl[[#This Row],[UNRESTRICTED % OF FUNDING]]</f>
        <v>0</v>
      </c>
      <c r="AH4" s="26">
        <f>IF(S1SHTATbl[[#This Row],[INFILL SITE]]="Yes",5,3)*S1SHTATbl[[#This Row],[RURAL % OF FUNDING]]</f>
        <v>0</v>
      </c>
    </row>
    <row r="5" spans="1:34" x14ac:dyDescent="0.35">
      <c r="A5" s="164"/>
      <c r="B5" s="5" t="s">
        <v>117</v>
      </c>
      <c r="C5" s="44" t="s">
        <v>513</v>
      </c>
      <c r="D5" s="114" t="str">
        <f>IF(S1SHTATbl[[#This Row],[UNRESTRICTED UNITS]]=0,"",S1SHTATbl[[#This Row],[UNRESTRICTED UNITS]])</f>
        <v/>
      </c>
      <c r="E5" s="270" t="str">
        <f xml:space="preserve">
IF(S1SHTATbl[[#This Row],[UNRESTRICTED TOTAL REQUESTED]]=0,"",
S1SHTATbl[[#This Row],[UNRESTRICTED TOTAL REQUESTED]]*
IF(S1_SHTA_UnrestrictedTotalRequested&lt;=500000,1,
500000/S1_SHTA_UnrestrictedTotalRequested)
)</f>
        <v/>
      </c>
      <c r="F5" s="272" t="str">
        <f>IF(S1SHTATbl[[#This Row],[UNRESTRICTED % OF FUNDING]]=0,"",S1SHTATbl[[#This Row],[UNRESTRICTED % OF FUNDING]])</f>
        <v/>
      </c>
      <c r="G5" s="31" t="s">
        <v>513</v>
      </c>
      <c r="H5" s="271" t="str">
        <f>IF(S1SHTATbl[[#This Row],[RURAL UNITS]]=0,"",S1SHTATbl[[#This Row],[RURAL UNITS]])</f>
        <v/>
      </c>
      <c r="I5" s="270" t="str">
        <f xml:space="preserve">
IF(S1SHTATbl[[#This Row],[RURAL TOTAL REQUESTED]]=0,"",
S1SHTATbl[[#This Row],[RURAL TOTAL REQUESTED]]*
IF(S1_SHTA_RuralTotalRequested&lt;=(500000-E$61),1,
(500000-E$61)/S1_SHTA_RuralTotalRequested)
)</f>
        <v/>
      </c>
      <c r="J5" s="272" t="str">
        <f>IF(S1SHTATbl[[#This Row],[RURAL % OF FUNDING]]=0,"",S1SHTATbl[[#This Row],[RURAL % OF FUNDING]])</f>
        <v/>
      </c>
      <c r="K5" s="31" t="s">
        <v>513</v>
      </c>
      <c r="L5" s="163"/>
      <c r="M5" s="199"/>
      <c r="N5" s="123"/>
      <c r="O5" s="161"/>
      <c r="P5" s="198"/>
      <c r="Q5" s="74">
        <f t="shared" si="0"/>
        <v>0</v>
      </c>
      <c r="R5" s="6">
        <f>IF(S1SHTATbl[[#This Row],[UNRESTRICTED TOTAL REQUESTED]]=0,0,S1SHTATbl[[#This Row],[UNRESTRICTED TOTAL REQUESTED]]/S1_SHTA_UnrestrictedTotalRequested)</f>
        <v>0</v>
      </c>
      <c r="S5" s="7">
        <f>IF(S1SHTATbl[[#This Row],[ALL UNITS IN A HIGH OR HIGHEST RESOURCE AREA]]="Yes",10*S1SHTATbl[[#This Row],[UNRESTRICTED % OF FUNDING]],0)</f>
        <v>0</v>
      </c>
      <c r="T5" s="7" cm="1">
        <f t="array" ref="T5">INDEX(CountyScoresTbl[Community Need Total Points],ROW(S1SHTATbl[[#This Row],[COUNTY]])-2,1)*S1SHTATbl[[#This Row],[UNRESTRICTED % OF FUNDING]]</f>
        <v>0</v>
      </c>
      <c r="U5" s="7" cm="1">
        <f t="array" ref="U5">INDEX(CountyScoresTbl[SHTA Total Feasibility Points Awarded],ROW(S1SHTATbl[[#This Row],[COUNTY]])-2,1)*S1SHTATbl[[#This Row],[UNRESTRICTED % OF FUNDING]]</f>
        <v>0</v>
      </c>
      <c r="V5" s="8" cm="1">
        <f t="array" ref="V5">INDEX(CountyScoresTbl[Farmworker Need Points Awarded],ROW(S1SHTATbl[[#This Row],[COUNTY]])-2,1)*S1SHTATbl[[#This Row],[UNRESTRICTED % OF FUNDING]]</f>
        <v>0</v>
      </c>
      <c r="W5" s="123"/>
      <c r="X5" s="161"/>
      <c r="Y5" s="198"/>
      <c r="Z5" s="74">
        <f t="shared" si="1"/>
        <v>0</v>
      </c>
      <c r="AA5" s="6">
        <f>IF(S1SHTATbl[[#This Row],[RURAL TOTAL REQUESTED]]=0,0,S1SHTATbl[[#This Row],[RURAL TOTAL REQUESTED]]/Z$61)</f>
        <v>0</v>
      </c>
      <c r="AB5" s="7">
        <f>IF(S1SHTATbl[[#This Row],[ALL UNITS IN A HIGH OR HIGHEST RESOURCE AREA]]="Yes",10*S1SHTATbl[[#This Row],[RURAL % OF FUNDING]],0)</f>
        <v>0</v>
      </c>
      <c r="AC5" s="7" cm="1">
        <f t="array" ref="AC5">INDEX(CountyScoresTbl[Community Need Total Points],ROW(S1SHTATbl[[#This Row],[COUNTY]])-2,1)*S1SHTATbl[[#This Row],[RURAL % OF FUNDING]]</f>
        <v>0</v>
      </c>
      <c r="AD5" s="7" cm="1">
        <f t="array" ref="AD5">INDEX(CountyScoresTbl[SHTA Total Feasibility Points Awarded],ROW(S1SHTATbl[[#This Row],[COUNTY]])-2,1)*S1SHTATbl[[#This Row],[RURAL % OF FUNDING]]</f>
        <v>0</v>
      </c>
      <c r="AE5" s="8" cm="1">
        <f t="array" ref="AE5">INDEX(CountyScoresTbl[Farmworker Need Points Awarded],ROW(S1SHTATbl[[#This Row],[COUNTY]])-2,1)*S1SHTATbl[[#This Row],[RURAL % OF FUNDING]]</f>
        <v>0</v>
      </c>
      <c r="AF5" s="399"/>
      <c r="AG5" s="7">
        <f>IF(S1SHTATbl[[#This Row],[INFILL SITE]]="Yes",5,3)*S1SHTATbl[[#This Row],[UNRESTRICTED % OF FUNDING]]</f>
        <v>0</v>
      </c>
      <c r="AH5" s="26">
        <f>IF(S1SHTATbl[[#This Row],[INFILL SITE]]="Yes",5,3)*S1SHTATbl[[#This Row],[RURAL % OF FUNDING]]</f>
        <v>0</v>
      </c>
    </row>
    <row r="6" spans="1:34" x14ac:dyDescent="0.35">
      <c r="A6" s="164"/>
      <c r="B6" s="5" t="s">
        <v>118</v>
      </c>
      <c r="C6" s="44" t="s">
        <v>513</v>
      </c>
      <c r="D6" s="114" t="str">
        <f>IF(S1SHTATbl[[#This Row],[UNRESTRICTED UNITS]]=0,"",S1SHTATbl[[#This Row],[UNRESTRICTED UNITS]])</f>
        <v/>
      </c>
      <c r="E6" s="270" t="str">
        <f xml:space="preserve">
IF(S1SHTATbl[[#This Row],[UNRESTRICTED TOTAL REQUESTED]]=0,"",
S1SHTATbl[[#This Row],[UNRESTRICTED TOTAL REQUESTED]]*
IF(S1_SHTA_UnrestrictedTotalRequested&lt;=500000,1,
500000/S1_SHTA_UnrestrictedTotalRequested)
)</f>
        <v/>
      </c>
      <c r="F6" s="272" t="str">
        <f>IF(S1SHTATbl[[#This Row],[UNRESTRICTED % OF FUNDING]]=0,"",S1SHTATbl[[#This Row],[UNRESTRICTED % OF FUNDING]])</f>
        <v/>
      </c>
      <c r="G6" s="31" t="s">
        <v>513</v>
      </c>
      <c r="H6" s="271" t="str">
        <f>IF(S1SHTATbl[[#This Row],[RURAL UNITS]]=0,"",S1SHTATbl[[#This Row],[RURAL UNITS]])</f>
        <v/>
      </c>
      <c r="I6" s="270" t="str">
        <f xml:space="preserve">
IF(S1SHTATbl[[#This Row],[RURAL TOTAL REQUESTED]]=0,"",
S1SHTATbl[[#This Row],[RURAL TOTAL REQUESTED]]*
IF(S1_SHTA_RuralTotalRequested&lt;=(500000-E$61),1,
(500000-E$61)/S1_SHTA_RuralTotalRequested)
)</f>
        <v/>
      </c>
      <c r="J6" s="272" t="str">
        <f>IF(S1SHTATbl[[#This Row],[RURAL % OF FUNDING]]=0,"",S1SHTATbl[[#This Row],[RURAL % OF FUNDING]])</f>
        <v/>
      </c>
      <c r="K6" s="31" t="s">
        <v>513</v>
      </c>
      <c r="L6" s="163"/>
      <c r="M6" s="199"/>
      <c r="N6" s="123"/>
      <c r="O6" s="161"/>
      <c r="P6" s="198"/>
      <c r="Q6" s="74">
        <f t="shared" si="0"/>
        <v>0</v>
      </c>
      <c r="R6" s="6">
        <f>IF(S1SHTATbl[[#This Row],[UNRESTRICTED TOTAL REQUESTED]]=0,0,S1SHTATbl[[#This Row],[UNRESTRICTED TOTAL REQUESTED]]/S1_SHTA_UnrestrictedTotalRequested)</f>
        <v>0</v>
      </c>
      <c r="S6" s="7">
        <f>IF(S1SHTATbl[[#This Row],[ALL UNITS IN A HIGH OR HIGHEST RESOURCE AREA]]="Yes",10*S1SHTATbl[[#This Row],[UNRESTRICTED % OF FUNDING]],0)</f>
        <v>0</v>
      </c>
      <c r="T6" s="7" cm="1">
        <f t="array" ref="T6">INDEX(CountyScoresTbl[Community Need Total Points],ROW(S1SHTATbl[[#This Row],[COUNTY]])-2,1)*S1SHTATbl[[#This Row],[UNRESTRICTED % OF FUNDING]]</f>
        <v>0</v>
      </c>
      <c r="U6" s="7" cm="1">
        <f t="array" ref="U6">INDEX(CountyScoresTbl[SHTA Total Feasibility Points Awarded],ROW(S1SHTATbl[[#This Row],[COUNTY]])-2,1)*S1SHTATbl[[#This Row],[UNRESTRICTED % OF FUNDING]]</f>
        <v>0</v>
      </c>
      <c r="V6" s="8" cm="1">
        <f t="array" ref="V6">INDEX(CountyScoresTbl[Farmworker Need Points Awarded],ROW(S1SHTATbl[[#This Row],[COUNTY]])-2,1)*S1SHTATbl[[#This Row],[UNRESTRICTED % OF FUNDING]]</f>
        <v>0</v>
      </c>
      <c r="W6" s="123"/>
      <c r="X6" s="161"/>
      <c r="Y6" s="198"/>
      <c r="Z6" s="74">
        <f t="shared" si="1"/>
        <v>0</v>
      </c>
      <c r="AA6" s="6">
        <f>IF(S1SHTATbl[[#This Row],[RURAL TOTAL REQUESTED]]=0,0,S1SHTATbl[[#This Row],[RURAL TOTAL REQUESTED]]/Z$61)</f>
        <v>0</v>
      </c>
      <c r="AB6" s="7">
        <f>IF(S1SHTATbl[[#This Row],[ALL UNITS IN A HIGH OR HIGHEST RESOURCE AREA]]="Yes",10*S1SHTATbl[[#This Row],[RURAL % OF FUNDING]],0)</f>
        <v>0</v>
      </c>
      <c r="AC6" s="7" cm="1">
        <f t="array" ref="AC6">INDEX(CountyScoresTbl[Community Need Total Points],ROW(S1SHTATbl[[#This Row],[COUNTY]])-2,1)*S1SHTATbl[[#This Row],[RURAL % OF FUNDING]]</f>
        <v>0</v>
      </c>
      <c r="AD6" s="7" cm="1">
        <f t="array" ref="AD6">INDEX(CountyScoresTbl[SHTA Total Feasibility Points Awarded],ROW(S1SHTATbl[[#This Row],[COUNTY]])-2,1)*S1SHTATbl[[#This Row],[RURAL % OF FUNDING]]</f>
        <v>0</v>
      </c>
      <c r="AE6" s="8" cm="1">
        <f t="array" ref="AE6">INDEX(CountyScoresTbl[Farmworker Need Points Awarded],ROW(S1SHTATbl[[#This Row],[COUNTY]])-2,1)*S1SHTATbl[[#This Row],[RURAL % OF FUNDING]]</f>
        <v>0</v>
      </c>
      <c r="AF6" s="399"/>
      <c r="AG6" s="7">
        <f>IF(S1SHTATbl[[#This Row],[INFILL SITE]]="Yes",5,3)*S1SHTATbl[[#This Row],[UNRESTRICTED % OF FUNDING]]</f>
        <v>0</v>
      </c>
      <c r="AH6" s="26">
        <f>IF(S1SHTATbl[[#This Row],[INFILL SITE]]="Yes",5,3)*S1SHTATbl[[#This Row],[RURAL % OF FUNDING]]</f>
        <v>0</v>
      </c>
    </row>
    <row r="7" spans="1:34" x14ac:dyDescent="0.35">
      <c r="A7" s="164"/>
      <c r="B7" s="5" t="s">
        <v>119</v>
      </c>
      <c r="C7" s="44" t="s">
        <v>513</v>
      </c>
      <c r="D7" s="114" t="str">
        <f>IF(S1SHTATbl[[#This Row],[UNRESTRICTED UNITS]]=0,"",S1SHTATbl[[#This Row],[UNRESTRICTED UNITS]])</f>
        <v/>
      </c>
      <c r="E7" s="270" t="str">
        <f xml:space="preserve">
IF(S1SHTATbl[[#This Row],[UNRESTRICTED TOTAL REQUESTED]]=0,"",
S1SHTATbl[[#This Row],[UNRESTRICTED TOTAL REQUESTED]]*
IF(S1_SHTA_UnrestrictedTotalRequested&lt;=500000,1,
500000/S1_SHTA_UnrestrictedTotalRequested)
)</f>
        <v/>
      </c>
      <c r="F7" s="272" t="str">
        <f>IF(S1SHTATbl[[#This Row],[UNRESTRICTED % OF FUNDING]]=0,"",S1SHTATbl[[#This Row],[UNRESTRICTED % OF FUNDING]])</f>
        <v/>
      </c>
      <c r="G7" s="31" t="s">
        <v>513</v>
      </c>
      <c r="H7" s="271" t="str">
        <f>IF(S1SHTATbl[[#This Row],[RURAL UNITS]]=0,"",S1SHTATbl[[#This Row],[RURAL UNITS]])</f>
        <v/>
      </c>
      <c r="I7" s="270" t="str">
        <f xml:space="preserve">
IF(S1SHTATbl[[#This Row],[RURAL TOTAL REQUESTED]]=0,"",
S1SHTATbl[[#This Row],[RURAL TOTAL REQUESTED]]*
IF(S1_SHTA_RuralTotalRequested&lt;=(500000-E$61),1,
(500000-E$61)/S1_SHTA_RuralTotalRequested)
)</f>
        <v/>
      </c>
      <c r="J7" s="272" t="str">
        <f>IF(S1SHTATbl[[#This Row],[RURAL % OF FUNDING]]=0,"",S1SHTATbl[[#This Row],[RURAL % OF FUNDING]])</f>
        <v/>
      </c>
      <c r="K7" s="31" t="s">
        <v>513</v>
      </c>
      <c r="L7" s="163"/>
      <c r="M7" s="199"/>
      <c r="N7" s="123"/>
      <c r="O7" s="161"/>
      <c r="P7" s="198"/>
      <c r="Q7" s="74">
        <f t="shared" si="0"/>
        <v>0</v>
      </c>
      <c r="R7" s="6">
        <f>IF(S1SHTATbl[[#This Row],[UNRESTRICTED TOTAL REQUESTED]]=0,0,S1SHTATbl[[#This Row],[UNRESTRICTED TOTAL REQUESTED]]/S1_SHTA_UnrestrictedTotalRequested)</f>
        <v>0</v>
      </c>
      <c r="S7" s="7">
        <f>IF(S1SHTATbl[[#This Row],[ALL UNITS IN A HIGH OR HIGHEST RESOURCE AREA]]="Yes",10*S1SHTATbl[[#This Row],[UNRESTRICTED % OF FUNDING]],0)</f>
        <v>0</v>
      </c>
      <c r="T7" s="7" cm="1">
        <f t="array" ref="T7">INDEX(CountyScoresTbl[Community Need Total Points],ROW(S1SHTATbl[[#This Row],[COUNTY]])-2,1)*S1SHTATbl[[#This Row],[UNRESTRICTED % OF FUNDING]]</f>
        <v>0</v>
      </c>
      <c r="U7" s="7" cm="1">
        <f t="array" ref="U7">INDEX(CountyScoresTbl[SHTA Total Feasibility Points Awarded],ROW(S1SHTATbl[[#This Row],[COUNTY]])-2,1)*S1SHTATbl[[#This Row],[UNRESTRICTED % OF FUNDING]]</f>
        <v>0</v>
      </c>
      <c r="V7" s="8" cm="1">
        <f t="array" ref="V7">INDEX(CountyScoresTbl[Farmworker Need Points Awarded],ROW(S1SHTATbl[[#This Row],[COUNTY]])-2,1)*S1SHTATbl[[#This Row],[UNRESTRICTED % OF FUNDING]]</f>
        <v>0</v>
      </c>
      <c r="W7" s="123"/>
      <c r="X7" s="161"/>
      <c r="Y7" s="198"/>
      <c r="Z7" s="74">
        <f t="shared" si="1"/>
        <v>0</v>
      </c>
      <c r="AA7" s="6">
        <f>IF(S1SHTATbl[[#This Row],[RURAL TOTAL REQUESTED]]=0,0,S1SHTATbl[[#This Row],[RURAL TOTAL REQUESTED]]/Z$61)</f>
        <v>0</v>
      </c>
      <c r="AB7" s="7">
        <f>IF(S1SHTATbl[[#This Row],[ALL UNITS IN A HIGH OR HIGHEST RESOURCE AREA]]="Yes",10*S1SHTATbl[[#This Row],[RURAL % OF FUNDING]],0)</f>
        <v>0</v>
      </c>
      <c r="AC7" s="7" cm="1">
        <f t="array" ref="AC7">INDEX(CountyScoresTbl[Community Need Total Points],ROW(S1SHTATbl[[#This Row],[COUNTY]])-2,1)*S1SHTATbl[[#This Row],[RURAL % OF FUNDING]]</f>
        <v>0</v>
      </c>
      <c r="AD7" s="7" cm="1">
        <f t="array" ref="AD7">INDEX(CountyScoresTbl[SHTA Total Feasibility Points Awarded],ROW(S1SHTATbl[[#This Row],[COUNTY]])-2,1)*S1SHTATbl[[#This Row],[RURAL % OF FUNDING]]</f>
        <v>0</v>
      </c>
      <c r="AE7" s="8" cm="1">
        <f t="array" ref="AE7">INDEX(CountyScoresTbl[Farmworker Need Points Awarded],ROW(S1SHTATbl[[#This Row],[COUNTY]])-2,1)*S1SHTATbl[[#This Row],[RURAL % OF FUNDING]]</f>
        <v>0</v>
      </c>
      <c r="AF7" s="399"/>
      <c r="AG7" s="7">
        <f>IF(S1SHTATbl[[#This Row],[INFILL SITE]]="Yes",5,3)*S1SHTATbl[[#This Row],[UNRESTRICTED % OF FUNDING]]</f>
        <v>0</v>
      </c>
      <c r="AH7" s="26">
        <f>IF(S1SHTATbl[[#This Row],[INFILL SITE]]="Yes",5,3)*S1SHTATbl[[#This Row],[RURAL % OF FUNDING]]</f>
        <v>0</v>
      </c>
    </row>
    <row r="8" spans="1:34" x14ac:dyDescent="0.35">
      <c r="A8" s="164"/>
      <c r="B8" s="5" t="s">
        <v>120</v>
      </c>
      <c r="C8" s="44" t="s">
        <v>513</v>
      </c>
      <c r="D8" s="114" t="str">
        <f>IF(S1SHTATbl[[#This Row],[UNRESTRICTED UNITS]]=0,"",S1SHTATbl[[#This Row],[UNRESTRICTED UNITS]])</f>
        <v/>
      </c>
      <c r="E8" s="270" t="str">
        <f xml:space="preserve">
IF(S1SHTATbl[[#This Row],[UNRESTRICTED TOTAL REQUESTED]]=0,"",
S1SHTATbl[[#This Row],[UNRESTRICTED TOTAL REQUESTED]]*
IF(S1_SHTA_UnrestrictedTotalRequested&lt;=500000,1,
500000/S1_SHTA_UnrestrictedTotalRequested)
)</f>
        <v/>
      </c>
      <c r="F8" s="272" t="str">
        <f>IF(S1SHTATbl[[#This Row],[UNRESTRICTED % OF FUNDING]]=0,"",S1SHTATbl[[#This Row],[UNRESTRICTED % OF FUNDING]])</f>
        <v/>
      </c>
      <c r="G8" s="31" t="s">
        <v>513</v>
      </c>
      <c r="H8" s="271" t="str">
        <f>IF(S1SHTATbl[[#This Row],[RURAL UNITS]]=0,"",S1SHTATbl[[#This Row],[RURAL UNITS]])</f>
        <v/>
      </c>
      <c r="I8" s="270" t="str">
        <f xml:space="preserve">
IF(S1SHTATbl[[#This Row],[RURAL TOTAL REQUESTED]]=0,"",
S1SHTATbl[[#This Row],[RURAL TOTAL REQUESTED]]*
IF(S1_SHTA_RuralTotalRequested&lt;=(500000-E$61),1,
(500000-E$61)/S1_SHTA_RuralTotalRequested)
)</f>
        <v/>
      </c>
      <c r="J8" s="272" t="str">
        <f>IF(S1SHTATbl[[#This Row],[RURAL % OF FUNDING]]=0,"",S1SHTATbl[[#This Row],[RURAL % OF FUNDING]])</f>
        <v/>
      </c>
      <c r="K8" s="31" t="s">
        <v>513</v>
      </c>
      <c r="L8" s="163"/>
      <c r="M8" s="199"/>
      <c r="N8" s="123"/>
      <c r="O8" s="161"/>
      <c r="P8" s="198"/>
      <c r="Q8" s="74">
        <f t="shared" si="0"/>
        <v>0</v>
      </c>
      <c r="R8" s="6">
        <f>IF(S1SHTATbl[[#This Row],[UNRESTRICTED TOTAL REQUESTED]]=0,0,S1SHTATbl[[#This Row],[UNRESTRICTED TOTAL REQUESTED]]/S1_SHTA_UnrestrictedTotalRequested)</f>
        <v>0</v>
      </c>
      <c r="S8" s="7">
        <f>IF(S1SHTATbl[[#This Row],[ALL UNITS IN A HIGH OR HIGHEST RESOURCE AREA]]="Yes",10*S1SHTATbl[[#This Row],[UNRESTRICTED % OF FUNDING]],0)</f>
        <v>0</v>
      </c>
      <c r="T8" s="7" cm="1">
        <f t="array" ref="T8">INDEX(CountyScoresTbl[Community Need Total Points],ROW(S1SHTATbl[[#This Row],[COUNTY]])-2,1)*S1SHTATbl[[#This Row],[UNRESTRICTED % OF FUNDING]]</f>
        <v>0</v>
      </c>
      <c r="U8" s="7" cm="1">
        <f t="array" ref="U8">INDEX(CountyScoresTbl[SHTA Total Feasibility Points Awarded],ROW(S1SHTATbl[[#This Row],[COUNTY]])-2,1)*S1SHTATbl[[#This Row],[UNRESTRICTED % OF FUNDING]]</f>
        <v>0</v>
      </c>
      <c r="V8" s="8" cm="1">
        <f t="array" ref="V8">INDEX(CountyScoresTbl[Farmworker Need Points Awarded],ROW(S1SHTATbl[[#This Row],[COUNTY]])-2,1)*S1SHTATbl[[#This Row],[UNRESTRICTED % OF FUNDING]]</f>
        <v>0</v>
      </c>
      <c r="W8" s="123"/>
      <c r="X8" s="161"/>
      <c r="Y8" s="198"/>
      <c r="Z8" s="74">
        <f t="shared" si="1"/>
        <v>0</v>
      </c>
      <c r="AA8" s="6">
        <f>IF(S1SHTATbl[[#This Row],[RURAL TOTAL REQUESTED]]=0,0,S1SHTATbl[[#This Row],[RURAL TOTAL REQUESTED]]/Z$61)</f>
        <v>0</v>
      </c>
      <c r="AB8" s="7">
        <f>IF(S1SHTATbl[[#This Row],[ALL UNITS IN A HIGH OR HIGHEST RESOURCE AREA]]="Yes",10*S1SHTATbl[[#This Row],[RURAL % OF FUNDING]],0)</f>
        <v>0</v>
      </c>
      <c r="AC8" s="7" cm="1">
        <f t="array" ref="AC8">INDEX(CountyScoresTbl[Community Need Total Points],ROW(S1SHTATbl[[#This Row],[COUNTY]])-2,1)*S1SHTATbl[[#This Row],[RURAL % OF FUNDING]]</f>
        <v>0</v>
      </c>
      <c r="AD8" s="7" cm="1">
        <f t="array" ref="AD8">INDEX(CountyScoresTbl[SHTA Total Feasibility Points Awarded],ROW(S1SHTATbl[[#This Row],[COUNTY]])-2,1)*S1SHTATbl[[#This Row],[RURAL % OF FUNDING]]</f>
        <v>0</v>
      </c>
      <c r="AE8" s="8" cm="1">
        <f t="array" ref="AE8">INDEX(CountyScoresTbl[Farmworker Need Points Awarded],ROW(S1SHTATbl[[#This Row],[COUNTY]])-2,1)*S1SHTATbl[[#This Row],[RURAL % OF FUNDING]]</f>
        <v>0</v>
      </c>
      <c r="AF8" s="399"/>
      <c r="AG8" s="7">
        <f>IF(S1SHTATbl[[#This Row],[INFILL SITE]]="Yes",5,3)*S1SHTATbl[[#This Row],[UNRESTRICTED % OF FUNDING]]</f>
        <v>0</v>
      </c>
      <c r="AH8" s="26">
        <f>IF(S1SHTATbl[[#This Row],[INFILL SITE]]="Yes",5,3)*S1SHTATbl[[#This Row],[RURAL % OF FUNDING]]</f>
        <v>0</v>
      </c>
    </row>
    <row r="9" spans="1:34" x14ac:dyDescent="0.35">
      <c r="A9" s="164"/>
      <c r="B9" s="5" t="s">
        <v>121</v>
      </c>
      <c r="C9" s="44" t="s">
        <v>513</v>
      </c>
      <c r="D9" s="114" t="str">
        <f>IF(S1SHTATbl[[#This Row],[UNRESTRICTED UNITS]]=0,"",S1SHTATbl[[#This Row],[UNRESTRICTED UNITS]])</f>
        <v/>
      </c>
      <c r="E9" s="270" t="str">
        <f xml:space="preserve">
IF(S1SHTATbl[[#This Row],[UNRESTRICTED TOTAL REQUESTED]]=0,"",
S1SHTATbl[[#This Row],[UNRESTRICTED TOTAL REQUESTED]]*
IF(S1_SHTA_UnrestrictedTotalRequested&lt;=500000,1,
500000/S1_SHTA_UnrestrictedTotalRequested)
)</f>
        <v/>
      </c>
      <c r="F9" s="272" t="str">
        <f>IF(S1SHTATbl[[#This Row],[UNRESTRICTED % OF FUNDING]]=0,"",S1SHTATbl[[#This Row],[UNRESTRICTED % OF FUNDING]])</f>
        <v/>
      </c>
      <c r="G9" s="31" t="s">
        <v>513</v>
      </c>
      <c r="H9" s="271" t="str">
        <f>IF(S1SHTATbl[[#This Row],[RURAL UNITS]]=0,"",S1SHTATbl[[#This Row],[RURAL UNITS]])</f>
        <v/>
      </c>
      <c r="I9" s="270" t="str">
        <f xml:space="preserve">
IF(S1SHTATbl[[#This Row],[RURAL TOTAL REQUESTED]]=0,"",
S1SHTATbl[[#This Row],[RURAL TOTAL REQUESTED]]*
IF(S1_SHTA_RuralTotalRequested&lt;=(500000-E$61),1,
(500000-E$61)/S1_SHTA_RuralTotalRequested)
)</f>
        <v/>
      </c>
      <c r="J9" s="272" t="str">
        <f>IF(S1SHTATbl[[#This Row],[RURAL % OF FUNDING]]=0,"",S1SHTATbl[[#This Row],[RURAL % OF FUNDING]])</f>
        <v/>
      </c>
      <c r="K9" s="31" t="s">
        <v>513</v>
      </c>
      <c r="L9" s="163"/>
      <c r="M9" s="199"/>
      <c r="N9" s="123"/>
      <c r="O9" s="161"/>
      <c r="P9" s="198"/>
      <c r="Q9" s="74">
        <f t="shared" si="0"/>
        <v>0</v>
      </c>
      <c r="R9" s="6">
        <f>IF(S1SHTATbl[[#This Row],[UNRESTRICTED TOTAL REQUESTED]]=0,0,S1SHTATbl[[#This Row],[UNRESTRICTED TOTAL REQUESTED]]/S1_SHTA_UnrestrictedTotalRequested)</f>
        <v>0</v>
      </c>
      <c r="S9" s="7">
        <f>IF(S1SHTATbl[[#This Row],[ALL UNITS IN A HIGH OR HIGHEST RESOURCE AREA]]="Yes",10*S1SHTATbl[[#This Row],[UNRESTRICTED % OF FUNDING]],0)</f>
        <v>0</v>
      </c>
      <c r="T9" s="7" cm="1">
        <f t="array" ref="T9">INDEX(CountyScoresTbl[Community Need Total Points],ROW(S1SHTATbl[[#This Row],[COUNTY]])-2,1)*S1SHTATbl[[#This Row],[UNRESTRICTED % OF FUNDING]]</f>
        <v>0</v>
      </c>
      <c r="U9" s="7" cm="1">
        <f t="array" ref="U9">INDEX(CountyScoresTbl[SHTA Total Feasibility Points Awarded],ROW(S1SHTATbl[[#This Row],[COUNTY]])-2,1)*S1SHTATbl[[#This Row],[UNRESTRICTED % OF FUNDING]]</f>
        <v>0</v>
      </c>
      <c r="V9" s="8" cm="1">
        <f t="array" ref="V9">INDEX(CountyScoresTbl[Farmworker Need Points Awarded],ROW(S1SHTATbl[[#This Row],[COUNTY]])-2,1)*S1SHTATbl[[#This Row],[UNRESTRICTED % OF FUNDING]]</f>
        <v>0</v>
      </c>
      <c r="W9" s="123"/>
      <c r="X9" s="161"/>
      <c r="Y9" s="198"/>
      <c r="Z9" s="74">
        <f t="shared" si="1"/>
        <v>0</v>
      </c>
      <c r="AA9" s="6">
        <f>IF(S1SHTATbl[[#This Row],[RURAL TOTAL REQUESTED]]=0,0,S1SHTATbl[[#This Row],[RURAL TOTAL REQUESTED]]/Z$61)</f>
        <v>0</v>
      </c>
      <c r="AB9" s="7">
        <f>IF(S1SHTATbl[[#This Row],[ALL UNITS IN A HIGH OR HIGHEST RESOURCE AREA]]="Yes",10*S1SHTATbl[[#This Row],[RURAL % OF FUNDING]],0)</f>
        <v>0</v>
      </c>
      <c r="AC9" s="7" cm="1">
        <f t="array" ref="AC9">INDEX(CountyScoresTbl[Community Need Total Points],ROW(S1SHTATbl[[#This Row],[COUNTY]])-2,1)*S1SHTATbl[[#This Row],[RURAL % OF FUNDING]]</f>
        <v>0</v>
      </c>
      <c r="AD9" s="7" cm="1">
        <f t="array" ref="AD9">INDEX(CountyScoresTbl[SHTA Total Feasibility Points Awarded],ROW(S1SHTATbl[[#This Row],[COUNTY]])-2,1)*S1SHTATbl[[#This Row],[RURAL % OF FUNDING]]</f>
        <v>0</v>
      </c>
      <c r="AE9" s="8" cm="1">
        <f t="array" ref="AE9">INDEX(CountyScoresTbl[Farmworker Need Points Awarded],ROW(S1SHTATbl[[#This Row],[COUNTY]])-2,1)*S1SHTATbl[[#This Row],[RURAL % OF FUNDING]]</f>
        <v>0</v>
      </c>
      <c r="AF9" s="399"/>
      <c r="AG9" s="7">
        <f>IF(S1SHTATbl[[#This Row],[INFILL SITE]]="Yes",5,3)*S1SHTATbl[[#This Row],[UNRESTRICTED % OF FUNDING]]</f>
        <v>0</v>
      </c>
      <c r="AH9" s="26">
        <f>IF(S1SHTATbl[[#This Row],[INFILL SITE]]="Yes",5,3)*S1SHTATbl[[#This Row],[RURAL % OF FUNDING]]</f>
        <v>0</v>
      </c>
    </row>
    <row r="10" spans="1:34" x14ac:dyDescent="0.35">
      <c r="A10" s="119"/>
      <c r="B10" s="5" t="s">
        <v>122</v>
      </c>
      <c r="C10" s="44" t="s">
        <v>513</v>
      </c>
      <c r="D10" s="114" t="str">
        <f>IF(S1SHTATbl[[#This Row],[UNRESTRICTED UNITS]]=0,"",S1SHTATbl[[#This Row],[UNRESTRICTED UNITS]])</f>
        <v/>
      </c>
      <c r="E10" s="270" t="str">
        <f xml:space="preserve">
IF(S1SHTATbl[[#This Row],[UNRESTRICTED TOTAL REQUESTED]]=0,"",
S1SHTATbl[[#This Row],[UNRESTRICTED TOTAL REQUESTED]]*
IF(S1_SHTA_UnrestrictedTotalRequested&lt;=500000,1,
500000/S1_SHTA_UnrestrictedTotalRequested)
)</f>
        <v/>
      </c>
      <c r="F10" s="272" t="str">
        <f>IF(S1SHTATbl[[#This Row],[UNRESTRICTED % OF FUNDING]]=0,"",S1SHTATbl[[#This Row],[UNRESTRICTED % OF FUNDING]])</f>
        <v/>
      </c>
      <c r="G10" s="31" t="s">
        <v>513</v>
      </c>
      <c r="H10" s="271" t="str">
        <f>IF(S1SHTATbl[[#This Row],[RURAL UNITS]]=0,"",S1SHTATbl[[#This Row],[RURAL UNITS]])</f>
        <v/>
      </c>
      <c r="I10" s="270" t="str">
        <f xml:space="preserve">
IF(S1SHTATbl[[#This Row],[RURAL TOTAL REQUESTED]]=0,"",
S1SHTATbl[[#This Row],[RURAL TOTAL REQUESTED]]*
IF(S1_SHTA_RuralTotalRequested&lt;=(500000-E$61),1,
(500000-E$61)/S1_SHTA_RuralTotalRequested)
)</f>
        <v/>
      </c>
      <c r="J10" s="272" t="str">
        <f>IF(S1SHTATbl[[#This Row],[RURAL % OF FUNDING]]=0,"",S1SHTATbl[[#This Row],[RURAL % OF FUNDING]])</f>
        <v/>
      </c>
      <c r="K10" s="31" t="s">
        <v>513</v>
      </c>
      <c r="L10" s="196"/>
      <c r="M10" s="197"/>
      <c r="N10" s="124"/>
      <c r="O10" s="119"/>
      <c r="P10" s="226"/>
      <c r="Q10" s="74">
        <f t="shared" si="0"/>
        <v>0</v>
      </c>
      <c r="R10" s="6">
        <f>IF(S1SHTATbl[[#This Row],[UNRESTRICTED TOTAL REQUESTED]]=0,0,S1SHTATbl[[#This Row],[UNRESTRICTED TOTAL REQUESTED]]/S1_SHTA_UnrestrictedTotalRequested)</f>
        <v>0</v>
      </c>
      <c r="S10" s="7">
        <f>IF(S1SHTATbl[[#This Row],[ALL UNITS IN A HIGH OR HIGHEST RESOURCE AREA]]="Yes",10*S1SHTATbl[[#This Row],[UNRESTRICTED % OF FUNDING]],0)</f>
        <v>0</v>
      </c>
      <c r="T10" s="7" cm="1">
        <f t="array" ref="T10">INDEX(CountyScoresTbl[Community Need Total Points],ROW(S1SHTATbl[[#This Row],[COUNTY]])-2,1)*S1SHTATbl[[#This Row],[UNRESTRICTED % OF FUNDING]]</f>
        <v>0</v>
      </c>
      <c r="U10" s="7" cm="1">
        <f t="array" ref="U10">INDEX(CountyScoresTbl[SHTA Total Feasibility Points Awarded],ROW(S1SHTATbl[[#This Row],[COUNTY]])-2,1)*S1SHTATbl[[#This Row],[UNRESTRICTED % OF FUNDING]]</f>
        <v>0</v>
      </c>
      <c r="V10" s="8" cm="1">
        <f t="array" ref="V10">INDEX(CountyScoresTbl[Farmworker Need Points Awarded],ROW(S1SHTATbl[[#This Row],[COUNTY]])-2,1)*S1SHTATbl[[#This Row],[UNRESTRICTED % OF FUNDING]]</f>
        <v>0</v>
      </c>
      <c r="W10" s="124"/>
      <c r="X10" s="119"/>
      <c r="Y10" s="226"/>
      <c r="Z10" s="74">
        <f t="shared" si="1"/>
        <v>0</v>
      </c>
      <c r="AA10" s="6">
        <f>IF(S1SHTATbl[[#This Row],[RURAL TOTAL REQUESTED]]=0,0,S1SHTATbl[[#This Row],[RURAL TOTAL REQUESTED]]/Z$61)</f>
        <v>0</v>
      </c>
      <c r="AB10" s="7">
        <f>IF(S1SHTATbl[[#This Row],[ALL UNITS IN A HIGH OR HIGHEST RESOURCE AREA]]="Yes",10*S1SHTATbl[[#This Row],[RURAL % OF FUNDING]],0)</f>
        <v>0</v>
      </c>
      <c r="AC10" s="7" cm="1">
        <f t="array" ref="AC10">INDEX(CountyScoresTbl[Community Need Total Points],ROW(S1SHTATbl[[#This Row],[COUNTY]])-2,1)*S1SHTATbl[[#This Row],[RURAL % OF FUNDING]]</f>
        <v>0</v>
      </c>
      <c r="AD10" s="7" cm="1">
        <f t="array" ref="AD10">INDEX(CountyScoresTbl[SHTA Total Feasibility Points Awarded],ROW(S1SHTATbl[[#This Row],[COUNTY]])-2,1)*S1SHTATbl[[#This Row],[RURAL % OF FUNDING]]</f>
        <v>0</v>
      </c>
      <c r="AE10" s="8" cm="1">
        <f t="array" ref="AE10">INDEX(CountyScoresTbl[Farmworker Need Points Awarded],ROW(S1SHTATbl[[#This Row],[COUNTY]])-2,1)*S1SHTATbl[[#This Row],[RURAL % OF FUNDING]]</f>
        <v>0</v>
      </c>
      <c r="AF10" s="399"/>
      <c r="AG10" s="7">
        <f>IF(S1SHTATbl[[#This Row],[INFILL SITE]]="Yes",5,3)*S1SHTATbl[[#This Row],[UNRESTRICTED % OF FUNDING]]</f>
        <v>0</v>
      </c>
      <c r="AH10" s="26">
        <f>IF(S1SHTATbl[[#This Row],[INFILL SITE]]="Yes",5,3)*S1SHTATbl[[#This Row],[RURAL % OF FUNDING]]</f>
        <v>0</v>
      </c>
    </row>
    <row r="11" spans="1:34" x14ac:dyDescent="0.35">
      <c r="A11" s="119"/>
      <c r="B11" s="5" t="s">
        <v>123</v>
      </c>
      <c r="C11" s="44" t="s">
        <v>513</v>
      </c>
      <c r="D11" s="114" t="str">
        <f>IF(S1SHTATbl[[#This Row],[UNRESTRICTED UNITS]]=0,"",S1SHTATbl[[#This Row],[UNRESTRICTED UNITS]])</f>
        <v/>
      </c>
      <c r="E11" s="270" t="str">
        <f xml:space="preserve">
IF(S1SHTATbl[[#This Row],[UNRESTRICTED TOTAL REQUESTED]]=0,"",
S1SHTATbl[[#This Row],[UNRESTRICTED TOTAL REQUESTED]]*
IF(S1_SHTA_UnrestrictedTotalRequested&lt;=500000,1,
500000/S1_SHTA_UnrestrictedTotalRequested)
)</f>
        <v/>
      </c>
      <c r="F11" s="272" t="str">
        <f>IF(S1SHTATbl[[#This Row],[UNRESTRICTED % OF FUNDING]]=0,"",S1SHTATbl[[#This Row],[UNRESTRICTED % OF FUNDING]])</f>
        <v/>
      </c>
      <c r="G11" s="31" t="s">
        <v>513</v>
      </c>
      <c r="H11" s="271" t="str">
        <f>IF(S1SHTATbl[[#This Row],[RURAL UNITS]]=0,"",S1SHTATbl[[#This Row],[RURAL UNITS]])</f>
        <v/>
      </c>
      <c r="I11" s="270" t="str">
        <f xml:space="preserve">
IF(S1SHTATbl[[#This Row],[RURAL TOTAL REQUESTED]]=0,"",
S1SHTATbl[[#This Row],[RURAL TOTAL REQUESTED]]*
IF(S1_SHTA_RuralTotalRequested&lt;=(500000-E$61),1,
(500000-E$61)/S1_SHTA_RuralTotalRequested)
)</f>
        <v/>
      </c>
      <c r="J11" s="272" t="str">
        <f>IF(S1SHTATbl[[#This Row],[RURAL % OF FUNDING]]=0,"",S1SHTATbl[[#This Row],[RURAL % OF FUNDING]])</f>
        <v/>
      </c>
      <c r="K11" s="31" t="s">
        <v>513</v>
      </c>
      <c r="L11" s="196"/>
      <c r="M11" s="197"/>
      <c r="N11" s="124"/>
      <c r="O11" s="119"/>
      <c r="P11" s="226"/>
      <c r="Q11" s="74">
        <f t="shared" si="0"/>
        <v>0</v>
      </c>
      <c r="R11" s="6">
        <f>IF(S1SHTATbl[[#This Row],[UNRESTRICTED TOTAL REQUESTED]]=0,0,S1SHTATbl[[#This Row],[UNRESTRICTED TOTAL REQUESTED]]/S1_SHTA_UnrestrictedTotalRequested)</f>
        <v>0</v>
      </c>
      <c r="S11" s="7">
        <f>IF(S1SHTATbl[[#This Row],[ALL UNITS IN A HIGH OR HIGHEST RESOURCE AREA]]="Yes",10*S1SHTATbl[[#This Row],[UNRESTRICTED % OF FUNDING]],0)</f>
        <v>0</v>
      </c>
      <c r="T11" s="7" cm="1">
        <f t="array" ref="T11">INDEX(CountyScoresTbl[Community Need Total Points],ROW(S1SHTATbl[[#This Row],[COUNTY]])-2,1)*S1SHTATbl[[#This Row],[UNRESTRICTED % OF FUNDING]]</f>
        <v>0</v>
      </c>
      <c r="U11" s="7" cm="1">
        <f t="array" ref="U11">INDEX(CountyScoresTbl[SHTA Total Feasibility Points Awarded],ROW(S1SHTATbl[[#This Row],[COUNTY]])-2,1)*S1SHTATbl[[#This Row],[UNRESTRICTED % OF FUNDING]]</f>
        <v>0</v>
      </c>
      <c r="V11" s="8" cm="1">
        <f t="array" ref="V11">INDEX(CountyScoresTbl[Farmworker Need Points Awarded],ROW(S1SHTATbl[[#This Row],[COUNTY]])-2,1)*S1SHTATbl[[#This Row],[UNRESTRICTED % OF FUNDING]]</f>
        <v>0</v>
      </c>
      <c r="W11" s="124"/>
      <c r="X11" s="119"/>
      <c r="Y11" s="226"/>
      <c r="Z11" s="74">
        <f t="shared" si="1"/>
        <v>0</v>
      </c>
      <c r="AA11" s="6">
        <f>IF(S1SHTATbl[[#This Row],[RURAL TOTAL REQUESTED]]=0,0,S1SHTATbl[[#This Row],[RURAL TOTAL REQUESTED]]/Z$61)</f>
        <v>0</v>
      </c>
      <c r="AB11" s="7">
        <f>IF(S1SHTATbl[[#This Row],[ALL UNITS IN A HIGH OR HIGHEST RESOURCE AREA]]="Yes",10*S1SHTATbl[[#This Row],[RURAL % OF FUNDING]],0)</f>
        <v>0</v>
      </c>
      <c r="AC11" s="7" cm="1">
        <f t="array" ref="AC11">INDEX(CountyScoresTbl[Community Need Total Points],ROW(S1SHTATbl[[#This Row],[COUNTY]])-2,1)*S1SHTATbl[[#This Row],[RURAL % OF FUNDING]]</f>
        <v>0</v>
      </c>
      <c r="AD11" s="7" cm="1">
        <f t="array" ref="AD11">INDEX(CountyScoresTbl[SHTA Total Feasibility Points Awarded],ROW(S1SHTATbl[[#This Row],[COUNTY]])-2,1)*S1SHTATbl[[#This Row],[RURAL % OF FUNDING]]</f>
        <v>0</v>
      </c>
      <c r="AE11" s="8" cm="1">
        <f t="array" ref="AE11">INDEX(CountyScoresTbl[Farmworker Need Points Awarded],ROW(S1SHTATbl[[#This Row],[COUNTY]])-2,1)*S1SHTATbl[[#This Row],[RURAL % OF FUNDING]]</f>
        <v>0</v>
      </c>
      <c r="AF11" s="399"/>
      <c r="AG11" s="7">
        <f>IF(S1SHTATbl[[#This Row],[INFILL SITE]]="Yes",5,3)*S1SHTATbl[[#This Row],[UNRESTRICTED % OF FUNDING]]</f>
        <v>0</v>
      </c>
      <c r="AH11" s="26">
        <f>IF(S1SHTATbl[[#This Row],[INFILL SITE]]="Yes",5,3)*S1SHTATbl[[#This Row],[RURAL % OF FUNDING]]</f>
        <v>0</v>
      </c>
    </row>
    <row r="12" spans="1:34" x14ac:dyDescent="0.35">
      <c r="A12" s="119"/>
      <c r="B12" s="5" t="s">
        <v>124</v>
      </c>
      <c r="C12" s="44" t="s">
        <v>513</v>
      </c>
      <c r="D12" s="114" t="str">
        <f>IF(S1SHTATbl[[#This Row],[UNRESTRICTED UNITS]]=0,"",S1SHTATbl[[#This Row],[UNRESTRICTED UNITS]])</f>
        <v/>
      </c>
      <c r="E12" s="270" t="str">
        <f xml:space="preserve">
IF(S1SHTATbl[[#This Row],[UNRESTRICTED TOTAL REQUESTED]]=0,"",
S1SHTATbl[[#This Row],[UNRESTRICTED TOTAL REQUESTED]]*
IF(S1_SHTA_UnrestrictedTotalRequested&lt;=500000,1,
500000/S1_SHTA_UnrestrictedTotalRequested)
)</f>
        <v/>
      </c>
      <c r="F12" s="272" t="str">
        <f>IF(S1SHTATbl[[#This Row],[UNRESTRICTED % OF FUNDING]]=0,"",S1SHTATbl[[#This Row],[UNRESTRICTED % OF FUNDING]])</f>
        <v/>
      </c>
      <c r="G12" s="31" t="s">
        <v>513</v>
      </c>
      <c r="H12" s="271" t="str">
        <f>IF(S1SHTATbl[[#This Row],[RURAL UNITS]]=0,"",S1SHTATbl[[#This Row],[RURAL UNITS]])</f>
        <v/>
      </c>
      <c r="I12" s="270" t="str">
        <f xml:space="preserve">
IF(S1SHTATbl[[#This Row],[RURAL TOTAL REQUESTED]]=0,"",
S1SHTATbl[[#This Row],[RURAL TOTAL REQUESTED]]*
IF(S1_SHTA_RuralTotalRequested&lt;=(500000-E$61),1,
(500000-E$61)/S1_SHTA_RuralTotalRequested)
)</f>
        <v/>
      </c>
      <c r="J12" s="272" t="str">
        <f>IF(S1SHTATbl[[#This Row],[RURAL % OF FUNDING]]=0,"",S1SHTATbl[[#This Row],[RURAL % OF FUNDING]])</f>
        <v/>
      </c>
      <c r="K12" s="31" t="s">
        <v>513</v>
      </c>
      <c r="L12" s="196"/>
      <c r="M12" s="197"/>
      <c r="N12" s="124"/>
      <c r="O12" s="119"/>
      <c r="P12" s="226"/>
      <c r="Q12" s="74">
        <f t="shared" si="0"/>
        <v>0</v>
      </c>
      <c r="R12" s="6">
        <f>IF(S1SHTATbl[[#This Row],[UNRESTRICTED TOTAL REQUESTED]]=0,0,S1SHTATbl[[#This Row],[UNRESTRICTED TOTAL REQUESTED]]/S1_SHTA_UnrestrictedTotalRequested)</f>
        <v>0</v>
      </c>
      <c r="S12" s="7">
        <f>IF(S1SHTATbl[[#This Row],[ALL UNITS IN A HIGH OR HIGHEST RESOURCE AREA]]="Yes",10*S1SHTATbl[[#This Row],[UNRESTRICTED % OF FUNDING]],0)</f>
        <v>0</v>
      </c>
      <c r="T12" s="7" cm="1">
        <f t="array" ref="T12">INDEX(CountyScoresTbl[Community Need Total Points],ROW(S1SHTATbl[[#This Row],[COUNTY]])-2,1)*S1SHTATbl[[#This Row],[UNRESTRICTED % OF FUNDING]]</f>
        <v>0</v>
      </c>
      <c r="U12" s="7" cm="1">
        <f t="array" ref="U12">INDEX(CountyScoresTbl[SHTA Total Feasibility Points Awarded],ROW(S1SHTATbl[[#This Row],[COUNTY]])-2,1)*S1SHTATbl[[#This Row],[UNRESTRICTED % OF FUNDING]]</f>
        <v>0</v>
      </c>
      <c r="V12" s="8" cm="1">
        <f t="array" ref="V12">INDEX(CountyScoresTbl[Farmworker Need Points Awarded],ROW(S1SHTATbl[[#This Row],[COUNTY]])-2,1)*S1SHTATbl[[#This Row],[UNRESTRICTED % OF FUNDING]]</f>
        <v>0</v>
      </c>
      <c r="W12" s="124"/>
      <c r="X12" s="119"/>
      <c r="Y12" s="226"/>
      <c r="Z12" s="74">
        <f t="shared" si="1"/>
        <v>0</v>
      </c>
      <c r="AA12" s="6">
        <f>IF(S1SHTATbl[[#This Row],[RURAL TOTAL REQUESTED]]=0,0,S1SHTATbl[[#This Row],[RURAL TOTAL REQUESTED]]/Z$61)</f>
        <v>0</v>
      </c>
      <c r="AB12" s="7">
        <f>IF(S1SHTATbl[[#This Row],[ALL UNITS IN A HIGH OR HIGHEST RESOURCE AREA]]="Yes",10*S1SHTATbl[[#This Row],[RURAL % OF FUNDING]],0)</f>
        <v>0</v>
      </c>
      <c r="AC12" s="7" cm="1">
        <f t="array" ref="AC12">INDEX(CountyScoresTbl[Community Need Total Points],ROW(S1SHTATbl[[#This Row],[COUNTY]])-2,1)*S1SHTATbl[[#This Row],[RURAL % OF FUNDING]]</f>
        <v>0</v>
      </c>
      <c r="AD12" s="7" cm="1">
        <f t="array" ref="AD12">INDEX(CountyScoresTbl[SHTA Total Feasibility Points Awarded],ROW(S1SHTATbl[[#This Row],[COUNTY]])-2,1)*S1SHTATbl[[#This Row],[RURAL % OF FUNDING]]</f>
        <v>0</v>
      </c>
      <c r="AE12" s="8" cm="1">
        <f t="array" ref="AE12">INDEX(CountyScoresTbl[Farmworker Need Points Awarded],ROW(S1SHTATbl[[#This Row],[COUNTY]])-2,1)*S1SHTATbl[[#This Row],[RURAL % OF FUNDING]]</f>
        <v>0</v>
      </c>
      <c r="AF12" s="399"/>
      <c r="AG12" s="7">
        <f>IF(S1SHTATbl[[#This Row],[INFILL SITE]]="Yes",5,3)*S1SHTATbl[[#This Row],[UNRESTRICTED % OF FUNDING]]</f>
        <v>0</v>
      </c>
      <c r="AH12" s="26">
        <f>IF(S1SHTATbl[[#This Row],[INFILL SITE]]="Yes",5,3)*S1SHTATbl[[#This Row],[RURAL % OF FUNDING]]</f>
        <v>0</v>
      </c>
    </row>
    <row r="13" spans="1:34" x14ac:dyDescent="0.35">
      <c r="A13" s="119"/>
      <c r="B13" s="5" t="s">
        <v>125</v>
      </c>
      <c r="C13" s="44" t="s">
        <v>513</v>
      </c>
      <c r="D13" s="114" t="str">
        <f>IF(S1SHTATbl[[#This Row],[UNRESTRICTED UNITS]]=0,"",S1SHTATbl[[#This Row],[UNRESTRICTED UNITS]])</f>
        <v/>
      </c>
      <c r="E13" s="270" t="str">
        <f xml:space="preserve">
IF(S1SHTATbl[[#This Row],[UNRESTRICTED TOTAL REQUESTED]]=0,"",
S1SHTATbl[[#This Row],[UNRESTRICTED TOTAL REQUESTED]]*
IF(S1_SHTA_UnrestrictedTotalRequested&lt;=500000,1,
500000/S1_SHTA_UnrestrictedTotalRequested)
)</f>
        <v/>
      </c>
      <c r="F13" s="272" t="str">
        <f>IF(S1SHTATbl[[#This Row],[UNRESTRICTED % OF FUNDING]]=0,"",S1SHTATbl[[#This Row],[UNRESTRICTED % OF FUNDING]])</f>
        <v/>
      </c>
      <c r="G13" s="31" t="s">
        <v>513</v>
      </c>
      <c r="H13" s="271" t="str">
        <f>IF(S1SHTATbl[[#This Row],[RURAL UNITS]]=0,"",S1SHTATbl[[#This Row],[RURAL UNITS]])</f>
        <v/>
      </c>
      <c r="I13" s="270" t="str">
        <f xml:space="preserve">
IF(S1SHTATbl[[#This Row],[RURAL TOTAL REQUESTED]]=0,"",
S1SHTATbl[[#This Row],[RURAL TOTAL REQUESTED]]*
IF(S1_SHTA_RuralTotalRequested&lt;=(500000-E$61),1,
(500000-E$61)/S1_SHTA_RuralTotalRequested)
)</f>
        <v/>
      </c>
      <c r="J13" s="272" t="str">
        <f>IF(S1SHTATbl[[#This Row],[RURAL % OF FUNDING]]=0,"",S1SHTATbl[[#This Row],[RURAL % OF FUNDING]])</f>
        <v/>
      </c>
      <c r="K13" s="31" t="s">
        <v>513</v>
      </c>
      <c r="L13" s="196"/>
      <c r="M13" s="197"/>
      <c r="N13" s="124"/>
      <c r="O13" s="119"/>
      <c r="P13" s="226"/>
      <c r="Q13" s="74">
        <f t="shared" si="0"/>
        <v>0</v>
      </c>
      <c r="R13" s="6">
        <f>IF(S1SHTATbl[[#This Row],[UNRESTRICTED TOTAL REQUESTED]]=0,0,S1SHTATbl[[#This Row],[UNRESTRICTED TOTAL REQUESTED]]/S1_SHTA_UnrestrictedTotalRequested)</f>
        <v>0</v>
      </c>
      <c r="S13" s="7">
        <f>IF(S1SHTATbl[[#This Row],[ALL UNITS IN A HIGH OR HIGHEST RESOURCE AREA]]="Yes",10*S1SHTATbl[[#This Row],[UNRESTRICTED % OF FUNDING]],0)</f>
        <v>0</v>
      </c>
      <c r="T13" s="7" cm="1">
        <f t="array" ref="T13">INDEX(CountyScoresTbl[Community Need Total Points],ROW(S1SHTATbl[[#This Row],[COUNTY]])-2,1)*S1SHTATbl[[#This Row],[UNRESTRICTED % OF FUNDING]]</f>
        <v>0</v>
      </c>
      <c r="U13" s="7" cm="1">
        <f t="array" ref="U13">INDEX(CountyScoresTbl[SHTA Total Feasibility Points Awarded],ROW(S1SHTATbl[[#This Row],[COUNTY]])-2,1)*S1SHTATbl[[#This Row],[UNRESTRICTED % OF FUNDING]]</f>
        <v>0</v>
      </c>
      <c r="V13" s="8" cm="1">
        <f t="array" ref="V13">INDEX(CountyScoresTbl[Farmworker Need Points Awarded],ROW(S1SHTATbl[[#This Row],[COUNTY]])-2,1)*S1SHTATbl[[#This Row],[UNRESTRICTED % OF FUNDING]]</f>
        <v>0</v>
      </c>
      <c r="W13" s="124"/>
      <c r="X13" s="119"/>
      <c r="Y13" s="226"/>
      <c r="Z13" s="74">
        <f t="shared" si="1"/>
        <v>0</v>
      </c>
      <c r="AA13" s="6">
        <f>IF(S1SHTATbl[[#This Row],[RURAL TOTAL REQUESTED]]=0,0,S1SHTATbl[[#This Row],[RURAL TOTAL REQUESTED]]/Z$61)</f>
        <v>0</v>
      </c>
      <c r="AB13" s="7">
        <f>IF(S1SHTATbl[[#This Row],[ALL UNITS IN A HIGH OR HIGHEST RESOURCE AREA]]="Yes",10*S1SHTATbl[[#This Row],[RURAL % OF FUNDING]],0)</f>
        <v>0</v>
      </c>
      <c r="AC13" s="7" cm="1">
        <f t="array" ref="AC13">INDEX(CountyScoresTbl[Community Need Total Points],ROW(S1SHTATbl[[#This Row],[COUNTY]])-2,1)*S1SHTATbl[[#This Row],[RURAL % OF FUNDING]]</f>
        <v>0</v>
      </c>
      <c r="AD13" s="7" cm="1">
        <f t="array" ref="AD13">INDEX(CountyScoresTbl[SHTA Total Feasibility Points Awarded],ROW(S1SHTATbl[[#This Row],[COUNTY]])-2,1)*S1SHTATbl[[#This Row],[RURAL % OF FUNDING]]</f>
        <v>0</v>
      </c>
      <c r="AE13" s="8" cm="1">
        <f t="array" ref="AE13">INDEX(CountyScoresTbl[Farmworker Need Points Awarded],ROW(S1SHTATbl[[#This Row],[COUNTY]])-2,1)*S1SHTATbl[[#This Row],[RURAL % OF FUNDING]]</f>
        <v>0</v>
      </c>
      <c r="AF13" s="399"/>
      <c r="AG13" s="7">
        <f>IF(S1SHTATbl[[#This Row],[INFILL SITE]]="Yes",5,3)*S1SHTATbl[[#This Row],[UNRESTRICTED % OF FUNDING]]</f>
        <v>0</v>
      </c>
      <c r="AH13" s="26">
        <f>IF(S1SHTATbl[[#This Row],[INFILL SITE]]="Yes",5,3)*S1SHTATbl[[#This Row],[RURAL % OF FUNDING]]</f>
        <v>0</v>
      </c>
    </row>
    <row r="14" spans="1:34" x14ac:dyDescent="0.35">
      <c r="A14" s="119"/>
      <c r="B14" s="5" t="s">
        <v>126</v>
      </c>
      <c r="C14" s="44" t="s">
        <v>513</v>
      </c>
      <c r="D14" s="114" t="str">
        <f>IF(S1SHTATbl[[#This Row],[UNRESTRICTED UNITS]]=0,"",S1SHTATbl[[#This Row],[UNRESTRICTED UNITS]])</f>
        <v/>
      </c>
      <c r="E14" s="270" t="str">
        <f xml:space="preserve">
IF(S1SHTATbl[[#This Row],[UNRESTRICTED TOTAL REQUESTED]]=0,"",
S1SHTATbl[[#This Row],[UNRESTRICTED TOTAL REQUESTED]]*
IF(S1_SHTA_UnrestrictedTotalRequested&lt;=500000,1,
500000/S1_SHTA_UnrestrictedTotalRequested)
)</f>
        <v/>
      </c>
      <c r="F14" s="272" t="str">
        <f>IF(S1SHTATbl[[#This Row],[UNRESTRICTED % OF FUNDING]]=0,"",S1SHTATbl[[#This Row],[UNRESTRICTED % OF FUNDING]])</f>
        <v/>
      </c>
      <c r="G14" s="31" t="s">
        <v>513</v>
      </c>
      <c r="H14" s="271" t="str">
        <f>IF(S1SHTATbl[[#This Row],[RURAL UNITS]]=0,"",S1SHTATbl[[#This Row],[RURAL UNITS]])</f>
        <v/>
      </c>
      <c r="I14" s="270" t="str">
        <f xml:space="preserve">
IF(S1SHTATbl[[#This Row],[RURAL TOTAL REQUESTED]]=0,"",
S1SHTATbl[[#This Row],[RURAL TOTAL REQUESTED]]*
IF(S1_SHTA_RuralTotalRequested&lt;=(500000-E$61),1,
(500000-E$61)/S1_SHTA_RuralTotalRequested)
)</f>
        <v/>
      </c>
      <c r="J14" s="272" t="str">
        <f>IF(S1SHTATbl[[#This Row],[RURAL % OF FUNDING]]=0,"",S1SHTATbl[[#This Row],[RURAL % OF FUNDING]])</f>
        <v/>
      </c>
      <c r="K14" s="31" t="s">
        <v>513</v>
      </c>
      <c r="L14" s="196"/>
      <c r="M14" s="197"/>
      <c r="N14" s="124"/>
      <c r="O14" s="119"/>
      <c r="P14" s="226"/>
      <c r="Q14" s="74">
        <f t="shared" si="0"/>
        <v>0</v>
      </c>
      <c r="R14" s="6">
        <f>IF(S1SHTATbl[[#This Row],[UNRESTRICTED TOTAL REQUESTED]]=0,0,S1SHTATbl[[#This Row],[UNRESTRICTED TOTAL REQUESTED]]/S1_SHTA_UnrestrictedTotalRequested)</f>
        <v>0</v>
      </c>
      <c r="S14" s="7">
        <f>IF(S1SHTATbl[[#This Row],[ALL UNITS IN A HIGH OR HIGHEST RESOURCE AREA]]="Yes",10*S1SHTATbl[[#This Row],[UNRESTRICTED % OF FUNDING]],0)</f>
        <v>0</v>
      </c>
      <c r="T14" s="7" cm="1">
        <f t="array" ref="T14">INDEX(CountyScoresTbl[Community Need Total Points],ROW(S1SHTATbl[[#This Row],[COUNTY]])-2,1)*S1SHTATbl[[#This Row],[UNRESTRICTED % OF FUNDING]]</f>
        <v>0</v>
      </c>
      <c r="U14" s="7" cm="1">
        <f t="array" ref="U14">INDEX(CountyScoresTbl[SHTA Total Feasibility Points Awarded],ROW(S1SHTATbl[[#This Row],[COUNTY]])-2,1)*S1SHTATbl[[#This Row],[UNRESTRICTED % OF FUNDING]]</f>
        <v>0</v>
      </c>
      <c r="V14" s="8" cm="1">
        <f t="array" ref="V14">INDEX(CountyScoresTbl[Farmworker Need Points Awarded],ROW(S1SHTATbl[[#This Row],[COUNTY]])-2,1)*S1SHTATbl[[#This Row],[UNRESTRICTED % OF FUNDING]]</f>
        <v>0</v>
      </c>
      <c r="W14" s="124"/>
      <c r="X14" s="119"/>
      <c r="Y14" s="226"/>
      <c r="Z14" s="74">
        <f t="shared" si="1"/>
        <v>0</v>
      </c>
      <c r="AA14" s="6">
        <f>IF(S1SHTATbl[[#This Row],[RURAL TOTAL REQUESTED]]=0,0,S1SHTATbl[[#This Row],[RURAL TOTAL REQUESTED]]/Z$61)</f>
        <v>0</v>
      </c>
      <c r="AB14" s="7">
        <f>IF(S1SHTATbl[[#This Row],[ALL UNITS IN A HIGH OR HIGHEST RESOURCE AREA]]="Yes",10*S1SHTATbl[[#This Row],[RURAL % OF FUNDING]],0)</f>
        <v>0</v>
      </c>
      <c r="AC14" s="7" cm="1">
        <f t="array" ref="AC14">INDEX(CountyScoresTbl[Community Need Total Points],ROW(S1SHTATbl[[#This Row],[COUNTY]])-2,1)*S1SHTATbl[[#This Row],[RURAL % OF FUNDING]]</f>
        <v>0</v>
      </c>
      <c r="AD14" s="7" cm="1">
        <f t="array" ref="AD14">INDEX(CountyScoresTbl[SHTA Total Feasibility Points Awarded],ROW(S1SHTATbl[[#This Row],[COUNTY]])-2,1)*S1SHTATbl[[#This Row],[RURAL % OF FUNDING]]</f>
        <v>0</v>
      </c>
      <c r="AE14" s="8" cm="1">
        <f t="array" ref="AE14">INDEX(CountyScoresTbl[Farmworker Need Points Awarded],ROW(S1SHTATbl[[#This Row],[COUNTY]])-2,1)*S1SHTATbl[[#This Row],[RURAL % OF FUNDING]]</f>
        <v>0</v>
      </c>
      <c r="AF14" s="399"/>
      <c r="AG14" s="7">
        <f>IF(S1SHTATbl[[#This Row],[INFILL SITE]]="Yes",5,3)*S1SHTATbl[[#This Row],[UNRESTRICTED % OF FUNDING]]</f>
        <v>0</v>
      </c>
      <c r="AH14" s="26">
        <f>IF(S1SHTATbl[[#This Row],[INFILL SITE]]="Yes",5,3)*S1SHTATbl[[#This Row],[RURAL % OF FUNDING]]</f>
        <v>0</v>
      </c>
    </row>
    <row r="15" spans="1:34" x14ac:dyDescent="0.35">
      <c r="A15" s="119"/>
      <c r="B15" s="5" t="s">
        <v>127</v>
      </c>
      <c r="C15" s="44" t="s">
        <v>513</v>
      </c>
      <c r="D15" s="114" t="str">
        <f>IF(S1SHTATbl[[#This Row],[UNRESTRICTED UNITS]]=0,"",S1SHTATbl[[#This Row],[UNRESTRICTED UNITS]])</f>
        <v/>
      </c>
      <c r="E15" s="270" t="str">
        <f xml:space="preserve">
IF(S1SHTATbl[[#This Row],[UNRESTRICTED TOTAL REQUESTED]]=0,"",
S1SHTATbl[[#This Row],[UNRESTRICTED TOTAL REQUESTED]]*
IF(S1_SHTA_UnrestrictedTotalRequested&lt;=500000,1,
500000/S1_SHTA_UnrestrictedTotalRequested)
)</f>
        <v/>
      </c>
      <c r="F15" s="272" t="str">
        <f>IF(S1SHTATbl[[#This Row],[UNRESTRICTED % OF FUNDING]]=0,"",S1SHTATbl[[#This Row],[UNRESTRICTED % OF FUNDING]])</f>
        <v/>
      </c>
      <c r="G15" s="31" t="s">
        <v>513</v>
      </c>
      <c r="H15" s="271" t="str">
        <f>IF(S1SHTATbl[[#This Row],[RURAL UNITS]]=0,"",S1SHTATbl[[#This Row],[RURAL UNITS]])</f>
        <v/>
      </c>
      <c r="I15" s="270" t="str">
        <f xml:space="preserve">
IF(S1SHTATbl[[#This Row],[RURAL TOTAL REQUESTED]]=0,"",
S1SHTATbl[[#This Row],[RURAL TOTAL REQUESTED]]*
IF(S1_SHTA_RuralTotalRequested&lt;=(500000-E$61),1,
(500000-E$61)/S1_SHTA_RuralTotalRequested)
)</f>
        <v/>
      </c>
      <c r="J15" s="272" t="str">
        <f>IF(S1SHTATbl[[#This Row],[RURAL % OF FUNDING]]=0,"",S1SHTATbl[[#This Row],[RURAL % OF FUNDING]])</f>
        <v/>
      </c>
      <c r="K15" s="31" t="s">
        <v>513</v>
      </c>
      <c r="L15" s="196"/>
      <c r="M15" s="197"/>
      <c r="N15" s="124"/>
      <c r="O15" s="119"/>
      <c r="P15" s="226"/>
      <c r="Q15" s="74">
        <f t="shared" si="0"/>
        <v>0</v>
      </c>
      <c r="R15" s="6">
        <f>IF(S1SHTATbl[[#This Row],[UNRESTRICTED TOTAL REQUESTED]]=0,0,S1SHTATbl[[#This Row],[UNRESTRICTED TOTAL REQUESTED]]/S1_SHTA_UnrestrictedTotalRequested)</f>
        <v>0</v>
      </c>
      <c r="S15" s="7">
        <f>IF(S1SHTATbl[[#This Row],[ALL UNITS IN A HIGH OR HIGHEST RESOURCE AREA]]="Yes",10*S1SHTATbl[[#This Row],[UNRESTRICTED % OF FUNDING]],0)</f>
        <v>0</v>
      </c>
      <c r="T15" s="7" cm="1">
        <f t="array" ref="T15">INDEX(CountyScoresTbl[Community Need Total Points],ROW(S1SHTATbl[[#This Row],[COUNTY]])-2,1)*S1SHTATbl[[#This Row],[UNRESTRICTED % OF FUNDING]]</f>
        <v>0</v>
      </c>
      <c r="U15" s="7" cm="1">
        <f t="array" ref="U15">INDEX(CountyScoresTbl[SHTA Total Feasibility Points Awarded],ROW(S1SHTATbl[[#This Row],[COUNTY]])-2,1)*S1SHTATbl[[#This Row],[UNRESTRICTED % OF FUNDING]]</f>
        <v>0</v>
      </c>
      <c r="V15" s="8" cm="1">
        <f t="array" ref="V15">INDEX(CountyScoresTbl[Farmworker Need Points Awarded],ROW(S1SHTATbl[[#This Row],[COUNTY]])-2,1)*S1SHTATbl[[#This Row],[UNRESTRICTED % OF FUNDING]]</f>
        <v>0</v>
      </c>
      <c r="W15" s="124"/>
      <c r="X15" s="119"/>
      <c r="Y15" s="226"/>
      <c r="Z15" s="74">
        <f t="shared" si="1"/>
        <v>0</v>
      </c>
      <c r="AA15" s="6">
        <f>IF(S1SHTATbl[[#This Row],[RURAL TOTAL REQUESTED]]=0,0,S1SHTATbl[[#This Row],[RURAL TOTAL REQUESTED]]/Z$61)</f>
        <v>0</v>
      </c>
      <c r="AB15" s="7">
        <f>IF(S1SHTATbl[[#This Row],[ALL UNITS IN A HIGH OR HIGHEST RESOURCE AREA]]="Yes",10*S1SHTATbl[[#This Row],[RURAL % OF FUNDING]],0)</f>
        <v>0</v>
      </c>
      <c r="AC15" s="7" cm="1">
        <f t="array" ref="AC15">INDEX(CountyScoresTbl[Community Need Total Points],ROW(S1SHTATbl[[#This Row],[COUNTY]])-2,1)*S1SHTATbl[[#This Row],[RURAL % OF FUNDING]]</f>
        <v>0</v>
      </c>
      <c r="AD15" s="7" cm="1">
        <f t="array" ref="AD15">INDEX(CountyScoresTbl[SHTA Total Feasibility Points Awarded],ROW(S1SHTATbl[[#This Row],[COUNTY]])-2,1)*S1SHTATbl[[#This Row],[RURAL % OF FUNDING]]</f>
        <v>0</v>
      </c>
      <c r="AE15" s="8" cm="1">
        <f t="array" ref="AE15">INDEX(CountyScoresTbl[Farmworker Need Points Awarded],ROW(S1SHTATbl[[#This Row],[COUNTY]])-2,1)*S1SHTATbl[[#This Row],[RURAL % OF FUNDING]]</f>
        <v>0</v>
      </c>
      <c r="AF15" s="399"/>
      <c r="AG15" s="7">
        <f>IF(S1SHTATbl[[#This Row],[INFILL SITE]]="Yes",5,3)*S1SHTATbl[[#This Row],[UNRESTRICTED % OF FUNDING]]</f>
        <v>0</v>
      </c>
      <c r="AH15" s="26">
        <f>IF(S1SHTATbl[[#This Row],[INFILL SITE]]="Yes",5,3)*S1SHTATbl[[#This Row],[RURAL % OF FUNDING]]</f>
        <v>0</v>
      </c>
    </row>
    <row r="16" spans="1:34" x14ac:dyDescent="0.35">
      <c r="A16" s="119"/>
      <c r="B16" s="5" t="s">
        <v>128</v>
      </c>
      <c r="C16" s="44" t="s">
        <v>513</v>
      </c>
      <c r="D16" s="114" t="str">
        <f>IF(S1SHTATbl[[#This Row],[UNRESTRICTED UNITS]]=0,"",S1SHTATbl[[#This Row],[UNRESTRICTED UNITS]])</f>
        <v/>
      </c>
      <c r="E16" s="270" t="str">
        <f xml:space="preserve">
IF(S1SHTATbl[[#This Row],[UNRESTRICTED TOTAL REQUESTED]]=0,"",
S1SHTATbl[[#This Row],[UNRESTRICTED TOTAL REQUESTED]]*
IF(S1_SHTA_UnrestrictedTotalRequested&lt;=500000,1,
500000/S1_SHTA_UnrestrictedTotalRequested)
)</f>
        <v/>
      </c>
      <c r="F16" s="272" t="str">
        <f>IF(S1SHTATbl[[#This Row],[UNRESTRICTED % OF FUNDING]]=0,"",S1SHTATbl[[#This Row],[UNRESTRICTED % OF FUNDING]])</f>
        <v/>
      </c>
      <c r="G16" s="31" t="s">
        <v>513</v>
      </c>
      <c r="H16" s="271" t="str">
        <f>IF(S1SHTATbl[[#This Row],[RURAL UNITS]]=0,"",S1SHTATbl[[#This Row],[RURAL UNITS]])</f>
        <v/>
      </c>
      <c r="I16" s="270" t="str">
        <f xml:space="preserve">
IF(S1SHTATbl[[#This Row],[RURAL TOTAL REQUESTED]]=0,"",
S1SHTATbl[[#This Row],[RURAL TOTAL REQUESTED]]*
IF(S1_SHTA_RuralTotalRequested&lt;=(500000-E$61),1,
(500000-E$61)/S1_SHTA_RuralTotalRequested)
)</f>
        <v/>
      </c>
      <c r="J16" s="272" t="str">
        <f>IF(S1SHTATbl[[#This Row],[RURAL % OF FUNDING]]=0,"",S1SHTATbl[[#This Row],[RURAL % OF FUNDING]])</f>
        <v/>
      </c>
      <c r="K16" s="31" t="s">
        <v>513</v>
      </c>
      <c r="L16" s="196"/>
      <c r="M16" s="197"/>
      <c r="N16" s="124"/>
      <c r="O16" s="119"/>
      <c r="P16" s="226"/>
      <c r="Q16" s="74">
        <f t="shared" si="0"/>
        <v>0</v>
      </c>
      <c r="R16" s="6">
        <f>IF(S1SHTATbl[[#This Row],[UNRESTRICTED TOTAL REQUESTED]]=0,0,S1SHTATbl[[#This Row],[UNRESTRICTED TOTAL REQUESTED]]/S1_SHTA_UnrestrictedTotalRequested)</f>
        <v>0</v>
      </c>
      <c r="S16" s="7">
        <f>IF(S1SHTATbl[[#This Row],[ALL UNITS IN A HIGH OR HIGHEST RESOURCE AREA]]="Yes",10*S1SHTATbl[[#This Row],[UNRESTRICTED % OF FUNDING]],0)</f>
        <v>0</v>
      </c>
      <c r="T16" s="7" cm="1">
        <f t="array" ref="T16">INDEX(CountyScoresTbl[Community Need Total Points],ROW(S1SHTATbl[[#This Row],[COUNTY]])-2,1)*S1SHTATbl[[#This Row],[UNRESTRICTED % OF FUNDING]]</f>
        <v>0</v>
      </c>
      <c r="U16" s="7" cm="1">
        <f t="array" ref="U16">INDEX(CountyScoresTbl[SHTA Total Feasibility Points Awarded],ROW(S1SHTATbl[[#This Row],[COUNTY]])-2,1)*S1SHTATbl[[#This Row],[UNRESTRICTED % OF FUNDING]]</f>
        <v>0</v>
      </c>
      <c r="V16" s="8" cm="1">
        <f t="array" ref="V16">INDEX(CountyScoresTbl[Farmworker Need Points Awarded],ROW(S1SHTATbl[[#This Row],[COUNTY]])-2,1)*S1SHTATbl[[#This Row],[UNRESTRICTED % OF FUNDING]]</f>
        <v>0</v>
      </c>
      <c r="W16" s="124"/>
      <c r="X16" s="119"/>
      <c r="Y16" s="226"/>
      <c r="Z16" s="74">
        <f t="shared" si="1"/>
        <v>0</v>
      </c>
      <c r="AA16" s="6">
        <f>IF(S1SHTATbl[[#This Row],[RURAL TOTAL REQUESTED]]=0,0,S1SHTATbl[[#This Row],[RURAL TOTAL REQUESTED]]/Z$61)</f>
        <v>0</v>
      </c>
      <c r="AB16" s="7">
        <f>IF(S1SHTATbl[[#This Row],[ALL UNITS IN A HIGH OR HIGHEST RESOURCE AREA]]="Yes",10*S1SHTATbl[[#This Row],[RURAL % OF FUNDING]],0)</f>
        <v>0</v>
      </c>
      <c r="AC16" s="7" cm="1">
        <f t="array" ref="AC16">INDEX(CountyScoresTbl[Community Need Total Points],ROW(S1SHTATbl[[#This Row],[COUNTY]])-2,1)*S1SHTATbl[[#This Row],[RURAL % OF FUNDING]]</f>
        <v>0</v>
      </c>
      <c r="AD16" s="7" cm="1">
        <f t="array" ref="AD16">INDEX(CountyScoresTbl[SHTA Total Feasibility Points Awarded],ROW(S1SHTATbl[[#This Row],[COUNTY]])-2,1)*S1SHTATbl[[#This Row],[RURAL % OF FUNDING]]</f>
        <v>0</v>
      </c>
      <c r="AE16" s="8" cm="1">
        <f t="array" ref="AE16">INDEX(CountyScoresTbl[Farmworker Need Points Awarded],ROW(S1SHTATbl[[#This Row],[COUNTY]])-2,1)*S1SHTATbl[[#This Row],[RURAL % OF FUNDING]]</f>
        <v>0</v>
      </c>
      <c r="AF16" s="399"/>
      <c r="AG16" s="7">
        <f>IF(S1SHTATbl[[#This Row],[INFILL SITE]]="Yes",5,3)*S1SHTATbl[[#This Row],[UNRESTRICTED % OF FUNDING]]</f>
        <v>0</v>
      </c>
      <c r="AH16" s="26">
        <f>IF(S1SHTATbl[[#This Row],[INFILL SITE]]="Yes",5,3)*S1SHTATbl[[#This Row],[RURAL % OF FUNDING]]</f>
        <v>0</v>
      </c>
    </row>
    <row r="17" spans="1:34" x14ac:dyDescent="0.35">
      <c r="A17" s="119"/>
      <c r="B17" s="5" t="s">
        <v>129</v>
      </c>
      <c r="C17" s="44" t="s">
        <v>513</v>
      </c>
      <c r="D17" s="114" t="str">
        <f>IF(S1SHTATbl[[#This Row],[UNRESTRICTED UNITS]]=0,"",S1SHTATbl[[#This Row],[UNRESTRICTED UNITS]])</f>
        <v/>
      </c>
      <c r="E17" s="270" t="str">
        <f xml:space="preserve">
IF(S1SHTATbl[[#This Row],[UNRESTRICTED TOTAL REQUESTED]]=0,"",
S1SHTATbl[[#This Row],[UNRESTRICTED TOTAL REQUESTED]]*
IF(S1_SHTA_UnrestrictedTotalRequested&lt;=500000,1,
500000/S1_SHTA_UnrestrictedTotalRequested)
)</f>
        <v/>
      </c>
      <c r="F17" s="272" t="str">
        <f>IF(S1SHTATbl[[#This Row],[UNRESTRICTED % OF FUNDING]]=0,"",S1SHTATbl[[#This Row],[UNRESTRICTED % OF FUNDING]])</f>
        <v/>
      </c>
      <c r="G17" s="31" t="s">
        <v>513</v>
      </c>
      <c r="H17" s="271" t="str">
        <f>IF(S1SHTATbl[[#This Row],[RURAL UNITS]]=0,"",S1SHTATbl[[#This Row],[RURAL UNITS]])</f>
        <v/>
      </c>
      <c r="I17" s="270" t="str">
        <f xml:space="preserve">
IF(S1SHTATbl[[#This Row],[RURAL TOTAL REQUESTED]]=0,"",
S1SHTATbl[[#This Row],[RURAL TOTAL REQUESTED]]*
IF(S1_SHTA_RuralTotalRequested&lt;=(500000-E$61),1,
(500000-E$61)/S1_SHTA_RuralTotalRequested)
)</f>
        <v/>
      </c>
      <c r="J17" s="272" t="str">
        <f>IF(S1SHTATbl[[#This Row],[RURAL % OF FUNDING]]=0,"",S1SHTATbl[[#This Row],[RURAL % OF FUNDING]])</f>
        <v/>
      </c>
      <c r="K17" s="31" t="s">
        <v>513</v>
      </c>
      <c r="L17" s="196"/>
      <c r="M17" s="197"/>
      <c r="N17" s="124"/>
      <c r="O17" s="119"/>
      <c r="P17" s="226"/>
      <c r="Q17" s="74">
        <f t="shared" si="0"/>
        <v>0</v>
      </c>
      <c r="R17" s="6">
        <f>IF(S1SHTATbl[[#This Row],[UNRESTRICTED TOTAL REQUESTED]]=0,0,S1SHTATbl[[#This Row],[UNRESTRICTED TOTAL REQUESTED]]/S1_SHTA_UnrestrictedTotalRequested)</f>
        <v>0</v>
      </c>
      <c r="S17" s="7">
        <f>IF(S1SHTATbl[[#This Row],[ALL UNITS IN A HIGH OR HIGHEST RESOURCE AREA]]="Yes",10*S1SHTATbl[[#This Row],[UNRESTRICTED % OF FUNDING]],0)</f>
        <v>0</v>
      </c>
      <c r="T17" s="7" cm="1">
        <f t="array" ref="T17">INDEX(CountyScoresTbl[Community Need Total Points],ROW(S1SHTATbl[[#This Row],[COUNTY]])-2,1)*S1SHTATbl[[#This Row],[UNRESTRICTED % OF FUNDING]]</f>
        <v>0</v>
      </c>
      <c r="U17" s="7" cm="1">
        <f t="array" ref="U17">INDEX(CountyScoresTbl[SHTA Total Feasibility Points Awarded],ROW(S1SHTATbl[[#This Row],[COUNTY]])-2,1)*S1SHTATbl[[#This Row],[UNRESTRICTED % OF FUNDING]]</f>
        <v>0</v>
      </c>
      <c r="V17" s="8" cm="1">
        <f t="array" ref="V17">INDEX(CountyScoresTbl[Farmworker Need Points Awarded],ROW(S1SHTATbl[[#This Row],[COUNTY]])-2,1)*S1SHTATbl[[#This Row],[UNRESTRICTED % OF FUNDING]]</f>
        <v>0</v>
      </c>
      <c r="W17" s="124"/>
      <c r="X17" s="119"/>
      <c r="Y17" s="226"/>
      <c r="Z17" s="74">
        <f t="shared" si="1"/>
        <v>0</v>
      </c>
      <c r="AA17" s="6">
        <f>IF(S1SHTATbl[[#This Row],[RURAL TOTAL REQUESTED]]=0,0,S1SHTATbl[[#This Row],[RURAL TOTAL REQUESTED]]/Z$61)</f>
        <v>0</v>
      </c>
      <c r="AB17" s="7">
        <f>IF(S1SHTATbl[[#This Row],[ALL UNITS IN A HIGH OR HIGHEST RESOURCE AREA]]="Yes",10*S1SHTATbl[[#This Row],[RURAL % OF FUNDING]],0)</f>
        <v>0</v>
      </c>
      <c r="AC17" s="7" cm="1">
        <f t="array" ref="AC17">INDEX(CountyScoresTbl[Community Need Total Points],ROW(S1SHTATbl[[#This Row],[COUNTY]])-2,1)*S1SHTATbl[[#This Row],[RURAL % OF FUNDING]]</f>
        <v>0</v>
      </c>
      <c r="AD17" s="7" cm="1">
        <f t="array" ref="AD17">INDEX(CountyScoresTbl[SHTA Total Feasibility Points Awarded],ROW(S1SHTATbl[[#This Row],[COUNTY]])-2,1)*S1SHTATbl[[#This Row],[RURAL % OF FUNDING]]</f>
        <v>0</v>
      </c>
      <c r="AE17" s="8" cm="1">
        <f t="array" ref="AE17">INDEX(CountyScoresTbl[Farmworker Need Points Awarded],ROW(S1SHTATbl[[#This Row],[COUNTY]])-2,1)*S1SHTATbl[[#This Row],[RURAL % OF FUNDING]]</f>
        <v>0</v>
      </c>
      <c r="AF17" s="399"/>
      <c r="AG17" s="7">
        <f>IF(S1SHTATbl[[#This Row],[INFILL SITE]]="Yes",5,3)*S1SHTATbl[[#This Row],[UNRESTRICTED % OF FUNDING]]</f>
        <v>0</v>
      </c>
      <c r="AH17" s="26">
        <f>IF(S1SHTATbl[[#This Row],[INFILL SITE]]="Yes",5,3)*S1SHTATbl[[#This Row],[RURAL % OF FUNDING]]</f>
        <v>0</v>
      </c>
    </row>
    <row r="18" spans="1:34" x14ac:dyDescent="0.35">
      <c r="A18" s="119"/>
      <c r="B18" s="5" t="s">
        <v>130</v>
      </c>
      <c r="C18" s="44" t="s">
        <v>513</v>
      </c>
      <c r="D18" s="114" t="str">
        <f>IF(S1SHTATbl[[#This Row],[UNRESTRICTED UNITS]]=0,"",S1SHTATbl[[#This Row],[UNRESTRICTED UNITS]])</f>
        <v/>
      </c>
      <c r="E18" s="270" t="str">
        <f xml:space="preserve">
IF(S1SHTATbl[[#This Row],[UNRESTRICTED TOTAL REQUESTED]]=0,"",
S1SHTATbl[[#This Row],[UNRESTRICTED TOTAL REQUESTED]]*
IF(S1_SHTA_UnrestrictedTotalRequested&lt;=500000,1,
500000/S1_SHTA_UnrestrictedTotalRequested)
)</f>
        <v/>
      </c>
      <c r="F18" s="272" t="str">
        <f>IF(S1SHTATbl[[#This Row],[UNRESTRICTED % OF FUNDING]]=0,"",S1SHTATbl[[#This Row],[UNRESTRICTED % OF FUNDING]])</f>
        <v/>
      </c>
      <c r="G18" s="31" t="s">
        <v>513</v>
      </c>
      <c r="H18" s="271" t="str">
        <f>IF(S1SHTATbl[[#This Row],[RURAL UNITS]]=0,"",S1SHTATbl[[#This Row],[RURAL UNITS]])</f>
        <v/>
      </c>
      <c r="I18" s="270" t="str">
        <f xml:space="preserve">
IF(S1SHTATbl[[#This Row],[RURAL TOTAL REQUESTED]]=0,"",
S1SHTATbl[[#This Row],[RURAL TOTAL REQUESTED]]*
IF(S1_SHTA_RuralTotalRequested&lt;=(500000-E$61),1,
(500000-E$61)/S1_SHTA_RuralTotalRequested)
)</f>
        <v/>
      </c>
      <c r="J18" s="272" t="str">
        <f>IF(S1SHTATbl[[#This Row],[RURAL % OF FUNDING]]=0,"",S1SHTATbl[[#This Row],[RURAL % OF FUNDING]])</f>
        <v/>
      </c>
      <c r="K18" s="31" t="s">
        <v>513</v>
      </c>
      <c r="L18" s="196"/>
      <c r="M18" s="197"/>
      <c r="N18" s="124"/>
      <c r="O18" s="119"/>
      <c r="P18" s="226"/>
      <c r="Q18" s="74">
        <f t="shared" si="0"/>
        <v>0</v>
      </c>
      <c r="R18" s="6">
        <f>IF(S1SHTATbl[[#This Row],[UNRESTRICTED TOTAL REQUESTED]]=0,0,S1SHTATbl[[#This Row],[UNRESTRICTED TOTAL REQUESTED]]/S1_SHTA_UnrestrictedTotalRequested)</f>
        <v>0</v>
      </c>
      <c r="S18" s="7">
        <f>IF(S1SHTATbl[[#This Row],[ALL UNITS IN A HIGH OR HIGHEST RESOURCE AREA]]="Yes",10*S1SHTATbl[[#This Row],[UNRESTRICTED % OF FUNDING]],0)</f>
        <v>0</v>
      </c>
      <c r="T18" s="7" cm="1">
        <f t="array" ref="T18">INDEX(CountyScoresTbl[Community Need Total Points],ROW(S1SHTATbl[[#This Row],[COUNTY]])-2,1)*S1SHTATbl[[#This Row],[UNRESTRICTED % OF FUNDING]]</f>
        <v>0</v>
      </c>
      <c r="U18" s="7" cm="1">
        <f t="array" ref="U18">INDEX(CountyScoresTbl[SHTA Total Feasibility Points Awarded],ROW(S1SHTATbl[[#This Row],[COUNTY]])-2,1)*S1SHTATbl[[#This Row],[UNRESTRICTED % OF FUNDING]]</f>
        <v>0</v>
      </c>
      <c r="V18" s="8" cm="1">
        <f t="array" ref="V18">INDEX(CountyScoresTbl[Farmworker Need Points Awarded],ROW(S1SHTATbl[[#This Row],[COUNTY]])-2,1)*S1SHTATbl[[#This Row],[UNRESTRICTED % OF FUNDING]]</f>
        <v>0</v>
      </c>
      <c r="W18" s="124"/>
      <c r="X18" s="119"/>
      <c r="Y18" s="226"/>
      <c r="Z18" s="74">
        <f t="shared" si="1"/>
        <v>0</v>
      </c>
      <c r="AA18" s="6">
        <f>IF(S1SHTATbl[[#This Row],[RURAL TOTAL REQUESTED]]=0,0,S1SHTATbl[[#This Row],[RURAL TOTAL REQUESTED]]/Z$61)</f>
        <v>0</v>
      </c>
      <c r="AB18" s="7">
        <f>IF(S1SHTATbl[[#This Row],[ALL UNITS IN A HIGH OR HIGHEST RESOURCE AREA]]="Yes",10*S1SHTATbl[[#This Row],[RURAL % OF FUNDING]],0)</f>
        <v>0</v>
      </c>
      <c r="AC18" s="7" cm="1">
        <f t="array" ref="AC18">INDEX(CountyScoresTbl[Community Need Total Points],ROW(S1SHTATbl[[#This Row],[COUNTY]])-2,1)*S1SHTATbl[[#This Row],[RURAL % OF FUNDING]]</f>
        <v>0</v>
      </c>
      <c r="AD18" s="7" cm="1">
        <f t="array" ref="AD18">INDEX(CountyScoresTbl[SHTA Total Feasibility Points Awarded],ROW(S1SHTATbl[[#This Row],[COUNTY]])-2,1)*S1SHTATbl[[#This Row],[RURAL % OF FUNDING]]</f>
        <v>0</v>
      </c>
      <c r="AE18" s="8" cm="1">
        <f t="array" ref="AE18">INDEX(CountyScoresTbl[Farmworker Need Points Awarded],ROW(S1SHTATbl[[#This Row],[COUNTY]])-2,1)*S1SHTATbl[[#This Row],[RURAL % OF FUNDING]]</f>
        <v>0</v>
      </c>
      <c r="AF18" s="399"/>
      <c r="AG18" s="7">
        <f>IF(S1SHTATbl[[#This Row],[INFILL SITE]]="Yes",5,3)*S1SHTATbl[[#This Row],[UNRESTRICTED % OF FUNDING]]</f>
        <v>0</v>
      </c>
      <c r="AH18" s="26">
        <f>IF(S1SHTATbl[[#This Row],[INFILL SITE]]="Yes",5,3)*S1SHTATbl[[#This Row],[RURAL % OF FUNDING]]</f>
        <v>0</v>
      </c>
    </row>
    <row r="19" spans="1:34" x14ac:dyDescent="0.35">
      <c r="A19" s="119"/>
      <c r="B19" s="5" t="s">
        <v>131</v>
      </c>
      <c r="C19" s="44" t="s">
        <v>513</v>
      </c>
      <c r="D19" s="114" t="str">
        <f>IF(S1SHTATbl[[#This Row],[UNRESTRICTED UNITS]]=0,"",S1SHTATbl[[#This Row],[UNRESTRICTED UNITS]])</f>
        <v/>
      </c>
      <c r="E19" s="270" t="str">
        <f xml:space="preserve">
IF(S1SHTATbl[[#This Row],[UNRESTRICTED TOTAL REQUESTED]]=0,"",
S1SHTATbl[[#This Row],[UNRESTRICTED TOTAL REQUESTED]]*
IF(S1_SHTA_UnrestrictedTotalRequested&lt;=500000,1,
500000/S1_SHTA_UnrestrictedTotalRequested)
)</f>
        <v/>
      </c>
      <c r="F19" s="272" t="str">
        <f>IF(S1SHTATbl[[#This Row],[UNRESTRICTED % OF FUNDING]]=0,"",S1SHTATbl[[#This Row],[UNRESTRICTED % OF FUNDING]])</f>
        <v/>
      </c>
      <c r="G19" s="31" t="s">
        <v>513</v>
      </c>
      <c r="H19" s="271" t="str">
        <f>IF(S1SHTATbl[[#This Row],[RURAL UNITS]]=0,"",S1SHTATbl[[#This Row],[RURAL UNITS]])</f>
        <v/>
      </c>
      <c r="I19" s="270" t="str">
        <f xml:space="preserve">
IF(S1SHTATbl[[#This Row],[RURAL TOTAL REQUESTED]]=0,"",
S1SHTATbl[[#This Row],[RURAL TOTAL REQUESTED]]*
IF(S1_SHTA_RuralTotalRequested&lt;=(500000-E$61),1,
(500000-E$61)/S1_SHTA_RuralTotalRequested)
)</f>
        <v/>
      </c>
      <c r="J19" s="272" t="str">
        <f>IF(S1SHTATbl[[#This Row],[RURAL % OF FUNDING]]=0,"",S1SHTATbl[[#This Row],[RURAL % OF FUNDING]])</f>
        <v/>
      </c>
      <c r="K19" s="31" t="s">
        <v>513</v>
      </c>
      <c r="L19" s="196"/>
      <c r="M19" s="197"/>
      <c r="N19" s="124"/>
      <c r="O19" s="119"/>
      <c r="P19" s="226"/>
      <c r="Q19" s="74">
        <f t="shared" si="0"/>
        <v>0</v>
      </c>
      <c r="R19" s="6">
        <f>IF(S1SHTATbl[[#This Row],[UNRESTRICTED TOTAL REQUESTED]]=0,0,S1SHTATbl[[#This Row],[UNRESTRICTED TOTAL REQUESTED]]/S1_SHTA_UnrestrictedTotalRequested)</f>
        <v>0</v>
      </c>
      <c r="S19" s="7">
        <f>IF(S1SHTATbl[[#This Row],[ALL UNITS IN A HIGH OR HIGHEST RESOURCE AREA]]="Yes",10*S1SHTATbl[[#This Row],[UNRESTRICTED % OF FUNDING]],0)</f>
        <v>0</v>
      </c>
      <c r="T19" s="7" cm="1">
        <f t="array" ref="T19">INDEX(CountyScoresTbl[Community Need Total Points],ROW(S1SHTATbl[[#This Row],[COUNTY]])-2,1)*S1SHTATbl[[#This Row],[UNRESTRICTED % OF FUNDING]]</f>
        <v>0</v>
      </c>
      <c r="U19" s="7" cm="1">
        <f t="array" ref="U19">INDEX(CountyScoresTbl[SHTA Total Feasibility Points Awarded],ROW(S1SHTATbl[[#This Row],[COUNTY]])-2,1)*S1SHTATbl[[#This Row],[UNRESTRICTED % OF FUNDING]]</f>
        <v>0</v>
      </c>
      <c r="V19" s="8" cm="1">
        <f t="array" ref="V19">INDEX(CountyScoresTbl[Farmworker Need Points Awarded],ROW(S1SHTATbl[[#This Row],[COUNTY]])-2,1)*S1SHTATbl[[#This Row],[UNRESTRICTED % OF FUNDING]]</f>
        <v>0</v>
      </c>
      <c r="W19" s="124"/>
      <c r="X19" s="119"/>
      <c r="Y19" s="226"/>
      <c r="Z19" s="74">
        <f t="shared" si="1"/>
        <v>0</v>
      </c>
      <c r="AA19" s="6">
        <f>IF(S1SHTATbl[[#This Row],[RURAL TOTAL REQUESTED]]=0,0,S1SHTATbl[[#This Row],[RURAL TOTAL REQUESTED]]/Z$61)</f>
        <v>0</v>
      </c>
      <c r="AB19" s="7">
        <f>IF(S1SHTATbl[[#This Row],[ALL UNITS IN A HIGH OR HIGHEST RESOURCE AREA]]="Yes",10*S1SHTATbl[[#This Row],[RURAL % OF FUNDING]],0)</f>
        <v>0</v>
      </c>
      <c r="AC19" s="7" cm="1">
        <f t="array" ref="AC19">INDEX(CountyScoresTbl[Community Need Total Points],ROW(S1SHTATbl[[#This Row],[COUNTY]])-2,1)*S1SHTATbl[[#This Row],[RURAL % OF FUNDING]]</f>
        <v>0</v>
      </c>
      <c r="AD19" s="7" cm="1">
        <f t="array" ref="AD19">INDEX(CountyScoresTbl[SHTA Total Feasibility Points Awarded],ROW(S1SHTATbl[[#This Row],[COUNTY]])-2,1)*S1SHTATbl[[#This Row],[RURAL % OF FUNDING]]</f>
        <v>0</v>
      </c>
      <c r="AE19" s="8" cm="1">
        <f t="array" ref="AE19">INDEX(CountyScoresTbl[Farmworker Need Points Awarded],ROW(S1SHTATbl[[#This Row],[COUNTY]])-2,1)*S1SHTATbl[[#This Row],[RURAL % OF FUNDING]]</f>
        <v>0</v>
      </c>
      <c r="AF19" s="399"/>
      <c r="AG19" s="7">
        <f>IF(S1SHTATbl[[#This Row],[INFILL SITE]]="Yes",5,3)*S1SHTATbl[[#This Row],[UNRESTRICTED % OF FUNDING]]</f>
        <v>0</v>
      </c>
      <c r="AH19" s="26">
        <f>IF(S1SHTATbl[[#This Row],[INFILL SITE]]="Yes",5,3)*S1SHTATbl[[#This Row],[RURAL % OF FUNDING]]</f>
        <v>0</v>
      </c>
    </row>
    <row r="20" spans="1:34" x14ac:dyDescent="0.35">
      <c r="A20" s="119"/>
      <c r="B20" s="5" t="s">
        <v>132</v>
      </c>
      <c r="C20" s="44" t="s">
        <v>513</v>
      </c>
      <c r="D20" s="114" t="str">
        <f>IF(S1SHTATbl[[#This Row],[UNRESTRICTED UNITS]]=0,"",S1SHTATbl[[#This Row],[UNRESTRICTED UNITS]])</f>
        <v/>
      </c>
      <c r="E20" s="270" t="str">
        <f xml:space="preserve">
IF(S1SHTATbl[[#This Row],[UNRESTRICTED TOTAL REQUESTED]]=0,"",
S1SHTATbl[[#This Row],[UNRESTRICTED TOTAL REQUESTED]]*
IF(S1_SHTA_UnrestrictedTotalRequested&lt;=500000,1,
500000/S1_SHTA_UnrestrictedTotalRequested)
)</f>
        <v/>
      </c>
      <c r="F20" s="272" t="str">
        <f>IF(S1SHTATbl[[#This Row],[UNRESTRICTED % OF FUNDING]]=0,"",S1SHTATbl[[#This Row],[UNRESTRICTED % OF FUNDING]])</f>
        <v/>
      </c>
      <c r="G20" s="31" t="s">
        <v>513</v>
      </c>
      <c r="H20" s="271" t="str">
        <f>IF(S1SHTATbl[[#This Row],[RURAL UNITS]]=0,"",S1SHTATbl[[#This Row],[RURAL UNITS]])</f>
        <v/>
      </c>
      <c r="I20" s="270" t="str">
        <f xml:space="preserve">
IF(S1SHTATbl[[#This Row],[RURAL TOTAL REQUESTED]]=0,"",
S1SHTATbl[[#This Row],[RURAL TOTAL REQUESTED]]*
IF(S1_SHTA_RuralTotalRequested&lt;=(500000-E$61),1,
(500000-E$61)/S1_SHTA_RuralTotalRequested)
)</f>
        <v/>
      </c>
      <c r="J20" s="272" t="str">
        <f>IF(S1SHTATbl[[#This Row],[RURAL % OF FUNDING]]=0,"",S1SHTATbl[[#This Row],[RURAL % OF FUNDING]])</f>
        <v/>
      </c>
      <c r="K20" s="31" t="s">
        <v>513</v>
      </c>
      <c r="L20" s="196"/>
      <c r="M20" s="197"/>
      <c r="N20" s="124"/>
      <c r="O20" s="119"/>
      <c r="P20" s="226"/>
      <c r="Q20" s="74">
        <f t="shared" si="0"/>
        <v>0</v>
      </c>
      <c r="R20" s="6">
        <f>IF(S1SHTATbl[[#This Row],[UNRESTRICTED TOTAL REQUESTED]]=0,0,S1SHTATbl[[#This Row],[UNRESTRICTED TOTAL REQUESTED]]/S1_SHTA_UnrestrictedTotalRequested)</f>
        <v>0</v>
      </c>
      <c r="S20" s="7">
        <f>IF(S1SHTATbl[[#This Row],[ALL UNITS IN A HIGH OR HIGHEST RESOURCE AREA]]="Yes",10*S1SHTATbl[[#This Row],[UNRESTRICTED % OF FUNDING]],0)</f>
        <v>0</v>
      </c>
      <c r="T20" s="7" cm="1">
        <f t="array" ref="T20">INDEX(CountyScoresTbl[Community Need Total Points],ROW(S1SHTATbl[[#This Row],[COUNTY]])-2,1)*S1SHTATbl[[#This Row],[UNRESTRICTED % OF FUNDING]]</f>
        <v>0</v>
      </c>
      <c r="U20" s="7" cm="1">
        <f t="array" ref="U20">INDEX(CountyScoresTbl[SHTA Total Feasibility Points Awarded],ROW(S1SHTATbl[[#This Row],[COUNTY]])-2,1)*S1SHTATbl[[#This Row],[UNRESTRICTED % OF FUNDING]]</f>
        <v>0</v>
      </c>
      <c r="V20" s="8" cm="1">
        <f t="array" ref="V20">INDEX(CountyScoresTbl[Farmworker Need Points Awarded],ROW(S1SHTATbl[[#This Row],[COUNTY]])-2,1)*S1SHTATbl[[#This Row],[UNRESTRICTED % OF FUNDING]]</f>
        <v>0</v>
      </c>
      <c r="W20" s="124"/>
      <c r="X20" s="119"/>
      <c r="Y20" s="226"/>
      <c r="Z20" s="74">
        <f t="shared" si="1"/>
        <v>0</v>
      </c>
      <c r="AA20" s="6">
        <f>IF(S1SHTATbl[[#This Row],[RURAL TOTAL REQUESTED]]=0,0,S1SHTATbl[[#This Row],[RURAL TOTAL REQUESTED]]/Z$61)</f>
        <v>0</v>
      </c>
      <c r="AB20" s="7">
        <f>IF(S1SHTATbl[[#This Row],[ALL UNITS IN A HIGH OR HIGHEST RESOURCE AREA]]="Yes",10*S1SHTATbl[[#This Row],[RURAL % OF FUNDING]],0)</f>
        <v>0</v>
      </c>
      <c r="AC20" s="7" cm="1">
        <f t="array" ref="AC20">INDEX(CountyScoresTbl[Community Need Total Points],ROW(S1SHTATbl[[#This Row],[COUNTY]])-2,1)*S1SHTATbl[[#This Row],[RURAL % OF FUNDING]]</f>
        <v>0</v>
      </c>
      <c r="AD20" s="7" cm="1">
        <f t="array" ref="AD20">INDEX(CountyScoresTbl[SHTA Total Feasibility Points Awarded],ROW(S1SHTATbl[[#This Row],[COUNTY]])-2,1)*S1SHTATbl[[#This Row],[RURAL % OF FUNDING]]</f>
        <v>0</v>
      </c>
      <c r="AE20" s="8" cm="1">
        <f t="array" ref="AE20">INDEX(CountyScoresTbl[Farmworker Need Points Awarded],ROW(S1SHTATbl[[#This Row],[COUNTY]])-2,1)*S1SHTATbl[[#This Row],[RURAL % OF FUNDING]]</f>
        <v>0</v>
      </c>
      <c r="AF20" s="399"/>
      <c r="AG20" s="7">
        <f>IF(S1SHTATbl[[#This Row],[INFILL SITE]]="Yes",5,3)*S1SHTATbl[[#This Row],[UNRESTRICTED % OF FUNDING]]</f>
        <v>0</v>
      </c>
      <c r="AH20" s="26">
        <f>IF(S1SHTATbl[[#This Row],[INFILL SITE]]="Yes",5,3)*S1SHTATbl[[#This Row],[RURAL % OF FUNDING]]</f>
        <v>0</v>
      </c>
    </row>
    <row r="21" spans="1:34" x14ac:dyDescent="0.35">
      <c r="A21" s="119"/>
      <c r="B21" s="5" t="s">
        <v>133</v>
      </c>
      <c r="C21" s="44" t="s">
        <v>513</v>
      </c>
      <c r="D21" s="114" t="str">
        <f>IF(S1SHTATbl[[#This Row],[UNRESTRICTED UNITS]]=0,"",S1SHTATbl[[#This Row],[UNRESTRICTED UNITS]])</f>
        <v/>
      </c>
      <c r="E21" s="270" t="str">
        <f xml:space="preserve">
IF(S1SHTATbl[[#This Row],[UNRESTRICTED TOTAL REQUESTED]]=0,"",
S1SHTATbl[[#This Row],[UNRESTRICTED TOTAL REQUESTED]]*
IF(S1_SHTA_UnrestrictedTotalRequested&lt;=500000,1,
500000/S1_SHTA_UnrestrictedTotalRequested)
)</f>
        <v/>
      </c>
      <c r="F21" s="272" t="str">
        <f>IF(S1SHTATbl[[#This Row],[UNRESTRICTED % OF FUNDING]]=0,"",S1SHTATbl[[#This Row],[UNRESTRICTED % OF FUNDING]])</f>
        <v/>
      </c>
      <c r="G21" s="31" t="s">
        <v>513</v>
      </c>
      <c r="H21" s="271" t="str">
        <f>IF(S1SHTATbl[[#This Row],[RURAL UNITS]]=0,"",S1SHTATbl[[#This Row],[RURAL UNITS]])</f>
        <v/>
      </c>
      <c r="I21" s="270" t="str">
        <f xml:space="preserve">
IF(S1SHTATbl[[#This Row],[RURAL TOTAL REQUESTED]]=0,"",
S1SHTATbl[[#This Row],[RURAL TOTAL REQUESTED]]*
IF(S1_SHTA_RuralTotalRequested&lt;=(500000-E$61),1,
(500000-E$61)/S1_SHTA_RuralTotalRequested)
)</f>
        <v/>
      </c>
      <c r="J21" s="272" t="str">
        <f>IF(S1SHTATbl[[#This Row],[RURAL % OF FUNDING]]=0,"",S1SHTATbl[[#This Row],[RURAL % OF FUNDING]])</f>
        <v/>
      </c>
      <c r="K21" s="31" t="s">
        <v>513</v>
      </c>
      <c r="L21" s="196"/>
      <c r="M21" s="197"/>
      <c r="N21" s="124"/>
      <c r="O21" s="119"/>
      <c r="P21" s="226"/>
      <c r="Q21" s="74">
        <f t="shared" si="0"/>
        <v>0</v>
      </c>
      <c r="R21" s="6">
        <f>IF(S1SHTATbl[[#This Row],[UNRESTRICTED TOTAL REQUESTED]]=0,0,S1SHTATbl[[#This Row],[UNRESTRICTED TOTAL REQUESTED]]/S1_SHTA_UnrestrictedTotalRequested)</f>
        <v>0</v>
      </c>
      <c r="S21" s="7">
        <f>IF(S1SHTATbl[[#This Row],[ALL UNITS IN A HIGH OR HIGHEST RESOURCE AREA]]="Yes",10*S1SHTATbl[[#This Row],[UNRESTRICTED % OF FUNDING]],0)</f>
        <v>0</v>
      </c>
      <c r="T21" s="7" cm="1">
        <f t="array" ref="T21">INDEX(CountyScoresTbl[Community Need Total Points],ROW(S1SHTATbl[[#This Row],[COUNTY]])-2,1)*S1SHTATbl[[#This Row],[UNRESTRICTED % OF FUNDING]]</f>
        <v>0</v>
      </c>
      <c r="U21" s="7" cm="1">
        <f t="array" ref="U21">INDEX(CountyScoresTbl[SHTA Total Feasibility Points Awarded],ROW(S1SHTATbl[[#This Row],[COUNTY]])-2,1)*S1SHTATbl[[#This Row],[UNRESTRICTED % OF FUNDING]]</f>
        <v>0</v>
      </c>
      <c r="V21" s="8" cm="1">
        <f t="array" ref="V21">INDEX(CountyScoresTbl[Farmworker Need Points Awarded],ROW(S1SHTATbl[[#This Row],[COUNTY]])-2,1)*S1SHTATbl[[#This Row],[UNRESTRICTED % OF FUNDING]]</f>
        <v>0</v>
      </c>
      <c r="W21" s="124"/>
      <c r="X21" s="119"/>
      <c r="Y21" s="226"/>
      <c r="Z21" s="74">
        <f t="shared" si="1"/>
        <v>0</v>
      </c>
      <c r="AA21" s="6">
        <f>IF(S1SHTATbl[[#This Row],[RURAL TOTAL REQUESTED]]=0,0,S1SHTATbl[[#This Row],[RURAL TOTAL REQUESTED]]/Z$61)</f>
        <v>0</v>
      </c>
      <c r="AB21" s="7">
        <f>IF(S1SHTATbl[[#This Row],[ALL UNITS IN A HIGH OR HIGHEST RESOURCE AREA]]="Yes",10*S1SHTATbl[[#This Row],[RURAL % OF FUNDING]],0)</f>
        <v>0</v>
      </c>
      <c r="AC21" s="7" cm="1">
        <f t="array" ref="AC21">INDEX(CountyScoresTbl[Community Need Total Points],ROW(S1SHTATbl[[#This Row],[COUNTY]])-2,1)*S1SHTATbl[[#This Row],[RURAL % OF FUNDING]]</f>
        <v>0</v>
      </c>
      <c r="AD21" s="7" cm="1">
        <f t="array" ref="AD21">INDEX(CountyScoresTbl[SHTA Total Feasibility Points Awarded],ROW(S1SHTATbl[[#This Row],[COUNTY]])-2,1)*S1SHTATbl[[#This Row],[RURAL % OF FUNDING]]</f>
        <v>0</v>
      </c>
      <c r="AE21" s="8" cm="1">
        <f t="array" ref="AE21">INDEX(CountyScoresTbl[Farmworker Need Points Awarded],ROW(S1SHTATbl[[#This Row],[COUNTY]])-2,1)*S1SHTATbl[[#This Row],[RURAL % OF FUNDING]]</f>
        <v>0</v>
      </c>
      <c r="AF21" s="399"/>
      <c r="AG21" s="7">
        <f>IF(S1SHTATbl[[#This Row],[INFILL SITE]]="Yes",5,3)*S1SHTATbl[[#This Row],[UNRESTRICTED % OF FUNDING]]</f>
        <v>0</v>
      </c>
      <c r="AH21" s="26">
        <f>IF(S1SHTATbl[[#This Row],[INFILL SITE]]="Yes",5,3)*S1SHTATbl[[#This Row],[RURAL % OF FUNDING]]</f>
        <v>0</v>
      </c>
    </row>
    <row r="22" spans="1:34" x14ac:dyDescent="0.35">
      <c r="A22" s="119"/>
      <c r="B22" s="5" t="s">
        <v>134</v>
      </c>
      <c r="C22" s="44" t="s">
        <v>513</v>
      </c>
      <c r="D22" s="114" t="str">
        <f>IF(S1SHTATbl[[#This Row],[UNRESTRICTED UNITS]]=0,"",S1SHTATbl[[#This Row],[UNRESTRICTED UNITS]])</f>
        <v/>
      </c>
      <c r="E22" s="270" t="str">
        <f xml:space="preserve">
IF(S1SHTATbl[[#This Row],[UNRESTRICTED TOTAL REQUESTED]]=0,"",
S1SHTATbl[[#This Row],[UNRESTRICTED TOTAL REQUESTED]]*
IF(S1_SHTA_UnrestrictedTotalRequested&lt;=500000,1,
500000/S1_SHTA_UnrestrictedTotalRequested)
)</f>
        <v/>
      </c>
      <c r="F22" s="272" t="str">
        <f>IF(S1SHTATbl[[#This Row],[UNRESTRICTED % OF FUNDING]]=0,"",S1SHTATbl[[#This Row],[UNRESTRICTED % OF FUNDING]])</f>
        <v/>
      </c>
      <c r="G22" s="31" t="s">
        <v>513</v>
      </c>
      <c r="H22" s="271" t="str">
        <f>IF(S1SHTATbl[[#This Row],[RURAL UNITS]]=0,"",S1SHTATbl[[#This Row],[RURAL UNITS]])</f>
        <v/>
      </c>
      <c r="I22" s="270" t="str">
        <f xml:space="preserve">
IF(S1SHTATbl[[#This Row],[RURAL TOTAL REQUESTED]]=0,"",
S1SHTATbl[[#This Row],[RURAL TOTAL REQUESTED]]*
IF(S1_SHTA_RuralTotalRequested&lt;=(500000-E$61),1,
(500000-E$61)/S1_SHTA_RuralTotalRequested)
)</f>
        <v/>
      </c>
      <c r="J22" s="272" t="str">
        <f>IF(S1SHTATbl[[#This Row],[RURAL % OF FUNDING]]=0,"",S1SHTATbl[[#This Row],[RURAL % OF FUNDING]])</f>
        <v/>
      </c>
      <c r="K22" s="31" t="s">
        <v>513</v>
      </c>
      <c r="L22" s="196"/>
      <c r="M22" s="197"/>
      <c r="N22" s="124"/>
      <c r="O22" s="119"/>
      <c r="P22" s="226"/>
      <c r="Q22" s="74">
        <f t="shared" si="0"/>
        <v>0</v>
      </c>
      <c r="R22" s="6">
        <f>IF(S1SHTATbl[[#This Row],[UNRESTRICTED TOTAL REQUESTED]]=0,0,S1SHTATbl[[#This Row],[UNRESTRICTED TOTAL REQUESTED]]/S1_SHTA_UnrestrictedTotalRequested)</f>
        <v>0</v>
      </c>
      <c r="S22" s="7">
        <f>IF(S1SHTATbl[[#This Row],[ALL UNITS IN A HIGH OR HIGHEST RESOURCE AREA]]="Yes",10*S1SHTATbl[[#This Row],[UNRESTRICTED % OF FUNDING]],0)</f>
        <v>0</v>
      </c>
      <c r="T22" s="7" cm="1">
        <f t="array" ref="T22">INDEX(CountyScoresTbl[Community Need Total Points],ROW(S1SHTATbl[[#This Row],[COUNTY]])-2,1)*S1SHTATbl[[#This Row],[UNRESTRICTED % OF FUNDING]]</f>
        <v>0</v>
      </c>
      <c r="U22" s="7" cm="1">
        <f t="array" ref="U22">INDEX(CountyScoresTbl[SHTA Total Feasibility Points Awarded],ROW(S1SHTATbl[[#This Row],[COUNTY]])-2,1)*S1SHTATbl[[#This Row],[UNRESTRICTED % OF FUNDING]]</f>
        <v>0</v>
      </c>
      <c r="V22" s="8" cm="1">
        <f t="array" ref="V22">INDEX(CountyScoresTbl[Farmworker Need Points Awarded],ROW(S1SHTATbl[[#This Row],[COUNTY]])-2,1)*S1SHTATbl[[#This Row],[UNRESTRICTED % OF FUNDING]]</f>
        <v>0</v>
      </c>
      <c r="W22" s="124"/>
      <c r="X22" s="119"/>
      <c r="Y22" s="226"/>
      <c r="Z22" s="74">
        <f t="shared" si="1"/>
        <v>0</v>
      </c>
      <c r="AA22" s="6">
        <f>IF(S1SHTATbl[[#This Row],[RURAL TOTAL REQUESTED]]=0,0,S1SHTATbl[[#This Row],[RURAL TOTAL REQUESTED]]/Z$61)</f>
        <v>0</v>
      </c>
      <c r="AB22" s="7">
        <f>IF(S1SHTATbl[[#This Row],[ALL UNITS IN A HIGH OR HIGHEST RESOURCE AREA]]="Yes",10*S1SHTATbl[[#This Row],[RURAL % OF FUNDING]],0)</f>
        <v>0</v>
      </c>
      <c r="AC22" s="7" cm="1">
        <f t="array" ref="AC22">INDEX(CountyScoresTbl[Community Need Total Points],ROW(S1SHTATbl[[#This Row],[COUNTY]])-2,1)*S1SHTATbl[[#This Row],[RURAL % OF FUNDING]]</f>
        <v>0</v>
      </c>
      <c r="AD22" s="7" cm="1">
        <f t="array" ref="AD22">INDEX(CountyScoresTbl[SHTA Total Feasibility Points Awarded],ROW(S1SHTATbl[[#This Row],[COUNTY]])-2,1)*S1SHTATbl[[#This Row],[RURAL % OF FUNDING]]</f>
        <v>0</v>
      </c>
      <c r="AE22" s="8" cm="1">
        <f t="array" ref="AE22">INDEX(CountyScoresTbl[Farmworker Need Points Awarded],ROW(S1SHTATbl[[#This Row],[COUNTY]])-2,1)*S1SHTATbl[[#This Row],[RURAL % OF FUNDING]]</f>
        <v>0</v>
      </c>
      <c r="AF22" s="399"/>
      <c r="AG22" s="7">
        <f>IF(S1SHTATbl[[#This Row],[INFILL SITE]]="Yes",5,3)*S1SHTATbl[[#This Row],[UNRESTRICTED % OF FUNDING]]</f>
        <v>0</v>
      </c>
      <c r="AH22" s="26">
        <f>IF(S1SHTATbl[[#This Row],[INFILL SITE]]="Yes",5,3)*S1SHTATbl[[#This Row],[RURAL % OF FUNDING]]</f>
        <v>0</v>
      </c>
    </row>
    <row r="23" spans="1:34" x14ac:dyDescent="0.35">
      <c r="A23" s="119"/>
      <c r="B23" s="5" t="s">
        <v>135</v>
      </c>
      <c r="C23" s="44" t="s">
        <v>513</v>
      </c>
      <c r="D23" s="114" t="str">
        <f>IF(S1SHTATbl[[#This Row],[UNRESTRICTED UNITS]]=0,"",S1SHTATbl[[#This Row],[UNRESTRICTED UNITS]])</f>
        <v/>
      </c>
      <c r="E23" s="270" t="str">
        <f xml:space="preserve">
IF(S1SHTATbl[[#This Row],[UNRESTRICTED TOTAL REQUESTED]]=0,"",
S1SHTATbl[[#This Row],[UNRESTRICTED TOTAL REQUESTED]]*
IF(S1_SHTA_UnrestrictedTotalRequested&lt;=500000,1,
500000/S1_SHTA_UnrestrictedTotalRequested)
)</f>
        <v/>
      </c>
      <c r="F23" s="272" t="str">
        <f>IF(S1SHTATbl[[#This Row],[UNRESTRICTED % OF FUNDING]]=0,"",S1SHTATbl[[#This Row],[UNRESTRICTED % OF FUNDING]])</f>
        <v/>
      </c>
      <c r="G23" s="31" t="s">
        <v>513</v>
      </c>
      <c r="H23" s="271" t="str">
        <f>IF(S1SHTATbl[[#This Row],[RURAL UNITS]]=0,"",S1SHTATbl[[#This Row],[RURAL UNITS]])</f>
        <v/>
      </c>
      <c r="I23" s="270" t="str">
        <f xml:space="preserve">
IF(S1SHTATbl[[#This Row],[RURAL TOTAL REQUESTED]]=0,"",
S1SHTATbl[[#This Row],[RURAL TOTAL REQUESTED]]*
IF(S1_SHTA_RuralTotalRequested&lt;=(500000-E$61),1,
(500000-E$61)/S1_SHTA_RuralTotalRequested)
)</f>
        <v/>
      </c>
      <c r="J23" s="272" t="str">
        <f>IF(S1SHTATbl[[#This Row],[RURAL % OF FUNDING]]=0,"",S1SHTATbl[[#This Row],[RURAL % OF FUNDING]])</f>
        <v/>
      </c>
      <c r="K23" s="31" t="s">
        <v>513</v>
      </c>
      <c r="L23" s="196"/>
      <c r="M23" s="197"/>
      <c r="N23" s="124"/>
      <c r="O23" s="119"/>
      <c r="P23" s="226"/>
      <c r="Q23" s="74">
        <f t="shared" si="0"/>
        <v>0</v>
      </c>
      <c r="R23" s="6">
        <f>IF(S1SHTATbl[[#This Row],[UNRESTRICTED TOTAL REQUESTED]]=0,0,S1SHTATbl[[#This Row],[UNRESTRICTED TOTAL REQUESTED]]/S1_SHTA_UnrestrictedTotalRequested)</f>
        <v>0</v>
      </c>
      <c r="S23" s="7">
        <f>IF(S1SHTATbl[[#This Row],[ALL UNITS IN A HIGH OR HIGHEST RESOURCE AREA]]="Yes",10*S1SHTATbl[[#This Row],[UNRESTRICTED % OF FUNDING]],0)</f>
        <v>0</v>
      </c>
      <c r="T23" s="7" cm="1">
        <f t="array" ref="T23">INDEX(CountyScoresTbl[Community Need Total Points],ROW(S1SHTATbl[[#This Row],[COUNTY]])-2,1)*S1SHTATbl[[#This Row],[UNRESTRICTED % OF FUNDING]]</f>
        <v>0</v>
      </c>
      <c r="U23" s="7" cm="1">
        <f t="array" ref="U23">INDEX(CountyScoresTbl[SHTA Total Feasibility Points Awarded],ROW(S1SHTATbl[[#This Row],[COUNTY]])-2,1)*S1SHTATbl[[#This Row],[UNRESTRICTED % OF FUNDING]]</f>
        <v>0</v>
      </c>
      <c r="V23" s="8" cm="1">
        <f t="array" ref="V23">INDEX(CountyScoresTbl[Farmworker Need Points Awarded],ROW(S1SHTATbl[[#This Row],[COUNTY]])-2,1)*S1SHTATbl[[#This Row],[UNRESTRICTED % OF FUNDING]]</f>
        <v>0</v>
      </c>
      <c r="W23" s="124"/>
      <c r="X23" s="119"/>
      <c r="Y23" s="226"/>
      <c r="Z23" s="74">
        <f t="shared" si="1"/>
        <v>0</v>
      </c>
      <c r="AA23" s="6">
        <f>IF(S1SHTATbl[[#This Row],[RURAL TOTAL REQUESTED]]=0,0,S1SHTATbl[[#This Row],[RURAL TOTAL REQUESTED]]/Z$61)</f>
        <v>0</v>
      </c>
      <c r="AB23" s="7">
        <f>IF(S1SHTATbl[[#This Row],[ALL UNITS IN A HIGH OR HIGHEST RESOURCE AREA]]="Yes",10*S1SHTATbl[[#This Row],[RURAL % OF FUNDING]],0)</f>
        <v>0</v>
      </c>
      <c r="AC23" s="7" cm="1">
        <f t="array" ref="AC23">INDEX(CountyScoresTbl[Community Need Total Points],ROW(S1SHTATbl[[#This Row],[COUNTY]])-2,1)*S1SHTATbl[[#This Row],[RURAL % OF FUNDING]]</f>
        <v>0</v>
      </c>
      <c r="AD23" s="7" cm="1">
        <f t="array" ref="AD23">INDEX(CountyScoresTbl[SHTA Total Feasibility Points Awarded],ROW(S1SHTATbl[[#This Row],[COUNTY]])-2,1)*S1SHTATbl[[#This Row],[RURAL % OF FUNDING]]</f>
        <v>0</v>
      </c>
      <c r="AE23" s="8" cm="1">
        <f t="array" ref="AE23">INDEX(CountyScoresTbl[Farmworker Need Points Awarded],ROW(S1SHTATbl[[#This Row],[COUNTY]])-2,1)*S1SHTATbl[[#This Row],[RURAL % OF FUNDING]]</f>
        <v>0</v>
      </c>
      <c r="AF23" s="399"/>
      <c r="AG23" s="7">
        <f>IF(S1SHTATbl[[#This Row],[INFILL SITE]]="Yes",5,3)*S1SHTATbl[[#This Row],[UNRESTRICTED % OF FUNDING]]</f>
        <v>0</v>
      </c>
      <c r="AH23" s="26">
        <f>IF(S1SHTATbl[[#This Row],[INFILL SITE]]="Yes",5,3)*S1SHTATbl[[#This Row],[RURAL % OF FUNDING]]</f>
        <v>0</v>
      </c>
    </row>
    <row r="24" spans="1:34" x14ac:dyDescent="0.35">
      <c r="A24" s="119"/>
      <c r="B24" s="5" t="s">
        <v>136</v>
      </c>
      <c r="C24" s="44" t="s">
        <v>513</v>
      </c>
      <c r="D24" s="114" t="str">
        <f>IF(S1SHTATbl[[#This Row],[UNRESTRICTED UNITS]]=0,"",S1SHTATbl[[#This Row],[UNRESTRICTED UNITS]])</f>
        <v/>
      </c>
      <c r="E24" s="270" t="str">
        <f xml:space="preserve">
IF(S1SHTATbl[[#This Row],[UNRESTRICTED TOTAL REQUESTED]]=0,"",
S1SHTATbl[[#This Row],[UNRESTRICTED TOTAL REQUESTED]]*
IF(S1_SHTA_UnrestrictedTotalRequested&lt;=500000,1,
500000/S1_SHTA_UnrestrictedTotalRequested)
)</f>
        <v/>
      </c>
      <c r="F24" s="272" t="str">
        <f>IF(S1SHTATbl[[#This Row],[UNRESTRICTED % OF FUNDING]]=0,"",S1SHTATbl[[#This Row],[UNRESTRICTED % OF FUNDING]])</f>
        <v/>
      </c>
      <c r="G24" s="31" t="s">
        <v>513</v>
      </c>
      <c r="H24" s="271" t="str">
        <f>IF(S1SHTATbl[[#This Row],[RURAL UNITS]]=0,"",S1SHTATbl[[#This Row],[RURAL UNITS]])</f>
        <v/>
      </c>
      <c r="I24" s="270" t="str">
        <f xml:space="preserve">
IF(S1SHTATbl[[#This Row],[RURAL TOTAL REQUESTED]]=0,"",
S1SHTATbl[[#This Row],[RURAL TOTAL REQUESTED]]*
IF(S1_SHTA_RuralTotalRequested&lt;=(500000-E$61),1,
(500000-E$61)/S1_SHTA_RuralTotalRequested)
)</f>
        <v/>
      </c>
      <c r="J24" s="272" t="str">
        <f>IF(S1SHTATbl[[#This Row],[RURAL % OF FUNDING]]=0,"",S1SHTATbl[[#This Row],[RURAL % OF FUNDING]])</f>
        <v/>
      </c>
      <c r="K24" s="31" t="s">
        <v>513</v>
      </c>
      <c r="L24" s="196"/>
      <c r="M24" s="197"/>
      <c r="N24" s="124"/>
      <c r="O24" s="119"/>
      <c r="P24" s="226"/>
      <c r="Q24" s="74">
        <f t="shared" si="0"/>
        <v>0</v>
      </c>
      <c r="R24" s="6">
        <f>IF(S1SHTATbl[[#This Row],[UNRESTRICTED TOTAL REQUESTED]]=0,0,S1SHTATbl[[#This Row],[UNRESTRICTED TOTAL REQUESTED]]/S1_SHTA_UnrestrictedTotalRequested)</f>
        <v>0</v>
      </c>
      <c r="S24" s="7">
        <f>IF(S1SHTATbl[[#This Row],[ALL UNITS IN A HIGH OR HIGHEST RESOURCE AREA]]="Yes",10*S1SHTATbl[[#This Row],[UNRESTRICTED % OF FUNDING]],0)</f>
        <v>0</v>
      </c>
      <c r="T24" s="7" cm="1">
        <f t="array" ref="T24">INDEX(CountyScoresTbl[Community Need Total Points],ROW(S1SHTATbl[[#This Row],[COUNTY]])-2,1)*S1SHTATbl[[#This Row],[UNRESTRICTED % OF FUNDING]]</f>
        <v>0</v>
      </c>
      <c r="U24" s="7" cm="1">
        <f t="array" ref="U24">INDEX(CountyScoresTbl[SHTA Total Feasibility Points Awarded],ROW(S1SHTATbl[[#This Row],[COUNTY]])-2,1)*S1SHTATbl[[#This Row],[UNRESTRICTED % OF FUNDING]]</f>
        <v>0</v>
      </c>
      <c r="V24" s="8" cm="1">
        <f t="array" ref="V24">INDEX(CountyScoresTbl[Farmworker Need Points Awarded],ROW(S1SHTATbl[[#This Row],[COUNTY]])-2,1)*S1SHTATbl[[#This Row],[UNRESTRICTED % OF FUNDING]]</f>
        <v>0</v>
      </c>
      <c r="W24" s="124"/>
      <c r="X24" s="119"/>
      <c r="Y24" s="226"/>
      <c r="Z24" s="74">
        <f t="shared" si="1"/>
        <v>0</v>
      </c>
      <c r="AA24" s="6">
        <f>IF(S1SHTATbl[[#This Row],[RURAL TOTAL REQUESTED]]=0,0,S1SHTATbl[[#This Row],[RURAL TOTAL REQUESTED]]/Z$61)</f>
        <v>0</v>
      </c>
      <c r="AB24" s="7">
        <f>IF(S1SHTATbl[[#This Row],[ALL UNITS IN A HIGH OR HIGHEST RESOURCE AREA]]="Yes",10*S1SHTATbl[[#This Row],[RURAL % OF FUNDING]],0)</f>
        <v>0</v>
      </c>
      <c r="AC24" s="7" cm="1">
        <f t="array" ref="AC24">INDEX(CountyScoresTbl[Community Need Total Points],ROW(S1SHTATbl[[#This Row],[COUNTY]])-2,1)*S1SHTATbl[[#This Row],[RURAL % OF FUNDING]]</f>
        <v>0</v>
      </c>
      <c r="AD24" s="7" cm="1">
        <f t="array" ref="AD24">INDEX(CountyScoresTbl[SHTA Total Feasibility Points Awarded],ROW(S1SHTATbl[[#This Row],[COUNTY]])-2,1)*S1SHTATbl[[#This Row],[RURAL % OF FUNDING]]</f>
        <v>0</v>
      </c>
      <c r="AE24" s="8" cm="1">
        <f t="array" ref="AE24">INDEX(CountyScoresTbl[Farmworker Need Points Awarded],ROW(S1SHTATbl[[#This Row],[COUNTY]])-2,1)*S1SHTATbl[[#This Row],[RURAL % OF FUNDING]]</f>
        <v>0</v>
      </c>
      <c r="AF24" s="399"/>
      <c r="AG24" s="7">
        <f>IF(S1SHTATbl[[#This Row],[INFILL SITE]]="Yes",5,3)*S1SHTATbl[[#This Row],[UNRESTRICTED % OF FUNDING]]</f>
        <v>0</v>
      </c>
      <c r="AH24" s="26">
        <f>IF(S1SHTATbl[[#This Row],[INFILL SITE]]="Yes",5,3)*S1SHTATbl[[#This Row],[RURAL % OF FUNDING]]</f>
        <v>0</v>
      </c>
    </row>
    <row r="25" spans="1:34" x14ac:dyDescent="0.35">
      <c r="A25" s="119"/>
      <c r="B25" s="5" t="s">
        <v>137</v>
      </c>
      <c r="C25" s="44" t="s">
        <v>513</v>
      </c>
      <c r="D25" s="114" t="str">
        <f>IF(S1SHTATbl[[#This Row],[UNRESTRICTED UNITS]]=0,"",S1SHTATbl[[#This Row],[UNRESTRICTED UNITS]])</f>
        <v/>
      </c>
      <c r="E25" s="270" t="str">
        <f xml:space="preserve">
IF(S1SHTATbl[[#This Row],[UNRESTRICTED TOTAL REQUESTED]]=0,"",
S1SHTATbl[[#This Row],[UNRESTRICTED TOTAL REQUESTED]]*
IF(S1_SHTA_UnrestrictedTotalRequested&lt;=500000,1,
500000/S1_SHTA_UnrestrictedTotalRequested)
)</f>
        <v/>
      </c>
      <c r="F25" s="272" t="str">
        <f>IF(S1SHTATbl[[#This Row],[UNRESTRICTED % OF FUNDING]]=0,"",S1SHTATbl[[#This Row],[UNRESTRICTED % OF FUNDING]])</f>
        <v/>
      </c>
      <c r="G25" s="31" t="s">
        <v>513</v>
      </c>
      <c r="H25" s="271" t="str">
        <f>IF(S1SHTATbl[[#This Row],[RURAL UNITS]]=0,"",S1SHTATbl[[#This Row],[RURAL UNITS]])</f>
        <v/>
      </c>
      <c r="I25" s="270" t="str">
        <f xml:space="preserve">
IF(S1SHTATbl[[#This Row],[RURAL TOTAL REQUESTED]]=0,"",
S1SHTATbl[[#This Row],[RURAL TOTAL REQUESTED]]*
IF(S1_SHTA_RuralTotalRequested&lt;=(500000-E$61),1,
(500000-E$61)/S1_SHTA_RuralTotalRequested)
)</f>
        <v/>
      </c>
      <c r="J25" s="272" t="str">
        <f>IF(S1SHTATbl[[#This Row],[RURAL % OF FUNDING]]=0,"",S1SHTATbl[[#This Row],[RURAL % OF FUNDING]])</f>
        <v/>
      </c>
      <c r="K25" s="31" t="s">
        <v>513</v>
      </c>
      <c r="L25" s="196"/>
      <c r="M25" s="197"/>
      <c r="N25" s="124"/>
      <c r="O25" s="119"/>
      <c r="P25" s="226"/>
      <c r="Q25" s="74">
        <f t="shared" si="0"/>
        <v>0</v>
      </c>
      <c r="R25" s="6">
        <f>IF(S1SHTATbl[[#This Row],[UNRESTRICTED TOTAL REQUESTED]]=0,0,S1SHTATbl[[#This Row],[UNRESTRICTED TOTAL REQUESTED]]/S1_SHTA_UnrestrictedTotalRequested)</f>
        <v>0</v>
      </c>
      <c r="S25" s="7">
        <f>IF(S1SHTATbl[[#This Row],[ALL UNITS IN A HIGH OR HIGHEST RESOURCE AREA]]="Yes",10*S1SHTATbl[[#This Row],[UNRESTRICTED % OF FUNDING]],0)</f>
        <v>0</v>
      </c>
      <c r="T25" s="7" cm="1">
        <f t="array" ref="T25">INDEX(CountyScoresTbl[Community Need Total Points],ROW(S1SHTATbl[[#This Row],[COUNTY]])-2,1)*S1SHTATbl[[#This Row],[UNRESTRICTED % OF FUNDING]]</f>
        <v>0</v>
      </c>
      <c r="U25" s="7" cm="1">
        <f t="array" ref="U25">INDEX(CountyScoresTbl[SHTA Total Feasibility Points Awarded],ROW(S1SHTATbl[[#This Row],[COUNTY]])-2,1)*S1SHTATbl[[#This Row],[UNRESTRICTED % OF FUNDING]]</f>
        <v>0</v>
      </c>
      <c r="V25" s="8" cm="1">
        <f t="array" ref="V25">INDEX(CountyScoresTbl[Farmworker Need Points Awarded],ROW(S1SHTATbl[[#This Row],[COUNTY]])-2,1)*S1SHTATbl[[#This Row],[UNRESTRICTED % OF FUNDING]]</f>
        <v>0</v>
      </c>
      <c r="W25" s="124"/>
      <c r="X25" s="119"/>
      <c r="Y25" s="226"/>
      <c r="Z25" s="74">
        <f t="shared" si="1"/>
        <v>0</v>
      </c>
      <c r="AA25" s="6">
        <f>IF(S1SHTATbl[[#This Row],[RURAL TOTAL REQUESTED]]=0,0,S1SHTATbl[[#This Row],[RURAL TOTAL REQUESTED]]/Z$61)</f>
        <v>0</v>
      </c>
      <c r="AB25" s="7">
        <f>IF(S1SHTATbl[[#This Row],[ALL UNITS IN A HIGH OR HIGHEST RESOURCE AREA]]="Yes",10*S1SHTATbl[[#This Row],[RURAL % OF FUNDING]],0)</f>
        <v>0</v>
      </c>
      <c r="AC25" s="7" cm="1">
        <f t="array" ref="AC25">INDEX(CountyScoresTbl[Community Need Total Points],ROW(S1SHTATbl[[#This Row],[COUNTY]])-2,1)*S1SHTATbl[[#This Row],[RURAL % OF FUNDING]]</f>
        <v>0</v>
      </c>
      <c r="AD25" s="7" cm="1">
        <f t="array" ref="AD25">INDEX(CountyScoresTbl[SHTA Total Feasibility Points Awarded],ROW(S1SHTATbl[[#This Row],[COUNTY]])-2,1)*S1SHTATbl[[#This Row],[RURAL % OF FUNDING]]</f>
        <v>0</v>
      </c>
      <c r="AE25" s="8" cm="1">
        <f t="array" ref="AE25">INDEX(CountyScoresTbl[Farmworker Need Points Awarded],ROW(S1SHTATbl[[#This Row],[COUNTY]])-2,1)*S1SHTATbl[[#This Row],[RURAL % OF FUNDING]]</f>
        <v>0</v>
      </c>
      <c r="AF25" s="399"/>
      <c r="AG25" s="7">
        <f>IF(S1SHTATbl[[#This Row],[INFILL SITE]]="Yes",5,3)*S1SHTATbl[[#This Row],[UNRESTRICTED % OF FUNDING]]</f>
        <v>0</v>
      </c>
      <c r="AH25" s="26">
        <f>IF(S1SHTATbl[[#This Row],[INFILL SITE]]="Yes",5,3)*S1SHTATbl[[#This Row],[RURAL % OF FUNDING]]</f>
        <v>0</v>
      </c>
    </row>
    <row r="26" spans="1:34" x14ac:dyDescent="0.35">
      <c r="A26" s="119"/>
      <c r="B26" s="5" t="s">
        <v>138</v>
      </c>
      <c r="C26" s="44" t="s">
        <v>513</v>
      </c>
      <c r="D26" s="114" t="str">
        <f>IF(S1SHTATbl[[#This Row],[UNRESTRICTED UNITS]]=0,"",S1SHTATbl[[#This Row],[UNRESTRICTED UNITS]])</f>
        <v/>
      </c>
      <c r="E26" s="270" t="str">
        <f xml:space="preserve">
IF(S1SHTATbl[[#This Row],[UNRESTRICTED TOTAL REQUESTED]]=0,"",
S1SHTATbl[[#This Row],[UNRESTRICTED TOTAL REQUESTED]]*
IF(S1_SHTA_UnrestrictedTotalRequested&lt;=500000,1,
500000/S1_SHTA_UnrestrictedTotalRequested)
)</f>
        <v/>
      </c>
      <c r="F26" s="272" t="str">
        <f>IF(S1SHTATbl[[#This Row],[UNRESTRICTED % OF FUNDING]]=0,"",S1SHTATbl[[#This Row],[UNRESTRICTED % OF FUNDING]])</f>
        <v/>
      </c>
      <c r="G26" s="31" t="s">
        <v>513</v>
      </c>
      <c r="H26" s="271" t="str">
        <f>IF(S1SHTATbl[[#This Row],[RURAL UNITS]]=0,"",S1SHTATbl[[#This Row],[RURAL UNITS]])</f>
        <v/>
      </c>
      <c r="I26" s="270" t="str">
        <f xml:space="preserve">
IF(S1SHTATbl[[#This Row],[RURAL TOTAL REQUESTED]]=0,"",
S1SHTATbl[[#This Row],[RURAL TOTAL REQUESTED]]*
IF(S1_SHTA_RuralTotalRequested&lt;=(500000-E$61),1,
(500000-E$61)/S1_SHTA_RuralTotalRequested)
)</f>
        <v/>
      </c>
      <c r="J26" s="272" t="str">
        <f>IF(S1SHTATbl[[#This Row],[RURAL % OF FUNDING]]=0,"",S1SHTATbl[[#This Row],[RURAL % OF FUNDING]])</f>
        <v/>
      </c>
      <c r="K26" s="31" t="s">
        <v>513</v>
      </c>
      <c r="L26" s="196"/>
      <c r="M26" s="197"/>
      <c r="N26" s="124"/>
      <c r="O26" s="119"/>
      <c r="P26" s="226"/>
      <c r="Q26" s="74">
        <f t="shared" si="0"/>
        <v>0</v>
      </c>
      <c r="R26" s="6">
        <f>IF(S1SHTATbl[[#This Row],[UNRESTRICTED TOTAL REQUESTED]]=0,0,S1SHTATbl[[#This Row],[UNRESTRICTED TOTAL REQUESTED]]/S1_SHTA_UnrestrictedTotalRequested)</f>
        <v>0</v>
      </c>
      <c r="S26" s="7">
        <f>IF(S1SHTATbl[[#This Row],[ALL UNITS IN A HIGH OR HIGHEST RESOURCE AREA]]="Yes",10*S1SHTATbl[[#This Row],[UNRESTRICTED % OF FUNDING]],0)</f>
        <v>0</v>
      </c>
      <c r="T26" s="7" cm="1">
        <f t="array" ref="T26">INDEX(CountyScoresTbl[Community Need Total Points],ROW(S1SHTATbl[[#This Row],[COUNTY]])-2,1)*S1SHTATbl[[#This Row],[UNRESTRICTED % OF FUNDING]]</f>
        <v>0</v>
      </c>
      <c r="U26" s="7" cm="1">
        <f t="array" ref="U26">INDEX(CountyScoresTbl[SHTA Total Feasibility Points Awarded],ROW(S1SHTATbl[[#This Row],[COUNTY]])-2,1)*S1SHTATbl[[#This Row],[UNRESTRICTED % OF FUNDING]]</f>
        <v>0</v>
      </c>
      <c r="V26" s="8" cm="1">
        <f t="array" ref="V26">INDEX(CountyScoresTbl[Farmworker Need Points Awarded],ROW(S1SHTATbl[[#This Row],[COUNTY]])-2,1)*S1SHTATbl[[#This Row],[UNRESTRICTED % OF FUNDING]]</f>
        <v>0</v>
      </c>
      <c r="W26" s="124"/>
      <c r="X26" s="119"/>
      <c r="Y26" s="226"/>
      <c r="Z26" s="74">
        <f t="shared" si="1"/>
        <v>0</v>
      </c>
      <c r="AA26" s="6">
        <f>IF(S1SHTATbl[[#This Row],[RURAL TOTAL REQUESTED]]=0,0,S1SHTATbl[[#This Row],[RURAL TOTAL REQUESTED]]/Z$61)</f>
        <v>0</v>
      </c>
      <c r="AB26" s="7">
        <f>IF(S1SHTATbl[[#This Row],[ALL UNITS IN A HIGH OR HIGHEST RESOURCE AREA]]="Yes",10*S1SHTATbl[[#This Row],[RURAL % OF FUNDING]],0)</f>
        <v>0</v>
      </c>
      <c r="AC26" s="7" cm="1">
        <f t="array" ref="AC26">INDEX(CountyScoresTbl[Community Need Total Points],ROW(S1SHTATbl[[#This Row],[COUNTY]])-2,1)*S1SHTATbl[[#This Row],[RURAL % OF FUNDING]]</f>
        <v>0</v>
      </c>
      <c r="AD26" s="7" cm="1">
        <f t="array" ref="AD26">INDEX(CountyScoresTbl[SHTA Total Feasibility Points Awarded],ROW(S1SHTATbl[[#This Row],[COUNTY]])-2,1)*S1SHTATbl[[#This Row],[RURAL % OF FUNDING]]</f>
        <v>0</v>
      </c>
      <c r="AE26" s="8" cm="1">
        <f t="array" ref="AE26">INDEX(CountyScoresTbl[Farmworker Need Points Awarded],ROW(S1SHTATbl[[#This Row],[COUNTY]])-2,1)*S1SHTATbl[[#This Row],[RURAL % OF FUNDING]]</f>
        <v>0</v>
      </c>
      <c r="AF26" s="399"/>
      <c r="AG26" s="7">
        <f>IF(S1SHTATbl[[#This Row],[INFILL SITE]]="Yes",5,3)*S1SHTATbl[[#This Row],[UNRESTRICTED % OF FUNDING]]</f>
        <v>0</v>
      </c>
      <c r="AH26" s="26">
        <f>IF(S1SHTATbl[[#This Row],[INFILL SITE]]="Yes",5,3)*S1SHTATbl[[#This Row],[RURAL % OF FUNDING]]</f>
        <v>0</v>
      </c>
    </row>
    <row r="27" spans="1:34" x14ac:dyDescent="0.35">
      <c r="A27" s="119"/>
      <c r="B27" s="5" t="s">
        <v>139</v>
      </c>
      <c r="C27" s="44" t="s">
        <v>513</v>
      </c>
      <c r="D27" s="114" t="str">
        <f>IF(S1SHTATbl[[#This Row],[UNRESTRICTED UNITS]]=0,"",S1SHTATbl[[#This Row],[UNRESTRICTED UNITS]])</f>
        <v/>
      </c>
      <c r="E27" s="270" t="str">
        <f xml:space="preserve">
IF(S1SHTATbl[[#This Row],[UNRESTRICTED TOTAL REQUESTED]]=0,"",
S1SHTATbl[[#This Row],[UNRESTRICTED TOTAL REQUESTED]]*
IF(S1_SHTA_UnrestrictedTotalRequested&lt;=500000,1,
500000/S1_SHTA_UnrestrictedTotalRequested)
)</f>
        <v/>
      </c>
      <c r="F27" s="272" t="str">
        <f>IF(S1SHTATbl[[#This Row],[UNRESTRICTED % OF FUNDING]]=0,"",S1SHTATbl[[#This Row],[UNRESTRICTED % OF FUNDING]])</f>
        <v/>
      </c>
      <c r="G27" s="31" t="s">
        <v>513</v>
      </c>
      <c r="H27" s="271" t="str">
        <f>IF(S1SHTATbl[[#This Row],[RURAL UNITS]]=0,"",S1SHTATbl[[#This Row],[RURAL UNITS]])</f>
        <v/>
      </c>
      <c r="I27" s="270" t="str">
        <f xml:space="preserve">
IF(S1SHTATbl[[#This Row],[RURAL TOTAL REQUESTED]]=0,"",
S1SHTATbl[[#This Row],[RURAL TOTAL REQUESTED]]*
IF(S1_SHTA_RuralTotalRequested&lt;=(500000-E$61),1,
(500000-E$61)/S1_SHTA_RuralTotalRequested)
)</f>
        <v/>
      </c>
      <c r="J27" s="272" t="str">
        <f>IF(S1SHTATbl[[#This Row],[RURAL % OF FUNDING]]=0,"",S1SHTATbl[[#This Row],[RURAL % OF FUNDING]])</f>
        <v/>
      </c>
      <c r="K27" s="31" t="s">
        <v>513</v>
      </c>
      <c r="L27" s="196"/>
      <c r="M27" s="197"/>
      <c r="N27" s="124"/>
      <c r="O27" s="119"/>
      <c r="P27" s="226"/>
      <c r="Q27" s="74">
        <f t="shared" si="0"/>
        <v>0</v>
      </c>
      <c r="R27" s="6">
        <f>IF(S1SHTATbl[[#This Row],[UNRESTRICTED TOTAL REQUESTED]]=0,0,S1SHTATbl[[#This Row],[UNRESTRICTED TOTAL REQUESTED]]/S1_SHTA_UnrestrictedTotalRequested)</f>
        <v>0</v>
      </c>
      <c r="S27" s="7">
        <f>IF(S1SHTATbl[[#This Row],[ALL UNITS IN A HIGH OR HIGHEST RESOURCE AREA]]="Yes",10*S1SHTATbl[[#This Row],[UNRESTRICTED % OF FUNDING]],0)</f>
        <v>0</v>
      </c>
      <c r="T27" s="7" cm="1">
        <f t="array" ref="T27">INDEX(CountyScoresTbl[Community Need Total Points],ROW(S1SHTATbl[[#This Row],[COUNTY]])-2,1)*S1SHTATbl[[#This Row],[UNRESTRICTED % OF FUNDING]]</f>
        <v>0</v>
      </c>
      <c r="U27" s="7" cm="1">
        <f t="array" ref="U27">INDEX(CountyScoresTbl[SHTA Total Feasibility Points Awarded],ROW(S1SHTATbl[[#This Row],[COUNTY]])-2,1)*S1SHTATbl[[#This Row],[UNRESTRICTED % OF FUNDING]]</f>
        <v>0</v>
      </c>
      <c r="V27" s="8" cm="1">
        <f t="array" ref="V27">INDEX(CountyScoresTbl[Farmworker Need Points Awarded],ROW(S1SHTATbl[[#This Row],[COUNTY]])-2,1)*S1SHTATbl[[#This Row],[UNRESTRICTED % OF FUNDING]]</f>
        <v>0</v>
      </c>
      <c r="W27" s="124"/>
      <c r="X27" s="119"/>
      <c r="Y27" s="226"/>
      <c r="Z27" s="74">
        <f t="shared" si="1"/>
        <v>0</v>
      </c>
      <c r="AA27" s="6">
        <f>IF(S1SHTATbl[[#This Row],[RURAL TOTAL REQUESTED]]=0,0,S1SHTATbl[[#This Row],[RURAL TOTAL REQUESTED]]/Z$61)</f>
        <v>0</v>
      </c>
      <c r="AB27" s="7">
        <f>IF(S1SHTATbl[[#This Row],[ALL UNITS IN A HIGH OR HIGHEST RESOURCE AREA]]="Yes",10*S1SHTATbl[[#This Row],[RURAL % OF FUNDING]],0)</f>
        <v>0</v>
      </c>
      <c r="AC27" s="7" cm="1">
        <f t="array" ref="AC27">INDEX(CountyScoresTbl[Community Need Total Points],ROW(S1SHTATbl[[#This Row],[COUNTY]])-2,1)*S1SHTATbl[[#This Row],[RURAL % OF FUNDING]]</f>
        <v>0</v>
      </c>
      <c r="AD27" s="7" cm="1">
        <f t="array" ref="AD27">INDEX(CountyScoresTbl[SHTA Total Feasibility Points Awarded],ROW(S1SHTATbl[[#This Row],[COUNTY]])-2,1)*S1SHTATbl[[#This Row],[RURAL % OF FUNDING]]</f>
        <v>0</v>
      </c>
      <c r="AE27" s="8" cm="1">
        <f t="array" ref="AE27">INDEX(CountyScoresTbl[Farmworker Need Points Awarded],ROW(S1SHTATbl[[#This Row],[COUNTY]])-2,1)*S1SHTATbl[[#This Row],[RURAL % OF FUNDING]]</f>
        <v>0</v>
      </c>
      <c r="AF27" s="399"/>
      <c r="AG27" s="7">
        <f>IF(S1SHTATbl[[#This Row],[INFILL SITE]]="Yes",5,3)*S1SHTATbl[[#This Row],[UNRESTRICTED % OF FUNDING]]</f>
        <v>0</v>
      </c>
      <c r="AH27" s="26">
        <f>IF(S1SHTATbl[[#This Row],[INFILL SITE]]="Yes",5,3)*S1SHTATbl[[#This Row],[RURAL % OF FUNDING]]</f>
        <v>0</v>
      </c>
    </row>
    <row r="28" spans="1:34" x14ac:dyDescent="0.35">
      <c r="A28" s="119"/>
      <c r="B28" s="5" t="s">
        <v>140</v>
      </c>
      <c r="C28" s="44" t="s">
        <v>513</v>
      </c>
      <c r="D28" s="114" t="str">
        <f>IF(S1SHTATbl[[#This Row],[UNRESTRICTED UNITS]]=0,"",S1SHTATbl[[#This Row],[UNRESTRICTED UNITS]])</f>
        <v/>
      </c>
      <c r="E28" s="270" t="str">
        <f xml:space="preserve">
IF(S1SHTATbl[[#This Row],[UNRESTRICTED TOTAL REQUESTED]]=0,"",
S1SHTATbl[[#This Row],[UNRESTRICTED TOTAL REQUESTED]]*
IF(S1_SHTA_UnrestrictedTotalRequested&lt;=500000,1,
500000/S1_SHTA_UnrestrictedTotalRequested)
)</f>
        <v/>
      </c>
      <c r="F28" s="272" t="str">
        <f>IF(S1SHTATbl[[#This Row],[UNRESTRICTED % OF FUNDING]]=0,"",S1SHTATbl[[#This Row],[UNRESTRICTED % OF FUNDING]])</f>
        <v/>
      </c>
      <c r="G28" s="31" t="s">
        <v>513</v>
      </c>
      <c r="H28" s="271" t="str">
        <f>IF(S1SHTATbl[[#This Row],[RURAL UNITS]]=0,"",S1SHTATbl[[#This Row],[RURAL UNITS]])</f>
        <v/>
      </c>
      <c r="I28" s="270" t="str">
        <f xml:space="preserve">
IF(S1SHTATbl[[#This Row],[RURAL TOTAL REQUESTED]]=0,"",
S1SHTATbl[[#This Row],[RURAL TOTAL REQUESTED]]*
IF(S1_SHTA_RuralTotalRequested&lt;=(500000-E$61),1,
(500000-E$61)/S1_SHTA_RuralTotalRequested)
)</f>
        <v/>
      </c>
      <c r="J28" s="272" t="str">
        <f>IF(S1SHTATbl[[#This Row],[RURAL % OF FUNDING]]=0,"",S1SHTATbl[[#This Row],[RURAL % OF FUNDING]])</f>
        <v/>
      </c>
      <c r="K28" s="31" t="s">
        <v>513</v>
      </c>
      <c r="L28" s="196"/>
      <c r="M28" s="197"/>
      <c r="N28" s="124"/>
      <c r="O28" s="119"/>
      <c r="P28" s="226"/>
      <c r="Q28" s="74">
        <f t="shared" si="0"/>
        <v>0</v>
      </c>
      <c r="R28" s="6">
        <f>IF(S1SHTATbl[[#This Row],[UNRESTRICTED TOTAL REQUESTED]]=0,0,S1SHTATbl[[#This Row],[UNRESTRICTED TOTAL REQUESTED]]/S1_SHTA_UnrestrictedTotalRequested)</f>
        <v>0</v>
      </c>
      <c r="S28" s="7">
        <f>IF(S1SHTATbl[[#This Row],[ALL UNITS IN A HIGH OR HIGHEST RESOURCE AREA]]="Yes",10*S1SHTATbl[[#This Row],[UNRESTRICTED % OF FUNDING]],0)</f>
        <v>0</v>
      </c>
      <c r="T28" s="7" cm="1">
        <f t="array" ref="T28">INDEX(CountyScoresTbl[Community Need Total Points],ROW(S1SHTATbl[[#This Row],[COUNTY]])-2,1)*S1SHTATbl[[#This Row],[UNRESTRICTED % OF FUNDING]]</f>
        <v>0</v>
      </c>
      <c r="U28" s="7" cm="1">
        <f t="array" ref="U28">INDEX(CountyScoresTbl[SHTA Total Feasibility Points Awarded],ROW(S1SHTATbl[[#This Row],[COUNTY]])-2,1)*S1SHTATbl[[#This Row],[UNRESTRICTED % OF FUNDING]]</f>
        <v>0</v>
      </c>
      <c r="V28" s="8" cm="1">
        <f t="array" ref="V28">INDEX(CountyScoresTbl[Farmworker Need Points Awarded],ROW(S1SHTATbl[[#This Row],[COUNTY]])-2,1)*S1SHTATbl[[#This Row],[UNRESTRICTED % OF FUNDING]]</f>
        <v>0</v>
      </c>
      <c r="W28" s="124"/>
      <c r="X28" s="119"/>
      <c r="Y28" s="226"/>
      <c r="Z28" s="74">
        <f t="shared" si="1"/>
        <v>0</v>
      </c>
      <c r="AA28" s="6">
        <f>IF(S1SHTATbl[[#This Row],[RURAL TOTAL REQUESTED]]=0,0,S1SHTATbl[[#This Row],[RURAL TOTAL REQUESTED]]/Z$61)</f>
        <v>0</v>
      </c>
      <c r="AB28" s="7">
        <f>IF(S1SHTATbl[[#This Row],[ALL UNITS IN A HIGH OR HIGHEST RESOURCE AREA]]="Yes",10*S1SHTATbl[[#This Row],[RURAL % OF FUNDING]],0)</f>
        <v>0</v>
      </c>
      <c r="AC28" s="7" cm="1">
        <f t="array" ref="AC28">INDEX(CountyScoresTbl[Community Need Total Points],ROW(S1SHTATbl[[#This Row],[COUNTY]])-2,1)*S1SHTATbl[[#This Row],[RURAL % OF FUNDING]]</f>
        <v>0</v>
      </c>
      <c r="AD28" s="7" cm="1">
        <f t="array" ref="AD28">INDEX(CountyScoresTbl[SHTA Total Feasibility Points Awarded],ROW(S1SHTATbl[[#This Row],[COUNTY]])-2,1)*S1SHTATbl[[#This Row],[RURAL % OF FUNDING]]</f>
        <v>0</v>
      </c>
      <c r="AE28" s="8" cm="1">
        <f t="array" ref="AE28">INDEX(CountyScoresTbl[Farmworker Need Points Awarded],ROW(S1SHTATbl[[#This Row],[COUNTY]])-2,1)*S1SHTATbl[[#This Row],[RURAL % OF FUNDING]]</f>
        <v>0</v>
      </c>
      <c r="AF28" s="399"/>
      <c r="AG28" s="7">
        <f>IF(S1SHTATbl[[#This Row],[INFILL SITE]]="Yes",5,3)*S1SHTATbl[[#This Row],[UNRESTRICTED % OF FUNDING]]</f>
        <v>0</v>
      </c>
      <c r="AH28" s="26">
        <f>IF(S1SHTATbl[[#This Row],[INFILL SITE]]="Yes",5,3)*S1SHTATbl[[#This Row],[RURAL % OF FUNDING]]</f>
        <v>0</v>
      </c>
    </row>
    <row r="29" spans="1:34" x14ac:dyDescent="0.35">
      <c r="A29" s="164"/>
      <c r="B29" s="5" t="s">
        <v>141</v>
      </c>
      <c r="C29" s="44" t="s">
        <v>513</v>
      </c>
      <c r="D29" s="114" t="str">
        <f>IF(S1SHTATbl[[#This Row],[UNRESTRICTED UNITS]]=0,"",S1SHTATbl[[#This Row],[UNRESTRICTED UNITS]])</f>
        <v/>
      </c>
      <c r="E29" s="270" t="str">
        <f xml:space="preserve">
IF(S1SHTATbl[[#This Row],[UNRESTRICTED TOTAL REQUESTED]]=0,"",
S1SHTATbl[[#This Row],[UNRESTRICTED TOTAL REQUESTED]]*
IF(S1_SHTA_UnrestrictedTotalRequested&lt;=500000,1,
500000/S1_SHTA_UnrestrictedTotalRequested)
)</f>
        <v/>
      </c>
      <c r="F29" s="272" t="str">
        <f>IF(S1SHTATbl[[#This Row],[UNRESTRICTED % OF FUNDING]]=0,"",S1SHTATbl[[#This Row],[UNRESTRICTED % OF FUNDING]])</f>
        <v/>
      </c>
      <c r="G29" s="31" t="s">
        <v>513</v>
      </c>
      <c r="H29" s="271" t="str">
        <f>IF(S1SHTATbl[[#This Row],[RURAL UNITS]]=0,"",S1SHTATbl[[#This Row],[RURAL UNITS]])</f>
        <v/>
      </c>
      <c r="I29" s="270" t="str">
        <f xml:space="preserve">
IF(S1SHTATbl[[#This Row],[RURAL TOTAL REQUESTED]]=0,"",
S1SHTATbl[[#This Row],[RURAL TOTAL REQUESTED]]*
IF(S1_SHTA_RuralTotalRequested&lt;=(500000-E$61),1,
(500000-E$61)/S1_SHTA_RuralTotalRequested)
)</f>
        <v/>
      </c>
      <c r="J29" s="272" t="str">
        <f>IF(S1SHTATbl[[#This Row],[RURAL % OF FUNDING]]=0,"",S1SHTATbl[[#This Row],[RURAL % OF FUNDING]])</f>
        <v/>
      </c>
      <c r="K29" s="31" t="s">
        <v>513</v>
      </c>
      <c r="L29" s="163"/>
      <c r="M29" s="199"/>
      <c r="N29" s="123"/>
      <c r="O29" s="161"/>
      <c r="P29" s="198"/>
      <c r="Q29" s="74">
        <f t="shared" si="0"/>
        <v>0</v>
      </c>
      <c r="R29" s="6">
        <f>IF(S1SHTATbl[[#This Row],[UNRESTRICTED TOTAL REQUESTED]]=0,0,S1SHTATbl[[#This Row],[UNRESTRICTED TOTAL REQUESTED]]/S1_SHTA_UnrestrictedTotalRequested)</f>
        <v>0</v>
      </c>
      <c r="S29" s="7">
        <f>IF(S1SHTATbl[[#This Row],[ALL UNITS IN A HIGH OR HIGHEST RESOURCE AREA]]="Yes",10*S1SHTATbl[[#This Row],[UNRESTRICTED % OF FUNDING]],0)</f>
        <v>0</v>
      </c>
      <c r="T29" s="7" cm="1">
        <f t="array" ref="T29">INDEX(CountyScoresTbl[Community Need Total Points],ROW(S1SHTATbl[[#This Row],[COUNTY]])-2,1)*S1SHTATbl[[#This Row],[UNRESTRICTED % OF FUNDING]]</f>
        <v>0</v>
      </c>
      <c r="U29" s="7" cm="1">
        <f t="array" ref="U29">INDEX(CountyScoresTbl[SHTA Total Feasibility Points Awarded],ROW(S1SHTATbl[[#This Row],[COUNTY]])-2,1)*S1SHTATbl[[#This Row],[UNRESTRICTED % OF FUNDING]]</f>
        <v>0</v>
      </c>
      <c r="V29" s="8" cm="1">
        <f t="array" ref="V29">INDEX(CountyScoresTbl[Farmworker Need Points Awarded],ROW(S1SHTATbl[[#This Row],[COUNTY]])-2,1)*S1SHTATbl[[#This Row],[UNRESTRICTED % OF FUNDING]]</f>
        <v>0</v>
      </c>
      <c r="W29" s="123"/>
      <c r="X29" s="161"/>
      <c r="Y29" s="198"/>
      <c r="Z29" s="74">
        <f t="shared" si="1"/>
        <v>0</v>
      </c>
      <c r="AA29" s="6">
        <f>IF(S1SHTATbl[[#This Row],[RURAL TOTAL REQUESTED]]=0,0,S1SHTATbl[[#This Row],[RURAL TOTAL REQUESTED]]/Z$61)</f>
        <v>0</v>
      </c>
      <c r="AB29" s="7">
        <f>IF(S1SHTATbl[[#This Row],[ALL UNITS IN A HIGH OR HIGHEST RESOURCE AREA]]="Yes",10*S1SHTATbl[[#This Row],[RURAL % OF FUNDING]],0)</f>
        <v>0</v>
      </c>
      <c r="AC29" s="7" cm="1">
        <f t="array" ref="AC29">INDEX(CountyScoresTbl[Community Need Total Points],ROW(S1SHTATbl[[#This Row],[COUNTY]])-2,1)*S1SHTATbl[[#This Row],[RURAL % OF FUNDING]]</f>
        <v>0</v>
      </c>
      <c r="AD29" s="7" cm="1">
        <f t="array" ref="AD29">INDEX(CountyScoresTbl[SHTA Total Feasibility Points Awarded],ROW(S1SHTATbl[[#This Row],[COUNTY]])-2,1)*S1SHTATbl[[#This Row],[RURAL % OF FUNDING]]</f>
        <v>0</v>
      </c>
      <c r="AE29" s="8" cm="1">
        <f t="array" ref="AE29">INDEX(CountyScoresTbl[Farmworker Need Points Awarded],ROW(S1SHTATbl[[#This Row],[COUNTY]])-2,1)*S1SHTATbl[[#This Row],[RURAL % OF FUNDING]]</f>
        <v>0</v>
      </c>
      <c r="AF29" s="399"/>
      <c r="AG29" s="7">
        <f>IF(S1SHTATbl[[#This Row],[INFILL SITE]]="Yes",5,3)*S1SHTATbl[[#This Row],[UNRESTRICTED % OF FUNDING]]</f>
        <v>0</v>
      </c>
      <c r="AH29" s="26">
        <f>IF(S1SHTATbl[[#This Row],[INFILL SITE]]="Yes",5,3)*S1SHTATbl[[#This Row],[RURAL % OF FUNDING]]</f>
        <v>0</v>
      </c>
    </row>
    <row r="30" spans="1:34" x14ac:dyDescent="0.35">
      <c r="A30" s="119"/>
      <c r="B30" s="5" t="s">
        <v>142</v>
      </c>
      <c r="C30" s="44" t="s">
        <v>513</v>
      </c>
      <c r="D30" s="114" t="str">
        <f>IF(S1SHTATbl[[#This Row],[UNRESTRICTED UNITS]]=0,"",S1SHTATbl[[#This Row],[UNRESTRICTED UNITS]])</f>
        <v/>
      </c>
      <c r="E30" s="270" t="str">
        <f xml:space="preserve">
IF(S1SHTATbl[[#This Row],[UNRESTRICTED TOTAL REQUESTED]]=0,"",
S1SHTATbl[[#This Row],[UNRESTRICTED TOTAL REQUESTED]]*
IF(S1_SHTA_UnrestrictedTotalRequested&lt;=500000,1,
500000/S1_SHTA_UnrestrictedTotalRequested)
)</f>
        <v/>
      </c>
      <c r="F30" s="272" t="str">
        <f>IF(S1SHTATbl[[#This Row],[UNRESTRICTED % OF FUNDING]]=0,"",S1SHTATbl[[#This Row],[UNRESTRICTED % OF FUNDING]])</f>
        <v/>
      </c>
      <c r="G30" s="31" t="s">
        <v>513</v>
      </c>
      <c r="H30" s="271" t="str">
        <f>IF(S1SHTATbl[[#This Row],[RURAL UNITS]]=0,"",S1SHTATbl[[#This Row],[RURAL UNITS]])</f>
        <v/>
      </c>
      <c r="I30" s="270" t="str">
        <f xml:space="preserve">
IF(S1SHTATbl[[#This Row],[RURAL TOTAL REQUESTED]]=0,"",
S1SHTATbl[[#This Row],[RURAL TOTAL REQUESTED]]*
IF(S1_SHTA_RuralTotalRequested&lt;=(500000-E$61),1,
(500000-E$61)/S1_SHTA_RuralTotalRequested)
)</f>
        <v/>
      </c>
      <c r="J30" s="272" t="str">
        <f>IF(S1SHTATbl[[#This Row],[RURAL % OF FUNDING]]=0,"",S1SHTATbl[[#This Row],[RURAL % OF FUNDING]])</f>
        <v/>
      </c>
      <c r="K30" s="31" t="s">
        <v>513</v>
      </c>
      <c r="L30" s="196"/>
      <c r="M30" s="197"/>
      <c r="N30" s="124"/>
      <c r="O30" s="119"/>
      <c r="P30" s="226"/>
      <c r="Q30" s="74">
        <f t="shared" si="0"/>
        <v>0</v>
      </c>
      <c r="R30" s="6">
        <f>IF(S1SHTATbl[[#This Row],[UNRESTRICTED TOTAL REQUESTED]]=0,0,S1SHTATbl[[#This Row],[UNRESTRICTED TOTAL REQUESTED]]/S1_SHTA_UnrestrictedTotalRequested)</f>
        <v>0</v>
      </c>
      <c r="S30" s="7">
        <f>IF(S1SHTATbl[[#This Row],[ALL UNITS IN A HIGH OR HIGHEST RESOURCE AREA]]="Yes",10*S1SHTATbl[[#This Row],[UNRESTRICTED % OF FUNDING]],0)</f>
        <v>0</v>
      </c>
      <c r="T30" s="7" cm="1">
        <f t="array" ref="T30">INDEX(CountyScoresTbl[Community Need Total Points],ROW(S1SHTATbl[[#This Row],[COUNTY]])-2,1)*S1SHTATbl[[#This Row],[UNRESTRICTED % OF FUNDING]]</f>
        <v>0</v>
      </c>
      <c r="U30" s="7" cm="1">
        <f t="array" ref="U30">INDEX(CountyScoresTbl[SHTA Total Feasibility Points Awarded],ROW(S1SHTATbl[[#This Row],[COUNTY]])-2,1)*S1SHTATbl[[#This Row],[UNRESTRICTED % OF FUNDING]]</f>
        <v>0</v>
      </c>
      <c r="V30" s="8" cm="1">
        <f t="array" ref="V30">INDEX(CountyScoresTbl[Farmworker Need Points Awarded],ROW(S1SHTATbl[[#This Row],[COUNTY]])-2,1)*S1SHTATbl[[#This Row],[UNRESTRICTED % OF FUNDING]]</f>
        <v>0</v>
      </c>
      <c r="W30" s="124"/>
      <c r="X30" s="119"/>
      <c r="Y30" s="226"/>
      <c r="Z30" s="74">
        <f t="shared" si="1"/>
        <v>0</v>
      </c>
      <c r="AA30" s="6">
        <f>IF(S1SHTATbl[[#This Row],[RURAL TOTAL REQUESTED]]=0,0,S1SHTATbl[[#This Row],[RURAL TOTAL REQUESTED]]/Z$61)</f>
        <v>0</v>
      </c>
      <c r="AB30" s="7">
        <f>IF(S1SHTATbl[[#This Row],[ALL UNITS IN A HIGH OR HIGHEST RESOURCE AREA]]="Yes",10*S1SHTATbl[[#This Row],[RURAL % OF FUNDING]],0)</f>
        <v>0</v>
      </c>
      <c r="AC30" s="7" cm="1">
        <f t="array" ref="AC30">INDEX(CountyScoresTbl[Community Need Total Points],ROW(S1SHTATbl[[#This Row],[COUNTY]])-2,1)*S1SHTATbl[[#This Row],[RURAL % OF FUNDING]]</f>
        <v>0</v>
      </c>
      <c r="AD30" s="7" cm="1">
        <f t="array" ref="AD30">INDEX(CountyScoresTbl[SHTA Total Feasibility Points Awarded],ROW(S1SHTATbl[[#This Row],[COUNTY]])-2,1)*S1SHTATbl[[#This Row],[RURAL % OF FUNDING]]</f>
        <v>0</v>
      </c>
      <c r="AE30" s="8" cm="1">
        <f t="array" ref="AE30">INDEX(CountyScoresTbl[Farmworker Need Points Awarded],ROW(S1SHTATbl[[#This Row],[COUNTY]])-2,1)*S1SHTATbl[[#This Row],[RURAL % OF FUNDING]]</f>
        <v>0</v>
      </c>
      <c r="AF30" s="399"/>
      <c r="AG30" s="7">
        <f>IF(S1SHTATbl[[#This Row],[INFILL SITE]]="Yes",5,3)*S1SHTATbl[[#This Row],[UNRESTRICTED % OF FUNDING]]</f>
        <v>0</v>
      </c>
      <c r="AH30" s="26">
        <f>IF(S1SHTATbl[[#This Row],[INFILL SITE]]="Yes",5,3)*S1SHTATbl[[#This Row],[RURAL % OF FUNDING]]</f>
        <v>0</v>
      </c>
    </row>
    <row r="31" spans="1:34" x14ac:dyDescent="0.35">
      <c r="A31" s="119"/>
      <c r="B31" s="5" t="s">
        <v>143</v>
      </c>
      <c r="C31" s="44" t="s">
        <v>513</v>
      </c>
      <c r="D31" s="114" t="str">
        <f>IF(S1SHTATbl[[#This Row],[UNRESTRICTED UNITS]]=0,"",S1SHTATbl[[#This Row],[UNRESTRICTED UNITS]])</f>
        <v/>
      </c>
      <c r="E31" s="270" t="str">
        <f xml:space="preserve">
IF(S1SHTATbl[[#This Row],[UNRESTRICTED TOTAL REQUESTED]]=0,"",
S1SHTATbl[[#This Row],[UNRESTRICTED TOTAL REQUESTED]]*
IF(S1_SHTA_UnrestrictedTotalRequested&lt;=500000,1,
500000/S1_SHTA_UnrestrictedTotalRequested)
)</f>
        <v/>
      </c>
      <c r="F31" s="272" t="str">
        <f>IF(S1SHTATbl[[#This Row],[UNRESTRICTED % OF FUNDING]]=0,"",S1SHTATbl[[#This Row],[UNRESTRICTED % OF FUNDING]])</f>
        <v/>
      </c>
      <c r="G31" s="31" t="s">
        <v>513</v>
      </c>
      <c r="H31" s="271" t="str">
        <f>IF(S1SHTATbl[[#This Row],[RURAL UNITS]]=0,"",S1SHTATbl[[#This Row],[RURAL UNITS]])</f>
        <v/>
      </c>
      <c r="I31" s="270" t="str">
        <f xml:space="preserve">
IF(S1SHTATbl[[#This Row],[RURAL TOTAL REQUESTED]]=0,"",
S1SHTATbl[[#This Row],[RURAL TOTAL REQUESTED]]*
IF(S1_SHTA_RuralTotalRequested&lt;=(500000-E$61),1,
(500000-E$61)/S1_SHTA_RuralTotalRequested)
)</f>
        <v/>
      </c>
      <c r="J31" s="272" t="str">
        <f>IF(S1SHTATbl[[#This Row],[RURAL % OF FUNDING]]=0,"",S1SHTATbl[[#This Row],[RURAL % OF FUNDING]])</f>
        <v/>
      </c>
      <c r="K31" s="31" t="s">
        <v>513</v>
      </c>
      <c r="L31" s="196"/>
      <c r="M31" s="197"/>
      <c r="N31" s="124"/>
      <c r="O31" s="119"/>
      <c r="P31" s="226"/>
      <c r="Q31" s="74">
        <f t="shared" si="0"/>
        <v>0</v>
      </c>
      <c r="R31" s="6">
        <f>IF(S1SHTATbl[[#This Row],[UNRESTRICTED TOTAL REQUESTED]]=0,0,S1SHTATbl[[#This Row],[UNRESTRICTED TOTAL REQUESTED]]/S1_SHTA_UnrestrictedTotalRequested)</f>
        <v>0</v>
      </c>
      <c r="S31" s="7">
        <f>IF(S1SHTATbl[[#This Row],[ALL UNITS IN A HIGH OR HIGHEST RESOURCE AREA]]="Yes",10*S1SHTATbl[[#This Row],[UNRESTRICTED % OF FUNDING]],0)</f>
        <v>0</v>
      </c>
      <c r="T31" s="7" cm="1">
        <f t="array" ref="T31">INDEX(CountyScoresTbl[Community Need Total Points],ROW(S1SHTATbl[[#This Row],[COUNTY]])-2,1)*S1SHTATbl[[#This Row],[UNRESTRICTED % OF FUNDING]]</f>
        <v>0</v>
      </c>
      <c r="U31" s="7" cm="1">
        <f t="array" ref="U31">INDEX(CountyScoresTbl[SHTA Total Feasibility Points Awarded],ROW(S1SHTATbl[[#This Row],[COUNTY]])-2,1)*S1SHTATbl[[#This Row],[UNRESTRICTED % OF FUNDING]]</f>
        <v>0</v>
      </c>
      <c r="V31" s="8" cm="1">
        <f t="array" ref="V31">INDEX(CountyScoresTbl[Farmworker Need Points Awarded],ROW(S1SHTATbl[[#This Row],[COUNTY]])-2,1)*S1SHTATbl[[#This Row],[UNRESTRICTED % OF FUNDING]]</f>
        <v>0</v>
      </c>
      <c r="W31" s="124"/>
      <c r="X31" s="119"/>
      <c r="Y31" s="226"/>
      <c r="Z31" s="74">
        <f t="shared" si="1"/>
        <v>0</v>
      </c>
      <c r="AA31" s="6">
        <f>IF(S1SHTATbl[[#This Row],[RURAL TOTAL REQUESTED]]=0,0,S1SHTATbl[[#This Row],[RURAL TOTAL REQUESTED]]/Z$61)</f>
        <v>0</v>
      </c>
      <c r="AB31" s="7">
        <f>IF(S1SHTATbl[[#This Row],[ALL UNITS IN A HIGH OR HIGHEST RESOURCE AREA]]="Yes",10*S1SHTATbl[[#This Row],[RURAL % OF FUNDING]],0)</f>
        <v>0</v>
      </c>
      <c r="AC31" s="7" cm="1">
        <f t="array" ref="AC31">INDEX(CountyScoresTbl[Community Need Total Points],ROW(S1SHTATbl[[#This Row],[COUNTY]])-2,1)*S1SHTATbl[[#This Row],[RURAL % OF FUNDING]]</f>
        <v>0</v>
      </c>
      <c r="AD31" s="7" cm="1">
        <f t="array" ref="AD31">INDEX(CountyScoresTbl[SHTA Total Feasibility Points Awarded],ROW(S1SHTATbl[[#This Row],[COUNTY]])-2,1)*S1SHTATbl[[#This Row],[RURAL % OF FUNDING]]</f>
        <v>0</v>
      </c>
      <c r="AE31" s="8" cm="1">
        <f t="array" ref="AE31">INDEX(CountyScoresTbl[Farmworker Need Points Awarded],ROW(S1SHTATbl[[#This Row],[COUNTY]])-2,1)*S1SHTATbl[[#This Row],[RURAL % OF FUNDING]]</f>
        <v>0</v>
      </c>
      <c r="AF31" s="399"/>
      <c r="AG31" s="7">
        <f>IF(S1SHTATbl[[#This Row],[INFILL SITE]]="Yes",5,3)*S1SHTATbl[[#This Row],[UNRESTRICTED % OF FUNDING]]</f>
        <v>0</v>
      </c>
      <c r="AH31" s="26">
        <f>IF(S1SHTATbl[[#This Row],[INFILL SITE]]="Yes",5,3)*S1SHTATbl[[#This Row],[RURAL % OF FUNDING]]</f>
        <v>0</v>
      </c>
    </row>
    <row r="32" spans="1:34" x14ac:dyDescent="0.35">
      <c r="A32" s="119"/>
      <c r="B32" s="5" t="s">
        <v>144</v>
      </c>
      <c r="C32" s="44" t="s">
        <v>513</v>
      </c>
      <c r="D32" s="114" t="str">
        <f>IF(S1SHTATbl[[#This Row],[UNRESTRICTED UNITS]]=0,"",S1SHTATbl[[#This Row],[UNRESTRICTED UNITS]])</f>
        <v/>
      </c>
      <c r="E32" s="270" t="str">
        <f xml:space="preserve">
IF(S1SHTATbl[[#This Row],[UNRESTRICTED TOTAL REQUESTED]]=0,"",
S1SHTATbl[[#This Row],[UNRESTRICTED TOTAL REQUESTED]]*
IF(S1_SHTA_UnrestrictedTotalRequested&lt;=500000,1,
500000/S1_SHTA_UnrestrictedTotalRequested)
)</f>
        <v/>
      </c>
      <c r="F32" s="272" t="str">
        <f>IF(S1SHTATbl[[#This Row],[UNRESTRICTED % OF FUNDING]]=0,"",S1SHTATbl[[#This Row],[UNRESTRICTED % OF FUNDING]])</f>
        <v/>
      </c>
      <c r="G32" s="31" t="s">
        <v>513</v>
      </c>
      <c r="H32" s="271" t="str">
        <f>IF(S1SHTATbl[[#This Row],[RURAL UNITS]]=0,"",S1SHTATbl[[#This Row],[RURAL UNITS]])</f>
        <v/>
      </c>
      <c r="I32" s="270" t="str">
        <f xml:space="preserve">
IF(S1SHTATbl[[#This Row],[RURAL TOTAL REQUESTED]]=0,"",
S1SHTATbl[[#This Row],[RURAL TOTAL REQUESTED]]*
IF(S1_SHTA_RuralTotalRequested&lt;=(500000-E$61),1,
(500000-E$61)/S1_SHTA_RuralTotalRequested)
)</f>
        <v/>
      </c>
      <c r="J32" s="272" t="str">
        <f>IF(S1SHTATbl[[#This Row],[RURAL % OF FUNDING]]=0,"",S1SHTATbl[[#This Row],[RURAL % OF FUNDING]])</f>
        <v/>
      </c>
      <c r="K32" s="31" t="s">
        <v>513</v>
      </c>
      <c r="L32" s="196"/>
      <c r="M32" s="197"/>
      <c r="N32" s="124"/>
      <c r="O32" s="119"/>
      <c r="P32" s="226"/>
      <c r="Q32" s="74">
        <f t="shared" si="0"/>
        <v>0</v>
      </c>
      <c r="R32" s="6">
        <f>IF(S1SHTATbl[[#This Row],[UNRESTRICTED TOTAL REQUESTED]]=0,0,S1SHTATbl[[#This Row],[UNRESTRICTED TOTAL REQUESTED]]/S1_SHTA_UnrestrictedTotalRequested)</f>
        <v>0</v>
      </c>
      <c r="S32" s="7">
        <f>IF(S1SHTATbl[[#This Row],[ALL UNITS IN A HIGH OR HIGHEST RESOURCE AREA]]="Yes",10*S1SHTATbl[[#This Row],[UNRESTRICTED % OF FUNDING]],0)</f>
        <v>0</v>
      </c>
      <c r="T32" s="7" cm="1">
        <f t="array" ref="T32">INDEX(CountyScoresTbl[Community Need Total Points],ROW(S1SHTATbl[[#This Row],[COUNTY]])-2,1)*S1SHTATbl[[#This Row],[UNRESTRICTED % OF FUNDING]]</f>
        <v>0</v>
      </c>
      <c r="U32" s="7" cm="1">
        <f t="array" ref="U32">INDEX(CountyScoresTbl[SHTA Total Feasibility Points Awarded],ROW(S1SHTATbl[[#This Row],[COUNTY]])-2,1)*S1SHTATbl[[#This Row],[UNRESTRICTED % OF FUNDING]]</f>
        <v>0</v>
      </c>
      <c r="V32" s="8" cm="1">
        <f t="array" ref="V32">INDEX(CountyScoresTbl[Farmworker Need Points Awarded],ROW(S1SHTATbl[[#This Row],[COUNTY]])-2,1)*S1SHTATbl[[#This Row],[UNRESTRICTED % OF FUNDING]]</f>
        <v>0</v>
      </c>
      <c r="W32" s="124"/>
      <c r="X32" s="119"/>
      <c r="Y32" s="226"/>
      <c r="Z32" s="74">
        <f t="shared" si="1"/>
        <v>0</v>
      </c>
      <c r="AA32" s="6">
        <f>IF(S1SHTATbl[[#This Row],[RURAL TOTAL REQUESTED]]=0,0,S1SHTATbl[[#This Row],[RURAL TOTAL REQUESTED]]/Z$61)</f>
        <v>0</v>
      </c>
      <c r="AB32" s="7">
        <f>IF(S1SHTATbl[[#This Row],[ALL UNITS IN A HIGH OR HIGHEST RESOURCE AREA]]="Yes",10*S1SHTATbl[[#This Row],[RURAL % OF FUNDING]],0)</f>
        <v>0</v>
      </c>
      <c r="AC32" s="7" cm="1">
        <f t="array" ref="AC32">INDEX(CountyScoresTbl[Community Need Total Points],ROW(S1SHTATbl[[#This Row],[COUNTY]])-2,1)*S1SHTATbl[[#This Row],[RURAL % OF FUNDING]]</f>
        <v>0</v>
      </c>
      <c r="AD32" s="7" cm="1">
        <f t="array" ref="AD32">INDEX(CountyScoresTbl[SHTA Total Feasibility Points Awarded],ROW(S1SHTATbl[[#This Row],[COUNTY]])-2,1)*S1SHTATbl[[#This Row],[RURAL % OF FUNDING]]</f>
        <v>0</v>
      </c>
      <c r="AE32" s="8" cm="1">
        <f t="array" ref="AE32">INDEX(CountyScoresTbl[Farmworker Need Points Awarded],ROW(S1SHTATbl[[#This Row],[COUNTY]])-2,1)*S1SHTATbl[[#This Row],[RURAL % OF FUNDING]]</f>
        <v>0</v>
      </c>
      <c r="AF32" s="399"/>
      <c r="AG32" s="7">
        <f>IF(S1SHTATbl[[#This Row],[INFILL SITE]]="Yes",5,3)*S1SHTATbl[[#This Row],[UNRESTRICTED % OF FUNDING]]</f>
        <v>0</v>
      </c>
      <c r="AH32" s="26">
        <f>IF(S1SHTATbl[[#This Row],[INFILL SITE]]="Yes",5,3)*S1SHTATbl[[#This Row],[RURAL % OF FUNDING]]</f>
        <v>0</v>
      </c>
    </row>
    <row r="33" spans="1:34" x14ac:dyDescent="0.35">
      <c r="A33" s="119"/>
      <c r="B33" s="5" t="s">
        <v>145</v>
      </c>
      <c r="C33" s="44" t="s">
        <v>513</v>
      </c>
      <c r="D33" s="114" t="str">
        <f>IF(S1SHTATbl[[#This Row],[UNRESTRICTED UNITS]]=0,"",S1SHTATbl[[#This Row],[UNRESTRICTED UNITS]])</f>
        <v/>
      </c>
      <c r="E33" s="270" t="str">
        <f xml:space="preserve">
IF(S1SHTATbl[[#This Row],[UNRESTRICTED TOTAL REQUESTED]]=0,"",
S1SHTATbl[[#This Row],[UNRESTRICTED TOTAL REQUESTED]]*
IF(S1_SHTA_UnrestrictedTotalRequested&lt;=500000,1,
500000/S1_SHTA_UnrestrictedTotalRequested)
)</f>
        <v/>
      </c>
      <c r="F33" s="272" t="str">
        <f>IF(S1SHTATbl[[#This Row],[UNRESTRICTED % OF FUNDING]]=0,"",S1SHTATbl[[#This Row],[UNRESTRICTED % OF FUNDING]])</f>
        <v/>
      </c>
      <c r="G33" s="31" t="s">
        <v>513</v>
      </c>
      <c r="H33" s="271" t="str">
        <f>IF(S1SHTATbl[[#This Row],[RURAL UNITS]]=0,"",S1SHTATbl[[#This Row],[RURAL UNITS]])</f>
        <v/>
      </c>
      <c r="I33" s="270" t="str">
        <f xml:space="preserve">
IF(S1SHTATbl[[#This Row],[RURAL TOTAL REQUESTED]]=0,"",
S1SHTATbl[[#This Row],[RURAL TOTAL REQUESTED]]*
IF(S1_SHTA_RuralTotalRequested&lt;=(500000-E$61),1,
(500000-E$61)/S1_SHTA_RuralTotalRequested)
)</f>
        <v/>
      </c>
      <c r="J33" s="272" t="str">
        <f>IF(S1SHTATbl[[#This Row],[RURAL % OF FUNDING]]=0,"",S1SHTATbl[[#This Row],[RURAL % OF FUNDING]])</f>
        <v/>
      </c>
      <c r="K33" s="31" t="s">
        <v>513</v>
      </c>
      <c r="L33" s="196"/>
      <c r="M33" s="197"/>
      <c r="N33" s="124"/>
      <c r="O33" s="119"/>
      <c r="P33" s="226"/>
      <c r="Q33" s="74">
        <f t="shared" si="0"/>
        <v>0</v>
      </c>
      <c r="R33" s="6">
        <f>IF(S1SHTATbl[[#This Row],[UNRESTRICTED TOTAL REQUESTED]]=0,0,S1SHTATbl[[#This Row],[UNRESTRICTED TOTAL REQUESTED]]/S1_SHTA_UnrestrictedTotalRequested)</f>
        <v>0</v>
      </c>
      <c r="S33" s="7">
        <f>IF(S1SHTATbl[[#This Row],[ALL UNITS IN A HIGH OR HIGHEST RESOURCE AREA]]="Yes",10*S1SHTATbl[[#This Row],[UNRESTRICTED % OF FUNDING]],0)</f>
        <v>0</v>
      </c>
      <c r="T33" s="7" cm="1">
        <f t="array" ref="T33">INDEX(CountyScoresTbl[Community Need Total Points],ROW(S1SHTATbl[[#This Row],[COUNTY]])-2,1)*S1SHTATbl[[#This Row],[UNRESTRICTED % OF FUNDING]]</f>
        <v>0</v>
      </c>
      <c r="U33" s="7" cm="1">
        <f t="array" ref="U33">INDEX(CountyScoresTbl[SHTA Total Feasibility Points Awarded],ROW(S1SHTATbl[[#This Row],[COUNTY]])-2,1)*S1SHTATbl[[#This Row],[UNRESTRICTED % OF FUNDING]]</f>
        <v>0</v>
      </c>
      <c r="V33" s="8" cm="1">
        <f t="array" ref="V33">INDEX(CountyScoresTbl[Farmworker Need Points Awarded],ROW(S1SHTATbl[[#This Row],[COUNTY]])-2,1)*S1SHTATbl[[#This Row],[UNRESTRICTED % OF FUNDING]]</f>
        <v>0</v>
      </c>
      <c r="W33" s="124"/>
      <c r="X33" s="119"/>
      <c r="Y33" s="226"/>
      <c r="Z33" s="74">
        <f t="shared" si="1"/>
        <v>0</v>
      </c>
      <c r="AA33" s="6">
        <f>IF(S1SHTATbl[[#This Row],[RURAL TOTAL REQUESTED]]=0,0,S1SHTATbl[[#This Row],[RURAL TOTAL REQUESTED]]/Z$61)</f>
        <v>0</v>
      </c>
      <c r="AB33" s="7">
        <f>IF(S1SHTATbl[[#This Row],[ALL UNITS IN A HIGH OR HIGHEST RESOURCE AREA]]="Yes",10*S1SHTATbl[[#This Row],[RURAL % OF FUNDING]],0)</f>
        <v>0</v>
      </c>
      <c r="AC33" s="7" cm="1">
        <f t="array" ref="AC33">INDEX(CountyScoresTbl[Community Need Total Points],ROW(S1SHTATbl[[#This Row],[COUNTY]])-2,1)*S1SHTATbl[[#This Row],[RURAL % OF FUNDING]]</f>
        <v>0</v>
      </c>
      <c r="AD33" s="7" cm="1">
        <f t="array" ref="AD33">INDEX(CountyScoresTbl[SHTA Total Feasibility Points Awarded],ROW(S1SHTATbl[[#This Row],[COUNTY]])-2,1)*S1SHTATbl[[#This Row],[RURAL % OF FUNDING]]</f>
        <v>0</v>
      </c>
      <c r="AE33" s="8" cm="1">
        <f t="array" ref="AE33">INDEX(CountyScoresTbl[Farmworker Need Points Awarded],ROW(S1SHTATbl[[#This Row],[COUNTY]])-2,1)*S1SHTATbl[[#This Row],[RURAL % OF FUNDING]]</f>
        <v>0</v>
      </c>
      <c r="AF33" s="399"/>
      <c r="AG33" s="7">
        <f>IF(S1SHTATbl[[#This Row],[INFILL SITE]]="Yes",5,3)*S1SHTATbl[[#This Row],[UNRESTRICTED % OF FUNDING]]</f>
        <v>0</v>
      </c>
      <c r="AH33" s="26">
        <f>IF(S1SHTATbl[[#This Row],[INFILL SITE]]="Yes",5,3)*S1SHTATbl[[#This Row],[RURAL % OF FUNDING]]</f>
        <v>0</v>
      </c>
    </row>
    <row r="34" spans="1:34" x14ac:dyDescent="0.35">
      <c r="A34" s="119"/>
      <c r="B34" s="5" t="s">
        <v>146</v>
      </c>
      <c r="C34" s="44" t="s">
        <v>513</v>
      </c>
      <c r="D34" s="114" t="str">
        <f>IF(S1SHTATbl[[#This Row],[UNRESTRICTED UNITS]]=0,"",S1SHTATbl[[#This Row],[UNRESTRICTED UNITS]])</f>
        <v/>
      </c>
      <c r="E34" s="270" t="str">
        <f xml:space="preserve">
IF(S1SHTATbl[[#This Row],[UNRESTRICTED TOTAL REQUESTED]]=0,"",
S1SHTATbl[[#This Row],[UNRESTRICTED TOTAL REQUESTED]]*
IF(S1_SHTA_UnrestrictedTotalRequested&lt;=500000,1,
500000/S1_SHTA_UnrestrictedTotalRequested)
)</f>
        <v/>
      </c>
      <c r="F34" s="272" t="str">
        <f>IF(S1SHTATbl[[#This Row],[UNRESTRICTED % OF FUNDING]]=0,"",S1SHTATbl[[#This Row],[UNRESTRICTED % OF FUNDING]])</f>
        <v/>
      </c>
      <c r="G34" s="31" t="s">
        <v>513</v>
      </c>
      <c r="H34" s="271" t="str">
        <f>IF(S1SHTATbl[[#This Row],[RURAL UNITS]]=0,"",S1SHTATbl[[#This Row],[RURAL UNITS]])</f>
        <v/>
      </c>
      <c r="I34" s="270" t="str">
        <f xml:space="preserve">
IF(S1SHTATbl[[#This Row],[RURAL TOTAL REQUESTED]]=0,"",
S1SHTATbl[[#This Row],[RURAL TOTAL REQUESTED]]*
IF(S1_SHTA_RuralTotalRequested&lt;=(500000-E$61),1,
(500000-E$61)/S1_SHTA_RuralTotalRequested)
)</f>
        <v/>
      </c>
      <c r="J34" s="272" t="str">
        <f>IF(S1SHTATbl[[#This Row],[RURAL % OF FUNDING]]=0,"",S1SHTATbl[[#This Row],[RURAL % OF FUNDING]])</f>
        <v/>
      </c>
      <c r="K34" s="31" t="s">
        <v>513</v>
      </c>
      <c r="L34" s="196"/>
      <c r="M34" s="197"/>
      <c r="N34" s="124"/>
      <c r="O34" s="119"/>
      <c r="P34" s="226"/>
      <c r="Q34" s="74">
        <f t="shared" si="0"/>
        <v>0</v>
      </c>
      <c r="R34" s="6">
        <f>IF(S1SHTATbl[[#This Row],[UNRESTRICTED TOTAL REQUESTED]]=0,0,S1SHTATbl[[#This Row],[UNRESTRICTED TOTAL REQUESTED]]/S1_SHTA_UnrestrictedTotalRequested)</f>
        <v>0</v>
      </c>
      <c r="S34" s="7">
        <f>IF(S1SHTATbl[[#This Row],[ALL UNITS IN A HIGH OR HIGHEST RESOURCE AREA]]="Yes",10*S1SHTATbl[[#This Row],[UNRESTRICTED % OF FUNDING]],0)</f>
        <v>0</v>
      </c>
      <c r="T34" s="7" cm="1">
        <f t="array" ref="T34">INDEX(CountyScoresTbl[Community Need Total Points],ROW(S1SHTATbl[[#This Row],[COUNTY]])-2,1)*S1SHTATbl[[#This Row],[UNRESTRICTED % OF FUNDING]]</f>
        <v>0</v>
      </c>
      <c r="U34" s="7" cm="1">
        <f t="array" ref="U34">INDEX(CountyScoresTbl[SHTA Total Feasibility Points Awarded],ROW(S1SHTATbl[[#This Row],[COUNTY]])-2,1)*S1SHTATbl[[#This Row],[UNRESTRICTED % OF FUNDING]]</f>
        <v>0</v>
      </c>
      <c r="V34" s="8" cm="1">
        <f t="array" ref="V34">INDEX(CountyScoresTbl[Farmworker Need Points Awarded],ROW(S1SHTATbl[[#This Row],[COUNTY]])-2,1)*S1SHTATbl[[#This Row],[UNRESTRICTED % OF FUNDING]]</f>
        <v>0</v>
      </c>
      <c r="W34" s="124"/>
      <c r="X34" s="119"/>
      <c r="Y34" s="226"/>
      <c r="Z34" s="74">
        <f t="shared" si="1"/>
        <v>0</v>
      </c>
      <c r="AA34" s="6">
        <f>IF(S1SHTATbl[[#This Row],[RURAL TOTAL REQUESTED]]=0,0,S1SHTATbl[[#This Row],[RURAL TOTAL REQUESTED]]/Z$61)</f>
        <v>0</v>
      </c>
      <c r="AB34" s="7">
        <f>IF(S1SHTATbl[[#This Row],[ALL UNITS IN A HIGH OR HIGHEST RESOURCE AREA]]="Yes",10*S1SHTATbl[[#This Row],[RURAL % OF FUNDING]],0)</f>
        <v>0</v>
      </c>
      <c r="AC34" s="7" cm="1">
        <f t="array" ref="AC34">INDEX(CountyScoresTbl[Community Need Total Points],ROW(S1SHTATbl[[#This Row],[COUNTY]])-2,1)*S1SHTATbl[[#This Row],[RURAL % OF FUNDING]]</f>
        <v>0</v>
      </c>
      <c r="AD34" s="7" cm="1">
        <f t="array" ref="AD34">INDEX(CountyScoresTbl[SHTA Total Feasibility Points Awarded],ROW(S1SHTATbl[[#This Row],[COUNTY]])-2,1)*S1SHTATbl[[#This Row],[RURAL % OF FUNDING]]</f>
        <v>0</v>
      </c>
      <c r="AE34" s="8" cm="1">
        <f t="array" ref="AE34">INDEX(CountyScoresTbl[Farmworker Need Points Awarded],ROW(S1SHTATbl[[#This Row],[COUNTY]])-2,1)*S1SHTATbl[[#This Row],[RURAL % OF FUNDING]]</f>
        <v>0</v>
      </c>
      <c r="AF34" s="399"/>
      <c r="AG34" s="7">
        <f>IF(S1SHTATbl[[#This Row],[INFILL SITE]]="Yes",5,3)*S1SHTATbl[[#This Row],[UNRESTRICTED % OF FUNDING]]</f>
        <v>0</v>
      </c>
      <c r="AH34" s="26">
        <f>IF(S1SHTATbl[[#This Row],[INFILL SITE]]="Yes",5,3)*S1SHTATbl[[#This Row],[RURAL % OF FUNDING]]</f>
        <v>0</v>
      </c>
    </row>
    <row r="35" spans="1:34" x14ac:dyDescent="0.35">
      <c r="A35" s="119"/>
      <c r="B35" s="5" t="s">
        <v>147</v>
      </c>
      <c r="C35" s="44" t="s">
        <v>513</v>
      </c>
      <c r="D35" s="114" t="str">
        <f>IF(S1SHTATbl[[#This Row],[UNRESTRICTED UNITS]]=0,"",S1SHTATbl[[#This Row],[UNRESTRICTED UNITS]])</f>
        <v/>
      </c>
      <c r="E35" s="270" t="str">
        <f xml:space="preserve">
IF(S1SHTATbl[[#This Row],[UNRESTRICTED TOTAL REQUESTED]]=0,"",
S1SHTATbl[[#This Row],[UNRESTRICTED TOTAL REQUESTED]]*
IF(S1_SHTA_UnrestrictedTotalRequested&lt;=500000,1,
500000/S1_SHTA_UnrestrictedTotalRequested)
)</f>
        <v/>
      </c>
      <c r="F35" s="272" t="str">
        <f>IF(S1SHTATbl[[#This Row],[UNRESTRICTED % OF FUNDING]]=0,"",S1SHTATbl[[#This Row],[UNRESTRICTED % OF FUNDING]])</f>
        <v/>
      </c>
      <c r="G35" s="31" t="s">
        <v>513</v>
      </c>
      <c r="H35" s="271" t="str">
        <f>IF(S1SHTATbl[[#This Row],[RURAL UNITS]]=0,"",S1SHTATbl[[#This Row],[RURAL UNITS]])</f>
        <v/>
      </c>
      <c r="I35" s="270" t="str">
        <f xml:space="preserve">
IF(S1SHTATbl[[#This Row],[RURAL TOTAL REQUESTED]]=0,"",
S1SHTATbl[[#This Row],[RURAL TOTAL REQUESTED]]*
IF(S1_SHTA_RuralTotalRequested&lt;=(500000-E$61),1,
(500000-E$61)/S1_SHTA_RuralTotalRequested)
)</f>
        <v/>
      </c>
      <c r="J35" s="272" t="str">
        <f>IF(S1SHTATbl[[#This Row],[RURAL % OF FUNDING]]=0,"",S1SHTATbl[[#This Row],[RURAL % OF FUNDING]])</f>
        <v/>
      </c>
      <c r="K35" s="31" t="s">
        <v>513</v>
      </c>
      <c r="L35" s="196"/>
      <c r="M35" s="197"/>
      <c r="N35" s="124"/>
      <c r="O35" s="119"/>
      <c r="P35" s="226"/>
      <c r="Q35" s="74">
        <f t="shared" ref="Q35:Q60" si="2">SUM(O35:P35)</f>
        <v>0</v>
      </c>
      <c r="R35" s="6">
        <f>IF(S1SHTATbl[[#This Row],[UNRESTRICTED TOTAL REQUESTED]]=0,0,S1SHTATbl[[#This Row],[UNRESTRICTED TOTAL REQUESTED]]/S1_SHTA_UnrestrictedTotalRequested)</f>
        <v>0</v>
      </c>
      <c r="S35" s="7">
        <f>IF(S1SHTATbl[[#This Row],[ALL UNITS IN A HIGH OR HIGHEST RESOURCE AREA]]="Yes",10*S1SHTATbl[[#This Row],[UNRESTRICTED % OF FUNDING]],0)</f>
        <v>0</v>
      </c>
      <c r="T35" s="7" cm="1">
        <f t="array" ref="T35">INDEX(CountyScoresTbl[Community Need Total Points],ROW(S1SHTATbl[[#This Row],[COUNTY]])-2,1)*S1SHTATbl[[#This Row],[UNRESTRICTED % OF FUNDING]]</f>
        <v>0</v>
      </c>
      <c r="U35" s="7" cm="1">
        <f t="array" ref="U35">INDEX(CountyScoresTbl[SHTA Total Feasibility Points Awarded],ROW(S1SHTATbl[[#This Row],[COUNTY]])-2,1)*S1SHTATbl[[#This Row],[UNRESTRICTED % OF FUNDING]]</f>
        <v>0</v>
      </c>
      <c r="V35" s="8" cm="1">
        <f t="array" ref="V35">INDEX(CountyScoresTbl[Farmworker Need Points Awarded],ROW(S1SHTATbl[[#This Row],[COUNTY]])-2,1)*S1SHTATbl[[#This Row],[UNRESTRICTED % OF FUNDING]]</f>
        <v>0</v>
      </c>
      <c r="W35" s="124"/>
      <c r="X35" s="119"/>
      <c r="Y35" s="226"/>
      <c r="Z35" s="74">
        <f t="shared" ref="Z35:Z60" si="3">SUM(X35:Y35)</f>
        <v>0</v>
      </c>
      <c r="AA35" s="6">
        <f>IF(S1SHTATbl[[#This Row],[RURAL TOTAL REQUESTED]]=0,0,S1SHTATbl[[#This Row],[RURAL TOTAL REQUESTED]]/Z$61)</f>
        <v>0</v>
      </c>
      <c r="AB35" s="7">
        <f>IF(S1SHTATbl[[#This Row],[ALL UNITS IN A HIGH OR HIGHEST RESOURCE AREA]]="Yes",10*S1SHTATbl[[#This Row],[RURAL % OF FUNDING]],0)</f>
        <v>0</v>
      </c>
      <c r="AC35" s="7" cm="1">
        <f t="array" ref="AC35">INDEX(CountyScoresTbl[Community Need Total Points],ROW(S1SHTATbl[[#This Row],[COUNTY]])-2,1)*S1SHTATbl[[#This Row],[RURAL % OF FUNDING]]</f>
        <v>0</v>
      </c>
      <c r="AD35" s="7" cm="1">
        <f t="array" ref="AD35">INDEX(CountyScoresTbl[SHTA Total Feasibility Points Awarded],ROW(S1SHTATbl[[#This Row],[COUNTY]])-2,1)*S1SHTATbl[[#This Row],[RURAL % OF FUNDING]]</f>
        <v>0</v>
      </c>
      <c r="AE35" s="8" cm="1">
        <f t="array" ref="AE35">INDEX(CountyScoresTbl[Farmworker Need Points Awarded],ROW(S1SHTATbl[[#This Row],[COUNTY]])-2,1)*S1SHTATbl[[#This Row],[RURAL % OF FUNDING]]</f>
        <v>0</v>
      </c>
      <c r="AF35" s="399"/>
      <c r="AG35" s="7">
        <f>IF(S1SHTATbl[[#This Row],[INFILL SITE]]="Yes",5,3)*S1SHTATbl[[#This Row],[UNRESTRICTED % OF FUNDING]]</f>
        <v>0</v>
      </c>
      <c r="AH35" s="26">
        <f>IF(S1SHTATbl[[#This Row],[INFILL SITE]]="Yes",5,3)*S1SHTATbl[[#This Row],[RURAL % OF FUNDING]]</f>
        <v>0</v>
      </c>
    </row>
    <row r="36" spans="1:34" x14ac:dyDescent="0.35">
      <c r="A36" s="119"/>
      <c r="B36" s="5" t="s">
        <v>148</v>
      </c>
      <c r="C36" s="44" t="s">
        <v>513</v>
      </c>
      <c r="D36" s="114" t="str">
        <f>IF(S1SHTATbl[[#This Row],[UNRESTRICTED UNITS]]=0,"",S1SHTATbl[[#This Row],[UNRESTRICTED UNITS]])</f>
        <v/>
      </c>
      <c r="E36" s="270" t="str">
        <f xml:space="preserve">
IF(S1SHTATbl[[#This Row],[UNRESTRICTED TOTAL REQUESTED]]=0,"",
S1SHTATbl[[#This Row],[UNRESTRICTED TOTAL REQUESTED]]*
IF(S1_SHTA_UnrestrictedTotalRequested&lt;=500000,1,
500000/S1_SHTA_UnrestrictedTotalRequested)
)</f>
        <v/>
      </c>
      <c r="F36" s="272" t="str">
        <f>IF(S1SHTATbl[[#This Row],[UNRESTRICTED % OF FUNDING]]=0,"",S1SHTATbl[[#This Row],[UNRESTRICTED % OF FUNDING]])</f>
        <v/>
      </c>
      <c r="G36" s="31" t="s">
        <v>513</v>
      </c>
      <c r="H36" s="271" t="str">
        <f>IF(S1SHTATbl[[#This Row],[RURAL UNITS]]=0,"",S1SHTATbl[[#This Row],[RURAL UNITS]])</f>
        <v/>
      </c>
      <c r="I36" s="270" t="str">
        <f xml:space="preserve">
IF(S1SHTATbl[[#This Row],[RURAL TOTAL REQUESTED]]=0,"",
S1SHTATbl[[#This Row],[RURAL TOTAL REQUESTED]]*
IF(S1_SHTA_RuralTotalRequested&lt;=(500000-E$61),1,
(500000-E$61)/S1_SHTA_RuralTotalRequested)
)</f>
        <v/>
      </c>
      <c r="J36" s="272" t="str">
        <f>IF(S1SHTATbl[[#This Row],[RURAL % OF FUNDING]]=0,"",S1SHTATbl[[#This Row],[RURAL % OF FUNDING]])</f>
        <v/>
      </c>
      <c r="K36" s="31" t="s">
        <v>513</v>
      </c>
      <c r="L36" s="196"/>
      <c r="M36" s="197"/>
      <c r="N36" s="124"/>
      <c r="O36" s="119"/>
      <c r="P36" s="226"/>
      <c r="Q36" s="74">
        <f t="shared" si="2"/>
        <v>0</v>
      </c>
      <c r="R36" s="6">
        <f>IF(S1SHTATbl[[#This Row],[UNRESTRICTED TOTAL REQUESTED]]=0,0,S1SHTATbl[[#This Row],[UNRESTRICTED TOTAL REQUESTED]]/S1_SHTA_UnrestrictedTotalRequested)</f>
        <v>0</v>
      </c>
      <c r="S36" s="7">
        <f>IF(S1SHTATbl[[#This Row],[ALL UNITS IN A HIGH OR HIGHEST RESOURCE AREA]]="Yes",10*S1SHTATbl[[#This Row],[UNRESTRICTED % OF FUNDING]],0)</f>
        <v>0</v>
      </c>
      <c r="T36" s="7" cm="1">
        <f t="array" ref="T36">INDEX(CountyScoresTbl[Community Need Total Points],ROW(S1SHTATbl[[#This Row],[COUNTY]])-2,1)*S1SHTATbl[[#This Row],[UNRESTRICTED % OF FUNDING]]</f>
        <v>0</v>
      </c>
      <c r="U36" s="7" cm="1">
        <f t="array" ref="U36">INDEX(CountyScoresTbl[SHTA Total Feasibility Points Awarded],ROW(S1SHTATbl[[#This Row],[COUNTY]])-2,1)*S1SHTATbl[[#This Row],[UNRESTRICTED % OF FUNDING]]</f>
        <v>0</v>
      </c>
      <c r="V36" s="8" cm="1">
        <f t="array" ref="V36">INDEX(CountyScoresTbl[Farmworker Need Points Awarded],ROW(S1SHTATbl[[#This Row],[COUNTY]])-2,1)*S1SHTATbl[[#This Row],[UNRESTRICTED % OF FUNDING]]</f>
        <v>0</v>
      </c>
      <c r="W36" s="124"/>
      <c r="X36" s="119"/>
      <c r="Y36" s="226"/>
      <c r="Z36" s="74">
        <f t="shared" si="3"/>
        <v>0</v>
      </c>
      <c r="AA36" s="6">
        <f>IF(S1SHTATbl[[#This Row],[RURAL TOTAL REQUESTED]]=0,0,S1SHTATbl[[#This Row],[RURAL TOTAL REQUESTED]]/Z$61)</f>
        <v>0</v>
      </c>
      <c r="AB36" s="7">
        <f>IF(S1SHTATbl[[#This Row],[ALL UNITS IN A HIGH OR HIGHEST RESOURCE AREA]]="Yes",10*S1SHTATbl[[#This Row],[RURAL % OF FUNDING]],0)</f>
        <v>0</v>
      </c>
      <c r="AC36" s="7" cm="1">
        <f t="array" ref="AC36">INDEX(CountyScoresTbl[Community Need Total Points],ROW(S1SHTATbl[[#This Row],[COUNTY]])-2,1)*S1SHTATbl[[#This Row],[RURAL % OF FUNDING]]</f>
        <v>0</v>
      </c>
      <c r="AD36" s="7" cm="1">
        <f t="array" ref="AD36">INDEX(CountyScoresTbl[SHTA Total Feasibility Points Awarded],ROW(S1SHTATbl[[#This Row],[COUNTY]])-2,1)*S1SHTATbl[[#This Row],[RURAL % OF FUNDING]]</f>
        <v>0</v>
      </c>
      <c r="AE36" s="8" cm="1">
        <f t="array" ref="AE36">INDEX(CountyScoresTbl[Farmworker Need Points Awarded],ROW(S1SHTATbl[[#This Row],[COUNTY]])-2,1)*S1SHTATbl[[#This Row],[RURAL % OF FUNDING]]</f>
        <v>0</v>
      </c>
      <c r="AF36" s="399"/>
      <c r="AG36" s="7">
        <f>IF(S1SHTATbl[[#This Row],[INFILL SITE]]="Yes",5,3)*S1SHTATbl[[#This Row],[UNRESTRICTED % OF FUNDING]]</f>
        <v>0</v>
      </c>
      <c r="AH36" s="26">
        <f>IF(S1SHTATbl[[#This Row],[INFILL SITE]]="Yes",5,3)*S1SHTATbl[[#This Row],[RURAL % OF FUNDING]]</f>
        <v>0</v>
      </c>
    </row>
    <row r="37" spans="1:34" x14ac:dyDescent="0.35">
      <c r="A37" s="119"/>
      <c r="B37" s="5" t="s">
        <v>149</v>
      </c>
      <c r="C37" s="44" t="s">
        <v>513</v>
      </c>
      <c r="D37" s="114" t="str">
        <f>IF(S1SHTATbl[[#This Row],[UNRESTRICTED UNITS]]=0,"",S1SHTATbl[[#This Row],[UNRESTRICTED UNITS]])</f>
        <v/>
      </c>
      <c r="E37" s="270" t="str">
        <f xml:space="preserve">
IF(S1SHTATbl[[#This Row],[UNRESTRICTED TOTAL REQUESTED]]=0,"",
S1SHTATbl[[#This Row],[UNRESTRICTED TOTAL REQUESTED]]*
IF(S1_SHTA_UnrestrictedTotalRequested&lt;=500000,1,
500000/S1_SHTA_UnrestrictedTotalRequested)
)</f>
        <v/>
      </c>
      <c r="F37" s="272" t="str">
        <f>IF(S1SHTATbl[[#This Row],[UNRESTRICTED % OF FUNDING]]=0,"",S1SHTATbl[[#This Row],[UNRESTRICTED % OF FUNDING]])</f>
        <v/>
      </c>
      <c r="G37" s="31" t="s">
        <v>513</v>
      </c>
      <c r="H37" s="271" t="str">
        <f>IF(S1SHTATbl[[#This Row],[RURAL UNITS]]=0,"",S1SHTATbl[[#This Row],[RURAL UNITS]])</f>
        <v/>
      </c>
      <c r="I37" s="270" t="str">
        <f xml:space="preserve">
IF(S1SHTATbl[[#This Row],[RURAL TOTAL REQUESTED]]=0,"",
S1SHTATbl[[#This Row],[RURAL TOTAL REQUESTED]]*
IF(S1_SHTA_RuralTotalRequested&lt;=(500000-E$61),1,
(500000-E$61)/S1_SHTA_RuralTotalRequested)
)</f>
        <v/>
      </c>
      <c r="J37" s="272" t="str">
        <f>IF(S1SHTATbl[[#This Row],[RURAL % OF FUNDING]]=0,"",S1SHTATbl[[#This Row],[RURAL % OF FUNDING]])</f>
        <v/>
      </c>
      <c r="K37" s="31" t="s">
        <v>513</v>
      </c>
      <c r="L37" s="196"/>
      <c r="M37" s="197"/>
      <c r="N37" s="124"/>
      <c r="O37" s="119"/>
      <c r="P37" s="226"/>
      <c r="Q37" s="74">
        <f t="shared" si="2"/>
        <v>0</v>
      </c>
      <c r="R37" s="6">
        <f>IF(S1SHTATbl[[#This Row],[UNRESTRICTED TOTAL REQUESTED]]=0,0,S1SHTATbl[[#This Row],[UNRESTRICTED TOTAL REQUESTED]]/S1_SHTA_UnrestrictedTotalRequested)</f>
        <v>0</v>
      </c>
      <c r="S37" s="7">
        <f>IF(S1SHTATbl[[#This Row],[ALL UNITS IN A HIGH OR HIGHEST RESOURCE AREA]]="Yes",10*S1SHTATbl[[#This Row],[UNRESTRICTED % OF FUNDING]],0)</f>
        <v>0</v>
      </c>
      <c r="T37" s="7" cm="1">
        <f t="array" ref="T37">INDEX(CountyScoresTbl[Community Need Total Points],ROW(S1SHTATbl[[#This Row],[COUNTY]])-2,1)*S1SHTATbl[[#This Row],[UNRESTRICTED % OF FUNDING]]</f>
        <v>0</v>
      </c>
      <c r="U37" s="7" cm="1">
        <f t="array" ref="U37">INDEX(CountyScoresTbl[SHTA Total Feasibility Points Awarded],ROW(S1SHTATbl[[#This Row],[COUNTY]])-2,1)*S1SHTATbl[[#This Row],[UNRESTRICTED % OF FUNDING]]</f>
        <v>0</v>
      </c>
      <c r="V37" s="8" cm="1">
        <f t="array" ref="V37">INDEX(CountyScoresTbl[Farmworker Need Points Awarded],ROW(S1SHTATbl[[#This Row],[COUNTY]])-2,1)*S1SHTATbl[[#This Row],[UNRESTRICTED % OF FUNDING]]</f>
        <v>0</v>
      </c>
      <c r="W37" s="124"/>
      <c r="X37" s="119"/>
      <c r="Y37" s="226"/>
      <c r="Z37" s="74">
        <f t="shared" si="3"/>
        <v>0</v>
      </c>
      <c r="AA37" s="6">
        <f>IF(S1SHTATbl[[#This Row],[RURAL TOTAL REQUESTED]]=0,0,S1SHTATbl[[#This Row],[RURAL TOTAL REQUESTED]]/Z$61)</f>
        <v>0</v>
      </c>
      <c r="AB37" s="7">
        <f>IF(S1SHTATbl[[#This Row],[ALL UNITS IN A HIGH OR HIGHEST RESOURCE AREA]]="Yes",10*S1SHTATbl[[#This Row],[RURAL % OF FUNDING]],0)</f>
        <v>0</v>
      </c>
      <c r="AC37" s="7" cm="1">
        <f t="array" ref="AC37">INDEX(CountyScoresTbl[Community Need Total Points],ROW(S1SHTATbl[[#This Row],[COUNTY]])-2,1)*S1SHTATbl[[#This Row],[RURAL % OF FUNDING]]</f>
        <v>0</v>
      </c>
      <c r="AD37" s="7" cm="1">
        <f t="array" ref="AD37">INDEX(CountyScoresTbl[SHTA Total Feasibility Points Awarded],ROW(S1SHTATbl[[#This Row],[COUNTY]])-2,1)*S1SHTATbl[[#This Row],[RURAL % OF FUNDING]]</f>
        <v>0</v>
      </c>
      <c r="AE37" s="8" cm="1">
        <f t="array" ref="AE37">INDEX(CountyScoresTbl[Farmworker Need Points Awarded],ROW(S1SHTATbl[[#This Row],[COUNTY]])-2,1)*S1SHTATbl[[#This Row],[RURAL % OF FUNDING]]</f>
        <v>0</v>
      </c>
      <c r="AF37" s="399"/>
      <c r="AG37" s="7">
        <f>IF(S1SHTATbl[[#This Row],[INFILL SITE]]="Yes",5,3)*S1SHTATbl[[#This Row],[UNRESTRICTED % OF FUNDING]]</f>
        <v>0</v>
      </c>
      <c r="AH37" s="26">
        <f>IF(S1SHTATbl[[#This Row],[INFILL SITE]]="Yes",5,3)*S1SHTATbl[[#This Row],[RURAL % OF FUNDING]]</f>
        <v>0</v>
      </c>
    </row>
    <row r="38" spans="1:34" x14ac:dyDescent="0.35">
      <c r="A38" s="119"/>
      <c r="B38" s="5" t="s">
        <v>150</v>
      </c>
      <c r="C38" s="44" t="s">
        <v>513</v>
      </c>
      <c r="D38" s="114" t="str">
        <f>IF(S1SHTATbl[[#This Row],[UNRESTRICTED UNITS]]=0,"",S1SHTATbl[[#This Row],[UNRESTRICTED UNITS]])</f>
        <v/>
      </c>
      <c r="E38" s="270" t="str">
        <f xml:space="preserve">
IF(S1SHTATbl[[#This Row],[UNRESTRICTED TOTAL REQUESTED]]=0,"",
S1SHTATbl[[#This Row],[UNRESTRICTED TOTAL REQUESTED]]*
IF(S1_SHTA_UnrestrictedTotalRequested&lt;=500000,1,
500000/S1_SHTA_UnrestrictedTotalRequested)
)</f>
        <v/>
      </c>
      <c r="F38" s="272" t="str">
        <f>IF(S1SHTATbl[[#This Row],[UNRESTRICTED % OF FUNDING]]=0,"",S1SHTATbl[[#This Row],[UNRESTRICTED % OF FUNDING]])</f>
        <v/>
      </c>
      <c r="G38" s="31" t="s">
        <v>513</v>
      </c>
      <c r="H38" s="271" t="str">
        <f>IF(S1SHTATbl[[#This Row],[RURAL UNITS]]=0,"",S1SHTATbl[[#This Row],[RURAL UNITS]])</f>
        <v/>
      </c>
      <c r="I38" s="270" t="str">
        <f xml:space="preserve">
IF(S1SHTATbl[[#This Row],[RURAL TOTAL REQUESTED]]=0,"",
S1SHTATbl[[#This Row],[RURAL TOTAL REQUESTED]]*
IF(S1_SHTA_RuralTotalRequested&lt;=(500000-E$61),1,
(500000-E$61)/S1_SHTA_RuralTotalRequested)
)</f>
        <v/>
      </c>
      <c r="J38" s="272" t="str">
        <f>IF(S1SHTATbl[[#This Row],[RURAL % OF FUNDING]]=0,"",S1SHTATbl[[#This Row],[RURAL % OF FUNDING]])</f>
        <v/>
      </c>
      <c r="K38" s="31" t="s">
        <v>513</v>
      </c>
      <c r="L38" s="196"/>
      <c r="M38" s="197"/>
      <c r="N38" s="124"/>
      <c r="O38" s="119"/>
      <c r="P38" s="226"/>
      <c r="Q38" s="74">
        <f t="shared" si="2"/>
        <v>0</v>
      </c>
      <c r="R38" s="6">
        <f>IF(S1SHTATbl[[#This Row],[UNRESTRICTED TOTAL REQUESTED]]=0,0,S1SHTATbl[[#This Row],[UNRESTRICTED TOTAL REQUESTED]]/S1_SHTA_UnrestrictedTotalRequested)</f>
        <v>0</v>
      </c>
      <c r="S38" s="7">
        <f>IF(S1SHTATbl[[#This Row],[ALL UNITS IN A HIGH OR HIGHEST RESOURCE AREA]]="Yes",10*S1SHTATbl[[#This Row],[UNRESTRICTED % OF FUNDING]],0)</f>
        <v>0</v>
      </c>
      <c r="T38" s="7" cm="1">
        <f t="array" ref="T38">INDEX(CountyScoresTbl[Community Need Total Points],ROW(S1SHTATbl[[#This Row],[COUNTY]])-2,1)*S1SHTATbl[[#This Row],[UNRESTRICTED % OF FUNDING]]</f>
        <v>0</v>
      </c>
      <c r="U38" s="7" cm="1">
        <f t="array" ref="U38">INDEX(CountyScoresTbl[SHTA Total Feasibility Points Awarded],ROW(S1SHTATbl[[#This Row],[COUNTY]])-2,1)*S1SHTATbl[[#This Row],[UNRESTRICTED % OF FUNDING]]</f>
        <v>0</v>
      </c>
      <c r="V38" s="8" cm="1">
        <f t="array" ref="V38">INDEX(CountyScoresTbl[Farmworker Need Points Awarded],ROW(S1SHTATbl[[#This Row],[COUNTY]])-2,1)*S1SHTATbl[[#This Row],[UNRESTRICTED % OF FUNDING]]</f>
        <v>0</v>
      </c>
      <c r="W38" s="124"/>
      <c r="X38" s="119"/>
      <c r="Y38" s="226"/>
      <c r="Z38" s="74">
        <f t="shared" si="3"/>
        <v>0</v>
      </c>
      <c r="AA38" s="6">
        <f>IF(S1SHTATbl[[#This Row],[RURAL TOTAL REQUESTED]]=0,0,S1SHTATbl[[#This Row],[RURAL TOTAL REQUESTED]]/Z$61)</f>
        <v>0</v>
      </c>
      <c r="AB38" s="7">
        <f>IF(S1SHTATbl[[#This Row],[ALL UNITS IN A HIGH OR HIGHEST RESOURCE AREA]]="Yes",10*S1SHTATbl[[#This Row],[RURAL % OF FUNDING]],0)</f>
        <v>0</v>
      </c>
      <c r="AC38" s="7" cm="1">
        <f t="array" ref="AC38">INDEX(CountyScoresTbl[Community Need Total Points],ROW(S1SHTATbl[[#This Row],[COUNTY]])-2,1)*S1SHTATbl[[#This Row],[RURAL % OF FUNDING]]</f>
        <v>0</v>
      </c>
      <c r="AD38" s="7" cm="1">
        <f t="array" ref="AD38">INDEX(CountyScoresTbl[SHTA Total Feasibility Points Awarded],ROW(S1SHTATbl[[#This Row],[COUNTY]])-2,1)*S1SHTATbl[[#This Row],[RURAL % OF FUNDING]]</f>
        <v>0</v>
      </c>
      <c r="AE38" s="8" cm="1">
        <f t="array" ref="AE38">INDEX(CountyScoresTbl[Farmworker Need Points Awarded],ROW(S1SHTATbl[[#This Row],[COUNTY]])-2,1)*S1SHTATbl[[#This Row],[RURAL % OF FUNDING]]</f>
        <v>0</v>
      </c>
      <c r="AF38" s="399"/>
      <c r="AG38" s="7">
        <f>IF(S1SHTATbl[[#This Row],[INFILL SITE]]="Yes",5,3)*S1SHTATbl[[#This Row],[UNRESTRICTED % OF FUNDING]]</f>
        <v>0</v>
      </c>
      <c r="AH38" s="26">
        <f>IF(S1SHTATbl[[#This Row],[INFILL SITE]]="Yes",5,3)*S1SHTATbl[[#This Row],[RURAL % OF FUNDING]]</f>
        <v>0</v>
      </c>
    </row>
    <row r="39" spans="1:34" x14ac:dyDescent="0.35">
      <c r="A39" s="164"/>
      <c r="B39" s="5" t="s">
        <v>151</v>
      </c>
      <c r="C39" s="44" t="s">
        <v>513</v>
      </c>
      <c r="D39" s="114" t="str">
        <f>IF(S1SHTATbl[[#This Row],[UNRESTRICTED UNITS]]=0,"",S1SHTATbl[[#This Row],[UNRESTRICTED UNITS]])</f>
        <v/>
      </c>
      <c r="E39" s="270" t="str">
        <f xml:space="preserve">
IF(S1SHTATbl[[#This Row],[UNRESTRICTED TOTAL REQUESTED]]=0,"",
S1SHTATbl[[#This Row],[UNRESTRICTED TOTAL REQUESTED]]*
IF(S1_SHTA_UnrestrictedTotalRequested&lt;=500000,1,
500000/S1_SHTA_UnrestrictedTotalRequested)
)</f>
        <v/>
      </c>
      <c r="F39" s="272" t="str">
        <f>IF(S1SHTATbl[[#This Row],[UNRESTRICTED % OF FUNDING]]=0,"",S1SHTATbl[[#This Row],[UNRESTRICTED % OF FUNDING]])</f>
        <v/>
      </c>
      <c r="G39" s="31" t="s">
        <v>513</v>
      </c>
      <c r="H39" s="271" t="str">
        <f>IF(S1SHTATbl[[#This Row],[RURAL UNITS]]=0,"",S1SHTATbl[[#This Row],[RURAL UNITS]])</f>
        <v/>
      </c>
      <c r="I39" s="270" t="str">
        <f xml:space="preserve">
IF(S1SHTATbl[[#This Row],[RURAL TOTAL REQUESTED]]=0,"",
S1SHTATbl[[#This Row],[RURAL TOTAL REQUESTED]]*
IF(S1_SHTA_RuralTotalRequested&lt;=(500000-E$61),1,
(500000-E$61)/S1_SHTA_RuralTotalRequested)
)</f>
        <v/>
      </c>
      <c r="J39" s="272" t="str">
        <f>IF(S1SHTATbl[[#This Row],[RURAL % OF FUNDING]]=0,"",S1SHTATbl[[#This Row],[RURAL % OF FUNDING]])</f>
        <v/>
      </c>
      <c r="K39" s="31" t="s">
        <v>513</v>
      </c>
      <c r="L39" s="163" t="s">
        <v>504</v>
      </c>
      <c r="M39" s="199" t="s">
        <v>504</v>
      </c>
      <c r="N39" s="123"/>
      <c r="O39" s="161"/>
      <c r="P39" s="198"/>
      <c r="Q39" s="74">
        <f t="shared" si="2"/>
        <v>0</v>
      </c>
      <c r="R39" s="6">
        <f>IF(S1SHTATbl[[#This Row],[UNRESTRICTED TOTAL REQUESTED]]=0,0,S1SHTATbl[[#This Row],[UNRESTRICTED TOTAL REQUESTED]]/S1_SHTA_UnrestrictedTotalRequested)</f>
        <v>0</v>
      </c>
      <c r="S39" s="7">
        <f>IF(S1SHTATbl[[#This Row],[ALL UNITS IN A HIGH OR HIGHEST RESOURCE AREA]]="Yes",10*S1SHTATbl[[#This Row],[UNRESTRICTED % OF FUNDING]],0)</f>
        <v>0</v>
      </c>
      <c r="T39" s="7" cm="1">
        <f t="array" ref="T39">INDEX(CountyScoresTbl[Community Need Total Points],ROW(S1SHTATbl[[#This Row],[COUNTY]])-2,1)*S1SHTATbl[[#This Row],[UNRESTRICTED % OF FUNDING]]</f>
        <v>0</v>
      </c>
      <c r="U39" s="7" cm="1">
        <f t="array" ref="U39">INDEX(CountyScoresTbl[SHTA Total Feasibility Points Awarded],ROW(S1SHTATbl[[#This Row],[COUNTY]])-2,1)*S1SHTATbl[[#This Row],[UNRESTRICTED % OF FUNDING]]</f>
        <v>0</v>
      </c>
      <c r="V39" s="8" cm="1">
        <f t="array" ref="V39">INDEX(CountyScoresTbl[Farmworker Need Points Awarded],ROW(S1SHTATbl[[#This Row],[COUNTY]])-2,1)*S1SHTATbl[[#This Row],[UNRESTRICTED % OF FUNDING]]</f>
        <v>0</v>
      </c>
      <c r="W39" s="123"/>
      <c r="X39" s="161"/>
      <c r="Y39" s="198"/>
      <c r="Z39" s="74">
        <f t="shared" si="3"/>
        <v>0</v>
      </c>
      <c r="AA39" s="6">
        <f>IF(S1SHTATbl[[#This Row],[RURAL TOTAL REQUESTED]]=0,0,S1SHTATbl[[#This Row],[RURAL TOTAL REQUESTED]]/Z$61)</f>
        <v>0</v>
      </c>
      <c r="AB39" s="7">
        <f>IF(S1SHTATbl[[#This Row],[ALL UNITS IN A HIGH OR HIGHEST RESOURCE AREA]]="Yes",10*S1SHTATbl[[#This Row],[RURAL % OF FUNDING]],0)</f>
        <v>0</v>
      </c>
      <c r="AC39" s="7" cm="1">
        <f t="array" ref="AC39">INDEX(CountyScoresTbl[Community Need Total Points],ROW(S1SHTATbl[[#This Row],[COUNTY]])-2,1)*S1SHTATbl[[#This Row],[RURAL % OF FUNDING]]</f>
        <v>0</v>
      </c>
      <c r="AD39" s="7" cm="1">
        <f t="array" ref="AD39">INDEX(CountyScoresTbl[SHTA Total Feasibility Points Awarded],ROW(S1SHTATbl[[#This Row],[COUNTY]])-2,1)*S1SHTATbl[[#This Row],[RURAL % OF FUNDING]]</f>
        <v>0</v>
      </c>
      <c r="AE39" s="8" cm="1">
        <f t="array" ref="AE39">INDEX(CountyScoresTbl[Farmworker Need Points Awarded],ROW(S1SHTATbl[[#This Row],[COUNTY]])-2,1)*S1SHTATbl[[#This Row],[RURAL % OF FUNDING]]</f>
        <v>0</v>
      </c>
      <c r="AF39" s="399"/>
      <c r="AG39" s="7">
        <f>IF(S1SHTATbl[[#This Row],[INFILL SITE]]="Yes",5,3)*S1SHTATbl[[#This Row],[UNRESTRICTED % OF FUNDING]]</f>
        <v>0</v>
      </c>
      <c r="AH39" s="26">
        <f>IF(S1SHTATbl[[#This Row],[INFILL SITE]]="Yes",5,3)*S1SHTATbl[[#This Row],[RURAL % OF FUNDING]]</f>
        <v>0</v>
      </c>
    </row>
    <row r="40" spans="1:34" x14ac:dyDescent="0.35">
      <c r="A40" s="119"/>
      <c r="B40" s="5" t="s">
        <v>152</v>
      </c>
      <c r="C40" s="44" t="s">
        <v>513</v>
      </c>
      <c r="D40" s="114" t="str">
        <f>IF(S1SHTATbl[[#This Row],[UNRESTRICTED UNITS]]=0,"",S1SHTATbl[[#This Row],[UNRESTRICTED UNITS]])</f>
        <v/>
      </c>
      <c r="E40" s="270" t="str">
        <f xml:space="preserve">
IF(S1SHTATbl[[#This Row],[UNRESTRICTED TOTAL REQUESTED]]=0,"",
S1SHTATbl[[#This Row],[UNRESTRICTED TOTAL REQUESTED]]*
IF(S1_SHTA_UnrestrictedTotalRequested&lt;=500000,1,
500000/S1_SHTA_UnrestrictedTotalRequested)
)</f>
        <v/>
      </c>
      <c r="F40" s="272" t="str">
        <f>IF(S1SHTATbl[[#This Row],[UNRESTRICTED % OF FUNDING]]=0,"",S1SHTATbl[[#This Row],[UNRESTRICTED % OF FUNDING]])</f>
        <v/>
      </c>
      <c r="G40" s="31" t="s">
        <v>513</v>
      </c>
      <c r="H40" s="271" t="str">
        <f>IF(S1SHTATbl[[#This Row],[RURAL UNITS]]=0,"",S1SHTATbl[[#This Row],[RURAL UNITS]])</f>
        <v/>
      </c>
      <c r="I40" s="270" t="str">
        <f xml:space="preserve">
IF(S1SHTATbl[[#This Row],[RURAL TOTAL REQUESTED]]=0,"",
S1SHTATbl[[#This Row],[RURAL TOTAL REQUESTED]]*
IF(S1_SHTA_RuralTotalRequested&lt;=(500000-E$61),1,
(500000-E$61)/S1_SHTA_RuralTotalRequested)
)</f>
        <v/>
      </c>
      <c r="J40" s="272" t="str">
        <f>IF(S1SHTATbl[[#This Row],[RURAL % OF FUNDING]]=0,"",S1SHTATbl[[#This Row],[RURAL % OF FUNDING]])</f>
        <v/>
      </c>
      <c r="K40" s="31" t="s">
        <v>513</v>
      </c>
      <c r="L40" s="196"/>
      <c r="M40" s="197"/>
      <c r="N40" s="124"/>
      <c r="O40" s="119"/>
      <c r="P40" s="226"/>
      <c r="Q40" s="74">
        <f t="shared" si="2"/>
        <v>0</v>
      </c>
      <c r="R40" s="6">
        <f>IF(S1SHTATbl[[#This Row],[UNRESTRICTED TOTAL REQUESTED]]=0,0,S1SHTATbl[[#This Row],[UNRESTRICTED TOTAL REQUESTED]]/S1_SHTA_UnrestrictedTotalRequested)</f>
        <v>0</v>
      </c>
      <c r="S40" s="7">
        <f>IF(S1SHTATbl[[#This Row],[ALL UNITS IN A HIGH OR HIGHEST RESOURCE AREA]]="Yes",10*S1SHTATbl[[#This Row],[UNRESTRICTED % OF FUNDING]],0)</f>
        <v>0</v>
      </c>
      <c r="T40" s="7" cm="1">
        <f t="array" ref="T40">INDEX(CountyScoresTbl[Community Need Total Points],ROW(S1SHTATbl[[#This Row],[COUNTY]])-2,1)*S1SHTATbl[[#This Row],[UNRESTRICTED % OF FUNDING]]</f>
        <v>0</v>
      </c>
      <c r="U40" s="7" cm="1">
        <f t="array" ref="U40">INDEX(CountyScoresTbl[SHTA Total Feasibility Points Awarded],ROW(S1SHTATbl[[#This Row],[COUNTY]])-2,1)*S1SHTATbl[[#This Row],[UNRESTRICTED % OF FUNDING]]</f>
        <v>0</v>
      </c>
      <c r="V40" s="8" cm="1">
        <f t="array" ref="V40">INDEX(CountyScoresTbl[Farmworker Need Points Awarded],ROW(S1SHTATbl[[#This Row],[COUNTY]])-2,1)*S1SHTATbl[[#This Row],[UNRESTRICTED % OF FUNDING]]</f>
        <v>0</v>
      </c>
      <c r="W40" s="124"/>
      <c r="X40" s="119"/>
      <c r="Y40" s="226"/>
      <c r="Z40" s="74">
        <f t="shared" si="3"/>
        <v>0</v>
      </c>
      <c r="AA40" s="6">
        <f>IF(S1SHTATbl[[#This Row],[RURAL TOTAL REQUESTED]]=0,0,S1SHTATbl[[#This Row],[RURAL TOTAL REQUESTED]]/Z$61)</f>
        <v>0</v>
      </c>
      <c r="AB40" s="7">
        <f>IF(S1SHTATbl[[#This Row],[ALL UNITS IN A HIGH OR HIGHEST RESOURCE AREA]]="Yes",10*S1SHTATbl[[#This Row],[RURAL % OF FUNDING]],0)</f>
        <v>0</v>
      </c>
      <c r="AC40" s="7" cm="1">
        <f t="array" ref="AC40">INDEX(CountyScoresTbl[Community Need Total Points],ROW(S1SHTATbl[[#This Row],[COUNTY]])-2,1)*S1SHTATbl[[#This Row],[RURAL % OF FUNDING]]</f>
        <v>0</v>
      </c>
      <c r="AD40" s="7" cm="1">
        <f t="array" ref="AD40">INDEX(CountyScoresTbl[SHTA Total Feasibility Points Awarded],ROW(S1SHTATbl[[#This Row],[COUNTY]])-2,1)*S1SHTATbl[[#This Row],[RURAL % OF FUNDING]]</f>
        <v>0</v>
      </c>
      <c r="AE40" s="8" cm="1">
        <f t="array" ref="AE40">INDEX(CountyScoresTbl[Farmworker Need Points Awarded],ROW(S1SHTATbl[[#This Row],[COUNTY]])-2,1)*S1SHTATbl[[#This Row],[RURAL % OF FUNDING]]</f>
        <v>0</v>
      </c>
      <c r="AF40" s="399"/>
      <c r="AG40" s="7">
        <f>IF(S1SHTATbl[[#This Row],[INFILL SITE]]="Yes",5,3)*S1SHTATbl[[#This Row],[UNRESTRICTED % OF FUNDING]]</f>
        <v>0</v>
      </c>
      <c r="AH40" s="26">
        <f>IF(S1SHTATbl[[#This Row],[INFILL SITE]]="Yes",5,3)*S1SHTATbl[[#This Row],[RURAL % OF FUNDING]]</f>
        <v>0</v>
      </c>
    </row>
    <row r="41" spans="1:34" x14ac:dyDescent="0.35">
      <c r="A41" s="119"/>
      <c r="B41" s="5" t="s">
        <v>153</v>
      </c>
      <c r="C41" s="44" t="s">
        <v>513</v>
      </c>
      <c r="D41" s="114" t="str">
        <f>IF(S1SHTATbl[[#This Row],[UNRESTRICTED UNITS]]=0,"",S1SHTATbl[[#This Row],[UNRESTRICTED UNITS]])</f>
        <v/>
      </c>
      <c r="E41" s="270" t="str">
        <f xml:space="preserve">
IF(S1SHTATbl[[#This Row],[UNRESTRICTED TOTAL REQUESTED]]=0,"",
S1SHTATbl[[#This Row],[UNRESTRICTED TOTAL REQUESTED]]*
IF(S1_SHTA_UnrestrictedTotalRequested&lt;=500000,1,
500000/S1_SHTA_UnrestrictedTotalRequested)
)</f>
        <v/>
      </c>
      <c r="F41" s="272" t="str">
        <f>IF(S1SHTATbl[[#This Row],[UNRESTRICTED % OF FUNDING]]=0,"",S1SHTATbl[[#This Row],[UNRESTRICTED % OF FUNDING]])</f>
        <v/>
      </c>
      <c r="G41" s="31" t="s">
        <v>513</v>
      </c>
      <c r="H41" s="271" t="str">
        <f>IF(S1SHTATbl[[#This Row],[RURAL UNITS]]=0,"",S1SHTATbl[[#This Row],[RURAL UNITS]])</f>
        <v/>
      </c>
      <c r="I41" s="270" t="str">
        <f xml:space="preserve">
IF(S1SHTATbl[[#This Row],[RURAL TOTAL REQUESTED]]=0,"",
S1SHTATbl[[#This Row],[RURAL TOTAL REQUESTED]]*
IF(S1_SHTA_RuralTotalRequested&lt;=(500000-E$61),1,
(500000-E$61)/S1_SHTA_RuralTotalRequested)
)</f>
        <v/>
      </c>
      <c r="J41" s="272" t="str">
        <f>IF(S1SHTATbl[[#This Row],[RURAL % OF FUNDING]]=0,"",S1SHTATbl[[#This Row],[RURAL % OF FUNDING]])</f>
        <v/>
      </c>
      <c r="K41" s="31" t="s">
        <v>513</v>
      </c>
      <c r="L41" s="196"/>
      <c r="M41" s="197"/>
      <c r="N41" s="124"/>
      <c r="O41" s="119"/>
      <c r="P41" s="226"/>
      <c r="Q41" s="74">
        <f t="shared" si="2"/>
        <v>0</v>
      </c>
      <c r="R41" s="6">
        <f>IF(S1SHTATbl[[#This Row],[UNRESTRICTED TOTAL REQUESTED]]=0,0,S1SHTATbl[[#This Row],[UNRESTRICTED TOTAL REQUESTED]]/S1_SHTA_UnrestrictedTotalRequested)</f>
        <v>0</v>
      </c>
      <c r="S41" s="7">
        <f>IF(S1SHTATbl[[#This Row],[ALL UNITS IN A HIGH OR HIGHEST RESOURCE AREA]]="Yes",10*S1SHTATbl[[#This Row],[UNRESTRICTED % OF FUNDING]],0)</f>
        <v>0</v>
      </c>
      <c r="T41" s="7" cm="1">
        <f t="array" ref="T41">INDEX(CountyScoresTbl[Community Need Total Points],ROW(S1SHTATbl[[#This Row],[COUNTY]])-2,1)*S1SHTATbl[[#This Row],[UNRESTRICTED % OF FUNDING]]</f>
        <v>0</v>
      </c>
      <c r="U41" s="7" cm="1">
        <f t="array" ref="U41">INDEX(CountyScoresTbl[SHTA Total Feasibility Points Awarded],ROW(S1SHTATbl[[#This Row],[COUNTY]])-2,1)*S1SHTATbl[[#This Row],[UNRESTRICTED % OF FUNDING]]</f>
        <v>0</v>
      </c>
      <c r="V41" s="8" cm="1">
        <f t="array" ref="V41">INDEX(CountyScoresTbl[Farmworker Need Points Awarded],ROW(S1SHTATbl[[#This Row],[COUNTY]])-2,1)*S1SHTATbl[[#This Row],[UNRESTRICTED % OF FUNDING]]</f>
        <v>0</v>
      </c>
      <c r="W41" s="124"/>
      <c r="X41" s="119"/>
      <c r="Y41" s="226"/>
      <c r="Z41" s="74">
        <f t="shared" si="3"/>
        <v>0</v>
      </c>
      <c r="AA41" s="6">
        <f>IF(S1SHTATbl[[#This Row],[RURAL TOTAL REQUESTED]]=0,0,S1SHTATbl[[#This Row],[RURAL TOTAL REQUESTED]]/Z$61)</f>
        <v>0</v>
      </c>
      <c r="AB41" s="7">
        <f>IF(S1SHTATbl[[#This Row],[ALL UNITS IN A HIGH OR HIGHEST RESOURCE AREA]]="Yes",10*S1SHTATbl[[#This Row],[RURAL % OF FUNDING]],0)</f>
        <v>0</v>
      </c>
      <c r="AC41" s="7" cm="1">
        <f t="array" ref="AC41">INDEX(CountyScoresTbl[Community Need Total Points],ROW(S1SHTATbl[[#This Row],[COUNTY]])-2,1)*S1SHTATbl[[#This Row],[RURAL % OF FUNDING]]</f>
        <v>0</v>
      </c>
      <c r="AD41" s="7" cm="1">
        <f t="array" ref="AD41">INDEX(CountyScoresTbl[SHTA Total Feasibility Points Awarded],ROW(S1SHTATbl[[#This Row],[COUNTY]])-2,1)*S1SHTATbl[[#This Row],[RURAL % OF FUNDING]]</f>
        <v>0</v>
      </c>
      <c r="AE41" s="8" cm="1">
        <f t="array" ref="AE41">INDEX(CountyScoresTbl[Farmworker Need Points Awarded],ROW(S1SHTATbl[[#This Row],[COUNTY]])-2,1)*S1SHTATbl[[#This Row],[RURAL % OF FUNDING]]</f>
        <v>0</v>
      </c>
      <c r="AF41" s="399"/>
      <c r="AG41" s="7">
        <f>IF(S1SHTATbl[[#This Row],[INFILL SITE]]="Yes",5,3)*S1SHTATbl[[#This Row],[UNRESTRICTED % OF FUNDING]]</f>
        <v>0</v>
      </c>
      <c r="AH41" s="26">
        <f>IF(S1SHTATbl[[#This Row],[INFILL SITE]]="Yes",5,3)*S1SHTATbl[[#This Row],[RURAL % OF FUNDING]]</f>
        <v>0</v>
      </c>
    </row>
    <row r="42" spans="1:34" x14ac:dyDescent="0.35">
      <c r="A42" s="119"/>
      <c r="B42" s="5" t="s">
        <v>154</v>
      </c>
      <c r="C42" s="44" t="s">
        <v>513</v>
      </c>
      <c r="D42" s="114" t="str">
        <f>IF(S1SHTATbl[[#This Row],[UNRESTRICTED UNITS]]=0,"",S1SHTATbl[[#This Row],[UNRESTRICTED UNITS]])</f>
        <v/>
      </c>
      <c r="E42" s="270" t="str">
        <f xml:space="preserve">
IF(S1SHTATbl[[#This Row],[UNRESTRICTED TOTAL REQUESTED]]=0,"",
S1SHTATbl[[#This Row],[UNRESTRICTED TOTAL REQUESTED]]*
IF(S1_SHTA_UnrestrictedTotalRequested&lt;=500000,1,
500000/S1_SHTA_UnrestrictedTotalRequested)
)</f>
        <v/>
      </c>
      <c r="F42" s="272" t="str">
        <f>IF(S1SHTATbl[[#This Row],[UNRESTRICTED % OF FUNDING]]=0,"",S1SHTATbl[[#This Row],[UNRESTRICTED % OF FUNDING]])</f>
        <v/>
      </c>
      <c r="G42" s="31" t="s">
        <v>513</v>
      </c>
      <c r="H42" s="271" t="str">
        <f>IF(S1SHTATbl[[#This Row],[RURAL UNITS]]=0,"",S1SHTATbl[[#This Row],[RURAL UNITS]])</f>
        <v/>
      </c>
      <c r="I42" s="270" t="str">
        <f xml:space="preserve">
IF(S1SHTATbl[[#This Row],[RURAL TOTAL REQUESTED]]=0,"",
S1SHTATbl[[#This Row],[RURAL TOTAL REQUESTED]]*
IF(S1_SHTA_RuralTotalRequested&lt;=(500000-E$61),1,
(500000-E$61)/S1_SHTA_RuralTotalRequested)
)</f>
        <v/>
      </c>
      <c r="J42" s="272" t="str">
        <f>IF(S1SHTATbl[[#This Row],[RURAL % OF FUNDING]]=0,"",S1SHTATbl[[#This Row],[RURAL % OF FUNDING]])</f>
        <v/>
      </c>
      <c r="K42" s="31" t="s">
        <v>513</v>
      </c>
      <c r="L42" s="196"/>
      <c r="M42" s="197"/>
      <c r="N42" s="124"/>
      <c r="O42" s="119"/>
      <c r="P42" s="226"/>
      <c r="Q42" s="74">
        <f t="shared" si="2"/>
        <v>0</v>
      </c>
      <c r="R42" s="6">
        <f>IF(S1SHTATbl[[#This Row],[UNRESTRICTED TOTAL REQUESTED]]=0,0,S1SHTATbl[[#This Row],[UNRESTRICTED TOTAL REQUESTED]]/S1_SHTA_UnrestrictedTotalRequested)</f>
        <v>0</v>
      </c>
      <c r="S42" s="7">
        <f>IF(S1SHTATbl[[#This Row],[ALL UNITS IN A HIGH OR HIGHEST RESOURCE AREA]]="Yes",10*S1SHTATbl[[#This Row],[UNRESTRICTED % OF FUNDING]],0)</f>
        <v>0</v>
      </c>
      <c r="T42" s="7" cm="1">
        <f t="array" ref="T42">INDEX(CountyScoresTbl[Community Need Total Points],ROW(S1SHTATbl[[#This Row],[COUNTY]])-2,1)*S1SHTATbl[[#This Row],[UNRESTRICTED % OF FUNDING]]</f>
        <v>0</v>
      </c>
      <c r="U42" s="7" cm="1">
        <f t="array" ref="U42">INDEX(CountyScoresTbl[SHTA Total Feasibility Points Awarded],ROW(S1SHTATbl[[#This Row],[COUNTY]])-2,1)*S1SHTATbl[[#This Row],[UNRESTRICTED % OF FUNDING]]</f>
        <v>0</v>
      </c>
      <c r="V42" s="8" cm="1">
        <f t="array" ref="V42">INDEX(CountyScoresTbl[Farmworker Need Points Awarded],ROW(S1SHTATbl[[#This Row],[COUNTY]])-2,1)*S1SHTATbl[[#This Row],[UNRESTRICTED % OF FUNDING]]</f>
        <v>0</v>
      </c>
      <c r="W42" s="124"/>
      <c r="X42" s="119"/>
      <c r="Y42" s="226"/>
      <c r="Z42" s="74">
        <f t="shared" si="3"/>
        <v>0</v>
      </c>
      <c r="AA42" s="6">
        <f>IF(S1SHTATbl[[#This Row],[RURAL TOTAL REQUESTED]]=0,0,S1SHTATbl[[#This Row],[RURAL TOTAL REQUESTED]]/Z$61)</f>
        <v>0</v>
      </c>
      <c r="AB42" s="7">
        <f>IF(S1SHTATbl[[#This Row],[ALL UNITS IN A HIGH OR HIGHEST RESOURCE AREA]]="Yes",10*S1SHTATbl[[#This Row],[RURAL % OF FUNDING]],0)</f>
        <v>0</v>
      </c>
      <c r="AC42" s="7" cm="1">
        <f t="array" ref="AC42">INDEX(CountyScoresTbl[Community Need Total Points],ROW(S1SHTATbl[[#This Row],[COUNTY]])-2,1)*S1SHTATbl[[#This Row],[RURAL % OF FUNDING]]</f>
        <v>0</v>
      </c>
      <c r="AD42" s="7" cm="1">
        <f t="array" ref="AD42">INDEX(CountyScoresTbl[SHTA Total Feasibility Points Awarded],ROW(S1SHTATbl[[#This Row],[COUNTY]])-2,1)*S1SHTATbl[[#This Row],[RURAL % OF FUNDING]]</f>
        <v>0</v>
      </c>
      <c r="AE42" s="8" cm="1">
        <f t="array" ref="AE42">INDEX(CountyScoresTbl[Farmworker Need Points Awarded],ROW(S1SHTATbl[[#This Row],[COUNTY]])-2,1)*S1SHTATbl[[#This Row],[RURAL % OF FUNDING]]</f>
        <v>0</v>
      </c>
      <c r="AF42" s="399"/>
      <c r="AG42" s="7">
        <f>IF(S1SHTATbl[[#This Row],[INFILL SITE]]="Yes",5,3)*S1SHTATbl[[#This Row],[UNRESTRICTED % OF FUNDING]]</f>
        <v>0</v>
      </c>
      <c r="AH42" s="26">
        <f>IF(S1SHTATbl[[#This Row],[INFILL SITE]]="Yes",5,3)*S1SHTATbl[[#This Row],[RURAL % OF FUNDING]]</f>
        <v>0</v>
      </c>
    </row>
    <row r="43" spans="1:34" x14ac:dyDescent="0.35">
      <c r="A43" s="119"/>
      <c r="B43" s="5" t="s">
        <v>155</v>
      </c>
      <c r="C43" s="44" t="s">
        <v>513</v>
      </c>
      <c r="D43" s="114" t="str">
        <f>IF(S1SHTATbl[[#This Row],[UNRESTRICTED UNITS]]=0,"",S1SHTATbl[[#This Row],[UNRESTRICTED UNITS]])</f>
        <v/>
      </c>
      <c r="E43" s="270" t="str">
        <f xml:space="preserve">
IF(S1SHTATbl[[#This Row],[UNRESTRICTED TOTAL REQUESTED]]=0,"",
S1SHTATbl[[#This Row],[UNRESTRICTED TOTAL REQUESTED]]*
IF(S1_SHTA_UnrestrictedTotalRequested&lt;=500000,1,
500000/S1_SHTA_UnrestrictedTotalRequested)
)</f>
        <v/>
      </c>
      <c r="F43" s="272" t="str">
        <f>IF(S1SHTATbl[[#This Row],[UNRESTRICTED % OF FUNDING]]=0,"",S1SHTATbl[[#This Row],[UNRESTRICTED % OF FUNDING]])</f>
        <v/>
      </c>
      <c r="G43" s="31" t="s">
        <v>513</v>
      </c>
      <c r="H43" s="271" t="str">
        <f>IF(S1SHTATbl[[#This Row],[RURAL UNITS]]=0,"",S1SHTATbl[[#This Row],[RURAL UNITS]])</f>
        <v/>
      </c>
      <c r="I43" s="270" t="str">
        <f xml:space="preserve">
IF(S1SHTATbl[[#This Row],[RURAL TOTAL REQUESTED]]=0,"",
S1SHTATbl[[#This Row],[RURAL TOTAL REQUESTED]]*
IF(S1_SHTA_RuralTotalRequested&lt;=(500000-E$61),1,
(500000-E$61)/S1_SHTA_RuralTotalRequested)
)</f>
        <v/>
      </c>
      <c r="J43" s="272" t="str">
        <f>IF(S1SHTATbl[[#This Row],[RURAL % OF FUNDING]]=0,"",S1SHTATbl[[#This Row],[RURAL % OF FUNDING]])</f>
        <v/>
      </c>
      <c r="K43" s="31" t="s">
        <v>513</v>
      </c>
      <c r="L43" s="196"/>
      <c r="M43" s="197"/>
      <c r="N43" s="124"/>
      <c r="O43" s="119"/>
      <c r="P43" s="226"/>
      <c r="Q43" s="74">
        <f t="shared" si="2"/>
        <v>0</v>
      </c>
      <c r="R43" s="6">
        <f>IF(S1SHTATbl[[#This Row],[UNRESTRICTED TOTAL REQUESTED]]=0,0,S1SHTATbl[[#This Row],[UNRESTRICTED TOTAL REQUESTED]]/S1_SHTA_UnrestrictedTotalRequested)</f>
        <v>0</v>
      </c>
      <c r="S43" s="7">
        <f>IF(S1SHTATbl[[#This Row],[ALL UNITS IN A HIGH OR HIGHEST RESOURCE AREA]]="Yes",10*S1SHTATbl[[#This Row],[UNRESTRICTED % OF FUNDING]],0)</f>
        <v>0</v>
      </c>
      <c r="T43" s="7" cm="1">
        <f t="array" ref="T43">INDEX(CountyScoresTbl[Community Need Total Points],ROW(S1SHTATbl[[#This Row],[COUNTY]])-2,1)*S1SHTATbl[[#This Row],[UNRESTRICTED % OF FUNDING]]</f>
        <v>0</v>
      </c>
      <c r="U43" s="7" cm="1">
        <f t="array" ref="U43">INDEX(CountyScoresTbl[SHTA Total Feasibility Points Awarded],ROW(S1SHTATbl[[#This Row],[COUNTY]])-2,1)*S1SHTATbl[[#This Row],[UNRESTRICTED % OF FUNDING]]</f>
        <v>0</v>
      </c>
      <c r="V43" s="8" cm="1">
        <f t="array" ref="V43">INDEX(CountyScoresTbl[Farmworker Need Points Awarded],ROW(S1SHTATbl[[#This Row],[COUNTY]])-2,1)*S1SHTATbl[[#This Row],[UNRESTRICTED % OF FUNDING]]</f>
        <v>0</v>
      </c>
      <c r="W43" s="124"/>
      <c r="X43" s="119"/>
      <c r="Y43" s="226"/>
      <c r="Z43" s="74">
        <f t="shared" si="3"/>
        <v>0</v>
      </c>
      <c r="AA43" s="6">
        <f>IF(S1SHTATbl[[#This Row],[RURAL TOTAL REQUESTED]]=0,0,S1SHTATbl[[#This Row],[RURAL TOTAL REQUESTED]]/Z$61)</f>
        <v>0</v>
      </c>
      <c r="AB43" s="7">
        <f>IF(S1SHTATbl[[#This Row],[ALL UNITS IN A HIGH OR HIGHEST RESOURCE AREA]]="Yes",10*S1SHTATbl[[#This Row],[RURAL % OF FUNDING]],0)</f>
        <v>0</v>
      </c>
      <c r="AC43" s="7" cm="1">
        <f t="array" ref="AC43">INDEX(CountyScoresTbl[Community Need Total Points],ROW(S1SHTATbl[[#This Row],[COUNTY]])-2,1)*S1SHTATbl[[#This Row],[RURAL % OF FUNDING]]</f>
        <v>0</v>
      </c>
      <c r="AD43" s="7" cm="1">
        <f t="array" ref="AD43">INDEX(CountyScoresTbl[SHTA Total Feasibility Points Awarded],ROW(S1SHTATbl[[#This Row],[COUNTY]])-2,1)*S1SHTATbl[[#This Row],[RURAL % OF FUNDING]]</f>
        <v>0</v>
      </c>
      <c r="AE43" s="8" cm="1">
        <f t="array" ref="AE43">INDEX(CountyScoresTbl[Farmworker Need Points Awarded],ROW(S1SHTATbl[[#This Row],[COUNTY]])-2,1)*S1SHTATbl[[#This Row],[RURAL % OF FUNDING]]</f>
        <v>0</v>
      </c>
      <c r="AF43" s="399"/>
      <c r="AG43" s="7">
        <f>IF(S1SHTATbl[[#This Row],[INFILL SITE]]="Yes",5,3)*S1SHTATbl[[#This Row],[UNRESTRICTED % OF FUNDING]]</f>
        <v>0</v>
      </c>
      <c r="AH43" s="26">
        <f>IF(S1SHTATbl[[#This Row],[INFILL SITE]]="Yes",5,3)*S1SHTATbl[[#This Row],[RURAL % OF FUNDING]]</f>
        <v>0</v>
      </c>
    </row>
    <row r="44" spans="1:34" x14ac:dyDescent="0.35">
      <c r="A44" s="119"/>
      <c r="B44" s="5" t="s">
        <v>156</v>
      </c>
      <c r="C44" s="44" t="s">
        <v>513</v>
      </c>
      <c r="D44" s="114" t="str">
        <f>IF(S1SHTATbl[[#This Row],[UNRESTRICTED UNITS]]=0,"",S1SHTATbl[[#This Row],[UNRESTRICTED UNITS]])</f>
        <v/>
      </c>
      <c r="E44" s="270" t="str">
        <f xml:space="preserve">
IF(S1SHTATbl[[#This Row],[UNRESTRICTED TOTAL REQUESTED]]=0,"",
S1SHTATbl[[#This Row],[UNRESTRICTED TOTAL REQUESTED]]*
IF(S1_SHTA_UnrestrictedTotalRequested&lt;=500000,1,
500000/S1_SHTA_UnrestrictedTotalRequested)
)</f>
        <v/>
      </c>
      <c r="F44" s="272" t="str">
        <f>IF(S1SHTATbl[[#This Row],[UNRESTRICTED % OF FUNDING]]=0,"",S1SHTATbl[[#This Row],[UNRESTRICTED % OF FUNDING]])</f>
        <v/>
      </c>
      <c r="G44" s="31" t="s">
        <v>513</v>
      </c>
      <c r="H44" s="271" t="str">
        <f>IF(S1SHTATbl[[#This Row],[RURAL UNITS]]=0,"",S1SHTATbl[[#This Row],[RURAL UNITS]])</f>
        <v/>
      </c>
      <c r="I44" s="270" t="str">
        <f xml:space="preserve">
IF(S1SHTATbl[[#This Row],[RURAL TOTAL REQUESTED]]=0,"",
S1SHTATbl[[#This Row],[RURAL TOTAL REQUESTED]]*
IF(S1_SHTA_RuralTotalRequested&lt;=(500000-E$61),1,
(500000-E$61)/S1_SHTA_RuralTotalRequested)
)</f>
        <v/>
      </c>
      <c r="J44" s="272" t="str">
        <f>IF(S1SHTATbl[[#This Row],[RURAL % OF FUNDING]]=0,"",S1SHTATbl[[#This Row],[RURAL % OF FUNDING]])</f>
        <v/>
      </c>
      <c r="K44" s="31" t="s">
        <v>513</v>
      </c>
      <c r="L44" s="196"/>
      <c r="M44" s="197"/>
      <c r="N44" s="124"/>
      <c r="O44" s="119"/>
      <c r="P44" s="226"/>
      <c r="Q44" s="74">
        <f t="shared" si="2"/>
        <v>0</v>
      </c>
      <c r="R44" s="6">
        <f>IF(S1SHTATbl[[#This Row],[UNRESTRICTED TOTAL REQUESTED]]=0,0,S1SHTATbl[[#This Row],[UNRESTRICTED TOTAL REQUESTED]]/S1_SHTA_UnrestrictedTotalRequested)</f>
        <v>0</v>
      </c>
      <c r="S44" s="7">
        <f>IF(S1SHTATbl[[#This Row],[ALL UNITS IN A HIGH OR HIGHEST RESOURCE AREA]]="Yes",10*S1SHTATbl[[#This Row],[UNRESTRICTED % OF FUNDING]],0)</f>
        <v>0</v>
      </c>
      <c r="T44" s="7" cm="1">
        <f t="array" ref="T44">INDEX(CountyScoresTbl[Community Need Total Points],ROW(S1SHTATbl[[#This Row],[COUNTY]])-2,1)*S1SHTATbl[[#This Row],[UNRESTRICTED % OF FUNDING]]</f>
        <v>0</v>
      </c>
      <c r="U44" s="7" cm="1">
        <f t="array" ref="U44">INDEX(CountyScoresTbl[SHTA Total Feasibility Points Awarded],ROW(S1SHTATbl[[#This Row],[COUNTY]])-2,1)*S1SHTATbl[[#This Row],[UNRESTRICTED % OF FUNDING]]</f>
        <v>0</v>
      </c>
      <c r="V44" s="8" cm="1">
        <f t="array" ref="V44">INDEX(CountyScoresTbl[Farmworker Need Points Awarded],ROW(S1SHTATbl[[#This Row],[COUNTY]])-2,1)*S1SHTATbl[[#This Row],[UNRESTRICTED % OF FUNDING]]</f>
        <v>0</v>
      </c>
      <c r="W44" s="124"/>
      <c r="X44" s="119"/>
      <c r="Y44" s="226"/>
      <c r="Z44" s="74">
        <f t="shared" si="3"/>
        <v>0</v>
      </c>
      <c r="AA44" s="6">
        <f>IF(S1SHTATbl[[#This Row],[RURAL TOTAL REQUESTED]]=0,0,S1SHTATbl[[#This Row],[RURAL TOTAL REQUESTED]]/Z$61)</f>
        <v>0</v>
      </c>
      <c r="AB44" s="7">
        <f>IF(S1SHTATbl[[#This Row],[ALL UNITS IN A HIGH OR HIGHEST RESOURCE AREA]]="Yes",10*S1SHTATbl[[#This Row],[RURAL % OF FUNDING]],0)</f>
        <v>0</v>
      </c>
      <c r="AC44" s="7" cm="1">
        <f t="array" ref="AC44">INDEX(CountyScoresTbl[Community Need Total Points],ROW(S1SHTATbl[[#This Row],[COUNTY]])-2,1)*S1SHTATbl[[#This Row],[RURAL % OF FUNDING]]</f>
        <v>0</v>
      </c>
      <c r="AD44" s="7" cm="1">
        <f t="array" ref="AD44">INDEX(CountyScoresTbl[SHTA Total Feasibility Points Awarded],ROW(S1SHTATbl[[#This Row],[COUNTY]])-2,1)*S1SHTATbl[[#This Row],[RURAL % OF FUNDING]]</f>
        <v>0</v>
      </c>
      <c r="AE44" s="8" cm="1">
        <f t="array" ref="AE44">INDEX(CountyScoresTbl[Farmworker Need Points Awarded],ROW(S1SHTATbl[[#This Row],[COUNTY]])-2,1)*S1SHTATbl[[#This Row],[RURAL % OF FUNDING]]</f>
        <v>0</v>
      </c>
      <c r="AF44" s="399"/>
      <c r="AG44" s="7">
        <f>IF(S1SHTATbl[[#This Row],[INFILL SITE]]="Yes",5,3)*S1SHTATbl[[#This Row],[UNRESTRICTED % OF FUNDING]]</f>
        <v>0</v>
      </c>
      <c r="AH44" s="26">
        <f>IF(S1SHTATbl[[#This Row],[INFILL SITE]]="Yes",5,3)*S1SHTATbl[[#This Row],[RURAL % OF FUNDING]]</f>
        <v>0</v>
      </c>
    </row>
    <row r="45" spans="1:34" x14ac:dyDescent="0.35">
      <c r="A45" s="119"/>
      <c r="B45" s="5" t="s">
        <v>157</v>
      </c>
      <c r="C45" s="44" t="s">
        <v>513</v>
      </c>
      <c r="D45" s="114" t="str">
        <f>IF(S1SHTATbl[[#This Row],[UNRESTRICTED UNITS]]=0,"",S1SHTATbl[[#This Row],[UNRESTRICTED UNITS]])</f>
        <v/>
      </c>
      <c r="E45" s="270" t="str">
        <f xml:space="preserve">
IF(S1SHTATbl[[#This Row],[UNRESTRICTED TOTAL REQUESTED]]=0,"",
S1SHTATbl[[#This Row],[UNRESTRICTED TOTAL REQUESTED]]*
IF(S1_SHTA_UnrestrictedTotalRequested&lt;=500000,1,
500000/S1_SHTA_UnrestrictedTotalRequested)
)</f>
        <v/>
      </c>
      <c r="F45" s="272" t="str">
        <f>IF(S1SHTATbl[[#This Row],[UNRESTRICTED % OF FUNDING]]=0,"",S1SHTATbl[[#This Row],[UNRESTRICTED % OF FUNDING]])</f>
        <v/>
      </c>
      <c r="G45" s="31" t="s">
        <v>513</v>
      </c>
      <c r="H45" s="271" t="str">
        <f>IF(S1SHTATbl[[#This Row],[RURAL UNITS]]=0,"",S1SHTATbl[[#This Row],[RURAL UNITS]])</f>
        <v/>
      </c>
      <c r="I45" s="270" t="str">
        <f xml:space="preserve">
IF(S1SHTATbl[[#This Row],[RURAL TOTAL REQUESTED]]=0,"",
S1SHTATbl[[#This Row],[RURAL TOTAL REQUESTED]]*
IF(S1_SHTA_RuralTotalRequested&lt;=(500000-E$61),1,
(500000-E$61)/S1_SHTA_RuralTotalRequested)
)</f>
        <v/>
      </c>
      <c r="J45" s="272" t="str">
        <f>IF(S1SHTATbl[[#This Row],[RURAL % OF FUNDING]]=0,"",S1SHTATbl[[#This Row],[RURAL % OF FUNDING]])</f>
        <v/>
      </c>
      <c r="K45" s="31" t="s">
        <v>513</v>
      </c>
      <c r="L45" s="196"/>
      <c r="M45" s="197"/>
      <c r="N45" s="124"/>
      <c r="O45" s="119"/>
      <c r="P45" s="226"/>
      <c r="Q45" s="74">
        <f t="shared" si="2"/>
        <v>0</v>
      </c>
      <c r="R45" s="6">
        <f>IF(S1SHTATbl[[#This Row],[UNRESTRICTED TOTAL REQUESTED]]=0,0,S1SHTATbl[[#This Row],[UNRESTRICTED TOTAL REQUESTED]]/S1_SHTA_UnrestrictedTotalRequested)</f>
        <v>0</v>
      </c>
      <c r="S45" s="7">
        <f>IF(S1SHTATbl[[#This Row],[ALL UNITS IN A HIGH OR HIGHEST RESOURCE AREA]]="Yes",10*S1SHTATbl[[#This Row],[UNRESTRICTED % OF FUNDING]],0)</f>
        <v>0</v>
      </c>
      <c r="T45" s="7" cm="1">
        <f t="array" ref="T45">INDEX(CountyScoresTbl[Community Need Total Points],ROW(S1SHTATbl[[#This Row],[COUNTY]])-2,1)*S1SHTATbl[[#This Row],[UNRESTRICTED % OF FUNDING]]</f>
        <v>0</v>
      </c>
      <c r="U45" s="7" cm="1">
        <f t="array" ref="U45">INDEX(CountyScoresTbl[SHTA Total Feasibility Points Awarded],ROW(S1SHTATbl[[#This Row],[COUNTY]])-2,1)*S1SHTATbl[[#This Row],[UNRESTRICTED % OF FUNDING]]</f>
        <v>0</v>
      </c>
      <c r="V45" s="8" cm="1">
        <f t="array" ref="V45">INDEX(CountyScoresTbl[Farmworker Need Points Awarded],ROW(S1SHTATbl[[#This Row],[COUNTY]])-2,1)*S1SHTATbl[[#This Row],[UNRESTRICTED % OF FUNDING]]</f>
        <v>0</v>
      </c>
      <c r="W45" s="124"/>
      <c r="X45" s="119"/>
      <c r="Y45" s="226"/>
      <c r="Z45" s="74">
        <f t="shared" si="3"/>
        <v>0</v>
      </c>
      <c r="AA45" s="6">
        <f>IF(S1SHTATbl[[#This Row],[RURAL TOTAL REQUESTED]]=0,0,S1SHTATbl[[#This Row],[RURAL TOTAL REQUESTED]]/Z$61)</f>
        <v>0</v>
      </c>
      <c r="AB45" s="7">
        <f>IF(S1SHTATbl[[#This Row],[ALL UNITS IN A HIGH OR HIGHEST RESOURCE AREA]]="Yes",10*S1SHTATbl[[#This Row],[RURAL % OF FUNDING]],0)</f>
        <v>0</v>
      </c>
      <c r="AC45" s="7" cm="1">
        <f t="array" ref="AC45">INDEX(CountyScoresTbl[Community Need Total Points],ROW(S1SHTATbl[[#This Row],[COUNTY]])-2,1)*S1SHTATbl[[#This Row],[RURAL % OF FUNDING]]</f>
        <v>0</v>
      </c>
      <c r="AD45" s="7" cm="1">
        <f t="array" ref="AD45">INDEX(CountyScoresTbl[SHTA Total Feasibility Points Awarded],ROW(S1SHTATbl[[#This Row],[COUNTY]])-2,1)*S1SHTATbl[[#This Row],[RURAL % OF FUNDING]]</f>
        <v>0</v>
      </c>
      <c r="AE45" s="8" cm="1">
        <f t="array" ref="AE45">INDEX(CountyScoresTbl[Farmworker Need Points Awarded],ROW(S1SHTATbl[[#This Row],[COUNTY]])-2,1)*S1SHTATbl[[#This Row],[RURAL % OF FUNDING]]</f>
        <v>0</v>
      </c>
      <c r="AF45" s="399"/>
      <c r="AG45" s="7">
        <f>IF(S1SHTATbl[[#This Row],[INFILL SITE]]="Yes",5,3)*S1SHTATbl[[#This Row],[UNRESTRICTED % OF FUNDING]]</f>
        <v>0</v>
      </c>
      <c r="AH45" s="26">
        <f>IF(S1SHTATbl[[#This Row],[INFILL SITE]]="Yes",5,3)*S1SHTATbl[[#This Row],[RURAL % OF FUNDING]]</f>
        <v>0</v>
      </c>
    </row>
    <row r="46" spans="1:34" x14ac:dyDescent="0.35">
      <c r="A46" s="119"/>
      <c r="B46" s="5" t="s">
        <v>158</v>
      </c>
      <c r="C46" s="44" t="s">
        <v>513</v>
      </c>
      <c r="D46" s="114" t="str">
        <f>IF(S1SHTATbl[[#This Row],[UNRESTRICTED UNITS]]=0,"",S1SHTATbl[[#This Row],[UNRESTRICTED UNITS]])</f>
        <v/>
      </c>
      <c r="E46" s="270" t="str">
        <f xml:space="preserve">
IF(S1SHTATbl[[#This Row],[UNRESTRICTED TOTAL REQUESTED]]=0,"",
S1SHTATbl[[#This Row],[UNRESTRICTED TOTAL REQUESTED]]*
IF(S1_SHTA_UnrestrictedTotalRequested&lt;=500000,1,
500000/S1_SHTA_UnrestrictedTotalRequested)
)</f>
        <v/>
      </c>
      <c r="F46" s="272" t="str">
        <f>IF(S1SHTATbl[[#This Row],[UNRESTRICTED % OF FUNDING]]=0,"",S1SHTATbl[[#This Row],[UNRESTRICTED % OF FUNDING]])</f>
        <v/>
      </c>
      <c r="G46" s="31" t="s">
        <v>513</v>
      </c>
      <c r="H46" s="271" t="str">
        <f>IF(S1SHTATbl[[#This Row],[RURAL UNITS]]=0,"",S1SHTATbl[[#This Row],[RURAL UNITS]])</f>
        <v/>
      </c>
      <c r="I46" s="270" t="str">
        <f xml:space="preserve">
IF(S1SHTATbl[[#This Row],[RURAL TOTAL REQUESTED]]=0,"",
S1SHTATbl[[#This Row],[RURAL TOTAL REQUESTED]]*
IF(S1_SHTA_RuralTotalRequested&lt;=(500000-E$61),1,
(500000-E$61)/S1_SHTA_RuralTotalRequested)
)</f>
        <v/>
      </c>
      <c r="J46" s="272" t="str">
        <f>IF(S1SHTATbl[[#This Row],[RURAL % OF FUNDING]]=0,"",S1SHTATbl[[#This Row],[RURAL % OF FUNDING]])</f>
        <v/>
      </c>
      <c r="K46" s="31" t="s">
        <v>513</v>
      </c>
      <c r="L46" s="196"/>
      <c r="M46" s="197"/>
      <c r="N46" s="124"/>
      <c r="O46" s="119"/>
      <c r="P46" s="226"/>
      <c r="Q46" s="74">
        <f t="shared" si="2"/>
        <v>0</v>
      </c>
      <c r="R46" s="6">
        <f>IF(S1SHTATbl[[#This Row],[UNRESTRICTED TOTAL REQUESTED]]=0,0,S1SHTATbl[[#This Row],[UNRESTRICTED TOTAL REQUESTED]]/S1_SHTA_UnrestrictedTotalRequested)</f>
        <v>0</v>
      </c>
      <c r="S46" s="7">
        <f>IF(S1SHTATbl[[#This Row],[ALL UNITS IN A HIGH OR HIGHEST RESOURCE AREA]]="Yes",10*S1SHTATbl[[#This Row],[UNRESTRICTED % OF FUNDING]],0)</f>
        <v>0</v>
      </c>
      <c r="T46" s="7" cm="1">
        <f t="array" ref="T46">INDEX(CountyScoresTbl[Community Need Total Points],ROW(S1SHTATbl[[#This Row],[COUNTY]])-2,1)*S1SHTATbl[[#This Row],[UNRESTRICTED % OF FUNDING]]</f>
        <v>0</v>
      </c>
      <c r="U46" s="7" cm="1">
        <f t="array" ref="U46">INDEX(CountyScoresTbl[SHTA Total Feasibility Points Awarded],ROW(S1SHTATbl[[#This Row],[COUNTY]])-2,1)*S1SHTATbl[[#This Row],[UNRESTRICTED % OF FUNDING]]</f>
        <v>0</v>
      </c>
      <c r="V46" s="8" cm="1">
        <f t="array" ref="V46">INDEX(CountyScoresTbl[Farmworker Need Points Awarded],ROW(S1SHTATbl[[#This Row],[COUNTY]])-2,1)*S1SHTATbl[[#This Row],[UNRESTRICTED % OF FUNDING]]</f>
        <v>0</v>
      </c>
      <c r="W46" s="124"/>
      <c r="X46" s="119"/>
      <c r="Y46" s="226"/>
      <c r="Z46" s="74">
        <f t="shared" si="3"/>
        <v>0</v>
      </c>
      <c r="AA46" s="6">
        <f>IF(S1SHTATbl[[#This Row],[RURAL TOTAL REQUESTED]]=0,0,S1SHTATbl[[#This Row],[RURAL TOTAL REQUESTED]]/Z$61)</f>
        <v>0</v>
      </c>
      <c r="AB46" s="7">
        <f>IF(S1SHTATbl[[#This Row],[ALL UNITS IN A HIGH OR HIGHEST RESOURCE AREA]]="Yes",10*S1SHTATbl[[#This Row],[RURAL % OF FUNDING]],0)</f>
        <v>0</v>
      </c>
      <c r="AC46" s="7" cm="1">
        <f t="array" ref="AC46">INDEX(CountyScoresTbl[Community Need Total Points],ROW(S1SHTATbl[[#This Row],[COUNTY]])-2,1)*S1SHTATbl[[#This Row],[RURAL % OF FUNDING]]</f>
        <v>0</v>
      </c>
      <c r="AD46" s="7" cm="1">
        <f t="array" ref="AD46">INDEX(CountyScoresTbl[SHTA Total Feasibility Points Awarded],ROW(S1SHTATbl[[#This Row],[COUNTY]])-2,1)*S1SHTATbl[[#This Row],[RURAL % OF FUNDING]]</f>
        <v>0</v>
      </c>
      <c r="AE46" s="8" cm="1">
        <f t="array" ref="AE46">INDEX(CountyScoresTbl[Farmworker Need Points Awarded],ROW(S1SHTATbl[[#This Row],[COUNTY]])-2,1)*S1SHTATbl[[#This Row],[RURAL % OF FUNDING]]</f>
        <v>0</v>
      </c>
      <c r="AF46" s="399"/>
      <c r="AG46" s="7">
        <f>IF(S1SHTATbl[[#This Row],[INFILL SITE]]="Yes",5,3)*S1SHTATbl[[#This Row],[UNRESTRICTED % OF FUNDING]]</f>
        <v>0</v>
      </c>
      <c r="AH46" s="26">
        <f>IF(S1SHTATbl[[#This Row],[INFILL SITE]]="Yes",5,3)*S1SHTATbl[[#This Row],[RURAL % OF FUNDING]]</f>
        <v>0</v>
      </c>
    </row>
    <row r="47" spans="1:34" x14ac:dyDescent="0.35">
      <c r="A47" s="119"/>
      <c r="B47" s="5" t="s">
        <v>159</v>
      </c>
      <c r="C47" s="44" t="s">
        <v>513</v>
      </c>
      <c r="D47" s="114" t="str">
        <f>IF(S1SHTATbl[[#This Row],[UNRESTRICTED UNITS]]=0,"",S1SHTATbl[[#This Row],[UNRESTRICTED UNITS]])</f>
        <v/>
      </c>
      <c r="E47" s="270" t="str">
        <f xml:space="preserve">
IF(S1SHTATbl[[#This Row],[UNRESTRICTED TOTAL REQUESTED]]=0,"",
S1SHTATbl[[#This Row],[UNRESTRICTED TOTAL REQUESTED]]*
IF(S1_SHTA_UnrestrictedTotalRequested&lt;=500000,1,
500000/S1_SHTA_UnrestrictedTotalRequested)
)</f>
        <v/>
      </c>
      <c r="F47" s="272" t="str">
        <f>IF(S1SHTATbl[[#This Row],[UNRESTRICTED % OF FUNDING]]=0,"",S1SHTATbl[[#This Row],[UNRESTRICTED % OF FUNDING]])</f>
        <v/>
      </c>
      <c r="G47" s="31" t="s">
        <v>513</v>
      </c>
      <c r="H47" s="271" t="str">
        <f>IF(S1SHTATbl[[#This Row],[RURAL UNITS]]=0,"",S1SHTATbl[[#This Row],[RURAL UNITS]])</f>
        <v/>
      </c>
      <c r="I47" s="270" t="str">
        <f xml:space="preserve">
IF(S1SHTATbl[[#This Row],[RURAL TOTAL REQUESTED]]=0,"",
S1SHTATbl[[#This Row],[RURAL TOTAL REQUESTED]]*
IF(S1_SHTA_RuralTotalRequested&lt;=(500000-E$61),1,
(500000-E$61)/S1_SHTA_RuralTotalRequested)
)</f>
        <v/>
      </c>
      <c r="J47" s="272" t="str">
        <f>IF(S1SHTATbl[[#This Row],[RURAL % OF FUNDING]]=0,"",S1SHTATbl[[#This Row],[RURAL % OF FUNDING]])</f>
        <v/>
      </c>
      <c r="K47" s="31" t="s">
        <v>513</v>
      </c>
      <c r="L47" s="196"/>
      <c r="M47" s="197"/>
      <c r="N47" s="124"/>
      <c r="O47" s="119"/>
      <c r="P47" s="226"/>
      <c r="Q47" s="74">
        <f t="shared" si="2"/>
        <v>0</v>
      </c>
      <c r="R47" s="6">
        <f>IF(S1SHTATbl[[#This Row],[UNRESTRICTED TOTAL REQUESTED]]=0,0,S1SHTATbl[[#This Row],[UNRESTRICTED TOTAL REQUESTED]]/S1_SHTA_UnrestrictedTotalRequested)</f>
        <v>0</v>
      </c>
      <c r="S47" s="7">
        <f>IF(S1SHTATbl[[#This Row],[ALL UNITS IN A HIGH OR HIGHEST RESOURCE AREA]]="Yes",10*S1SHTATbl[[#This Row],[UNRESTRICTED % OF FUNDING]],0)</f>
        <v>0</v>
      </c>
      <c r="T47" s="7" cm="1">
        <f t="array" ref="T47">INDEX(CountyScoresTbl[Community Need Total Points],ROW(S1SHTATbl[[#This Row],[COUNTY]])-2,1)*S1SHTATbl[[#This Row],[UNRESTRICTED % OF FUNDING]]</f>
        <v>0</v>
      </c>
      <c r="U47" s="7" cm="1">
        <f t="array" ref="U47">INDEX(CountyScoresTbl[SHTA Total Feasibility Points Awarded],ROW(S1SHTATbl[[#This Row],[COUNTY]])-2,1)*S1SHTATbl[[#This Row],[UNRESTRICTED % OF FUNDING]]</f>
        <v>0</v>
      </c>
      <c r="V47" s="8" cm="1">
        <f t="array" ref="V47">INDEX(CountyScoresTbl[Farmworker Need Points Awarded],ROW(S1SHTATbl[[#This Row],[COUNTY]])-2,1)*S1SHTATbl[[#This Row],[UNRESTRICTED % OF FUNDING]]</f>
        <v>0</v>
      </c>
      <c r="W47" s="124"/>
      <c r="X47" s="119"/>
      <c r="Y47" s="226"/>
      <c r="Z47" s="74">
        <f t="shared" si="3"/>
        <v>0</v>
      </c>
      <c r="AA47" s="6">
        <f>IF(S1SHTATbl[[#This Row],[RURAL TOTAL REQUESTED]]=0,0,S1SHTATbl[[#This Row],[RURAL TOTAL REQUESTED]]/Z$61)</f>
        <v>0</v>
      </c>
      <c r="AB47" s="7">
        <f>IF(S1SHTATbl[[#This Row],[ALL UNITS IN A HIGH OR HIGHEST RESOURCE AREA]]="Yes",10*S1SHTATbl[[#This Row],[RURAL % OF FUNDING]],0)</f>
        <v>0</v>
      </c>
      <c r="AC47" s="7" cm="1">
        <f t="array" ref="AC47">INDEX(CountyScoresTbl[Community Need Total Points],ROW(S1SHTATbl[[#This Row],[COUNTY]])-2,1)*S1SHTATbl[[#This Row],[RURAL % OF FUNDING]]</f>
        <v>0</v>
      </c>
      <c r="AD47" s="7" cm="1">
        <f t="array" ref="AD47">INDEX(CountyScoresTbl[SHTA Total Feasibility Points Awarded],ROW(S1SHTATbl[[#This Row],[COUNTY]])-2,1)*S1SHTATbl[[#This Row],[RURAL % OF FUNDING]]</f>
        <v>0</v>
      </c>
      <c r="AE47" s="8" cm="1">
        <f t="array" ref="AE47">INDEX(CountyScoresTbl[Farmworker Need Points Awarded],ROW(S1SHTATbl[[#This Row],[COUNTY]])-2,1)*S1SHTATbl[[#This Row],[RURAL % OF FUNDING]]</f>
        <v>0</v>
      </c>
      <c r="AF47" s="399"/>
      <c r="AG47" s="7">
        <f>IF(S1SHTATbl[[#This Row],[INFILL SITE]]="Yes",5,3)*S1SHTATbl[[#This Row],[UNRESTRICTED % OF FUNDING]]</f>
        <v>0</v>
      </c>
      <c r="AH47" s="26">
        <f>IF(S1SHTATbl[[#This Row],[INFILL SITE]]="Yes",5,3)*S1SHTATbl[[#This Row],[RURAL % OF FUNDING]]</f>
        <v>0</v>
      </c>
    </row>
    <row r="48" spans="1:34" x14ac:dyDescent="0.35">
      <c r="A48" s="119"/>
      <c r="B48" s="5" t="s">
        <v>160</v>
      </c>
      <c r="C48" s="44" t="s">
        <v>513</v>
      </c>
      <c r="D48" s="114" t="str">
        <f>IF(S1SHTATbl[[#This Row],[UNRESTRICTED UNITS]]=0,"",S1SHTATbl[[#This Row],[UNRESTRICTED UNITS]])</f>
        <v/>
      </c>
      <c r="E48" s="270" t="str">
        <f xml:space="preserve">
IF(S1SHTATbl[[#This Row],[UNRESTRICTED TOTAL REQUESTED]]=0,"",
S1SHTATbl[[#This Row],[UNRESTRICTED TOTAL REQUESTED]]*
IF(S1_SHTA_UnrestrictedTotalRequested&lt;=500000,1,
500000/S1_SHTA_UnrestrictedTotalRequested)
)</f>
        <v/>
      </c>
      <c r="F48" s="272" t="str">
        <f>IF(S1SHTATbl[[#This Row],[UNRESTRICTED % OF FUNDING]]=0,"",S1SHTATbl[[#This Row],[UNRESTRICTED % OF FUNDING]])</f>
        <v/>
      </c>
      <c r="G48" s="31" t="s">
        <v>513</v>
      </c>
      <c r="H48" s="271" t="str">
        <f>IF(S1SHTATbl[[#This Row],[RURAL UNITS]]=0,"",S1SHTATbl[[#This Row],[RURAL UNITS]])</f>
        <v/>
      </c>
      <c r="I48" s="270" t="str">
        <f xml:space="preserve">
IF(S1SHTATbl[[#This Row],[RURAL TOTAL REQUESTED]]=0,"",
S1SHTATbl[[#This Row],[RURAL TOTAL REQUESTED]]*
IF(S1_SHTA_RuralTotalRequested&lt;=(500000-E$61),1,
(500000-E$61)/S1_SHTA_RuralTotalRequested)
)</f>
        <v/>
      </c>
      <c r="J48" s="272" t="str">
        <f>IF(S1SHTATbl[[#This Row],[RURAL % OF FUNDING]]=0,"",S1SHTATbl[[#This Row],[RURAL % OF FUNDING]])</f>
        <v/>
      </c>
      <c r="K48" s="31" t="s">
        <v>513</v>
      </c>
      <c r="L48" s="196"/>
      <c r="M48" s="197"/>
      <c r="N48" s="124"/>
      <c r="O48" s="119"/>
      <c r="P48" s="226"/>
      <c r="Q48" s="74">
        <f t="shared" si="2"/>
        <v>0</v>
      </c>
      <c r="R48" s="6">
        <f>IF(S1SHTATbl[[#This Row],[UNRESTRICTED TOTAL REQUESTED]]=0,0,S1SHTATbl[[#This Row],[UNRESTRICTED TOTAL REQUESTED]]/S1_SHTA_UnrestrictedTotalRequested)</f>
        <v>0</v>
      </c>
      <c r="S48" s="7">
        <f>IF(S1SHTATbl[[#This Row],[ALL UNITS IN A HIGH OR HIGHEST RESOURCE AREA]]="Yes",10*S1SHTATbl[[#This Row],[UNRESTRICTED % OF FUNDING]],0)</f>
        <v>0</v>
      </c>
      <c r="T48" s="7" cm="1">
        <f t="array" ref="T48">INDEX(CountyScoresTbl[Community Need Total Points],ROW(S1SHTATbl[[#This Row],[COUNTY]])-2,1)*S1SHTATbl[[#This Row],[UNRESTRICTED % OF FUNDING]]</f>
        <v>0</v>
      </c>
      <c r="U48" s="7" cm="1">
        <f t="array" ref="U48">INDEX(CountyScoresTbl[SHTA Total Feasibility Points Awarded],ROW(S1SHTATbl[[#This Row],[COUNTY]])-2,1)*S1SHTATbl[[#This Row],[UNRESTRICTED % OF FUNDING]]</f>
        <v>0</v>
      </c>
      <c r="V48" s="8" cm="1">
        <f t="array" ref="V48">INDEX(CountyScoresTbl[Farmworker Need Points Awarded],ROW(S1SHTATbl[[#This Row],[COUNTY]])-2,1)*S1SHTATbl[[#This Row],[UNRESTRICTED % OF FUNDING]]</f>
        <v>0</v>
      </c>
      <c r="W48" s="124"/>
      <c r="X48" s="119"/>
      <c r="Y48" s="226"/>
      <c r="Z48" s="74">
        <f t="shared" si="3"/>
        <v>0</v>
      </c>
      <c r="AA48" s="6">
        <f>IF(S1SHTATbl[[#This Row],[RURAL TOTAL REQUESTED]]=0,0,S1SHTATbl[[#This Row],[RURAL TOTAL REQUESTED]]/Z$61)</f>
        <v>0</v>
      </c>
      <c r="AB48" s="7">
        <f>IF(S1SHTATbl[[#This Row],[ALL UNITS IN A HIGH OR HIGHEST RESOURCE AREA]]="Yes",10*S1SHTATbl[[#This Row],[RURAL % OF FUNDING]],0)</f>
        <v>0</v>
      </c>
      <c r="AC48" s="7" cm="1">
        <f t="array" ref="AC48">INDEX(CountyScoresTbl[Community Need Total Points],ROW(S1SHTATbl[[#This Row],[COUNTY]])-2,1)*S1SHTATbl[[#This Row],[RURAL % OF FUNDING]]</f>
        <v>0</v>
      </c>
      <c r="AD48" s="7" cm="1">
        <f t="array" ref="AD48">INDEX(CountyScoresTbl[SHTA Total Feasibility Points Awarded],ROW(S1SHTATbl[[#This Row],[COUNTY]])-2,1)*S1SHTATbl[[#This Row],[RURAL % OF FUNDING]]</f>
        <v>0</v>
      </c>
      <c r="AE48" s="8" cm="1">
        <f t="array" ref="AE48">INDEX(CountyScoresTbl[Farmworker Need Points Awarded],ROW(S1SHTATbl[[#This Row],[COUNTY]])-2,1)*S1SHTATbl[[#This Row],[RURAL % OF FUNDING]]</f>
        <v>0</v>
      </c>
      <c r="AF48" s="399"/>
      <c r="AG48" s="7">
        <f>IF(S1SHTATbl[[#This Row],[INFILL SITE]]="Yes",5,3)*S1SHTATbl[[#This Row],[UNRESTRICTED % OF FUNDING]]</f>
        <v>0</v>
      </c>
      <c r="AH48" s="26">
        <f>IF(S1SHTATbl[[#This Row],[INFILL SITE]]="Yes",5,3)*S1SHTATbl[[#This Row],[RURAL % OF FUNDING]]</f>
        <v>0</v>
      </c>
    </row>
    <row r="49" spans="1:34" x14ac:dyDescent="0.35">
      <c r="A49" s="119"/>
      <c r="B49" s="5" t="s">
        <v>161</v>
      </c>
      <c r="C49" s="44" t="s">
        <v>513</v>
      </c>
      <c r="D49" s="114" t="str">
        <f>IF(S1SHTATbl[[#This Row],[UNRESTRICTED UNITS]]=0,"",S1SHTATbl[[#This Row],[UNRESTRICTED UNITS]])</f>
        <v/>
      </c>
      <c r="E49" s="270" t="str">
        <f xml:space="preserve">
IF(S1SHTATbl[[#This Row],[UNRESTRICTED TOTAL REQUESTED]]=0,"",
S1SHTATbl[[#This Row],[UNRESTRICTED TOTAL REQUESTED]]*
IF(S1_SHTA_UnrestrictedTotalRequested&lt;=500000,1,
500000/S1_SHTA_UnrestrictedTotalRequested)
)</f>
        <v/>
      </c>
      <c r="F49" s="272" t="str">
        <f>IF(S1SHTATbl[[#This Row],[UNRESTRICTED % OF FUNDING]]=0,"",S1SHTATbl[[#This Row],[UNRESTRICTED % OF FUNDING]])</f>
        <v/>
      </c>
      <c r="G49" s="31" t="s">
        <v>513</v>
      </c>
      <c r="H49" s="271" t="str">
        <f>IF(S1SHTATbl[[#This Row],[RURAL UNITS]]=0,"",S1SHTATbl[[#This Row],[RURAL UNITS]])</f>
        <v/>
      </c>
      <c r="I49" s="270" t="str">
        <f xml:space="preserve">
IF(S1SHTATbl[[#This Row],[RURAL TOTAL REQUESTED]]=0,"",
S1SHTATbl[[#This Row],[RURAL TOTAL REQUESTED]]*
IF(S1_SHTA_RuralTotalRequested&lt;=(500000-E$61),1,
(500000-E$61)/S1_SHTA_RuralTotalRequested)
)</f>
        <v/>
      </c>
      <c r="J49" s="272" t="str">
        <f>IF(S1SHTATbl[[#This Row],[RURAL % OF FUNDING]]=0,"",S1SHTATbl[[#This Row],[RURAL % OF FUNDING]])</f>
        <v/>
      </c>
      <c r="K49" s="31" t="s">
        <v>513</v>
      </c>
      <c r="L49" s="196"/>
      <c r="M49" s="197"/>
      <c r="N49" s="124"/>
      <c r="O49" s="119"/>
      <c r="P49" s="226"/>
      <c r="Q49" s="74">
        <f t="shared" si="2"/>
        <v>0</v>
      </c>
      <c r="R49" s="6">
        <f>IF(S1SHTATbl[[#This Row],[UNRESTRICTED TOTAL REQUESTED]]=0,0,S1SHTATbl[[#This Row],[UNRESTRICTED TOTAL REQUESTED]]/S1_SHTA_UnrestrictedTotalRequested)</f>
        <v>0</v>
      </c>
      <c r="S49" s="7">
        <f>IF(S1SHTATbl[[#This Row],[ALL UNITS IN A HIGH OR HIGHEST RESOURCE AREA]]="Yes",10*S1SHTATbl[[#This Row],[UNRESTRICTED % OF FUNDING]],0)</f>
        <v>0</v>
      </c>
      <c r="T49" s="7" cm="1">
        <f t="array" ref="T49">INDEX(CountyScoresTbl[Community Need Total Points],ROW(S1SHTATbl[[#This Row],[COUNTY]])-2,1)*S1SHTATbl[[#This Row],[UNRESTRICTED % OF FUNDING]]</f>
        <v>0</v>
      </c>
      <c r="U49" s="7" cm="1">
        <f t="array" ref="U49">INDEX(CountyScoresTbl[SHTA Total Feasibility Points Awarded],ROW(S1SHTATbl[[#This Row],[COUNTY]])-2,1)*S1SHTATbl[[#This Row],[UNRESTRICTED % OF FUNDING]]</f>
        <v>0</v>
      </c>
      <c r="V49" s="8" cm="1">
        <f t="array" ref="V49">INDEX(CountyScoresTbl[Farmworker Need Points Awarded],ROW(S1SHTATbl[[#This Row],[COUNTY]])-2,1)*S1SHTATbl[[#This Row],[UNRESTRICTED % OF FUNDING]]</f>
        <v>0</v>
      </c>
      <c r="W49" s="124"/>
      <c r="X49" s="119"/>
      <c r="Y49" s="226"/>
      <c r="Z49" s="74">
        <f t="shared" si="3"/>
        <v>0</v>
      </c>
      <c r="AA49" s="6">
        <f>IF(S1SHTATbl[[#This Row],[RURAL TOTAL REQUESTED]]=0,0,S1SHTATbl[[#This Row],[RURAL TOTAL REQUESTED]]/Z$61)</f>
        <v>0</v>
      </c>
      <c r="AB49" s="7">
        <f>IF(S1SHTATbl[[#This Row],[ALL UNITS IN A HIGH OR HIGHEST RESOURCE AREA]]="Yes",10*S1SHTATbl[[#This Row],[RURAL % OF FUNDING]],0)</f>
        <v>0</v>
      </c>
      <c r="AC49" s="7" cm="1">
        <f t="array" ref="AC49">INDEX(CountyScoresTbl[Community Need Total Points],ROW(S1SHTATbl[[#This Row],[COUNTY]])-2,1)*S1SHTATbl[[#This Row],[RURAL % OF FUNDING]]</f>
        <v>0</v>
      </c>
      <c r="AD49" s="7" cm="1">
        <f t="array" ref="AD49">INDEX(CountyScoresTbl[SHTA Total Feasibility Points Awarded],ROW(S1SHTATbl[[#This Row],[COUNTY]])-2,1)*S1SHTATbl[[#This Row],[RURAL % OF FUNDING]]</f>
        <v>0</v>
      </c>
      <c r="AE49" s="8" cm="1">
        <f t="array" ref="AE49">INDEX(CountyScoresTbl[Farmworker Need Points Awarded],ROW(S1SHTATbl[[#This Row],[COUNTY]])-2,1)*S1SHTATbl[[#This Row],[RURAL % OF FUNDING]]</f>
        <v>0</v>
      </c>
      <c r="AF49" s="399"/>
      <c r="AG49" s="7">
        <f>IF(S1SHTATbl[[#This Row],[INFILL SITE]]="Yes",5,3)*S1SHTATbl[[#This Row],[UNRESTRICTED % OF FUNDING]]</f>
        <v>0</v>
      </c>
      <c r="AH49" s="26">
        <f>IF(S1SHTATbl[[#This Row],[INFILL SITE]]="Yes",5,3)*S1SHTATbl[[#This Row],[RURAL % OF FUNDING]]</f>
        <v>0</v>
      </c>
    </row>
    <row r="50" spans="1:34" x14ac:dyDescent="0.35">
      <c r="A50" s="119"/>
      <c r="B50" s="5" t="s">
        <v>162</v>
      </c>
      <c r="C50" s="44" t="s">
        <v>513</v>
      </c>
      <c r="D50" s="114" t="str">
        <f>IF(S1SHTATbl[[#This Row],[UNRESTRICTED UNITS]]=0,"",S1SHTATbl[[#This Row],[UNRESTRICTED UNITS]])</f>
        <v/>
      </c>
      <c r="E50" s="270" t="str">
        <f xml:space="preserve">
IF(S1SHTATbl[[#This Row],[UNRESTRICTED TOTAL REQUESTED]]=0,"",
S1SHTATbl[[#This Row],[UNRESTRICTED TOTAL REQUESTED]]*
IF(S1_SHTA_UnrestrictedTotalRequested&lt;=500000,1,
500000/S1_SHTA_UnrestrictedTotalRequested)
)</f>
        <v/>
      </c>
      <c r="F50" s="272" t="str">
        <f>IF(S1SHTATbl[[#This Row],[UNRESTRICTED % OF FUNDING]]=0,"",S1SHTATbl[[#This Row],[UNRESTRICTED % OF FUNDING]])</f>
        <v/>
      </c>
      <c r="G50" s="31" t="s">
        <v>513</v>
      </c>
      <c r="H50" s="271" t="str">
        <f>IF(S1SHTATbl[[#This Row],[RURAL UNITS]]=0,"",S1SHTATbl[[#This Row],[RURAL UNITS]])</f>
        <v/>
      </c>
      <c r="I50" s="270" t="str">
        <f xml:space="preserve">
IF(S1SHTATbl[[#This Row],[RURAL TOTAL REQUESTED]]=0,"",
S1SHTATbl[[#This Row],[RURAL TOTAL REQUESTED]]*
IF(S1_SHTA_RuralTotalRequested&lt;=(500000-E$61),1,
(500000-E$61)/S1_SHTA_RuralTotalRequested)
)</f>
        <v/>
      </c>
      <c r="J50" s="272" t="str">
        <f>IF(S1SHTATbl[[#This Row],[RURAL % OF FUNDING]]=0,"",S1SHTATbl[[#This Row],[RURAL % OF FUNDING]])</f>
        <v/>
      </c>
      <c r="K50" s="31" t="s">
        <v>513</v>
      </c>
      <c r="L50" s="196"/>
      <c r="M50" s="197"/>
      <c r="N50" s="124"/>
      <c r="O50" s="119"/>
      <c r="P50" s="226"/>
      <c r="Q50" s="74">
        <f t="shared" si="2"/>
        <v>0</v>
      </c>
      <c r="R50" s="6">
        <f>IF(S1SHTATbl[[#This Row],[UNRESTRICTED TOTAL REQUESTED]]=0,0,S1SHTATbl[[#This Row],[UNRESTRICTED TOTAL REQUESTED]]/S1_SHTA_UnrestrictedTotalRequested)</f>
        <v>0</v>
      </c>
      <c r="S50" s="7">
        <f>IF(S1SHTATbl[[#This Row],[ALL UNITS IN A HIGH OR HIGHEST RESOURCE AREA]]="Yes",10*S1SHTATbl[[#This Row],[UNRESTRICTED % OF FUNDING]],0)</f>
        <v>0</v>
      </c>
      <c r="T50" s="7" cm="1">
        <f t="array" ref="T50">INDEX(CountyScoresTbl[Community Need Total Points],ROW(S1SHTATbl[[#This Row],[COUNTY]])-2,1)*S1SHTATbl[[#This Row],[UNRESTRICTED % OF FUNDING]]</f>
        <v>0</v>
      </c>
      <c r="U50" s="7" cm="1">
        <f t="array" ref="U50">INDEX(CountyScoresTbl[SHTA Total Feasibility Points Awarded],ROW(S1SHTATbl[[#This Row],[COUNTY]])-2,1)*S1SHTATbl[[#This Row],[UNRESTRICTED % OF FUNDING]]</f>
        <v>0</v>
      </c>
      <c r="V50" s="8" cm="1">
        <f t="array" ref="V50">INDEX(CountyScoresTbl[Farmworker Need Points Awarded],ROW(S1SHTATbl[[#This Row],[COUNTY]])-2,1)*S1SHTATbl[[#This Row],[UNRESTRICTED % OF FUNDING]]</f>
        <v>0</v>
      </c>
      <c r="W50" s="124"/>
      <c r="X50" s="119"/>
      <c r="Y50" s="226"/>
      <c r="Z50" s="74">
        <f t="shared" si="3"/>
        <v>0</v>
      </c>
      <c r="AA50" s="6">
        <f>IF(S1SHTATbl[[#This Row],[RURAL TOTAL REQUESTED]]=0,0,S1SHTATbl[[#This Row],[RURAL TOTAL REQUESTED]]/Z$61)</f>
        <v>0</v>
      </c>
      <c r="AB50" s="7">
        <f>IF(S1SHTATbl[[#This Row],[ALL UNITS IN A HIGH OR HIGHEST RESOURCE AREA]]="Yes",10*S1SHTATbl[[#This Row],[RURAL % OF FUNDING]],0)</f>
        <v>0</v>
      </c>
      <c r="AC50" s="7" cm="1">
        <f t="array" ref="AC50">INDEX(CountyScoresTbl[Community Need Total Points],ROW(S1SHTATbl[[#This Row],[COUNTY]])-2,1)*S1SHTATbl[[#This Row],[RURAL % OF FUNDING]]</f>
        <v>0</v>
      </c>
      <c r="AD50" s="7" cm="1">
        <f t="array" ref="AD50">INDEX(CountyScoresTbl[SHTA Total Feasibility Points Awarded],ROW(S1SHTATbl[[#This Row],[COUNTY]])-2,1)*S1SHTATbl[[#This Row],[RURAL % OF FUNDING]]</f>
        <v>0</v>
      </c>
      <c r="AE50" s="8" cm="1">
        <f t="array" ref="AE50">INDEX(CountyScoresTbl[Farmworker Need Points Awarded],ROW(S1SHTATbl[[#This Row],[COUNTY]])-2,1)*S1SHTATbl[[#This Row],[RURAL % OF FUNDING]]</f>
        <v>0</v>
      </c>
      <c r="AF50" s="399"/>
      <c r="AG50" s="7">
        <f>IF(S1SHTATbl[[#This Row],[INFILL SITE]]="Yes",5,3)*S1SHTATbl[[#This Row],[UNRESTRICTED % OF FUNDING]]</f>
        <v>0</v>
      </c>
      <c r="AH50" s="26">
        <f>IF(S1SHTATbl[[#This Row],[INFILL SITE]]="Yes",5,3)*S1SHTATbl[[#This Row],[RURAL % OF FUNDING]]</f>
        <v>0</v>
      </c>
    </row>
    <row r="51" spans="1:34" x14ac:dyDescent="0.35">
      <c r="A51" s="119"/>
      <c r="B51" s="5" t="s">
        <v>163</v>
      </c>
      <c r="C51" s="44" t="s">
        <v>513</v>
      </c>
      <c r="D51" s="114" t="str">
        <f>IF(S1SHTATbl[[#This Row],[UNRESTRICTED UNITS]]=0,"",S1SHTATbl[[#This Row],[UNRESTRICTED UNITS]])</f>
        <v/>
      </c>
      <c r="E51" s="270" t="str">
        <f xml:space="preserve">
IF(S1SHTATbl[[#This Row],[UNRESTRICTED TOTAL REQUESTED]]=0,"",
S1SHTATbl[[#This Row],[UNRESTRICTED TOTAL REQUESTED]]*
IF(S1_SHTA_UnrestrictedTotalRequested&lt;=500000,1,
500000/S1_SHTA_UnrestrictedTotalRequested)
)</f>
        <v/>
      </c>
      <c r="F51" s="272" t="str">
        <f>IF(S1SHTATbl[[#This Row],[UNRESTRICTED % OF FUNDING]]=0,"",S1SHTATbl[[#This Row],[UNRESTRICTED % OF FUNDING]])</f>
        <v/>
      </c>
      <c r="G51" s="31" t="s">
        <v>513</v>
      </c>
      <c r="H51" s="271" t="str">
        <f>IF(S1SHTATbl[[#This Row],[RURAL UNITS]]=0,"",S1SHTATbl[[#This Row],[RURAL UNITS]])</f>
        <v/>
      </c>
      <c r="I51" s="270" t="str">
        <f xml:space="preserve">
IF(S1SHTATbl[[#This Row],[RURAL TOTAL REQUESTED]]=0,"",
S1SHTATbl[[#This Row],[RURAL TOTAL REQUESTED]]*
IF(S1_SHTA_RuralTotalRequested&lt;=(500000-E$61),1,
(500000-E$61)/S1_SHTA_RuralTotalRequested)
)</f>
        <v/>
      </c>
      <c r="J51" s="272" t="str">
        <f>IF(S1SHTATbl[[#This Row],[RURAL % OF FUNDING]]=0,"",S1SHTATbl[[#This Row],[RURAL % OF FUNDING]])</f>
        <v/>
      </c>
      <c r="K51" s="31" t="s">
        <v>513</v>
      </c>
      <c r="L51" s="196"/>
      <c r="M51" s="197"/>
      <c r="N51" s="124"/>
      <c r="O51" s="119"/>
      <c r="P51" s="226"/>
      <c r="Q51" s="74">
        <f t="shared" si="2"/>
        <v>0</v>
      </c>
      <c r="R51" s="6">
        <f>IF(S1SHTATbl[[#This Row],[UNRESTRICTED TOTAL REQUESTED]]=0,0,S1SHTATbl[[#This Row],[UNRESTRICTED TOTAL REQUESTED]]/S1_SHTA_UnrestrictedTotalRequested)</f>
        <v>0</v>
      </c>
      <c r="S51" s="7">
        <f>IF(S1SHTATbl[[#This Row],[ALL UNITS IN A HIGH OR HIGHEST RESOURCE AREA]]="Yes",10*S1SHTATbl[[#This Row],[UNRESTRICTED % OF FUNDING]],0)</f>
        <v>0</v>
      </c>
      <c r="T51" s="7" cm="1">
        <f t="array" ref="T51">INDEX(CountyScoresTbl[Community Need Total Points],ROW(S1SHTATbl[[#This Row],[COUNTY]])-2,1)*S1SHTATbl[[#This Row],[UNRESTRICTED % OF FUNDING]]</f>
        <v>0</v>
      </c>
      <c r="U51" s="7" cm="1">
        <f t="array" ref="U51">INDEX(CountyScoresTbl[SHTA Total Feasibility Points Awarded],ROW(S1SHTATbl[[#This Row],[COUNTY]])-2,1)*S1SHTATbl[[#This Row],[UNRESTRICTED % OF FUNDING]]</f>
        <v>0</v>
      </c>
      <c r="V51" s="8" cm="1">
        <f t="array" ref="V51">INDEX(CountyScoresTbl[Farmworker Need Points Awarded],ROW(S1SHTATbl[[#This Row],[COUNTY]])-2,1)*S1SHTATbl[[#This Row],[UNRESTRICTED % OF FUNDING]]</f>
        <v>0</v>
      </c>
      <c r="W51" s="124"/>
      <c r="X51" s="119"/>
      <c r="Y51" s="226"/>
      <c r="Z51" s="74">
        <f t="shared" si="3"/>
        <v>0</v>
      </c>
      <c r="AA51" s="6">
        <f>IF(S1SHTATbl[[#This Row],[RURAL TOTAL REQUESTED]]=0,0,S1SHTATbl[[#This Row],[RURAL TOTAL REQUESTED]]/Z$61)</f>
        <v>0</v>
      </c>
      <c r="AB51" s="7">
        <f>IF(S1SHTATbl[[#This Row],[ALL UNITS IN A HIGH OR HIGHEST RESOURCE AREA]]="Yes",10*S1SHTATbl[[#This Row],[RURAL % OF FUNDING]],0)</f>
        <v>0</v>
      </c>
      <c r="AC51" s="7" cm="1">
        <f t="array" ref="AC51">INDEX(CountyScoresTbl[Community Need Total Points],ROW(S1SHTATbl[[#This Row],[COUNTY]])-2,1)*S1SHTATbl[[#This Row],[RURAL % OF FUNDING]]</f>
        <v>0</v>
      </c>
      <c r="AD51" s="7" cm="1">
        <f t="array" ref="AD51">INDEX(CountyScoresTbl[SHTA Total Feasibility Points Awarded],ROW(S1SHTATbl[[#This Row],[COUNTY]])-2,1)*S1SHTATbl[[#This Row],[RURAL % OF FUNDING]]</f>
        <v>0</v>
      </c>
      <c r="AE51" s="8" cm="1">
        <f t="array" ref="AE51">INDEX(CountyScoresTbl[Farmworker Need Points Awarded],ROW(S1SHTATbl[[#This Row],[COUNTY]])-2,1)*S1SHTATbl[[#This Row],[RURAL % OF FUNDING]]</f>
        <v>0</v>
      </c>
      <c r="AF51" s="399"/>
      <c r="AG51" s="7">
        <f>IF(S1SHTATbl[[#This Row],[INFILL SITE]]="Yes",5,3)*S1SHTATbl[[#This Row],[UNRESTRICTED % OF FUNDING]]</f>
        <v>0</v>
      </c>
      <c r="AH51" s="26">
        <f>IF(S1SHTATbl[[#This Row],[INFILL SITE]]="Yes",5,3)*S1SHTATbl[[#This Row],[RURAL % OF FUNDING]]</f>
        <v>0</v>
      </c>
    </row>
    <row r="52" spans="1:34" x14ac:dyDescent="0.35">
      <c r="A52" s="119"/>
      <c r="B52" s="5" t="s">
        <v>164</v>
      </c>
      <c r="C52" s="44" t="s">
        <v>513</v>
      </c>
      <c r="D52" s="114" t="str">
        <f>IF(S1SHTATbl[[#This Row],[UNRESTRICTED UNITS]]=0,"",S1SHTATbl[[#This Row],[UNRESTRICTED UNITS]])</f>
        <v/>
      </c>
      <c r="E52" s="270" t="str">
        <f xml:space="preserve">
IF(S1SHTATbl[[#This Row],[UNRESTRICTED TOTAL REQUESTED]]=0,"",
S1SHTATbl[[#This Row],[UNRESTRICTED TOTAL REQUESTED]]*
IF(S1_SHTA_UnrestrictedTotalRequested&lt;=500000,1,
500000/S1_SHTA_UnrestrictedTotalRequested)
)</f>
        <v/>
      </c>
      <c r="F52" s="272" t="str">
        <f>IF(S1SHTATbl[[#This Row],[UNRESTRICTED % OF FUNDING]]=0,"",S1SHTATbl[[#This Row],[UNRESTRICTED % OF FUNDING]])</f>
        <v/>
      </c>
      <c r="G52" s="31" t="s">
        <v>513</v>
      </c>
      <c r="H52" s="271" t="str">
        <f>IF(S1SHTATbl[[#This Row],[RURAL UNITS]]=0,"",S1SHTATbl[[#This Row],[RURAL UNITS]])</f>
        <v/>
      </c>
      <c r="I52" s="270" t="str">
        <f xml:space="preserve">
IF(S1SHTATbl[[#This Row],[RURAL TOTAL REQUESTED]]=0,"",
S1SHTATbl[[#This Row],[RURAL TOTAL REQUESTED]]*
IF(S1_SHTA_RuralTotalRequested&lt;=(500000-E$61),1,
(500000-E$61)/S1_SHTA_RuralTotalRequested)
)</f>
        <v/>
      </c>
      <c r="J52" s="272" t="str">
        <f>IF(S1SHTATbl[[#This Row],[RURAL % OF FUNDING]]=0,"",S1SHTATbl[[#This Row],[RURAL % OF FUNDING]])</f>
        <v/>
      </c>
      <c r="K52" s="31" t="s">
        <v>513</v>
      </c>
      <c r="L52" s="196"/>
      <c r="M52" s="197"/>
      <c r="N52" s="124"/>
      <c r="O52" s="119"/>
      <c r="P52" s="226"/>
      <c r="Q52" s="74">
        <f t="shared" si="2"/>
        <v>0</v>
      </c>
      <c r="R52" s="6">
        <f>IF(S1SHTATbl[[#This Row],[UNRESTRICTED TOTAL REQUESTED]]=0,0,S1SHTATbl[[#This Row],[UNRESTRICTED TOTAL REQUESTED]]/S1_SHTA_UnrestrictedTotalRequested)</f>
        <v>0</v>
      </c>
      <c r="S52" s="7">
        <f>IF(S1SHTATbl[[#This Row],[ALL UNITS IN A HIGH OR HIGHEST RESOURCE AREA]]="Yes",10*S1SHTATbl[[#This Row],[UNRESTRICTED % OF FUNDING]],0)</f>
        <v>0</v>
      </c>
      <c r="T52" s="7" cm="1">
        <f t="array" ref="T52">INDEX(CountyScoresTbl[Community Need Total Points],ROW(S1SHTATbl[[#This Row],[COUNTY]])-2,1)*S1SHTATbl[[#This Row],[UNRESTRICTED % OF FUNDING]]</f>
        <v>0</v>
      </c>
      <c r="U52" s="7" cm="1">
        <f t="array" ref="U52">INDEX(CountyScoresTbl[SHTA Total Feasibility Points Awarded],ROW(S1SHTATbl[[#This Row],[COUNTY]])-2,1)*S1SHTATbl[[#This Row],[UNRESTRICTED % OF FUNDING]]</f>
        <v>0</v>
      </c>
      <c r="V52" s="8" cm="1">
        <f t="array" ref="V52">INDEX(CountyScoresTbl[Farmworker Need Points Awarded],ROW(S1SHTATbl[[#This Row],[COUNTY]])-2,1)*S1SHTATbl[[#This Row],[UNRESTRICTED % OF FUNDING]]</f>
        <v>0</v>
      </c>
      <c r="W52" s="124"/>
      <c r="X52" s="119"/>
      <c r="Y52" s="226"/>
      <c r="Z52" s="74">
        <f t="shared" si="3"/>
        <v>0</v>
      </c>
      <c r="AA52" s="6">
        <f>IF(S1SHTATbl[[#This Row],[RURAL TOTAL REQUESTED]]=0,0,S1SHTATbl[[#This Row],[RURAL TOTAL REQUESTED]]/Z$61)</f>
        <v>0</v>
      </c>
      <c r="AB52" s="7">
        <f>IF(S1SHTATbl[[#This Row],[ALL UNITS IN A HIGH OR HIGHEST RESOURCE AREA]]="Yes",10*S1SHTATbl[[#This Row],[RURAL % OF FUNDING]],0)</f>
        <v>0</v>
      </c>
      <c r="AC52" s="7" cm="1">
        <f t="array" ref="AC52">INDEX(CountyScoresTbl[Community Need Total Points],ROW(S1SHTATbl[[#This Row],[COUNTY]])-2,1)*S1SHTATbl[[#This Row],[RURAL % OF FUNDING]]</f>
        <v>0</v>
      </c>
      <c r="AD52" s="7" cm="1">
        <f t="array" ref="AD52">INDEX(CountyScoresTbl[SHTA Total Feasibility Points Awarded],ROW(S1SHTATbl[[#This Row],[COUNTY]])-2,1)*S1SHTATbl[[#This Row],[RURAL % OF FUNDING]]</f>
        <v>0</v>
      </c>
      <c r="AE52" s="8" cm="1">
        <f t="array" ref="AE52">INDEX(CountyScoresTbl[Farmworker Need Points Awarded],ROW(S1SHTATbl[[#This Row],[COUNTY]])-2,1)*S1SHTATbl[[#This Row],[RURAL % OF FUNDING]]</f>
        <v>0</v>
      </c>
      <c r="AF52" s="399"/>
      <c r="AG52" s="7">
        <f>IF(S1SHTATbl[[#This Row],[INFILL SITE]]="Yes",5,3)*S1SHTATbl[[#This Row],[UNRESTRICTED % OF FUNDING]]</f>
        <v>0</v>
      </c>
      <c r="AH52" s="26">
        <f>IF(S1SHTATbl[[#This Row],[INFILL SITE]]="Yes",5,3)*S1SHTATbl[[#This Row],[RURAL % OF FUNDING]]</f>
        <v>0</v>
      </c>
    </row>
    <row r="53" spans="1:34" x14ac:dyDescent="0.35">
      <c r="A53" s="119"/>
      <c r="B53" s="5" t="s">
        <v>165</v>
      </c>
      <c r="C53" s="44" t="s">
        <v>513</v>
      </c>
      <c r="D53" s="114" t="str">
        <f>IF(S1SHTATbl[[#This Row],[UNRESTRICTED UNITS]]=0,"",S1SHTATbl[[#This Row],[UNRESTRICTED UNITS]])</f>
        <v/>
      </c>
      <c r="E53" s="270" t="str">
        <f xml:space="preserve">
IF(S1SHTATbl[[#This Row],[UNRESTRICTED TOTAL REQUESTED]]=0,"",
S1SHTATbl[[#This Row],[UNRESTRICTED TOTAL REQUESTED]]*
IF(S1_SHTA_UnrestrictedTotalRequested&lt;=500000,1,
500000/S1_SHTA_UnrestrictedTotalRequested)
)</f>
        <v/>
      </c>
      <c r="F53" s="272" t="str">
        <f>IF(S1SHTATbl[[#This Row],[UNRESTRICTED % OF FUNDING]]=0,"",S1SHTATbl[[#This Row],[UNRESTRICTED % OF FUNDING]])</f>
        <v/>
      </c>
      <c r="G53" s="31" t="s">
        <v>513</v>
      </c>
      <c r="H53" s="271" t="str">
        <f>IF(S1SHTATbl[[#This Row],[RURAL UNITS]]=0,"",S1SHTATbl[[#This Row],[RURAL UNITS]])</f>
        <v/>
      </c>
      <c r="I53" s="270" t="str">
        <f xml:space="preserve">
IF(S1SHTATbl[[#This Row],[RURAL TOTAL REQUESTED]]=0,"",
S1SHTATbl[[#This Row],[RURAL TOTAL REQUESTED]]*
IF(S1_SHTA_RuralTotalRequested&lt;=(500000-E$61),1,
(500000-E$61)/S1_SHTA_RuralTotalRequested)
)</f>
        <v/>
      </c>
      <c r="J53" s="272" t="str">
        <f>IF(S1SHTATbl[[#This Row],[RURAL % OF FUNDING]]=0,"",S1SHTATbl[[#This Row],[RURAL % OF FUNDING]])</f>
        <v/>
      </c>
      <c r="K53" s="31" t="s">
        <v>513</v>
      </c>
      <c r="L53" s="196"/>
      <c r="M53" s="197"/>
      <c r="N53" s="124"/>
      <c r="O53" s="119"/>
      <c r="P53" s="226"/>
      <c r="Q53" s="74">
        <f t="shared" si="2"/>
        <v>0</v>
      </c>
      <c r="R53" s="6">
        <f>IF(S1SHTATbl[[#This Row],[UNRESTRICTED TOTAL REQUESTED]]=0,0,S1SHTATbl[[#This Row],[UNRESTRICTED TOTAL REQUESTED]]/S1_SHTA_UnrestrictedTotalRequested)</f>
        <v>0</v>
      </c>
      <c r="S53" s="7">
        <f>IF(S1SHTATbl[[#This Row],[ALL UNITS IN A HIGH OR HIGHEST RESOURCE AREA]]="Yes",10*S1SHTATbl[[#This Row],[UNRESTRICTED % OF FUNDING]],0)</f>
        <v>0</v>
      </c>
      <c r="T53" s="7" cm="1">
        <f t="array" ref="T53">INDEX(CountyScoresTbl[Community Need Total Points],ROW(S1SHTATbl[[#This Row],[COUNTY]])-2,1)*S1SHTATbl[[#This Row],[UNRESTRICTED % OF FUNDING]]</f>
        <v>0</v>
      </c>
      <c r="U53" s="7" cm="1">
        <f t="array" ref="U53">INDEX(CountyScoresTbl[SHTA Total Feasibility Points Awarded],ROW(S1SHTATbl[[#This Row],[COUNTY]])-2,1)*S1SHTATbl[[#This Row],[UNRESTRICTED % OF FUNDING]]</f>
        <v>0</v>
      </c>
      <c r="V53" s="8" cm="1">
        <f t="array" ref="V53">INDEX(CountyScoresTbl[Farmworker Need Points Awarded],ROW(S1SHTATbl[[#This Row],[COUNTY]])-2,1)*S1SHTATbl[[#This Row],[UNRESTRICTED % OF FUNDING]]</f>
        <v>0</v>
      </c>
      <c r="W53" s="124"/>
      <c r="X53" s="119"/>
      <c r="Y53" s="226"/>
      <c r="Z53" s="74">
        <f t="shared" si="3"/>
        <v>0</v>
      </c>
      <c r="AA53" s="6">
        <f>IF(S1SHTATbl[[#This Row],[RURAL TOTAL REQUESTED]]=0,0,S1SHTATbl[[#This Row],[RURAL TOTAL REQUESTED]]/Z$61)</f>
        <v>0</v>
      </c>
      <c r="AB53" s="7">
        <f>IF(S1SHTATbl[[#This Row],[ALL UNITS IN A HIGH OR HIGHEST RESOURCE AREA]]="Yes",10*S1SHTATbl[[#This Row],[RURAL % OF FUNDING]],0)</f>
        <v>0</v>
      </c>
      <c r="AC53" s="7" cm="1">
        <f t="array" ref="AC53">INDEX(CountyScoresTbl[Community Need Total Points],ROW(S1SHTATbl[[#This Row],[COUNTY]])-2,1)*S1SHTATbl[[#This Row],[RURAL % OF FUNDING]]</f>
        <v>0</v>
      </c>
      <c r="AD53" s="7" cm="1">
        <f t="array" ref="AD53">INDEX(CountyScoresTbl[SHTA Total Feasibility Points Awarded],ROW(S1SHTATbl[[#This Row],[COUNTY]])-2,1)*S1SHTATbl[[#This Row],[RURAL % OF FUNDING]]</f>
        <v>0</v>
      </c>
      <c r="AE53" s="8" cm="1">
        <f t="array" ref="AE53">INDEX(CountyScoresTbl[Farmworker Need Points Awarded],ROW(S1SHTATbl[[#This Row],[COUNTY]])-2,1)*S1SHTATbl[[#This Row],[RURAL % OF FUNDING]]</f>
        <v>0</v>
      </c>
      <c r="AF53" s="399"/>
      <c r="AG53" s="7">
        <f>IF(S1SHTATbl[[#This Row],[INFILL SITE]]="Yes",5,3)*S1SHTATbl[[#This Row],[UNRESTRICTED % OF FUNDING]]</f>
        <v>0</v>
      </c>
      <c r="AH53" s="26">
        <f>IF(S1SHTATbl[[#This Row],[INFILL SITE]]="Yes",5,3)*S1SHTATbl[[#This Row],[RURAL % OF FUNDING]]</f>
        <v>0</v>
      </c>
    </row>
    <row r="54" spans="1:34" x14ac:dyDescent="0.35">
      <c r="A54" s="119"/>
      <c r="B54" s="5" t="s">
        <v>166</v>
      </c>
      <c r="C54" s="44" t="s">
        <v>513</v>
      </c>
      <c r="D54" s="114" t="str">
        <f>IF(S1SHTATbl[[#This Row],[UNRESTRICTED UNITS]]=0,"",S1SHTATbl[[#This Row],[UNRESTRICTED UNITS]])</f>
        <v/>
      </c>
      <c r="E54" s="270" t="str">
        <f xml:space="preserve">
IF(S1SHTATbl[[#This Row],[UNRESTRICTED TOTAL REQUESTED]]=0,"",
S1SHTATbl[[#This Row],[UNRESTRICTED TOTAL REQUESTED]]*
IF(S1_SHTA_UnrestrictedTotalRequested&lt;=500000,1,
500000/S1_SHTA_UnrestrictedTotalRequested)
)</f>
        <v/>
      </c>
      <c r="F54" s="272" t="str">
        <f>IF(S1SHTATbl[[#This Row],[UNRESTRICTED % OF FUNDING]]=0,"",S1SHTATbl[[#This Row],[UNRESTRICTED % OF FUNDING]])</f>
        <v/>
      </c>
      <c r="G54" s="31" t="s">
        <v>513</v>
      </c>
      <c r="H54" s="271" t="str">
        <f>IF(S1SHTATbl[[#This Row],[RURAL UNITS]]=0,"",S1SHTATbl[[#This Row],[RURAL UNITS]])</f>
        <v/>
      </c>
      <c r="I54" s="270" t="str">
        <f xml:space="preserve">
IF(S1SHTATbl[[#This Row],[RURAL TOTAL REQUESTED]]=0,"",
S1SHTATbl[[#This Row],[RURAL TOTAL REQUESTED]]*
IF(S1_SHTA_RuralTotalRequested&lt;=(500000-E$61),1,
(500000-E$61)/S1_SHTA_RuralTotalRequested)
)</f>
        <v/>
      </c>
      <c r="J54" s="272" t="str">
        <f>IF(S1SHTATbl[[#This Row],[RURAL % OF FUNDING]]=0,"",S1SHTATbl[[#This Row],[RURAL % OF FUNDING]])</f>
        <v/>
      </c>
      <c r="K54" s="31" t="s">
        <v>513</v>
      </c>
      <c r="L54" s="196"/>
      <c r="M54" s="197"/>
      <c r="N54" s="124"/>
      <c r="O54" s="119"/>
      <c r="P54" s="226"/>
      <c r="Q54" s="74">
        <f t="shared" si="2"/>
        <v>0</v>
      </c>
      <c r="R54" s="6">
        <f>IF(S1SHTATbl[[#This Row],[UNRESTRICTED TOTAL REQUESTED]]=0,0,S1SHTATbl[[#This Row],[UNRESTRICTED TOTAL REQUESTED]]/S1_SHTA_UnrestrictedTotalRequested)</f>
        <v>0</v>
      </c>
      <c r="S54" s="7">
        <f>IF(S1SHTATbl[[#This Row],[ALL UNITS IN A HIGH OR HIGHEST RESOURCE AREA]]="Yes",10*S1SHTATbl[[#This Row],[UNRESTRICTED % OF FUNDING]],0)</f>
        <v>0</v>
      </c>
      <c r="T54" s="7" cm="1">
        <f t="array" ref="T54">INDEX(CountyScoresTbl[Community Need Total Points],ROW(S1SHTATbl[[#This Row],[COUNTY]])-2,1)*S1SHTATbl[[#This Row],[UNRESTRICTED % OF FUNDING]]</f>
        <v>0</v>
      </c>
      <c r="U54" s="7" cm="1">
        <f t="array" ref="U54">INDEX(CountyScoresTbl[SHTA Total Feasibility Points Awarded],ROW(S1SHTATbl[[#This Row],[COUNTY]])-2,1)*S1SHTATbl[[#This Row],[UNRESTRICTED % OF FUNDING]]</f>
        <v>0</v>
      </c>
      <c r="V54" s="8" cm="1">
        <f t="array" ref="V54">INDEX(CountyScoresTbl[Farmworker Need Points Awarded],ROW(S1SHTATbl[[#This Row],[COUNTY]])-2,1)*S1SHTATbl[[#This Row],[UNRESTRICTED % OF FUNDING]]</f>
        <v>0</v>
      </c>
      <c r="W54" s="124"/>
      <c r="X54" s="119"/>
      <c r="Y54" s="226"/>
      <c r="Z54" s="74">
        <f t="shared" si="3"/>
        <v>0</v>
      </c>
      <c r="AA54" s="6">
        <f>IF(S1SHTATbl[[#This Row],[RURAL TOTAL REQUESTED]]=0,0,S1SHTATbl[[#This Row],[RURAL TOTAL REQUESTED]]/Z$61)</f>
        <v>0</v>
      </c>
      <c r="AB54" s="7">
        <f>IF(S1SHTATbl[[#This Row],[ALL UNITS IN A HIGH OR HIGHEST RESOURCE AREA]]="Yes",10*S1SHTATbl[[#This Row],[RURAL % OF FUNDING]],0)</f>
        <v>0</v>
      </c>
      <c r="AC54" s="7" cm="1">
        <f t="array" ref="AC54">INDEX(CountyScoresTbl[Community Need Total Points],ROW(S1SHTATbl[[#This Row],[COUNTY]])-2,1)*S1SHTATbl[[#This Row],[RURAL % OF FUNDING]]</f>
        <v>0</v>
      </c>
      <c r="AD54" s="7" cm="1">
        <f t="array" ref="AD54">INDEX(CountyScoresTbl[SHTA Total Feasibility Points Awarded],ROW(S1SHTATbl[[#This Row],[COUNTY]])-2,1)*S1SHTATbl[[#This Row],[RURAL % OF FUNDING]]</f>
        <v>0</v>
      </c>
      <c r="AE54" s="8" cm="1">
        <f t="array" ref="AE54">INDEX(CountyScoresTbl[Farmworker Need Points Awarded],ROW(S1SHTATbl[[#This Row],[COUNTY]])-2,1)*S1SHTATbl[[#This Row],[RURAL % OF FUNDING]]</f>
        <v>0</v>
      </c>
      <c r="AF54" s="399"/>
      <c r="AG54" s="7">
        <f>IF(S1SHTATbl[[#This Row],[INFILL SITE]]="Yes",5,3)*S1SHTATbl[[#This Row],[UNRESTRICTED % OF FUNDING]]</f>
        <v>0</v>
      </c>
      <c r="AH54" s="26">
        <f>IF(S1SHTATbl[[#This Row],[INFILL SITE]]="Yes",5,3)*S1SHTATbl[[#This Row],[RURAL % OF FUNDING]]</f>
        <v>0</v>
      </c>
    </row>
    <row r="55" spans="1:34" ht="11.5" customHeight="1" x14ac:dyDescent="0.35">
      <c r="A55" s="119"/>
      <c r="B55" s="5" t="s">
        <v>167</v>
      </c>
      <c r="C55" s="44" t="s">
        <v>513</v>
      </c>
      <c r="D55" s="114" t="str">
        <f>IF(S1SHTATbl[[#This Row],[UNRESTRICTED UNITS]]=0,"",S1SHTATbl[[#This Row],[UNRESTRICTED UNITS]])</f>
        <v/>
      </c>
      <c r="E55" s="270" t="str">
        <f xml:space="preserve">
IF(S1SHTATbl[[#This Row],[UNRESTRICTED TOTAL REQUESTED]]=0,"",
S1SHTATbl[[#This Row],[UNRESTRICTED TOTAL REQUESTED]]*
IF(S1_SHTA_UnrestrictedTotalRequested&lt;=500000,1,
500000/S1_SHTA_UnrestrictedTotalRequested)
)</f>
        <v/>
      </c>
      <c r="F55" s="272" t="str">
        <f>IF(S1SHTATbl[[#This Row],[UNRESTRICTED % OF FUNDING]]=0,"",S1SHTATbl[[#This Row],[UNRESTRICTED % OF FUNDING]])</f>
        <v/>
      </c>
      <c r="G55" s="31" t="s">
        <v>513</v>
      </c>
      <c r="H55" s="271" t="str">
        <f>IF(S1SHTATbl[[#This Row],[RURAL UNITS]]=0,"",S1SHTATbl[[#This Row],[RURAL UNITS]])</f>
        <v/>
      </c>
      <c r="I55" s="270" t="str">
        <f xml:space="preserve">
IF(S1SHTATbl[[#This Row],[RURAL TOTAL REQUESTED]]=0,"",
S1SHTATbl[[#This Row],[RURAL TOTAL REQUESTED]]*
IF(S1_SHTA_RuralTotalRequested&lt;=(500000-E$61),1,
(500000-E$61)/S1_SHTA_RuralTotalRequested)
)</f>
        <v/>
      </c>
      <c r="J55" s="272" t="str">
        <f>IF(S1SHTATbl[[#This Row],[RURAL % OF FUNDING]]=0,"",S1SHTATbl[[#This Row],[RURAL % OF FUNDING]])</f>
        <v/>
      </c>
      <c r="K55" s="31" t="s">
        <v>513</v>
      </c>
      <c r="L55" s="196"/>
      <c r="M55" s="197"/>
      <c r="N55" s="124"/>
      <c r="O55" s="119"/>
      <c r="P55" s="226"/>
      <c r="Q55" s="74">
        <f t="shared" si="2"/>
        <v>0</v>
      </c>
      <c r="R55" s="6">
        <f>IF(S1SHTATbl[[#This Row],[UNRESTRICTED TOTAL REQUESTED]]=0,0,S1SHTATbl[[#This Row],[UNRESTRICTED TOTAL REQUESTED]]/S1_SHTA_UnrestrictedTotalRequested)</f>
        <v>0</v>
      </c>
      <c r="S55" s="7">
        <f>IF(S1SHTATbl[[#This Row],[ALL UNITS IN A HIGH OR HIGHEST RESOURCE AREA]]="Yes",10*S1SHTATbl[[#This Row],[UNRESTRICTED % OF FUNDING]],0)</f>
        <v>0</v>
      </c>
      <c r="T55" s="7" cm="1">
        <f t="array" ref="T55">INDEX(CountyScoresTbl[Community Need Total Points],ROW(S1SHTATbl[[#This Row],[COUNTY]])-2,1)*S1SHTATbl[[#This Row],[UNRESTRICTED % OF FUNDING]]</f>
        <v>0</v>
      </c>
      <c r="U55" s="7" cm="1">
        <f t="array" ref="U55">INDEX(CountyScoresTbl[SHTA Total Feasibility Points Awarded],ROW(S1SHTATbl[[#This Row],[COUNTY]])-2,1)*S1SHTATbl[[#This Row],[UNRESTRICTED % OF FUNDING]]</f>
        <v>0</v>
      </c>
      <c r="V55" s="8" cm="1">
        <f t="array" ref="V55">INDEX(CountyScoresTbl[Farmworker Need Points Awarded],ROW(S1SHTATbl[[#This Row],[COUNTY]])-2,1)*S1SHTATbl[[#This Row],[UNRESTRICTED % OF FUNDING]]</f>
        <v>0</v>
      </c>
      <c r="W55" s="124"/>
      <c r="X55" s="119"/>
      <c r="Y55" s="226"/>
      <c r="Z55" s="74">
        <f t="shared" si="3"/>
        <v>0</v>
      </c>
      <c r="AA55" s="6">
        <f>IF(S1SHTATbl[[#This Row],[RURAL TOTAL REQUESTED]]=0,0,S1SHTATbl[[#This Row],[RURAL TOTAL REQUESTED]]/Z$61)</f>
        <v>0</v>
      </c>
      <c r="AB55" s="7">
        <f>IF(S1SHTATbl[[#This Row],[ALL UNITS IN A HIGH OR HIGHEST RESOURCE AREA]]="Yes",10*S1SHTATbl[[#This Row],[RURAL % OF FUNDING]],0)</f>
        <v>0</v>
      </c>
      <c r="AC55" s="7" cm="1">
        <f t="array" ref="AC55">INDEX(CountyScoresTbl[Community Need Total Points],ROW(S1SHTATbl[[#This Row],[COUNTY]])-2,1)*S1SHTATbl[[#This Row],[RURAL % OF FUNDING]]</f>
        <v>0</v>
      </c>
      <c r="AD55" s="7" cm="1">
        <f t="array" ref="AD55">INDEX(CountyScoresTbl[SHTA Total Feasibility Points Awarded],ROW(S1SHTATbl[[#This Row],[COUNTY]])-2,1)*S1SHTATbl[[#This Row],[RURAL % OF FUNDING]]</f>
        <v>0</v>
      </c>
      <c r="AE55" s="8" cm="1">
        <f t="array" ref="AE55">INDEX(CountyScoresTbl[Farmworker Need Points Awarded],ROW(S1SHTATbl[[#This Row],[COUNTY]])-2,1)*S1SHTATbl[[#This Row],[RURAL % OF FUNDING]]</f>
        <v>0</v>
      </c>
      <c r="AF55" s="399"/>
      <c r="AG55" s="7">
        <f>IF(S1SHTATbl[[#This Row],[INFILL SITE]]="Yes",5,3)*S1SHTATbl[[#This Row],[UNRESTRICTED % OF FUNDING]]</f>
        <v>0</v>
      </c>
      <c r="AH55" s="26">
        <f>IF(S1SHTATbl[[#This Row],[INFILL SITE]]="Yes",5,3)*S1SHTATbl[[#This Row],[RURAL % OF FUNDING]]</f>
        <v>0</v>
      </c>
    </row>
    <row r="56" spans="1:34" x14ac:dyDescent="0.35">
      <c r="A56" s="119"/>
      <c r="B56" s="5" t="s">
        <v>168</v>
      </c>
      <c r="C56" s="44" t="s">
        <v>513</v>
      </c>
      <c r="D56" s="114" t="str">
        <f>IF(S1SHTATbl[[#This Row],[UNRESTRICTED UNITS]]=0,"",S1SHTATbl[[#This Row],[UNRESTRICTED UNITS]])</f>
        <v/>
      </c>
      <c r="E56" s="270" t="str">
        <f xml:space="preserve">
IF(S1SHTATbl[[#This Row],[UNRESTRICTED TOTAL REQUESTED]]=0,"",
S1SHTATbl[[#This Row],[UNRESTRICTED TOTAL REQUESTED]]*
IF(S1_SHTA_UnrestrictedTotalRequested&lt;=500000,1,
500000/S1_SHTA_UnrestrictedTotalRequested)
)</f>
        <v/>
      </c>
      <c r="F56" s="272" t="str">
        <f>IF(S1SHTATbl[[#This Row],[UNRESTRICTED % OF FUNDING]]=0,"",S1SHTATbl[[#This Row],[UNRESTRICTED % OF FUNDING]])</f>
        <v/>
      </c>
      <c r="G56" s="31" t="s">
        <v>513</v>
      </c>
      <c r="H56" s="271" t="str">
        <f>IF(S1SHTATbl[[#This Row],[RURAL UNITS]]=0,"",S1SHTATbl[[#This Row],[RURAL UNITS]])</f>
        <v/>
      </c>
      <c r="I56" s="270" t="str">
        <f xml:space="preserve">
IF(S1SHTATbl[[#This Row],[RURAL TOTAL REQUESTED]]=0,"",
S1SHTATbl[[#This Row],[RURAL TOTAL REQUESTED]]*
IF(S1_SHTA_RuralTotalRequested&lt;=(500000-E$61),1,
(500000-E$61)/S1_SHTA_RuralTotalRequested)
)</f>
        <v/>
      </c>
      <c r="J56" s="272" t="str">
        <f>IF(S1SHTATbl[[#This Row],[RURAL % OF FUNDING]]=0,"",S1SHTATbl[[#This Row],[RURAL % OF FUNDING]])</f>
        <v/>
      </c>
      <c r="K56" s="31" t="s">
        <v>513</v>
      </c>
      <c r="L56" s="196"/>
      <c r="M56" s="197"/>
      <c r="N56" s="124"/>
      <c r="O56" s="119"/>
      <c r="P56" s="226"/>
      <c r="Q56" s="74">
        <f t="shared" si="2"/>
        <v>0</v>
      </c>
      <c r="R56" s="6">
        <f>IF(S1SHTATbl[[#This Row],[UNRESTRICTED TOTAL REQUESTED]]=0,0,S1SHTATbl[[#This Row],[UNRESTRICTED TOTAL REQUESTED]]/S1_SHTA_UnrestrictedTotalRequested)</f>
        <v>0</v>
      </c>
      <c r="S56" s="7">
        <f>IF(S1SHTATbl[[#This Row],[ALL UNITS IN A HIGH OR HIGHEST RESOURCE AREA]]="Yes",10*S1SHTATbl[[#This Row],[UNRESTRICTED % OF FUNDING]],0)</f>
        <v>0</v>
      </c>
      <c r="T56" s="7" cm="1">
        <f t="array" ref="T56">INDEX(CountyScoresTbl[Community Need Total Points],ROW(S1SHTATbl[[#This Row],[COUNTY]])-2,1)*S1SHTATbl[[#This Row],[UNRESTRICTED % OF FUNDING]]</f>
        <v>0</v>
      </c>
      <c r="U56" s="7" cm="1">
        <f t="array" ref="U56">INDEX(CountyScoresTbl[SHTA Total Feasibility Points Awarded],ROW(S1SHTATbl[[#This Row],[COUNTY]])-2,1)*S1SHTATbl[[#This Row],[UNRESTRICTED % OF FUNDING]]</f>
        <v>0</v>
      </c>
      <c r="V56" s="8" cm="1">
        <f t="array" ref="V56">INDEX(CountyScoresTbl[Farmworker Need Points Awarded],ROW(S1SHTATbl[[#This Row],[COUNTY]])-2,1)*S1SHTATbl[[#This Row],[UNRESTRICTED % OF FUNDING]]</f>
        <v>0</v>
      </c>
      <c r="W56" s="124"/>
      <c r="X56" s="119"/>
      <c r="Y56" s="226"/>
      <c r="Z56" s="74">
        <f t="shared" si="3"/>
        <v>0</v>
      </c>
      <c r="AA56" s="6">
        <f>IF(S1SHTATbl[[#This Row],[RURAL TOTAL REQUESTED]]=0,0,S1SHTATbl[[#This Row],[RURAL TOTAL REQUESTED]]/Z$61)</f>
        <v>0</v>
      </c>
      <c r="AB56" s="7">
        <f>IF(S1SHTATbl[[#This Row],[ALL UNITS IN A HIGH OR HIGHEST RESOURCE AREA]]="Yes",10*S1SHTATbl[[#This Row],[RURAL % OF FUNDING]],0)</f>
        <v>0</v>
      </c>
      <c r="AC56" s="7" cm="1">
        <f t="array" ref="AC56">INDEX(CountyScoresTbl[Community Need Total Points],ROW(S1SHTATbl[[#This Row],[COUNTY]])-2,1)*S1SHTATbl[[#This Row],[RURAL % OF FUNDING]]</f>
        <v>0</v>
      </c>
      <c r="AD56" s="7" cm="1">
        <f t="array" ref="AD56">INDEX(CountyScoresTbl[SHTA Total Feasibility Points Awarded],ROW(S1SHTATbl[[#This Row],[COUNTY]])-2,1)*S1SHTATbl[[#This Row],[RURAL % OF FUNDING]]</f>
        <v>0</v>
      </c>
      <c r="AE56" s="8" cm="1">
        <f t="array" ref="AE56">INDEX(CountyScoresTbl[Farmworker Need Points Awarded],ROW(S1SHTATbl[[#This Row],[COUNTY]])-2,1)*S1SHTATbl[[#This Row],[RURAL % OF FUNDING]]</f>
        <v>0</v>
      </c>
      <c r="AF56" s="399"/>
      <c r="AG56" s="7">
        <f>IF(S1SHTATbl[[#This Row],[INFILL SITE]]="Yes",5,3)*S1SHTATbl[[#This Row],[UNRESTRICTED % OF FUNDING]]</f>
        <v>0</v>
      </c>
      <c r="AH56" s="26">
        <f>IF(S1SHTATbl[[#This Row],[INFILL SITE]]="Yes",5,3)*S1SHTATbl[[#This Row],[RURAL % OF FUNDING]]</f>
        <v>0</v>
      </c>
    </row>
    <row r="57" spans="1:34" x14ac:dyDescent="0.35">
      <c r="A57" s="119"/>
      <c r="B57" s="5" t="s">
        <v>169</v>
      </c>
      <c r="C57" s="44" t="s">
        <v>513</v>
      </c>
      <c r="D57" s="114" t="str">
        <f>IF(S1SHTATbl[[#This Row],[UNRESTRICTED UNITS]]=0,"",S1SHTATbl[[#This Row],[UNRESTRICTED UNITS]])</f>
        <v/>
      </c>
      <c r="E57" s="270" t="str">
        <f xml:space="preserve">
IF(S1SHTATbl[[#This Row],[UNRESTRICTED TOTAL REQUESTED]]=0,"",
S1SHTATbl[[#This Row],[UNRESTRICTED TOTAL REQUESTED]]*
IF(S1_SHTA_UnrestrictedTotalRequested&lt;=500000,1,
500000/S1_SHTA_UnrestrictedTotalRequested)
)</f>
        <v/>
      </c>
      <c r="F57" s="272" t="str">
        <f>IF(S1SHTATbl[[#This Row],[UNRESTRICTED % OF FUNDING]]=0,"",S1SHTATbl[[#This Row],[UNRESTRICTED % OF FUNDING]])</f>
        <v/>
      </c>
      <c r="G57" s="31" t="s">
        <v>513</v>
      </c>
      <c r="H57" s="271" t="str">
        <f>IF(S1SHTATbl[[#This Row],[RURAL UNITS]]=0,"",S1SHTATbl[[#This Row],[RURAL UNITS]])</f>
        <v/>
      </c>
      <c r="I57" s="270" t="str">
        <f xml:space="preserve">
IF(S1SHTATbl[[#This Row],[RURAL TOTAL REQUESTED]]=0,"",
S1SHTATbl[[#This Row],[RURAL TOTAL REQUESTED]]*
IF(S1_SHTA_RuralTotalRequested&lt;=(500000-E$61),1,
(500000-E$61)/S1_SHTA_RuralTotalRequested)
)</f>
        <v/>
      </c>
      <c r="J57" s="272" t="str">
        <f>IF(S1SHTATbl[[#This Row],[RURAL % OF FUNDING]]=0,"",S1SHTATbl[[#This Row],[RURAL % OF FUNDING]])</f>
        <v/>
      </c>
      <c r="K57" s="31" t="s">
        <v>513</v>
      </c>
      <c r="L57" s="196"/>
      <c r="M57" s="197"/>
      <c r="N57" s="124"/>
      <c r="O57" s="119"/>
      <c r="P57" s="226"/>
      <c r="Q57" s="74">
        <f t="shared" si="2"/>
        <v>0</v>
      </c>
      <c r="R57" s="6">
        <f>IF(S1SHTATbl[[#This Row],[UNRESTRICTED TOTAL REQUESTED]]=0,0,S1SHTATbl[[#This Row],[UNRESTRICTED TOTAL REQUESTED]]/S1_SHTA_UnrestrictedTotalRequested)</f>
        <v>0</v>
      </c>
      <c r="S57" s="7">
        <f>IF(S1SHTATbl[[#This Row],[ALL UNITS IN A HIGH OR HIGHEST RESOURCE AREA]]="Yes",10*S1SHTATbl[[#This Row],[UNRESTRICTED % OF FUNDING]],0)</f>
        <v>0</v>
      </c>
      <c r="T57" s="7" cm="1">
        <f t="array" ref="T57">INDEX(CountyScoresTbl[Community Need Total Points],ROW(S1SHTATbl[[#This Row],[COUNTY]])-2,1)*S1SHTATbl[[#This Row],[UNRESTRICTED % OF FUNDING]]</f>
        <v>0</v>
      </c>
      <c r="U57" s="7" cm="1">
        <f t="array" ref="U57">INDEX(CountyScoresTbl[SHTA Total Feasibility Points Awarded],ROW(S1SHTATbl[[#This Row],[COUNTY]])-2,1)*S1SHTATbl[[#This Row],[UNRESTRICTED % OF FUNDING]]</f>
        <v>0</v>
      </c>
      <c r="V57" s="8" cm="1">
        <f t="array" ref="V57">INDEX(CountyScoresTbl[Farmworker Need Points Awarded],ROW(S1SHTATbl[[#This Row],[COUNTY]])-2,1)*S1SHTATbl[[#This Row],[UNRESTRICTED % OF FUNDING]]</f>
        <v>0</v>
      </c>
      <c r="W57" s="124"/>
      <c r="X57" s="119"/>
      <c r="Y57" s="226"/>
      <c r="Z57" s="74">
        <f t="shared" si="3"/>
        <v>0</v>
      </c>
      <c r="AA57" s="6">
        <f>IF(S1SHTATbl[[#This Row],[RURAL TOTAL REQUESTED]]=0,0,S1SHTATbl[[#This Row],[RURAL TOTAL REQUESTED]]/Z$61)</f>
        <v>0</v>
      </c>
      <c r="AB57" s="7">
        <f>IF(S1SHTATbl[[#This Row],[ALL UNITS IN A HIGH OR HIGHEST RESOURCE AREA]]="Yes",10*S1SHTATbl[[#This Row],[RURAL % OF FUNDING]],0)</f>
        <v>0</v>
      </c>
      <c r="AC57" s="7" cm="1">
        <f t="array" ref="AC57">INDEX(CountyScoresTbl[Community Need Total Points],ROW(S1SHTATbl[[#This Row],[COUNTY]])-2,1)*S1SHTATbl[[#This Row],[RURAL % OF FUNDING]]</f>
        <v>0</v>
      </c>
      <c r="AD57" s="7" cm="1">
        <f t="array" ref="AD57">INDEX(CountyScoresTbl[SHTA Total Feasibility Points Awarded],ROW(S1SHTATbl[[#This Row],[COUNTY]])-2,1)*S1SHTATbl[[#This Row],[RURAL % OF FUNDING]]</f>
        <v>0</v>
      </c>
      <c r="AE57" s="8" cm="1">
        <f t="array" ref="AE57">INDEX(CountyScoresTbl[Farmworker Need Points Awarded],ROW(S1SHTATbl[[#This Row],[COUNTY]])-2,1)*S1SHTATbl[[#This Row],[RURAL % OF FUNDING]]</f>
        <v>0</v>
      </c>
      <c r="AF57" s="399"/>
      <c r="AG57" s="7">
        <f>IF(S1SHTATbl[[#This Row],[INFILL SITE]]="Yes",5,3)*S1SHTATbl[[#This Row],[UNRESTRICTED % OF FUNDING]]</f>
        <v>0</v>
      </c>
      <c r="AH57" s="26">
        <f>IF(S1SHTATbl[[#This Row],[INFILL SITE]]="Yes",5,3)*S1SHTATbl[[#This Row],[RURAL % OF FUNDING]]</f>
        <v>0</v>
      </c>
    </row>
    <row r="58" spans="1:34" x14ac:dyDescent="0.35">
      <c r="A58" s="119"/>
      <c r="B58" s="5" t="s">
        <v>170</v>
      </c>
      <c r="C58" s="44" t="s">
        <v>513</v>
      </c>
      <c r="D58" s="114" t="str">
        <f>IF(S1SHTATbl[[#This Row],[UNRESTRICTED UNITS]]=0,"",S1SHTATbl[[#This Row],[UNRESTRICTED UNITS]])</f>
        <v/>
      </c>
      <c r="E58" s="270" t="str">
        <f xml:space="preserve">
IF(S1SHTATbl[[#This Row],[UNRESTRICTED TOTAL REQUESTED]]=0,"",
S1SHTATbl[[#This Row],[UNRESTRICTED TOTAL REQUESTED]]*
IF(S1_SHTA_UnrestrictedTotalRequested&lt;=500000,1,
500000/S1_SHTA_UnrestrictedTotalRequested)
)</f>
        <v/>
      </c>
      <c r="F58" s="272" t="str">
        <f>IF(S1SHTATbl[[#This Row],[UNRESTRICTED % OF FUNDING]]=0,"",S1SHTATbl[[#This Row],[UNRESTRICTED % OF FUNDING]])</f>
        <v/>
      </c>
      <c r="G58" s="31" t="s">
        <v>513</v>
      </c>
      <c r="H58" s="271" t="str">
        <f>IF(S1SHTATbl[[#This Row],[RURAL UNITS]]=0,"",S1SHTATbl[[#This Row],[RURAL UNITS]])</f>
        <v/>
      </c>
      <c r="I58" s="270" t="str">
        <f xml:space="preserve">
IF(S1SHTATbl[[#This Row],[RURAL TOTAL REQUESTED]]=0,"",
S1SHTATbl[[#This Row],[RURAL TOTAL REQUESTED]]*
IF(S1_SHTA_RuralTotalRequested&lt;=(500000-E$61),1,
(500000-E$61)/S1_SHTA_RuralTotalRequested)
)</f>
        <v/>
      </c>
      <c r="J58" s="272" t="str">
        <f>IF(S1SHTATbl[[#This Row],[RURAL % OF FUNDING]]=0,"",S1SHTATbl[[#This Row],[RURAL % OF FUNDING]])</f>
        <v/>
      </c>
      <c r="K58" s="31" t="s">
        <v>513</v>
      </c>
      <c r="L58" s="196"/>
      <c r="M58" s="197"/>
      <c r="N58" s="124"/>
      <c r="O58" s="119"/>
      <c r="P58" s="226"/>
      <c r="Q58" s="74">
        <f t="shared" si="2"/>
        <v>0</v>
      </c>
      <c r="R58" s="6">
        <f>IF(S1SHTATbl[[#This Row],[UNRESTRICTED TOTAL REQUESTED]]=0,0,S1SHTATbl[[#This Row],[UNRESTRICTED TOTAL REQUESTED]]/S1_SHTA_UnrestrictedTotalRequested)</f>
        <v>0</v>
      </c>
      <c r="S58" s="7">
        <f>IF(S1SHTATbl[[#This Row],[ALL UNITS IN A HIGH OR HIGHEST RESOURCE AREA]]="Yes",10*S1SHTATbl[[#This Row],[UNRESTRICTED % OF FUNDING]],0)</f>
        <v>0</v>
      </c>
      <c r="T58" s="7" cm="1">
        <f t="array" ref="T58">INDEX(CountyScoresTbl[Community Need Total Points],ROW(S1SHTATbl[[#This Row],[COUNTY]])-2,1)*S1SHTATbl[[#This Row],[UNRESTRICTED % OF FUNDING]]</f>
        <v>0</v>
      </c>
      <c r="U58" s="7" cm="1">
        <f t="array" ref="U58">INDEX(CountyScoresTbl[SHTA Total Feasibility Points Awarded],ROW(S1SHTATbl[[#This Row],[COUNTY]])-2,1)*S1SHTATbl[[#This Row],[UNRESTRICTED % OF FUNDING]]</f>
        <v>0</v>
      </c>
      <c r="V58" s="8" cm="1">
        <f t="array" ref="V58">INDEX(CountyScoresTbl[Farmworker Need Points Awarded],ROW(S1SHTATbl[[#This Row],[COUNTY]])-2,1)*S1SHTATbl[[#This Row],[UNRESTRICTED % OF FUNDING]]</f>
        <v>0</v>
      </c>
      <c r="W58" s="124"/>
      <c r="X58" s="119"/>
      <c r="Y58" s="226"/>
      <c r="Z58" s="74">
        <f t="shared" si="3"/>
        <v>0</v>
      </c>
      <c r="AA58" s="6">
        <f>IF(S1SHTATbl[[#This Row],[RURAL TOTAL REQUESTED]]=0,0,S1SHTATbl[[#This Row],[RURAL TOTAL REQUESTED]]/Z$61)</f>
        <v>0</v>
      </c>
      <c r="AB58" s="7">
        <f>IF(S1SHTATbl[[#This Row],[ALL UNITS IN A HIGH OR HIGHEST RESOURCE AREA]]="Yes",10*S1SHTATbl[[#This Row],[RURAL % OF FUNDING]],0)</f>
        <v>0</v>
      </c>
      <c r="AC58" s="7" cm="1">
        <f t="array" ref="AC58">INDEX(CountyScoresTbl[Community Need Total Points],ROW(S1SHTATbl[[#This Row],[COUNTY]])-2,1)*S1SHTATbl[[#This Row],[RURAL % OF FUNDING]]</f>
        <v>0</v>
      </c>
      <c r="AD58" s="7" cm="1">
        <f t="array" ref="AD58">INDEX(CountyScoresTbl[SHTA Total Feasibility Points Awarded],ROW(S1SHTATbl[[#This Row],[COUNTY]])-2,1)*S1SHTATbl[[#This Row],[RURAL % OF FUNDING]]</f>
        <v>0</v>
      </c>
      <c r="AE58" s="8" cm="1">
        <f t="array" ref="AE58">INDEX(CountyScoresTbl[Farmworker Need Points Awarded],ROW(S1SHTATbl[[#This Row],[COUNTY]])-2,1)*S1SHTATbl[[#This Row],[RURAL % OF FUNDING]]</f>
        <v>0</v>
      </c>
      <c r="AF58" s="399"/>
      <c r="AG58" s="7">
        <f>IF(S1SHTATbl[[#This Row],[INFILL SITE]]="Yes",5,3)*S1SHTATbl[[#This Row],[UNRESTRICTED % OF FUNDING]]</f>
        <v>0</v>
      </c>
      <c r="AH58" s="26">
        <f>IF(S1SHTATbl[[#This Row],[INFILL SITE]]="Yes",5,3)*S1SHTATbl[[#This Row],[RURAL % OF FUNDING]]</f>
        <v>0</v>
      </c>
    </row>
    <row r="59" spans="1:34" x14ac:dyDescent="0.35">
      <c r="A59" s="119"/>
      <c r="B59" s="5" t="s">
        <v>171</v>
      </c>
      <c r="C59" s="44" t="s">
        <v>513</v>
      </c>
      <c r="D59" s="114" t="str">
        <f>IF(S1SHTATbl[[#This Row],[UNRESTRICTED UNITS]]=0,"",S1SHTATbl[[#This Row],[UNRESTRICTED UNITS]])</f>
        <v/>
      </c>
      <c r="E59" s="270" t="str">
        <f xml:space="preserve">
IF(S1SHTATbl[[#This Row],[UNRESTRICTED TOTAL REQUESTED]]=0,"",
S1SHTATbl[[#This Row],[UNRESTRICTED TOTAL REQUESTED]]*
IF(S1_SHTA_UnrestrictedTotalRequested&lt;=500000,1,
500000/S1_SHTA_UnrestrictedTotalRequested)
)</f>
        <v/>
      </c>
      <c r="F59" s="272" t="str">
        <f>IF(S1SHTATbl[[#This Row],[UNRESTRICTED % OF FUNDING]]=0,"",S1SHTATbl[[#This Row],[UNRESTRICTED % OF FUNDING]])</f>
        <v/>
      </c>
      <c r="G59" s="31" t="s">
        <v>513</v>
      </c>
      <c r="H59" s="271" t="str">
        <f>IF(S1SHTATbl[[#This Row],[RURAL UNITS]]=0,"",S1SHTATbl[[#This Row],[RURAL UNITS]])</f>
        <v/>
      </c>
      <c r="I59" s="270" t="str">
        <f xml:space="preserve">
IF(S1SHTATbl[[#This Row],[RURAL TOTAL REQUESTED]]=0,"",
S1SHTATbl[[#This Row],[RURAL TOTAL REQUESTED]]*
IF(S1_SHTA_RuralTotalRequested&lt;=(500000-E$61),1,
(500000-E$61)/S1_SHTA_RuralTotalRequested)
)</f>
        <v/>
      </c>
      <c r="J59" s="272" t="str">
        <f>IF(S1SHTATbl[[#This Row],[RURAL % OF FUNDING]]=0,"",S1SHTATbl[[#This Row],[RURAL % OF FUNDING]])</f>
        <v/>
      </c>
      <c r="K59" s="31" t="s">
        <v>513</v>
      </c>
      <c r="L59" s="196"/>
      <c r="M59" s="197"/>
      <c r="N59" s="124"/>
      <c r="O59" s="119"/>
      <c r="P59" s="226"/>
      <c r="Q59" s="74">
        <f t="shared" si="2"/>
        <v>0</v>
      </c>
      <c r="R59" s="6">
        <f>IF(S1SHTATbl[[#This Row],[UNRESTRICTED TOTAL REQUESTED]]=0,0,S1SHTATbl[[#This Row],[UNRESTRICTED TOTAL REQUESTED]]/S1_SHTA_UnrestrictedTotalRequested)</f>
        <v>0</v>
      </c>
      <c r="S59" s="7">
        <f>IF(S1SHTATbl[[#This Row],[ALL UNITS IN A HIGH OR HIGHEST RESOURCE AREA]]="Yes",10*S1SHTATbl[[#This Row],[UNRESTRICTED % OF FUNDING]],0)</f>
        <v>0</v>
      </c>
      <c r="T59" s="7" cm="1">
        <f t="array" ref="T59">INDEX(CountyScoresTbl[Community Need Total Points],ROW(S1SHTATbl[[#This Row],[COUNTY]])-2,1)*S1SHTATbl[[#This Row],[UNRESTRICTED % OF FUNDING]]</f>
        <v>0</v>
      </c>
      <c r="U59" s="7" cm="1">
        <f t="array" ref="U59">INDEX(CountyScoresTbl[SHTA Total Feasibility Points Awarded],ROW(S1SHTATbl[[#This Row],[COUNTY]])-2,1)*S1SHTATbl[[#This Row],[UNRESTRICTED % OF FUNDING]]</f>
        <v>0</v>
      </c>
      <c r="V59" s="8" cm="1">
        <f t="array" ref="V59">INDEX(CountyScoresTbl[Farmworker Need Points Awarded],ROW(S1SHTATbl[[#This Row],[COUNTY]])-2,1)*S1SHTATbl[[#This Row],[UNRESTRICTED % OF FUNDING]]</f>
        <v>0</v>
      </c>
      <c r="W59" s="124"/>
      <c r="X59" s="119"/>
      <c r="Y59" s="226"/>
      <c r="Z59" s="74">
        <f t="shared" si="3"/>
        <v>0</v>
      </c>
      <c r="AA59" s="6">
        <f>IF(S1SHTATbl[[#This Row],[RURAL TOTAL REQUESTED]]=0,0,S1SHTATbl[[#This Row],[RURAL TOTAL REQUESTED]]/Z$61)</f>
        <v>0</v>
      </c>
      <c r="AB59" s="7">
        <f>IF(S1SHTATbl[[#This Row],[ALL UNITS IN A HIGH OR HIGHEST RESOURCE AREA]]="Yes",10*S1SHTATbl[[#This Row],[RURAL % OF FUNDING]],0)</f>
        <v>0</v>
      </c>
      <c r="AC59" s="7" cm="1">
        <f t="array" ref="AC59">INDEX(CountyScoresTbl[Community Need Total Points],ROW(S1SHTATbl[[#This Row],[COUNTY]])-2,1)*S1SHTATbl[[#This Row],[RURAL % OF FUNDING]]</f>
        <v>0</v>
      </c>
      <c r="AD59" s="7" cm="1">
        <f t="array" ref="AD59">INDEX(CountyScoresTbl[SHTA Total Feasibility Points Awarded],ROW(S1SHTATbl[[#This Row],[COUNTY]])-2,1)*S1SHTATbl[[#This Row],[RURAL % OF FUNDING]]</f>
        <v>0</v>
      </c>
      <c r="AE59" s="8" cm="1">
        <f t="array" ref="AE59">INDEX(CountyScoresTbl[Farmworker Need Points Awarded],ROW(S1SHTATbl[[#This Row],[COUNTY]])-2,1)*S1SHTATbl[[#This Row],[RURAL % OF FUNDING]]</f>
        <v>0</v>
      </c>
      <c r="AF59" s="399"/>
      <c r="AG59" s="7">
        <f>IF(S1SHTATbl[[#This Row],[INFILL SITE]]="Yes",5,3)*S1SHTATbl[[#This Row],[UNRESTRICTED % OF FUNDING]]</f>
        <v>0</v>
      </c>
      <c r="AH59" s="26">
        <f>IF(S1SHTATbl[[#This Row],[INFILL SITE]]="Yes",5,3)*S1SHTATbl[[#This Row],[RURAL % OF FUNDING]]</f>
        <v>0</v>
      </c>
    </row>
    <row r="60" spans="1:34" ht="15" thickBot="1" x14ac:dyDescent="0.4">
      <c r="A60" s="273"/>
      <c r="B60" s="274" t="s">
        <v>172</v>
      </c>
      <c r="C60" s="275" t="s">
        <v>513</v>
      </c>
      <c r="D60" s="276" t="str">
        <f>IF(S1SHTATbl[[#This Row],[UNRESTRICTED UNITS]]=0,"",S1SHTATbl[[#This Row],[UNRESTRICTED UNITS]])</f>
        <v/>
      </c>
      <c r="E60" s="277" t="str">
        <f xml:space="preserve">
IF(S1SHTATbl[[#This Row],[UNRESTRICTED TOTAL REQUESTED]]=0,"",
S1SHTATbl[[#This Row],[UNRESTRICTED TOTAL REQUESTED]]*
IF(S1_SHTA_UnrestrictedTotalRequested&lt;=500000,1,
500000/S1_SHTA_UnrestrictedTotalRequested)
)</f>
        <v/>
      </c>
      <c r="F60" s="278" t="str">
        <f>IF(S1SHTATbl[[#This Row],[UNRESTRICTED % OF FUNDING]]=0,"",S1SHTATbl[[#This Row],[UNRESTRICTED % OF FUNDING]])</f>
        <v/>
      </c>
      <c r="G60" s="279" t="s">
        <v>513</v>
      </c>
      <c r="H60" s="280" t="str">
        <f>IF(S1SHTATbl[[#This Row],[RURAL UNITS]]=0,"",S1SHTATbl[[#This Row],[RURAL UNITS]])</f>
        <v/>
      </c>
      <c r="I60" s="277" t="str">
        <f xml:space="preserve">
IF(S1SHTATbl[[#This Row],[RURAL TOTAL REQUESTED]]=0,"",
S1SHTATbl[[#This Row],[RURAL TOTAL REQUESTED]]*
IF(S1_SHTA_RuralTotalRequested&lt;=(500000-E$61),1,
(500000-E$61)/S1_SHTA_RuralTotalRequested)
)</f>
        <v/>
      </c>
      <c r="J60" s="278" t="str">
        <f>IF(S1SHTATbl[[#This Row],[RURAL % OF FUNDING]]=0,"",S1SHTATbl[[#This Row],[RURAL % OF FUNDING]])</f>
        <v/>
      </c>
      <c r="K60" s="279" t="s">
        <v>513</v>
      </c>
      <c r="L60" s="281"/>
      <c r="M60" s="282"/>
      <c r="N60" s="273"/>
      <c r="O60" s="283"/>
      <c r="P60" s="284"/>
      <c r="Q60" s="311">
        <f t="shared" si="2"/>
        <v>0</v>
      </c>
      <c r="R60" s="285">
        <f>IF(S1SHTATbl[[#This Row],[UNRESTRICTED TOTAL REQUESTED]]=0,0,S1SHTATbl[[#This Row],[UNRESTRICTED TOTAL REQUESTED]]/S1_SHTA_UnrestrictedTotalRequested)</f>
        <v>0</v>
      </c>
      <c r="S60" s="75">
        <f>IF(S1SHTATbl[[#This Row],[ALL UNITS IN A HIGH OR HIGHEST RESOURCE AREA]]="Yes",10*S1SHTATbl[[#This Row],[UNRESTRICTED % OF FUNDING]],0)</f>
        <v>0</v>
      </c>
      <c r="T60" s="75" cm="1">
        <f t="array" ref="T60">INDEX(CountyScoresTbl[Community Need Total Points],ROW(S1SHTATbl[[#This Row],[COUNTY]])-2,1)*S1SHTATbl[[#This Row],[UNRESTRICTED % OF FUNDING]]</f>
        <v>0</v>
      </c>
      <c r="U60" s="75" cm="1">
        <f t="array" ref="U60">INDEX(CountyScoresTbl[SHTA Total Feasibility Points Awarded],ROW(S1SHTATbl[[#This Row],[COUNTY]])-2,1)*S1SHTATbl[[#This Row],[UNRESTRICTED % OF FUNDING]]</f>
        <v>0</v>
      </c>
      <c r="V60" s="122" cm="1">
        <f t="array" ref="V60">INDEX(CountyScoresTbl[Farmworker Need Points Awarded],ROW(S1SHTATbl[[#This Row],[COUNTY]])-2,1)*S1SHTATbl[[#This Row],[UNRESTRICTED % OF FUNDING]]</f>
        <v>0</v>
      </c>
      <c r="W60" s="273"/>
      <c r="X60" s="283"/>
      <c r="Y60" s="284"/>
      <c r="Z60" s="311">
        <f t="shared" si="3"/>
        <v>0</v>
      </c>
      <c r="AA60" s="285">
        <f>IF(S1SHTATbl[[#This Row],[RURAL TOTAL REQUESTED]]=0,0,S1SHTATbl[[#This Row],[RURAL TOTAL REQUESTED]]/Z$61)</f>
        <v>0</v>
      </c>
      <c r="AB60" s="75">
        <f>IF(S1SHTATbl[[#This Row],[ALL UNITS IN A HIGH OR HIGHEST RESOURCE AREA]]="Yes",10*S1SHTATbl[[#This Row],[RURAL % OF FUNDING]],0)</f>
        <v>0</v>
      </c>
      <c r="AC60" s="75" cm="1">
        <f t="array" ref="AC60">INDEX(CountyScoresTbl[Community Need Total Points],ROW(S1SHTATbl[[#This Row],[COUNTY]])-2,1)*S1SHTATbl[[#This Row],[RURAL % OF FUNDING]]</f>
        <v>0</v>
      </c>
      <c r="AD60" s="75" cm="1">
        <f t="array" ref="AD60">INDEX(CountyScoresTbl[SHTA Total Feasibility Points Awarded],ROW(S1SHTATbl[[#This Row],[COUNTY]])-2,1)*S1SHTATbl[[#This Row],[RURAL % OF FUNDING]]</f>
        <v>0</v>
      </c>
      <c r="AE60" s="122" cm="1">
        <f t="array" ref="AE60">INDEX(CountyScoresTbl[Farmworker Need Points Awarded],ROW(S1SHTATbl[[#This Row],[COUNTY]])-2,1)*S1SHTATbl[[#This Row],[RURAL % OF FUNDING]]</f>
        <v>0</v>
      </c>
      <c r="AF60" s="400"/>
      <c r="AG60" s="7">
        <f>IF(S1SHTATbl[[#This Row],[INFILL SITE]]="Yes",5,3)*S1SHTATbl[[#This Row],[UNRESTRICTED % OF FUNDING]]</f>
        <v>0</v>
      </c>
      <c r="AH60" s="26">
        <f>IF(S1SHTATbl[[#This Row],[INFILL SITE]]="Yes",5,3)*S1SHTATbl[[#This Row],[RURAL % OF FUNDING]]</f>
        <v>0</v>
      </c>
    </row>
    <row r="61" spans="1:34" ht="15" thickBot="1" x14ac:dyDescent="0.4">
      <c r="A61" s="149"/>
      <c r="B61" s="155"/>
      <c r="C61" s="309"/>
      <c r="D61" s="301">
        <f>SUM(D$3:D$60)</f>
        <v>0</v>
      </c>
      <c r="E61" s="289">
        <f>SUM(E$3:E$60)</f>
        <v>0</v>
      </c>
      <c r="F61" s="152">
        <f>SUM(F$3:F$60)</f>
        <v>0</v>
      </c>
      <c r="G61" s="295"/>
      <c r="H61" s="310">
        <f>SUM(H$3:H$60)</f>
        <v>0</v>
      </c>
      <c r="I61" s="289">
        <f>SUM(I$3:I$60)</f>
        <v>0</v>
      </c>
      <c r="J61" s="319">
        <f>SUM(J$3:J$60)</f>
        <v>0</v>
      </c>
      <c r="K61" s="295"/>
      <c r="L61" s="296">
        <f>COUNTIF(L$3:L$60,"Yes")</f>
        <v>0</v>
      </c>
      <c r="M61" s="297">
        <f>COUNTIF(M$3:M$60,"Yes")</f>
        <v>0</v>
      </c>
      <c r="N61" s="291">
        <f t="shared" ref="N61:AE61" si="4">SUM(N$3:N$60)</f>
        <v>0</v>
      </c>
      <c r="O61" s="289">
        <f t="shared" si="4"/>
        <v>0</v>
      </c>
      <c r="P61" s="289">
        <f t="shared" si="4"/>
        <v>0</v>
      </c>
      <c r="Q61" s="289">
        <f t="shared" si="4"/>
        <v>0</v>
      </c>
      <c r="R61" s="152">
        <f t="shared" si="4"/>
        <v>0</v>
      </c>
      <c r="S61" s="153">
        <f t="shared" si="4"/>
        <v>0</v>
      </c>
      <c r="T61" s="153">
        <f t="shared" si="4"/>
        <v>0</v>
      </c>
      <c r="U61" s="153">
        <f t="shared" si="4"/>
        <v>0</v>
      </c>
      <c r="V61" s="154">
        <f t="shared" si="4"/>
        <v>0</v>
      </c>
      <c r="W61" s="149">
        <f t="shared" si="4"/>
        <v>0</v>
      </c>
      <c r="X61" s="289">
        <f t="shared" si="4"/>
        <v>0</v>
      </c>
      <c r="Y61" s="289">
        <f t="shared" si="4"/>
        <v>0</v>
      </c>
      <c r="Z61" s="289">
        <f t="shared" si="4"/>
        <v>0</v>
      </c>
      <c r="AA61" s="152">
        <f t="shared" si="4"/>
        <v>0</v>
      </c>
      <c r="AB61" s="153">
        <f t="shared" si="4"/>
        <v>0</v>
      </c>
      <c r="AC61" s="153">
        <f t="shared" si="4"/>
        <v>0</v>
      </c>
      <c r="AD61" s="153">
        <f t="shared" si="4"/>
        <v>0</v>
      </c>
      <c r="AE61" s="154">
        <f t="shared" si="4"/>
        <v>0</v>
      </c>
      <c r="AF61" s="398">
        <f>COUNTIF(AF$3:AF$60,"Yes")</f>
        <v>0</v>
      </c>
      <c r="AG61" s="153">
        <f>SUM(AG$3:AG$60)</f>
        <v>0</v>
      </c>
      <c r="AH61" s="406">
        <f>SUM(AH$3:AH$60)</f>
        <v>0</v>
      </c>
    </row>
  </sheetData>
  <sheetProtection formatCells="0" selectLockedCells="1"/>
  <dataConsolidate/>
  <mergeCells count="7">
    <mergeCell ref="AG1:AH1"/>
    <mergeCell ref="W1:AE1"/>
    <mergeCell ref="N1:V1"/>
    <mergeCell ref="L1:M1"/>
    <mergeCell ref="A1:C1"/>
    <mergeCell ref="D1:G1"/>
    <mergeCell ref="H1:K1"/>
  </mergeCells>
  <phoneticPr fontId="6" type="noConversion"/>
  <pageMargins left="0.7" right="0.7" top="0.75" bottom="0.75" header="0.3" footer="0.3"/>
  <pageSetup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1OORData"/>
  <dimension ref="A1:AK61"/>
  <sheetViews>
    <sheetView zoomScale="70" zoomScaleNormal="70" workbookViewId="0">
      <selection activeCell="A3" sqref="A3"/>
    </sheetView>
  </sheetViews>
  <sheetFormatPr defaultColWidth="5.54296875" defaultRowHeight="14.5" x14ac:dyDescent="0.35"/>
  <cols>
    <col min="1" max="2" width="20.54296875" customWidth="1"/>
    <col min="3" max="3" width="3.54296875" customWidth="1"/>
    <col min="4" max="6" width="20.54296875" customWidth="1"/>
    <col min="7" max="7" width="3.54296875" customWidth="1"/>
    <col min="8" max="10" width="20.54296875" customWidth="1"/>
    <col min="11" max="11" width="3.54296875" customWidth="1"/>
    <col min="12" max="37" width="20.54296875" customWidth="1"/>
  </cols>
  <sheetData>
    <row r="1" spans="1:37" ht="21.5" thickBot="1" x14ac:dyDescent="0.4">
      <c r="A1" s="1378" t="s">
        <v>662</v>
      </c>
      <c r="B1" s="1379"/>
      <c r="C1" s="60"/>
      <c r="D1" s="1380" t="s">
        <v>506</v>
      </c>
      <c r="E1" s="1381"/>
      <c r="F1" s="1382"/>
      <c r="G1" s="60"/>
      <c r="H1" s="1380" t="s">
        <v>508</v>
      </c>
      <c r="I1" s="1381"/>
      <c r="J1" s="1382"/>
      <c r="K1" s="60"/>
      <c r="L1" s="1383" t="s">
        <v>510</v>
      </c>
      <c r="M1" s="1384"/>
      <c r="N1" s="1375" t="s">
        <v>506</v>
      </c>
      <c r="O1" s="1376"/>
      <c r="P1" s="1376"/>
      <c r="Q1" s="1376"/>
      <c r="R1" s="1376"/>
      <c r="S1" s="1376"/>
      <c r="T1" s="1376"/>
      <c r="U1" s="1376"/>
      <c r="V1" s="1376"/>
      <c r="W1" s="1377"/>
      <c r="X1" s="1375" t="s">
        <v>508</v>
      </c>
      <c r="Y1" s="1376"/>
      <c r="Z1" s="1376"/>
      <c r="AA1" s="1376"/>
      <c r="AB1" s="1376"/>
      <c r="AC1" s="1376"/>
      <c r="AD1" s="1376"/>
      <c r="AE1" s="1376"/>
      <c r="AF1" s="1376"/>
      <c r="AG1" s="1376"/>
      <c r="AH1" s="660"/>
      <c r="AI1" s="660"/>
      <c r="AJ1" s="660"/>
      <c r="AK1" s="660"/>
    </row>
    <row r="2" spans="1:37" ht="44" thickBot="1" x14ac:dyDescent="0.4">
      <c r="A2" s="62" t="s">
        <v>511</v>
      </c>
      <c r="B2" s="63" t="s">
        <v>512</v>
      </c>
      <c r="C2" s="64" t="s">
        <v>513</v>
      </c>
      <c r="D2" s="71" t="s">
        <v>514</v>
      </c>
      <c r="E2" s="70" t="s">
        <v>515</v>
      </c>
      <c r="F2" s="72" t="s">
        <v>516</v>
      </c>
      <c r="G2" s="64" t="s">
        <v>580</v>
      </c>
      <c r="H2" s="62" t="s">
        <v>518</v>
      </c>
      <c r="I2" s="65" t="s">
        <v>519</v>
      </c>
      <c r="J2" s="66" t="s">
        <v>520</v>
      </c>
      <c r="K2" s="64" t="s">
        <v>581</v>
      </c>
      <c r="L2" s="62" t="s">
        <v>530</v>
      </c>
      <c r="M2" s="67" t="s">
        <v>584</v>
      </c>
      <c r="N2" s="62" t="s">
        <v>585</v>
      </c>
      <c r="O2" s="63" t="s">
        <v>586</v>
      </c>
      <c r="P2" s="63" t="s">
        <v>587</v>
      </c>
      <c r="Q2" s="63" t="s">
        <v>588</v>
      </c>
      <c r="R2" s="68" t="s">
        <v>589</v>
      </c>
      <c r="S2" s="69" t="s">
        <v>659</v>
      </c>
      <c r="T2" s="27" t="s">
        <v>620</v>
      </c>
      <c r="U2" s="27" t="s">
        <v>543</v>
      </c>
      <c r="V2" s="27" t="s">
        <v>544</v>
      </c>
      <c r="W2" s="28" t="s">
        <v>660</v>
      </c>
      <c r="X2" s="62" t="s">
        <v>663</v>
      </c>
      <c r="Y2" s="63" t="s">
        <v>664</v>
      </c>
      <c r="Z2" s="63" t="s">
        <v>665</v>
      </c>
      <c r="AA2" s="63" t="s">
        <v>666</v>
      </c>
      <c r="AB2" s="68" t="s">
        <v>667</v>
      </c>
      <c r="AC2" s="69" t="s">
        <v>668</v>
      </c>
      <c r="AD2" s="27" t="s">
        <v>605</v>
      </c>
      <c r="AE2" s="27" t="s">
        <v>565</v>
      </c>
      <c r="AF2" s="27" t="s">
        <v>566</v>
      </c>
      <c r="AG2" s="557" t="s">
        <v>661</v>
      </c>
      <c r="AH2" s="558" t="s">
        <v>1598</v>
      </c>
      <c r="AI2" s="558" t="s">
        <v>1602</v>
      </c>
      <c r="AJ2" s="558" t="s">
        <v>1599</v>
      </c>
      <c r="AK2" s="663" t="s">
        <v>1604</v>
      </c>
    </row>
    <row r="3" spans="1:37" x14ac:dyDescent="0.35">
      <c r="A3" s="128"/>
      <c r="B3" s="37" t="s">
        <v>115</v>
      </c>
      <c r="C3" s="58" t="s">
        <v>513</v>
      </c>
      <c r="D3" s="129" t="str">
        <f>IF(SUM(S1OORTbl[[#This Row],[Unrestricted Repair Units]:[Unrestricted ADU Reconstruct Units]])=0,"",SUM(S1OORTbl[[#This Row],[Unrestricted Repair Units]:[Unrestricted ADU Reconstruct Units]]))</f>
        <v/>
      </c>
      <c r="E3" s="74" t="str">
        <f xml:space="preserve">
IF(S1OORTbl[[#This Row],[TOTAL UNRESTRICTED]]=0,"",
S1OORTbl[[#This Row],[TOTAL UNRESTRICTED]]*
IF(S1_OOR_UnrestrictedTotalRequested&lt;=5000000,1,
5000000/S1_OOR_UnrestrictedTotalRequested)
)</f>
        <v/>
      </c>
      <c r="F3" s="61" t="str">
        <f>IF(S1OORTbl[[#This Row],[UNRESTRICTED FUNDING %]]=0,"",S1OORTbl[[#This Row],[UNRESTRICTED FUNDING %]])</f>
        <v/>
      </c>
      <c r="G3" s="58" t="s">
        <v>513</v>
      </c>
      <c r="H3" s="129" t="str">
        <f>IF(SUM(S1OORTbl[[#This Row],[Rural Repair Units]:[Rural ADU Reconstruct Units]])=0,"",SUM(S1OORTbl[[#This Row],[Rural Repair Units]:[Rural ADU Reconstruct Units]]))</f>
        <v/>
      </c>
      <c r="I3" s="98" t="str">
        <f xml:space="preserve">
IF(S1OORTbl[[#This Row],[TOTAL RURAL]]=0,"",
S1OORTbl[[#This Row],[TOTAL RURAL]]*
IF(S1_OOR_RuralTotalRequested&lt;=(5000000-E$61),1,
(5000000-E$61)/S1_OOR_RuralTotalRequested)
)</f>
        <v/>
      </c>
      <c r="J3" s="61" t="str">
        <f>IF(S1OORTbl[[#This Row],[RURAL FUNDING %]]=0,"",S1OORTbl[[#This Row],[RURAL FUNDING %]])</f>
        <v/>
      </c>
      <c r="K3" s="58" t="s">
        <v>513</v>
      </c>
      <c r="L3" s="166"/>
      <c r="M3" s="194"/>
      <c r="N3" s="130"/>
      <c r="O3" s="132"/>
      <c r="P3" s="132"/>
      <c r="Q3" s="132"/>
      <c r="R3" s="131"/>
      <c r="S3" s="61">
        <f>IF(S1OORTbl[[#This Row],[TOTAL UNRESTRICTED]]=0,0,S1OORTbl[[#This Row],[TOTAL UNRESTRICTED]]/S1_OOR_UnrestrictedTotalRequested)</f>
        <v>0</v>
      </c>
      <c r="T3" s="59">
        <f>IF(S1OORTbl[[#This Row],[ALL UNITS IN A HIGH OR HIGHEST RESOURCE AREA]]="Yes",10*S1OORTbl[[#This Row],[UNRESTRICTED FUNDING %]],0)</f>
        <v>0</v>
      </c>
      <c r="U3" s="59" cm="1">
        <f t="array" ref="U3">INDEX(CountyScoresTbl[OOR Community Need],ROW(S1OORTbl[[#This Row],[COUNTY]])-2,1)*S1OORTbl[[#This Row],[UNRESTRICTED FUNDING %]]</f>
        <v>0</v>
      </c>
      <c r="V3" s="59" cm="1">
        <f t="array" ref="V3">INDEX(CountyScoresTbl[OOR/ADU Total Feasibility Points Awarded],ROW(S1OORTbl[[#This Row],[COUNTY]])-2,1)*S1OORTbl[[#This Row],[UNRESTRICTED FUNDING %]]</f>
        <v>0</v>
      </c>
      <c r="W3" s="51" cm="1">
        <f t="array" ref="W3">INDEX(CountyScoresTbl[Farmworker Need Points Awarded],ROW(S1OORTbl[[#This Row],[COUNTY]])-2,1)*S1OORTbl[[#This Row],[UNRESTRICTED FUNDING %]]</f>
        <v>0</v>
      </c>
      <c r="X3" s="130"/>
      <c r="Y3" s="132"/>
      <c r="Z3" s="132"/>
      <c r="AA3" s="132"/>
      <c r="AB3" s="131"/>
      <c r="AC3" s="61">
        <f>IF(S1OORTbl[[#This Row],[TOTAL RURAL]]=0,0,S1OORTbl[[#This Row],[TOTAL RURAL]]/S1_OOR_RuralTotalRequested)</f>
        <v>0</v>
      </c>
      <c r="AD3" s="59">
        <f>IF(S1OORTbl[[#This Row],[ALL UNITS IN A HIGH OR HIGHEST RESOURCE AREA]]="Yes",10*S1OORTbl[[#This Row],[RURAL FUNDING %]],0)</f>
        <v>0</v>
      </c>
      <c r="AE3" s="59" cm="1">
        <f t="array" ref="AE3">INDEX(CountyScoresTbl[OOR Community Need],ROW(S1OORTbl[[#This Row],[COUNTY]])-2,1)*S1OORTbl[[#This Row],[RURAL FUNDING %]]</f>
        <v>0</v>
      </c>
      <c r="AF3" s="59" cm="1">
        <f t="array" ref="AF3">INDEX(CountyScoresTbl[OOR/ADU Total Feasibility Points Awarded],ROW(S1OORTbl[[#This Row],[COUNTY]])-2,1)*S1OORTbl[[#This Row],[RURAL FUNDING %]]</f>
        <v>0</v>
      </c>
      <c r="AG3" s="170" cm="1">
        <f t="array" ref="AG3">INDEX(CountyScoresTbl[Farmworker Need Points Awarded],ROW(S1OORTbl[[#This Row],[COUNTY]])-2,1)*S1OORTbl[[#This Row],[RURAL FUNDING %]]</f>
        <v>0</v>
      </c>
      <c r="AH3" s="563"/>
      <c r="AI3" s="664">
        <f>SUM(S1OORTbl[[#This Row],[UNRESTRICTED ADF]],S1OORTbl[[#This Row],[Unrestricted Funds Requesting]])</f>
        <v>0</v>
      </c>
      <c r="AJ3" s="563"/>
      <c r="AK3" s="664">
        <f>SUM(S1OORTbl[[#This Row],[Rural Funds Requesting]],S1OORTbl[[#This Row],[RURAL ADF]])</f>
        <v>0</v>
      </c>
    </row>
    <row r="4" spans="1:37" x14ac:dyDescent="0.35">
      <c r="A4" s="115"/>
      <c r="B4" s="5" t="s">
        <v>116</v>
      </c>
      <c r="C4" s="31" t="s">
        <v>513</v>
      </c>
      <c r="D4" s="109" t="str">
        <f>IF(SUM(S1OORTbl[[#This Row],[Unrestricted Repair Units]:[Unrestricted ADU Reconstruct Units]])=0,"",SUM(S1OORTbl[[#This Row],[Unrestricted Repair Units]:[Unrestricted ADU Reconstruct Units]]))</f>
        <v/>
      </c>
      <c r="E4" s="74" t="str">
        <f xml:space="preserve">
IF(S1OORTbl[[#This Row],[TOTAL UNRESTRICTED]]=0,"",
S1OORTbl[[#This Row],[TOTAL UNRESTRICTED]]*
IF(S1_OOR_UnrestrictedTotalRequested&lt;=5000000,1,
5000000/S1_OOR_UnrestrictedTotalRequested)
)</f>
        <v/>
      </c>
      <c r="F4" s="6" t="str">
        <f>IF(S1OORTbl[[#This Row],[UNRESTRICTED FUNDING %]]=0,"",S1OORTbl[[#This Row],[UNRESTRICTED FUNDING %]])</f>
        <v/>
      </c>
      <c r="G4" s="31" t="s">
        <v>513</v>
      </c>
      <c r="H4" s="109" t="str">
        <f>IF(SUM(S1OORTbl[[#This Row],[Rural Repair Units]:[Rural ADU Reconstruct Units]])=0,"",SUM(S1OORTbl[[#This Row],[Rural Repair Units]:[Rural ADU Reconstruct Units]]))</f>
        <v/>
      </c>
      <c r="I4" s="74" t="str">
        <f xml:space="preserve">
IF(S1OORTbl[[#This Row],[TOTAL RURAL]]=0,"",
S1OORTbl[[#This Row],[TOTAL RURAL]]*
IF(S1_OOR_RuralTotalRequested&lt;=(5000000-E$61),1,
(5000000-E$61)/S1_OOR_RuralTotalRequested)
)</f>
        <v/>
      </c>
      <c r="J4" s="6" t="str">
        <f>IF(S1OORTbl[[#This Row],[RURAL FUNDING %]]=0,"",S1OORTbl[[#This Row],[RURAL FUNDING %]])</f>
        <v/>
      </c>
      <c r="K4" s="31" t="s">
        <v>513</v>
      </c>
      <c r="L4" s="167"/>
      <c r="M4" s="199"/>
      <c r="N4" s="123"/>
      <c r="O4" s="117"/>
      <c r="P4" s="117"/>
      <c r="Q4" s="117"/>
      <c r="R4" s="118"/>
      <c r="S4" s="6">
        <f>IF(S1OORTbl[[#This Row],[TOTAL UNRESTRICTED]]=0,0,S1OORTbl[[#This Row],[TOTAL UNRESTRICTED]]/S1_OOR_UnrestrictedTotalRequested)</f>
        <v>0</v>
      </c>
      <c r="T4" s="7">
        <f>IF(S1OORTbl[[#This Row],[ALL UNITS IN A HIGH OR HIGHEST RESOURCE AREA]]="Yes",10*S1OORTbl[[#This Row],[UNRESTRICTED FUNDING %]],0)</f>
        <v>0</v>
      </c>
      <c r="U4" s="7" cm="1">
        <f t="array" ref="U4">INDEX(CountyScoresTbl[OOR Community Need],ROW(S1OORTbl[[#This Row],[COUNTY]])-2,1)*S1OORTbl[[#This Row],[UNRESTRICTED FUNDING %]]</f>
        <v>0</v>
      </c>
      <c r="V4" s="7" cm="1">
        <f t="array" ref="V4">INDEX(CountyScoresTbl[OOR/ADU Total Feasibility Points Awarded],ROW(S1OORTbl[[#This Row],[COUNTY]])-2,1)*S1OORTbl[[#This Row],[UNRESTRICTED FUNDING %]]</f>
        <v>0</v>
      </c>
      <c r="W4" s="8" cm="1">
        <f t="array" ref="W4">INDEX(CountyScoresTbl[Farmworker Need Points Awarded],ROW(S1OORTbl[[#This Row],[COUNTY]])-2,1)*S1OORTbl[[#This Row],[UNRESTRICTED FUNDING %]]</f>
        <v>0</v>
      </c>
      <c r="X4" s="123"/>
      <c r="Y4" s="117"/>
      <c r="Z4" s="117"/>
      <c r="AA4" s="117"/>
      <c r="AB4" s="118"/>
      <c r="AC4" s="6">
        <f>IF(S1OORTbl[[#This Row],[TOTAL RURAL]]=0,0,S1OORTbl[[#This Row],[TOTAL RURAL]]/S1_OOR_RuralTotalRequested)</f>
        <v>0</v>
      </c>
      <c r="AD4" s="7">
        <f>IF(S1OORTbl[[#This Row],[ALL UNITS IN A HIGH OR HIGHEST RESOURCE AREA]]="Yes",10*S1OORTbl[[#This Row],[RURAL FUNDING %]],0)</f>
        <v>0</v>
      </c>
      <c r="AE4" s="7" cm="1">
        <f t="array" ref="AE4">INDEX(CountyScoresTbl[OOR Community Need],ROW(S1OORTbl[[#This Row],[COUNTY]])-2,1)*S1OORTbl[[#This Row],[RURAL FUNDING %]]</f>
        <v>0</v>
      </c>
      <c r="AF4" s="7" cm="1">
        <f t="array" ref="AF4">INDEX(CountyScoresTbl[OOR/ADU Total Feasibility Points Awarded],ROW(S1OORTbl[[#This Row],[COUNTY]])-2,1)*S1OORTbl[[#This Row],[RURAL FUNDING %]]</f>
        <v>0</v>
      </c>
      <c r="AG4" s="73" cm="1">
        <f t="array" ref="AG4">INDEX(CountyScoresTbl[Farmworker Need Points Awarded],ROW(S1OORTbl[[#This Row],[COUNTY]])-2,1)*S1OORTbl[[#This Row],[RURAL FUNDING %]]</f>
        <v>0</v>
      </c>
      <c r="AH4" s="563"/>
      <c r="AI4" s="664">
        <f>SUM(S1OORTbl[[#This Row],[UNRESTRICTED ADF]],S1OORTbl[[#This Row],[Unrestricted Funds Requesting]])</f>
        <v>0</v>
      </c>
      <c r="AJ4" s="563"/>
      <c r="AK4" s="664">
        <f>SUM(S1OORTbl[[#This Row],[Rural Funds Requesting]],S1OORTbl[[#This Row],[RURAL ADF]])</f>
        <v>0</v>
      </c>
    </row>
    <row r="5" spans="1:37" x14ac:dyDescent="0.35">
      <c r="A5" s="116"/>
      <c r="B5" s="5" t="s">
        <v>117</v>
      </c>
      <c r="C5" s="31" t="s">
        <v>513</v>
      </c>
      <c r="D5" s="109" t="str">
        <f>IF(SUM(S1OORTbl[[#This Row],[Unrestricted Repair Units]:[Unrestricted ADU Reconstruct Units]])=0,"",SUM(S1OORTbl[[#This Row],[Unrestricted Repair Units]:[Unrestricted ADU Reconstruct Units]]))</f>
        <v/>
      </c>
      <c r="E5" s="74" t="str">
        <f xml:space="preserve">
IF(S1OORTbl[[#This Row],[TOTAL UNRESTRICTED]]=0,"",
S1OORTbl[[#This Row],[TOTAL UNRESTRICTED]]*
IF(S1_OOR_UnrestrictedTotalRequested&lt;=5000000,1,
5000000/S1_OOR_UnrestrictedTotalRequested)
)</f>
        <v/>
      </c>
      <c r="F5" s="6" t="str">
        <f>IF(S1OORTbl[[#This Row],[UNRESTRICTED FUNDING %]]=0,"",S1OORTbl[[#This Row],[UNRESTRICTED FUNDING %]])</f>
        <v/>
      </c>
      <c r="G5" s="31" t="s">
        <v>513</v>
      </c>
      <c r="H5" s="109" t="str">
        <f>IF(SUM(S1OORTbl[[#This Row],[Rural Repair Units]:[Rural ADU Reconstruct Units]])=0,"",SUM(S1OORTbl[[#This Row],[Rural Repair Units]:[Rural ADU Reconstruct Units]]))</f>
        <v/>
      </c>
      <c r="I5" s="74" t="str">
        <f xml:space="preserve">
IF(S1OORTbl[[#This Row],[TOTAL RURAL]]=0,"",
S1OORTbl[[#This Row],[TOTAL RURAL]]*
IF(S1_OOR_RuralTotalRequested&lt;=(5000000-E$61),1,
(5000000-E$61)/S1_OOR_RuralTotalRequested)
)</f>
        <v/>
      </c>
      <c r="J5" s="6" t="str">
        <f>IF(S1OORTbl[[#This Row],[RURAL FUNDING %]]=0,"",S1OORTbl[[#This Row],[RURAL FUNDING %]])</f>
        <v/>
      </c>
      <c r="K5" s="31" t="s">
        <v>513</v>
      </c>
      <c r="L5" s="124"/>
      <c r="M5" s="197"/>
      <c r="N5" s="124"/>
      <c r="O5" s="119"/>
      <c r="P5" s="119"/>
      <c r="Q5" s="119"/>
      <c r="R5" s="269"/>
      <c r="S5" s="6">
        <f>IF(S1OORTbl[[#This Row],[TOTAL UNRESTRICTED]]=0,0,S1OORTbl[[#This Row],[TOTAL UNRESTRICTED]]/S1_OOR_UnrestrictedTotalRequested)</f>
        <v>0</v>
      </c>
      <c r="T5" s="7">
        <f>IF(S1OORTbl[[#This Row],[ALL UNITS IN A HIGH OR HIGHEST RESOURCE AREA]]="Yes",10*S1OORTbl[[#This Row],[UNRESTRICTED FUNDING %]],0)</f>
        <v>0</v>
      </c>
      <c r="U5" s="7" cm="1">
        <f t="array" ref="U5">INDEX(CountyScoresTbl[OOR Community Need],ROW(S1OORTbl[[#This Row],[COUNTY]])-2,1)*S1OORTbl[[#This Row],[UNRESTRICTED FUNDING %]]</f>
        <v>0</v>
      </c>
      <c r="V5" s="7" cm="1">
        <f t="array" ref="V5">INDEX(CountyScoresTbl[OOR/ADU Total Feasibility Points Awarded],ROW(S1OORTbl[[#This Row],[COUNTY]])-2,1)*S1OORTbl[[#This Row],[UNRESTRICTED FUNDING %]]</f>
        <v>0</v>
      </c>
      <c r="W5" s="8" cm="1">
        <f t="array" ref="W5">INDEX(CountyScoresTbl[Farmworker Need Points Awarded],ROW(S1OORTbl[[#This Row],[COUNTY]])-2,1)*S1OORTbl[[#This Row],[UNRESTRICTED FUNDING %]]</f>
        <v>0</v>
      </c>
      <c r="X5" s="124"/>
      <c r="Y5" s="119"/>
      <c r="Z5" s="119"/>
      <c r="AA5" s="119"/>
      <c r="AB5" s="120"/>
      <c r="AC5" s="6">
        <f>IF(S1OORTbl[[#This Row],[TOTAL RURAL]]=0,0,S1OORTbl[[#This Row],[TOTAL RURAL]]/S1_OOR_RuralTotalRequested)</f>
        <v>0</v>
      </c>
      <c r="AD5" s="7">
        <f>IF(S1OORTbl[[#This Row],[ALL UNITS IN A HIGH OR HIGHEST RESOURCE AREA]]="Yes",10*S1OORTbl[[#This Row],[RURAL FUNDING %]],0)</f>
        <v>0</v>
      </c>
      <c r="AE5" s="7" cm="1">
        <f t="array" ref="AE5">INDEX(CountyScoresTbl[OOR Community Need],ROW(S1OORTbl[[#This Row],[COUNTY]])-2,1)*S1OORTbl[[#This Row],[RURAL FUNDING %]]</f>
        <v>0</v>
      </c>
      <c r="AF5" s="7" cm="1">
        <f t="array" ref="AF5">INDEX(CountyScoresTbl[OOR/ADU Total Feasibility Points Awarded],ROW(S1OORTbl[[#This Row],[COUNTY]])-2,1)*S1OORTbl[[#This Row],[RURAL FUNDING %]]</f>
        <v>0</v>
      </c>
      <c r="AG5" s="73" cm="1">
        <f t="array" ref="AG5">INDEX(CountyScoresTbl[Farmworker Need Points Awarded],ROW(S1OORTbl[[#This Row],[COUNTY]])-2,1)*S1OORTbl[[#This Row],[RURAL FUNDING %]]</f>
        <v>0</v>
      </c>
      <c r="AH5" s="564"/>
      <c r="AI5" s="664">
        <f>SUM(S1OORTbl[[#This Row],[UNRESTRICTED ADF]],S1OORTbl[[#This Row],[Unrestricted Funds Requesting]])</f>
        <v>0</v>
      </c>
      <c r="AJ5" s="564"/>
      <c r="AK5" s="664">
        <f>SUM(S1OORTbl[[#This Row],[Rural Funds Requesting]],S1OORTbl[[#This Row],[RURAL ADF]])</f>
        <v>0</v>
      </c>
    </row>
    <row r="6" spans="1:37" x14ac:dyDescent="0.35">
      <c r="A6" s="115"/>
      <c r="B6" s="5" t="s">
        <v>118</v>
      </c>
      <c r="C6" s="31" t="s">
        <v>513</v>
      </c>
      <c r="D6" s="109" t="str">
        <f>IF(SUM(S1OORTbl[[#This Row],[Unrestricted Repair Units]:[Unrestricted ADU Reconstruct Units]])=0,"",SUM(S1OORTbl[[#This Row],[Unrestricted Repair Units]:[Unrestricted ADU Reconstruct Units]]))</f>
        <v/>
      </c>
      <c r="E6" s="74" t="str">
        <f xml:space="preserve">
IF(S1OORTbl[[#This Row],[TOTAL UNRESTRICTED]]=0,"",
S1OORTbl[[#This Row],[TOTAL UNRESTRICTED]]*
IF(S1_OOR_UnrestrictedTotalRequested&lt;=5000000,1,
5000000/S1_OOR_UnrestrictedTotalRequested)
)</f>
        <v/>
      </c>
      <c r="F6" s="6" t="str">
        <f>IF(S1OORTbl[[#This Row],[UNRESTRICTED FUNDING %]]=0,"",S1OORTbl[[#This Row],[UNRESTRICTED FUNDING %]])</f>
        <v/>
      </c>
      <c r="G6" s="31" t="s">
        <v>513</v>
      </c>
      <c r="H6" s="109" t="str">
        <f>IF(SUM(S1OORTbl[[#This Row],[Rural Repair Units]:[Rural ADU Reconstruct Units]])=0,"",SUM(S1OORTbl[[#This Row],[Rural Repair Units]:[Rural ADU Reconstruct Units]]))</f>
        <v/>
      </c>
      <c r="I6" s="74" t="str">
        <f xml:space="preserve">
IF(S1OORTbl[[#This Row],[TOTAL RURAL]]=0,"",
S1OORTbl[[#This Row],[TOTAL RURAL]]*
IF(S1_OOR_RuralTotalRequested&lt;=(5000000-E$61),1,
(5000000-E$61)/S1_OOR_RuralTotalRequested)
)</f>
        <v/>
      </c>
      <c r="J6" s="6" t="str">
        <f>IF(S1OORTbl[[#This Row],[RURAL FUNDING %]]=0,"",S1OORTbl[[#This Row],[RURAL FUNDING %]])</f>
        <v/>
      </c>
      <c r="K6" s="31" t="s">
        <v>513</v>
      </c>
      <c r="L6" s="167"/>
      <c r="M6" s="199"/>
      <c r="N6" s="123"/>
      <c r="O6" s="117"/>
      <c r="P6" s="117"/>
      <c r="Q6" s="117"/>
      <c r="R6" s="118"/>
      <c r="S6" s="6">
        <f>IF(S1OORTbl[[#This Row],[TOTAL UNRESTRICTED]]=0,0,S1OORTbl[[#This Row],[TOTAL UNRESTRICTED]]/S1_OOR_UnrestrictedTotalRequested)</f>
        <v>0</v>
      </c>
      <c r="T6" s="7">
        <f>IF(S1OORTbl[[#This Row],[ALL UNITS IN A HIGH OR HIGHEST RESOURCE AREA]]="Yes",10*S1OORTbl[[#This Row],[UNRESTRICTED FUNDING %]],0)</f>
        <v>0</v>
      </c>
      <c r="U6" s="7" cm="1">
        <f t="array" ref="U6">INDEX(CountyScoresTbl[OOR Community Need],ROW(S1OORTbl[[#This Row],[COUNTY]])-2,1)*S1OORTbl[[#This Row],[UNRESTRICTED FUNDING %]]</f>
        <v>0</v>
      </c>
      <c r="V6" s="7" cm="1">
        <f t="array" ref="V6">INDEX(CountyScoresTbl[OOR/ADU Total Feasibility Points Awarded],ROW(S1OORTbl[[#This Row],[COUNTY]])-2,1)*S1OORTbl[[#This Row],[UNRESTRICTED FUNDING %]]</f>
        <v>0</v>
      </c>
      <c r="W6" s="8" cm="1">
        <f t="array" ref="W6">INDEX(CountyScoresTbl[Farmworker Need Points Awarded],ROW(S1OORTbl[[#This Row],[COUNTY]])-2,1)*S1OORTbl[[#This Row],[UNRESTRICTED FUNDING %]]</f>
        <v>0</v>
      </c>
      <c r="X6" s="123"/>
      <c r="Y6" s="117"/>
      <c r="Z6" s="117"/>
      <c r="AA6" s="117"/>
      <c r="AB6" s="118"/>
      <c r="AC6" s="6">
        <f>IF(S1OORTbl[[#This Row],[TOTAL RURAL]]=0,0,S1OORTbl[[#This Row],[TOTAL RURAL]]/S1_OOR_RuralTotalRequested)</f>
        <v>0</v>
      </c>
      <c r="AD6" s="7">
        <f>IF(S1OORTbl[[#This Row],[ALL UNITS IN A HIGH OR HIGHEST RESOURCE AREA]]="Yes",10*S1OORTbl[[#This Row],[RURAL FUNDING %]],0)</f>
        <v>0</v>
      </c>
      <c r="AE6" s="7" cm="1">
        <f t="array" ref="AE6">INDEX(CountyScoresTbl[OOR Community Need],ROW(S1OORTbl[[#This Row],[COUNTY]])-2,1)*S1OORTbl[[#This Row],[RURAL FUNDING %]]</f>
        <v>0</v>
      </c>
      <c r="AF6" s="7" cm="1">
        <f t="array" ref="AF6">INDEX(CountyScoresTbl[OOR/ADU Total Feasibility Points Awarded],ROW(S1OORTbl[[#This Row],[COUNTY]])-2,1)*S1OORTbl[[#This Row],[RURAL FUNDING %]]</f>
        <v>0</v>
      </c>
      <c r="AG6" s="73" cm="1">
        <f t="array" ref="AG6">INDEX(CountyScoresTbl[Farmworker Need Points Awarded],ROW(S1OORTbl[[#This Row],[COUNTY]])-2,1)*S1OORTbl[[#This Row],[RURAL FUNDING %]]</f>
        <v>0</v>
      </c>
      <c r="AH6" s="564"/>
      <c r="AI6" s="664">
        <f>SUM(S1OORTbl[[#This Row],[UNRESTRICTED ADF]],S1OORTbl[[#This Row],[Unrestricted Funds Requesting]])</f>
        <v>0</v>
      </c>
      <c r="AJ6" s="564"/>
      <c r="AK6" s="664">
        <f>SUM(S1OORTbl[[#This Row],[Rural Funds Requesting]],S1OORTbl[[#This Row],[RURAL ADF]])</f>
        <v>0</v>
      </c>
    </row>
    <row r="7" spans="1:37" x14ac:dyDescent="0.35">
      <c r="A7" s="115"/>
      <c r="B7" s="5" t="s">
        <v>119</v>
      </c>
      <c r="C7" s="31" t="s">
        <v>513</v>
      </c>
      <c r="D7" s="109" t="str">
        <f>IF(SUM(S1OORTbl[[#This Row],[Unrestricted Repair Units]:[Unrestricted ADU Reconstruct Units]])=0,"",SUM(S1OORTbl[[#This Row],[Unrestricted Repair Units]:[Unrestricted ADU Reconstruct Units]]))</f>
        <v/>
      </c>
      <c r="E7" s="74" t="str">
        <f xml:space="preserve">
IF(S1OORTbl[[#This Row],[TOTAL UNRESTRICTED]]=0,"",
S1OORTbl[[#This Row],[TOTAL UNRESTRICTED]]*
IF(S1_OOR_UnrestrictedTotalRequested&lt;=5000000,1,
5000000/S1_OOR_UnrestrictedTotalRequested)
)</f>
        <v/>
      </c>
      <c r="F7" s="6" t="str">
        <f>IF(S1OORTbl[[#This Row],[UNRESTRICTED FUNDING %]]=0,"",S1OORTbl[[#This Row],[UNRESTRICTED FUNDING %]])</f>
        <v/>
      </c>
      <c r="G7" s="31" t="s">
        <v>513</v>
      </c>
      <c r="H7" s="109" t="str">
        <f>IF(SUM(S1OORTbl[[#This Row],[Rural Repair Units]:[Rural ADU Reconstruct Units]])=0,"",SUM(S1OORTbl[[#This Row],[Rural Repair Units]:[Rural ADU Reconstruct Units]]))</f>
        <v/>
      </c>
      <c r="I7" s="74" t="str">
        <f xml:space="preserve">
IF(S1OORTbl[[#This Row],[TOTAL RURAL]]=0,"",
S1OORTbl[[#This Row],[TOTAL RURAL]]*
IF(S1_OOR_RuralTotalRequested&lt;=(5000000-E$61),1,
(5000000-E$61)/S1_OOR_RuralTotalRequested)
)</f>
        <v/>
      </c>
      <c r="J7" s="6" t="str">
        <f>IF(S1OORTbl[[#This Row],[RURAL FUNDING %]]=0,"",S1OORTbl[[#This Row],[RURAL FUNDING %]])</f>
        <v/>
      </c>
      <c r="K7" s="31" t="s">
        <v>513</v>
      </c>
      <c r="L7" s="167"/>
      <c r="M7" s="199"/>
      <c r="N7" s="123"/>
      <c r="O7" s="117"/>
      <c r="P7" s="117"/>
      <c r="Q7" s="117"/>
      <c r="R7" s="118"/>
      <c r="S7" s="6">
        <f>IF(S1OORTbl[[#This Row],[TOTAL UNRESTRICTED]]=0,0,S1OORTbl[[#This Row],[TOTAL UNRESTRICTED]]/S1_OOR_UnrestrictedTotalRequested)</f>
        <v>0</v>
      </c>
      <c r="T7" s="7">
        <f>IF(S1OORTbl[[#This Row],[ALL UNITS IN A HIGH OR HIGHEST RESOURCE AREA]]="Yes",10*S1OORTbl[[#This Row],[UNRESTRICTED FUNDING %]],0)</f>
        <v>0</v>
      </c>
      <c r="U7" s="7" cm="1">
        <f t="array" ref="U7">INDEX(CountyScoresTbl[OOR Community Need],ROW(S1OORTbl[[#This Row],[COUNTY]])-2,1)*S1OORTbl[[#This Row],[UNRESTRICTED FUNDING %]]</f>
        <v>0</v>
      </c>
      <c r="V7" s="7" cm="1">
        <f t="array" ref="V7">INDEX(CountyScoresTbl[OOR/ADU Total Feasibility Points Awarded],ROW(S1OORTbl[[#This Row],[COUNTY]])-2,1)*S1OORTbl[[#This Row],[UNRESTRICTED FUNDING %]]</f>
        <v>0</v>
      </c>
      <c r="W7" s="8" cm="1">
        <f t="array" ref="W7">INDEX(CountyScoresTbl[Farmworker Need Points Awarded],ROW(S1OORTbl[[#This Row],[COUNTY]])-2,1)*S1OORTbl[[#This Row],[UNRESTRICTED FUNDING %]]</f>
        <v>0</v>
      </c>
      <c r="X7" s="123"/>
      <c r="Y7" s="117"/>
      <c r="Z7" s="117"/>
      <c r="AA7" s="117"/>
      <c r="AB7" s="118"/>
      <c r="AC7" s="6">
        <f>IF(S1OORTbl[[#This Row],[TOTAL RURAL]]=0,0,S1OORTbl[[#This Row],[TOTAL RURAL]]/S1_OOR_RuralTotalRequested)</f>
        <v>0</v>
      </c>
      <c r="AD7" s="7">
        <f>IF(S1OORTbl[[#This Row],[ALL UNITS IN A HIGH OR HIGHEST RESOURCE AREA]]="Yes",10*S1OORTbl[[#This Row],[RURAL FUNDING %]],0)</f>
        <v>0</v>
      </c>
      <c r="AE7" s="7" cm="1">
        <f t="array" ref="AE7">INDEX(CountyScoresTbl[OOR Community Need],ROW(S1OORTbl[[#This Row],[COUNTY]])-2,1)*S1OORTbl[[#This Row],[RURAL FUNDING %]]</f>
        <v>0</v>
      </c>
      <c r="AF7" s="7" cm="1">
        <f t="array" ref="AF7">INDEX(CountyScoresTbl[OOR/ADU Total Feasibility Points Awarded],ROW(S1OORTbl[[#This Row],[COUNTY]])-2,1)*S1OORTbl[[#This Row],[RURAL FUNDING %]]</f>
        <v>0</v>
      </c>
      <c r="AG7" s="73" cm="1">
        <f t="array" ref="AG7">INDEX(CountyScoresTbl[Farmworker Need Points Awarded],ROW(S1OORTbl[[#This Row],[COUNTY]])-2,1)*S1OORTbl[[#This Row],[RURAL FUNDING %]]</f>
        <v>0</v>
      </c>
      <c r="AH7" s="564"/>
      <c r="AI7" s="664">
        <f>SUM(S1OORTbl[[#This Row],[UNRESTRICTED ADF]],S1OORTbl[[#This Row],[Unrestricted Funds Requesting]])</f>
        <v>0</v>
      </c>
      <c r="AJ7" s="564"/>
      <c r="AK7" s="664">
        <f>SUM(S1OORTbl[[#This Row],[Rural Funds Requesting]],S1OORTbl[[#This Row],[RURAL ADF]])</f>
        <v>0</v>
      </c>
    </row>
    <row r="8" spans="1:37" x14ac:dyDescent="0.35">
      <c r="A8" s="115"/>
      <c r="B8" s="5" t="s">
        <v>120</v>
      </c>
      <c r="C8" s="31" t="s">
        <v>513</v>
      </c>
      <c r="D8" s="109" t="str">
        <f>IF(SUM(S1OORTbl[[#This Row],[Unrestricted Repair Units]:[Unrestricted ADU Reconstruct Units]])=0,"",SUM(S1OORTbl[[#This Row],[Unrestricted Repair Units]:[Unrestricted ADU Reconstruct Units]]))</f>
        <v/>
      </c>
      <c r="E8" s="74" t="str">
        <f xml:space="preserve">
IF(S1OORTbl[[#This Row],[TOTAL UNRESTRICTED]]=0,"",
S1OORTbl[[#This Row],[TOTAL UNRESTRICTED]]*
IF(S1_OOR_UnrestrictedTotalRequested&lt;=5000000,1,
5000000/S1_OOR_UnrestrictedTotalRequested)
)</f>
        <v/>
      </c>
      <c r="F8" s="6" t="str">
        <f>IF(S1OORTbl[[#This Row],[UNRESTRICTED FUNDING %]]=0,"",S1OORTbl[[#This Row],[UNRESTRICTED FUNDING %]])</f>
        <v/>
      </c>
      <c r="G8" s="31" t="s">
        <v>513</v>
      </c>
      <c r="H8" s="109" t="str">
        <f>IF(SUM(S1OORTbl[[#This Row],[Rural Repair Units]:[Rural ADU Reconstruct Units]])=0,"",SUM(S1OORTbl[[#This Row],[Rural Repair Units]:[Rural ADU Reconstruct Units]]))</f>
        <v/>
      </c>
      <c r="I8" s="74" t="str">
        <f xml:space="preserve">
IF(S1OORTbl[[#This Row],[TOTAL RURAL]]=0,"",
S1OORTbl[[#This Row],[TOTAL RURAL]]*
IF(S1_OOR_RuralTotalRequested&lt;=(5000000-E$61),1,
(5000000-E$61)/S1_OOR_RuralTotalRequested)
)</f>
        <v/>
      </c>
      <c r="J8" s="6" t="str">
        <f>IF(S1OORTbl[[#This Row],[RURAL FUNDING %]]=0,"",S1OORTbl[[#This Row],[RURAL FUNDING %]])</f>
        <v/>
      </c>
      <c r="K8" s="31" t="s">
        <v>513</v>
      </c>
      <c r="L8" s="167"/>
      <c r="M8" s="199"/>
      <c r="N8" s="123"/>
      <c r="O8" s="117"/>
      <c r="P8" s="117"/>
      <c r="Q8" s="117"/>
      <c r="R8" s="118"/>
      <c r="S8" s="6">
        <f>IF(S1OORTbl[[#This Row],[TOTAL UNRESTRICTED]]=0,0,S1OORTbl[[#This Row],[TOTAL UNRESTRICTED]]/S1_OOR_UnrestrictedTotalRequested)</f>
        <v>0</v>
      </c>
      <c r="T8" s="7">
        <f>IF(S1OORTbl[[#This Row],[ALL UNITS IN A HIGH OR HIGHEST RESOURCE AREA]]="Yes",10*S1OORTbl[[#This Row],[UNRESTRICTED FUNDING %]],0)</f>
        <v>0</v>
      </c>
      <c r="U8" s="7" cm="1">
        <f t="array" ref="U8">INDEX(CountyScoresTbl[OOR Community Need],ROW(S1OORTbl[[#This Row],[COUNTY]])-2,1)*S1OORTbl[[#This Row],[UNRESTRICTED FUNDING %]]</f>
        <v>0</v>
      </c>
      <c r="V8" s="7" cm="1">
        <f t="array" ref="V8">INDEX(CountyScoresTbl[OOR/ADU Total Feasibility Points Awarded],ROW(S1OORTbl[[#This Row],[COUNTY]])-2,1)*S1OORTbl[[#This Row],[UNRESTRICTED FUNDING %]]</f>
        <v>0</v>
      </c>
      <c r="W8" s="8" cm="1">
        <f t="array" ref="W8">INDEX(CountyScoresTbl[Farmworker Need Points Awarded],ROW(S1OORTbl[[#This Row],[COUNTY]])-2,1)*S1OORTbl[[#This Row],[UNRESTRICTED FUNDING %]]</f>
        <v>0</v>
      </c>
      <c r="X8" s="123"/>
      <c r="Y8" s="117"/>
      <c r="Z8" s="117"/>
      <c r="AA8" s="117"/>
      <c r="AB8" s="118"/>
      <c r="AC8" s="6">
        <f>IF(S1OORTbl[[#This Row],[TOTAL RURAL]]=0,0,S1OORTbl[[#This Row],[TOTAL RURAL]]/S1_OOR_RuralTotalRequested)</f>
        <v>0</v>
      </c>
      <c r="AD8" s="7">
        <f>IF(S1OORTbl[[#This Row],[ALL UNITS IN A HIGH OR HIGHEST RESOURCE AREA]]="Yes",10*S1OORTbl[[#This Row],[RURAL FUNDING %]],0)</f>
        <v>0</v>
      </c>
      <c r="AE8" s="7" cm="1">
        <f t="array" ref="AE8">INDEX(CountyScoresTbl[OOR Community Need],ROW(S1OORTbl[[#This Row],[COUNTY]])-2,1)*S1OORTbl[[#This Row],[RURAL FUNDING %]]</f>
        <v>0</v>
      </c>
      <c r="AF8" s="7" cm="1">
        <f t="array" ref="AF8">INDEX(CountyScoresTbl[OOR/ADU Total Feasibility Points Awarded],ROW(S1OORTbl[[#This Row],[COUNTY]])-2,1)*S1OORTbl[[#This Row],[RURAL FUNDING %]]</f>
        <v>0</v>
      </c>
      <c r="AG8" s="73" cm="1">
        <f t="array" ref="AG8">INDEX(CountyScoresTbl[Farmworker Need Points Awarded],ROW(S1OORTbl[[#This Row],[COUNTY]])-2,1)*S1OORTbl[[#This Row],[RURAL FUNDING %]]</f>
        <v>0</v>
      </c>
      <c r="AH8" s="564"/>
      <c r="AI8" s="664">
        <f>SUM(S1OORTbl[[#This Row],[UNRESTRICTED ADF]],S1OORTbl[[#This Row],[Unrestricted Funds Requesting]])</f>
        <v>0</v>
      </c>
      <c r="AJ8" s="564"/>
      <c r="AK8" s="664">
        <f>SUM(S1OORTbl[[#This Row],[Rural Funds Requesting]],S1OORTbl[[#This Row],[RURAL ADF]])</f>
        <v>0</v>
      </c>
    </row>
    <row r="9" spans="1:37" x14ac:dyDescent="0.35">
      <c r="A9" s="115"/>
      <c r="B9" s="5" t="s">
        <v>121</v>
      </c>
      <c r="C9" s="31" t="s">
        <v>513</v>
      </c>
      <c r="D9" s="109" t="str">
        <f>IF(SUM(S1OORTbl[[#This Row],[Unrestricted Repair Units]:[Unrestricted ADU Reconstruct Units]])=0,"",SUM(S1OORTbl[[#This Row],[Unrestricted Repair Units]:[Unrestricted ADU Reconstruct Units]]))</f>
        <v/>
      </c>
      <c r="E9" s="74" t="str">
        <f xml:space="preserve">
IF(S1OORTbl[[#This Row],[TOTAL UNRESTRICTED]]=0,"",
S1OORTbl[[#This Row],[TOTAL UNRESTRICTED]]*
IF(S1_OOR_UnrestrictedTotalRequested&lt;=5000000,1,
5000000/S1_OOR_UnrestrictedTotalRequested)
)</f>
        <v/>
      </c>
      <c r="F9" s="6" t="str">
        <f>IF(S1OORTbl[[#This Row],[UNRESTRICTED FUNDING %]]=0,"",S1OORTbl[[#This Row],[UNRESTRICTED FUNDING %]])</f>
        <v/>
      </c>
      <c r="G9" s="31" t="s">
        <v>513</v>
      </c>
      <c r="H9" s="109" t="str">
        <f>IF(SUM(S1OORTbl[[#This Row],[Rural Repair Units]:[Rural ADU Reconstruct Units]])=0,"",SUM(S1OORTbl[[#This Row],[Rural Repair Units]:[Rural ADU Reconstruct Units]]))</f>
        <v/>
      </c>
      <c r="I9" s="74" t="str">
        <f xml:space="preserve">
IF(S1OORTbl[[#This Row],[TOTAL RURAL]]=0,"",
S1OORTbl[[#This Row],[TOTAL RURAL]]*
IF(S1_OOR_RuralTotalRequested&lt;=(5000000-E$61),1,
(5000000-E$61)/S1_OOR_RuralTotalRequested)
)</f>
        <v/>
      </c>
      <c r="J9" s="6" t="str">
        <f>IF(S1OORTbl[[#This Row],[RURAL FUNDING %]]=0,"",S1OORTbl[[#This Row],[RURAL FUNDING %]])</f>
        <v/>
      </c>
      <c r="K9" s="31" t="s">
        <v>513</v>
      </c>
      <c r="L9" s="167"/>
      <c r="M9" s="199"/>
      <c r="N9" s="123"/>
      <c r="O9" s="117"/>
      <c r="P9" s="117"/>
      <c r="Q9" s="117"/>
      <c r="R9" s="118"/>
      <c r="S9" s="6">
        <f>IF(S1OORTbl[[#This Row],[TOTAL UNRESTRICTED]]=0,0,S1OORTbl[[#This Row],[TOTAL UNRESTRICTED]]/S1_OOR_UnrestrictedTotalRequested)</f>
        <v>0</v>
      </c>
      <c r="T9" s="7">
        <f>IF(S1OORTbl[[#This Row],[ALL UNITS IN A HIGH OR HIGHEST RESOURCE AREA]]="Yes",10*S1OORTbl[[#This Row],[UNRESTRICTED FUNDING %]],0)</f>
        <v>0</v>
      </c>
      <c r="U9" s="7" cm="1">
        <f t="array" ref="U9">INDEX(CountyScoresTbl[OOR Community Need],ROW(S1OORTbl[[#This Row],[COUNTY]])-2,1)*S1OORTbl[[#This Row],[UNRESTRICTED FUNDING %]]</f>
        <v>0</v>
      </c>
      <c r="V9" s="7" cm="1">
        <f t="array" ref="V9">INDEX(CountyScoresTbl[OOR/ADU Total Feasibility Points Awarded],ROW(S1OORTbl[[#This Row],[COUNTY]])-2,1)*S1OORTbl[[#This Row],[UNRESTRICTED FUNDING %]]</f>
        <v>0</v>
      </c>
      <c r="W9" s="8" cm="1">
        <f t="array" ref="W9">INDEX(CountyScoresTbl[Farmworker Need Points Awarded],ROW(S1OORTbl[[#This Row],[COUNTY]])-2,1)*S1OORTbl[[#This Row],[UNRESTRICTED FUNDING %]]</f>
        <v>0</v>
      </c>
      <c r="X9" s="123"/>
      <c r="Y9" s="117"/>
      <c r="Z9" s="117"/>
      <c r="AA9" s="117"/>
      <c r="AB9" s="118"/>
      <c r="AC9" s="6">
        <f>IF(S1OORTbl[[#This Row],[TOTAL RURAL]]=0,0,S1OORTbl[[#This Row],[TOTAL RURAL]]/S1_OOR_RuralTotalRequested)</f>
        <v>0</v>
      </c>
      <c r="AD9" s="7">
        <f>IF(S1OORTbl[[#This Row],[ALL UNITS IN A HIGH OR HIGHEST RESOURCE AREA]]="Yes",10*S1OORTbl[[#This Row],[RURAL FUNDING %]],0)</f>
        <v>0</v>
      </c>
      <c r="AE9" s="7" cm="1">
        <f t="array" ref="AE9">INDEX(CountyScoresTbl[OOR Community Need],ROW(S1OORTbl[[#This Row],[COUNTY]])-2,1)*S1OORTbl[[#This Row],[RURAL FUNDING %]]</f>
        <v>0</v>
      </c>
      <c r="AF9" s="7" cm="1">
        <f t="array" ref="AF9">INDEX(CountyScoresTbl[OOR/ADU Total Feasibility Points Awarded],ROW(S1OORTbl[[#This Row],[COUNTY]])-2,1)*S1OORTbl[[#This Row],[RURAL FUNDING %]]</f>
        <v>0</v>
      </c>
      <c r="AG9" s="73" cm="1">
        <f t="array" ref="AG9">INDEX(CountyScoresTbl[Farmworker Need Points Awarded],ROW(S1OORTbl[[#This Row],[COUNTY]])-2,1)*S1OORTbl[[#This Row],[RURAL FUNDING %]]</f>
        <v>0</v>
      </c>
      <c r="AH9" s="564"/>
      <c r="AI9" s="664">
        <f>SUM(S1OORTbl[[#This Row],[UNRESTRICTED ADF]],S1OORTbl[[#This Row],[Unrestricted Funds Requesting]])</f>
        <v>0</v>
      </c>
      <c r="AJ9" s="564"/>
      <c r="AK9" s="664">
        <f>SUM(S1OORTbl[[#This Row],[Rural Funds Requesting]],S1OORTbl[[#This Row],[RURAL ADF]])</f>
        <v>0</v>
      </c>
    </row>
    <row r="10" spans="1:37" x14ac:dyDescent="0.35">
      <c r="A10" s="115"/>
      <c r="B10" s="5" t="s">
        <v>122</v>
      </c>
      <c r="C10" s="31" t="s">
        <v>513</v>
      </c>
      <c r="D10" s="109" t="str">
        <f>IF(SUM(S1OORTbl[[#This Row],[Unrestricted Repair Units]:[Unrestricted ADU Reconstruct Units]])=0,"",SUM(S1OORTbl[[#This Row],[Unrestricted Repair Units]:[Unrestricted ADU Reconstruct Units]]))</f>
        <v/>
      </c>
      <c r="E10" s="74" t="str">
        <f xml:space="preserve">
IF(S1OORTbl[[#This Row],[TOTAL UNRESTRICTED]]=0,"",
S1OORTbl[[#This Row],[TOTAL UNRESTRICTED]]*
IF(S1_OOR_UnrestrictedTotalRequested&lt;=5000000,1,
5000000/S1_OOR_UnrestrictedTotalRequested)
)</f>
        <v/>
      </c>
      <c r="F10" s="6" t="str">
        <f>IF(S1OORTbl[[#This Row],[UNRESTRICTED FUNDING %]]=0,"",S1OORTbl[[#This Row],[UNRESTRICTED FUNDING %]])</f>
        <v/>
      </c>
      <c r="G10" s="31" t="s">
        <v>513</v>
      </c>
      <c r="H10" s="109" t="str">
        <f>IF(SUM(S1OORTbl[[#This Row],[Rural Repair Units]:[Rural ADU Reconstruct Units]])=0,"",SUM(S1OORTbl[[#This Row],[Rural Repair Units]:[Rural ADU Reconstruct Units]]))</f>
        <v/>
      </c>
      <c r="I10" s="74" t="str">
        <f xml:space="preserve">
IF(S1OORTbl[[#This Row],[TOTAL RURAL]]=0,"",
S1OORTbl[[#This Row],[TOTAL RURAL]]*
IF(S1_OOR_RuralTotalRequested&lt;=(5000000-E$61),1,
(5000000-E$61)/S1_OOR_RuralTotalRequested)
)</f>
        <v/>
      </c>
      <c r="J10" s="6" t="str">
        <f>IF(S1OORTbl[[#This Row],[RURAL FUNDING %]]=0,"",S1OORTbl[[#This Row],[RURAL FUNDING %]])</f>
        <v/>
      </c>
      <c r="K10" s="31" t="s">
        <v>513</v>
      </c>
      <c r="L10" s="167"/>
      <c r="M10" s="199"/>
      <c r="N10" s="123"/>
      <c r="O10" s="117"/>
      <c r="P10" s="117"/>
      <c r="Q10" s="117"/>
      <c r="R10" s="118"/>
      <c r="S10" s="6">
        <f>IF(S1OORTbl[[#This Row],[TOTAL UNRESTRICTED]]=0,0,S1OORTbl[[#This Row],[TOTAL UNRESTRICTED]]/S1_OOR_UnrestrictedTotalRequested)</f>
        <v>0</v>
      </c>
      <c r="T10" s="7">
        <f>IF(S1OORTbl[[#This Row],[ALL UNITS IN A HIGH OR HIGHEST RESOURCE AREA]]="Yes",10*S1OORTbl[[#This Row],[UNRESTRICTED FUNDING %]],0)</f>
        <v>0</v>
      </c>
      <c r="U10" s="7" cm="1">
        <f t="array" ref="U10">INDEX(CountyScoresTbl[OOR Community Need],ROW(S1OORTbl[[#This Row],[COUNTY]])-2,1)*S1OORTbl[[#This Row],[UNRESTRICTED FUNDING %]]</f>
        <v>0</v>
      </c>
      <c r="V10" s="7" cm="1">
        <f t="array" ref="V10">INDEX(CountyScoresTbl[OOR/ADU Total Feasibility Points Awarded],ROW(S1OORTbl[[#This Row],[COUNTY]])-2,1)*S1OORTbl[[#This Row],[UNRESTRICTED FUNDING %]]</f>
        <v>0</v>
      </c>
      <c r="W10" s="8" cm="1">
        <f t="array" ref="W10">INDEX(CountyScoresTbl[Farmworker Need Points Awarded],ROW(S1OORTbl[[#This Row],[COUNTY]])-2,1)*S1OORTbl[[#This Row],[UNRESTRICTED FUNDING %]]</f>
        <v>0</v>
      </c>
      <c r="X10" s="123"/>
      <c r="Y10" s="117"/>
      <c r="Z10" s="117"/>
      <c r="AA10" s="117"/>
      <c r="AB10" s="118"/>
      <c r="AC10" s="6">
        <f>IF(S1OORTbl[[#This Row],[TOTAL RURAL]]=0,0,S1OORTbl[[#This Row],[TOTAL RURAL]]/S1_OOR_RuralTotalRequested)</f>
        <v>0</v>
      </c>
      <c r="AD10" s="7">
        <f>IF(S1OORTbl[[#This Row],[ALL UNITS IN A HIGH OR HIGHEST RESOURCE AREA]]="Yes",10*S1OORTbl[[#This Row],[RURAL FUNDING %]],0)</f>
        <v>0</v>
      </c>
      <c r="AE10" s="7" cm="1">
        <f t="array" ref="AE10">INDEX(CountyScoresTbl[OOR Community Need],ROW(S1OORTbl[[#This Row],[COUNTY]])-2,1)*S1OORTbl[[#This Row],[RURAL FUNDING %]]</f>
        <v>0</v>
      </c>
      <c r="AF10" s="7" cm="1">
        <f t="array" ref="AF10">INDEX(CountyScoresTbl[OOR/ADU Total Feasibility Points Awarded],ROW(S1OORTbl[[#This Row],[COUNTY]])-2,1)*S1OORTbl[[#This Row],[RURAL FUNDING %]]</f>
        <v>0</v>
      </c>
      <c r="AG10" s="73" cm="1">
        <f t="array" ref="AG10">INDEX(CountyScoresTbl[Farmworker Need Points Awarded],ROW(S1OORTbl[[#This Row],[COUNTY]])-2,1)*S1OORTbl[[#This Row],[RURAL FUNDING %]]</f>
        <v>0</v>
      </c>
      <c r="AH10" s="564"/>
      <c r="AI10" s="664">
        <f>SUM(S1OORTbl[[#This Row],[UNRESTRICTED ADF]],S1OORTbl[[#This Row],[Unrestricted Funds Requesting]])</f>
        <v>0</v>
      </c>
      <c r="AJ10" s="564"/>
      <c r="AK10" s="664">
        <f>SUM(S1OORTbl[[#This Row],[Rural Funds Requesting]],S1OORTbl[[#This Row],[RURAL ADF]])</f>
        <v>0</v>
      </c>
    </row>
    <row r="11" spans="1:37" x14ac:dyDescent="0.35">
      <c r="A11" s="115"/>
      <c r="B11" s="5" t="s">
        <v>123</v>
      </c>
      <c r="C11" s="31" t="s">
        <v>513</v>
      </c>
      <c r="D11" s="109" t="str">
        <f>IF(SUM(S1OORTbl[[#This Row],[Unrestricted Repair Units]:[Unrestricted ADU Reconstruct Units]])=0,"",SUM(S1OORTbl[[#This Row],[Unrestricted Repair Units]:[Unrestricted ADU Reconstruct Units]]))</f>
        <v/>
      </c>
      <c r="E11" s="74" t="str">
        <f xml:space="preserve">
IF(S1OORTbl[[#This Row],[TOTAL UNRESTRICTED]]=0,"",
S1OORTbl[[#This Row],[TOTAL UNRESTRICTED]]*
IF(S1_OOR_UnrestrictedTotalRequested&lt;=5000000,1,
5000000/S1_OOR_UnrestrictedTotalRequested)
)</f>
        <v/>
      </c>
      <c r="F11" s="6" t="str">
        <f>IF(S1OORTbl[[#This Row],[UNRESTRICTED FUNDING %]]=0,"",S1OORTbl[[#This Row],[UNRESTRICTED FUNDING %]])</f>
        <v/>
      </c>
      <c r="G11" s="31" t="s">
        <v>513</v>
      </c>
      <c r="H11" s="109" t="str">
        <f>IF(SUM(S1OORTbl[[#This Row],[Rural Repair Units]:[Rural ADU Reconstruct Units]])=0,"",SUM(S1OORTbl[[#This Row],[Rural Repair Units]:[Rural ADU Reconstruct Units]]))</f>
        <v/>
      </c>
      <c r="I11" s="74" t="str">
        <f xml:space="preserve">
IF(S1OORTbl[[#This Row],[TOTAL RURAL]]=0,"",
S1OORTbl[[#This Row],[TOTAL RURAL]]*
IF(S1_OOR_RuralTotalRequested&lt;=(5000000-E$61),1,
(5000000-E$61)/S1_OOR_RuralTotalRequested)
)</f>
        <v/>
      </c>
      <c r="J11" s="6" t="str">
        <f>IF(S1OORTbl[[#This Row],[RURAL FUNDING %]]=0,"",S1OORTbl[[#This Row],[RURAL FUNDING %]])</f>
        <v/>
      </c>
      <c r="K11" s="31" t="s">
        <v>513</v>
      </c>
      <c r="L11" s="167"/>
      <c r="M11" s="199"/>
      <c r="N11" s="123"/>
      <c r="O11" s="117"/>
      <c r="P11" s="117"/>
      <c r="Q11" s="117"/>
      <c r="R11" s="118"/>
      <c r="S11" s="6">
        <f>IF(S1OORTbl[[#This Row],[TOTAL UNRESTRICTED]]=0,0,S1OORTbl[[#This Row],[TOTAL UNRESTRICTED]]/S1_OOR_UnrestrictedTotalRequested)</f>
        <v>0</v>
      </c>
      <c r="T11" s="7">
        <f>IF(S1OORTbl[[#This Row],[ALL UNITS IN A HIGH OR HIGHEST RESOURCE AREA]]="Yes",10*S1OORTbl[[#This Row],[UNRESTRICTED FUNDING %]],0)</f>
        <v>0</v>
      </c>
      <c r="U11" s="7" cm="1">
        <f t="array" ref="U11">INDEX(CountyScoresTbl[OOR Community Need],ROW(S1OORTbl[[#This Row],[COUNTY]])-2,1)*S1OORTbl[[#This Row],[UNRESTRICTED FUNDING %]]</f>
        <v>0</v>
      </c>
      <c r="V11" s="7" cm="1">
        <f t="array" ref="V11">INDEX(CountyScoresTbl[OOR/ADU Total Feasibility Points Awarded],ROW(S1OORTbl[[#This Row],[COUNTY]])-2,1)*S1OORTbl[[#This Row],[UNRESTRICTED FUNDING %]]</f>
        <v>0</v>
      </c>
      <c r="W11" s="8" cm="1">
        <f t="array" ref="W11">INDEX(CountyScoresTbl[Farmworker Need Points Awarded],ROW(S1OORTbl[[#This Row],[COUNTY]])-2,1)*S1OORTbl[[#This Row],[UNRESTRICTED FUNDING %]]</f>
        <v>0</v>
      </c>
      <c r="X11" s="123"/>
      <c r="Y11" s="117"/>
      <c r="Z11" s="117"/>
      <c r="AA11" s="117"/>
      <c r="AB11" s="118"/>
      <c r="AC11" s="6">
        <f>IF(S1OORTbl[[#This Row],[TOTAL RURAL]]=0,0,S1OORTbl[[#This Row],[TOTAL RURAL]]/S1_OOR_RuralTotalRequested)</f>
        <v>0</v>
      </c>
      <c r="AD11" s="7">
        <f>IF(S1OORTbl[[#This Row],[ALL UNITS IN A HIGH OR HIGHEST RESOURCE AREA]]="Yes",10*S1OORTbl[[#This Row],[RURAL FUNDING %]],0)</f>
        <v>0</v>
      </c>
      <c r="AE11" s="7" cm="1">
        <f t="array" ref="AE11">INDEX(CountyScoresTbl[OOR Community Need],ROW(S1OORTbl[[#This Row],[COUNTY]])-2,1)*S1OORTbl[[#This Row],[RURAL FUNDING %]]</f>
        <v>0</v>
      </c>
      <c r="AF11" s="7" cm="1">
        <f t="array" ref="AF11">INDEX(CountyScoresTbl[OOR/ADU Total Feasibility Points Awarded],ROW(S1OORTbl[[#This Row],[COUNTY]])-2,1)*S1OORTbl[[#This Row],[RURAL FUNDING %]]</f>
        <v>0</v>
      </c>
      <c r="AG11" s="73" cm="1">
        <f t="array" ref="AG11">INDEX(CountyScoresTbl[Farmworker Need Points Awarded],ROW(S1OORTbl[[#This Row],[COUNTY]])-2,1)*S1OORTbl[[#This Row],[RURAL FUNDING %]]</f>
        <v>0</v>
      </c>
      <c r="AH11" s="564"/>
      <c r="AI11" s="664">
        <f>SUM(S1OORTbl[[#This Row],[UNRESTRICTED ADF]],S1OORTbl[[#This Row],[Unrestricted Funds Requesting]])</f>
        <v>0</v>
      </c>
      <c r="AJ11" s="564"/>
      <c r="AK11" s="664">
        <f>SUM(S1OORTbl[[#This Row],[Rural Funds Requesting]],S1OORTbl[[#This Row],[RURAL ADF]])</f>
        <v>0</v>
      </c>
    </row>
    <row r="12" spans="1:37" x14ac:dyDescent="0.35">
      <c r="A12" s="116"/>
      <c r="B12" s="5" t="s">
        <v>124</v>
      </c>
      <c r="C12" s="31" t="s">
        <v>513</v>
      </c>
      <c r="D12" s="109" t="str">
        <f>IF(SUM(S1OORTbl[[#This Row],[Unrestricted Repair Units]:[Unrestricted ADU Reconstruct Units]])=0,"",SUM(S1OORTbl[[#This Row],[Unrestricted Repair Units]:[Unrestricted ADU Reconstruct Units]]))</f>
        <v/>
      </c>
      <c r="E12" s="74" t="str">
        <f xml:space="preserve">
IF(S1OORTbl[[#This Row],[TOTAL UNRESTRICTED]]=0,"",
S1OORTbl[[#This Row],[TOTAL UNRESTRICTED]]*
IF(S1_OOR_UnrestrictedTotalRequested&lt;=5000000,1,
5000000/S1_OOR_UnrestrictedTotalRequested)
)</f>
        <v/>
      </c>
      <c r="F12" s="6" t="str">
        <f>IF(S1OORTbl[[#This Row],[UNRESTRICTED FUNDING %]]=0,"",S1OORTbl[[#This Row],[UNRESTRICTED FUNDING %]])</f>
        <v/>
      </c>
      <c r="G12" s="31" t="s">
        <v>513</v>
      </c>
      <c r="H12" s="109" t="str">
        <f>IF(SUM(S1OORTbl[[#This Row],[Rural Repair Units]:[Rural ADU Reconstruct Units]])=0,"",SUM(S1OORTbl[[#This Row],[Rural Repair Units]:[Rural ADU Reconstruct Units]]))</f>
        <v/>
      </c>
      <c r="I12" s="74" t="str">
        <f xml:space="preserve">
IF(S1OORTbl[[#This Row],[TOTAL RURAL]]=0,"",
S1OORTbl[[#This Row],[TOTAL RURAL]]*
IF(S1_OOR_RuralTotalRequested&lt;=(5000000-E$61),1,
(5000000-E$61)/S1_OOR_RuralTotalRequested)
)</f>
        <v/>
      </c>
      <c r="J12" s="6" t="str">
        <f>IF(S1OORTbl[[#This Row],[RURAL FUNDING %]]=0,"",S1OORTbl[[#This Row],[RURAL FUNDING %]])</f>
        <v/>
      </c>
      <c r="K12" s="31" t="s">
        <v>513</v>
      </c>
      <c r="L12" s="124"/>
      <c r="M12" s="197"/>
      <c r="N12" s="124"/>
      <c r="O12" s="119"/>
      <c r="P12" s="119"/>
      <c r="Q12" s="119"/>
      <c r="R12" s="269"/>
      <c r="S12" s="6">
        <f>IF(S1OORTbl[[#This Row],[TOTAL UNRESTRICTED]]=0,0,S1OORTbl[[#This Row],[TOTAL UNRESTRICTED]]/S1_OOR_UnrestrictedTotalRequested)</f>
        <v>0</v>
      </c>
      <c r="T12" s="7">
        <f>IF(S1OORTbl[[#This Row],[ALL UNITS IN A HIGH OR HIGHEST RESOURCE AREA]]="Yes",10*S1OORTbl[[#This Row],[UNRESTRICTED FUNDING %]],0)</f>
        <v>0</v>
      </c>
      <c r="U12" s="7" cm="1">
        <f t="array" ref="U12">INDEX(CountyScoresTbl[OOR Community Need],ROW(S1OORTbl[[#This Row],[COUNTY]])-2,1)*S1OORTbl[[#This Row],[UNRESTRICTED FUNDING %]]</f>
        <v>0</v>
      </c>
      <c r="V12" s="7" cm="1">
        <f t="array" ref="V12">INDEX(CountyScoresTbl[OOR/ADU Total Feasibility Points Awarded],ROW(S1OORTbl[[#This Row],[COUNTY]])-2,1)*S1OORTbl[[#This Row],[UNRESTRICTED FUNDING %]]</f>
        <v>0</v>
      </c>
      <c r="W12" s="8" cm="1">
        <f t="array" ref="W12">INDEX(CountyScoresTbl[Farmworker Need Points Awarded],ROW(S1OORTbl[[#This Row],[COUNTY]])-2,1)*S1OORTbl[[#This Row],[UNRESTRICTED FUNDING %]]</f>
        <v>0</v>
      </c>
      <c r="X12" s="124"/>
      <c r="Y12" s="119"/>
      <c r="Z12" s="119"/>
      <c r="AA12" s="119"/>
      <c r="AB12" s="120"/>
      <c r="AC12" s="6">
        <f>IF(S1OORTbl[[#This Row],[TOTAL RURAL]]=0,0,S1OORTbl[[#This Row],[TOTAL RURAL]]/S1_OOR_RuralTotalRequested)</f>
        <v>0</v>
      </c>
      <c r="AD12" s="7">
        <f>IF(S1OORTbl[[#This Row],[ALL UNITS IN A HIGH OR HIGHEST RESOURCE AREA]]="Yes",10*S1OORTbl[[#This Row],[RURAL FUNDING %]],0)</f>
        <v>0</v>
      </c>
      <c r="AE12" s="7" cm="1">
        <f t="array" ref="AE12">INDEX(CountyScoresTbl[OOR Community Need],ROW(S1OORTbl[[#This Row],[COUNTY]])-2,1)*S1OORTbl[[#This Row],[RURAL FUNDING %]]</f>
        <v>0</v>
      </c>
      <c r="AF12" s="7" cm="1">
        <f t="array" ref="AF12">INDEX(CountyScoresTbl[OOR/ADU Total Feasibility Points Awarded],ROW(S1OORTbl[[#This Row],[COUNTY]])-2,1)*S1OORTbl[[#This Row],[RURAL FUNDING %]]</f>
        <v>0</v>
      </c>
      <c r="AG12" s="73" cm="1">
        <f t="array" ref="AG12">INDEX(CountyScoresTbl[Farmworker Need Points Awarded],ROW(S1OORTbl[[#This Row],[COUNTY]])-2,1)*S1OORTbl[[#This Row],[RURAL FUNDING %]]</f>
        <v>0</v>
      </c>
      <c r="AH12" s="564"/>
      <c r="AI12" s="664">
        <f>SUM(S1OORTbl[[#This Row],[UNRESTRICTED ADF]],S1OORTbl[[#This Row],[Unrestricted Funds Requesting]])</f>
        <v>0</v>
      </c>
      <c r="AJ12" s="564"/>
      <c r="AK12" s="664">
        <f>SUM(S1OORTbl[[#This Row],[Rural Funds Requesting]],S1OORTbl[[#This Row],[RURAL ADF]])</f>
        <v>0</v>
      </c>
    </row>
    <row r="13" spans="1:37" x14ac:dyDescent="0.35">
      <c r="A13" s="115"/>
      <c r="B13" s="5" t="s">
        <v>125</v>
      </c>
      <c r="C13" s="31" t="s">
        <v>513</v>
      </c>
      <c r="D13" s="109" t="str">
        <f>IF(SUM(S1OORTbl[[#This Row],[Unrestricted Repair Units]:[Unrestricted ADU Reconstruct Units]])=0,"",SUM(S1OORTbl[[#This Row],[Unrestricted Repair Units]:[Unrestricted ADU Reconstruct Units]]))</f>
        <v/>
      </c>
      <c r="E13" s="74" t="str">
        <f xml:space="preserve">
IF(S1OORTbl[[#This Row],[TOTAL UNRESTRICTED]]=0,"",
S1OORTbl[[#This Row],[TOTAL UNRESTRICTED]]*
IF(S1_OOR_UnrestrictedTotalRequested&lt;=5000000,1,
5000000/S1_OOR_UnrestrictedTotalRequested)
)</f>
        <v/>
      </c>
      <c r="F13" s="6" t="str">
        <f>IF(S1OORTbl[[#This Row],[UNRESTRICTED FUNDING %]]=0,"",S1OORTbl[[#This Row],[UNRESTRICTED FUNDING %]])</f>
        <v/>
      </c>
      <c r="G13" s="31" t="s">
        <v>513</v>
      </c>
      <c r="H13" s="109" t="str">
        <f>IF(SUM(S1OORTbl[[#This Row],[Rural Repair Units]:[Rural ADU Reconstruct Units]])=0,"",SUM(S1OORTbl[[#This Row],[Rural Repair Units]:[Rural ADU Reconstruct Units]]))</f>
        <v/>
      </c>
      <c r="I13" s="74" t="str">
        <f xml:space="preserve">
IF(S1OORTbl[[#This Row],[TOTAL RURAL]]=0,"",
S1OORTbl[[#This Row],[TOTAL RURAL]]*
IF(S1_OOR_RuralTotalRequested&lt;=(5000000-E$61),1,
(5000000-E$61)/S1_OOR_RuralTotalRequested)
)</f>
        <v/>
      </c>
      <c r="J13" s="6" t="str">
        <f>IF(S1OORTbl[[#This Row],[RURAL FUNDING %]]=0,"",S1OORTbl[[#This Row],[RURAL FUNDING %]])</f>
        <v/>
      </c>
      <c r="K13" s="31" t="s">
        <v>513</v>
      </c>
      <c r="L13" s="167"/>
      <c r="M13" s="199"/>
      <c r="N13" s="123"/>
      <c r="O13" s="117"/>
      <c r="P13" s="117"/>
      <c r="Q13" s="117"/>
      <c r="R13" s="118"/>
      <c r="S13" s="6">
        <f>IF(S1OORTbl[[#This Row],[TOTAL UNRESTRICTED]]=0,0,S1OORTbl[[#This Row],[TOTAL UNRESTRICTED]]/S1_OOR_UnrestrictedTotalRequested)</f>
        <v>0</v>
      </c>
      <c r="T13" s="7">
        <f>IF(S1OORTbl[[#This Row],[ALL UNITS IN A HIGH OR HIGHEST RESOURCE AREA]]="Yes",10*S1OORTbl[[#This Row],[UNRESTRICTED FUNDING %]],0)</f>
        <v>0</v>
      </c>
      <c r="U13" s="7" cm="1">
        <f t="array" ref="U13">INDEX(CountyScoresTbl[OOR Community Need],ROW(S1OORTbl[[#This Row],[COUNTY]])-2,1)*S1OORTbl[[#This Row],[UNRESTRICTED FUNDING %]]</f>
        <v>0</v>
      </c>
      <c r="V13" s="7" cm="1">
        <f t="array" ref="V13">INDEX(CountyScoresTbl[OOR/ADU Total Feasibility Points Awarded],ROW(S1OORTbl[[#This Row],[COUNTY]])-2,1)*S1OORTbl[[#This Row],[UNRESTRICTED FUNDING %]]</f>
        <v>0</v>
      </c>
      <c r="W13" s="8" cm="1">
        <f t="array" ref="W13">INDEX(CountyScoresTbl[Farmworker Need Points Awarded],ROW(S1OORTbl[[#This Row],[COUNTY]])-2,1)*S1OORTbl[[#This Row],[UNRESTRICTED FUNDING %]]</f>
        <v>0</v>
      </c>
      <c r="X13" s="123"/>
      <c r="Y13" s="117"/>
      <c r="Z13" s="117"/>
      <c r="AA13" s="117"/>
      <c r="AB13" s="118"/>
      <c r="AC13" s="6">
        <f>IF(S1OORTbl[[#This Row],[TOTAL RURAL]]=0,0,S1OORTbl[[#This Row],[TOTAL RURAL]]/S1_OOR_RuralTotalRequested)</f>
        <v>0</v>
      </c>
      <c r="AD13" s="7">
        <f>IF(S1OORTbl[[#This Row],[ALL UNITS IN A HIGH OR HIGHEST RESOURCE AREA]]="Yes",10*S1OORTbl[[#This Row],[RURAL FUNDING %]],0)</f>
        <v>0</v>
      </c>
      <c r="AE13" s="7" cm="1">
        <f t="array" ref="AE13">INDEX(CountyScoresTbl[OOR Community Need],ROW(S1OORTbl[[#This Row],[COUNTY]])-2,1)*S1OORTbl[[#This Row],[RURAL FUNDING %]]</f>
        <v>0</v>
      </c>
      <c r="AF13" s="7" cm="1">
        <f t="array" ref="AF13">INDEX(CountyScoresTbl[OOR/ADU Total Feasibility Points Awarded],ROW(S1OORTbl[[#This Row],[COUNTY]])-2,1)*S1OORTbl[[#This Row],[RURAL FUNDING %]]</f>
        <v>0</v>
      </c>
      <c r="AG13" s="73" cm="1">
        <f t="array" ref="AG13">INDEX(CountyScoresTbl[Farmworker Need Points Awarded],ROW(S1OORTbl[[#This Row],[COUNTY]])-2,1)*S1OORTbl[[#This Row],[RURAL FUNDING %]]</f>
        <v>0</v>
      </c>
      <c r="AH13" s="564"/>
      <c r="AI13" s="664">
        <f>SUM(S1OORTbl[[#This Row],[UNRESTRICTED ADF]],S1OORTbl[[#This Row],[Unrestricted Funds Requesting]])</f>
        <v>0</v>
      </c>
      <c r="AJ13" s="564"/>
      <c r="AK13" s="664">
        <f>SUM(S1OORTbl[[#This Row],[Rural Funds Requesting]],S1OORTbl[[#This Row],[RURAL ADF]])</f>
        <v>0</v>
      </c>
    </row>
    <row r="14" spans="1:37" x14ac:dyDescent="0.35">
      <c r="A14" s="115"/>
      <c r="B14" s="5" t="s">
        <v>126</v>
      </c>
      <c r="C14" s="31" t="s">
        <v>513</v>
      </c>
      <c r="D14" s="109" t="str">
        <f>IF(SUM(S1OORTbl[[#This Row],[Unrestricted Repair Units]:[Unrestricted ADU Reconstruct Units]])=0,"",SUM(S1OORTbl[[#This Row],[Unrestricted Repair Units]:[Unrestricted ADU Reconstruct Units]]))</f>
        <v/>
      </c>
      <c r="E14" s="74" t="str">
        <f xml:space="preserve">
IF(S1OORTbl[[#This Row],[TOTAL UNRESTRICTED]]=0,"",
S1OORTbl[[#This Row],[TOTAL UNRESTRICTED]]*
IF(S1_OOR_UnrestrictedTotalRequested&lt;=5000000,1,
5000000/S1_OOR_UnrestrictedTotalRequested)
)</f>
        <v/>
      </c>
      <c r="F14" s="6" t="str">
        <f>IF(S1OORTbl[[#This Row],[UNRESTRICTED FUNDING %]]=0,"",S1OORTbl[[#This Row],[UNRESTRICTED FUNDING %]])</f>
        <v/>
      </c>
      <c r="G14" s="31" t="s">
        <v>513</v>
      </c>
      <c r="H14" s="109" t="str">
        <f>IF(SUM(S1OORTbl[[#This Row],[Rural Repair Units]:[Rural ADU Reconstruct Units]])=0,"",SUM(S1OORTbl[[#This Row],[Rural Repair Units]:[Rural ADU Reconstruct Units]]))</f>
        <v/>
      </c>
      <c r="I14" s="74" t="str">
        <f xml:space="preserve">
IF(S1OORTbl[[#This Row],[TOTAL RURAL]]=0,"",
S1OORTbl[[#This Row],[TOTAL RURAL]]*
IF(S1_OOR_RuralTotalRequested&lt;=(5000000-E$61),1,
(5000000-E$61)/S1_OOR_RuralTotalRequested)
)</f>
        <v/>
      </c>
      <c r="J14" s="6" t="str">
        <f>IF(S1OORTbl[[#This Row],[RURAL FUNDING %]]=0,"",S1OORTbl[[#This Row],[RURAL FUNDING %]])</f>
        <v/>
      </c>
      <c r="K14" s="31" t="s">
        <v>513</v>
      </c>
      <c r="L14" s="167"/>
      <c r="M14" s="199"/>
      <c r="N14" s="123"/>
      <c r="O14" s="117"/>
      <c r="P14" s="117"/>
      <c r="Q14" s="117"/>
      <c r="R14" s="118"/>
      <c r="S14" s="6">
        <f>IF(S1OORTbl[[#This Row],[TOTAL UNRESTRICTED]]=0,0,S1OORTbl[[#This Row],[TOTAL UNRESTRICTED]]/S1_OOR_UnrestrictedTotalRequested)</f>
        <v>0</v>
      </c>
      <c r="T14" s="7">
        <f>IF(S1OORTbl[[#This Row],[ALL UNITS IN A HIGH OR HIGHEST RESOURCE AREA]]="Yes",10*S1OORTbl[[#This Row],[UNRESTRICTED FUNDING %]],0)</f>
        <v>0</v>
      </c>
      <c r="U14" s="7" cm="1">
        <f t="array" ref="U14">INDEX(CountyScoresTbl[OOR Community Need],ROW(S1OORTbl[[#This Row],[COUNTY]])-2,1)*S1OORTbl[[#This Row],[UNRESTRICTED FUNDING %]]</f>
        <v>0</v>
      </c>
      <c r="V14" s="7" cm="1">
        <f t="array" ref="V14">INDEX(CountyScoresTbl[OOR/ADU Total Feasibility Points Awarded],ROW(S1OORTbl[[#This Row],[COUNTY]])-2,1)*S1OORTbl[[#This Row],[UNRESTRICTED FUNDING %]]</f>
        <v>0</v>
      </c>
      <c r="W14" s="8" cm="1">
        <f t="array" ref="W14">INDEX(CountyScoresTbl[Farmworker Need Points Awarded],ROW(S1OORTbl[[#This Row],[COUNTY]])-2,1)*S1OORTbl[[#This Row],[UNRESTRICTED FUNDING %]]</f>
        <v>0</v>
      </c>
      <c r="X14" s="123"/>
      <c r="Y14" s="117"/>
      <c r="Z14" s="117"/>
      <c r="AA14" s="117"/>
      <c r="AB14" s="118"/>
      <c r="AC14" s="6">
        <f>IF(S1OORTbl[[#This Row],[TOTAL RURAL]]=0,0,S1OORTbl[[#This Row],[TOTAL RURAL]]/S1_OOR_RuralTotalRequested)</f>
        <v>0</v>
      </c>
      <c r="AD14" s="7">
        <f>IF(S1OORTbl[[#This Row],[ALL UNITS IN A HIGH OR HIGHEST RESOURCE AREA]]="Yes",10*S1OORTbl[[#This Row],[RURAL FUNDING %]],0)</f>
        <v>0</v>
      </c>
      <c r="AE14" s="7" cm="1">
        <f t="array" ref="AE14">INDEX(CountyScoresTbl[OOR Community Need],ROW(S1OORTbl[[#This Row],[COUNTY]])-2,1)*S1OORTbl[[#This Row],[RURAL FUNDING %]]</f>
        <v>0</v>
      </c>
      <c r="AF14" s="7" cm="1">
        <f t="array" ref="AF14">INDEX(CountyScoresTbl[OOR/ADU Total Feasibility Points Awarded],ROW(S1OORTbl[[#This Row],[COUNTY]])-2,1)*S1OORTbl[[#This Row],[RURAL FUNDING %]]</f>
        <v>0</v>
      </c>
      <c r="AG14" s="73" cm="1">
        <f t="array" ref="AG14">INDEX(CountyScoresTbl[Farmworker Need Points Awarded],ROW(S1OORTbl[[#This Row],[COUNTY]])-2,1)*S1OORTbl[[#This Row],[RURAL FUNDING %]]</f>
        <v>0</v>
      </c>
      <c r="AH14" s="564"/>
      <c r="AI14" s="664">
        <f>SUM(S1OORTbl[[#This Row],[UNRESTRICTED ADF]],S1OORTbl[[#This Row],[Unrestricted Funds Requesting]])</f>
        <v>0</v>
      </c>
      <c r="AJ14" s="564"/>
      <c r="AK14" s="664">
        <f>SUM(S1OORTbl[[#This Row],[Rural Funds Requesting]],S1OORTbl[[#This Row],[RURAL ADF]])</f>
        <v>0</v>
      </c>
    </row>
    <row r="15" spans="1:37" x14ac:dyDescent="0.35">
      <c r="A15" s="115"/>
      <c r="B15" s="5" t="s">
        <v>127</v>
      </c>
      <c r="C15" s="31" t="s">
        <v>513</v>
      </c>
      <c r="D15" s="109" t="str">
        <f>IF(SUM(S1OORTbl[[#This Row],[Unrestricted Repair Units]:[Unrestricted ADU Reconstruct Units]])=0,"",SUM(S1OORTbl[[#This Row],[Unrestricted Repair Units]:[Unrestricted ADU Reconstruct Units]]))</f>
        <v/>
      </c>
      <c r="E15" s="74" t="str">
        <f xml:space="preserve">
IF(S1OORTbl[[#This Row],[TOTAL UNRESTRICTED]]=0,"",
S1OORTbl[[#This Row],[TOTAL UNRESTRICTED]]*
IF(S1_OOR_UnrestrictedTotalRequested&lt;=5000000,1,
5000000/S1_OOR_UnrestrictedTotalRequested)
)</f>
        <v/>
      </c>
      <c r="F15" s="6" t="str">
        <f>IF(S1OORTbl[[#This Row],[UNRESTRICTED FUNDING %]]=0,"",S1OORTbl[[#This Row],[UNRESTRICTED FUNDING %]])</f>
        <v/>
      </c>
      <c r="G15" s="31" t="s">
        <v>513</v>
      </c>
      <c r="H15" s="109" t="str">
        <f>IF(SUM(S1OORTbl[[#This Row],[Rural Repair Units]:[Rural ADU Reconstruct Units]])=0,"",SUM(S1OORTbl[[#This Row],[Rural Repair Units]:[Rural ADU Reconstruct Units]]))</f>
        <v/>
      </c>
      <c r="I15" s="74" t="str">
        <f xml:space="preserve">
IF(S1OORTbl[[#This Row],[TOTAL RURAL]]=0,"",
S1OORTbl[[#This Row],[TOTAL RURAL]]*
IF(S1_OOR_RuralTotalRequested&lt;=(5000000-E$61),1,
(5000000-E$61)/S1_OOR_RuralTotalRequested)
)</f>
        <v/>
      </c>
      <c r="J15" s="6" t="str">
        <f>IF(S1OORTbl[[#This Row],[RURAL FUNDING %]]=0,"",S1OORTbl[[#This Row],[RURAL FUNDING %]])</f>
        <v/>
      </c>
      <c r="K15" s="31" t="s">
        <v>513</v>
      </c>
      <c r="L15" s="167"/>
      <c r="M15" s="199"/>
      <c r="N15" s="123"/>
      <c r="O15" s="117"/>
      <c r="P15" s="117"/>
      <c r="Q15" s="117"/>
      <c r="R15" s="118"/>
      <c r="S15" s="6">
        <f>IF(S1OORTbl[[#This Row],[TOTAL UNRESTRICTED]]=0,0,S1OORTbl[[#This Row],[TOTAL UNRESTRICTED]]/S1_OOR_UnrestrictedTotalRequested)</f>
        <v>0</v>
      </c>
      <c r="T15" s="7">
        <f>IF(S1OORTbl[[#This Row],[ALL UNITS IN A HIGH OR HIGHEST RESOURCE AREA]]="Yes",10*S1OORTbl[[#This Row],[UNRESTRICTED FUNDING %]],0)</f>
        <v>0</v>
      </c>
      <c r="U15" s="7" cm="1">
        <f t="array" ref="U15">INDEX(CountyScoresTbl[OOR Community Need],ROW(S1OORTbl[[#This Row],[COUNTY]])-2,1)*S1OORTbl[[#This Row],[UNRESTRICTED FUNDING %]]</f>
        <v>0</v>
      </c>
      <c r="V15" s="7" cm="1">
        <f t="array" ref="V15">INDEX(CountyScoresTbl[OOR/ADU Total Feasibility Points Awarded],ROW(S1OORTbl[[#This Row],[COUNTY]])-2,1)*S1OORTbl[[#This Row],[UNRESTRICTED FUNDING %]]</f>
        <v>0</v>
      </c>
      <c r="W15" s="8" cm="1">
        <f t="array" ref="W15">INDEX(CountyScoresTbl[Farmworker Need Points Awarded],ROW(S1OORTbl[[#This Row],[COUNTY]])-2,1)*S1OORTbl[[#This Row],[UNRESTRICTED FUNDING %]]</f>
        <v>0</v>
      </c>
      <c r="X15" s="123"/>
      <c r="Y15" s="117"/>
      <c r="Z15" s="117"/>
      <c r="AA15" s="117"/>
      <c r="AB15" s="118"/>
      <c r="AC15" s="6">
        <f>IF(S1OORTbl[[#This Row],[TOTAL RURAL]]=0,0,S1OORTbl[[#This Row],[TOTAL RURAL]]/S1_OOR_RuralTotalRequested)</f>
        <v>0</v>
      </c>
      <c r="AD15" s="7">
        <f>IF(S1OORTbl[[#This Row],[ALL UNITS IN A HIGH OR HIGHEST RESOURCE AREA]]="Yes",10*S1OORTbl[[#This Row],[RURAL FUNDING %]],0)</f>
        <v>0</v>
      </c>
      <c r="AE15" s="7" cm="1">
        <f t="array" ref="AE15">INDEX(CountyScoresTbl[OOR Community Need],ROW(S1OORTbl[[#This Row],[COUNTY]])-2,1)*S1OORTbl[[#This Row],[RURAL FUNDING %]]</f>
        <v>0</v>
      </c>
      <c r="AF15" s="7" cm="1">
        <f t="array" ref="AF15">INDEX(CountyScoresTbl[OOR/ADU Total Feasibility Points Awarded],ROW(S1OORTbl[[#This Row],[COUNTY]])-2,1)*S1OORTbl[[#This Row],[RURAL FUNDING %]]</f>
        <v>0</v>
      </c>
      <c r="AG15" s="73" cm="1">
        <f t="array" ref="AG15">INDEX(CountyScoresTbl[Farmworker Need Points Awarded],ROW(S1OORTbl[[#This Row],[COUNTY]])-2,1)*S1OORTbl[[#This Row],[RURAL FUNDING %]]</f>
        <v>0</v>
      </c>
      <c r="AH15" s="564"/>
      <c r="AI15" s="664">
        <f>SUM(S1OORTbl[[#This Row],[UNRESTRICTED ADF]],S1OORTbl[[#This Row],[Unrestricted Funds Requesting]])</f>
        <v>0</v>
      </c>
      <c r="AJ15" s="564"/>
      <c r="AK15" s="664">
        <f>SUM(S1OORTbl[[#This Row],[Rural Funds Requesting]],S1OORTbl[[#This Row],[RURAL ADF]])</f>
        <v>0</v>
      </c>
    </row>
    <row r="16" spans="1:37" x14ac:dyDescent="0.35">
      <c r="A16" s="115"/>
      <c r="B16" s="5" t="s">
        <v>128</v>
      </c>
      <c r="C16" s="31" t="s">
        <v>513</v>
      </c>
      <c r="D16" s="109" t="str">
        <f>IF(SUM(S1OORTbl[[#This Row],[Unrestricted Repair Units]:[Unrestricted ADU Reconstruct Units]])=0,"",SUM(S1OORTbl[[#This Row],[Unrestricted Repair Units]:[Unrestricted ADU Reconstruct Units]]))</f>
        <v/>
      </c>
      <c r="E16" s="74" t="str">
        <f xml:space="preserve">
IF(S1OORTbl[[#This Row],[TOTAL UNRESTRICTED]]=0,"",
S1OORTbl[[#This Row],[TOTAL UNRESTRICTED]]*
IF(S1_OOR_UnrestrictedTotalRequested&lt;=5000000,1,
5000000/S1_OOR_UnrestrictedTotalRequested)
)</f>
        <v/>
      </c>
      <c r="F16" s="6" t="str">
        <f>IF(S1OORTbl[[#This Row],[UNRESTRICTED FUNDING %]]=0,"",S1OORTbl[[#This Row],[UNRESTRICTED FUNDING %]])</f>
        <v/>
      </c>
      <c r="G16" s="31" t="s">
        <v>513</v>
      </c>
      <c r="H16" s="109" t="str">
        <f>IF(SUM(S1OORTbl[[#This Row],[Rural Repair Units]:[Rural ADU Reconstruct Units]])=0,"",SUM(S1OORTbl[[#This Row],[Rural Repair Units]:[Rural ADU Reconstruct Units]]))</f>
        <v/>
      </c>
      <c r="I16" s="74" t="str">
        <f xml:space="preserve">
IF(S1OORTbl[[#This Row],[TOTAL RURAL]]=0,"",
S1OORTbl[[#This Row],[TOTAL RURAL]]*
IF(S1_OOR_RuralTotalRequested&lt;=(5000000-E$61),1,
(5000000-E$61)/S1_OOR_RuralTotalRequested)
)</f>
        <v/>
      </c>
      <c r="J16" s="6" t="str">
        <f>IF(S1OORTbl[[#This Row],[RURAL FUNDING %]]=0,"",S1OORTbl[[#This Row],[RURAL FUNDING %]])</f>
        <v/>
      </c>
      <c r="K16" s="31" t="s">
        <v>513</v>
      </c>
      <c r="L16" s="167"/>
      <c r="M16" s="199"/>
      <c r="N16" s="123"/>
      <c r="O16" s="117"/>
      <c r="P16" s="117"/>
      <c r="Q16" s="117"/>
      <c r="R16" s="118"/>
      <c r="S16" s="6">
        <f>IF(S1OORTbl[[#This Row],[TOTAL UNRESTRICTED]]=0,0,S1OORTbl[[#This Row],[TOTAL UNRESTRICTED]]/S1_OOR_UnrestrictedTotalRequested)</f>
        <v>0</v>
      </c>
      <c r="T16" s="7">
        <f>IF(S1OORTbl[[#This Row],[ALL UNITS IN A HIGH OR HIGHEST RESOURCE AREA]]="Yes",10*S1OORTbl[[#This Row],[UNRESTRICTED FUNDING %]],0)</f>
        <v>0</v>
      </c>
      <c r="U16" s="7" cm="1">
        <f t="array" ref="U16">INDEX(CountyScoresTbl[OOR Community Need],ROW(S1OORTbl[[#This Row],[COUNTY]])-2,1)*S1OORTbl[[#This Row],[UNRESTRICTED FUNDING %]]</f>
        <v>0</v>
      </c>
      <c r="V16" s="7" cm="1">
        <f t="array" ref="V16">INDEX(CountyScoresTbl[OOR/ADU Total Feasibility Points Awarded],ROW(S1OORTbl[[#This Row],[COUNTY]])-2,1)*S1OORTbl[[#This Row],[UNRESTRICTED FUNDING %]]</f>
        <v>0</v>
      </c>
      <c r="W16" s="8" cm="1">
        <f t="array" ref="W16">INDEX(CountyScoresTbl[Farmworker Need Points Awarded],ROW(S1OORTbl[[#This Row],[COUNTY]])-2,1)*S1OORTbl[[#This Row],[UNRESTRICTED FUNDING %]]</f>
        <v>0</v>
      </c>
      <c r="X16" s="123"/>
      <c r="Y16" s="117"/>
      <c r="Z16" s="117"/>
      <c r="AA16" s="117"/>
      <c r="AB16" s="118"/>
      <c r="AC16" s="6">
        <f>IF(S1OORTbl[[#This Row],[TOTAL RURAL]]=0,0,S1OORTbl[[#This Row],[TOTAL RURAL]]/S1_OOR_RuralTotalRequested)</f>
        <v>0</v>
      </c>
      <c r="AD16" s="7">
        <f>IF(S1OORTbl[[#This Row],[ALL UNITS IN A HIGH OR HIGHEST RESOURCE AREA]]="Yes",10*S1OORTbl[[#This Row],[RURAL FUNDING %]],0)</f>
        <v>0</v>
      </c>
      <c r="AE16" s="7" cm="1">
        <f t="array" ref="AE16">INDEX(CountyScoresTbl[OOR Community Need],ROW(S1OORTbl[[#This Row],[COUNTY]])-2,1)*S1OORTbl[[#This Row],[RURAL FUNDING %]]</f>
        <v>0</v>
      </c>
      <c r="AF16" s="7" cm="1">
        <f t="array" ref="AF16">INDEX(CountyScoresTbl[OOR/ADU Total Feasibility Points Awarded],ROW(S1OORTbl[[#This Row],[COUNTY]])-2,1)*S1OORTbl[[#This Row],[RURAL FUNDING %]]</f>
        <v>0</v>
      </c>
      <c r="AG16" s="73" cm="1">
        <f t="array" ref="AG16">INDEX(CountyScoresTbl[Farmworker Need Points Awarded],ROW(S1OORTbl[[#This Row],[COUNTY]])-2,1)*S1OORTbl[[#This Row],[RURAL FUNDING %]]</f>
        <v>0</v>
      </c>
      <c r="AH16" s="564"/>
      <c r="AI16" s="664">
        <f>SUM(S1OORTbl[[#This Row],[UNRESTRICTED ADF]],S1OORTbl[[#This Row],[Unrestricted Funds Requesting]])</f>
        <v>0</v>
      </c>
      <c r="AJ16" s="564"/>
      <c r="AK16" s="664">
        <f>SUM(S1OORTbl[[#This Row],[Rural Funds Requesting]],S1OORTbl[[#This Row],[RURAL ADF]])</f>
        <v>0</v>
      </c>
    </row>
    <row r="17" spans="1:37" x14ac:dyDescent="0.35">
      <c r="A17" s="115"/>
      <c r="B17" s="5" t="s">
        <v>129</v>
      </c>
      <c r="C17" s="31" t="s">
        <v>513</v>
      </c>
      <c r="D17" s="109" t="str">
        <f>IF(SUM(S1OORTbl[[#This Row],[Unrestricted Repair Units]:[Unrestricted ADU Reconstruct Units]])=0,"",SUM(S1OORTbl[[#This Row],[Unrestricted Repair Units]:[Unrestricted ADU Reconstruct Units]]))</f>
        <v/>
      </c>
      <c r="E17" s="74" t="str">
        <f xml:space="preserve">
IF(S1OORTbl[[#This Row],[TOTAL UNRESTRICTED]]=0,"",
S1OORTbl[[#This Row],[TOTAL UNRESTRICTED]]*
IF(S1_OOR_UnrestrictedTotalRequested&lt;=5000000,1,
5000000/S1_OOR_UnrestrictedTotalRequested)
)</f>
        <v/>
      </c>
      <c r="F17" s="6" t="str">
        <f>IF(S1OORTbl[[#This Row],[UNRESTRICTED FUNDING %]]=0,"",S1OORTbl[[#This Row],[UNRESTRICTED FUNDING %]])</f>
        <v/>
      </c>
      <c r="G17" s="31" t="s">
        <v>513</v>
      </c>
      <c r="H17" s="109" t="str">
        <f>IF(SUM(S1OORTbl[[#This Row],[Rural Repair Units]:[Rural ADU Reconstruct Units]])=0,"",SUM(S1OORTbl[[#This Row],[Rural Repair Units]:[Rural ADU Reconstruct Units]]))</f>
        <v/>
      </c>
      <c r="I17" s="74" t="str">
        <f xml:space="preserve">
IF(S1OORTbl[[#This Row],[TOTAL RURAL]]=0,"",
S1OORTbl[[#This Row],[TOTAL RURAL]]*
IF(S1_OOR_RuralTotalRequested&lt;=(5000000-E$61),1,
(5000000-E$61)/S1_OOR_RuralTotalRequested)
)</f>
        <v/>
      </c>
      <c r="J17" s="6" t="str">
        <f>IF(S1OORTbl[[#This Row],[RURAL FUNDING %]]=0,"",S1OORTbl[[#This Row],[RURAL FUNDING %]])</f>
        <v/>
      </c>
      <c r="K17" s="31" t="s">
        <v>513</v>
      </c>
      <c r="L17" s="167"/>
      <c r="M17" s="199"/>
      <c r="N17" s="123"/>
      <c r="O17" s="117"/>
      <c r="P17" s="117"/>
      <c r="Q17" s="117"/>
      <c r="R17" s="118"/>
      <c r="S17" s="6">
        <f>IF(S1OORTbl[[#This Row],[TOTAL UNRESTRICTED]]=0,0,S1OORTbl[[#This Row],[TOTAL UNRESTRICTED]]/S1_OOR_UnrestrictedTotalRequested)</f>
        <v>0</v>
      </c>
      <c r="T17" s="7">
        <f>IF(S1OORTbl[[#This Row],[ALL UNITS IN A HIGH OR HIGHEST RESOURCE AREA]]="Yes",10*S1OORTbl[[#This Row],[UNRESTRICTED FUNDING %]],0)</f>
        <v>0</v>
      </c>
      <c r="U17" s="7" cm="1">
        <f t="array" ref="U17">INDEX(CountyScoresTbl[OOR Community Need],ROW(S1OORTbl[[#This Row],[COUNTY]])-2,1)*S1OORTbl[[#This Row],[UNRESTRICTED FUNDING %]]</f>
        <v>0</v>
      </c>
      <c r="V17" s="7" cm="1">
        <f t="array" ref="V17">INDEX(CountyScoresTbl[OOR/ADU Total Feasibility Points Awarded],ROW(S1OORTbl[[#This Row],[COUNTY]])-2,1)*S1OORTbl[[#This Row],[UNRESTRICTED FUNDING %]]</f>
        <v>0</v>
      </c>
      <c r="W17" s="8" cm="1">
        <f t="array" ref="W17">INDEX(CountyScoresTbl[Farmworker Need Points Awarded],ROW(S1OORTbl[[#This Row],[COUNTY]])-2,1)*S1OORTbl[[#This Row],[UNRESTRICTED FUNDING %]]</f>
        <v>0</v>
      </c>
      <c r="X17" s="123"/>
      <c r="Y17" s="117"/>
      <c r="Z17" s="117"/>
      <c r="AA17" s="117"/>
      <c r="AB17" s="118"/>
      <c r="AC17" s="6">
        <f>IF(S1OORTbl[[#This Row],[TOTAL RURAL]]=0,0,S1OORTbl[[#This Row],[TOTAL RURAL]]/S1_OOR_RuralTotalRequested)</f>
        <v>0</v>
      </c>
      <c r="AD17" s="7">
        <f>IF(S1OORTbl[[#This Row],[ALL UNITS IN A HIGH OR HIGHEST RESOURCE AREA]]="Yes",10*S1OORTbl[[#This Row],[RURAL FUNDING %]],0)</f>
        <v>0</v>
      </c>
      <c r="AE17" s="7" cm="1">
        <f t="array" ref="AE17">INDEX(CountyScoresTbl[OOR Community Need],ROW(S1OORTbl[[#This Row],[COUNTY]])-2,1)*S1OORTbl[[#This Row],[RURAL FUNDING %]]</f>
        <v>0</v>
      </c>
      <c r="AF17" s="7" cm="1">
        <f t="array" ref="AF17">INDEX(CountyScoresTbl[OOR/ADU Total Feasibility Points Awarded],ROW(S1OORTbl[[#This Row],[COUNTY]])-2,1)*S1OORTbl[[#This Row],[RURAL FUNDING %]]</f>
        <v>0</v>
      </c>
      <c r="AG17" s="73" cm="1">
        <f t="array" ref="AG17">INDEX(CountyScoresTbl[Farmworker Need Points Awarded],ROW(S1OORTbl[[#This Row],[COUNTY]])-2,1)*S1OORTbl[[#This Row],[RURAL FUNDING %]]</f>
        <v>0</v>
      </c>
      <c r="AH17" s="564"/>
      <c r="AI17" s="664">
        <f>SUM(S1OORTbl[[#This Row],[UNRESTRICTED ADF]],S1OORTbl[[#This Row],[Unrestricted Funds Requesting]])</f>
        <v>0</v>
      </c>
      <c r="AJ17" s="564"/>
      <c r="AK17" s="664">
        <f>SUM(S1OORTbl[[#This Row],[Rural Funds Requesting]],S1OORTbl[[#This Row],[RURAL ADF]])</f>
        <v>0</v>
      </c>
    </row>
    <row r="18" spans="1:37" x14ac:dyDescent="0.35">
      <c r="A18" s="115"/>
      <c r="B18" s="5" t="s">
        <v>130</v>
      </c>
      <c r="C18" s="31" t="s">
        <v>513</v>
      </c>
      <c r="D18" s="109" t="str">
        <f>IF(SUM(S1OORTbl[[#This Row],[Unrestricted Repair Units]:[Unrestricted ADU Reconstruct Units]])=0,"",SUM(S1OORTbl[[#This Row],[Unrestricted Repair Units]:[Unrestricted ADU Reconstruct Units]]))</f>
        <v/>
      </c>
      <c r="E18" s="74" t="str">
        <f xml:space="preserve">
IF(S1OORTbl[[#This Row],[TOTAL UNRESTRICTED]]=0,"",
S1OORTbl[[#This Row],[TOTAL UNRESTRICTED]]*
IF(S1_OOR_UnrestrictedTotalRequested&lt;=5000000,1,
5000000/S1_OOR_UnrestrictedTotalRequested)
)</f>
        <v/>
      </c>
      <c r="F18" s="6" t="str">
        <f>IF(S1OORTbl[[#This Row],[UNRESTRICTED FUNDING %]]=0,"",S1OORTbl[[#This Row],[UNRESTRICTED FUNDING %]])</f>
        <v/>
      </c>
      <c r="G18" s="31" t="s">
        <v>513</v>
      </c>
      <c r="H18" s="109" t="str">
        <f>IF(SUM(S1OORTbl[[#This Row],[Rural Repair Units]:[Rural ADU Reconstruct Units]])=0,"",SUM(S1OORTbl[[#This Row],[Rural Repair Units]:[Rural ADU Reconstruct Units]]))</f>
        <v/>
      </c>
      <c r="I18" s="74" t="str">
        <f xml:space="preserve">
IF(S1OORTbl[[#This Row],[TOTAL RURAL]]=0,"",
S1OORTbl[[#This Row],[TOTAL RURAL]]*
IF(S1_OOR_RuralTotalRequested&lt;=(5000000-E$61),1,
(5000000-E$61)/S1_OOR_RuralTotalRequested)
)</f>
        <v/>
      </c>
      <c r="J18" s="6" t="str">
        <f>IF(S1OORTbl[[#This Row],[RURAL FUNDING %]]=0,"",S1OORTbl[[#This Row],[RURAL FUNDING %]])</f>
        <v/>
      </c>
      <c r="K18" s="31" t="s">
        <v>513</v>
      </c>
      <c r="L18" s="167"/>
      <c r="M18" s="199"/>
      <c r="N18" s="123"/>
      <c r="O18" s="117"/>
      <c r="P18" s="117"/>
      <c r="Q18" s="117"/>
      <c r="R18" s="118"/>
      <c r="S18" s="6">
        <f>IF(S1OORTbl[[#This Row],[TOTAL UNRESTRICTED]]=0,0,S1OORTbl[[#This Row],[TOTAL UNRESTRICTED]]/S1_OOR_UnrestrictedTotalRequested)</f>
        <v>0</v>
      </c>
      <c r="T18" s="7">
        <f>IF(S1OORTbl[[#This Row],[ALL UNITS IN A HIGH OR HIGHEST RESOURCE AREA]]="Yes",10*S1OORTbl[[#This Row],[UNRESTRICTED FUNDING %]],0)</f>
        <v>0</v>
      </c>
      <c r="U18" s="7" cm="1">
        <f t="array" ref="U18">INDEX(CountyScoresTbl[OOR Community Need],ROW(S1OORTbl[[#This Row],[COUNTY]])-2,1)*S1OORTbl[[#This Row],[UNRESTRICTED FUNDING %]]</f>
        <v>0</v>
      </c>
      <c r="V18" s="7" cm="1">
        <f t="array" ref="V18">INDEX(CountyScoresTbl[OOR/ADU Total Feasibility Points Awarded],ROW(S1OORTbl[[#This Row],[COUNTY]])-2,1)*S1OORTbl[[#This Row],[UNRESTRICTED FUNDING %]]</f>
        <v>0</v>
      </c>
      <c r="W18" s="8" cm="1">
        <f t="array" ref="W18">INDEX(CountyScoresTbl[Farmworker Need Points Awarded],ROW(S1OORTbl[[#This Row],[COUNTY]])-2,1)*S1OORTbl[[#This Row],[UNRESTRICTED FUNDING %]]</f>
        <v>0</v>
      </c>
      <c r="X18" s="123"/>
      <c r="Y18" s="117"/>
      <c r="Z18" s="117"/>
      <c r="AA18" s="117"/>
      <c r="AB18" s="118"/>
      <c r="AC18" s="6">
        <f>IF(S1OORTbl[[#This Row],[TOTAL RURAL]]=0,0,S1OORTbl[[#This Row],[TOTAL RURAL]]/S1_OOR_RuralTotalRequested)</f>
        <v>0</v>
      </c>
      <c r="AD18" s="7">
        <f>IF(S1OORTbl[[#This Row],[ALL UNITS IN A HIGH OR HIGHEST RESOURCE AREA]]="Yes",10*S1OORTbl[[#This Row],[RURAL FUNDING %]],0)</f>
        <v>0</v>
      </c>
      <c r="AE18" s="7" cm="1">
        <f t="array" ref="AE18">INDEX(CountyScoresTbl[OOR Community Need],ROW(S1OORTbl[[#This Row],[COUNTY]])-2,1)*S1OORTbl[[#This Row],[RURAL FUNDING %]]</f>
        <v>0</v>
      </c>
      <c r="AF18" s="7" cm="1">
        <f t="array" ref="AF18">INDEX(CountyScoresTbl[OOR/ADU Total Feasibility Points Awarded],ROW(S1OORTbl[[#This Row],[COUNTY]])-2,1)*S1OORTbl[[#This Row],[RURAL FUNDING %]]</f>
        <v>0</v>
      </c>
      <c r="AG18" s="73" cm="1">
        <f t="array" ref="AG18">INDEX(CountyScoresTbl[Farmworker Need Points Awarded],ROW(S1OORTbl[[#This Row],[COUNTY]])-2,1)*S1OORTbl[[#This Row],[RURAL FUNDING %]]</f>
        <v>0</v>
      </c>
      <c r="AH18" s="564"/>
      <c r="AI18" s="664">
        <f>SUM(S1OORTbl[[#This Row],[UNRESTRICTED ADF]],S1OORTbl[[#This Row],[Unrestricted Funds Requesting]])</f>
        <v>0</v>
      </c>
      <c r="AJ18" s="564"/>
      <c r="AK18" s="664">
        <f>SUM(S1OORTbl[[#This Row],[Rural Funds Requesting]],S1OORTbl[[#This Row],[RURAL ADF]])</f>
        <v>0</v>
      </c>
    </row>
    <row r="19" spans="1:37" x14ac:dyDescent="0.35">
      <c r="A19" s="116"/>
      <c r="B19" s="5" t="s">
        <v>131</v>
      </c>
      <c r="C19" s="31" t="s">
        <v>513</v>
      </c>
      <c r="D19" s="109" t="str">
        <f>IF(SUM(S1OORTbl[[#This Row],[Unrestricted Repair Units]:[Unrestricted ADU Reconstruct Units]])=0,"",SUM(S1OORTbl[[#This Row],[Unrestricted Repair Units]:[Unrestricted ADU Reconstruct Units]]))</f>
        <v/>
      </c>
      <c r="E19" s="74" t="str">
        <f xml:space="preserve">
IF(S1OORTbl[[#This Row],[TOTAL UNRESTRICTED]]=0,"",
S1OORTbl[[#This Row],[TOTAL UNRESTRICTED]]*
IF(S1_OOR_UnrestrictedTotalRequested&lt;=5000000,1,
5000000/S1_OOR_UnrestrictedTotalRequested)
)</f>
        <v/>
      </c>
      <c r="F19" s="6" t="str">
        <f>IF(S1OORTbl[[#This Row],[UNRESTRICTED FUNDING %]]=0,"",S1OORTbl[[#This Row],[UNRESTRICTED FUNDING %]])</f>
        <v/>
      </c>
      <c r="G19" s="31" t="s">
        <v>513</v>
      </c>
      <c r="H19" s="109" t="str">
        <f>IF(SUM(S1OORTbl[[#This Row],[Rural Repair Units]:[Rural ADU Reconstruct Units]])=0,"",SUM(S1OORTbl[[#This Row],[Rural Repair Units]:[Rural ADU Reconstruct Units]]))</f>
        <v/>
      </c>
      <c r="I19" s="74" t="str">
        <f xml:space="preserve">
IF(S1OORTbl[[#This Row],[TOTAL RURAL]]=0,"",
S1OORTbl[[#This Row],[TOTAL RURAL]]*
IF(S1_OOR_RuralTotalRequested&lt;=(5000000-E$61),1,
(5000000-E$61)/S1_OOR_RuralTotalRequested)
)</f>
        <v/>
      </c>
      <c r="J19" s="6" t="str">
        <f>IF(S1OORTbl[[#This Row],[RURAL FUNDING %]]=0,"",S1OORTbl[[#This Row],[RURAL FUNDING %]])</f>
        <v/>
      </c>
      <c r="K19" s="31" t="s">
        <v>513</v>
      </c>
      <c r="L19" s="124"/>
      <c r="M19" s="197"/>
      <c r="N19" s="124"/>
      <c r="O19" s="119"/>
      <c r="P19" s="119"/>
      <c r="Q19" s="119"/>
      <c r="R19" s="269"/>
      <c r="S19" s="6">
        <f>IF(S1OORTbl[[#This Row],[TOTAL UNRESTRICTED]]=0,0,S1OORTbl[[#This Row],[TOTAL UNRESTRICTED]]/S1_OOR_UnrestrictedTotalRequested)</f>
        <v>0</v>
      </c>
      <c r="T19" s="7">
        <f>IF(S1OORTbl[[#This Row],[ALL UNITS IN A HIGH OR HIGHEST RESOURCE AREA]]="Yes",10*S1OORTbl[[#This Row],[UNRESTRICTED FUNDING %]],0)</f>
        <v>0</v>
      </c>
      <c r="U19" s="7" cm="1">
        <f t="array" ref="U19">INDEX(CountyScoresTbl[OOR Community Need],ROW(S1OORTbl[[#This Row],[COUNTY]])-2,1)*S1OORTbl[[#This Row],[UNRESTRICTED FUNDING %]]</f>
        <v>0</v>
      </c>
      <c r="V19" s="7" cm="1">
        <f t="array" ref="V19">INDEX(CountyScoresTbl[OOR/ADU Total Feasibility Points Awarded],ROW(S1OORTbl[[#This Row],[COUNTY]])-2,1)*S1OORTbl[[#This Row],[UNRESTRICTED FUNDING %]]</f>
        <v>0</v>
      </c>
      <c r="W19" s="8" cm="1">
        <f t="array" ref="W19">INDEX(CountyScoresTbl[Farmworker Need Points Awarded],ROW(S1OORTbl[[#This Row],[COUNTY]])-2,1)*S1OORTbl[[#This Row],[UNRESTRICTED FUNDING %]]</f>
        <v>0</v>
      </c>
      <c r="X19" s="124"/>
      <c r="Y19" s="119"/>
      <c r="Z19" s="119"/>
      <c r="AA19" s="119"/>
      <c r="AB19" s="120"/>
      <c r="AC19" s="6">
        <f>IF(S1OORTbl[[#This Row],[TOTAL RURAL]]=0,0,S1OORTbl[[#This Row],[TOTAL RURAL]]/S1_OOR_RuralTotalRequested)</f>
        <v>0</v>
      </c>
      <c r="AD19" s="7">
        <f>IF(S1OORTbl[[#This Row],[ALL UNITS IN A HIGH OR HIGHEST RESOURCE AREA]]="Yes",10*S1OORTbl[[#This Row],[RURAL FUNDING %]],0)</f>
        <v>0</v>
      </c>
      <c r="AE19" s="7" cm="1">
        <f t="array" ref="AE19">INDEX(CountyScoresTbl[OOR Community Need],ROW(S1OORTbl[[#This Row],[COUNTY]])-2,1)*S1OORTbl[[#This Row],[RURAL FUNDING %]]</f>
        <v>0</v>
      </c>
      <c r="AF19" s="7" cm="1">
        <f t="array" ref="AF19">INDEX(CountyScoresTbl[OOR/ADU Total Feasibility Points Awarded],ROW(S1OORTbl[[#This Row],[COUNTY]])-2,1)*S1OORTbl[[#This Row],[RURAL FUNDING %]]</f>
        <v>0</v>
      </c>
      <c r="AG19" s="73" cm="1">
        <f t="array" ref="AG19">INDEX(CountyScoresTbl[Farmworker Need Points Awarded],ROW(S1OORTbl[[#This Row],[COUNTY]])-2,1)*S1OORTbl[[#This Row],[RURAL FUNDING %]]</f>
        <v>0</v>
      </c>
      <c r="AH19" s="564"/>
      <c r="AI19" s="664">
        <f>SUM(S1OORTbl[[#This Row],[UNRESTRICTED ADF]],S1OORTbl[[#This Row],[Unrestricted Funds Requesting]])</f>
        <v>0</v>
      </c>
      <c r="AJ19" s="564"/>
      <c r="AK19" s="664">
        <f>SUM(S1OORTbl[[#This Row],[Rural Funds Requesting]],S1OORTbl[[#This Row],[RURAL ADF]])</f>
        <v>0</v>
      </c>
    </row>
    <row r="20" spans="1:37" x14ac:dyDescent="0.35">
      <c r="A20" s="115"/>
      <c r="B20" s="5" t="s">
        <v>132</v>
      </c>
      <c r="C20" s="31" t="s">
        <v>513</v>
      </c>
      <c r="D20" s="109" t="str">
        <f>IF(SUM(S1OORTbl[[#This Row],[Unrestricted Repair Units]:[Unrestricted ADU Reconstruct Units]])=0,"",SUM(S1OORTbl[[#This Row],[Unrestricted Repair Units]:[Unrestricted ADU Reconstruct Units]]))</f>
        <v/>
      </c>
      <c r="E20" s="74" t="str">
        <f xml:space="preserve">
IF(S1OORTbl[[#This Row],[TOTAL UNRESTRICTED]]=0,"",
S1OORTbl[[#This Row],[TOTAL UNRESTRICTED]]*
IF(S1_OOR_UnrestrictedTotalRequested&lt;=5000000,1,
5000000/S1_OOR_UnrestrictedTotalRequested)
)</f>
        <v/>
      </c>
      <c r="F20" s="6" t="str">
        <f>IF(S1OORTbl[[#This Row],[UNRESTRICTED FUNDING %]]=0,"",S1OORTbl[[#This Row],[UNRESTRICTED FUNDING %]])</f>
        <v/>
      </c>
      <c r="G20" s="31" t="s">
        <v>513</v>
      </c>
      <c r="H20" s="109" t="str">
        <f>IF(SUM(S1OORTbl[[#This Row],[Rural Repair Units]:[Rural ADU Reconstruct Units]])=0,"",SUM(S1OORTbl[[#This Row],[Rural Repair Units]:[Rural ADU Reconstruct Units]]))</f>
        <v/>
      </c>
      <c r="I20" s="74" t="str">
        <f xml:space="preserve">
IF(S1OORTbl[[#This Row],[TOTAL RURAL]]=0,"",
S1OORTbl[[#This Row],[TOTAL RURAL]]*
IF(S1_OOR_RuralTotalRequested&lt;=(5000000-E$61),1,
(5000000-E$61)/S1_OOR_RuralTotalRequested)
)</f>
        <v/>
      </c>
      <c r="J20" s="6" t="str">
        <f>IF(S1OORTbl[[#This Row],[RURAL FUNDING %]]=0,"",S1OORTbl[[#This Row],[RURAL FUNDING %]])</f>
        <v/>
      </c>
      <c r="K20" s="31" t="s">
        <v>513</v>
      </c>
      <c r="L20" s="167"/>
      <c r="M20" s="199"/>
      <c r="N20" s="123"/>
      <c r="O20" s="117"/>
      <c r="P20" s="117"/>
      <c r="Q20" s="117"/>
      <c r="R20" s="118"/>
      <c r="S20" s="6">
        <f>IF(S1OORTbl[[#This Row],[TOTAL UNRESTRICTED]]=0,0,S1OORTbl[[#This Row],[TOTAL UNRESTRICTED]]/S1_OOR_UnrestrictedTotalRequested)</f>
        <v>0</v>
      </c>
      <c r="T20" s="7">
        <f>IF(S1OORTbl[[#This Row],[ALL UNITS IN A HIGH OR HIGHEST RESOURCE AREA]]="Yes",10*S1OORTbl[[#This Row],[UNRESTRICTED FUNDING %]],0)</f>
        <v>0</v>
      </c>
      <c r="U20" s="7" cm="1">
        <f t="array" ref="U20">INDEX(CountyScoresTbl[OOR Community Need],ROW(S1OORTbl[[#This Row],[COUNTY]])-2,1)*S1OORTbl[[#This Row],[UNRESTRICTED FUNDING %]]</f>
        <v>0</v>
      </c>
      <c r="V20" s="7" cm="1">
        <f t="array" ref="V20">INDEX(CountyScoresTbl[OOR/ADU Total Feasibility Points Awarded],ROW(S1OORTbl[[#This Row],[COUNTY]])-2,1)*S1OORTbl[[#This Row],[UNRESTRICTED FUNDING %]]</f>
        <v>0</v>
      </c>
      <c r="W20" s="8" cm="1">
        <f t="array" ref="W20">INDEX(CountyScoresTbl[Farmworker Need Points Awarded],ROW(S1OORTbl[[#This Row],[COUNTY]])-2,1)*S1OORTbl[[#This Row],[UNRESTRICTED FUNDING %]]</f>
        <v>0</v>
      </c>
      <c r="X20" s="123"/>
      <c r="Y20" s="117"/>
      <c r="Z20" s="117"/>
      <c r="AA20" s="117"/>
      <c r="AB20" s="118"/>
      <c r="AC20" s="6">
        <f>IF(S1OORTbl[[#This Row],[TOTAL RURAL]]=0,0,S1OORTbl[[#This Row],[TOTAL RURAL]]/S1_OOR_RuralTotalRequested)</f>
        <v>0</v>
      </c>
      <c r="AD20" s="7">
        <f>IF(S1OORTbl[[#This Row],[ALL UNITS IN A HIGH OR HIGHEST RESOURCE AREA]]="Yes",10*S1OORTbl[[#This Row],[RURAL FUNDING %]],0)</f>
        <v>0</v>
      </c>
      <c r="AE20" s="7" cm="1">
        <f t="array" ref="AE20">INDEX(CountyScoresTbl[OOR Community Need],ROW(S1OORTbl[[#This Row],[COUNTY]])-2,1)*S1OORTbl[[#This Row],[RURAL FUNDING %]]</f>
        <v>0</v>
      </c>
      <c r="AF20" s="7" cm="1">
        <f t="array" ref="AF20">INDEX(CountyScoresTbl[OOR/ADU Total Feasibility Points Awarded],ROW(S1OORTbl[[#This Row],[COUNTY]])-2,1)*S1OORTbl[[#This Row],[RURAL FUNDING %]]</f>
        <v>0</v>
      </c>
      <c r="AG20" s="73" cm="1">
        <f t="array" ref="AG20">INDEX(CountyScoresTbl[Farmworker Need Points Awarded],ROW(S1OORTbl[[#This Row],[COUNTY]])-2,1)*S1OORTbl[[#This Row],[RURAL FUNDING %]]</f>
        <v>0</v>
      </c>
      <c r="AH20" s="564"/>
      <c r="AI20" s="664">
        <f>SUM(S1OORTbl[[#This Row],[UNRESTRICTED ADF]],S1OORTbl[[#This Row],[Unrestricted Funds Requesting]])</f>
        <v>0</v>
      </c>
      <c r="AJ20" s="564"/>
      <c r="AK20" s="664">
        <f>SUM(S1OORTbl[[#This Row],[Rural Funds Requesting]],S1OORTbl[[#This Row],[RURAL ADF]])</f>
        <v>0</v>
      </c>
    </row>
    <row r="21" spans="1:37" x14ac:dyDescent="0.35">
      <c r="A21" s="115"/>
      <c r="B21" s="5" t="s">
        <v>133</v>
      </c>
      <c r="C21" s="31" t="s">
        <v>513</v>
      </c>
      <c r="D21" s="109" t="str">
        <f>IF(SUM(S1OORTbl[[#This Row],[Unrestricted Repair Units]:[Unrestricted ADU Reconstruct Units]])=0,"",SUM(S1OORTbl[[#This Row],[Unrestricted Repair Units]:[Unrestricted ADU Reconstruct Units]]))</f>
        <v/>
      </c>
      <c r="E21" s="74" t="str">
        <f xml:space="preserve">
IF(S1OORTbl[[#This Row],[TOTAL UNRESTRICTED]]=0,"",
S1OORTbl[[#This Row],[TOTAL UNRESTRICTED]]*
IF(S1_OOR_UnrestrictedTotalRequested&lt;=5000000,1,
5000000/S1_OOR_UnrestrictedTotalRequested)
)</f>
        <v/>
      </c>
      <c r="F21" s="6" t="str">
        <f>IF(S1OORTbl[[#This Row],[UNRESTRICTED FUNDING %]]=0,"",S1OORTbl[[#This Row],[UNRESTRICTED FUNDING %]])</f>
        <v/>
      </c>
      <c r="G21" s="31" t="s">
        <v>513</v>
      </c>
      <c r="H21" s="109" t="str">
        <f>IF(SUM(S1OORTbl[[#This Row],[Rural Repair Units]:[Rural ADU Reconstruct Units]])=0,"",SUM(S1OORTbl[[#This Row],[Rural Repair Units]:[Rural ADU Reconstruct Units]]))</f>
        <v/>
      </c>
      <c r="I21" s="74" t="str">
        <f xml:space="preserve">
IF(S1OORTbl[[#This Row],[TOTAL RURAL]]=0,"",
S1OORTbl[[#This Row],[TOTAL RURAL]]*
IF(S1_OOR_RuralTotalRequested&lt;=(5000000-E$61),1,
(5000000-E$61)/S1_OOR_RuralTotalRequested)
)</f>
        <v/>
      </c>
      <c r="J21" s="6" t="str">
        <f>IF(S1OORTbl[[#This Row],[RURAL FUNDING %]]=0,"",S1OORTbl[[#This Row],[RURAL FUNDING %]])</f>
        <v/>
      </c>
      <c r="K21" s="31" t="s">
        <v>513</v>
      </c>
      <c r="L21" s="167"/>
      <c r="M21" s="199"/>
      <c r="N21" s="123"/>
      <c r="O21" s="117"/>
      <c r="P21" s="117"/>
      <c r="Q21" s="117"/>
      <c r="R21" s="118"/>
      <c r="S21" s="6">
        <f>IF(S1OORTbl[[#This Row],[TOTAL UNRESTRICTED]]=0,0,S1OORTbl[[#This Row],[TOTAL UNRESTRICTED]]/S1_OOR_UnrestrictedTotalRequested)</f>
        <v>0</v>
      </c>
      <c r="T21" s="7">
        <f>IF(S1OORTbl[[#This Row],[ALL UNITS IN A HIGH OR HIGHEST RESOURCE AREA]]="Yes",10*S1OORTbl[[#This Row],[UNRESTRICTED FUNDING %]],0)</f>
        <v>0</v>
      </c>
      <c r="U21" s="7" cm="1">
        <f t="array" ref="U21">INDEX(CountyScoresTbl[OOR Community Need],ROW(S1OORTbl[[#This Row],[COUNTY]])-2,1)*S1OORTbl[[#This Row],[UNRESTRICTED FUNDING %]]</f>
        <v>0</v>
      </c>
      <c r="V21" s="7" cm="1">
        <f t="array" ref="V21">INDEX(CountyScoresTbl[OOR/ADU Total Feasibility Points Awarded],ROW(S1OORTbl[[#This Row],[COUNTY]])-2,1)*S1OORTbl[[#This Row],[UNRESTRICTED FUNDING %]]</f>
        <v>0</v>
      </c>
      <c r="W21" s="8" cm="1">
        <f t="array" ref="W21">INDEX(CountyScoresTbl[Farmworker Need Points Awarded],ROW(S1OORTbl[[#This Row],[COUNTY]])-2,1)*S1OORTbl[[#This Row],[UNRESTRICTED FUNDING %]]</f>
        <v>0</v>
      </c>
      <c r="X21" s="123"/>
      <c r="Y21" s="117"/>
      <c r="Z21" s="117"/>
      <c r="AA21" s="117"/>
      <c r="AB21" s="118"/>
      <c r="AC21" s="6">
        <f>IF(S1OORTbl[[#This Row],[TOTAL RURAL]]=0,0,S1OORTbl[[#This Row],[TOTAL RURAL]]/S1_OOR_RuralTotalRequested)</f>
        <v>0</v>
      </c>
      <c r="AD21" s="7">
        <f>IF(S1OORTbl[[#This Row],[ALL UNITS IN A HIGH OR HIGHEST RESOURCE AREA]]="Yes",10*S1OORTbl[[#This Row],[RURAL FUNDING %]],0)</f>
        <v>0</v>
      </c>
      <c r="AE21" s="7" cm="1">
        <f t="array" ref="AE21">INDEX(CountyScoresTbl[OOR Community Need],ROW(S1OORTbl[[#This Row],[COUNTY]])-2,1)*S1OORTbl[[#This Row],[RURAL FUNDING %]]</f>
        <v>0</v>
      </c>
      <c r="AF21" s="7" cm="1">
        <f t="array" ref="AF21">INDEX(CountyScoresTbl[OOR/ADU Total Feasibility Points Awarded],ROW(S1OORTbl[[#This Row],[COUNTY]])-2,1)*S1OORTbl[[#This Row],[RURAL FUNDING %]]</f>
        <v>0</v>
      </c>
      <c r="AG21" s="73" cm="1">
        <f t="array" ref="AG21">INDEX(CountyScoresTbl[Farmworker Need Points Awarded],ROW(S1OORTbl[[#This Row],[COUNTY]])-2,1)*S1OORTbl[[#This Row],[RURAL FUNDING %]]</f>
        <v>0</v>
      </c>
      <c r="AH21" s="564"/>
      <c r="AI21" s="664">
        <f>SUM(S1OORTbl[[#This Row],[UNRESTRICTED ADF]],S1OORTbl[[#This Row],[Unrestricted Funds Requesting]])</f>
        <v>0</v>
      </c>
      <c r="AJ21" s="564"/>
      <c r="AK21" s="664">
        <f>SUM(S1OORTbl[[#This Row],[Rural Funds Requesting]],S1OORTbl[[#This Row],[RURAL ADF]])</f>
        <v>0</v>
      </c>
    </row>
    <row r="22" spans="1:37" x14ac:dyDescent="0.35">
      <c r="A22" s="116"/>
      <c r="B22" s="5" t="s">
        <v>134</v>
      </c>
      <c r="C22" s="31" t="s">
        <v>513</v>
      </c>
      <c r="D22" s="109" t="str">
        <f>IF(SUM(S1OORTbl[[#This Row],[Unrestricted Repair Units]:[Unrestricted ADU Reconstruct Units]])=0,"",SUM(S1OORTbl[[#This Row],[Unrestricted Repair Units]:[Unrestricted ADU Reconstruct Units]]))</f>
        <v/>
      </c>
      <c r="E22" s="74" t="str">
        <f xml:space="preserve">
IF(S1OORTbl[[#This Row],[TOTAL UNRESTRICTED]]=0,"",
S1OORTbl[[#This Row],[TOTAL UNRESTRICTED]]*
IF(S1_OOR_UnrestrictedTotalRequested&lt;=5000000,1,
5000000/S1_OOR_UnrestrictedTotalRequested)
)</f>
        <v/>
      </c>
      <c r="F22" s="6" t="str">
        <f>IF(S1OORTbl[[#This Row],[UNRESTRICTED FUNDING %]]=0,"",S1OORTbl[[#This Row],[UNRESTRICTED FUNDING %]])</f>
        <v/>
      </c>
      <c r="G22" s="31" t="s">
        <v>513</v>
      </c>
      <c r="H22" s="109" t="str">
        <f>IF(SUM(S1OORTbl[[#This Row],[Rural Repair Units]:[Rural ADU Reconstruct Units]])=0,"",SUM(S1OORTbl[[#This Row],[Rural Repair Units]:[Rural ADU Reconstruct Units]]))</f>
        <v/>
      </c>
      <c r="I22" s="74" t="str">
        <f xml:space="preserve">
IF(S1OORTbl[[#This Row],[TOTAL RURAL]]=0,"",
S1OORTbl[[#This Row],[TOTAL RURAL]]*
IF(S1_OOR_RuralTotalRequested&lt;=(5000000-E$61),1,
(5000000-E$61)/S1_OOR_RuralTotalRequested)
)</f>
        <v/>
      </c>
      <c r="J22" s="6" t="str">
        <f>IF(S1OORTbl[[#This Row],[RURAL FUNDING %]]=0,"",S1OORTbl[[#This Row],[RURAL FUNDING %]])</f>
        <v/>
      </c>
      <c r="K22" s="31" t="s">
        <v>513</v>
      </c>
      <c r="L22" s="124"/>
      <c r="M22" s="197"/>
      <c r="N22" s="124"/>
      <c r="O22" s="119"/>
      <c r="P22" s="119"/>
      <c r="Q22" s="119"/>
      <c r="R22" s="269"/>
      <c r="S22" s="6">
        <f>IF(S1OORTbl[[#This Row],[TOTAL UNRESTRICTED]]=0,0,S1OORTbl[[#This Row],[TOTAL UNRESTRICTED]]/S1_OOR_UnrestrictedTotalRequested)</f>
        <v>0</v>
      </c>
      <c r="T22" s="7">
        <f>IF(S1OORTbl[[#This Row],[ALL UNITS IN A HIGH OR HIGHEST RESOURCE AREA]]="Yes",10*S1OORTbl[[#This Row],[UNRESTRICTED FUNDING %]],0)</f>
        <v>0</v>
      </c>
      <c r="U22" s="7" cm="1">
        <f t="array" ref="U22">INDEX(CountyScoresTbl[OOR Community Need],ROW(S1OORTbl[[#This Row],[COUNTY]])-2,1)*S1OORTbl[[#This Row],[UNRESTRICTED FUNDING %]]</f>
        <v>0</v>
      </c>
      <c r="V22" s="7" cm="1">
        <f t="array" ref="V22">INDEX(CountyScoresTbl[OOR/ADU Total Feasibility Points Awarded],ROW(S1OORTbl[[#This Row],[COUNTY]])-2,1)*S1OORTbl[[#This Row],[UNRESTRICTED FUNDING %]]</f>
        <v>0</v>
      </c>
      <c r="W22" s="8" cm="1">
        <f t="array" ref="W22">INDEX(CountyScoresTbl[Farmworker Need Points Awarded],ROW(S1OORTbl[[#This Row],[COUNTY]])-2,1)*S1OORTbl[[#This Row],[UNRESTRICTED FUNDING %]]</f>
        <v>0</v>
      </c>
      <c r="X22" s="124"/>
      <c r="Y22" s="119"/>
      <c r="Z22" s="119"/>
      <c r="AA22" s="119"/>
      <c r="AB22" s="120"/>
      <c r="AC22" s="6">
        <f>IF(S1OORTbl[[#This Row],[TOTAL RURAL]]=0,0,S1OORTbl[[#This Row],[TOTAL RURAL]]/S1_OOR_RuralTotalRequested)</f>
        <v>0</v>
      </c>
      <c r="AD22" s="7">
        <f>IF(S1OORTbl[[#This Row],[ALL UNITS IN A HIGH OR HIGHEST RESOURCE AREA]]="Yes",10*S1OORTbl[[#This Row],[RURAL FUNDING %]],0)</f>
        <v>0</v>
      </c>
      <c r="AE22" s="7" cm="1">
        <f t="array" ref="AE22">INDEX(CountyScoresTbl[OOR Community Need],ROW(S1OORTbl[[#This Row],[COUNTY]])-2,1)*S1OORTbl[[#This Row],[RURAL FUNDING %]]</f>
        <v>0</v>
      </c>
      <c r="AF22" s="7" cm="1">
        <f t="array" ref="AF22">INDEX(CountyScoresTbl[OOR/ADU Total Feasibility Points Awarded],ROW(S1OORTbl[[#This Row],[COUNTY]])-2,1)*S1OORTbl[[#This Row],[RURAL FUNDING %]]</f>
        <v>0</v>
      </c>
      <c r="AG22" s="73" cm="1">
        <f t="array" ref="AG22">INDEX(CountyScoresTbl[Farmworker Need Points Awarded],ROW(S1OORTbl[[#This Row],[COUNTY]])-2,1)*S1OORTbl[[#This Row],[RURAL FUNDING %]]</f>
        <v>0</v>
      </c>
      <c r="AH22" s="564"/>
      <c r="AI22" s="664">
        <f>SUM(S1OORTbl[[#This Row],[UNRESTRICTED ADF]],S1OORTbl[[#This Row],[Unrestricted Funds Requesting]])</f>
        <v>0</v>
      </c>
      <c r="AJ22" s="564"/>
      <c r="AK22" s="664">
        <f>SUM(S1OORTbl[[#This Row],[Rural Funds Requesting]],S1OORTbl[[#This Row],[RURAL ADF]])</f>
        <v>0</v>
      </c>
    </row>
    <row r="23" spans="1:37" x14ac:dyDescent="0.35">
      <c r="A23" s="115"/>
      <c r="B23" s="5" t="s">
        <v>135</v>
      </c>
      <c r="C23" s="31" t="s">
        <v>513</v>
      </c>
      <c r="D23" s="109" t="str">
        <f>IF(SUM(S1OORTbl[[#This Row],[Unrestricted Repair Units]:[Unrestricted ADU Reconstruct Units]])=0,"",SUM(S1OORTbl[[#This Row],[Unrestricted Repair Units]:[Unrestricted ADU Reconstruct Units]]))</f>
        <v/>
      </c>
      <c r="E23" s="74" t="str">
        <f xml:space="preserve">
IF(S1OORTbl[[#This Row],[TOTAL UNRESTRICTED]]=0,"",
S1OORTbl[[#This Row],[TOTAL UNRESTRICTED]]*
IF(S1_OOR_UnrestrictedTotalRequested&lt;=5000000,1,
5000000/S1_OOR_UnrestrictedTotalRequested)
)</f>
        <v/>
      </c>
      <c r="F23" s="6" t="str">
        <f>IF(S1OORTbl[[#This Row],[UNRESTRICTED FUNDING %]]=0,"",S1OORTbl[[#This Row],[UNRESTRICTED FUNDING %]])</f>
        <v/>
      </c>
      <c r="G23" s="31" t="s">
        <v>513</v>
      </c>
      <c r="H23" s="109" t="str">
        <f>IF(SUM(S1OORTbl[[#This Row],[Rural Repair Units]:[Rural ADU Reconstruct Units]])=0,"",SUM(S1OORTbl[[#This Row],[Rural Repair Units]:[Rural ADU Reconstruct Units]]))</f>
        <v/>
      </c>
      <c r="I23" s="74" t="str">
        <f xml:space="preserve">
IF(S1OORTbl[[#This Row],[TOTAL RURAL]]=0,"",
S1OORTbl[[#This Row],[TOTAL RURAL]]*
IF(S1_OOR_RuralTotalRequested&lt;=(5000000-E$61),1,
(5000000-E$61)/S1_OOR_RuralTotalRequested)
)</f>
        <v/>
      </c>
      <c r="J23" s="6" t="str">
        <f>IF(S1OORTbl[[#This Row],[RURAL FUNDING %]]=0,"",S1OORTbl[[#This Row],[RURAL FUNDING %]])</f>
        <v/>
      </c>
      <c r="K23" s="31" t="s">
        <v>513</v>
      </c>
      <c r="L23" s="167"/>
      <c r="M23" s="199"/>
      <c r="N23" s="123"/>
      <c r="O23" s="117"/>
      <c r="P23" s="117"/>
      <c r="Q23" s="117"/>
      <c r="R23" s="118"/>
      <c r="S23" s="6">
        <f>IF(S1OORTbl[[#This Row],[TOTAL UNRESTRICTED]]=0,0,S1OORTbl[[#This Row],[TOTAL UNRESTRICTED]]/S1_OOR_UnrestrictedTotalRequested)</f>
        <v>0</v>
      </c>
      <c r="T23" s="7">
        <f>IF(S1OORTbl[[#This Row],[ALL UNITS IN A HIGH OR HIGHEST RESOURCE AREA]]="Yes",10*S1OORTbl[[#This Row],[UNRESTRICTED FUNDING %]],0)</f>
        <v>0</v>
      </c>
      <c r="U23" s="7" cm="1">
        <f t="array" ref="U23">INDEX(CountyScoresTbl[OOR Community Need],ROW(S1OORTbl[[#This Row],[COUNTY]])-2,1)*S1OORTbl[[#This Row],[UNRESTRICTED FUNDING %]]</f>
        <v>0</v>
      </c>
      <c r="V23" s="7" cm="1">
        <f t="array" ref="V23">INDEX(CountyScoresTbl[OOR/ADU Total Feasibility Points Awarded],ROW(S1OORTbl[[#This Row],[COUNTY]])-2,1)*S1OORTbl[[#This Row],[UNRESTRICTED FUNDING %]]</f>
        <v>0</v>
      </c>
      <c r="W23" s="8" cm="1">
        <f t="array" ref="W23">INDEX(CountyScoresTbl[Farmworker Need Points Awarded],ROW(S1OORTbl[[#This Row],[COUNTY]])-2,1)*S1OORTbl[[#This Row],[UNRESTRICTED FUNDING %]]</f>
        <v>0</v>
      </c>
      <c r="X23" s="123"/>
      <c r="Y23" s="117"/>
      <c r="Z23" s="117"/>
      <c r="AA23" s="117"/>
      <c r="AB23" s="118"/>
      <c r="AC23" s="6">
        <f>IF(S1OORTbl[[#This Row],[TOTAL RURAL]]=0,0,S1OORTbl[[#This Row],[TOTAL RURAL]]/S1_OOR_RuralTotalRequested)</f>
        <v>0</v>
      </c>
      <c r="AD23" s="7">
        <f>IF(S1OORTbl[[#This Row],[ALL UNITS IN A HIGH OR HIGHEST RESOURCE AREA]]="Yes",10*S1OORTbl[[#This Row],[RURAL FUNDING %]],0)</f>
        <v>0</v>
      </c>
      <c r="AE23" s="7" cm="1">
        <f t="array" ref="AE23">INDEX(CountyScoresTbl[OOR Community Need],ROW(S1OORTbl[[#This Row],[COUNTY]])-2,1)*S1OORTbl[[#This Row],[RURAL FUNDING %]]</f>
        <v>0</v>
      </c>
      <c r="AF23" s="7" cm="1">
        <f t="array" ref="AF23">INDEX(CountyScoresTbl[OOR/ADU Total Feasibility Points Awarded],ROW(S1OORTbl[[#This Row],[COUNTY]])-2,1)*S1OORTbl[[#This Row],[RURAL FUNDING %]]</f>
        <v>0</v>
      </c>
      <c r="AG23" s="73" cm="1">
        <f t="array" ref="AG23">INDEX(CountyScoresTbl[Farmworker Need Points Awarded],ROW(S1OORTbl[[#This Row],[COUNTY]])-2,1)*S1OORTbl[[#This Row],[RURAL FUNDING %]]</f>
        <v>0</v>
      </c>
      <c r="AH23" s="564"/>
      <c r="AI23" s="664">
        <f>SUM(S1OORTbl[[#This Row],[UNRESTRICTED ADF]],S1OORTbl[[#This Row],[Unrestricted Funds Requesting]])</f>
        <v>0</v>
      </c>
      <c r="AJ23" s="564"/>
      <c r="AK23" s="664">
        <f>SUM(S1OORTbl[[#This Row],[Rural Funds Requesting]],S1OORTbl[[#This Row],[RURAL ADF]])</f>
        <v>0</v>
      </c>
    </row>
    <row r="24" spans="1:37" x14ac:dyDescent="0.35">
      <c r="A24" s="115"/>
      <c r="B24" s="5" t="s">
        <v>136</v>
      </c>
      <c r="C24" s="31" t="s">
        <v>513</v>
      </c>
      <c r="D24" s="109" t="str">
        <f>IF(SUM(S1OORTbl[[#This Row],[Unrestricted Repair Units]:[Unrestricted ADU Reconstruct Units]])=0,"",SUM(S1OORTbl[[#This Row],[Unrestricted Repair Units]:[Unrestricted ADU Reconstruct Units]]))</f>
        <v/>
      </c>
      <c r="E24" s="74" t="str">
        <f xml:space="preserve">
IF(S1OORTbl[[#This Row],[TOTAL UNRESTRICTED]]=0,"",
S1OORTbl[[#This Row],[TOTAL UNRESTRICTED]]*
IF(S1_OOR_UnrestrictedTotalRequested&lt;=5000000,1,
5000000/S1_OOR_UnrestrictedTotalRequested)
)</f>
        <v/>
      </c>
      <c r="F24" s="6" t="str">
        <f>IF(S1OORTbl[[#This Row],[UNRESTRICTED FUNDING %]]=0,"",S1OORTbl[[#This Row],[UNRESTRICTED FUNDING %]])</f>
        <v/>
      </c>
      <c r="G24" s="31" t="s">
        <v>513</v>
      </c>
      <c r="H24" s="109" t="str">
        <f>IF(SUM(S1OORTbl[[#This Row],[Rural Repair Units]:[Rural ADU Reconstruct Units]])=0,"",SUM(S1OORTbl[[#This Row],[Rural Repair Units]:[Rural ADU Reconstruct Units]]))</f>
        <v/>
      </c>
      <c r="I24" s="74" t="str">
        <f xml:space="preserve">
IF(S1OORTbl[[#This Row],[TOTAL RURAL]]=0,"",
S1OORTbl[[#This Row],[TOTAL RURAL]]*
IF(S1_OOR_RuralTotalRequested&lt;=(5000000-E$61),1,
(5000000-E$61)/S1_OOR_RuralTotalRequested)
)</f>
        <v/>
      </c>
      <c r="J24" s="6" t="str">
        <f>IF(S1OORTbl[[#This Row],[RURAL FUNDING %]]=0,"",S1OORTbl[[#This Row],[RURAL FUNDING %]])</f>
        <v/>
      </c>
      <c r="K24" s="31" t="s">
        <v>513</v>
      </c>
      <c r="L24" s="167"/>
      <c r="M24" s="199"/>
      <c r="N24" s="123"/>
      <c r="O24" s="117"/>
      <c r="P24" s="117"/>
      <c r="Q24" s="117"/>
      <c r="R24" s="118"/>
      <c r="S24" s="6">
        <f>IF(S1OORTbl[[#This Row],[TOTAL UNRESTRICTED]]=0,0,S1OORTbl[[#This Row],[TOTAL UNRESTRICTED]]/S1_OOR_UnrestrictedTotalRequested)</f>
        <v>0</v>
      </c>
      <c r="T24" s="7">
        <f>IF(S1OORTbl[[#This Row],[ALL UNITS IN A HIGH OR HIGHEST RESOURCE AREA]]="Yes",10*S1OORTbl[[#This Row],[UNRESTRICTED FUNDING %]],0)</f>
        <v>0</v>
      </c>
      <c r="U24" s="7" cm="1">
        <f t="array" ref="U24">INDEX(CountyScoresTbl[OOR Community Need],ROW(S1OORTbl[[#This Row],[COUNTY]])-2,1)*S1OORTbl[[#This Row],[UNRESTRICTED FUNDING %]]</f>
        <v>0</v>
      </c>
      <c r="V24" s="7" cm="1">
        <f t="array" ref="V24">INDEX(CountyScoresTbl[OOR/ADU Total Feasibility Points Awarded],ROW(S1OORTbl[[#This Row],[COUNTY]])-2,1)*S1OORTbl[[#This Row],[UNRESTRICTED FUNDING %]]</f>
        <v>0</v>
      </c>
      <c r="W24" s="8" cm="1">
        <f t="array" ref="W24">INDEX(CountyScoresTbl[Farmworker Need Points Awarded],ROW(S1OORTbl[[#This Row],[COUNTY]])-2,1)*S1OORTbl[[#This Row],[UNRESTRICTED FUNDING %]]</f>
        <v>0</v>
      </c>
      <c r="X24" s="123"/>
      <c r="Y24" s="117"/>
      <c r="Z24" s="117"/>
      <c r="AA24" s="117"/>
      <c r="AB24" s="118"/>
      <c r="AC24" s="6">
        <f>IF(S1OORTbl[[#This Row],[TOTAL RURAL]]=0,0,S1OORTbl[[#This Row],[TOTAL RURAL]]/S1_OOR_RuralTotalRequested)</f>
        <v>0</v>
      </c>
      <c r="AD24" s="7">
        <f>IF(S1OORTbl[[#This Row],[ALL UNITS IN A HIGH OR HIGHEST RESOURCE AREA]]="Yes",10*S1OORTbl[[#This Row],[RURAL FUNDING %]],0)</f>
        <v>0</v>
      </c>
      <c r="AE24" s="7" cm="1">
        <f t="array" ref="AE24">INDEX(CountyScoresTbl[OOR Community Need],ROW(S1OORTbl[[#This Row],[COUNTY]])-2,1)*S1OORTbl[[#This Row],[RURAL FUNDING %]]</f>
        <v>0</v>
      </c>
      <c r="AF24" s="7" cm="1">
        <f t="array" ref="AF24">INDEX(CountyScoresTbl[OOR/ADU Total Feasibility Points Awarded],ROW(S1OORTbl[[#This Row],[COUNTY]])-2,1)*S1OORTbl[[#This Row],[RURAL FUNDING %]]</f>
        <v>0</v>
      </c>
      <c r="AG24" s="73" cm="1">
        <f t="array" ref="AG24">INDEX(CountyScoresTbl[Farmworker Need Points Awarded],ROW(S1OORTbl[[#This Row],[COUNTY]])-2,1)*S1OORTbl[[#This Row],[RURAL FUNDING %]]</f>
        <v>0</v>
      </c>
      <c r="AH24" s="564"/>
      <c r="AI24" s="664">
        <f>SUM(S1OORTbl[[#This Row],[UNRESTRICTED ADF]],S1OORTbl[[#This Row],[Unrestricted Funds Requesting]])</f>
        <v>0</v>
      </c>
      <c r="AJ24" s="564"/>
      <c r="AK24" s="664">
        <f>SUM(S1OORTbl[[#This Row],[Rural Funds Requesting]],S1OORTbl[[#This Row],[RURAL ADF]])</f>
        <v>0</v>
      </c>
    </row>
    <row r="25" spans="1:37" x14ac:dyDescent="0.35">
      <c r="A25" s="115"/>
      <c r="B25" s="5" t="s">
        <v>137</v>
      </c>
      <c r="C25" s="31" t="s">
        <v>513</v>
      </c>
      <c r="D25" s="109" t="str">
        <f>IF(SUM(S1OORTbl[[#This Row],[Unrestricted Repair Units]:[Unrestricted ADU Reconstruct Units]])=0,"",SUM(S1OORTbl[[#This Row],[Unrestricted Repair Units]:[Unrestricted ADU Reconstruct Units]]))</f>
        <v/>
      </c>
      <c r="E25" s="74" t="str">
        <f xml:space="preserve">
IF(S1OORTbl[[#This Row],[TOTAL UNRESTRICTED]]=0,"",
S1OORTbl[[#This Row],[TOTAL UNRESTRICTED]]*
IF(S1_OOR_UnrestrictedTotalRequested&lt;=5000000,1,
5000000/S1_OOR_UnrestrictedTotalRequested)
)</f>
        <v/>
      </c>
      <c r="F25" s="6" t="str">
        <f>IF(S1OORTbl[[#This Row],[UNRESTRICTED FUNDING %]]=0,"",S1OORTbl[[#This Row],[UNRESTRICTED FUNDING %]])</f>
        <v/>
      </c>
      <c r="G25" s="31" t="s">
        <v>513</v>
      </c>
      <c r="H25" s="109" t="str">
        <f>IF(SUM(S1OORTbl[[#This Row],[Rural Repair Units]:[Rural ADU Reconstruct Units]])=0,"",SUM(S1OORTbl[[#This Row],[Rural Repair Units]:[Rural ADU Reconstruct Units]]))</f>
        <v/>
      </c>
      <c r="I25" s="74" t="str">
        <f xml:space="preserve">
IF(S1OORTbl[[#This Row],[TOTAL RURAL]]=0,"",
S1OORTbl[[#This Row],[TOTAL RURAL]]*
IF(S1_OOR_RuralTotalRequested&lt;=(5000000-E$61),1,
(5000000-E$61)/S1_OOR_RuralTotalRequested)
)</f>
        <v/>
      </c>
      <c r="J25" s="6" t="str">
        <f>IF(S1OORTbl[[#This Row],[RURAL FUNDING %]]=0,"",S1OORTbl[[#This Row],[RURAL FUNDING %]])</f>
        <v/>
      </c>
      <c r="K25" s="31" t="s">
        <v>513</v>
      </c>
      <c r="L25" s="167"/>
      <c r="M25" s="199"/>
      <c r="N25" s="123"/>
      <c r="O25" s="117"/>
      <c r="P25" s="117"/>
      <c r="Q25" s="117"/>
      <c r="R25" s="118"/>
      <c r="S25" s="6">
        <f>IF(S1OORTbl[[#This Row],[TOTAL UNRESTRICTED]]=0,0,S1OORTbl[[#This Row],[TOTAL UNRESTRICTED]]/S1_OOR_UnrestrictedTotalRequested)</f>
        <v>0</v>
      </c>
      <c r="T25" s="7">
        <f>IF(S1OORTbl[[#This Row],[ALL UNITS IN A HIGH OR HIGHEST RESOURCE AREA]]="Yes",10*S1OORTbl[[#This Row],[UNRESTRICTED FUNDING %]],0)</f>
        <v>0</v>
      </c>
      <c r="U25" s="7" cm="1">
        <f t="array" ref="U25">INDEX(CountyScoresTbl[OOR Community Need],ROW(S1OORTbl[[#This Row],[COUNTY]])-2,1)*S1OORTbl[[#This Row],[UNRESTRICTED FUNDING %]]</f>
        <v>0</v>
      </c>
      <c r="V25" s="7" cm="1">
        <f t="array" ref="V25">INDEX(CountyScoresTbl[OOR/ADU Total Feasibility Points Awarded],ROW(S1OORTbl[[#This Row],[COUNTY]])-2,1)*S1OORTbl[[#This Row],[UNRESTRICTED FUNDING %]]</f>
        <v>0</v>
      </c>
      <c r="W25" s="8" cm="1">
        <f t="array" ref="W25">INDEX(CountyScoresTbl[Farmworker Need Points Awarded],ROW(S1OORTbl[[#This Row],[COUNTY]])-2,1)*S1OORTbl[[#This Row],[UNRESTRICTED FUNDING %]]</f>
        <v>0</v>
      </c>
      <c r="X25" s="123"/>
      <c r="Y25" s="117"/>
      <c r="Z25" s="117"/>
      <c r="AA25" s="117"/>
      <c r="AB25" s="118"/>
      <c r="AC25" s="6">
        <f>IF(S1OORTbl[[#This Row],[TOTAL RURAL]]=0,0,S1OORTbl[[#This Row],[TOTAL RURAL]]/S1_OOR_RuralTotalRequested)</f>
        <v>0</v>
      </c>
      <c r="AD25" s="7">
        <f>IF(S1OORTbl[[#This Row],[ALL UNITS IN A HIGH OR HIGHEST RESOURCE AREA]]="Yes",10*S1OORTbl[[#This Row],[RURAL FUNDING %]],0)</f>
        <v>0</v>
      </c>
      <c r="AE25" s="7" cm="1">
        <f t="array" ref="AE25">INDEX(CountyScoresTbl[OOR Community Need],ROW(S1OORTbl[[#This Row],[COUNTY]])-2,1)*S1OORTbl[[#This Row],[RURAL FUNDING %]]</f>
        <v>0</v>
      </c>
      <c r="AF25" s="7" cm="1">
        <f t="array" ref="AF25">INDEX(CountyScoresTbl[OOR/ADU Total Feasibility Points Awarded],ROW(S1OORTbl[[#This Row],[COUNTY]])-2,1)*S1OORTbl[[#This Row],[RURAL FUNDING %]]</f>
        <v>0</v>
      </c>
      <c r="AG25" s="73" cm="1">
        <f t="array" ref="AG25">INDEX(CountyScoresTbl[Farmworker Need Points Awarded],ROW(S1OORTbl[[#This Row],[COUNTY]])-2,1)*S1OORTbl[[#This Row],[RURAL FUNDING %]]</f>
        <v>0</v>
      </c>
      <c r="AH25" s="564"/>
      <c r="AI25" s="664">
        <f>SUM(S1OORTbl[[#This Row],[UNRESTRICTED ADF]],S1OORTbl[[#This Row],[Unrestricted Funds Requesting]])</f>
        <v>0</v>
      </c>
      <c r="AJ25" s="564"/>
      <c r="AK25" s="664">
        <f>SUM(S1OORTbl[[#This Row],[Rural Funds Requesting]],S1OORTbl[[#This Row],[RURAL ADF]])</f>
        <v>0</v>
      </c>
    </row>
    <row r="26" spans="1:37" x14ac:dyDescent="0.35">
      <c r="A26" s="116"/>
      <c r="B26" s="5" t="s">
        <v>138</v>
      </c>
      <c r="C26" s="31" t="s">
        <v>513</v>
      </c>
      <c r="D26" s="109" t="str">
        <f>IF(SUM(S1OORTbl[[#This Row],[Unrestricted Repair Units]:[Unrestricted ADU Reconstruct Units]])=0,"",SUM(S1OORTbl[[#This Row],[Unrestricted Repair Units]:[Unrestricted ADU Reconstruct Units]]))</f>
        <v/>
      </c>
      <c r="E26" s="74" t="str">
        <f xml:space="preserve">
IF(S1OORTbl[[#This Row],[TOTAL UNRESTRICTED]]=0,"",
S1OORTbl[[#This Row],[TOTAL UNRESTRICTED]]*
IF(S1_OOR_UnrestrictedTotalRequested&lt;=5000000,1,
5000000/S1_OOR_UnrestrictedTotalRequested)
)</f>
        <v/>
      </c>
      <c r="F26" s="6" t="str">
        <f>IF(S1OORTbl[[#This Row],[UNRESTRICTED FUNDING %]]=0,"",S1OORTbl[[#This Row],[UNRESTRICTED FUNDING %]])</f>
        <v/>
      </c>
      <c r="G26" s="31" t="s">
        <v>513</v>
      </c>
      <c r="H26" s="109" t="str">
        <f>IF(SUM(S1OORTbl[[#This Row],[Rural Repair Units]:[Rural ADU Reconstruct Units]])=0,"",SUM(S1OORTbl[[#This Row],[Rural Repair Units]:[Rural ADU Reconstruct Units]]))</f>
        <v/>
      </c>
      <c r="I26" s="74" t="str">
        <f xml:space="preserve">
IF(S1OORTbl[[#This Row],[TOTAL RURAL]]=0,"",
S1OORTbl[[#This Row],[TOTAL RURAL]]*
IF(S1_OOR_RuralTotalRequested&lt;=(5000000-E$61),1,
(5000000-E$61)/S1_OOR_RuralTotalRequested)
)</f>
        <v/>
      </c>
      <c r="J26" s="6" t="str">
        <f>IF(S1OORTbl[[#This Row],[RURAL FUNDING %]]=0,"",S1OORTbl[[#This Row],[RURAL FUNDING %]])</f>
        <v/>
      </c>
      <c r="K26" s="31" t="s">
        <v>513</v>
      </c>
      <c r="L26" s="124"/>
      <c r="M26" s="197"/>
      <c r="N26" s="124"/>
      <c r="O26" s="119"/>
      <c r="P26" s="119"/>
      <c r="Q26" s="119"/>
      <c r="R26" s="269"/>
      <c r="S26" s="6">
        <f>IF(S1OORTbl[[#This Row],[TOTAL UNRESTRICTED]]=0,0,S1OORTbl[[#This Row],[TOTAL UNRESTRICTED]]/S1_OOR_UnrestrictedTotalRequested)</f>
        <v>0</v>
      </c>
      <c r="T26" s="7">
        <f>IF(S1OORTbl[[#This Row],[ALL UNITS IN A HIGH OR HIGHEST RESOURCE AREA]]="Yes",10*S1OORTbl[[#This Row],[UNRESTRICTED FUNDING %]],0)</f>
        <v>0</v>
      </c>
      <c r="U26" s="7" cm="1">
        <f t="array" ref="U26">INDEX(CountyScoresTbl[OOR Community Need],ROW(S1OORTbl[[#This Row],[COUNTY]])-2,1)*S1OORTbl[[#This Row],[UNRESTRICTED FUNDING %]]</f>
        <v>0</v>
      </c>
      <c r="V26" s="7" cm="1">
        <f t="array" ref="V26">INDEX(CountyScoresTbl[OOR/ADU Total Feasibility Points Awarded],ROW(S1OORTbl[[#This Row],[COUNTY]])-2,1)*S1OORTbl[[#This Row],[UNRESTRICTED FUNDING %]]</f>
        <v>0</v>
      </c>
      <c r="W26" s="8" cm="1">
        <f t="array" ref="W26">INDEX(CountyScoresTbl[Farmworker Need Points Awarded],ROW(S1OORTbl[[#This Row],[COUNTY]])-2,1)*S1OORTbl[[#This Row],[UNRESTRICTED FUNDING %]]</f>
        <v>0</v>
      </c>
      <c r="X26" s="124"/>
      <c r="Y26" s="119"/>
      <c r="Z26" s="119"/>
      <c r="AA26" s="119"/>
      <c r="AB26" s="120"/>
      <c r="AC26" s="6">
        <f>IF(S1OORTbl[[#This Row],[TOTAL RURAL]]=0,0,S1OORTbl[[#This Row],[TOTAL RURAL]]/S1_OOR_RuralTotalRequested)</f>
        <v>0</v>
      </c>
      <c r="AD26" s="7">
        <f>IF(S1OORTbl[[#This Row],[ALL UNITS IN A HIGH OR HIGHEST RESOURCE AREA]]="Yes",10*S1OORTbl[[#This Row],[RURAL FUNDING %]],0)</f>
        <v>0</v>
      </c>
      <c r="AE26" s="7" cm="1">
        <f t="array" ref="AE26">INDEX(CountyScoresTbl[OOR Community Need],ROW(S1OORTbl[[#This Row],[COUNTY]])-2,1)*S1OORTbl[[#This Row],[RURAL FUNDING %]]</f>
        <v>0</v>
      </c>
      <c r="AF26" s="7" cm="1">
        <f t="array" ref="AF26">INDEX(CountyScoresTbl[OOR/ADU Total Feasibility Points Awarded],ROW(S1OORTbl[[#This Row],[COUNTY]])-2,1)*S1OORTbl[[#This Row],[RURAL FUNDING %]]</f>
        <v>0</v>
      </c>
      <c r="AG26" s="73" cm="1">
        <f t="array" ref="AG26">INDEX(CountyScoresTbl[Farmworker Need Points Awarded],ROW(S1OORTbl[[#This Row],[COUNTY]])-2,1)*S1OORTbl[[#This Row],[RURAL FUNDING %]]</f>
        <v>0</v>
      </c>
      <c r="AH26" s="564"/>
      <c r="AI26" s="664">
        <f>SUM(S1OORTbl[[#This Row],[UNRESTRICTED ADF]],S1OORTbl[[#This Row],[Unrestricted Funds Requesting]])</f>
        <v>0</v>
      </c>
      <c r="AJ26" s="564"/>
      <c r="AK26" s="664">
        <f>SUM(S1OORTbl[[#This Row],[Rural Funds Requesting]],S1OORTbl[[#This Row],[RURAL ADF]])</f>
        <v>0</v>
      </c>
    </row>
    <row r="27" spans="1:37" x14ac:dyDescent="0.35">
      <c r="A27" s="115"/>
      <c r="B27" s="5" t="s">
        <v>139</v>
      </c>
      <c r="C27" s="31" t="s">
        <v>513</v>
      </c>
      <c r="D27" s="109" t="str">
        <f>IF(SUM(S1OORTbl[[#This Row],[Unrestricted Repair Units]:[Unrestricted ADU Reconstruct Units]])=0,"",SUM(S1OORTbl[[#This Row],[Unrestricted Repair Units]:[Unrestricted ADU Reconstruct Units]]))</f>
        <v/>
      </c>
      <c r="E27" s="74" t="str">
        <f xml:space="preserve">
IF(S1OORTbl[[#This Row],[TOTAL UNRESTRICTED]]=0,"",
S1OORTbl[[#This Row],[TOTAL UNRESTRICTED]]*
IF(S1_OOR_UnrestrictedTotalRequested&lt;=5000000,1,
5000000/S1_OOR_UnrestrictedTotalRequested)
)</f>
        <v/>
      </c>
      <c r="F27" s="6" t="str">
        <f>IF(S1OORTbl[[#This Row],[UNRESTRICTED FUNDING %]]=0,"",S1OORTbl[[#This Row],[UNRESTRICTED FUNDING %]])</f>
        <v/>
      </c>
      <c r="G27" s="31" t="s">
        <v>513</v>
      </c>
      <c r="H27" s="109" t="str">
        <f>IF(SUM(S1OORTbl[[#This Row],[Rural Repair Units]:[Rural ADU Reconstruct Units]])=0,"",SUM(S1OORTbl[[#This Row],[Rural Repair Units]:[Rural ADU Reconstruct Units]]))</f>
        <v/>
      </c>
      <c r="I27" s="74" t="str">
        <f xml:space="preserve">
IF(S1OORTbl[[#This Row],[TOTAL RURAL]]=0,"",
S1OORTbl[[#This Row],[TOTAL RURAL]]*
IF(S1_OOR_RuralTotalRequested&lt;=(5000000-E$61),1,
(5000000-E$61)/S1_OOR_RuralTotalRequested)
)</f>
        <v/>
      </c>
      <c r="J27" s="6" t="str">
        <f>IF(S1OORTbl[[#This Row],[RURAL FUNDING %]]=0,"",S1OORTbl[[#This Row],[RURAL FUNDING %]])</f>
        <v/>
      </c>
      <c r="K27" s="31" t="s">
        <v>513</v>
      </c>
      <c r="L27" s="167"/>
      <c r="M27" s="199"/>
      <c r="N27" s="123"/>
      <c r="O27" s="117"/>
      <c r="P27" s="117"/>
      <c r="Q27" s="117"/>
      <c r="R27" s="118"/>
      <c r="S27" s="6">
        <f>IF(S1OORTbl[[#This Row],[TOTAL UNRESTRICTED]]=0,0,S1OORTbl[[#This Row],[TOTAL UNRESTRICTED]]/S1_OOR_UnrestrictedTotalRequested)</f>
        <v>0</v>
      </c>
      <c r="T27" s="7">
        <f>IF(S1OORTbl[[#This Row],[ALL UNITS IN A HIGH OR HIGHEST RESOURCE AREA]]="Yes",10*S1OORTbl[[#This Row],[UNRESTRICTED FUNDING %]],0)</f>
        <v>0</v>
      </c>
      <c r="U27" s="7" cm="1">
        <f t="array" ref="U27">INDEX(CountyScoresTbl[OOR Community Need],ROW(S1OORTbl[[#This Row],[COUNTY]])-2,1)*S1OORTbl[[#This Row],[UNRESTRICTED FUNDING %]]</f>
        <v>0</v>
      </c>
      <c r="V27" s="7" cm="1">
        <f t="array" ref="V27">INDEX(CountyScoresTbl[OOR/ADU Total Feasibility Points Awarded],ROW(S1OORTbl[[#This Row],[COUNTY]])-2,1)*S1OORTbl[[#This Row],[UNRESTRICTED FUNDING %]]</f>
        <v>0</v>
      </c>
      <c r="W27" s="8" cm="1">
        <f t="array" ref="W27">INDEX(CountyScoresTbl[Farmworker Need Points Awarded],ROW(S1OORTbl[[#This Row],[COUNTY]])-2,1)*S1OORTbl[[#This Row],[UNRESTRICTED FUNDING %]]</f>
        <v>0</v>
      </c>
      <c r="X27" s="123"/>
      <c r="Y27" s="117"/>
      <c r="Z27" s="117"/>
      <c r="AA27" s="117"/>
      <c r="AB27" s="118"/>
      <c r="AC27" s="6">
        <f>IF(S1OORTbl[[#This Row],[TOTAL RURAL]]=0,0,S1OORTbl[[#This Row],[TOTAL RURAL]]/S1_OOR_RuralTotalRequested)</f>
        <v>0</v>
      </c>
      <c r="AD27" s="7">
        <f>IF(S1OORTbl[[#This Row],[ALL UNITS IN A HIGH OR HIGHEST RESOURCE AREA]]="Yes",10*S1OORTbl[[#This Row],[RURAL FUNDING %]],0)</f>
        <v>0</v>
      </c>
      <c r="AE27" s="7" cm="1">
        <f t="array" ref="AE27">INDEX(CountyScoresTbl[OOR Community Need],ROW(S1OORTbl[[#This Row],[COUNTY]])-2,1)*S1OORTbl[[#This Row],[RURAL FUNDING %]]</f>
        <v>0</v>
      </c>
      <c r="AF27" s="7" cm="1">
        <f t="array" ref="AF27">INDEX(CountyScoresTbl[OOR/ADU Total Feasibility Points Awarded],ROW(S1OORTbl[[#This Row],[COUNTY]])-2,1)*S1OORTbl[[#This Row],[RURAL FUNDING %]]</f>
        <v>0</v>
      </c>
      <c r="AG27" s="73" cm="1">
        <f t="array" ref="AG27">INDEX(CountyScoresTbl[Farmworker Need Points Awarded],ROW(S1OORTbl[[#This Row],[COUNTY]])-2,1)*S1OORTbl[[#This Row],[RURAL FUNDING %]]</f>
        <v>0</v>
      </c>
      <c r="AH27" s="564"/>
      <c r="AI27" s="664">
        <f>SUM(S1OORTbl[[#This Row],[UNRESTRICTED ADF]],S1OORTbl[[#This Row],[Unrestricted Funds Requesting]])</f>
        <v>0</v>
      </c>
      <c r="AJ27" s="564"/>
      <c r="AK27" s="664">
        <f>SUM(S1OORTbl[[#This Row],[Rural Funds Requesting]],S1OORTbl[[#This Row],[RURAL ADF]])</f>
        <v>0</v>
      </c>
    </row>
    <row r="28" spans="1:37" x14ac:dyDescent="0.35">
      <c r="A28" s="116"/>
      <c r="B28" s="5" t="s">
        <v>140</v>
      </c>
      <c r="C28" s="31" t="s">
        <v>513</v>
      </c>
      <c r="D28" s="109" t="str">
        <f>IF(SUM(S1OORTbl[[#This Row],[Unrestricted Repair Units]:[Unrestricted ADU Reconstruct Units]])=0,"",SUM(S1OORTbl[[#This Row],[Unrestricted Repair Units]:[Unrestricted ADU Reconstruct Units]]))</f>
        <v/>
      </c>
      <c r="E28" s="74" t="str">
        <f xml:space="preserve">
IF(S1OORTbl[[#This Row],[TOTAL UNRESTRICTED]]=0,"",
S1OORTbl[[#This Row],[TOTAL UNRESTRICTED]]*
IF(S1_OOR_UnrestrictedTotalRequested&lt;=5000000,1,
5000000/S1_OOR_UnrestrictedTotalRequested)
)</f>
        <v/>
      </c>
      <c r="F28" s="6" t="str">
        <f>IF(S1OORTbl[[#This Row],[UNRESTRICTED FUNDING %]]=0,"",S1OORTbl[[#This Row],[UNRESTRICTED FUNDING %]])</f>
        <v/>
      </c>
      <c r="G28" s="31" t="s">
        <v>513</v>
      </c>
      <c r="H28" s="109" t="str">
        <f>IF(SUM(S1OORTbl[[#This Row],[Rural Repair Units]:[Rural ADU Reconstruct Units]])=0,"",SUM(S1OORTbl[[#This Row],[Rural Repair Units]:[Rural ADU Reconstruct Units]]))</f>
        <v/>
      </c>
      <c r="I28" s="74" t="str">
        <f xml:space="preserve">
IF(S1OORTbl[[#This Row],[TOTAL RURAL]]=0,"",
S1OORTbl[[#This Row],[TOTAL RURAL]]*
IF(S1_OOR_RuralTotalRequested&lt;=(5000000-E$61),1,
(5000000-E$61)/S1_OOR_RuralTotalRequested)
)</f>
        <v/>
      </c>
      <c r="J28" s="6" t="str">
        <f>IF(S1OORTbl[[#This Row],[RURAL FUNDING %]]=0,"",S1OORTbl[[#This Row],[RURAL FUNDING %]])</f>
        <v/>
      </c>
      <c r="K28" s="31" t="s">
        <v>513</v>
      </c>
      <c r="L28" s="124"/>
      <c r="M28" s="197"/>
      <c r="N28" s="124"/>
      <c r="O28" s="119"/>
      <c r="P28" s="119"/>
      <c r="Q28" s="119"/>
      <c r="R28" s="269"/>
      <c r="S28" s="6">
        <f>IF(S1OORTbl[[#This Row],[TOTAL UNRESTRICTED]]=0,0,S1OORTbl[[#This Row],[TOTAL UNRESTRICTED]]/S1_OOR_UnrestrictedTotalRequested)</f>
        <v>0</v>
      </c>
      <c r="T28" s="7">
        <f>IF(S1OORTbl[[#This Row],[ALL UNITS IN A HIGH OR HIGHEST RESOURCE AREA]]="Yes",10*S1OORTbl[[#This Row],[UNRESTRICTED FUNDING %]],0)</f>
        <v>0</v>
      </c>
      <c r="U28" s="7" cm="1">
        <f t="array" ref="U28">INDEX(CountyScoresTbl[OOR Community Need],ROW(S1OORTbl[[#This Row],[COUNTY]])-2,1)*S1OORTbl[[#This Row],[UNRESTRICTED FUNDING %]]</f>
        <v>0</v>
      </c>
      <c r="V28" s="7" cm="1">
        <f t="array" ref="V28">INDEX(CountyScoresTbl[OOR/ADU Total Feasibility Points Awarded],ROW(S1OORTbl[[#This Row],[COUNTY]])-2,1)*S1OORTbl[[#This Row],[UNRESTRICTED FUNDING %]]</f>
        <v>0</v>
      </c>
      <c r="W28" s="8" cm="1">
        <f t="array" ref="W28">INDEX(CountyScoresTbl[Farmworker Need Points Awarded],ROW(S1OORTbl[[#This Row],[COUNTY]])-2,1)*S1OORTbl[[#This Row],[UNRESTRICTED FUNDING %]]</f>
        <v>0</v>
      </c>
      <c r="X28" s="124"/>
      <c r="Y28" s="119"/>
      <c r="Z28" s="119"/>
      <c r="AA28" s="119"/>
      <c r="AB28" s="120"/>
      <c r="AC28" s="6">
        <f>IF(S1OORTbl[[#This Row],[TOTAL RURAL]]=0,0,S1OORTbl[[#This Row],[TOTAL RURAL]]/S1_OOR_RuralTotalRequested)</f>
        <v>0</v>
      </c>
      <c r="AD28" s="7">
        <f>IF(S1OORTbl[[#This Row],[ALL UNITS IN A HIGH OR HIGHEST RESOURCE AREA]]="Yes",10*S1OORTbl[[#This Row],[RURAL FUNDING %]],0)</f>
        <v>0</v>
      </c>
      <c r="AE28" s="7" cm="1">
        <f t="array" ref="AE28">INDEX(CountyScoresTbl[OOR Community Need],ROW(S1OORTbl[[#This Row],[COUNTY]])-2,1)*S1OORTbl[[#This Row],[RURAL FUNDING %]]</f>
        <v>0</v>
      </c>
      <c r="AF28" s="7" cm="1">
        <f t="array" ref="AF28">INDEX(CountyScoresTbl[OOR/ADU Total Feasibility Points Awarded],ROW(S1OORTbl[[#This Row],[COUNTY]])-2,1)*S1OORTbl[[#This Row],[RURAL FUNDING %]]</f>
        <v>0</v>
      </c>
      <c r="AG28" s="73" cm="1">
        <f t="array" ref="AG28">INDEX(CountyScoresTbl[Farmworker Need Points Awarded],ROW(S1OORTbl[[#This Row],[COUNTY]])-2,1)*S1OORTbl[[#This Row],[RURAL FUNDING %]]</f>
        <v>0</v>
      </c>
      <c r="AH28" s="564"/>
      <c r="AI28" s="664">
        <f>SUM(S1OORTbl[[#This Row],[UNRESTRICTED ADF]],S1OORTbl[[#This Row],[Unrestricted Funds Requesting]])</f>
        <v>0</v>
      </c>
      <c r="AJ28" s="564"/>
      <c r="AK28" s="664">
        <f>SUM(S1OORTbl[[#This Row],[Rural Funds Requesting]],S1OORTbl[[#This Row],[RURAL ADF]])</f>
        <v>0</v>
      </c>
    </row>
    <row r="29" spans="1:37" x14ac:dyDescent="0.35">
      <c r="A29" s="115"/>
      <c r="B29" s="5" t="s">
        <v>141</v>
      </c>
      <c r="C29" s="31" t="s">
        <v>513</v>
      </c>
      <c r="D29" s="109" t="str">
        <f>IF(SUM(S1OORTbl[[#This Row],[Unrestricted Repair Units]:[Unrestricted ADU Reconstruct Units]])=0,"",SUM(S1OORTbl[[#This Row],[Unrestricted Repair Units]:[Unrestricted ADU Reconstruct Units]]))</f>
        <v/>
      </c>
      <c r="E29" s="74" t="str">
        <f xml:space="preserve">
IF(S1OORTbl[[#This Row],[TOTAL UNRESTRICTED]]=0,"",
S1OORTbl[[#This Row],[TOTAL UNRESTRICTED]]*
IF(S1_OOR_UnrestrictedTotalRequested&lt;=5000000,1,
5000000/S1_OOR_UnrestrictedTotalRequested)
)</f>
        <v/>
      </c>
      <c r="F29" s="6" t="str">
        <f>IF(S1OORTbl[[#This Row],[UNRESTRICTED FUNDING %]]=0,"",S1OORTbl[[#This Row],[UNRESTRICTED FUNDING %]])</f>
        <v/>
      </c>
      <c r="G29" s="31" t="s">
        <v>513</v>
      </c>
      <c r="H29" s="109" t="str">
        <f>IF(SUM(S1OORTbl[[#This Row],[Rural Repair Units]:[Rural ADU Reconstruct Units]])=0,"",SUM(S1OORTbl[[#This Row],[Rural Repair Units]:[Rural ADU Reconstruct Units]]))</f>
        <v/>
      </c>
      <c r="I29" s="74" t="str">
        <f xml:space="preserve">
IF(S1OORTbl[[#This Row],[TOTAL RURAL]]=0,"",
S1OORTbl[[#This Row],[TOTAL RURAL]]*
IF(S1_OOR_RuralTotalRequested&lt;=(5000000-E$61),1,
(5000000-E$61)/S1_OOR_RuralTotalRequested)
)</f>
        <v/>
      </c>
      <c r="J29" s="6" t="str">
        <f>IF(S1OORTbl[[#This Row],[RURAL FUNDING %]]=0,"",S1OORTbl[[#This Row],[RURAL FUNDING %]])</f>
        <v/>
      </c>
      <c r="K29" s="31" t="s">
        <v>513</v>
      </c>
      <c r="L29" s="167"/>
      <c r="M29" s="199"/>
      <c r="N29" s="123"/>
      <c r="O29" s="117"/>
      <c r="P29" s="117"/>
      <c r="Q29" s="117"/>
      <c r="R29" s="118"/>
      <c r="S29" s="6">
        <f>IF(S1OORTbl[[#This Row],[TOTAL UNRESTRICTED]]=0,0,S1OORTbl[[#This Row],[TOTAL UNRESTRICTED]]/S1_OOR_UnrestrictedTotalRequested)</f>
        <v>0</v>
      </c>
      <c r="T29" s="7">
        <f>IF(S1OORTbl[[#This Row],[ALL UNITS IN A HIGH OR HIGHEST RESOURCE AREA]]="Yes",10*S1OORTbl[[#This Row],[UNRESTRICTED FUNDING %]],0)</f>
        <v>0</v>
      </c>
      <c r="U29" s="7" cm="1">
        <f t="array" ref="U29">INDEX(CountyScoresTbl[OOR Community Need],ROW(S1OORTbl[[#This Row],[COUNTY]])-2,1)*S1OORTbl[[#This Row],[UNRESTRICTED FUNDING %]]</f>
        <v>0</v>
      </c>
      <c r="V29" s="7" cm="1">
        <f t="array" ref="V29">INDEX(CountyScoresTbl[OOR/ADU Total Feasibility Points Awarded],ROW(S1OORTbl[[#This Row],[COUNTY]])-2,1)*S1OORTbl[[#This Row],[UNRESTRICTED FUNDING %]]</f>
        <v>0</v>
      </c>
      <c r="W29" s="8" cm="1">
        <f t="array" ref="W29">INDEX(CountyScoresTbl[Farmworker Need Points Awarded],ROW(S1OORTbl[[#This Row],[COUNTY]])-2,1)*S1OORTbl[[#This Row],[UNRESTRICTED FUNDING %]]</f>
        <v>0</v>
      </c>
      <c r="X29" s="123"/>
      <c r="Y29" s="117"/>
      <c r="Z29" s="117"/>
      <c r="AA29" s="117"/>
      <c r="AB29" s="118"/>
      <c r="AC29" s="6">
        <f>IF(S1OORTbl[[#This Row],[TOTAL RURAL]]=0,0,S1OORTbl[[#This Row],[TOTAL RURAL]]/S1_OOR_RuralTotalRequested)</f>
        <v>0</v>
      </c>
      <c r="AD29" s="7">
        <f>IF(S1OORTbl[[#This Row],[ALL UNITS IN A HIGH OR HIGHEST RESOURCE AREA]]="Yes",10*S1OORTbl[[#This Row],[RURAL FUNDING %]],0)</f>
        <v>0</v>
      </c>
      <c r="AE29" s="7" cm="1">
        <f t="array" ref="AE29">INDEX(CountyScoresTbl[OOR Community Need],ROW(S1OORTbl[[#This Row],[COUNTY]])-2,1)*S1OORTbl[[#This Row],[RURAL FUNDING %]]</f>
        <v>0</v>
      </c>
      <c r="AF29" s="7" cm="1">
        <f t="array" ref="AF29">INDEX(CountyScoresTbl[OOR/ADU Total Feasibility Points Awarded],ROW(S1OORTbl[[#This Row],[COUNTY]])-2,1)*S1OORTbl[[#This Row],[RURAL FUNDING %]]</f>
        <v>0</v>
      </c>
      <c r="AG29" s="73" cm="1">
        <f t="array" ref="AG29">INDEX(CountyScoresTbl[Farmworker Need Points Awarded],ROW(S1OORTbl[[#This Row],[COUNTY]])-2,1)*S1OORTbl[[#This Row],[RURAL FUNDING %]]</f>
        <v>0</v>
      </c>
      <c r="AH29" s="564"/>
      <c r="AI29" s="664">
        <f>SUM(S1OORTbl[[#This Row],[UNRESTRICTED ADF]],S1OORTbl[[#This Row],[Unrestricted Funds Requesting]])</f>
        <v>0</v>
      </c>
      <c r="AJ29" s="564"/>
      <c r="AK29" s="664">
        <f>SUM(S1OORTbl[[#This Row],[Rural Funds Requesting]],S1OORTbl[[#This Row],[RURAL ADF]])</f>
        <v>0</v>
      </c>
    </row>
    <row r="30" spans="1:37" x14ac:dyDescent="0.35">
      <c r="A30" s="115"/>
      <c r="B30" s="5" t="s">
        <v>142</v>
      </c>
      <c r="C30" s="31" t="s">
        <v>513</v>
      </c>
      <c r="D30" s="109" t="str">
        <f>IF(SUM(S1OORTbl[[#This Row],[Unrestricted Repair Units]:[Unrestricted ADU Reconstruct Units]])=0,"",SUM(S1OORTbl[[#This Row],[Unrestricted Repair Units]:[Unrestricted ADU Reconstruct Units]]))</f>
        <v/>
      </c>
      <c r="E30" s="74" t="str">
        <f xml:space="preserve">
IF(S1OORTbl[[#This Row],[TOTAL UNRESTRICTED]]=0,"",
S1OORTbl[[#This Row],[TOTAL UNRESTRICTED]]*
IF(S1_OOR_UnrestrictedTotalRequested&lt;=5000000,1,
5000000/S1_OOR_UnrestrictedTotalRequested)
)</f>
        <v/>
      </c>
      <c r="F30" s="6" t="str">
        <f>IF(S1OORTbl[[#This Row],[UNRESTRICTED FUNDING %]]=0,"",S1OORTbl[[#This Row],[UNRESTRICTED FUNDING %]])</f>
        <v/>
      </c>
      <c r="G30" s="31" t="s">
        <v>513</v>
      </c>
      <c r="H30" s="109" t="str">
        <f>IF(SUM(S1OORTbl[[#This Row],[Rural Repair Units]:[Rural ADU Reconstruct Units]])=0,"",SUM(S1OORTbl[[#This Row],[Rural Repair Units]:[Rural ADU Reconstruct Units]]))</f>
        <v/>
      </c>
      <c r="I30" s="74" t="str">
        <f xml:space="preserve">
IF(S1OORTbl[[#This Row],[TOTAL RURAL]]=0,"",
S1OORTbl[[#This Row],[TOTAL RURAL]]*
IF(S1_OOR_RuralTotalRequested&lt;=(5000000-E$61),1,
(5000000-E$61)/S1_OOR_RuralTotalRequested)
)</f>
        <v/>
      </c>
      <c r="J30" s="6" t="str">
        <f>IF(S1OORTbl[[#This Row],[RURAL FUNDING %]]=0,"",S1OORTbl[[#This Row],[RURAL FUNDING %]])</f>
        <v/>
      </c>
      <c r="K30" s="31" t="s">
        <v>513</v>
      </c>
      <c r="L30" s="167"/>
      <c r="M30" s="199"/>
      <c r="N30" s="123"/>
      <c r="O30" s="117"/>
      <c r="P30" s="117"/>
      <c r="Q30" s="117"/>
      <c r="R30" s="118"/>
      <c r="S30" s="6">
        <f>IF(S1OORTbl[[#This Row],[TOTAL UNRESTRICTED]]=0,0,S1OORTbl[[#This Row],[TOTAL UNRESTRICTED]]/S1_OOR_UnrestrictedTotalRequested)</f>
        <v>0</v>
      </c>
      <c r="T30" s="7">
        <f>IF(S1OORTbl[[#This Row],[ALL UNITS IN A HIGH OR HIGHEST RESOURCE AREA]]="Yes",10*S1OORTbl[[#This Row],[UNRESTRICTED FUNDING %]],0)</f>
        <v>0</v>
      </c>
      <c r="U30" s="7" cm="1">
        <f t="array" ref="U30">INDEX(CountyScoresTbl[OOR Community Need],ROW(S1OORTbl[[#This Row],[COUNTY]])-2,1)*S1OORTbl[[#This Row],[UNRESTRICTED FUNDING %]]</f>
        <v>0</v>
      </c>
      <c r="V30" s="7" cm="1">
        <f t="array" ref="V30">INDEX(CountyScoresTbl[OOR/ADU Total Feasibility Points Awarded],ROW(S1OORTbl[[#This Row],[COUNTY]])-2,1)*S1OORTbl[[#This Row],[UNRESTRICTED FUNDING %]]</f>
        <v>0</v>
      </c>
      <c r="W30" s="8" cm="1">
        <f t="array" ref="W30">INDEX(CountyScoresTbl[Farmworker Need Points Awarded],ROW(S1OORTbl[[#This Row],[COUNTY]])-2,1)*S1OORTbl[[#This Row],[UNRESTRICTED FUNDING %]]</f>
        <v>0</v>
      </c>
      <c r="X30" s="123"/>
      <c r="Y30" s="117"/>
      <c r="Z30" s="117"/>
      <c r="AA30" s="117"/>
      <c r="AB30" s="118"/>
      <c r="AC30" s="6">
        <f>IF(S1OORTbl[[#This Row],[TOTAL RURAL]]=0,0,S1OORTbl[[#This Row],[TOTAL RURAL]]/S1_OOR_RuralTotalRequested)</f>
        <v>0</v>
      </c>
      <c r="AD30" s="7">
        <f>IF(S1OORTbl[[#This Row],[ALL UNITS IN A HIGH OR HIGHEST RESOURCE AREA]]="Yes",10*S1OORTbl[[#This Row],[RURAL FUNDING %]],0)</f>
        <v>0</v>
      </c>
      <c r="AE30" s="7" cm="1">
        <f t="array" ref="AE30">INDEX(CountyScoresTbl[OOR Community Need],ROW(S1OORTbl[[#This Row],[COUNTY]])-2,1)*S1OORTbl[[#This Row],[RURAL FUNDING %]]</f>
        <v>0</v>
      </c>
      <c r="AF30" s="7" cm="1">
        <f t="array" ref="AF30">INDEX(CountyScoresTbl[OOR/ADU Total Feasibility Points Awarded],ROW(S1OORTbl[[#This Row],[COUNTY]])-2,1)*S1OORTbl[[#This Row],[RURAL FUNDING %]]</f>
        <v>0</v>
      </c>
      <c r="AG30" s="73" cm="1">
        <f t="array" ref="AG30">INDEX(CountyScoresTbl[Farmworker Need Points Awarded],ROW(S1OORTbl[[#This Row],[COUNTY]])-2,1)*S1OORTbl[[#This Row],[RURAL FUNDING %]]</f>
        <v>0</v>
      </c>
      <c r="AH30" s="564"/>
      <c r="AI30" s="664">
        <f>SUM(S1OORTbl[[#This Row],[UNRESTRICTED ADF]],S1OORTbl[[#This Row],[Unrestricted Funds Requesting]])</f>
        <v>0</v>
      </c>
      <c r="AJ30" s="564"/>
      <c r="AK30" s="664">
        <f>SUM(S1OORTbl[[#This Row],[Rural Funds Requesting]],S1OORTbl[[#This Row],[RURAL ADF]])</f>
        <v>0</v>
      </c>
    </row>
    <row r="31" spans="1:37" x14ac:dyDescent="0.35">
      <c r="A31" s="116"/>
      <c r="B31" s="5" t="s">
        <v>143</v>
      </c>
      <c r="C31" s="31" t="s">
        <v>513</v>
      </c>
      <c r="D31" s="109" t="str">
        <f>IF(SUM(S1OORTbl[[#This Row],[Unrestricted Repair Units]:[Unrestricted ADU Reconstruct Units]])=0,"",SUM(S1OORTbl[[#This Row],[Unrestricted Repair Units]:[Unrestricted ADU Reconstruct Units]]))</f>
        <v/>
      </c>
      <c r="E31" s="74" t="str">
        <f xml:space="preserve">
IF(S1OORTbl[[#This Row],[TOTAL UNRESTRICTED]]=0,"",
S1OORTbl[[#This Row],[TOTAL UNRESTRICTED]]*
IF(S1_OOR_UnrestrictedTotalRequested&lt;=5000000,1,
5000000/S1_OOR_UnrestrictedTotalRequested)
)</f>
        <v/>
      </c>
      <c r="F31" s="6" t="str">
        <f>IF(S1OORTbl[[#This Row],[UNRESTRICTED FUNDING %]]=0,"",S1OORTbl[[#This Row],[UNRESTRICTED FUNDING %]])</f>
        <v/>
      </c>
      <c r="G31" s="31" t="s">
        <v>513</v>
      </c>
      <c r="H31" s="109" t="str">
        <f>IF(SUM(S1OORTbl[[#This Row],[Rural Repair Units]:[Rural ADU Reconstruct Units]])=0,"",SUM(S1OORTbl[[#This Row],[Rural Repair Units]:[Rural ADU Reconstruct Units]]))</f>
        <v/>
      </c>
      <c r="I31" s="74" t="str">
        <f xml:space="preserve">
IF(S1OORTbl[[#This Row],[TOTAL RURAL]]=0,"",
S1OORTbl[[#This Row],[TOTAL RURAL]]*
IF(S1_OOR_RuralTotalRequested&lt;=(5000000-E$61),1,
(5000000-E$61)/S1_OOR_RuralTotalRequested)
)</f>
        <v/>
      </c>
      <c r="J31" s="6" t="str">
        <f>IF(S1OORTbl[[#This Row],[RURAL FUNDING %]]=0,"",S1OORTbl[[#This Row],[RURAL FUNDING %]])</f>
        <v/>
      </c>
      <c r="K31" s="31" t="s">
        <v>513</v>
      </c>
      <c r="L31" s="124"/>
      <c r="M31" s="197"/>
      <c r="N31" s="124"/>
      <c r="O31" s="119"/>
      <c r="P31" s="119"/>
      <c r="Q31" s="119"/>
      <c r="R31" s="269"/>
      <c r="S31" s="6">
        <f>IF(S1OORTbl[[#This Row],[TOTAL UNRESTRICTED]]=0,0,S1OORTbl[[#This Row],[TOTAL UNRESTRICTED]]/S1_OOR_UnrestrictedTotalRequested)</f>
        <v>0</v>
      </c>
      <c r="T31" s="7">
        <f>IF(S1OORTbl[[#This Row],[ALL UNITS IN A HIGH OR HIGHEST RESOURCE AREA]]="Yes",10*S1OORTbl[[#This Row],[UNRESTRICTED FUNDING %]],0)</f>
        <v>0</v>
      </c>
      <c r="U31" s="7" cm="1">
        <f t="array" ref="U31">INDEX(CountyScoresTbl[OOR Community Need],ROW(S1OORTbl[[#This Row],[COUNTY]])-2,1)*S1OORTbl[[#This Row],[UNRESTRICTED FUNDING %]]</f>
        <v>0</v>
      </c>
      <c r="V31" s="7" cm="1">
        <f t="array" ref="V31">INDEX(CountyScoresTbl[OOR/ADU Total Feasibility Points Awarded],ROW(S1OORTbl[[#This Row],[COUNTY]])-2,1)*S1OORTbl[[#This Row],[UNRESTRICTED FUNDING %]]</f>
        <v>0</v>
      </c>
      <c r="W31" s="8" cm="1">
        <f t="array" ref="W31">INDEX(CountyScoresTbl[Farmworker Need Points Awarded],ROW(S1OORTbl[[#This Row],[COUNTY]])-2,1)*S1OORTbl[[#This Row],[UNRESTRICTED FUNDING %]]</f>
        <v>0</v>
      </c>
      <c r="X31" s="124"/>
      <c r="Y31" s="119"/>
      <c r="Z31" s="119"/>
      <c r="AA31" s="119"/>
      <c r="AB31" s="120"/>
      <c r="AC31" s="6">
        <f>IF(S1OORTbl[[#This Row],[TOTAL RURAL]]=0,0,S1OORTbl[[#This Row],[TOTAL RURAL]]/S1_OOR_RuralTotalRequested)</f>
        <v>0</v>
      </c>
      <c r="AD31" s="7">
        <f>IF(S1OORTbl[[#This Row],[ALL UNITS IN A HIGH OR HIGHEST RESOURCE AREA]]="Yes",10*S1OORTbl[[#This Row],[RURAL FUNDING %]],0)</f>
        <v>0</v>
      </c>
      <c r="AE31" s="7" cm="1">
        <f t="array" ref="AE31">INDEX(CountyScoresTbl[OOR Community Need],ROW(S1OORTbl[[#This Row],[COUNTY]])-2,1)*S1OORTbl[[#This Row],[RURAL FUNDING %]]</f>
        <v>0</v>
      </c>
      <c r="AF31" s="7" cm="1">
        <f t="array" ref="AF31">INDEX(CountyScoresTbl[OOR/ADU Total Feasibility Points Awarded],ROW(S1OORTbl[[#This Row],[COUNTY]])-2,1)*S1OORTbl[[#This Row],[RURAL FUNDING %]]</f>
        <v>0</v>
      </c>
      <c r="AG31" s="73" cm="1">
        <f t="array" ref="AG31">INDEX(CountyScoresTbl[Farmworker Need Points Awarded],ROW(S1OORTbl[[#This Row],[COUNTY]])-2,1)*S1OORTbl[[#This Row],[RURAL FUNDING %]]</f>
        <v>0</v>
      </c>
      <c r="AH31" s="564"/>
      <c r="AI31" s="664">
        <f>SUM(S1OORTbl[[#This Row],[UNRESTRICTED ADF]],S1OORTbl[[#This Row],[Unrestricted Funds Requesting]])</f>
        <v>0</v>
      </c>
      <c r="AJ31" s="564"/>
      <c r="AK31" s="664">
        <f>SUM(S1OORTbl[[#This Row],[Rural Funds Requesting]],S1OORTbl[[#This Row],[RURAL ADF]])</f>
        <v>0</v>
      </c>
    </row>
    <row r="32" spans="1:37" x14ac:dyDescent="0.35">
      <c r="A32" s="116"/>
      <c r="B32" s="5" t="s">
        <v>144</v>
      </c>
      <c r="C32" s="31" t="s">
        <v>513</v>
      </c>
      <c r="D32" s="109" t="str">
        <f>IF(SUM(S1OORTbl[[#This Row],[Unrestricted Repair Units]:[Unrestricted ADU Reconstruct Units]])=0,"",SUM(S1OORTbl[[#This Row],[Unrestricted Repair Units]:[Unrestricted ADU Reconstruct Units]]))</f>
        <v/>
      </c>
      <c r="E32" s="74" t="str">
        <f xml:space="preserve">
IF(S1OORTbl[[#This Row],[TOTAL UNRESTRICTED]]=0,"",
S1OORTbl[[#This Row],[TOTAL UNRESTRICTED]]*
IF(S1_OOR_UnrestrictedTotalRequested&lt;=5000000,1,
5000000/S1_OOR_UnrestrictedTotalRequested)
)</f>
        <v/>
      </c>
      <c r="F32" s="6" t="str">
        <f>IF(S1OORTbl[[#This Row],[UNRESTRICTED FUNDING %]]=0,"",S1OORTbl[[#This Row],[UNRESTRICTED FUNDING %]])</f>
        <v/>
      </c>
      <c r="G32" s="31" t="s">
        <v>513</v>
      </c>
      <c r="H32" s="109" t="str">
        <f>IF(SUM(S1OORTbl[[#This Row],[Rural Repair Units]:[Rural ADU Reconstruct Units]])=0,"",SUM(S1OORTbl[[#This Row],[Rural Repair Units]:[Rural ADU Reconstruct Units]]))</f>
        <v/>
      </c>
      <c r="I32" s="74" t="str">
        <f xml:space="preserve">
IF(S1OORTbl[[#This Row],[TOTAL RURAL]]=0,"",
S1OORTbl[[#This Row],[TOTAL RURAL]]*
IF(S1_OOR_RuralTotalRequested&lt;=(5000000-E$61),1,
(5000000-E$61)/S1_OOR_RuralTotalRequested)
)</f>
        <v/>
      </c>
      <c r="J32" s="6" t="str">
        <f>IF(S1OORTbl[[#This Row],[RURAL FUNDING %]]=0,"",S1OORTbl[[#This Row],[RURAL FUNDING %]])</f>
        <v/>
      </c>
      <c r="K32" s="31" t="s">
        <v>513</v>
      </c>
      <c r="L32" s="124"/>
      <c r="M32" s="197"/>
      <c r="N32" s="124"/>
      <c r="O32" s="119"/>
      <c r="P32" s="119"/>
      <c r="Q32" s="119"/>
      <c r="R32" s="269"/>
      <c r="S32" s="6">
        <f>IF(S1OORTbl[[#This Row],[TOTAL UNRESTRICTED]]=0,0,S1OORTbl[[#This Row],[TOTAL UNRESTRICTED]]/S1_OOR_UnrestrictedTotalRequested)</f>
        <v>0</v>
      </c>
      <c r="T32" s="7">
        <f>IF(S1OORTbl[[#This Row],[ALL UNITS IN A HIGH OR HIGHEST RESOURCE AREA]]="Yes",10*S1OORTbl[[#This Row],[UNRESTRICTED FUNDING %]],0)</f>
        <v>0</v>
      </c>
      <c r="U32" s="7" cm="1">
        <f t="array" ref="U32">INDEX(CountyScoresTbl[OOR Community Need],ROW(S1OORTbl[[#This Row],[COUNTY]])-2,1)*S1OORTbl[[#This Row],[UNRESTRICTED FUNDING %]]</f>
        <v>0</v>
      </c>
      <c r="V32" s="7" cm="1">
        <f t="array" ref="V32">INDEX(CountyScoresTbl[OOR/ADU Total Feasibility Points Awarded],ROW(S1OORTbl[[#This Row],[COUNTY]])-2,1)*S1OORTbl[[#This Row],[UNRESTRICTED FUNDING %]]</f>
        <v>0</v>
      </c>
      <c r="W32" s="8" cm="1">
        <f t="array" ref="W32">INDEX(CountyScoresTbl[Farmworker Need Points Awarded],ROW(S1OORTbl[[#This Row],[COUNTY]])-2,1)*S1OORTbl[[#This Row],[UNRESTRICTED FUNDING %]]</f>
        <v>0</v>
      </c>
      <c r="X32" s="124"/>
      <c r="Y32" s="119"/>
      <c r="Z32" s="119"/>
      <c r="AA32" s="119"/>
      <c r="AB32" s="120"/>
      <c r="AC32" s="6">
        <f>IF(S1OORTbl[[#This Row],[TOTAL RURAL]]=0,0,S1OORTbl[[#This Row],[TOTAL RURAL]]/S1_OOR_RuralTotalRequested)</f>
        <v>0</v>
      </c>
      <c r="AD32" s="7">
        <f>IF(S1OORTbl[[#This Row],[ALL UNITS IN A HIGH OR HIGHEST RESOURCE AREA]]="Yes",10*S1OORTbl[[#This Row],[RURAL FUNDING %]],0)</f>
        <v>0</v>
      </c>
      <c r="AE32" s="7" cm="1">
        <f t="array" ref="AE32">INDEX(CountyScoresTbl[OOR Community Need],ROW(S1OORTbl[[#This Row],[COUNTY]])-2,1)*S1OORTbl[[#This Row],[RURAL FUNDING %]]</f>
        <v>0</v>
      </c>
      <c r="AF32" s="7" cm="1">
        <f t="array" ref="AF32">INDEX(CountyScoresTbl[OOR/ADU Total Feasibility Points Awarded],ROW(S1OORTbl[[#This Row],[COUNTY]])-2,1)*S1OORTbl[[#This Row],[RURAL FUNDING %]]</f>
        <v>0</v>
      </c>
      <c r="AG32" s="73" cm="1">
        <f t="array" ref="AG32">INDEX(CountyScoresTbl[Farmworker Need Points Awarded],ROW(S1OORTbl[[#This Row],[COUNTY]])-2,1)*S1OORTbl[[#This Row],[RURAL FUNDING %]]</f>
        <v>0</v>
      </c>
      <c r="AH32" s="564"/>
      <c r="AI32" s="664">
        <f>SUM(S1OORTbl[[#This Row],[UNRESTRICTED ADF]],S1OORTbl[[#This Row],[Unrestricted Funds Requesting]])</f>
        <v>0</v>
      </c>
      <c r="AJ32" s="564"/>
      <c r="AK32" s="664">
        <f>SUM(S1OORTbl[[#This Row],[Rural Funds Requesting]],S1OORTbl[[#This Row],[RURAL ADF]])</f>
        <v>0</v>
      </c>
    </row>
    <row r="33" spans="1:37" x14ac:dyDescent="0.35">
      <c r="A33" s="116"/>
      <c r="B33" s="5" t="s">
        <v>145</v>
      </c>
      <c r="C33" s="31" t="s">
        <v>513</v>
      </c>
      <c r="D33" s="109" t="str">
        <f>IF(SUM(S1OORTbl[[#This Row],[Unrestricted Repair Units]:[Unrestricted ADU Reconstruct Units]])=0,"",SUM(S1OORTbl[[#This Row],[Unrestricted Repair Units]:[Unrestricted ADU Reconstruct Units]]))</f>
        <v/>
      </c>
      <c r="E33" s="74" t="str">
        <f xml:space="preserve">
IF(S1OORTbl[[#This Row],[TOTAL UNRESTRICTED]]=0,"",
S1OORTbl[[#This Row],[TOTAL UNRESTRICTED]]*
IF(S1_OOR_UnrestrictedTotalRequested&lt;=5000000,1,
5000000/S1_OOR_UnrestrictedTotalRequested)
)</f>
        <v/>
      </c>
      <c r="F33" s="6" t="str">
        <f>IF(S1OORTbl[[#This Row],[UNRESTRICTED FUNDING %]]=0,"",S1OORTbl[[#This Row],[UNRESTRICTED FUNDING %]])</f>
        <v/>
      </c>
      <c r="G33" s="31" t="s">
        <v>513</v>
      </c>
      <c r="H33" s="109" t="str">
        <f>IF(SUM(S1OORTbl[[#This Row],[Rural Repair Units]:[Rural ADU Reconstruct Units]])=0,"",SUM(S1OORTbl[[#This Row],[Rural Repair Units]:[Rural ADU Reconstruct Units]]))</f>
        <v/>
      </c>
      <c r="I33" s="74" t="str">
        <f xml:space="preserve">
IF(S1OORTbl[[#This Row],[TOTAL RURAL]]=0,"",
S1OORTbl[[#This Row],[TOTAL RURAL]]*
IF(S1_OOR_RuralTotalRequested&lt;=(5000000-E$61),1,
(5000000-E$61)/S1_OOR_RuralTotalRequested)
)</f>
        <v/>
      </c>
      <c r="J33" s="6" t="str">
        <f>IF(S1OORTbl[[#This Row],[RURAL FUNDING %]]=0,"",S1OORTbl[[#This Row],[RURAL FUNDING %]])</f>
        <v/>
      </c>
      <c r="K33" s="31" t="s">
        <v>513</v>
      </c>
      <c r="L33" s="124"/>
      <c r="M33" s="197"/>
      <c r="N33" s="124"/>
      <c r="O33" s="119"/>
      <c r="P33" s="119"/>
      <c r="Q33" s="119"/>
      <c r="R33" s="269"/>
      <c r="S33" s="6">
        <f>IF(S1OORTbl[[#This Row],[TOTAL UNRESTRICTED]]=0,0,S1OORTbl[[#This Row],[TOTAL UNRESTRICTED]]/S1_OOR_UnrestrictedTotalRequested)</f>
        <v>0</v>
      </c>
      <c r="T33" s="7">
        <f>IF(S1OORTbl[[#This Row],[ALL UNITS IN A HIGH OR HIGHEST RESOURCE AREA]]="Yes",10*S1OORTbl[[#This Row],[UNRESTRICTED FUNDING %]],0)</f>
        <v>0</v>
      </c>
      <c r="U33" s="7" cm="1">
        <f t="array" ref="U33">INDEX(CountyScoresTbl[OOR Community Need],ROW(S1OORTbl[[#This Row],[COUNTY]])-2,1)*S1OORTbl[[#This Row],[UNRESTRICTED FUNDING %]]</f>
        <v>0</v>
      </c>
      <c r="V33" s="7" cm="1">
        <f t="array" ref="V33">INDEX(CountyScoresTbl[OOR/ADU Total Feasibility Points Awarded],ROW(S1OORTbl[[#This Row],[COUNTY]])-2,1)*S1OORTbl[[#This Row],[UNRESTRICTED FUNDING %]]</f>
        <v>0</v>
      </c>
      <c r="W33" s="8" cm="1">
        <f t="array" ref="W33">INDEX(CountyScoresTbl[Farmworker Need Points Awarded],ROW(S1OORTbl[[#This Row],[COUNTY]])-2,1)*S1OORTbl[[#This Row],[UNRESTRICTED FUNDING %]]</f>
        <v>0</v>
      </c>
      <c r="X33" s="124"/>
      <c r="Y33" s="119"/>
      <c r="Z33" s="119"/>
      <c r="AA33" s="119"/>
      <c r="AB33" s="120"/>
      <c r="AC33" s="6">
        <f>IF(S1OORTbl[[#This Row],[TOTAL RURAL]]=0,0,S1OORTbl[[#This Row],[TOTAL RURAL]]/S1_OOR_RuralTotalRequested)</f>
        <v>0</v>
      </c>
      <c r="AD33" s="7">
        <f>IF(S1OORTbl[[#This Row],[ALL UNITS IN A HIGH OR HIGHEST RESOURCE AREA]]="Yes",10*S1OORTbl[[#This Row],[RURAL FUNDING %]],0)</f>
        <v>0</v>
      </c>
      <c r="AE33" s="7" cm="1">
        <f t="array" ref="AE33">INDEX(CountyScoresTbl[OOR Community Need],ROW(S1OORTbl[[#This Row],[COUNTY]])-2,1)*S1OORTbl[[#This Row],[RURAL FUNDING %]]</f>
        <v>0</v>
      </c>
      <c r="AF33" s="7" cm="1">
        <f t="array" ref="AF33">INDEX(CountyScoresTbl[OOR/ADU Total Feasibility Points Awarded],ROW(S1OORTbl[[#This Row],[COUNTY]])-2,1)*S1OORTbl[[#This Row],[RURAL FUNDING %]]</f>
        <v>0</v>
      </c>
      <c r="AG33" s="73" cm="1">
        <f t="array" ref="AG33">INDEX(CountyScoresTbl[Farmworker Need Points Awarded],ROW(S1OORTbl[[#This Row],[COUNTY]])-2,1)*S1OORTbl[[#This Row],[RURAL FUNDING %]]</f>
        <v>0</v>
      </c>
      <c r="AH33" s="564"/>
      <c r="AI33" s="664">
        <f>SUM(S1OORTbl[[#This Row],[UNRESTRICTED ADF]],S1OORTbl[[#This Row],[Unrestricted Funds Requesting]])</f>
        <v>0</v>
      </c>
      <c r="AJ33" s="564"/>
      <c r="AK33" s="664">
        <f>SUM(S1OORTbl[[#This Row],[Rural Funds Requesting]],S1OORTbl[[#This Row],[RURAL ADF]])</f>
        <v>0</v>
      </c>
    </row>
    <row r="34" spans="1:37" x14ac:dyDescent="0.35">
      <c r="A34" s="116"/>
      <c r="B34" s="5" t="s">
        <v>146</v>
      </c>
      <c r="C34" s="31" t="s">
        <v>513</v>
      </c>
      <c r="D34" s="109" t="str">
        <f>IF(SUM(S1OORTbl[[#This Row],[Unrestricted Repair Units]:[Unrestricted ADU Reconstruct Units]])=0,"",SUM(S1OORTbl[[#This Row],[Unrestricted Repair Units]:[Unrestricted ADU Reconstruct Units]]))</f>
        <v/>
      </c>
      <c r="E34" s="74" t="str">
        <f xml:space="preserve">
IF(S1OORTbl[[#This Row],[TOTAL UNRESTRICTED]]=0,"",
S1OORTbl[[#This Row],[TOTAL UNRESTRICTED]]*
IF(S1_OOR_UnrestrictedTotalRequested&lt;=5000000,1,
5000000/S1_OOR_UnrestrictedTotalRequested)
)</f>
        <v/>
      </c>
      <c r="F34" s="6" t="str">
        <f>IF(S1OORTbl[[#This Row],[UNRESTRICTED FUNDING %]]=0,"",S1OORTbl[[#This Row],[UNRESTRICTED FUNDING %]])</f>
        <v/>
      </c>
      <c r="G34" s="31" t="s">
        <v>513</v>
      </c>
      <c r="H34" s="109" t="str">
        <f>IF(SUM(S1OORTbl[[#This Row],[Rural Repair Units]:[Rural ADU Reconstruct Units]])=0,"",SUM(S1OORTbl[[#This Row],[Rural Repair Units]:[Rural ADU Reconstruct Units]]))</f>
        <v/>
      </c>
      <c r="I34" s="74" t="str">
        <f xml:space="preserve">
IF(S1OORTbl[[#This Row],[TOTAL RURAL]]=0,"",
S1OORTbl[[#This Row],[TOTAL RURAL]]*
IF(S1_OOR_RuralTotalRequested&lt;=(5000000-E$61),1,
(5000000-E$61)/S1_OOR_RuralTotalRequested)
)</f>
        <v/>
      </c>
      <c r="J34" s="6" t="str">
        <f>IF(S1OORTbl[[#This Row],[RURAL FUNDING %]]=0,"",S1OORTbl[[#This Row],[RURAL FUNDING %]])</f>
        <v/>
      </c>
      <c r="K34" s="31" t="s">
        <v>513</v>
      </c>
      <c r="L34" s="124"/>
      <c r="M34" s="197"/>
      <c r="N34" s="124"/>
      <c r="O34" s="119"/>
      <c r="P34" s="119"/>
      <c r="Q34" s="119"/>
      <c r="R34" s="269"/>
      <c r="S34" s="6">
        <f>IF(S1OORTbl[[#This Row],[TOTAL UNRESTRICTED]]=0,0,S1OORTbl[[#This Row],[TOTAL UNRESTRICTED]]/S1_OOR_UnrestrictedTotalRequested)</f>
        <v>0</v>
      </c>
      <c r="T34" s="7">
        <f>IF(S1OORTbl[[#This Row],[ALL UNITS IN A HIGH OR HIGHEST RESOURCE AREA]]="Yes",10*S1OORTbl[[#This Row],[UNRESTRICTED FUNDING %]],0)</f>
        <v>0</v>
      </c>
      <c r="U34" s="7" cm="1">
        <f t="array" ref="U34">INDEX(CountyScoresTbl[OOR Community Need],ROW(S1OORTbl[[#This Row],[COUNTY]])-2,1)*S1OORTbl[[#This Row],[UNRESTRICTED FUNDING %]]</f>
        <v>0</v>
      </c>
      <c r="V34" s="7" cm="1">
        <f t="array" ref="V34">INDEX(CountyScoresTbl[OOR/ADU Total Feasibility Points Awarded],ROW(S1OORTbl[[#This Row],[COUNTY]])-2,1)*S1OORTbl[[#This Row],[UNRESTRICTED FUNDING %]]</f>
        <v>0</v>
      </c>
      <c r="W34" s="8" cm="1">
        <f t="array" ref="W34">INDEX(CountyScoresTbl[Farmworker Need Points Awarded],ROW(S1OORTbl[[#This Row],[COUNTY]])-2,1)*S1OORTbl[[#This Row],[UNRESTRICTED FUNDING %]]</f>
        <v>0</v>
      </c>
      <c r="X34" s="124"/>
      <c r="Y34" s="119"/>
      <c r="Z34" s="119"/>
      <c r="AA34" s="119"/>
      <c r="AB34" s="120"/>
      <c r="AC34" s="6">
        <f>IF(S1OORTbl[[#This Row],[TOTAL RURAL]]=0,0,S1OORTbl[[#This Row],[TOTAL RURAL]]/S1_OOR_RuralTotalRequested)</f>
        <v>0</v>
      </c>
      <c r="AD34" s="7">
        <f>IF(S1OORTbl[[#This Row],[ALL UNITS IN A HIGH OR HIGHEST RESOURCE AREA]]="Yes",10*S1OORTbl[[#This Row],[RURAL FUNDING %]],0)</f>
        <v>0</v>
      </c>
      <c r="AE34" s="7" cm="1">
        <f t="array" ref="AE34">INDEX(CountyScoresTbl[OOR Community Need],ROW(S1OORTbl[[#This Row],[COUNTY]])-2,1)*S1OORTbl[[#This Row],[RURAL FUNDING %]]</f>
        <v>0</v>
      </c>
      <c r="AF34" s="7" cm="1">
        <f t="array" ref="AF34">INDEX(CountyScoresTbl[OOR/ADU Total Feasibility Points Awarded],ROW(S1OORTbl[[#This Row],[COUNTY]])-2,1)*S1OORTbl[[#This Row],[RURAL FUNDING %]]</f>
        <v>0</v>
      </c>
      <c r="AG34" s="73" cm="1">
        <f t="array" ref="AG34">INDEX(CountyScoresTbl[Farmworker Need Points Awarded],ROW(S1OORTbl[[#This Row],[COUNTY]])-2,1)*S1OORTbl[[#This Row],[RURAL FUNDING %]]</f>
        <v>0</v>
      </c>
      <c r="AH34" s="564"/>
      <c r="AI34" s="664">
        <f>SUM(S1OORTbl[[#This Row],[UNRESTRICTED ADF]],S1OORTbl[[#This Row],[Unrestricted Funds Requesting]])</f>
        <v>0</v>
      </c>
      <c r="AJ34" s="564"/>
      <c r="AK34" s="664">
        <f>SUM(S1OORTbl[[#This Row],[Rural Funds Requesting]],S1OORTbl[[#This Row],[RURAL ADF]])</f>
        <v>0</v>
      </c>
    </row>
    <row r="35" spans="1:37" x14ac:dyDescent="0.35">
      <c r="A35" s="116"/>
      <c r="B35" s="5" t="s">
        <v>147</v>
      </c>
      <c r="C35" s="31" t="s">
        <v>513</v>
      </c>
      <c r="D35" s="109" t="str">
        <f>IF(SUM(S1OORTbl[[#This Row],[Unrestricted Repair Units]:[Unrestricted ADU Reconstruct Units]])=0,"",SUM(S1OORTbl[[#This Row],[Unrestricted Repair Units]:[Unrestricted ADU Reconstruct Units]]))</f>
        <v/>
      </c>
      <c r="E35" s="74" t="str">
        <f xml:space="preserve">
IF(S1OORTbl[[#This Row],[TOTAL UNRESTRICTED]]=0,"",
S1OORTbl[[#This Row],[TOTAL UNRESTRICTED]]*
IF(S1_OOR_UnrestrictedTotalRequested&lt;=5000000,1,
5000000/S1_OOR_UnrestrictedTotalRequested)
)</f>
        <v/>
      </c>
      <c r="F35" s="6" t="str">
        <f>IF(S1OORTbl[[#This Row],[UNRESTRICTED FUNDING %]]=0,"",S1OORTbl[[#This Row],[UNRESTRICTED FUNDING %]])</f>
        <v/>
      </c>
      <c r="G35" s="31" t="s">
        <v>513</v>
      </c>
      <c r="H35" s="109" t="str">
        <f>IF(SUM(S1OORTbl[[#This Row],[Rural Repair Units]:[Rural ADU Reconstruct Units]])=0,"",SUM(S1OORTbl[[#This Row],[Rural Repair Units]:[Rural ADU Reconstruct Units]]))</f>
        <v/>
      </c>
      <c r="I35" s="74" t="str">
        <f xml:space="preserve">
IF(S1OORTbl[[#This Row],[TOTAL RURAL]]=0,"",
S1OORTbl[[#This Row],[TOTAL RURAL]]*
IF(S1_OOR_RuralTotalRequested&lt;=(5000000-E$61),1,
(5000000-E$61)/S1_OOR_RuralTotalRequested)
)</f>
        <v/>
      </c>
      <c r="J35" s="6" t="str">
        <f>IF(S1OORTbl[[#This Row],[RURAL FUNDING %]]=0,"",S1OORTbl[[#This Row],[RURAL FUNDING %]])</f>
        <v/>
      </c>
      <c r="K35" s="31" t="s">
        <v>513</v>
      </c>
      <c r="L35" s="124"/>
      <c r="M35" s="197"/>
      <c r="N35" s="124"/>
      <c r="O35" s="119"/>
      <c r="P35" s="119"/>
      <c r="Q35" s="119"/>
      <c r="R35" s="269"/>
      <c r="S35" s="6">
        <f>IF(S1OORTbl[[#This Row],[TOTAL UNRESTRICTED]]=0,0,S1OORTbl[[#This Row],[TOTAL UNRESTRICTED]]/S1_OOR_UnrestrictedTotalRequested)</f>
        <v>0</v>
      </c>
      <c r="T35" s="7">
        <f>IF(S1OORTbl[[#This Row],[ALL UNITS IN A HIGH OR HIGHEST RESOURCE AREA]]="Yes",10*S1OORTbl[[#This Row],[UNRESTRICTED FUNDING %]],0)</f>
        <v>0</v>
      </c>
      <c r="U35" s="7" cm="1">
        <f t="array" ref="U35">INDEX(CountyScoresTbl[OOR Community Need],ROW(S1OORTbl[[#This Row],[COUNTY]])-2,1)*S1OORTbl[[#This Row],[UNRESTRICTED FUNDING %]]</f>
        <v>0</v>
      </c>
      <c r="V35" s="7" cm="1">
        <f t="array" ref="V35">INDEX(CountyScoresTbl[OOR/ADU Total Feasibility Points Awarded],ROW(S1OORTbl[[#This Row],[COUNTY]])-2,1)*S1OORTbl[[#This Row],[UNRESTRICTED FUNDING %]]</f>
        <v>0</v>
      </c>
      <c r="W35" s="8" cm="1">
        <f t="array" ref="W35">INDEX(CountyScoresTbl[Farmworker Need Points Awarded],ROW(S1OORTbl[[#This Row],[COUNTY]])-2,1)*S1OORTbl[[#This Row],[UNRESTRICTED FUNDING %]]</f>
        <v>0</v>
      </c>
      <c r="X35" s="124"/>
      <c r="Y35" s="119"/>
      <c r="Z35" s="119"/>
      <c r="AA35" s="119"/>
      <c r="AB35" s="120"/>
      <c r="AC35" s="6">
        <f>IF(S1OORTbl[[#This Row],[TOTAL RURAL]]=0,0,S1OORTbl[[#This Row],[TOTAL RURAL]]/S1_OOR_RuralTotalRequested)</f>
        <v>0</v>
      </c>
      <c r="AD35" s="7">
        <f>IF(S1OORTbl[[#This Row],[ALL UNITS IN A HIGH OR HIGHEST RESOURCE AREA]]="Yes",10*S1OORTbl[[#This Row],[RURAL FUNDING %]],0)</f>
        <v>0</v>
      </c>
      <c r="AE35" s="7" cm="1">
        <f t="array" ref="AE35">INDEX(CountyScoresTbl[OOR Community Need],ROW(S1OORTbl[[#This Row],[COUNTY]])-2,1)*S1OORTbl[[#This Row],[RURAL FUNDING %]]</f>
        <v>0</v>
      </c>
      <c r="AF35" s="7" cm="1">
        <f t="array" ref="AF35">INDEX(CountyScoresTbl[OOR/ADU Total Feasibility Points Awarded],ROW(S1OORTbl[[#This Row],[COUNTY]])-2,1)*S1OORTbl[[#This Row],[RURAL FUNDING %]]</f>
        <v>0</v>
      </c>
      <c r="AG35" s="73" cm="1">
        <f t="array" ref="AG35">INDEX(CountyScoresTbl[Farmworker Need Points Awarded],ROW(S1OORTbl[[#This Row],[COUNTY]])-2,1)*S1OORTbl[[#This Row],[RURAL FUNDING %]]</f>
        <v>0</v>
      </c>
      <c r="AH35" s="564"/>
      <c r="AI35" s="664">
        <f>SUM(S1OORTbl[[#This Row],[UNRESTRICTED ADF]],S1OORTbl[[#This Row],[Unrestricted Funds Requesting]])</f>
        <v>0</v>
      </c>
      <c r="AJ35" s="564"/>
      <c r="AK35" s="664">
        <f>SUM(S1OORTbl[[#This Row],[Rural Funds Requesting]],S1OORTbl[[#This Row],[RURAL ADF]])</f>
        <v>0</v>
      </c>
    </row>
    <row r="36" spans="1:37" x14ac:dyDescent="0.35">
      <c r="A36" s="115"/>
      <c r="B36" s="5" t="s">
        <v>148</v>
      </c>
      <c r="C36" s="31" t="s">
        <v>513</v>
      </c>
      <c r="D36" s="109" t="str">
        <f>IF(SUM(S1OORTbl[[#This Row],[Unrestricted Repair Units]:[Unrestricted ADU Reconstruct Units]])=0,"",SUM(S1OORTbl[[#This Row],[Unrestricted Repair Units]:[Unrestricted ADU Reconstruct Units]]))</f>
        <v/>
      </c>
      <c r="E36" s="74" t="str">
        <f xml:space="preserve">
IF(S1OORTbl[[#This Row],[TOTAL UNRESTRICTED]]=0,"",
S1OORTbl[[#This Row],[TOTAL UNRESTRICTED]]*
IF(S1_OOR_UnrestrictedTotalRequested&lt;=5000000,1,
5000000/S1_OOR_UnrestrictedTotalRequested)
)</f>
        <v/>
      </c>
      <c r="F36" s="6" t="str">
        <f>IF(S1OORTbl[[#This Row],[UNRESTRICTED FUNDING %]]=0,"",S1OORTbl[[#This Row],[UNRESTRICTED FUNDING %]])</f>
        <v/>
      </c>
      <c r="G36" s="31" t="s">
        <v>513</v>
      </c>
      <c r="H36" s="109" t="str">
        <f>IF(SUM(S1OORTbl[[#This Row],[Rural Repair Units]:[Rural ADU Reconstruct Units]])=0,"",SUM(S1OORTbl[[#This Row],[Rural Repair Units]:[Rural ADU Reconstruct Units]]))</f>
        <v/>
      </c>
      <c r="I36" s="74" t="str">
        <f xml:space="preserve">
IF(S1OORTbl[[#This Row],[TOTAL RURAL]]=0,"",
S1OORTbl[[#This Row],[TOTAL RURAL]]*
IF(S1_OOR_RuralTotalRequested&lt;=(5000000-E$61),1,
(5000000-E$61)/S1_OOR_RuralTotalRequested)
)</f>
        <v/>
      </c>
      <c r="J36" s="6" t="str">
        <f>IF(S1OORTbl[[#This Row],[RURAL FUNDING %]]=0,"",S1OORTbl[[#This Row],[RURAL FUNDING %]])</f>
        <v/>
      </c>
      <c r="K36" s="31" t="s">
        <v>513</v>
      </c>
      <c r="L36" s="167"/>
      <c r="M36" s="199"/>
      <c r="N36" s="123"/>
      <c r="O36" s="117"/>
      <c r="P36" s="117"/>
      <c r="Q36" s="117"/>
      <c r="R36" s="118"/>
      <c r="S36" s="6">
        <f>IF(S1OORTbl[[#This Row],[TOTAL UNRESTRICTED]]=0,0,S1OORTbl[[#This Row],[TOTAL UNRESTRICTED]]/S1_OOR_UnrestrictedTotalRequested)</f>
        <v>0</v>
      </c>
      <c r="T36" s="7">
        <f>IF(S1OORTbl[[#This Row],[ALL UNITS IN A HIGH OR HIGHEST RESOURCE AREA]]="Yes",10*S1OORTbl[[#This Row],[UNRESTRICTED FUNDING %]],0)</f>
        <v>0</v>
      </c>
      <c r="U36" s="7" cm="1">
        <f t="array" ref="U36">INDEX(CountyScoresTbl[OOR Community Need],ROW(S1OORTbl[[#This Row],[COUNTY]])-2,1)*S1OORTbl[[#This Row],[UNRESTRICTED FUNDING %]]</f>
        <v>0</v>
      </c>
      <c r="V36" s="7" cm="1">
        <f t="array" ref="V36">INDEX(CountyScoresTbl[OOR/ADU Total Feasibility Points Awarded],ROW(S1OORTbl[[#This Row],[COUNTY]])-2,1)*S1OORTbl[[#This Row],[UNRESTRICTED FUNDING %]]</f>
        <v>0</v>
      </c>
      <c r="W36" s="8" cm="1">
        <f t="array" ref="W36">INDEX(CountyScoresTbl[Farmworker Need Points Awarded],ROW(S1OORTbl[[#This Row],[COUNTY]])-2,1)*S1OORTbl[[#This Row],[UNRESTRICTED FUNDING %]]</f>
        <v>0</v>
      </c>
      <c r="X36" s="123"/>
      <c r="Y36" s="117"/>
      <c r="Z36" s="117"/>
      <c r="AA36" s="117"/>
      <c r="AB36" s="118"/>
      <c r="AC36" s="6">
        <f>IF(S1OORTbl[[#This Row],[TOTAL RURAL]]=0,0,S1OORTbl[[#This Row],[TOTAL RURAL]]/S1_OOR_RuralTotalRequested)</f>
        <v>0</v>
      </c>
      <c r="AD36" s="7">
        <f>IF(S1OORTbl[[#This Row],[ALL UNITS IN A HIGH OR HIGHEST RESOURCE AREA]]="Yes",10*S1OORTbl[[#This Row],[RURAL FUNDING %]],0)</f>
        <v>0</v>
      </c>
      <c r="AE36" s="7" cm="1">
        <f t="array" ref="AE36">INDEX(CountyScoresTbl[OOR Community Need],ROW(S1OORTbl[[#This Row],[COUNTY]])-2,1)*S1OORTbl[[#This Row],[RURAL FUNDING %]]</f>
        <v>0</v>
      </c>
      <c r="AF36" s="7" cm="1">
        <f t="array" ref="AF36">INDEX(CountyScoresTbl[OOR/ADU Total Feasibility Points Awarded],ROW(S1OORTbl[[#This Row],[COUNTY]])-2,1)*S1OORTbl[[#This Row],[RURAL FUNDING %]]</f>
        <v>0</v>
      </c>
      <c r="AG36" s="73" cm="1">
        <f t="array" ref="AG36">INDEX(CountyScoresTbl[Farmworker Need Points Awarded],ROW(S1OORTbl[[#This Row],[COUNTY]])-2,1)*S1OORTbl[[#This Row],[RURAL FUNDING %]]</f>
        <v>0</v>
      </c>
      <c r="AH36" s="564"/>
      <c r="AI36" s="664">
        <f>SUM(S1OORTbl[[#This Row],[UNRESTRICTED ADF]],S1OORTbl[[#This Row],[Unrestricted Funds Requesting]])</f>
        <v>0</v>
      </c>
      <c r="AJ36" s="564"/>
      <c r="AK36" s="664">
        <f>SUM(S1OORTbl[[#This Row],[Rural Funds Requesting]],S1OORTbl[[#This Row],[RURAL ADF]])</f>
        <v>0</v>
      </c>
    </row>
    <row r="37" spans="1:37" x14ac:dyDescent="0.35">
      <c r="A37" s="116"/>
      <c r="B37" s="5" t="s">
        <v>149</v>
      </c>
      <c r="C37" s="31" t="s">
        <v>513</v>
      </c>
      <c r="D37" s="109" t="str">
        <f>IF(SUM(S1OORTbl[[#This Row],[Unrestricted Repair Units]:[Unrestricted ADU Reconstruct Units]])=0,"",SUM(S1OORTbl[[#This Row],[Unrestricted Repair Units]:[Unrestricted ADU Reconstruct Units]]))</f>
        <v/>
      </c>
      <c r="E37" s="74" t="str">
        <f xml:space="preserve">
IF(S1OORTbl[[#This Row],[TOTAL UNRESTRICTED]]=0,"",
S1OORTbl[[#This Row],[TOTAL UNRESTRICTED]]*
IF(S1_OOR_UnrestrictedTotalRequested&lt;=5000000,1,
5000000/S1_OOR_UnrestrictedTotalRequested)
)</f>
        <v/>
      </c>
      <c r="F37" s="6" t="str">
        <f>IF(S1OORTbl[[#This Row],[UNRESTRICTED FUNDING %]]=0,"",S1OORTbl[[#This Row],[UNRESTRICTED FUNDING %]])</f>
        <v/>
      </c>
      <c r="G37" s="31" t="s">
        <v>513</v>
      </c>
      <c r="H37" s="109" t="str">
        <f>IF(SUM(S1OORTbl[[#This Row],[Rural Repair Units]:[Rural ADU Reconstruct Units]])=0,"",SUM(S1OORTbl[[#This Row],[Rural Repair Units]:[Rural ADU Reconstruct Units]]))</f>
        <v/>
      </c>
      <c r="I37" s="74" t="str">
        <f xml:space="preserve">
IF(S1OORTbl[[#This Row],[TOTAL RURAL]]=0,"",
S1OORTbl[[#This Row],[TOTAL RURAL]]*
IF(S1_OOR_RuralTotalRequested&lt;=(5000000-E$61),1,
(5000000-E$61)/S1_OOR_RuralTotalRequested)
)</f>
        <v/>
      </c>
      <c r="J37" s="6" t="str">
        <f>IF(S1OORTbl[[#This Row],[RURAL FUNDING %]]=0,"",S1OORTbl[[#This Row],[RURAL FUNDING %]])</f>
        <v/>
      </c>
      <c r="K37" s="31" t="s">
        <v>513</v>
      </c>
      <c r="L37" s="124"/>
      <c r="M37" s="197"/>
      <c r="N37" s="124"/>
      <c r="O37" s="119"/>
      <c r="P37" s="119"/>
      <c r="Q37" s="119"/>
      <c r="R37" s="269"/>
      <c r="S37" s="6">
        <f>IF(S1OORTbl[[#This Row],[TOTAL UNRESTRICTED]]=0,0,S1OORTbl[[#This Row],[TOTAL UNRESTRICTED]]/S1_OOR_UnrestrictedTotalRequested)</f>
        <v>0</v>
      </c>
      <c r="T37" s="7">
        <f>IF(S1OORTbl[[#This Row],[ALL UNITS IN A HIGH OR HIGHEST RESOURCE AREA]]="Yes",10*S1OORTbl[[#This Row],[UNRESTRICTED FUNDING %]],0)</f>
        <v>0</v>
      </c>
      <c r="U37" s="7" cm="1">
        <f t="array" ref="U37">INDEX(CountyScoresTbl[OOR Community Need],ROW(S1OORTbl[[#This Row],[COUNTY]])-2,1)*S1OORTbl[[#This Row],[UNRESTRICTED FUNDING %]]</f>
        <v>0</v>
      </c>
      <c r="V37" s="7" cm="1">
        <f t="array" ref="V37">INDEX(CountyScoresTbl[OOR/ADU Total Feasibility Points Awarded],ROW(S1OORTbl[[#This Row],[COUNTY]])-2,1)*S1OORTbl[[#This Row],[UNRESTRICTED FUNDING %]]</f>
        <v>0</v>
      </c>
      <c r="W37" s="8" cm="1">
        <f t="array" ref="W37">INDEX(CountyScoresTbl[Farmworker Need Points Awarded],ROW(S1OORTbl[[#This Row],[COUNTY]])-2,1)*S1OORTbl[[#This Row],[UNRESTRICTED FUNDING %]]</f>
        <v>0</v>
      </c>
      <c r="X37" s="124"/>
      <c r="Y37" s="119"/>
      <c r="Z37" s="119"/>
      <c r="AA37" s="119"/>
      <c r="AB37" s="120"/>
      <c r="AC37" s="6">
        <f>IF(S1OORTbl[[#This Row],[TOTAL RURAL]]=0,0,S1OORTbl[[#This Row],[TOTAL RURAL]]/S1_OOR_RuralTotalRequested)</f>
        <v>0</v>
      </c>
      <c r="AD37" s="7">
        <f>IF(S1OORTbl[[#This Row],[ALL UNITS IN A HIGH OR HIGHEST RESOURCE AREA]]="Yes",10*S1OORTbl[[#This Row],[RURAL FUNDING %]],0)</f>
        <v>0</v>
      </c>
      <c r="AE37" s="7" cm="1">
        <f t="array" ref="AE37">INDEX(CountyScoresTbl[OOR Community Need],ROW(S1OORTbl[[#This Row],[COUNTY]])-2,1)*S1OORTbl[[#This Row],[RURAL FUNDING %]]</f>
        <v>0</v>
      </c>
      <c r="AF37" s="7" cm="1">
        <f t="array" ref="AF37">INDEX(CountyScoresTbl[OOR/ADU Total Feasibility Points Awarded],ROW(S1OORTbl[[#This Row],[COUNTY]])-2,1)*S1OORTbl[[#This Row],[RURAL FUNDING %]]</f>
        <v>0</v>
      </c>
      <c r="AG37" s="73" cm="1">
        <f t="array" ref="AG37">INDEX(CountyScoresTbl[Farmworker Need Points Awarded],ROW(S1OORTbl[[#This Row],[COUNTY]])-2,1)*S1OORTbl[[#This Row],[RURAL FUNDING %]]</f>
        <v>0</v>
      </c>
      <c r="AH37" s="564"/>
      <c r="AI37" s="664">
        <f>SUM(S1OORTbl[[#This Row],[UNRESTRICTED ADF]],S1OORTbl[[#This Row],[Unrestricted Funds Requesting]])</f>
        <v>0</v>
      </c>
      <c r="AJ37" s="564"/>
      <c r="AK37" s="664">
        <f>SUM(S1OORTbl[[#This Row],[Rural Funds Requesting]],S1OORTbl[[#This Row],[RURAL ADF]])</f>
        <v>0</v>
      </c>
    </row>
    <row r="38" spans="1:37" x14ac:dyDescent="0.35">
      <c r="A38" s="116"/>
      <c r="B38" s="5" t="s">
        <v>150</v>
      </c>
      <c r="C38" s="31" t="s">
        <v>513</v>
      </c>
      <c r="D38" s="109" t="str">
        <f>IF(SUM(S1OORTbl[[#This Row],[Unrestricted Repair Units]:[Unrestricted ADU Reconstruct Units]])=0,"",SUM(S1OORTbl[[#This Row],[Unrestricted Repair Units]:[Unrestricted ADU Reconstruct Units]]))</f>
        <v/>
      </c>
      <c r="E38" s="74" t="str">
        <f xml:space="preserve">
IF(S1OORTbl[[#This Row],[TOTAL UNRESTRICTED]]=0,"",
S1OORTbl[[#This Row],[TOTAL UNRESTRICTED]]*
IF(S1_OOR_UnrestrictedTotalRequested&lt;=5000000,1,
5000000/S1_OOR_UnrestrictedTotalRequested)
)</f>
        <v/>
      </c>
      <c r="F38" s="6" t="str">
        <f>IF(S1OORTbl[[#This Row],[UNRESTRICTED FUNDING %]]=0,"",S1OORTbl[[#This Row],[UNRESTRICTED FUNDING %]])</f>
        <v/>
      </c>
      <c r="G38" s="31" t="s">
        <v>513</v>
      </c>
      <c r="H38" s="109" t="str">
        <f>IF(SUM(S1OORTbl[[#This Row],[Rural Repair Units]:[Rural ADU Reconstruct Units]])=0,"",SUM(S1OORTbl[[#This Row],[Rural Repair Units]:[Rural ADU Reconstruct Units]]))</f>
        <v/>
      </c>
      <c r="I38" s="74" t="str">
        <f xml:space="preserve">
IF(S1OORTbl[[#This Row],[TOTAL RURAL]]=0,"",
S1OORTbl[[#This Row],[TOTAL RURAL]]*
IF(S1_OOR_RuralTotalRequested&lt;=(5000000-E$61),1,
(5000000-E$61)/S1_OOR_RuralTotalRequested)
)</f>
        <v/>
      </c>
      <c r="J38" s="6" t="str">
        <f>IF(S1OORTbl[[#This Row],[RURAL FUNDING %]]=0,"",S1OORTbl[[#This Row],[RURAL FUNDING %]])</f>
        <v/>
      </c>
      <c r="K38" s="31" t="s">
        <v>513</v>
      </c>
      <c r="L38" s="124"/>
      <c r="M38" s="197"/>
      <c r="N38" s="124"/>
      <c r="O38" s="119"/>
      <c r="P38" s="119"/>
      <c r="Q38" s="119"/>
      <c r="R38" s="269"/>
      <c r="S38" s="6">
        <f>IF(S1OORTbl[[#This Row],[TOTAL UNRESTRICTED]]=0,0,S1OORTbl[[#This Row],[TOTAL UNRESTRICTED]]/S1_OOR_UnrestrictedTotalRequested)</f>
        <v>0</v>
      </c>
      <c r="T38" s="7">
        <f>IF(S1OORTbl[[#This Row],[ALL UNITS IN A HIGH OR HIGHEST RESOURCE AREA]]="Yes",10*S1OORTbl[[#This Row],[UNRESTRICTED FUNDING %]],0)</f>
        <v>0</v>
      </c>
      <c r="U38" s="7" cm="1">
        <f t="array" ref="U38">INDEX(CountyScoresTbl[OOR Community Need],ROW(S1OORTbl[[#This Row],[COUNTY]])-2,1)*S1OORTbl[[#This Row],[UNRESTRICTED FUNDING %]]</f>
        <v>0</v>
      </c>
      <c r="V38" s="7" cm="1">
        <f t="array" ref="V38">INDEX(CountyScoresTbl[OOR/ADU Total Feasibility Points Awarded],ROW(S1OORTbl[[#This Row],[COUNTY]])-2,1)*S1OORTbl[[#This Row],[UNRESTRICTED FUNDING %]]</f>
        <v>0</v>
      </c>
      <c r="W38" s="8" cm="1">
        <f t="array" ref="W38">INDEX(CountyScoresTbl[Farmworker Need Points Awarded],ROW(S1OORTbl[[#This Row],[COUNTY]])-2,1)*S1OORTbl[[#This Row],[UNRESTRICTED FUNDING %]]</f>
        <v>0</v>
      </c>
      <c r="X38" s="124"/>
      <c r="Y38" s="119"/>
      <c r="Z38" s="119"/>
      <c r="AA38" s="119"/>
      <c r="AB38" s="120"/>
      <c r="AC38" s="6">
        <f>IF(S1OORTbl[[#This Row],[TOTAL RURAL]]=0,0,S1OORTbl[[#This Row],[TOTAL RURAL]]/S1_OOR_RuralTotalRequested)</f>
        <v>0</v>
      </c>
      <c r="AD38" s="7">
        <f>IF(S1OORTbl[[#This Row],[ALL UNITS IN A HIGH OR HIGHEST RESOURCE AREA]]="Yes",10*S1OORTbl[[#This Row],[RURAL FUNDING %]],0)</f>
        <v>0</v>
      </c>
      <c r="AE38" s="7" cm="1">
        <f t="array" ref="AE38">INDEX(CountyScoresTbl[OOR Community Need],ROW(S1OORTbl[[#This Row],[COUNTY]])-2,1)*S1OORTbl[[#This Row],[RURAL FUNDING %]]</f>
        <v>0</v>
      </c>
      <c r="AF38" s="7" cm="1">
        <f t="array" ref="AF38">INDEX(CountyScoresTbl[OOR/ADU Total Feasibility Points Awarded],ROW(S1OORTbl[[#This Row],[COUNTY]])-2,1)*S1OORTbl[[#This Row],[RURAL FUNDING %]]</f>
        <v>0</v>
      </c>
      <c r="AG38" s="73" cm="1">
        <f t="array" ref="AG38">INDEX(CountyScoresTbl[Farmworker Need Points Awarded],ROW(S1OORTbl[[#This Row],[COUNTY]])-2,1)*S1OORTbl[[#This Row],[RURAL FUNDING %]]</f>
        <v>0</v>
      </c>
      <c r="AH38" s="564"/>
      <c r="AI38" s="664">
        <f>SUM(S1OORTbl[[#This Row],[UNRESTRICTED ADF]],S1OORTbl[[#This Row],[Unrestricted Funds Requesting]])</f>
        <v>0</v>
      </c>
      <c r="AJ38" s="564"/>
      <c r="AK38" s="664">
        <f>SUM(S1OORTbl[[#This Row],[Rural Funds Requesting]],S1OORTbl[[#This Row],[RURAL ADF]])</f>
        <v>0</v>
      </c>
    </row>
    <row r="39" spans="1:37" x14ac:dyDescent="0.35">
      <c r="A39" s="116"/>
      <c r="B39" s="5" t="s">
        <v>151</v>
      </c>
      <c r="C39" s="31" t="s">
        <v>513</v>
      </c>
      <c r="D39" s="109" t="str">
        <f>IF(SUM(S1OORTbl[[#This Row],[Unrestricted Repair Units]:[Unrestricted ADU Reconstruct Units]])=0,"",SUM(S1OORTbl[[#This Row],[Unrestricted Repair Units]:[Unrestricted ADU Reconstruct Units]]))</f>
        <v/>
      </c>
      <c r="E39" s="74" t="str">
        <f xml:space="preserve">
IF(S1OORTbl[[#This Row],[TOTAL UNRESTRICTED]]=0,"",
S1OORTbl[[#This Row],[TOTAL UNRESTRICTED]]*
IF(S1_OOR_UnrestrictedTotalRequested&lt;=5000000,1,
5000000/S1_OOR_UnrestrictedTotalRequested)
)</f>
        <v/>
      </c>
      <c r="F39" s="6" t="str">
        <f>IF(S1OORTbl[[#This Row],[UNRESTRICTED FUNDING %]]=0,"",S1OORTbl[[#This Row],[UNRESTRICTED FUNDING %]])</f>
        <v/>
      </c>
      <c r="G39" s="31" t="s">
        <v>513</v>
      </c>
      <c r="H39" s="109" t="str">
        <f>IF(SUM(S1OORTbl[[#This Row],[Rural Repair Units]:[Rural ADU Reconstruct Units]])=0,"",SUM(S1OORTbl[[#This Row],[Rural Repair Units]:[Rural ADU Reconstruct Units]]))</f>
        <v/>
      </c>
      <c r="I39" s="74" t="str">
        <f xml:space="preserve">
IF(S1OORTbl[[#This Row],[TOTAL RURAL]]=0,"",
S1OORTbl[[#This Row],[TOTAL RURAL]]*
IF(S1_OOR_RuralTotalRequested&lt;=(5000000-E$61),1,
(5000000-E$61)/S1_OOR_RuralTotalRequested)
)</f>
        <v/>
      </c>
      <c r="J39" s="6" t="str">
        <f>IF(S1OORTbl[[#This Row],[RURAL FUNDING %]]=0,"",S1OORTbl[[#This Row],[RURAL FUNDING %]])</f>
        <v/>
      </c>
      <c r="K39" s="31" t="s">
        <v>513</v>
      </c>
      <c r="L39" s="124"/>
      <c r="M39" s="197"/>
      <c r="N39" s="124"/>
      <c r="O39" s="119"/>
      <c r="P39" s="119"/>
      <c r="Q39" s="119"/>
      <c r="R39" s="269"/>
      <c r="S39" s="6">
        <f>IF(S1OORTbl[[#This Row],[TOTAL UNRESTRICTED]]=0,0,S1OORTbl[[#This Row],[TOTAL UNRESTRICTED]]/S1_OOR_UnrestrictedTotalRequested)</f>
        <v>0</v>
      </c>
      <c r="T39" s="7">
        <f>IF(S1OORTbl[[#This Row],[ALL UNITS IN A HIGH OR HIGHEST RESOURCE AREA]]="Yes",10*S1OORTbl[[#This Row],[UNRESTRICTED FUNDING %]],0)</f>
        <v>0</v>
      </c>
      <c r="U39" s="7" cm="1">
        <f t="array" ref="U39">INDEX(CountyScoresTbl[OOR Community Need],ROW(S1OORTbl[[#This Row],[COUNTY]])-2,1)*S1OORTbl[[#This Row],[UNRESTRICTED FUNDING %]]</f>
        <v>0</v>
      </c>
      <c r="V39" s="7" cm="1">
        <f t="array" ref="V39">INDEX(CountyScoresTbl[OOR/ADU Total Feasibility Points Awarded],ROW(S1OORTbl[[#This Row],[COUNTY]])-2,1)*S1OORTbl[[#This Row],[UNRESTRICTED FUNDING %]]</f>
        <v>0</v>
      </c>
      <c r="W39" s="8" cm="1">
        <f t="array" ref="W39">INDEX(CountyScoresTbl[Farmworker Need Points Awarded],ROW(S1OORTbl[[#This Row],[COUNTY]])-2,1)*S1OORTbl[[#This Row],[UNRESTRICTED FUNDING %]]</f>
        <v>0</v>
      </c>
      <c r="X39" s="124"/>
      <c r="Y39" s="119"/>
      <c r="Z39" s="119"/>
      <c r="AA39" s="119"/>
      <c r="AB39" s="120"/>
      <c r="AC39" s="6">
        <f>IF(S1OORTbl[[#This Row],[TOTAL RURAL]]=0,0,S1OORTbl[[#This Row],[TOTAL RURAL]]/S1_OOR_RuralTotalRequested)</f>
        <v>0</v>
      </c>
      <c r="AD39" s="7">
        <f>IF(S1OORTbl[[#This Row],[ALL UNITS IN A HIGH OR HIGHEST RESOURCE AREA]]="Yes",10*S1OORTbl[[#This Row],[RURAL FUNDING %]],0)</f>
        <v>0</v>
      </c>
      <c r="AE39" s="7" cm="1">
        <f t="array" ref="AE39">INDEX(CountyScoresTbl[OOR Community Need],ROW(S1OORTbl[[#This Row],[COUNTY]])-2,1)*S1OORTbl[[#This Row],[RURAL FUNDING %]]</f>
        <v>0</v>
      </c>
      <c r="AF39" s="7" cm="1">
        <f t="array" ref="AF39">INDEX(CountyScoresTbl[OOR/ADU Total Feasibility Points Awarded],ROW(S1OORTbl[[#This Row],[COUNTY]])-2,1)*S1OORTbl[[#This Row],[RURAL FUNDING %]]</f>
        <v>0</v>
      </c>
      <c r="AG39" s="73" cm="1">
        <f t="array" ref="AG39">INDEX(CountyScoresTbl[Farmworker Need Points Awarded],ROW(S1OORTbl[[#This Row],[COUNTY]])-2,1)*S1OORTbl[[#This Row],[RURAL FUNDING %]]</f>
        <v>0</v>
      </c>
      <c r="AH39" s="564"/>
      <c r="AI39" s="664">
        <f>SUM(S1OORTbl[[#This Row],[UNRESTRICTED ADF]],S1OORTbl[[#This Row],[Unrestricted Funds Requesting]])</f>
        <v>0</v>
      </c>
      <c r="AJ39" s="564"/>
      <c r="AK39" s="664">
        <f>SUM(S1OORTbl[[#This Row],[Rural Funds Requesting]],S1OORTbl[[#This Row],[RURAL ADF]])</f>
        <v>0</v>
      </c>
    </row>
    <row r="40" spans="1:37" x14ac:dyDescent="0.35">
      <c r="A40" s="116"/>
      <c r="B40" s="5" t="s">
        <v>152</v>
      </c>
      <c r="C40" s="31" t="s">
        <v>513</v>
      </c>
      <c r="D40" s="109" t="str">
        <f>IF(SUM(S1OORTbl[[#This Row],[Unrestricted Repair Units]:[Unrestricted ADU Reconstruct Units]])=0,"",SUM(S1OORTbl[[#This Row],[Unrestricted Repair Units]:[Unrestricted ADU Reconstruct Units]]))</f>
        <v/>
      </c>
      <c r="E40" s="74" t="str">
        <f xml:space="preserve">
IF(S1OORTbl[[#This Row],[TOTAL UNRESTRICTED]]=0,"",
S1OORTbl[[#This Row],[TOTAL UNRESTRICTED]]*
IF(S1_OOR_UnrestrictedTotalRequested&lt;=5000000,1,
5000000/S1_OOR_UnrestrictedTotalRequested)
)</f>
        <v/>
      </c>
      <c r="F40" s="6" t="str">
        <f>IF(S1OORTbl[[#This Row],[UNRESTRICTED FUNDING %]]=0,"",S1OORTbl[[#This Row],[UNRESTRICTED FUNDING %]])</f>
        <v/>
      </c>
      <c r="G40" s="31" t="s">
        <v>513</v>
      </c>
      <c r="H40" s="109" t="str">
        <f>IF(SUM(S1OORTbl[[#This Row],[Rural Repair Units]:[Rural ADU Reconstruct Units]])=0,"",SUM(S1OORTbl[[#This Row],[Rural Repair Units]:[Rural ADU Reconstruct Units]]))</f>
        <v/>
      </c>
      <c r="I40" s="74" t="str">
        <f xml:space="preserve">
IF(S1OORTbl[[#This Row],[TOTAL RURAL]]=0,"",
S1OORTbl[[#This Row],[TOTAL RURAL]]*
IF(S1_OOR_RuralTotalRequested&lt;=(5000000-E$61),1,
(5000000-E$61)/S1_OOR_RuralTotalRequested)
)</f>
        <v/>
      </c>
      <c r="J40" s="6" t="str">
        <f>IF(S1OORTbl[[#This Row],[RURAL FUNDING %]]=0,"",S1OORTbl[[#This Row],[RURAL FUNDING %]])</f>
        <v/>
      </c>
      <c r="K40" s="31" t="s">
        <v>513</v>
      </c>
      <c r="L40" s="124"/>
      <c r="M40" s="197"/>
      <c r="N40" s="124"/>
      <c r="O40" s="119"/>
      <c r="P40" s="119"/>
      <c r="Q40" s="119"/>
      <c r="R40" s="269"/>
      <c r="S40" s="6">
        <f>IF(S1OORTbl[[#This Row],[TOTAL UNRESTRICTED]]=0,0,S1OORTbl[[#This Row],[TOTAL UNRESTRICTED]]/S1_OOR_UnrestrictedTotalRequested)</f>
        <v>0</v>
      </c>
      <c r="T40" s="7">
        <f>IF(S1OORTbl[[#This Row],[ALL UNITS IN A HIGH OR HIGHEST RESOURCE AREA]]="Yes",10*S1OORTbl[[#This Row],[UNRESTRICTED FUNDING %]],0)</f>
        <v>0</v>
      </c>
      <c r="U40" s="7" cm="1">
        <f t="array" ref="U40">INDEX(CountyScoresTbl[OOR Community Need],ROW(S1OORTbl[[#This Row],[COUNTY]])-2,1)*S1OORTbl[[#This Row],[UNRESTRICTED FUNDING %]]</f>
        <v>0</v>
      </c>
      <c r="V40" s="7" cm="1">
        <f t="array" ref="V40">INDEX(CountyScoresTbl[OOR/ADU Total Feasibility Points Awarded],ROW(S1OORTbl[[#This Row],[COUNTY]])-2,1)*S1OORTbl[[#This Row],[UNRESTRICTED FUNDING %]]</f>
        <v>0</v>
      </c>
      <c r="W40" s="8" cm="1">
        <f t="array" ref="W40">INDEX(CountyScoresTbl[Farmworker Need Points Awarded],ROW(S1OORTbl[[#This Row],[COUNTY]])-2,1)*S1OORTbl[[#This Row],[UNRESTRICTED FUNDING %]]</f>
        <v>0</v>
      </c>
      <c r="X40" s="124"/>
      <c r="Y40" s="119"/>
      <c r="Z40" s="119"/>
      <c r="AA40" s="119"/>
      <c r="AB40" s="120"/>
      <c r="AC40" s="6">
        <f>IF(S1OORTbl[[#This Row],[TOTAL RURAL]]=0,0,S1OORTbl[[#This Row],[TOTAL RURAL]]/S1_OOR_RuralTotalRequested)</f>
        <v>0</v>
      </c>
      <c r="AD40" s="7">
        <f>IF(S1OORTbl[[#This Row],[ALL UNITS IN A HIGH OR HIGHEST RESOURCE AREA]]="Yes",10*S1OORTbl[[#This Row],[RURAL FUNDING %]],0)</f>
        <v>0</v>
      </c>
      <c r="AE40" s="7" cm="1">
        <f t="array" ref="AE40">INDEX(CountyScoresTbl[OOR Community Need],ROW(S1OORTbl[[#This Row],[COUNTY]])-2,1)*S1OORTbl[[#This Row],[RURAL FUNDING %]]</f>
        <v>0</v>
      </c>
      <c r="AF40" s="7" cm="1">
        <f t="array" ref="AF40">INDEX(CountyScoresTbl[OOR/ADU Total Feasibility Points Awarded],ROW(S1OORTbl[[#This Row],[COUNTY]])-2,1)*S1OORTbl[[#This Row],[RURAL FUNDING %]]</f>
        <v>0</v>
      </c>
      <c r="AG40" s="73" cm="1">
        <f t="array" ref="AG40">INDEX(CountyScoresTbl[Farmworker Need Points Awarded],ROW(S1OORTbl[[#This Row],[COUNTY]])-2,1)*S1OORTbl[[#This Row],[RURAL FUNDING %]]</f>
        <v>0</v>
      </c>
      <c r="AH40" s="564"/>
      <c r="AI40" s="664">
        <f>SUM(S1OORTbl[[#This Row],[UNRESTRICTED ADF]],S1OORTbl[[#This Row],[Unrestricted Funds Requesting]])</f>
        <v>0</v>
      </c>
      <c r="AJ40" s="564"/>
      <c r="AK40" s="664">
        <f>SUM(S1OORTbl[[#This Row],[Rural Funds Requesting]],S1OORTbl[[#This Row],[RURAL ADF]])</f>
        <v>0</v>
      </c>
    </row>
    <row r="41" spans="1:37" x14ac:dyDescent="0.35">
      <c r="A41" s="115"/>
      <c r="B41" s="5" t="s">
        <v>153</v>
      </c>
      <c r="C41" s="31" t="s">
        <v>513</v>
      </c>
      <c r="D41" s="109" t="str">
        <f>IF(SUM(S1OORTbl[[#This Row],[Unrestricted Repair Units]:[Unrestricted ADU Reconstruct Units]])=0,"",SUM(S1OORTbl[[#This Row],[Unrestricted Repair Units]:[Unrestricted ADU Reconstruct Units]]))</f>
        <v/>
      </c>
      <c r="E41" s="74" t="str">
        <f xml:space="preserve">
IF(S1OORTbl[[#This Row],[TOTAL UNRESTRICTED]]=0,"",
S1OORTbl[[#This Row],[TOTAL UNRESTRICTED]]*
IF(S1_OOR_UnrestrictedTotalRequested&lt;=5000000,1,
5000000/S1_OOR_UnrestrictedTotalRequested)
)</f>
        <v/>
      </c>
      <c r="F41" s="6" t="str">
        <f>IF(S1OORTbl[[#This Row],[UNRESTRICTED FUNDING %]]=0,"",S1OORTbl[[#This Row],[UNRESTRICTED FUNDING %]])</f>
        <v/>
      </c>
      <c r="G41" s="31" t="s">
        <v>513</v>
      </c>
      <c r="H41" s="109" t="str">
        <f>IF(SUM(S1OORTbl[[#This Row],[Rural Repair Units]:[Rural ADU Reconstruct Units]])=0,"",SUM(S1OORTbl[[#This Row],[Rural Repair Units]:[Rural ADU Reconstruct Units]]))</f>
        <v/>
      </c>
      <c r="I41" s="74" t="str">
        <f xml:space="preserve">
IF(S1OORTbl[[#This Row],[TOTAL RURAL]]=0,"",
S1OORTbl[[#This Row],[TOTAL RURAL]]*
IF(S1_OOR_RuralTotalRequested&lt;=(5000000-E$61),1,
(5000000-E$61)/S1_OOR_RuralTotalRequested)
)</f>
        <v/>
      </c>
      <c r="J41" s="6" t="str">
        <f>IF(S1OORTbl[[#This Row],[RURAL FUNDING %]]=0,"",S1OORTbl[[#This Row],[RURAL FUNDING %]])</f>
        <v/>
      </c>
      <c r="K41" s="31" t="s">
        <v>513</v>
      </c>
      <c r="L41" s="167"/>
      <c r="M41" s="199"/>
      <c r="N41" s="123"/>
      <c r="O41" s="117"/>
      <c r="P41" s="117"/>
      <c r="Q41" s="117"/>
      <c r="R41" s="118"/>
      <c r="S41" s="6">
        <f>IF(S1OORTbl[[#This Row],[TOTAL UNRESTRICTED]]=0,0,S1OORTbl[[#This Row],[TOTAL UNRESTRICTED]]/S1_OOR_UnrestrictedTotalRequested)</f>
        <v>0</v>
      </c>
      <c r="T41" s="7">
        <f>IF(S1OORTbl[[#This Row],[ALL UNITS IN A HIGH OR HIGHEST RESOURCE AREA]]="Yes",10*S1OORTbl[[#This Row],[UNRESTRICTED FUNDING %]],0)</f>
        <v>0</v>
      </c>
      <c r="U41" s="7" cm="1">
        <f t="array" ref="U41">INDEX(CountyScoresTbl[OOR Community Need],ROW(S1OORTbl[[#This Row],[COUNTY]])-2,1)*S1OORTbl[[#This Row],[UNRESTRICTED FUNDING %]]</f>
        <v>0</v>
      </c>
      <c r="V41" s="7" cm="1">
        <f t="array" ref="V41">INDEX(CountyScoresTbl[OOR/ADU Total Feasibility Points Awarded],ROW(S1OORTbl[[#This Row],[COUNTY]])-2,1)*S1OORTbl[[#This Row],[UNRESTRICTED FUNDING %]]</f>
        <v>0</v>
      </c>
      <c r="W41" s="8" cm="1">
        <f t="array" ref="W41">INDEX(CountyScoresTbl[Farmworker Need Points Awarded],ROW(S1OORTbl[[#This Row],[COUNTY]])-2,1)*S1OORTbl[[#This Row],[UNRESTRICTED FUNDING %]]</f>
        <v>0</v>
      </c>
      <c r="X41" s="123"/>
      <c r="Y41" s="117"/>
      <c r="Z41" s="117"/>
      <c r="AA41" s="117"/>
      <c r="AB41" s="118"/>
      <c r="AC41" s="6">
        <f>IF(S1OORTbl[[#This Row],[TOTAL RURAL]]=0,0,S1OORTbl[[#This Row],[TOTAL RURAL]]/S1_OOR_RuralTotalRequested)</f>
        <v>0</v>
      </c>
      <c r="AD41" s="7">
        <f>IF(S1OORTbl[[#This Row],[ALL UNITS IN A HIGH OR HIGHEST RESOURCE AREA]]="Yes",10*S1OORTbl[[#This Row],[RURAL FUNDING %]],0)</f>
        <v>0</v>
      </c>
      <c r="AE41" s="7" cm="1">
        <f t="array" ref="AE41">INDEX(CountyScoresTbl[OOR Community Need],ROW(S1OORTbl[[#This Row],[COUNTY]])-2,1)*S1OORTbl[[#This Row],[RURAL FUNDING %]]</f>
        <v>0</v>
      </c>
      <c r="AF41" s="7" cm="1">
        <f t="array" ref="AF41">INDEX(CountyScoresTbl[OOR/ADU Total Feasibility Points Awarded],ROW(S1OORTbl[[#This Row],[COUNTY]])-2,1)*S1OORTbl[[#This Row],[RURAL FUNDING %]]</f>
        <v>0</v>
      </c>
      <c r="AG41" s="73" cm="1">
        <f t="array" ref="AG41">INDEX(CountyScoresTbl[Farmworker Need Points Awarded],ROW(S1OORTbl[[#This Row],[COUNTY]])-2,1)*S1OORTbl[[#This Row],[RURAL FUNDING %]]</f>
        <v>0</v>
      </c>
      <c r="AH41" s="564"/>
      <c r="AI41" s="664">
        <f>SUM(S1OORTbl[[#This Row],[UNRESTRICTED ADF]],S1OORTbl[[#This Row],[Unrestricted Funds Requesting]])</f>
        <v>0</v>
      </c>
      <c r="AJ41" s="564"/>
      <c r="AK41" s="664">
        <f>SUM(S1OORTbl[[#This Row],[Rural Funds Requesting]],S1OORTbl[[#This Row],[RURAL ADF]])</f>
        <v>0</v>
      </c>
    </row>
    <row r="42" spans="1:37" x14ac:dyDescent="0.35">
      <c r="A42" s="116"/>
      <c r="B42" s="5" t="s">
        <v>154</v>
      </c>
      <c r="C42" s="31" t="s">
        <v>513</v>
      </c>
      <c r="D42" s="109" t="str">
        <f>IF(SUM(S1OORTbl[[#This Row],[Unrestricted Repair Units]:[Unrestricted ADU Reconstruct Units]])=0,"",SUM(S1OORTbl[[#This Row],[Unrestricted Repair Units]:[Unrestricted ADU Reconstruct Units]]))</f>
        <v/>
      </c>
      <c r="E42" s="74" t="str">
        <f xml:space="preserve">
IF(S1OORTbl[[#This Row],[TOTAL UNRESTRICTED]]=0,"",
S1OORTbl[[#This Row],[TOTAL UNRESTRICTED]]*
IF(S1_OOR_UnrestrictedTotalRequested&lt;=5000000,1,
5000000/S1_OOR_UnrestrictedTotalRequested)
)</f>
        <v/>
      </c>
      <c r="F42" s="6" t="str">
        <f>IF(S1OORTbl[[#This Row],[UNRESTRICTED FUNDING %]]=0,"",S1OORTbl[[#This Row],[UNRESTRICTED FUNDING %]])</f>
        <v/>
      </c>
      <c r="G42" s="31" t="s">
        <v>513</v>
      </c>
      <c r="H42" s="109" t="str">
        <f>IF(SUM(S1OORTbl[[#This Row],[Rural Repair Units]:[Rural ADU Reconstruct Units]])=0,"",SUM(S1OORTbl[[#This Row],[Rural Repair Units]:[Rural ADU Reconstruct Units]]))</f>
        <v/>
      </c>
      <c r="I42" s="74" t="str">
        <f xml:space="preserve">
IF(S1OORTbl[[#This Row],[TOTAL RURAL]]=0,"",
S1OORTbl[[#This Row],[TOTAL RURAL]]*
IF(S1_OOR_RuralTotalRequested&lt;=(5000000-E$61),1,
(5000000-E$61)/S1_OOR_RuralTotalRequested)
)</f>
        <v/>
      </c>
      <c r="J42" s="6" t="str">
        <f>IF(S1OORTbl[[#This Row],[RURAL FUNDING %]]=0,"",S1OORTbl[[#This Row],[RURAL FUNDING %]])</f>
        <v/>
      </c>
      <c r="K42" s="31" t="s">
        <v>513</v>
      </c>
      <c r="L42" s="124"/>
      <c r="M42" s="197"/>
      <c r="N42" s="124"/>
      <c r="O42" s="119"/>
      <c r="P42" s="119"/>
      <c r="Q42" s="119"/>
      <c r="R42" s="269"/>
      <c r="S42" s="6">
        <f>IF(S1OORTbl[[#This Row],[TOTAL UNRESTRICTED]]=0,0,S1OORTbl[[#This Row],[TOTAL UNRESTRICTED]]/S1_OOR_UnrestrictedTotalRequested)</f>
        <v>0</v>
      </c>
      <c r="T42" s="7">
        <f>IF(S1OORTbl[[#This Row],[ALL UNITS IN A HIGH OR HIGHEST RESOURCE AREA]]="Yes",10*S1OORTbl[[#This Row],[UNRESTRICTED FUNDING %]],0)</f>
        <v>0</v>
      </c>
      <c r="U42" s="7" cm="1">
        <f t="array" ref="U42">INDEX(CountyScoresTbl[OOR Community Need],ROW(S1OORTbl[[#This Row],[COUNTY]])-2,1)*S1OORTbl[[#This Row],[UNRESTRICTED FUNDING %]]</f>
        <v>0</v>
      </c>
      <c r="V42" s="7" cm="1">
        <f t="array" ref="V42">INDEX(CountyScoresTbl[OOR/ADU Total Feasibility Points Awarded],ROW(S1OORTbl[[#This Row],[COUNTY]])-2,1)*S1OORTbl[[#This Row],[UNRESTRICTED FUNDING %]]</f>
        <v>0</v>
      </c>
      <c r="W42" s="8" cm="1">
        <f t="array" ref="W42">INDEX(CountyScoresTbl[Farmworker Need Points Awarded],ROW(S1OORTbl[[#This Row],[COUNTY]])-2,1)*S1OORTbl[[#This Row],[UNRESTRICTED FUNDING %]]</f>
        <v>0</v>
      </c>
      <c r="X42" s="124"/>
      <c r="Y42" s="119"/>
      <c r="Z42" s="119"/>
      <c r="AA42" s="119"/>
      <c r="AB42" s="120"/>
      <c r="AC42" s="6">
        <f>IF(S1OORTbl[[#This Row],[TOTAL RURAL]]=0,0,S1OORTbl[[#This Row],[TOTAL RURAL]]/S1_OOR_RuralTotalRequested)</f>
        <v>0</v>
      </c>
      <c r="AD42" s="7">
        <f>IF(S1OORTbl[[#This Row],[ALL UNITS IN A HIGH OR HIGHEST RESOURCE AREA]]="Yes",10*S1OORTbl[[#This Row],[RURAL FUNDING %]],0)</f>
        <v>0</v>
      </c>
      <c r="AE42" s="7" cm="1">
        <f t="array" ref="AE42">INDEX(CountyScoresTbl[OOR Community Need],ROW(S1OORTbl[[#This Row],[COUNTY]])-2,1)*S1OORTbl[[#This Row],[RURAL FUNDING %]]</f>
        <v>0</v>
      </c>
      <c r="AF42" s="7" cm="1">
        <f t="array" ref="AF42">INDEX(CountyScoresTbl[OOR/ADU Total Feasibility Points Awarded],ROW(S1OORTbl[[#This Row],[COUNTY]])-2,1)*S1OORTbl[[#This Row],[RURAL FUNDING %]]</f>
        <v>0</v>
      </c>
      <c r="AG42" s="73" cm="1">
        <f t="array" ref="AG42">INDEX(CountyScoresTbl[Farmworker Need Points Awarded],ROW(S1OORTbl[[#This Row],[COUNTY]])-2,1)*S1OORTbl[[#This Row],[RURAL FUNDING %]]</f>
        <v>0</v>
      </c>
      <c r="AH42" s="564"/>
      <c r="AI42" s="664">
        <f>SUM(S1OORTbl[[#This Row],[UNRESTRICTED ADF]],S1OORTbl[[#This Row],[Unrestricted Funds Requesting]])</f>
        <v>0</v>
      </c>
      <c r="AJ42" s="564"/>
      <c r="AK42" s="664">
        <f>SUM(S1OORTbl[[#This Row],[Rural Funds Requesting]],S1OORTbl[[#This Row],[RURAL ADF]])</f>
        <v>0</v>
      </c>
    </row>
    <row r="43" spans="1:37" x14ac:dyDescent="0.35">
      <c r="A43" s="116"/>
      <c r="B43" s="5" t="s">
        <v>155</v>
      </c>
      <c r="C43" s="31" t="s">
        <v>513</v>
      </c>
      <c r="D43" s="109" t="str">
        <f>IF(SUM(S1OORTbl[[#This Row],[Unrestricted Repair Units]:[Unrestricted ADU Reconstruct Units]])=0,"",SUM(S1OORTbl[[#This Row],[Unrestricted Repair Units]:[Unrestricted ADU Reconstruct Units]]))</f>
        <v/>
      </c>
      <c r="E43" s="74" t="str">
        <f xml:space="preserve">
IF(S1OORTbl[[#This Row],[TOTAL UNRESTRICTED]]=0,"",
S1OORTbl[[#This Row],[TOTAL UNRESTRICTED]]*
IF(S1_OOR_UnrestrictedTotalRequested&lt;=5000000,1,
5000000/S1_OOR_UnrestrictedTotalRequested)
)</f>
        <v/>
      </c>
      <c r="F43" s="6" t="str">
        <f>IF(S1OORTbl[[#This Row],[UNRESTRICTED FUNDING %]]=0,"",S1OORTbl[[#This Row],[UNRESTRICTED FUNDING %]])</f>
        <v/>
      </c>
      <c r="G43" s="31" t="s">
        <v>513</v>
      </c>
      <c r="H43" s="109" t="str">
        <f>IF(SUM(S1OORTbl[[#This Row],[Rural Repair Units]:[Rural ADU Reconstruct Units]])=0,"",SUM(S1OORTbl[[#This Row],[Rural Repair Units]:[Rural ADU Reconstruct Units]]))</f>
        <v/>
      </c>
      <c r="I43" s="74" t="str">
        <f xml:space="preserve">
IF(S1OORTbl[[#This Row],[TOTAL RURAL]]=0,"",
S1OORTbl[[#This Row],[TOTAL RURAL]]*
IF(S1_OOR_RuralTotalRequested&lt;=(5000000-E$61),1,
(5000000-E$61)/S1_OOR_RuralTotalRequested)
)</f>
        <v/>
      </c>
      <c r="J43" s="6" t="str">
        <f>IF(S1OORTbl[[#This Row],[RURAL FUNDING %]]=0,"",S1OORTbl[[#This Row],[RURAL FUNDING %]])</f>
        <v/>
      </c>
      <c r="K43" s="31" t="s">
        <v>513</v>
      </c>
      <c r="L43" s="124"/>
      <c r="M43" s="197"/>
      <c r="N43" s="124"/>
      <c r="O43" s="119"/>
      <c r="P43" s="119"/>
      <c r="Q43" s="119"/>
      <c r="R43" s="269"/>
      <c r="S43" s="6">
        <f>IF(S1OORTbl[[#This Row],[TOTAL UNRESTRICTED]]=0,0,S1OORTbl[[#This Row],[TOTAL UNRESTRICTED]]/S1_OOR_UnrestrictedTotalRequested)</f>
        <v>0</v>
      </c>
      <c r="T43" s="7">
        <f>IF(S1OORTbl[[#This Row],[ALL UNITS IN A HIGH OR HIGHEST RESOURCE AREA]]="Yes",10*S1OORTbl[[#This Row],[UNRESTRICTED FUNDING %]],0)</f>
        <v>0</v>
      </c>
      <c r="U43" s="7" cm="1">
        <f t="array" ref="U43">INDEX(CountyScoresTbl[OOR Community Need],ROW(S1OORTbl[[#This Row],[COUNTY]])-2,1)*S1OORTbl[[#This Row],[UNRESTRICTED FUNDING %]]</f>
        <v>0</v>
      </c>
      <c r="V43" s="7" cm="1">
        <f t="array" ref="V43">INDEX(CountyScoresTbl[OOR/ADU Total Feasibility Points Awarded],ROW(S1OORTbl[[#This Row],[COUNTY]])-2,1)*S1OORTbl[[#This Row],[UNRESTRICTED FUNDING %]]</f>
        <v>0</v>
      </c>
      <c r="W43" s="8" cm="1">
        <f t="array" ref="W43">INDEX(CountyScoresTbl[Farmworker Need Points Awarded],ROW(S1OORTbl[[#This Row],[COUNTY]])-2,1)*S1OORTbl[[#This Row],[UNRESTRICTED FUNDING %]]</f>
        <v>0</v>
      </c>
      <c r="X43" s="124"/>
      <c r="Y43" s="119"/>
      <c r="Z43" s="119"/>
      <c r="AA43" s="119"/>
      <c r="AB43" s="120"/>
      <c r="AC43" s="6">
        <f>IF(S1OORTbl[[#This Row],[TOTAL RURAL]]=0,0,S1OORTbl[[#This Row],[TOTAL RURAL]]/S1_OOR_RuralTotalRequested)</f>
        <v>0</v>
      </c>
      <c r="AD43" s="7">
        <f>IF(S1OORTbl[[#This Row],[ALL UNITS IN A HIGH OR HIGHEST RESOURCE AREA]]="Yes",10*S1OORTbl[[#This Row],[RURAL FUNDING %]],0)</f>
        <v>0</v>
      </c>
      <c r="AE43" s="7" cm="1">
        <f t="array" ref="AE43">INDEX(CountyScoresTbl[OOR Community Need],ROW(S1OORTbl[[#This Row],[COUNTY]])-2,1)*S1OORTbl[[#This Row],[RURAL FUNDING %]]</f>
        <v>0</v>
      </c>
      <c r="AF43" s="7" cm="1">
        <f t="array" ref="AF43">INDEX(CountyScoresTbl[OOR/ADU Total Feasibility Points Awarded],ROW(S1OORTbl[[#This Row],[COUNTY]])-2,1)*S1OORTbl[[#This Row],[RURAL FUNDING %]]</f>
        <v>0</v>
      </c>
      <c r="AG43" s="73" cm="1">
        <f t="array" ref="AG43">INDEX(CountyScoresTbl[Farmworker Need Points Awarded],ROW(S1OORTbl[[#This Row],[COUNTY]])-2,1)*S1OORTbl[[#This Row],[RURAL FUNDING %]]</f>
        <v>0</v>
      </c>
      <c r="AH43" s="564"/>
      <c r="AI43" s="664">
        <f>SUM(S1OORTbl[[#This Row],[UNRESTRICTED ADF]],S1OORTbl[[#This Row],[Unrestricted Funds Requesting]])</f>
        <v>0</v>
      </c>
      <c r="AJ43" s="564"/>
      <c r="AK43" s="664">
        <f>SUM(S1OORTbl[[#This Row],[Rural Funds Requesting]],S1OORTbl[[#This Row],[RURAL ADF]])</f>
        <v>0</v>
      </c>
    </row>
    <row r="44" spans="1:37" x14ac:dyDescent="0.35">
      <c r="A44" s="116"/>
      <c r="B44" s="5" t="s">
        <v>156</v>
      </c>
      <c r="C44" s="31" t="s">
        <v>513</v>
      </c>
      <c r="D44" s="109" t="str">
        <f>IF(SUM(S1OORTbl[[#This Row],[Unrestricted Repair Units]:[Unrestricted ADU Reconstruct Units]])=0,"",SUM(S1OORTbl[[#This Row],[Unrestricted Repair Units]:[Unrestricted ADU Reconstruct Units]]))</f>
        <v/>
      </c>
      <c r="E44" s="74" t="str">
        <f xml:space="preserve">
IF(S1OORTbl[[#This Row],[TOTAL UNRESTRICTED]]=0,"",
S1OORTbl[[#This Row],[TOTAL UNRESTRICTED]]*
IF(S1_OOR_UnrestrictedTotalRequested&lt;=5000000,1,
5000000/S1_OOR_UnrestrictedTotalRequested)
)</f>
        <v/>
      </c>
      <c r="F44" s="6" t="str">
        <f>IF(S1OORTbl[[#This Row],[UNRESTRICTED FUNDING %]]=0,"",S1OORTbl[[#This Row],[UNRESTRICTED FUNDING %]])</f>
        <v/>
      </c>
      <c r="G44" s="31" t="s">
        <v>513</v>
      </c>
      <c r="H44" s="109" t="str">
        <f>IF(SUM(S1OORTbl[[#This Row],[Rural Repair Units]:[Rural ADU Reconstruct Units]])=0,"",SUM(S1OORTbl[[#This Row],[Rural Repair Units]:[Rural ADU Reconstruct Units]]))</f>
        <v/>
      </c>
      <c r="I44" s="74" t="str">
        <f xml:space="preserve">
IF(S1OORTbl[[#This Row],[TOTAL RURAL]]=0,"",
S1OORTbl[[#This Row],[TOTAL RURAL]]*
IF(S1_OOR_RuralTotalRequested&lt;=(5000000-E$61),1,
(5000000-E$61)/S1_OOR_RuralTotalRequested)
)</f>
        <v/>
      </c>
      <c r="J44" s="6" t="str">
        <f>IF(S1OORTbl[[#This Row],[RURAL FUNDING %]]=0,"",S1OORTbl[[#This Row],[RURAL FUNDING %]])</f>
        <v/>
      </c>
      <c r="K44" s="31" t="s">
        <v>513</v>
      </c>
      <c r="L44" s="124"/>
      <c r="M44" s="197"/>
      <c r="N44" s="124"/>
      <c r="O44" s="119"/>
      <c r="P44" s="119"/>
      <c r="Q44" s="119"/>
      <c r="R44" s="269"/>
      <c r="S44" s="6">
        <f>IF(S1OORTbl[[#This Row],[TOTAL UNRESTRICTED]]=0,0,S1OORTbl[[#This Row],[TOTAL UNRESTRICTED]]/S1_OOR_UnrestrictedTotalRequested)</f>
        <v>0</v>
      </c>
      <c r="T44" s="7">
        <f>IF(S1OORTbl[[#This Row],[ALL UNITS IN A HIGH OR HIGHEST RESOURCE AREA]]="Yes",10*S1OORTbl[[#This Row],[UNRESTRICTED FUNDING %]],0)</f>
        <v>0</v>
      </c>
      <c r="U44" s="7" cm="1">
        <f t="array" ref="U44">INDEX(CountyScoresTbl[OOR Community Need],ROW(S1OORTbl[[#This Row],[COUNTY]])-2,1)*S1OORTbl[[#This Row],[UNRESTRICTED FUNDING %]]</f>
        <v>0</v>
      </c>
      <c r="V44" s="7" cm="1">
        <f t="array" ref="V44">INDEX(CountyScoresTbl[OOR/ADU Total Feasibility Points Awarded],ROW(S1OORTbl[[#This Row],[COUNTY]])-2,1)*S1OORTbl[[#This Row],[UNRESTRICTED FUNDING %]]</f>
        <v>0</v>
      </c>
      <c r="W44" s="8" cm="1">
        <f t="array" ref="W44">INDEX(CountyScoresTbl[Farmworker Need Points Awarded],ROW(S1OORTbl[[#This Row],[COUNTY]])-2,1)*S1OORTbl[[#This Row],[UNRESTRICTED FUNDING %]]</f>
        <v>0</v>
      </c>
      <c r="X44" s="124"/>
      <c r="Y44" s="119"/>
      <c r="Z44" s="119"/>
      <c r="AA44" s="119"/>
      <c r="AB44" s="120"/>
      <c r="AC44" s="6">
        <f>IF(S1OORTbl[[#This Row],[TOTAL RURAL]]=0,0,S1OORTbl[[#This Row],[TOTAL RURAL]]/S1_OOR_RuralTotalRequested)</f>
        <v>0</v>
      </c>
      <c r="AD44" s="7">
        <f>IF(S1OORTbl[[#This Row],[ALL UNITS IN A HIGH OR HIGHEST RESOURCE AREA]]="Yes",10*S1OORTbl[[#This Row],[RURAL FUNDING %]],0)</f>
        <v>0</v>
      </c>
      <c r="AE44" s="7" cm="1">
        <f t="array" ref="AE44">INDEX(CountyScoresTbl[OOR Community Need],ROW(S1OORTbl[[#This Row],[COUNTY]])-2,1)*S1OORTbl[[#This Row],[RURAL FUNDING %]]</f>
        <v>0</v>
      </c>
      <c r="AF44" s="7" cm="1">
        <f t="array" ref="AF44">INDEX(CountyScoresTbl[OOR/ADU Total Feasibility Points Awarded],ROW(S1OORTbl[[#This Row],[COUNTY]])-2,1)*S1OORTbl[[#This Row],[RURAL FUNDING %]]</f>
        <v>0</v>
      </c>
      <c r="AG44" s="73" cm="1">
        <f t="array" ref="AG44">INDEX(CountyScoresTbl[Farmworker Need Points Awarded],ROW(S1OORTbl[[#This Row],[COUNTY]])-2,1)*S1OORTbl[[#This Row],[RURAL FUNDING %]]</f>
        <v>0</v>
      </c>
      <c r="AH44" s="564"/>
      <c r="AI44" s="664">
        <f>SUM(S1OORTbl[[#This Row],[UNRESTRICTED ADF]],S1OORTbl[[#This Row],[Unrestricted Funds Requesting]])</f>
        <v>0</v>
      </c>
      <c r="AJ44" s="564"/>
      <c r="AK44" s="664">
        <f>SUM(S1OORTbl[[#This Row],[Rural Funds Requesting]],S1OORTbl[[#This Row],[RURAL ADF]])</f>
        <v>0</v>
      </c>
    </row>
    <row r="45" spans="1:37" x14ac:dyDescent="0.35">
      <c r="A45" s="116"/>
      <c r="B45" s="5" t="s">
        <v>157</v>
      </c>
      <c r="C45" s="31" t="s">
        <v>513</v>
      </c>
      <c r="D45" s="109" t="str">
        <f>IF(SUM(S1OORTbl[[#This Row],[Unrestricted Repair Units]:[Unrestricted ADU Reconstruct Units]])=0,"",SUM(S1OORTbl[[#This Row],[Unrestricted Repair Units]:[Unrestricted ADU Reconstruct Units]]))</f>
        <v/>
      </c>
      <c r="E45" s="74" t="str">
        <f xml:space="preserve">
IF(S1OORTbl[[#This Row],[TOTAL UNRESTRICTED]]=0,"",
S1OORTbl[[#This Row],[TOTAL UNRESTRICTED]]*
IF(S1_OOR_UnrestrictedTotalRequested&lt;=5000000,1,
5000000/S1_OOR_UnrestrictedTotalRequested)
)</f>
        <v/>
      </c>
      <c r="F45" s="6" t="str">
        <f>IF(S1OORTbl[[#This Row],[UNRESTRICTED FUNDING %]]=0,"",S1OORTbl[[#This Row],[UNRESTRICTED FUNDING %]])</f>
        <v/>
      </c>
      <c r="G45" s="31" t="s">
        <v>513</v>
      </c>
      <c r="H45" s="109" t="str">
        <f>IF(SUM(S1OORTbl[[#This Row],[Rural Repair Units]:[Rural ADU Reconstruct Units]])=0,"",SUM(S1OORTbl[[#This Row],[Rural Repair Units]:[Rural ADU Reconstruct Units]]))</f>
        <v/>
      </c>
      <c r="I45" s="74" t="str">
        <f xml:space="preserve">
IF(S1OORTbl[[#This Row],[TOTAL RURAL]]=0,"",
S1OORTbl[[#This Row],[TOTAL RURAL]]*
IF(S1_OOR_RuralTotalRequested&lt;=(5000000-E$61),1,
(5000000-E$61)/S1_OOR_RuralTotalRequested)
)</f>
        <v/>
      </c>
      <c r="J45" s="6" t="str">
        <f>IF(S1OORTbl[[#This Row],[RURAL FUNDING %]]=0,"",S1OORTbl[[#This Row],[RURAL FUNDING %]])</f>
        <v/>
      </c>
      <c r="K45" s="31" t="s">
        <v>513</v>
      </c>
      <c r="L45" s="124"/>
      <c r="M45" s="197"/>
      <c r="N45" s="124"/>
      <c r="O45" s="119"/>
      <c r="P45" s="119"/>
      <c r="Q45" s="119"/>
      <c r="R45" s="269"/>
      <c r="S45" s="6">
        <f>IF(S1OORTbl[[#This Row],[TOTAL UNRESTRICTED]]=0,0,S1OORTbl[[#This Row],[TOTAL UNRESTRICTED]]/S1_OOR_UnrestrictedTotalRequested)</f>
        <v>0</v>
      </c>
      <c r="T45" s="7">
        <f>IF(S1OORTbl[[#This Row],[ALL UNITS IN A HIGH OR HIGHEST RESOURCE AREA]]="Yes",10*S1OORTbl[[#This Row],[UNRESTRICTED FUNDING %]],0)</f>
        <v>0</v>
      </c>
      <c r="U45" s="7" cm="1">
        <f t="array" ref="U45">INDEX(CountyScoresTbl[OOR Community Need],ROW(S1OORTbl[[#This Row],[COUNTY]])-2,1)*S1OORTbl[[#This Row],[UNRESTRICTED FUNDING %]]</f>
        <v>0</v>
      </c>
      <c r="V45" s="7" cm="1">
        <f t="array" ref="V45">INDEX(CountyScoresTbl[OOR/ADU Total Feasibility Points Awarded],ROW(S1OORTbl[[#This Row],[COUNTY]])-2,1)*S1OORTbl[[#This Row],[UNRESTRICTED FUNDING %]]</f>
        <v>0</v>
      </c>
      <c r="W45" s="8" cm="1">
        <f t="array" ref="W45">INDEX(CountyScoresTbl[Farmworker Need Points Awarded],ROW(S1OORTbl[[#This Row],[COUNTY]])-2,1)*S1OORTbl[[#This Row],[UNRESTRICTED FUNDING %]]</f>
        <v>0</v>
      </c>
      <c r="X45" s="124"/>
      <c r="Y45" s="119"/>
      <c r="Z45" s="119"/>
      <c r="AA45" s="119"/>
      <c r="AB45" s="120"/>
      <c r="AC45" s="6">
        <f>IF(S1OORTbl[[#This Row],[TOTAL RURAL]]=0,0,S1OORTbl[[#This Row],[TOTAL RURAL]]/S1_OOR_RuralTotalRequested)</f>
        <v>0</v>
      </c>
      <c r="AD45" s="7">
        <f>IF(S1OORTbl[[#This Row],[ALL UNITS IN A HIGH OR HIGHEST RESOURCE AREA]]="Yes",10*S1OORTbl[[#This Row],[RURAL FUNDING %]],0)</f>
        <v>0</v>
      </c>
      <c r="AE45" s="7" cm="1">
        <f t="array" ref="AE45">INDEX(CountyScoresTbl[OOR Community Need],ROW(S1OORTbl[[#This Row],[COUNTY]])-2,1)*S1OORTbl[[#This Row],[RURAL FUNDING %]]</f>
        <v>0</v>
      </c>
      <c r="AF45" s="7" cm="1">
        <f t="array" ref="AF45">INDEX(CountyScoresTbl[OOR/ADU Total Feasibility Points Awarded],ROW(S1OORTbl[[#This Row],[COUNTY]])-2,1)*S1OORTbl[[#This Row],[RURAL FUNDING %]]</f>
        <v>0</v>
      </c>
      <c r="AG45" s="73" cm="1">
        <f t="array" ref="AG45">INDEX(CountyScoresTbl[Farmworker Need Points Awarded],ROW(S1OORTbl[[#This Row],[COUNTY]])-2,1)*S1OORTbl[[#This Row],[RURAL FUNDING %]]</f>
        <v>0</v>
      </c>
      <c r="AH45" s="564"/>
      <c r="AI45" s="664">
        <f>SUM(S1OORTbl[[#This Row],[UNRESTRICTED ADF]],S1OORTbl[[#This Row],[Unrestricted Funds Requesting]])</f>
        <v>0</v>
      </c>
      <c r="AJ45" s="564"/>
      <c r="AK45" s="664">
        <f>SUM(S1OORTbl[[#This Row],[Rural Funds Requesting]],S1OORTbl[[#This Row],[RURAL ADF]])</f>
        <v>0</v>
      </c>
    </row>
    <row r="46" spans="1:37" x14ac:dyDescent="0.35">
      <c r="A46" s="116"/>
      <c r="B46" s="5" t="s">
        <v>158</v>
      </c>
      <c r="C46" s="31" t="s">
        <v>513</v>
      </c>
      <c r="D46" s="109" t="str">
        <f>IF(SUM(S1OORTbl[[#This Row],[Unrestricted Repair Units]:[Unrestricted ADU Reconstruct Units]])=0,"",SUM(S1OORTbl[[#This Row],[Unrestricted Repair Units]:[Unrestricted ADU Reconstruct Units]]))</f>
        <v/>
      </c>
      <c r="E46" s="74" t="str">
        <f xml:space="preserve">
IF(S1OORTbl[[#This Row],[TOTAL UNRESTRICTED]]=0,"",
S1OORTbl[[#This Row],[TOTAL UNRESTRICTED]]*
IF(S1_OOR_UnrestrictedTotalRequested&lt;=5000000,1,
5000000/S1_OOR_UnrestrictedTotalRequested)
)</f>
        <v/>
      </c>
      <c r="F46" s="6" t="str">
        <f>IF(S1OORTbl[[#This Row],[UNRESTRICTED FUNDING %]]=0,"",S1OORTbl[[#This Row],[UNRESTRICTED FUNDING %]])</f>
        <v/>
      </c>
      <c r="G46" s="31" t="s">
        <v>513</v>
      </c>
      <c r="H46" s="109" t="str">
        <f>IF(SUM(S1OORTbl[[#This Row],[Rural Repair Units]:[Rural ADU Reconstruct Units]])=0,"",SUM(S1OORTbl[[#This Row],[Rural Repair Units]:[Rural ADU Reconstruct Units]]))</f>
        <v/>
      </c>
      <c r="I46" s="74" t="str">
        <f xml:space="preserve">
IF(S1OORTbl[[#This Row],[TOTAL RURAL]]=0,"",
S1OORTbl[[#This Row],[TOTAL RURAL]]*
IF(S1_OOR_RuralTotalRequested&lt;=(5000000-E$61),1,
(5000000-E$61)/S1_OOR_RuralTotalRequested)
)</f>
        <v/>
      </c>
      <c r="J46" s="6" t="str">
        <f>IF(S1OORTbl[[#This Row],[RURAL FUNDING %]]=0,"",S1OORTbl[[#This Row],[RURAL FUNDING %]])</f>
        <v/>
      </c>
      <c r="K46" s="31" t="s">
        <v>513</v>
      </c>
      <c r="L46" s="124"/>
      <c r="M46" s="197"/>
      <c r="N46" s="124"/>
      <c r="O46" s="119"/>
      <c r="P46" s="119"/>
      <c r="Q46" s="119"/>
      <c r="R46" s="269"/>
      <c r="S46" s="6">
        <f>IF(S1OORTbl[[#This Row],[TOTAL UNRESTRICTED]]=0,0,S1OORTbl[[#This Row],[TOTAL UNRESTRICTED]]/S1_OOR_UnrestrictedTotalRequested)</f>
        <v>0</v>
      </c>
      <c r="T46" s="7">
        <f>IF(S1OORTbl[[#This Row],[ALL UNITS IN A HIGH OR HIGHEST RESOURCE AREA]]="Yes",10*S1OORTbl[[#This Row],[UNRESTRICTED FUNDING %]],0)</f>
        <v>0</v>
      </c>
      <c r="U46" s="7" cm="1">
        <f t="array" ref="U46">INDEX(CountyScoresTbl[OOR Community Need],ROW(S1OORTbl[[#This Row],[COUNTY]])-2,1)*S1OORTbl[[#This Row],[UNRESTRICTED FUNDING %]]</f>
        <v>0</v>
      </c>
      <c r="V46" s="7" cm="1">
        <f t="array" ref="V46">INDEX(CountyScoresTbl[OOR/ADU Total Feasibility Points Awarded],ROW(S1OORTbl[[#This Row],[COUNTY]])-2,1)*S1OORTbl[[#This Row],[UNRESTRICTED FUNDING %]]</f>
        <v>0</v>
      </c>
      <c r="W46" s="8" cm="1">
        <f t="array" ref="W46">INDEX(CountyScoresTbl[Farmworker Need Points Awarded],ROW(S1OORTbl[[#This Row],[COUNTY]])-2,1)*S1OORTbl[[#This Row],[UNRESTRICTED FUNDING %]]</f>
        <v>0</v>
      </c>
      <c r="X46" s="124"/>
      <c r="Y46" s="119"/>
      <c r="Z46" s="119"/>
      <c r="AA46" s="119"/>
      <c r="AB46" s="120"/>
      <c r="AC46" s="6">
        <f>IF(S1OORTbl[[#This Row],[TOTAL RURAL]]=0,0,S1OORTbl[[#This Row],[TOTAL RURAL]]/S1_OOR_RuralTotalRequested)</f>
        <v>0</v>
      </c>
      <c r="AD46" s="7">
        <f>IF(S1OORTbl[[#This Row],[ALL UNITS IN A HIGH OR HIGHEST RESOURCE AREA]]="Yes",10*S1OORTbl[[#This Row],[RURAL FUNDING %]],0)</f>
        <v>0</v>
      </c>
      <c r="AE46" s="7" cm="1">
        <f t="array" ref="AE46">INDEX(CountyScoresTbl[OOR Community Need],ROW(S1OORTbl[[#This Row],[COUNTY]])-2,1)*S1OORTbl[[#This Row],[RURAL FUNDING %]]</f>
        <v>0</v>
      </c>
      <c r="AF46" s="7" cm="1">
        <f t="array" ref="AF46">INDEX(CountyScoresTbl[OOR/ADU Total Feasibility Points Awarded],ROW(S1OORTbl[[#This Row],[COUNTY]])-2,1)*S1OORTbl[[#This Row],[RURAL FUNDING %]]</f>
        <v>0</v>
      </c>
      <c r="AG46" s="73" cm="1">
        <f t="array" ref="AG46">INDEX(CountyScoresTbl[Farmworker Need Points Awarded],ROW(S1OORTbl[[#This Row],[COUNTY]])-2,1)*S1OORTbl[[#This Row],[RURAL FUNDING %]]</f>
        <v>0</v>
      </c>
      <c r="AH46" s="564"/>
      <c r="AI46" s="664">
        <f>SUM(S1OORTbl[[#This Row],[UNRESTRICTED ADF]],S1OORTbl[[#This Row],[Unrestricted Funds Requesting]])</f>
        <v>0</v>
      </c>
      <c r="AJ46" s="564"/>
      <c r="AK46" s="664">
        <f>SUM(S1OORTbl[[#This Row],[Rural Funds Requesting]],S1OORTbl[[#This Row],[RURAL ADF]])</f>
        <v>0</v>
      </c>
    </row>
    <row r="47" spans="1:37" x14ac:dyDescent="0.35">
      <c r="A47" s="116"/>
      <c r="B47" s="5" t="s">
        <v>159</v>
      </c>
      <c r="C47" s="31" t="s">
        <v>513</v>
      </c>
      <c r="D47" s="109" t="str">
        <f>IF(SUM(S1OORTbl[[#This Row],[Unrestricted Repair Units]:[Unrestricted ADU Reconstruct Units]])=0,"",SUM(S1OORTbl[[#This Row],[Unrestricted Repair Units]:[Unrestricted ADU Reconstruct Units]]))</f>
        <v/>
      </c>
      <c r="E47" s="74" t="str">
        <f xml:space="preserve">
IF(S1OORTbl[[#This Row],[TOTAL UNRESTRICTED]]=0,"",
S1OORTbl[[#This Row],[TOTAL UNRESTRICTED]]*
IF(S1_OOR_UnrestrictedTotalRequested&lt;=5000000,1,
5000000/S1_OOR_UnrestrictedTotalRequested)
)</f>
        <v/>
      </c>
      <c r="F47" s="6" t="str">
        <f>IF(S1OORTbl[[#This Row],[UNRESTRICTED FUNDING %]]=0,"",S1OORTbl[[#This Row],[UNRESTRICTED FUNDING %]])</f>
        <v/>
      </c>
      <c r="G47" s="31" t="s">
        <v>513</v>
      </c>
      <c r="H47" s="109" t="str">
        <f>IF(SUM(S1OORTbl[[#This Row],[Rural Repair Units]:[Rural ADU Reconstruct Units]])=0,"",SUM(S1OORTbl[[#This Row],[Rural Repair Units]:[Rural ADU Reconstruct Units]]))</f>
        <v/>
      </c>
      <c r="I47" s="74" t="str">
        <f xml:space="preserve">
IF(S1OORTbl[[#This Row],[TOTAL RURAL]]=0,"",
S1OORTbl[[#This Row],[TOTAL RURAL]]*
IF(S1_OOR_RuralTotalRequested&lt;=(5000000-E$61),1,
(5000000-E$61)/S1_OOR_RuralTotalRequested)
)</f>
        <v/>
      </c>
      <c r="J47" s="6" t="str">
        <f>IF(S1OORTbl[[#This Row],[RURAL FUNDING %]]=0,"",S1OORTbl[[#This Row],[RURAL FUNDING %]])</f>
        <v/>
      </c>
      <c r="K47" s="31" t="s">
        <v>513</v>
      </c>
      <c r="L47" s="124"/>
      <c r="M47" s="197"/>
      <c r="N47" s="124"/>
      <c r="O47" s="119"/>
      <c r="P47" s="119"/>
      <c r="Q47" s="119"/>
      <c r="R47" s="269"/>
      <c r="S47" s="6">
        <f>IF(S1OORTbl[[#This Row],[TOTAL UNRESTRICTED]]=0,0,S1OORTbl[[#This Row],[TOTAL UNRESTRICTED]]/S1_OOR_UnrestrictedTotalRequested)</f>
        <v>0</v>
      </c>
      <c r="T47" s="7">
        <f>IF(S1OORTbl[[#This Row],[ALL UNITS IN A HIGH OR HIGHEST RESOURCE AREA]]="Yes",10*S1OORTbl[[#This Row],[UNRESTRICTED FUNDING %]],0)</f>
        <v>0</v>
      </c>
      <c r="U47" s="7" cm="1">
        <f t="array" ref="U47">INDEX(CountyScoresTbl[OOR Community Need],ROW(S1OORTbl[[#This Row],[COUNTY]])-2,1)*S1OORTbl[[#This Row],[UNRESTRICTED FUNDING %]]</f>
        <v>0</v>
      </c>
      <c r="V47" s="7" cm="1">
        <f t="array" ref="V47">INDEX(CountyScoresTbl[OOR/ADU Total Feasibility Points Awarded],ROW(S1OORTbl[[#This Row],[COUNTY]])-2,1)*S1OORTbl[[#This Row],[UNRESTRICTED FUNDING %]]</f>
        <v>0</v>
      </c>
      <c r="W47" s="8" cm="1">
        <f t="array" ref="W47">INDEX(CountyScoresTbl[Farmworker Need Points Awarded],ROW(S1OORTbl[[#This Row],[COUNTY]])-2,1)*S1OORTbl[[#This Row],[UNRESTRICTED FUNDING %]]</f>
        <v>0</v>
      </c>
      <c r="X47" s="124"/>
      <c r="Y47" s="119"/>
      <c r="Z47" s="119"/>
      <c r="AA47" s="119"/>
      <c r="AB47" s="120"/>
      <c r="AC47" s="6">
        <f>IF(S1OORTbl[[#This Row],[TOTAL RURAL]]=0,0,S1OORTbl[[#This Row],[TOTAL RURAL]]/S1_OOR_RuralTotalRequested)</f>
        <v>0</v>
      </c>
      <c r="AD47" s="7">
        <f>IF(S1OORTbl[[#This Row],[ALL UNITS IN A HIGH OR HIGHEST RESOURCE AREA]]="Yes",10*S1OORTbl[[#This Row],[RURAL FUNDING %]],0)</f>
        <v>0</v>
      </c>
      <c r="AE47" s="7" cm="1">
        <f t="array" ref="AE47">INDEX(CountyScoresTbl[OOR Community Need],ROW(S1OORTbl[[#This Row],[COUNTY]])-2,1)*S1OORTbl[[#This Row],[RURAL FUNDING %]]</f>
        <v>0</v>
      </c>
      <c r="AF47" s="7" cm="1">
        <f t="array" ref="AF47">INDEX(CountyScoresTbl[OOR/ADU Total Feasibility Points Awarded],ROW(S1OORTbl[[#This Row],[COUNTY]])-2,1)*S1OORTbl[[#This Row],[RURAL FUNDING %]]</f>
        <v>0</v>
      </c>
      <c r="AG47" s="73" cm="1">
        <f t="array" ref="AG47">INDEX(CountyScoresTbl[Farmworker Need Points Awarded],ROW(S1OORTbl[[#This Row],[COUNTY]])-2,1)*S1OORTbl[[#This Row],[RURAL FUNDING %]]</f>
        <v>0</v>
      </c>
      <c r="AH47" s="564"/>
      <c r="AI47" s="664">
        <f>SUM(S1OORTbl[[#This Row],[UNRESTRICTED ADF]],S1OORTbl[[#This Row],[Unrestricted Funds Requesting]])</f>
        <v>0</v>
      </c>
      <c r="AJ47" s="564"/>
      <c r="AK47" s="664">
        <f>SUM(S1OORTbl[[#This Row],[Rural Funds Requesting]],S1OORTbl[[#This Row],[RURAL ADF]])</f>
        <v>0</v>
      </c>
    </row>
    <row r="48" spans="1:37" x14ac:dyDescent="0.35">
      <c r="A48" s="116"/>
      <c r="B48" s="5" t="s">
        <v>160</v>
      </c>
      <c r="C48" s="31" t="s">
        <v>513</v>
      </c>
      <c r="D48" s="109" t="str">
        <f>IF(SUM(S1OORTbl[[#This Row],[Unrestricted Repair Units]:[Unrestricted ADU Reconstruct Units]])=0,"",SUM(S1OORTbl[[#This Row],[Unrestricted Repair Units]:[Unrestricted ADU Reconstruct Units]]))</f>
        <v/>
      </c>
      <c r="E48" s="74" t="str">
        <f xml:space="preserve">
IF(S1OORTbl[[#This Row],[TOTAL UNRESTRICTED]]=0,"",
S1OORTbl[[#This Row],[TOTAL UNRESTRICTED]]*
IF(S1_OOR_UnrestrictedTotalRequested&lt;=5000000,1,
5000000/S1_OOR_UnrestrictedTotalRequested)
)</f>
        <v/>
      </c>
      <c r="F48" s="6" t="str">
        <f>IF(S1OORTbl[[#This Row],[UNRESTRICTED FUNDING %]]=0,"",S1OORTbl[[#This Row],[UNRESTRICTED FUNDING %]])</f>
        <v/>
      </c>
      <c r="G48" s="31" t="s">
        <v>513</v>
      </c>
      <c r="H48" s="109" t="str">
        <f>IF(SUM(S1OORTbl[[#This Row],[Rural Repair Units]:[Rural ADU Reconstruct Units]])=0,"",SUM(S1OORTbl[[#This Row],[Rural Repair Units]:[Rural ADU Reconstruct Units]]))</f>
        <v/>
      </c>
      <c r="I48" s="74" t="str">
        <f xml:space="preserve">
IF(S1OORTbl[[#This Row],[TOTAL RURAL]]=0,"",
S1OORTbl[[#This Row],[TOTAL RURAL]]*
IF(S1_OOR_RuralTotalRequested&lt;=(5000000-E$61),1,
(5000000-E$61)/S1_OOR_RuralTotalRequested)
)</f>
        <v/>
      </c>
      <c r="J48" s="6" t="str">
        <f>IF(S1OORTbl[[#This Row],[RURAL FUNDING %]]=0,"",S1OORTbl[[#This Row],[RURAL FUNDING %]])</f>
        <v/>
      </c>
      <c r="K48" s="31" t="s">
        <v>513</v>
      </c>
      <c r="L48" s="124"/>
      <c r="M48" s="197"/>
      <c r="N48" s="124"/>
      <c r="O48" s="119"/>
      <c r="P48" s="119"/>
      <c r="Q48" s="119"/>
      <c r="R48" s="269"/>
      <c r="S48" s="6">
        <f>IF(S1OORTbl[[#This Row],[TOTAL UNRESTRICTED]]=0,0,S1OORTbl[[#This Row],[TOTAL UNRESTRICTED]]/S1_OOR_UnrestrictedTotalRequested)</f>
        <v>0</v>
      </c>
      <c r="T48" s="7">
        <f>IF(S1OORTbl[[#This Row],[ALL UNITS IN A HIGH OR HIGHEST RESOURCE AREA]]="Yes",10*S1OORTbl[[#This Row],[UNRESTRICTED FUNDING %]],0)</f>
        <v>0</v>
      </c>
      <c r="U48" s="7" cm="1">
        <f t="array" ref="U48">INDEX(CountyScoresTbl[OOR Community Need],ROW(S1OORTbl[[#This Row],[COUNTY]])-2,1)*S1OORTbl[[#This Row],[UNRESTRICTED FUNDING %]]</f>
        <v>0</v>
      </c>
      <c r="V48" s="7" cm="1">
        <f t="array" ref="V48">INDEX(CountyScoresTbl[OOR/ADU Total Feasibility Points Awarded],ROW(S1OORTbl[[#This Row],[COUNTY]])-2,1)*S1OORTbl[[#This Row],[UNRESTRICTED FUNDING %]]</f>
        <v>0</v>
      </c>
      <c r="W48" s="8" cm="1">
        <f t="array" ref="W48">INDEX(CountyScoresTbl[Farmworker Need Points Awarded],ROW(S1OORTbl[[#This Row],[COUNTY]])-2,1)*S1OORTbl[[#This Row],[UNRESTRICTED FUNDING %]]</f>
        <v>0</v>
      </c>
      <c r="X48" s="124"/>
      <c r="Y48" s="119"/>
      <c r="Z48" s="119"/>
      <c r="AA48" s="119"/>
      <c r="AB48" s="120"/>
      <c r="AC48" s="6">
        <f>IF(S1OORTbl[[#This Row],[TOTAL RURAL]]=0,0,S1OORTbl[[#This Row],[TOTAL RURAL]]/S1_OOR_RuralTotalRequested)</f>
        <v>0</v>
      </c>
      <c r="AD48" s="7">
        <f>IF(S1OORTbl[[#This Row],[ALL UNITS IN A HIGH OR HIGHEST RESOURCE AREA]]="Yes",10*S1OORTbl[[#This Row],[RURAL FUNDING %]],0)</f>
        <v>0</v>
      </c>
      <c r="AE48" s="7" cm="1">
        <f t="array" ref="AE48">INDEX(CountyScoresTbl[OOR Community Need],ROW(S1OORTbl[[#This Row],[COUNTY]])-2,1)*S1OORTbl[[#This Row],[RURAL FUNDING %]]</f>
        <v>0</v>
      </c>
      <c r="AF48" s="7" cm="1">
        <f t="array" ref="AF48">INDEX(CountyScoresTbl[OOR/ADU Total Feasibility Points Awarded],ROW(S1OORTbl[[#This Row],[COUNTY]])-2,1)*S1OORTbl[[#This Row],[RURAL FUNDING %]]</f>
        <v>0</v>
      </c>
      <c r="AG48" s="73" cm="1">
        <f t="array" ref="AG48">INDEX(CountyScoresTbl[Farmworker Need Points Awarded],ROW(S1OORTbl[[#This Row],[COUNTY]])-2,1)*S1OORTbl[[#This Row],[RURAL FUNDING %]]</f>
        <v>0</v>
      </c>
      <c r="AH48" s="564"/>
      <c r="AI48" s="664">
        <f>SUM(S1OORTbl[[#This Row],[UNRESTRICTED ADF]],S1OORTbl[[#This Row],[Unrestricted Funds Requesting]])</f>
        <v>0</v>
      </c>
      <c r="AJ48" s="564"/>
      <c r="AK48" s="664">
        <f>SUM(S1OORTbl[[#This Row],[Rural Funds Requesting]],S1OORTbl[[#This Row],[RURAL ADF]])</f>
        <v>0</v>
      </c>
    </row>
    <row r="49" spans="1:37" x14ac:dyDescent="0.35">
      <c r="A49" s="116"/>
      <c r="B49" s="5" t="s">
        <v>161</v>
      </c>
      <c r="C49" s="31" t="s">
        <v>513</v>
      </c>
      <c r="D49" s="109" t="str">
        <f>IF(SUM(S1OORTbl[[#This Row],[Unrestricted Repair Units]:[Unrestricted ADU Reconstruct Units]])=0,"",SUM(S1OORTbl[[#This Row],[Unrestricted Repair Units]:[Unrestricted ADU Reconstruct Units]]))</f>
        <v/>
      </c>
      <c r="E49" s="74" t="str">
        <f xml:space="preserve">
IF(S1OORTbl[[#This Row],[TOTAL UNRESTRICTED]]=0,"",
S1OORTbl[[#This Row],[TOTAL UNRESTRICTED]]*
IF(S1_OOR_UnrestrictedTotalRequested&lt;=5000000,1,
5000000/S1_OOR_UnrestrictedTotalRequested)
)</f>
        <v/>
      </c>
      <c r="F49" s="6" t="str">
        <f>IF(S1OORTbl[[#This Row],[UNRESTRICTED FUNDING %]]=0,"",S1OORTbl[[#This Row],[UNRESTRICTED FUNDING %]])</f>
        <v/>
      </c>
      <c r="G49" s="31" t="s">
        <v>513</v>
      </c>
      <c r="H49" s="109" t="str">
        <f>IF(SUM(S1OORTbl[[#This Row],[Rural Repair Units]:[Rural ADU Reconstruct Units]])=0,"",SUM(S1OORTbl[[#This Row],[Rural Repair Units]:[Rural ADU Reconstruct Units]]))</f>
        <v/>
      </c>
      <c r="I49" s="74" t="str">
        <f xml:space="preserve">
IF(S1OORTbl[[#This Row],[TOTAL RURAL]]=0,"",
S1OORTbl[[#This Row],[TOTAL RURAL]]*
IF(S1_OOR_RuralTotalRequested&lt;=(5000000-E$61),1,
(5000000-E$61)/S1_OOR_RuralTotalRequested)
)</f>
        <v/>
      </c>
      <c r="J49" s="6" t="str">
        <f>IF(S1OORTbl[[#This Row],[RURAL FUNDING %]]=0,"",S1OORTbl[[#This Row],[RURAL FUNDING %]])</f>
        <v/>
      </c>
      <c r="K49" s="31" t="s">
        <v>513</v>
      </c>
      <c r="L49" s="124"/>
      <c r="M49" s="197"/>
      <c r="N49" s="124"/>
      <c r="O49" s="119"/>
      <c r="P49" s="119"/>
      <c r="Q49" s="119"/>
      <c r="R49" s="269"/>
      <c r="S49" s="6">
        <f>IF(S1OORTbl[[#This Row],[TOTAL UNRESTRICTED]]=0,0,S1OORTbl[[#This Row],[TOTAL UNRESTRICTED]]/S1_OOR_UnrestrictedTotalRequested)</f>
        <v>0</v>
      </c>
      <c r="T49" s="7">
        <f>IF(S1OORTbl[[#This Row],[ALL UNITS IN A HIGH OR HIGHEST RESOURCE AREA]]="Yes",10*S1OORTbl[[#This Row],[UNRESTRICTED FUNDING %]],0)</f>
        <v>0</v>
      </c>
      <c r="U49" s="7" cm="1">
        <f t="array" ref="U49">INDEX(CountyScoresTbl[OOR Community Need],ROW(S1OORTbl[[#This Row],[COUNTY]])-2,1)*S1OORTbl[[#This Row],[UNRESTRICTED FUNDING %]]</f>
        <v>0</v>
      </c>
      <c r="V49" s="7" cm="1">
        <f t="array" ref="V49">INDEX(CountyScoresTbl[OOR/ADU Total Feasibility Points Awarded],ROW(S1OORTbl[[#This Row],[COUNTY]])-2,1)*S1OORTbl[[#This Row],[UNRESTRICTED FUNDING %]]</f>
        <v>0</v>
      </c>
      <c r="W49" s="8" cm="1">
        <f t="array" ref="W49">INDEX(CountyScoresTbl[Farmworker Need Points Awarded],ROW(S1OORTbl[[#This Row],[COUNTY]])-2,1)*S1OORTbl[[#This Row],[UNRESTRICTED FUNDING %]]</f>
        <v>0</v>
      </c>
      <c r="X49" s="124"/>
      <c r="Y49" s="119"/>
      <c r="Z49" s="119"/>
      <c r="AA49" s="119"/>
      <c r="AB49" s="120"/>
      <c r="AC49" s="6">
        <f>IF(S1OORTbl[[#This Row],[TOTAL RURAL]]=0,0,S1OORTbl[[#This Row],[TOTAL RURAL]]/S1_OOR_RuralTotalRequested)</f>
        <v>0</v>
      </c>
      <c r="AD49" s="7">
        <f>IF(S1OORTbl[[#This Row],[ALL UNITS IN A HIGH OR HIGHEST RESOURCE AREA]]="Yes",10*S1OORTbl[[#This Row],[RURAL FUNDING %]],0)</f>
        <v>0</v>
      </c>
      <c r="AE49" s="7" cm="1">
        <f t="array" ref="AE49">INDEX(CountyScoresTbl[OOR Community Need],ROW(S1OORTbl[[#This Row],[COUNTY]])-2,1)*S1OORTbl[[#This Row],[RURAL FUNDING %]]</f>
        <v>0</v>
      </c>
      <c r="AF49" s="7" cm="1">
        <f t="array" ref="AF49">INDEX(CountyScoresTbl[OOR/ADU Total Feasibility Points Awarded],ROW(S1OORTbl[[#This Row],[COUNTY]])-2,1)*S1OORTbl[[#This Row],[RURAL FUNDING %]]</f>
        <v>0</v>
      </c>
      <c r="AG49" s="73" cm="1">
        <f t="array" ref="AG49">INDEX(CountyScoresTbl[Farmworker Need Points Awarded],ROW(S1OORTbl[[#This Row],[COUNTY]])-2,1)*S1OORTbl[[#This Row],[RURAL FUNDING %]]</f>
        <v>0</v>
      </c>
      <c r="AH49" s="564"/>
      <c r="AI49" s="664">
        <f>SUM(S1OORTbl[[#This Row],[UNRESTRICTED ADF]],S1OORTbl[[#This Row],[Unrestricted Funds Requesting]])</f>
        <v>0</v>
      </c>
      <c r="AJ49" s="564"/>
      <c r="AK49" s="664">
        <f>SUM(S1OORTbl[[#This Row],[Rural Funds Requesting]],S1OORTbl[[#This Row],[RURAL ADF]])</f>
        <v>0</v>
      </c>
    </row>
    <row r="50" spans="1:37" x14ac:dyDescent="0.35">
      <c r="A50" s="116"/>
      <c r="B50" s="5" t="s">
        <v>162</v>
      </c>
      <c r="C50" s="31" t="s">
        <v>513</v>
      </c>
      <c r="D50" s="109" t="str">
        <f>IF(SUM(S1OORTbl[[#This Row],[Unrestricted Repair Units]:[Unrestricted ADU Reconstruct Units]])=0,"",SUM(S1OORTbl[[#This Row],[Unrestricted Repair Units]:[Unrestricted ADU Reconstruct Units]]))</f>
        <v/>
      </c>
      <c r="E50" s="74" t="str">
        <f xml:space="preserve">
IF(S1OORTbl[[#This Row],[TOTAL UNRESTRICTED]]=0,"",
S1OORTbl[[#This Row],[TOTAL UNRESTRICTED]]*
IF(S1_OOR_UnrestrictedTotalRequested&lt;=5000000,1,
5000000/S1_OOR_UnrestrictedTotalRequested)
)</f>
        <v/>
      </c>
      <c r="F50" s="6" t="str">
        <f>IF(S1OORTbl[[#This Row],[UNRESTRICTED FUNDING %]]=0,"",S1OORTbl[[#This Row],[UNRESTRICTED FUNDING %]])</f>
        <v/>
      </c>
      <c r="G50" s="31" t="s">
        <v>513</v>
      </c>
      <c r="H50" s="109" t="str">
        <f>IF(SUM(S1OORTbl[[#This Row],[Rural Repair Units]:[Rural ADU Reconstruct Units]])=0,"",SUM(S1OORTbl[[#This Row],[Rural Repair Units]:[Rural ADU Reconstruct Units]]))</f>
        <v/>
      </c>
      <c r="I50" s="74" t="str">
        <f xml:space="preserve">
IF(S1OORTbl[[#This Row],[TOTAL RURAL]]=0,"",
S1OORTbl[[#This Row],[TOTAL RURAL]]*
IF(S1_OOR_RuralTotalRequested&lt;=(5000000-E$61),1,
(5000000-E$61)/S1_OOR_RuralTotalRequested)
)</f>
        <v/>
      </c>
      <c r="J50" s="6" t="str">
        <f>IF(S1OORTbl[[#This Row],[RURAL FUNDING %]]=0,"",S1OORTbl[[#This Row],[RURAL FUNDING %]])</f>
        <v/>
      </c>
      <c r="K50" s="31" t="s">
        <v>513</v>
      </c>
      <c r="L50" s="124"/>
      <c r="M50" s="197"/>
      <c r="N50" s="124"/>
      <c r="O50" s="119"/>
      <c r="P50" s="119"/>
      <c r="Q50" s="119"/>
      <c r="R50" s="269"/>
      <c r="S50" s="6">
        <f>IF(S1OORTbl[[#This Row],[TOTAL UNRESTRICTED]]=0,0,S1OORTbl[[#This Row],[TOTAL UNRESTRICTED]]/S1_OOR_UnrestrictedTotalRequested)</f>
        <v>0</v>
      </c>
      <c r="T50" s="7">
        <f>IF(S1OORTbl[[#This Row],[ALL UNITS IN A HIGH OR HIGHEST RESOURCE AREA]]="Yes",10*S1OORTbl[[#This Row],[UNRESTRICTED FUNDING %]],0)</f>
        <v>0</v>
      </c>
      <c r="U50" s="7" cm="1">
        <f t="array" ref="U50">INDEX(CountyScoresTbl[OOR Community Need],ROW(S1OORTbl[[#This Row],[COUNTY]])-2,1)*S1OORTbl[[#This Row],[UNRESTRICTED FUNDING %]]</f>
        <v>0</v>
      </c>
      <c r="V50" s="7" cm="1">
        <f t="array" ref="V50">INDEX(CountyScoresTbl[OOR/ADU Total Feasibility Points Awarded],ROW(S1OORTbl[[#This Row],[COUNTY]])-2,1)*S1OORTbl[[#This Row],[UNRESTRICTED FUNDING %]]</f>
        <v>0</v>
      </c>
      <c r="W50" s="8" cm="1">
        <f t="array" ref="W50">INDEX(CountyScoresTbl[Farmworker Need Points Awarded],ROW(S1OORTbl[[#This Row],[COUNTY]])-2,1)*S1OORTbl[[#This Row],[UNRESTRICTED FUNDING %]]</f>
        <v>0</v>
      </c>
      <c r="X50" s="124"/>
      <c r="Y50" s="119"/>
      <c r="Z50" s="119"/>
      <c r="AA50" s="119"/>
      <c r="AB50" s="120"/>
      <c r="AC50" s="6">
        <f>IF(S1OORTbl[[#This Row],[TOTAL RURAL]]=0,0,S1OORTbl[[#This Row],[TOTAL RURAL]]/S1_OOR_RuralTotalRequested)</f>
        <v>0</v>
      </c>
      <c r="AD50" s="7">
        <f>IF(S1OORTbl[[#This Row],[ALL UNITS IN A HIGH OR HIGHEST RESOURCE AREA]]="Yes",10*S1OORTbl[[#This Row],[RURAL FUNDING %]],0)</f>
        <v>0</v>
      </c>
      <c r="AE50" s="7" cm="1">
        <f t="array" ref="AE50">INDEX(CountyScoresTbl[OOR Community Need],ROW(S1OORTbl[[#This Row],[COUNTY]])-2,1)*S1OORTbl[[#This Row],[RURAL FUNDING %]]</f>
        <v>0</v>
      </c>
      <c r="AF50" s="7" cm="1">
        <f t="array" ref="AF50">INDEX(CountyScoresTbl[OOR/ADU Total Feasibility Points Awarded],ROW(S1OORTbl[[#This Row],[COUNTY]])-2,1)*S1OORTbl[[#This Row],[RURAL FUNDING %]]</f>
        <v>0</v>
      </c>
      <c r="AG50" s="73" cm="1">
        <f t="array" ref="AG50">INDEX(CountyScoresTbl[Farmworker Need Points Awarded],ROW(S1OORTbl[[#This Row],[COUNTY]])-2,1)*S1OORTbl[[#This Row],[RURAL FUNDING %]]</f>
        <v>0</v>
      </c>
      <c r="AH50" s="564"/>
      <c r="AI50" s="664">
        <f>SUM(S1OORTbl[[#This Row],[UNRESTRICTED ADF]],S1OORTbl[[#This Row],[Unrestricted Funds Requesting]])</f>
        <v>0</v>
      </c>
      <c r="AJ50" s="564"/>
      <c r="AK50" s="664">
        <f>SUM(S1OORTbl[[#This Row],[Rural Funds Requesting]],S1OORTbl[[#This Row],[RURAL ADF]])</f>
        <v>0</v>
      </c>
    </row>
    <row r="51" spans="1:37" x14ac:dyDescent="0.35">
      <c r="A51" s="116"/>
      <c r="B51" s="5" t="s">
        <v>163</v>
      </c>
      <c r="C51" s="31" t="s">
        <v>513</v>
      </c>
      <c r="D51" s="109" t="str">
        <f>IF(SUM(S1OORTbl[[#This Row],[Unrestricted Repair Units]:[Unrestricted ADU Reconstruct Units]])=0,"",SUM(S1OORTbl[[#This Row],[Unrestricted Repair Units]:[Unrestricted ADU Reconstruct Units]]))</f>
        <v/>
      </c>
      <c r="E51" s="74" t="str">
        <f xml:space="preserve">
IF(S1OORTbl[[#This Row],[TOTAL UNRESTRICTED]]=0,"",
S1OORTbl[[#This Row],[TOTAL UNRESTRICTED]]*
IF(S1_OOR_UnrestrictedTotalRequested&lt;=5000000,1,
5000000/S1_OOR_UnrestrictedTotalRequested)
)</f>
        <v/>
      </c>
      <c r="F51" s="6" t="str">
        <f>IF(S1OORTbl[[#This Row],[UNRESTRICTED FUNDING %]]=0,"",S1OORTbl[[#This Row],[UNRESTRICTED FUNDING %]])</f>
        <v/>
      </c>
      <c r="G51" s="31" t="s">
        <v>513</v>
      </c>
      <c r="H51" s="109" t="str">
        <f>IF(SUM(S1OORTbl[[#This Row],[Rural Repair Units]:[Rural ADU Reconstruct Units]])=0,"",SUM(S1OORTbl[[#This Row],[Rural Repair Units]:[Rural ADU Reconstruct Units]]))</f>
        <v/>
      </c>
      <c r="I51" s="74" t="str">
        <f xml:space="preserve">
IF(S1OORTbl[[#This Row],[TOTAL RURAL]]=0,"",
S1OORTbl[[#This Row],[TOTAL RURAL]]*
IF(S1_OOR_RuralTotalRequested&lt;=(5000000-E$61),1,
(5000000-E$61)/S1_OOR_RuralTotalRequested)
)</f>
        <v/>
      </c>
      <c r="J51" s="6" t="str">
        <f>IF(S1OORTbl[[#This Row],[RURAL FUNDING %]]=0,"",S1OORTbl[[#This Row],[RURAL FUNDING %]])</f>
        <v/>
      </c>
      <c r="K51" s="31" t="s">
        <v>513</v>
      </c>
      <c r="L51" s="124"/>
      <c r="M51" s="197"/>
      <c r="N51" s="124"/>
      <c r="O51" s="119"/>
      <c r="P51" s="119"/>
      <c r="Q51" s="119"/>
      <c r="R51" s="269"/>
      <c r="S51" s="6">
        <f>IF(S1OORTbl[[#This Row],[TOTAL UNRESTRICTED]]=0,0,S1OORTbl[[#This Row],[TOTAL UNRESTRICTED]]/S1_OOR_UnrestrictedTotalRequested)</f>
        <v>0</v>
      </c>
      <c r="T51" s="7">
        <f>IF(S1OORTbl[[#This Row],[ALL UNITS IN A HIGH OR HIGHEST RESOURCE AREA]]="Yes",10*S1OORTbl[[#This Row],[UNRESTRICTED FUNDING %]],0)</f>
        <v>0</v>
      </c>
      <c r="U51" s="7" cm="1">
        <f t="array" ref="U51">INDEX(CountyScoresTbl[OOR Community Need],ROW(S1OORTbl[[#This Row],[COUNTY]])-2,1)*S1OORTbl[[#This Row],[UNRESTRICTED FUNDING %]]</f>
        <v>0</v>
      </c>
      <c r="V51" s="7" cm="1">
        <f t="array" ref="V51">INDEX(CountyScoresTbl[OOR/ADU Total Feasibility Points Awarded],ROW(S1OORTbl[[#This Row],[COUNTY]])-2,1)*S1OORTbl[[#This Row],[UNRESTRICTED FUNDING %]]</f>
        <v>0</v>
      </c>
      <c r="W51" s="8" cm="1">
        <f t="array" ref="W51">INDEX(CountyScoresTbl[Farmworker Need Points Awarded],ROW(S1OORTbl[[#This Row],[COUNTY]])-2,1)*S1OORTbl[[#This Row],[UNRESTRICTED FUNDING %]]</f>
        <v>0</v>
      </c>
      <c r="X51" s="124"/>
      <c r="Y51" s="119"/>
      <c r="Z51" s="119"/>
      <c r="AA51" s="119"/>
      <c r="AB51" s="120"/>
      <c r="AC51" s="6">
        <f>IF(S1OORTbl[[#This Row],[TOTAL RURAL]]=0,0,S1OORTbl[[#This Row],[TOTAL RURAL]]/S1_OOR_RuralTotalRequested)</f>
        <v>0</v>
      </c>
      <c r="AD51" s="7">
        <f>IF(S1OORTbl[[#This Row],[ALL UNITS IN A HIGH OR HIGHEST RESOURCE AREA]]="Yes",10*S1OORTbl[[#This Row],[RURAL FUNDING %]],0)</f>
        <v>0</v>
      </c>
      <c r="AE51" s="7" cm="1">
        <f t="array" ref="AE51">INDEX(CountyScoresTbl[OOR Community Need],ROW(S1OORTbl[[#This Row],[COUNTY]])-2,1)*S1OORTbl[[#This Row],[RURAL FUNDING %]]</f>
        <v>0</v>
      </c>
      <c r="AF51" s="7" cm="1">
        <f t="array" ref="AF51">INDEX(CountyScoresTbl[OOR/ADU Total Feasibility Points Awarded],ROW(S1OORTbl[[#This Row],[COUNTY]])-2,1)*S1OORTbl[[#This Row],[RURAL FUNDING %]]</f>
        <v>0</v>
      </c>
      <c r="AG51" s="73" cm="1">
        <f t="array" ref="AG51">INDEX(CountyScoresTbl[Farmworker Need Points Awarded],ROW(S1OORTbl[[#This Row],[COUNTY]])-2,1)*S1OORTbl[[#This Row],[RURAL FUNDING %]]</f>
        <v>0</v>
      </c>
      <c r="AH51" s="564"/>
      <c r="AI51" s="664">
        <f>SUM(S1OORTbl[[#This Row],[UNRESTRICTED ADF]],S1OORTbl[[#This Row],[Unrestricted Funds Requesting]])</f>
        <v>0</v>
      </c>
      <c r="AJ51" s="564"/>
      <c r="AK51" s="664">
        <f>SUM(S1OORTbl[[#This Row],[Rural Funds Requesting]],S1OORTbl[[#This Row],[RURAL ADF]])</f>
        <v>0</v>
      </c>
    </row>
    <row r="52" spans="1:37" x14ac:dyDescent="0.35">
      <c r="A52" s="116"/>
      <c r="B52" s="5" t="s">
        <v>164</v>
      </c>
      <c r="C52" s="31" t="s">
        <v>513</v>
      </c>
      <c r="D52" s="109" t="str">
        <f>IF(SUM(S1OORTbl[[#This Row],[Unrestricted Repair Units]:[Unrestricted ADU Reconstruct Units]])=0,"",SUM(S1OORTbl[[#This Row],[Unrestricted Repair Units]:[Unrestricted ADU Reconstruct Units]]))</f>
        <v/>
      </c>
      <c r="E52" s="74" t="str">
        <f xml:space="preserve">
IF(S1OORTbl[[#This Row],[TOTAL UNRESTRICTED]]=0,"",
S1OORTbl[[#This Row],[TOTAL UNRESTRICTED]]*
IF(S1_OOR_UnrestrictedTotalRequested&lt;=5000000,1,
5000000/S1_OOR_UnrestrictedTotalRequested)
)</f>
        <v/>
      </c>
      <c r="F52" s="6" t="str">
        <f>IF(S1OORTbl[[#This Row],[UNRESTRICTED FUNDING %]]=0,"",S1OORTbl[[#This Row],[UNRESTRICTED FUNDING %]])</f>
        <v/>
      </c>
      <c r="G52" s="31" t="s">
        <v>513</v>
      </c>
      <c r="H52" s="109" t="str">
        <f>IF(SUM(S1OORTbl[[#This Row],[Rural Repair Units]:[Rural ADU Reconstruct Units]])=0,"",SUM(S1OORTbl[[#This Row],[Rural Repair Units]:[Rural ADU Reconstruct Units]]))</f>
        <v/>
      </c>
      <c r="I52" s="74" t="str">
        <f xml:space="preserve">
IF(S1OORTbl[[#This Row],[TOTAL RURAL]]=0,"",
S1OORTbl[[#This Row],[TOTAL RURAL]]*
IF(S1_OOR_RuralTotalRequested&lt;=(5000000-E$61),1,
(5000000-E$61)/S1_OOR_RuralTotalRequested)
)</f>
        <v/>
      </c>
      <c r="J52" s="6" t="str">
        <f>IF(S1OORTbl[[#This Row],[RURAL FUNDING %]]=0,"",S1OORTbl[[#This Row],[RURAL FUNDING %]])</f>
        <v/>
      </c>
      <c r="K52" s="31" t="s">
        <v>513</v>
      </c>
      <c r="L52" s="124"/>
      <c r="M52" s="197"/>
      <c r="N52" s="124"/>
      <c r="O52" s="119"/>
      <c r="P52" s="119"/>
      <c r="Q52" s="119"/>
      <c r="R52" s="269"/>
      <c r="S52" s="6">
        <f>IF(S1OORTbl[[#This Row],[TOTAL UNRESTRICTED]]=0,0,S1OORTbl[[#This Row],[TOTAL UNRESTRICTED]]/S1_OOR_UnrestrictedTotalRequested)</f>
        <v>0</v>
      </c>
      <c r="T52" s="7">
        <f>IF(S1OORTbl[[#This Row],[ALL UNITS IN A HIGH OR HIGHEST RESOURCE AREA]]="Yes",10*S1OORTbl[[#This Row],[UNRESTRICTED FUNDING %]],0)</f>
        <v>0</v>
      </c>
      <c r="U52" s="7" cm="1">
        <f t="array" ref="U52">INDEX(CountyScoresTbl[OOR Community Need],ROW(S1OORTbl[[#This Row],[COUNTY]])-2,1)*S1OORTbl[[#This Row],[UNRESTRICTED FUNDING %]]</f>
        <v>0</v>
      </c>
      <c r="V52" s="7" cm="1">
        <f t="array" ref="V52">INDEX(CountyScoresTbl[OOR/ADU Total Feasibility Points Awarded],ROW(S1OORTbl[[#This Row],[COUNTY]])-2,1)*S1OORTbl[[#This Row],[UNRESTRICTED FUNDING %]]</f>
        <v>0</v>
      </c>
      <c r="W52" s="8" cm="1">
        <f t="array" ref="W52">INDEX(CountyScoresTbl[Farmworker Need Points Awarded],ROW(S1OORTbl[[#This Row],[COUNTY]])-2,1)*S1OORTbl[[#This Row],[UNRESTRICTED FUNDING %]]</f>
        <v>0</v>
      </c>
      <c r="X52" s="124"/>
      <c r="Y52" s="119"/>
      <c r="Z52" s="119"/>
      <c r="AA52" s="119"/>
      <c r="AB52" s="120"/>
      <c r="AC52" s="6">
        <f>IF(S1OORTbl[[#This Row],[TOTAL RURAL]]=0,0,S1OORTbl[[#This Row],[TOTAL RURAL]]/S1_OOR_RuralTotalRequested)</f>
        <v>0</v>
      </c>
      <c r="AD52" s="7">
        <f>IF(S1OORTbl[[#This Row],[ALL UNITS IN A HIGH OR HIGHEST RESOURCE AREA]]="Yes",10*S1OORTbl[[#This Row],[RURAL FUNDING %]],0)</f>
        <v>0</v>
      </c>
      <c r="AE52" s="7" cm="1">
        <f t="array" ref="AE52">INDEX(CountyScoresTbl[OOR Community Need],ROW(S1OORTbl[[#This Row],[COUNTY]])-2,1)*S1OORTbl[[#This Row],[RURAL FUNDING %]]</f>
        <v>0</v>
      </c>
      <c r="AF52" s="7" cm="1">
        <f t="array" ref="AF52">INDEX(CountyScoresTbl[OOR/ADU Total Feasibility Points Awarded],ROW(S1OORTbl[[#This Row],[COUNTY]])-2,1)*S1OORTbl[[#This Row],[RURAL FUNDING %]]</f>
        <v>0</v>
      </c>
      <c r="AG52" s="73" cm="1">
        <f t="array" ref="AG52">INDEX(CountyScoresTbl[Farmworker Need Points Awarded],ROW(S1OORTbl[[#This Row],[COUNTY]])-2,1)*S1OORTbl[[#This Row],[RURAL FUNDING %]]</f>
        <v>0</v>
      </c>
      <c r="AH52" s="564"/>
      <c r="AI52" s="664">
        <f>SUM(S1OORTbl[[#This Row],[UNRESTRICTED ADF]],S1OORTbl[[#This Row],[Unrestricted Funds Requesting]])</f>
        <v>0</v>
      </c>
      <c r="AJ52" s="564"/>
      <c r="AK52" s="664">
        <f>SUM(S1OORTbl[[#This Row],[Rural Funds Requesting]],S1OORTbl[[#This Row],[RURAL ADF]])</f>
        <v>0</v>
      </c>
    </row>
    <row r="53" spans="1:37" x14ac:dyDescent="0.35">
      <c r="A53" s="116"/>
      <c r="B53" s="5" t="s">
        <v>165</v>
      </c>
      <c r="C53" s="31" t="s">
        <v>513</v>
      </c>
      <c r="D53" s="109" t="str">
        <f>IF(SUM(S1OORTbl[[#This Row],[Unrestricted Repair Units]:[Unrestricted ADU Reconstruct Units]])=0,"",SUM(S1OORTbl[[#This Row],[Unrestricted Repair Units]:[Unrestricted ADU Reconstruct Units]]))</f>
        <v/>
      </c>
      <c r="E53" s="74" t="str">
        <f xml:space="preserve">
IF(S1OORTbl[[#This Row],[TOTAL UNRESTRICTED]]=0,"",
S1OORTbl[[#This Row],[TOTAL UNRESTRICTED]]*
IF(S1_OOR_UnrestrictedTotalRequested&lt;=5000000,1,
5000000/S1_OOR_UnrestrictedTotalRequested)
)</f>
        <v/>
      </c>
      <c r="F53" s="6" t="str">
        <f>IF(S1OORTbl[[#This Row],[UNRESTRICTED FUNDING %]]=0,"",S1OORTbl[[#This Row],[UNRESTRICTED FUNDING %]])</f>
        <v/>
      </c>
      <c r="G53" s="31" t="s">
        <v>513</v>
      </c>
      <c r="H53" s="109" t="str">
        <f>IF(SUM(S1OORTbl[[#This Row],[Rural Repair Units]:[Rural ADU Reconstruct Units]])=0,"",SUM(S1OORTbl[[#This Row],[Rural Repair Units]:[Rural ADU Reconstruct Units]]))</f>
        <v/>
      </c>
      <c r="I53" s="74" t="str">
        <f xml:space="preserve">
IF(S1OORTbl[[#This Row],[TOTAL RURAL]]=0,"",
S1OORTbl[[#This Row],[TOTAL RURAL]]*
IF(S1_OOR_RuralTotalRequested&lt;=(5000000-E$61),1,
(5000000-E$61)/S1_OOR_RuralTotalRequested)
)</f>
        <v/>
      </c>
      <c r="J53" s="6" t="str">
        <f>IF(S1OORTbl[[#This Row],[RURAL FUNDING %]]=0,"",S1OORTbl[[#This Row],[RURAL FUNDING %]])</f>
        <v/>
      </c>
      <c r="K53" s="31" t="s">
        <v>513</v>
      </c>
      <c r="L53" s="124"/>
      <c r="M53" s="197"/>
      <c r="N53" s="124"/>
      <c r="O53" s="119"/>
      <c r="P53" s="119"/>
      <c r="Q53" s="119"/>
      <c r="R53" s="269"/>
      <c r="S53" s="6">
        <f>IF(S1OORTbl[[#This Row],[TOTAL UNRESTRICTED]]=0,0,S1OORTbl[[#This Row],[TOTAL UNRESTRICTED]]/S1_OOR_UnrestrictedTotalRequested)</f>
        <v>0</v>
      </c>
      <c r="T53" s="7">
        <f>IF(S1OORTbl[[#This Row],[ALL UNITS IN A HIGH OR HIGHEST RESOURCE AREA]]="Yes",10*S1OORTbl[[#This Row],[UNRESTRICTED FUNDING %]],0)</f>
        <v>0</v>
      </c>
      <c r="U53" s="7" cm="1">
        <f t="array" ref="U53">INDEX(CountyScoresTbl[OOR Community Need],ROW(S1OORTbl[[#This Row],[COUNTY]])-2,1)*S1OORTbl[[#This Row],[UNRESTRICTED FUNDING %]]</f>
        <v>0</v>
      </c>
      <c r="V53" s="7" cm="1">
        <f t="array" ref="V53">INDEX(CountyScoresTbl[OOR/ADU Total Feasibility Points Awarded],ROW(S1OORTbl[[#This Row],[COUNTY]])-2,1)*S1OORTbl[[#This Row],[UNRESTRICTED FUNDING %]]</f>
        <v>0</v>
      </c>
      <c r="W53" s="8" cm="1">
        <f t="array" ref="W53">INDEX(CountyScoresTbl[Farmworker Need Points Awarded],ROW(S1OORTbl[[#This Row],[COUNTY]])-2,1)*S1OORTbl[[#This Row],[UNRESTRICTED FUNDING %]]</f>
        <v>0</v>
      </c>
      <c r="X53" s="124"/>
      <c r="Y53" s="119"/>
      <c r="Z53" s="119"/>
      <c r="AA53" s="119"/>
      <c r="AB53" s="120"/>
      <c r="AC53" s="6">
        <f>IF(S1OORTbl[[#This Row],[TOTAL RURAL]]=0,0,S1OORTbl[[#This Row],[TOTAL RURAL]]/S1_OOR_RuralTotalRequested)</f>
        <v>0</v>
      </c>
      <c r="AD53" s="7">
        <f>IF(S1OORTbl[[#This Row],[ALL UNITS IN A HIGH OR HIGHEST RESOURCE AREA]]="Yes",10*S1OORTbl[[#This Row],[RURAL FUNDING %]],0)</f>
        <v>0</v>
      </c>
      <c r="AE53" s="7" cm="1">
        <f t="array" ref="AE53">INDEX(CountyScoresTbl[OOR Community Need],ROW(S1OORTbl[[#This Row],[COUNTY]])-2,1)*S1OORTbl[[#This Row],[RURAL FUNDING %]]</f>
        <v>0</v>
      </c>
      <c r="AF53" s="7" cm="1">
        <f t="array" ref="AF53">INDEX(CountyScoresTbl[OOR/ADU Total Feasibility Points Awarded],ROW(S1OORTbl[[#This Row],[COUNTY]])-2,1)*S1OORTbl[[#This Row],[RURAL FUNDING %]]</f>
        <v>0</v>
      </c>
      <c r="AG53" s="73" cm="1">
        <f t="array" ref="AG53">INDEX(CountyScoresTbl[Farmworker Need Points Awarded],ROW(S1OORTbl[[#This Row],[COUNTY]])-2,1)*S1OORTbl[[#This Row],[RURAL FUNDING %]]</f>
        <v>0</v>
      </c>
      <c r="AH53" s="564"/>
      <c r="AI53" s="664">
        <f>SUM(S1OORTbl[[#This Row],[UNRESTRICTED ADF]],S1OORTbl[[#This Row],[Unrestricted Funds Requesting]])</f>
        <v>0</v>
      </c>
      <c r="AJ53" s="564"/>
      <c r="AK53" s="664">
        <f>SUM(S1OORTbl[[#This Row],[Rural Funds Requesting]],S1OORTbl[[#This Row],[RURAL ADF]])</f>
        <v>0</v>
      </c>
    </row>
    <row r="54" spans="1:37" x14ac:dyDescent="0.35">
      <c r="A54" s="116"/>
      <c r="B54" s="5" t="s">
        <v>166</v>
      </c>
      <c r="C54" s="31" t="s">
        <v>513</v>
      </c>
      <c r="D54" s="109" t="str">
        <f>IF(SUM(S1OORTbl[[#This Row],[Unrestricted Repair Units]:[Unrestricted ADU Reconstruct Units]])=0,"",SUM(S1OORTbl[[#This Row],[Unrestricted Repair Units]:[Unrestricted ADU Reconstruct Units]]))</f>
        <v/>
      </c>
      <c r="E54" s="74" t="str">
        <f xml:space="preserve">
IF(S1OORTbl[[#This Row],[TOTAL UNRESTRICTED]]=0,"",
S1OORTbl[[#This Row],[TOTAL UNRESTRICTED]]*
IF(S1_OOR_UnrestrictedTotalRequested&lt;=5000000,1,
5000000/S1_OOR_UnrestrictedTotalRequested)
)</f>
        <v/>
      </c>
      <c r="F54" s="6" t="str">
        <f>IF(S1OORTbl[[#This Row],[UNRESTRICTED FUNDING %]]=0,"",S1OORTbl[[#This Row],[UNRESTRICTED FUNDING %]])</f>
        <v/>
      </c>
      <c r="G54" s="31" t="s">
        <v>513</v>
      </c>
      <c r="H54" s="109" t="str">
        <f>IF(SUM(S1OORTbl[[#This Row],[Rural Repair Units]:[Rural ADU Reconstruct Units]])=0,"",SUM(S1OORTbl[[#This Row],[Rural Repair Units]:[Rural ADU Reconstruct Units]]))</f>
        <v/>
      </c>
      <c r="I54" s="74" t="str">
        <f xml:space="preserve">
IF(S1OORTbl[[#This Row],[TOTAL RURAL]]=0,"",
S1OORTbl[[#This Row],[TOTAL RURAL]]*
IF(S1_OOR_RuralTotalRequested&lt;=(5000000-E$61),1,
(5000000-E$61)/S1_OOR_RuralTotalRequested)
)</f>
        <v/>
      </c>
      <c r="J54" s="6" t="str">
        <f>IF(S1OORTbl[[#This Row],[RURAL FUNDING %]]=0,"",S1OORTbl[[#This Row],[RURAL FUNDING %]])</f>
        <v/>
      </c>
      <c r="K54" s="31" t="s">
        <v>513</v>
      </c>
      <c r="L54" s="124"/>
      <c r="M54" s="197"/>
      <c r="N54" s="124"/>
      <c r="O54" s="119"/>
      <c r="P54" s="119"/>
      <c r="Q54" s="119"/>
      <c r="R54" s="269"/>
      <c r="S54" s="6">
        <f>IF(S1OORTbl[[#This Row],[TOTAL UNRESTRICTED]]=0,0,S1OORTbl[[#This Row],[TOTAL UNRESTRICTED]]/S1_OOR_UnrestrictedTotalRequested)</f>
        <v>0</v>
      </c>
      <c r="T54" s="7">
        <f>IF(S1OORTbl[[#This Row],[ALL UNITS IN A HIGH OR HIGHEST RESOURCE AREA]]="Yes",10*S1OORTbl[[#This Row],[UNRESTRICTED FUNDING %]],0)</f>
        <v>0</v>
      </c>
      <c r="U54" s="7" cm="1">
        <f t="array" ref="U54">INDEX(CountyScoresTbl[OOR Community Need],ROW(S1OORTbl[[#This Row],[COUNTY]])-2,1)*S1OORTbl[[#This Row],[UNRESTRICTED FUNDING %]]</f>
        <v>0</v>
      </c>
      <c r="V54" s="7" cm="1">
        <f t="array" ref="V54">INDEX(CountyScoresTbl[OOR/ADU Total Feasibility Points Awarded],ROW(S1OORTbl[[#This Row],[COUNTY]])-2,1)*S1OORTbl[[#This Row],[UNRESTRICTED FUNDING %]]</f>
        <v>0</v>
      </c>
      <c r="W54" s="8" cm="1">
        <f t="array" ref="W54">INDEX(CountyScoresTbl[Farmworker Need Points Awarded],ROW(S1OORTbl[[#This Row],[COUNTY]])-2,1)*S1OORTbl[[#This Row],[UNRESTRICTED FUNDING %]]</f>
        <v>0</v>
      </c>
      <c r="X54" s="124"/>
      <c r="Y54" s="119"/>
      <c r="Z54" s="119"/>
      <c r="AA54" s="119"/>
      <c r="AB54" s="120"/>
      <c r="AC54" s="6">
        <f>IF(S1OORTbl[[#This Row],[TOTAL RURAL]]=0,0,S1OORTbl[[#This Row],[TOTAL RURAL]]/S1_OOR_RuralTotalRequested)</f>
        <v>0</v>
      </c>
      <c r="AD54" s="7">
        <f>IF(S1OORTbl[[#This Row],[ALL UNITS IN A HIGH OR HIGHEST RESOURCE AREA]]="Yes",10*S1OORTbl[[#This Row],[RURAL FUNDING %]],0)</f>
        <v>0</v>
      </c>
      <c r="AE54" s="7" cm="1">
        <f t="array" ref="AE54">INDEX(CountyScoresTbl[OOR Community Need],ROW(S1OORTbl[[#This Row],[COUNTY]])-2,1)*S1OORTbl[[#This Row],[RURAL FUNDING %]]</f>
        <v>0</v>
      </c>
      <c r="AF54" s="7" cm="1">
        <f t="array" ref="AF54">INDEX(CountyScoresTbl[OOR/ADU Total Feasibility Points Awarded],ROW(S1OORTbl[[#This Row],[COUNTY]])-2,1)*S1OORTbl[[#This Row],[RURAL FUNDING %]]</f>
        <v>0</v>
      </c>
      <c r="AG54" s="73" cm="1">
        <f t="array" ref="AG54">INDEX(CountyScoresTbl[Farmworker Need Points Awarded],ROW(S1OORTbl[[#This Row],[COUNTY]])-2,1)*S1OORTbl[[#This Row],[RURAL FUNDING %]]</f>
        <v>0</v>
      </c>
      <c r="AH54" s="564"/>
      <c r="AI54" s="664">
        <f>SUM(S1OORTbl[[#This Row],[UNRESTRICTED ADF]],S1OORTbl[[#This Row],[Unrestricted Funds Requesting]])</f>
        <v>0</v>
      </c>
      <c r="AJ54" s="564"/>
      <c r="AK54" s="664">
        <f>SUM(S1OORTbl[[#This Row],[Rural Funds Requesting]],S1OORTbl[[#This Row],[RURAL ADF]])</f>
        <v>0</v>
      </c>
    </row>
    <row r="55" spans="1:37" x14ac:dyDescent="0.35">
      <c r="A55" s="116"/>
      <c r="B55" s="5" t="s">
        <v>167</v>
      </c>
      <c r="C55" s="31" t="s">
        <v>513</v>
      </c>
      <c r="D55" s="109" t="str">
        <f>IF(SUM(S1OORTbl[[#This Row],[Unrestricted Repair Units]:[Unrestricted ADU Reconstruct Units]])=0,"",SUM(S1OORTbl[[#This Row],[Unrestricted Repair Units]:[Unrestricted ADU Reconstruct Units]]))</f>
        <v/>
      </c>
      <c r="E55" s="74" t="str">
        <f xml:space="preserve">
IF(S1OORTbl[[#This Row],[TOTAL UNRESTRICTED]]=0,"",
S1OORTbl[[#This Row],[TOTAL UNRESTRICTED]]*
IF(S1_OOR_UnrestrictedTotalRequested&lt;=5000000,1,
5000000/S1_OOR_UnrestrictedTotalRequested)
)</f>
        <v/>
      </c>
      <c r="F55" s="6" t="str">
        <f>IF(S1OORTbl[[#This Row],[UNRESTRICTED FUNDING %]]=0,"",S1OORTbl[[#This Row],[UNRESTRICTED FUNDING %]])</f>
        <v/>
      </c>
      <c r="G55" s="31" t="s">
        <v>513</v>
      </c>
      <c r="H55" s="109" t="str">
        <f>IF(SUM(S1OORTbl[[#This Row],[Rural Repair Units]:[Rural ADU Reconstruct Units]])=0,"",SUM(S1OORTbl[[#This Row],[Rural Repair Units]:[Rural ADU Reconstruct Units]]))</f>
        <v/>
      </c>
      <c r="I55" s="74" t="str">
        <f xml:space="preserve">
IF(S1OORTbl[[#This Row],[TOTAL RURAL]]=0,"",
S1OORTbl[[#This Row],[TOTAL RURAL]]*
IF(S1_OOR_RuralTotalRequested&lt;=(5000000-E$61),1,
(5000000-E$61)/S1_OOR_RuralTotalRequested)
)</f>
        <v/>
      </c>
      <c r="J55" s="6" t="str">
        <f>IF(S1OORTbl[[#This Row],[RURAL FUNDING %]]=0,"",S1OORTbl[[#This Row],[RURAL FUNDING %]])</f>
        <v/>
      </c>
      <c r="K55" s="31" t="s">
        <v>513</v>
      </c>
      <c r="L55" s="124"/>
      <c r="M55" s="197"/>
      <c r="N55" s="124"/>
      <c r="O55" s="119"/>
      <c r="P55" s="119"/>
      <c r="Q55" s="119"/>
      <c r="R55" s="269"/>
      <c r="S55" s="6">
        <f>IF(S1OORTbl[[#This Row],[TOTAL UNRESTRICTED]]=0,0,S1OORTbl[[#This Row],[TOTAL UNRESTRICTED]]/S1_OOR_UnrestrictedTotalRequested)</f>
        <v>0</v>
      </c>
      <c r="T55" s="7">
        <f>IF(S1OORTbl[[#This Row],[ALL UNITS IN A HIGH OR HIGHEST RESOURCE AREA]]="Yes",10*S1OORTbl[[#This Row],[UNRESTRICTED FUNDING %]],0)</f>
        <v>0</v>
      </c>
      <c r="U55" s="7" cm="1">
        <f t="array" ref="U55">INDEX(CountyScoresTbl[OOR Community Need],ROW(S1OORTbl[[#This Row],[COUNTY]])-2,1)*S1OORTbl[[#This Row],[UNRESTRICTED FUNDING %]]</f>
        <v>0</v>
      </c>
      <c r="V55" s="7" cm="1">
        <f t="array" ref="V55">INDEX(CountyScoresTbl[OOR/ADU Total Feasibility Points Awarded],ROW(S1OORTbl[[#This Row],[COUNTY]])-2,1)*S1OORTbl[[#This Row],[UNRESTRICTED FUNDING %]]</f>
        <v>0</v>
      </c>
      <c r="W55" s="8" cm="1">
        <f t="array" ref="W55">INDEX(CountyScoresTbl[Farmworker Need Points Awarded],ROW(S1OORTbl[[#This Row],[COUNTY]])-2,1)*S1OORTbl[[#This Row],[UNRESTRICTED FUNDING %]]</f>
        <v>0</v>
      </c>
      <c r="X55" s="124"/>
      <c r="Y55" s="119"/>
      <c r="Z55" s="119"/>
      <c r="AA55" s="119"/>
      <c r="AB55" s="120"/>
      <c r="AC55" s="6">
        <f>IF(S1OORTbl[[#This Row],[TOTAL RURAL]]=0,0,S1OORTbl[[#This Row],[TOTAL RURAL]]/S1_OOR_RuralTotalRequested)</f>
        <v>0</v>
      </c>
      <c r="AD55" s="7">
        <f>IF(S1OORTbl[[#This Row],[ALL UNITS IN A HIGH OR HIGHEST RESOURCE AREA]]="Yes",10*S1OORTbl[[#This Row],[RURAL FUNDING %]],0)</f>
        <v>0</v>
      </c>
      <c r="AE55" s="7" cm="1">
        <f t="array" ref="AE55">INDEX(CountyScoresTbl[OOR Community Need],ROW(S1OORTbl[[#This Row],[COUNTY]])-2,1)*S1OORTbl[[#This Row],[RURAL FUNDING %]]</f>
        <v>0</v>
      </c>
      <c r="AF55" s="7" cm="1">
        <f t="array" ref="AF55">INDEX(CountyScoresTbl[OOR/ADU Total Feasibility Points Awarded],ROW(S1OORTbl[[#This Row],[COUNTY]])-2,1)*S1OORTbl[[#This Row],[RURAL FUNDING %]]</f>
        <v>0</v>
      </c>
      <c r="AG55" s="73" cm="1">
        <f t="array" ref="AG55">INDEX(CountyScoresTbl[Farmworker Need Points Awarded],ROW(S1OORTbl[[#This Row],[COUNTY]])-2,1)*S1OORTbl[[#This Row],[RURAL FUNDING %]]</f>
        <v>0</v>
      </c>
      <c r="AH55" s="564"/>
      <c r="AI55" s="664">
        <f>SUM(S1OORTbl[[#This Row],[UNRESTRICTED ADF]],S1OORTbl[[#This Row],[Unrestricted Funds Requesting]])</f>
        <v>0</v>
      </c>
      <c r="AJ55" s="564"/>
      <c r="AK55" s="664">
        <f>SUM(S1OORTbl[[#This Row],[Rural Funds Requesting]],S1OORTbl[[#This Row],[RURAL ADF]])</f>
        <v>0</v>
      </c>
    </row>
    <row r="56" spans="1:37" x14ac:dyDescent="0.35">
      <c r="A56" s="116"/>
      <c r="B56" s="5" t="s">
        <v>168</v>
      </c>
      <c r="C56" s="31" t="s">
        <v>513</v>
      </c>
      <c r="D56" s="109" t="str">
        <f>IF(SUM(S1OORTbl[[#This Row],[Unrestricted Repair Units]:[Unrestricted ADU Reconstruct Units]])=0,"",SUM(S1OORTbl[[#This Row],[Unrestricted Repair Units]:[Unrestricted ADU Reconstruct Units]]))</f>
        <v/>
      </c>
      <c r="E56" s="74" t="str">
        <f xml:space="preserve">
IF(S1OORTbl[[#This Row],[TOTAL UNRESTRICTED]]=0,"",
S1OORTbl[[#This Row],[TOTAL UNRESTRICTED]]*
IF(S1_OOR_UnrestrictedTotalRequested&lt;=5000000,1,
5000000/S1_OOR_UnrestrictedTotalRequested)
)</f>
        <v/>
      </c>
      <c r="F56" s="6" t="str">
        <f>IF(S1OORTbl[[#This Row],[UNRESTRICTED FUNDING %]]=0,"",S1OORTbl[[#This Row],[UNRESTRICTED FUNDING %]])</f>
        <v/>
      </c>
      <c r="G56" s="31" t="s">
        <v>513</v>
      </c>
      <c r="H56" s="109" t="str">
        <f>IF(SUM(S1OORTbl[[#This Row],[Rural Repair Units]:[Rural ADU Reconstruct Units]])=0,"",SUM(S1OORTbl[[#This Row],[Rural Repair Units]:[Rural ADU Reconstruct Units]]))</f>
        <v/>
      </c>
      <c r="I56" s="74" t="str">
        <f xml:space="preserve">
IF(S1OORTbl[[#This Row],[TOTAL RURAL]]=0,"",
S1OORTbl[[#This Row],[TOTAL RURAL]]*
IF(S1_OOR_RuralTotalRequested&lt;=(5000000-E$61),1,
(5000000-E$61)/S1_OOR_RuralTotalRequested)
)</f>
        <v/>
      </c>
      <c r="J56" s="6" t="str">
        <f>IF(S1OORTbl[[#This Row],[RURAL FUNDING %]]=0,"",S1OORTbl[[#This Row],[RURAL FUNDING %]])</f>
        <v/>
      </c>
      <c r="K56" s="31" t="s">
        <v>513</v>
      </c>
      <c r="L56" s="124"/>
      <c r="M56" s="197"/>
      <c r="N56" s="124"/>
      <c r="O56" s="119"/>
      <c r="P56" s="119"/>
      <c r="Q56" s="119"/>
      <c r="R56" s="269"/>
      <c r="S56" s="6">
        <f>IF(S1OORTbl[[#This Row],[TOTAL UNRESTRICTED]]=0,0,S1OORTbl[[#This Row],[TOTAL UNRESTRICTED]]/S1_OOR_UnrestrictedTotalRequested)</f>
        <v>0</v>
      </c>
      <c r="T56" s="7">
        <f>IF(S1OORTbl[[#This Row],[ALL UNITS IN A HIGH OR HIGHEST RESOURCE AREA]]="Yes",10*S1OORTbl[[#This Row],[UNRESTRICTED FUNDING %]],0)</f>
        <v>0</v>
      </c>
      <c r="U56" s="7" cm="1">
        <f t="array" ref="U56">INDEX(CountyScoresTbl[OOR Community Need],ROW(S1OORTbl[[#This Row],[COUNTY]])-2,1)*S1OORTbl[[#This Row],[UNRESTRICTED FUNDING %]]</f>
        <v>0</v>
      </c>
      <c r="V56" s="7" cm="1">
        <f t="array" ref="V56">INDEX(CountyScoresTbl[OOR/ADU Total Feasibility Points Awarded],ROW(S1OORTbl[[#This Row],[COUNTY]])-2,1)*S1OORTbl[[#This Row],[UNRESTRICTED FUNDING %]]</f>
        <v>0</v>
      </c>
      <c r="W56" s="8" cm="1">
        <f t="array" ref="W56">INDEX(CountyScoresTbl[Farmworker Need Points Awarded],ROW(S1OORTbl[[#This Row],[COUNTY]])-2,1)*S1OORTbl[[#This Row],[UNRESTRICTED FUNDING %]]</f>
        <v>0</v>
      </c>
      <c r="X56" s="124"/>
      <c r="Y56" s="119"/>
      <c r="Z56" s="119"/>
      <c r="AA56" s="119"/>
      <c r="AB56" s="120"/>
      <c r="AC56" s="6">
        <f>IF(S1OORTbl[[#This Row],[TOTAL RURAL]]=0,0,S1OORTbl[[#This Row],[TOTAL RURAL]]/S1_OOR_RuralTotalRequested)</f>
        <v>0</v>
      </c>
      <c r="AD56" s="7">
        <f>IF(S1OORTbl[[#This Row],[ALL UNITS IN A HIGH OR HIGHEST RESOURCE AREA]]="Yes",10*S1OORTbl[[#This Row],[RURAL FUNDING %]],0)</f>
        <v>0</v>
      </c>
      <c r="AE56" s="7" cm="1">
        <f t="array" ref="AE56">INDEX(CountyScoresTbl[OOR Community Need],ROW(S1OORTbl[[#This Row],[COUNTY]])-2,1)*S1OORTbl[[#This Row],[RURAL FUNDING %]]</f>
        <v>0</v>
      </c>
      <c r="AF56" s="7" cm="1">
        <f t="array" ref="AF56">INDEX(CountyScoresTbl[OOR/ADU Total Feasibility Points Awarded],ROW(S1OORTbl[[#This Row],[COUNTY]])-2,1)*S1OORTbl[[#This Row],[RURAL FUNDING %]]</f>
        <v>0</v>
      </c>
      <c r="AG56" s="73" cm="1">
        <f t="array" ref="AG56">INDEX(CountyScoresTbl[Farmworker Need Points Awarded],ROW(S1OORTbl[[#This Row],[COUNTY]])-2,1)*S1OORTbl[[#This Row],[RURAL FUNDING %]]</f>
        <v>0</v>
      </c>
      <c r="AH56" s="564"/>
      <c r="AI56" s="664">
        <f>SUM(S1OORTbl[[#This Row],[UNRESTRICTED ADF]],S1OORTbl[[#This Row],[Unrestricted Funds Requesting]])</f>
        <v>0</v>
      </c>
      <c r="AJ56" s="564"/>
      <c r="AK56" s="664">
        <f>SUM(S1OORTbl[[#This Row],[Rural Funds Requesting]],S1OORTbl[[#This Row],[RURAL ADF]])</f>
        <v>0</v>
      </c>
    </row>
    <row r="57" spans="1:37" x14ac:dyDescent="0.35">
      <c r="A57" s="116"/>
      <c r="B57" s="5" t="s">
        <v>169</v>
      </c>
      <c r="C57" s="31" t="s">
        <v>513</v>
      </c>
      <c r="D57" s="109" t="str">
        <f>IF(SUM(S1OORTbl[[#This Row],[Unrestricted Repair Units]:[Unrestricted ADU Reconstruct Units]])=0,"",SUM(S1OORTbl[[#This Row],[Unrestricted Repair Units]:[Unrestricted ADU Reconstruct Units]]))</f>
        <v/>
      </c>
      <c r="E57" s="74" t="str">
        <f xml:space="preserve">
IF(S1OORTbl[[#This Row],[TOTAL UNRESTRICTED]]=0,"",
S1OORTbl[[#This Row],[TOTAL UNRESTRICTED]]*
IF(S1_OOR_UnrestrictedTotalRequested&lt;=5000000,1,
5000000/S1_OOR_UnrestrictedTotalRequested)
)</f>
        <v/>
      </c>
      <c r="F57" s="6" t="str">
        <f>IF(S1OORTbl[[#This Row],[UNRESTRICTED FUNDING %]]=0,"",S1OORTbl[[#This Row],[UNRESTRICTED FUNDING %]])</f>
        <v/>
      </c>
      <c r="G57" s="31" t="s">
        <v>513</v>
      </c>
      <c r="H57" s="109" t="str">
        <f>IF(SUM(S1OORTbl[[#This Row],[Rural Repair Units]:[Rural ADU Reconstruct Units]])=0,"",SUM(S1OORTbl[[#This Row],[Rural Repair Units]:[Rural ADU Reconstruct Units]]))</f>
        <v/>
      </c>
      <c r="I57" s="74" t="str">
        <f xml:space="preserve">
IF(S1OORTbl[[#This Row],[TOTAL RURAL]]=0,"",
S1OORTbl[[#This Row],[TOTAL RURAL]]*
IF(S1_OOR_RuralTotalRequested&lt;=(5000000-E$61),1,
(5000000-E$61)/S1_OOR_RuralTotalRequested)
)</f>
        <v/>
      </c>
      <c r="J57" s="6" t="str">
        <f>IF(S1OORTbl[[#This Row],[RURAL FUNDING %]]=0,"",S1OORTbl[[#This Row],[RURAL FUNDING %]])</f>
        <v/>
      </c>
      <c r="K57" s="31" t="s">
        <v>513</v>
      </c>
      <c r="L57" s="124"/>
      <c r="M57" s="197"/>
      <c r="N57" s="124"/>
      <c r="O57" s="119"/>
      <c r="P57" s="119"/>
      <c r="Q57" s="119"/>
      <c r="R57" s="269"/>
      <c r="S57" s="6">
        <f>IF(S1OORTbl[[#This Row],[TOTAL UNRESTRICTED]]=0,0,S1OORTbl[[#This Row],[TOTAL UNRESTRICTED]]/S1_OOR_UnrestrictedTotalRequested)</f>
        <v>0</v>
      </c>
      <c r="T57" s="7">
        <f>IF(S1OORTbl[[#This Row],[ALL UNITS IN A HIGH OR HIGHEST RESOURCE AREA]]="Yes",10*S1OORTbl[[#This Row],[UNRESTRICTED FUNDING %]],0)</f>
        <v>0</v>
      </c>
      <c r="U57" s="7" cm="1">
        <f t="array" ref="U57">INDEX(CountyScoresTbl[OOR Community Need],ROW(S1OORTbl[[#This Row],[COUNTY]])-2,1)*S1OORTbl[[#This Row],[UNRESTRICTED FUNDING %]]</f>
        <v>0</v>
      </c>
      <c r="V57" s="7" cm="1">
        <f t="array" ref="V57">INDEX(CountyScoresTbl[OOR/ADU Total Feasibility Points Awarded],ROW(S1OORTbl[[#This Row],[COUNTY]])-2,1)*S1OORTbl[[#This Row],[UNRESTRICTED FUNDING %]]</f>
        <v>0</v>
      </c>
      <c r="W57" s="8" cm="1">
        <f t="array" ref="W57">INDEX(CountyScoresTbl[Farmworker Need Points Awarded],ROW(S1OORTbl[[#This Row],[COUNTY]])-2,1)*S1OORTbl[[#This Row],[UNRESTRICTED FUNDING %]]</f>
        <v>0</v>
      </c>
      <c r="X57" s="124"/>
      <c r="Y57" s="119"/>
      <c r="Z57" s="119"/>
      <c r="AA57" s="119"/>
      <c r="AB57" s="120"/>
      <c r="AC57" s="6">
        <f>IF(S1OORTbl[[#This Row],[TOTAL RURAL]]=0,0,S1OORTbl[[#This Row],[TOTAL RURAL]]/S1_OOR_RuralTotalRequested)</f>
        <v>0</v>
      </c>
      <c r="AD57" s="7">
        <f>IF(S1OORTbl[[#This Row],[ALL UNITS IN A HIGH OR HIGHEST RESOURCE AREA]]="Yes",10*S1OORTbl[[#This Row],[RURAL FUNDING %]],0)</f>
        <v>0</v>
      </c>
      <c r="AE57" s="7" cm="1">
        <f t="array" ref="AE57">INDEX(CountyScoresTbl[OOR Community Need],ROW(S1OORTbl[[#This Row],[COUNTY]])-2,1)*S1OORTbl[[#This Row],[RURAL FUNDING %]]</f>
        <v>0</v>
      </c>
      <c r="AF57" s="7" cm="1">
        <f t="array" ref="AF57">INDEX(CountyScoresTbl[OOR/ADU Total Feasibility Points Awarded],ROW(S1OORTbl[[#This Row],[COUNTY]])-2,1)*S1OORTbl[[#This Row],[RURAL FUNDING %]]</f>
        <v>0</v>
      </c>
      <c r="AG57" s="73" cm="1">
        <f t="array" ref="AG57">INDEX(CountyScoresTbl[Farmworker Need Points Awarded],ROW(S1OORTbl[[#This Row],[COUNTY]])-2,1)*S1OORTbl[[#This Row],[RURAL FUNDING %]]</f>
        <v>0</v>
      </c>
      <c r="AH57" s="564"/>
      <c r="AI57" s="664">
        <f>SUM(S1OORTbl[[#This Row],[UNRESTRICTED ADF]],S1OORTbl[[#This Row],[Unrestricted Funds Requesting]])</f>
        <v>0</v>
      </c>
      <c r="AJ57" s="564"/>
      <c r="AK57" s="664">
        <f>SUM(S1OORTbl[[#This Row],[Rural Funds Requesting]],S1OORTbl[[#This Row],[RURAL ADF]])</f>
        <v>0</v>
      </c>
    </row>
    <row r="58" spans="1:37" x14ac:dyDescent="0.35">
      <c r="A58" s="116"/>
      <c r="B58" s="5" t="s">
        <v>170</v>
      </c>
      <c r="C58" s="31" t="s">
        <v>513</v>
      </c>
      <c r="D58" s="109" t="str">
        <f>IF(SUM(S1OORTbl[[#This Row],[Unrestricted Repair Units]:[Unrestricted ADU Reconstruct Units]])=0,"",SUM(S1OORTbl[[#This Row],[Unrestricted Repair Units]:[Unrestricted ADU Reconstruct Units]]))</f>
        <v/>
      </c>
      <c r="E58" s="74" t="str">
        <f xml:space="preserve">
IF(S1OORTbl[[#This Row],[TOTAL UNRESTRICTED]]=0,"",
S1OORTbl[[#This Row],[TOTAL UNRESTRICTED]]*
IF(S1_OOR_UnrestrictedTotalRequested&lt;=5000000,1,
5000000/S1_OOR_UnrestrictedTotalRequested)
)</f>
        <v/>
      </c>
      <c r="F58" s="6" t="str">
        <f>IF(S1OORTbl[[#This Row],[UNRESTRICTED FUNDING %]]=0,"",S1OORTbl[[#This Row],[UNRESTRICTED FUNDING %]])</f>
        <v/>
      </c>
      <c r="G58" s="31" t="s">
        <v>513</v>
      </c>
      <c r="H58" s="109" t="str">
        <f>IF(SUM(S1OORTbl[[#This Row],[Rural Repair Units]:[Rural ADU Reconstruct Units]])=0,"",SUM(S1OORTbl[[#This Row],[Rural Repair Units]:[Rural ADU Reconstruct Units]]))</f>
        <v/>
      </c>
      <c r="I58" s="74" t="str">
        <f xml:space="preserve">
IF(S1OORTbl[[#This Row],[TOTAL RURAL]]=0,"",
S1OORTbl[[#This Row],[TOTAL RURAL]]*
IF(S1_OOR_RuralTotalRequested&lt;=(5000000-E$61),1,
(5000000-E$61)/S1_OOR_RuralTotalRequested)
)</f>
        <v/>
      </c>
      <c r="J58" s="6" t="str">
        <f>IF(S1OORTbl[[#This Row],[RURAL FUNDING %]]=0,"",S1OORTbl[[#This Row],[RURAL FUNDING %]])</f>
        <v/>
      </c>
      <c r="K58" s="31" t="s">
        <v>513</v>
      </c>
      <c r="L58" s="124"/>
      <c r="M58" s="197"/>
      <c r="N58" s="124"/>
      <c r="O58" s="119"/>
      <c r="P58" s="119"/>
      <c r="Q58" s="119"/>
      <c r="R58" s="269"/>
      <c r="S58" s="6">
        <f>IF(S1OORTbl[[#This Row],[TOTAL UNRESTRICTED]]=0,0,S1OORTbl[[#This Row],[TOTAL UNRESTRICTED]]/S1_OOR_UnrestrictedTotalRequested)</f>
        <v>0</v>
      </c>
      <c r="T58" s="7">
        <f>IF(S1OORTbl[[#This Row],[ALL UNITS IN A HIGH OR HIGHEST RESOURCE AREA]]="Yes",10*S1OORTbl[[#This Row],[UNRESTRICTED FUNDING %]],0)</f>
        <v>0</v>
      </c>
      <c r="U58" s="7" cm="1">
        <f t="array" ref="U58">INDEX(CountyScoresTbl[OOR Community Need],ROW(S1OORTbl[[#This Row],[COUNTY]])-2,1)*S1OORTbl[[#This Row],[UNRESTRICTED FUNDING %]]</f>
        <v>0</v>
      </c>
      <c r="V58" s="7" cm="1">
        <f t="array" ref="V58">INDEX(CountyScoresTbl[OOR/ADU Total Feasibility Points Awarded],ROW(S1OORTbl[[#This Row],[COUNTY]])-2,1)*S1OORTbl[[#This Row],[UNRESTRICTED FUNDING %]]</f>
        <v>0</v>
      </c>
      <c r="W58" s="8" cm="1">
        <f t="array" ref="W58">INDEX(CountyScoresTbl[Farmworker Need Points Awarded],ROW(S1OORTbl[[#This Row],[COUNTY]])-2,1)*S1OORTbl[[#This Row],[UNRESTRICTED FUNDING %]]</f>
        <v>0</v>
      </c>
      <c r="X58" s="124"/>
      <c r="Y58" s="119"/>
      <c r="Z58" s="119"/>
      <c r="AA58" s="119"/>
      <c r="AB58" s="120"/>
      <c r="AC58" s="6">
        <f>IF(S1OORTbl[[#This Row],[TOTAL RURAL]]=0,0,S1OORTbl[[#This Row],[TOTAL RURAL]]/S1_OOR_RuralTotalRequested)</f>
        <v>0</v>
      </c>
      <c r="AD58" s="7">
        <f>IF(S1OORTbl[[#This Row],[ALL UNITS IN A HIGH OR HIGHEST RESOURCE AREA]]="Yes",10*S1OORTbl[[#This Row],[RURAL FUNDING %]],0)</f>
        <v>0</v>
      </c>
      <c r="AE58" s="7" cm="1">
        <f t="array" ref="AE58">INDEX(CountyScoresTbl[OOR Community Need],ROW(S1OORTbl[[#This Row],[COUNTY]])-2,1)*S1OORTbl[[#This Row],[RURAL FUNDING %]]</f>
        <v>0</v>
      </c>
      <c r="AF58" s="7" cm="1">
        <f t="array" ref="AF58">INDEX(CountyScoresTbl[OOR/ADU Total Feasibility Points Awarded],ROW(S1OORTbl[[#This Row],[COUNTY]])-2,1)*S1OORTbl[[#This Row],[RURAL FUNDING %]]</f>
        <v>0</v>
      </c>
      <c r="AG58" s="73" cm="1">
        <f t="array" ref="AG58">INDEX(CountyScoresTbl[Farmworker Need Points Awarded],ROW(S1OORTbl[[#This Row],[COUNTY]])-2,1)*S1OORTbl[[#This Row],[RURAL FUNDING %]]</f>
        <v>0</v>
      </c>
      <c r="AH58" s="564"/>
      <c r="AI58" s="664">
        <f>SUM(S1OORTbl[[#This Row],[UNRESTRICTED ADF]],S1OORTbl[[#This Row],[Unrestricted Funds Requesting]])</f>
        <v>0</v>
      </c>
      <c r="AJ58" s="564"/>
      <c r="AK58" s="664">
        <f>SUM(S1OORTbl[[#This Row],[Rural Funds Requesting]],S1OORTbl[[#This Row],[RURAL ADF]])</f>
        <v>0</v>
      </c>
    </row>
    <row r="59" spans="1:37" x14ac:dyDescent="0.35">
      <c r="A59" s="116"/>
      <c r="B59" s="5" t="s">
        <v>171</v>
      </c>
      <c r="C59" s="31" t="s">
        <v>513</v>
      </c>
      <c r="D59" s="109" t="str">
        <f>IF(SUM(S1OORTbl[[#This Row],[Unrestricted Repair Units]:[Unrestricted ADU Reconstruct Units]])=0,"",SUM(S1OORTbl[[#This Row],[Unrestricted Repair Units]:[Unrestricted ADU Reconstruct Units]]))</f>
        <v/>
      </c>
      <c r="E59" s="74" t="str">
        <f xml:space="preserve">
IF(S1OORTbl[[#This Row],[TOTAL UNRESTRICTED]]=0,"",
S1OORTbl[[#This Row],[TOTAL UNRESTRICTED]]*
IF(S1_OOR_UnrestrictedTotalRequested&lt;=5000000,1,
5000000/S1_OOR_UnrestrictedTotalRequested)
)</f>
        <v/>
      </c>
      <c r="F59" s="6" t="str">
        <f>IF(S1OORTbl[[#This Row],[UNRESTRICTED FUNDING %]]=0,"",S1OORTbl[[#This Row],[UNRESTRICTED FUNDING %]])</f>
        <v/>
      </c>
      <c r="G59" s="31" t="s">
        <v>513</v>
      </c>
      <c r="H59" s="109" t="str">
        <f>IF(SUM(S1OORTbl[[#This Row],[Rural Repair Units]:[Rural ADU Reconstruct Units]])=0,"",SUM(S1OORTbl[[#This Row],[Rural Repair Units]:[Rural ADU Reconstruct Units]]))</f>
        <v/>
      </c>
      <c r="I59" s="74" t="str">
        <f xml:space="preserve">
IF(S1OORTbl[[#This Row],[TOTAL RURAL]]=0,"",
S1OORTbl[[#This Row],[TOTAL RURAL]]*
IF(S1_OOR_RuralTotalRequested&lt;=(5000000-E$61),1,
(5000000-E$61)/S1_OOR_RuralTotalRequested)
)</f>
        <v/>
      </c>
      <c r="J59" s="6" t="str">
        <f>IF(S1OORTbl[[#This Row],[RURAL FUNDING %]]=0,"",S1OORTbl[[#This Row],[RURAL FUNDING %]])</f>
        <v/>
      </c>
      <c r="K59" s="31" t="s">
        <v>513</v>
      </c>
      <c r="L59" s="124"/>
      <c r="M59" s="197"/>
      <c r="N59" s="124"/>
      <c r="O59" s="119"/>
      <c r="P59" s="119"/>
      <c r="Q59" s="119"/>
      <c r="R59" s="269"/>
      <c r="S59" s="6">
        <f>IF(S1OORTbl[[#This Row],[TOTAL UNRESTRICTED]]=0,0,S1OORTbl[[#This Row],[TOTAL UNRESTRICTED]]/S1_OOR_UnrestrictedTotalRequested)</f>
        <v>0</v>
      </c>
      <c r="T59" s="7">
        <f>IF(S1OORTbl[[#This Row],[ALL UNITS IN A HIGH OR HIGHEST RESOURCE AREA]]="Yes",10*S1OORTbl[[#This Row],[UNRESTRICTED FUNDING %]],0)</f>
        <v>0</v>
      </c>
      <c r="U59" s="7" cm="1">
        <f t="array" ref="U59">INDEX(CountyScoresTbl[OOR Community Need],ROW(S1OORTbl[[#This Row],[COUNTY]])-2,1)*S1OORTbl[[#This Row],[UNRESTRICTED FUNDING %]]</f>
        <v>0</v>
      </c>
      <c r="V59" s="7" cm="1">
        <f t="array" ref="V59">INDEX(CountyScoresTbl[OOR/ADU Total Feasibility Points Awarded],ROW(S1OORTbl[[#This Row],[COUNTY]])-2,1)*S1OORTbl[[#This Row],[UNRESTRICTED FUNDING %]]</f>
        <v>0</v>
      </c>
      <c r="W59" s="8" cm="1">
        <f t="array" ref="W59">INDEX(CountyScoresTbl[Farmworker Need Points Awarded],ROW(S1OORTbl[[#This Row],[COUNTY]])-2,1)*S1OORTbl[[#This Row],[UNRESTRICTED FUNDING %]]</f>
        <v>0</v>
      </c>
      <c r="X59" s="124"/>
      <c r="Y59" s="119"/>
      <c r="Z59" s="119"/>
      <c r="AA59" s="119"/>
      <c r="AB59" s="120"/>
      <c r="AC59" s="6">
        <f>IF(S1OORTbl[[#This Row],[TOTAL RURAL]]=0,0,S1OORTbl[[#This Row],[TOTAL RURAL]]/S1_OOR_RuralTotalRequested)</f>
        <v>0</v>
      </c>
      <c r="AD59" s="7">
        <f>IF(S1OORTbl[[#This Row],[ALL UNITS IN A HIGH OR HIGHEST RESOURCE AREA]]="Yes",10*S1OORTbl[[#This Row],[RURAL FUNDING %]],0)</f>
        <v>0</v>
      </c>
      <c r="AE59" s="7" cm="1">
        <f t="array" ref="AE59">INDEX(CountyScoresTbl[OOR Community Need],ROW(S1OORTbl[[#This Row],[COUNTY]])-2,1)*S1OORTbl[[#This Row],[RURAL FUNDING %]]</f>
        <v>0</v>
      </c>
      <c r="AF59" s="7" cm="1">
        <f t="array" ref="AF59">INDEX(CountyScoresTbl[OOR/ADU Total Feasibility Points Awarded],ROW(S1OORTbl[[#This Row],[COUNTY]])-2,1)*S1OORTbl[[#This Row],[RURAL FUNDING %]]</f>
        <v>0</v>
      </c>
      <c r="AG59" s="73" cm="1">
        <f t="array" ref="AG59">INDEX(CountyScoresTbl[Farmworker Need Points Awarded],ROW(S1OORTbl[[#This Row],[COUNTY]])-2,1)*S1OORTbl[[#This Row],[RURAL FUNDING %]]</f>
        <v>0</v>
      </c>
      <c r="AH59" s="564"/>
      <c r="AI59" s="664">
        <f>SUM(S1OORTbl[[#This Row],[UNRESTRICTED ADF]],S1OORTbl[[#This Row],[Unrestricted Funds Requesting]])</f>
        <v>0</v>
      </c>
      <c r="AJ59" s="564"/>
      <c r="AK59" s="664">
        <f>SUM(S1OORTbl[[#This Row],[Rural Funds Requesting]],S1OORTbl[[#This Row],[RURAL ADF]])</f>
        <v>0</v>
      </c>
    </row>
    <row r="60" spans="1:37" x14ac:dyDescent="0.35">
      <c r="A60" s="116"/>
      <c r="B60" s="5" t="s">
        <v>172</v>
      </c>
      <c r="C60" s="31" t="s">
        <v>513</v>
      </c>
      <c r="D60" s="109" t="str">
        <f>IF(SUM(S1OORTbl[[#This Row],[Unrestricted Repair Units]:[Unrestricted ADU Reconstruct Units]])=0,"",SUM(S1OORTbl[[#This Row],[Unrestricted Repair Units]:[Unrestricted ADU Reconstruct Units]]))</f>
        <v/>
      </c>
      <c r="E60" s="74" t="str">
        <f xml:space="preserve">
IF(S1OORTbl[[#This Row],[TOTAL UNRESTRICTED]]=0,"",
S1OORTbl[[#This Row],[TOTAL UNRESTRICTED]]*
IF(S1_OOR_UnrestrictedTotalRequested&lt;=5000000,1,
5000000/S1_OOR_UnrestrictedTotalRequested)
)</f>
        <v/>
      </c>
      <c r="F60" s="6" t="str">
        <f>IF(S1OORTbl[[#This Row],[UNRESTRICTED FUNDING %]]=0,"",S1OORTbl[[#This Row],[UNRESTRICTED FUNDING %]])</f>
        <v/>
      </c>
      <c r="G60" s="31" t="s">
        <v>513</v>
      </c>
      <c r="H60" s="109" t="str">
        <f>IF(SUM(S1OORTbl[[#This Row],[Rural Repair Units]:[Rural ADU Reconstruct Units]])=0,"",SUM(S1OORTbl[[#This Row],[Rural Repair Units]:[Rural ADU Reconstruct Units]]))</f>
        <v/>
      </c>
      <c r="I60" s="74" t="str">
        <f xml:space="preserve">
IF(S1OORTbl[[#This Row],[TOTAL RURAL]]=0,"",
S1OORTbl[[#This Row],[TOTAL RURAL]]*
IF(S1_OOR_RuralTotalRequested&lt;=(5000000-E$61),1,
(5000000-E$61)/S1_OOR_RuralTotalRequested)
)</f>
        <v/>
      </c>
      <c r="J60" s="6" t="str">
        <f>IF(S1OORTbl[[#This Row],[RURAL FUNDING %]]=0,"",S1OORTbl[[#This Row],[RURAL FUNDING %]])</f>
        <v/>
      </c>
      <c r="K60" s="31" t="s">
        <v>513</v>
      </c>
      <c r="L60" s="124"/>
      <c r="M60" s="197"/>
      <c r="N60" s="124"/>
      <c r="O60" s="119"/>
      <c r="P60" s="119"/>
      <c r="Q60" s="119"/>
      <c r="R60" s="269"/>
      <c r="S60" s="6">
        <f>IF(S1OORTbl[[#This Row],[TOTAL UNRESTRICTED]]=0,0,S1OORTbl[[#This Row],[TOTAL UNRESTRICTED]]/S1_OOR_UnrestrictedTotalRequested)</f>
        <v>0</v>
      </c>
      <c r="T60" s="7">
        <f>IF(S1OORTbl[[#This Row],[ALL UNITS IN A HIGH OR HIGHEST RESOURCE AREA]]="Yes",10*S1OORTbl[[#This Row],[UNRESTRICTED FUNDING %]],0)</f>
        <v>0</v>
      </c>
      <c r="U60" s="7" cm="1">
        <f t="array" ref="U60">INDEX(CountyScoresTbl[OOR Community Need],ROW(S1OORTbl[[#This Row],[COUNTY]])-2,1)*S1OORTbl[[#This Row],[UNRESTRICTED FUNDING %]]</f>
        <v>0</v>
      </c>
      <c r="V60" s="7" cm="1">
        <f t="array" ref="V60">INDEX(CountyScoresTbl[OOR/ADU Total Feasibility Points Awarded],ROW(S1OORTbl[[#This Row],[COUNTY]])-2,1)*S1OORTbl[[#This Row],[UNRESTRICTED FUNDING %]]</f>
        <v>0</v>
      </c>
      <c r="W60" s="8" cm="1">
        <f t="array" ref="W60">INDEX(CountyScoresTbl[Farmworker Need Points Awarded],ROW(S1OORTbl[[#This Row],[COUNTY]])-2,1)*S1OORTbl[[#This Row],[UNRESTRICTED FUNDING %]]</f>
        <v>0</v>
      </c>
      <c r="X60" s="124"/>
      <c r="Y60" s="119"/>
      <c r="Z60" s="119"/>
      <c r="AA60" s="119"/>
      <c r="AB60" s="120"/>
      <c r="AC60" s="6">
        <f>IF(S1OORTbl[[#This Row],[TOTAL RURAL]]=0,0,S1OORTbl[[#This Row],[TOTAL RURAL]]/S1_OOR_RuralTotalRequested)</f>
        <v>0</v>
      </c>
      <c r="AD60" s="7">
        <f>IF(S1OORTbl[[#This Row],[ALL UNITS IN A HIGH OR HIGHEST RESOURCE AREA]]="Yes",10*S1OORTbl[[#This Row],[RURAL FUNDING %]],0)</f>
        <v>0</v>
      </c>
      <c r="AE60" s="7" cm="1">
        <f t="array" ref="AE60">INDEX(CountyScoresTbl[OOR Community Need],ROW(S1OORTbl[[#This Row],[COUNTY]])-2,1)*S1OORTbl[[#This Row],[RURAL FUNDING %]]</f>
        <v>0</v>
      </c>
      <c r="AF60" s="7" cm="1">
        <f t="array" ref="AF60">INDEX(CountyScoresTbl[OOR/ADU Total Feasibility Points Awarded],ROW(S1OORTbl[[#This Row],[COUNTY]])-2,1)*S1OORTbl[[#This Row],[RURAL FUNDING %]]</f>
        <v>0</v>
      </c>
      <c r="AG60" s="206" cm="1">
        <f t="array" ref="AG60">INDEX(CountyScoresTbl[Farmworker Need Points Awarded],ROW(S1OORTbl[[#This Row],[COUNTY]])-2,1)*S1OORTbl[[#This Row],[RURAL FUNDING %]]</f>
        <v>0</v>
      </c>
      <c r="AH60" s="564"/>
      <c r="AI60" s="664">
        <f>SUM(S1OORTbl[[#This Row],[UNRESTRICTED ADF]],S1OORTbl[[#This Row],[Unrestricted Funds Requesting]])</f>
        <v>0</v>
      </c>
      <c r="AJ60" s="564"/>
      <c r="AK60" s="664">
        <f>SUM(S1OORTbl[[#This Row],[Rural Funds Requesting]],S1OORTbl[[#This Row],[RURAL ADF]])</f>
        <v>0</v>
      </c>
    </row>
    <row r="61" spans="1:37" s="292" customFormat="1" ht="15" thickBot="1" x14ac:dyDescent="0.4">
      <c r="A61" s="47"/>
      <c r="B61" s="48"/>
      <c r="C61" s="55"/>
      <c r="D61" s="56">
        <f>SUM(D$3:D$60)</f>
        <v>0</v>
      </c>
      <c r="E61" s="57">
        <f>SUM(E$3:E$60)</f>
        <v>0</v>
      </c>
      <c r="F61" s="49">
        <f>SUM(F$3:F$60)</f>
        <v>0</v>
      </c>
      <c r="G61" s="53"/>
      <c r="H61" s="54">
        <f>SUM(H$3:H$60)</f>
        <v>0</v>
      </c>
      <c r="I61" s="57">
        <f>SUM(I$3:I$60)</f>
        <v>0</v>
      </c>
      <c r="J61" s="308">
        <f>SUM(J$3:J$60)</f>
        <v>0</v>
      </c>
      <c r="K61" s="55"/>
      <c r="L61" s="47">
        <f>COUNTIF(S1OORTbl[ALL UNITS IN A HIGH OR HIGHEST RESOURCE AREA],"Yes")</f>
        <v>0</v>
      </c>
      <c r="M61" s="53">
        <f>COUNTIF(S1OORTbl[APPLY FOR RURAL AREA SET ASIDE?],"Yes")</f>
        <v>0</v>
      </c>
      <c r="N61" s="47">
        <f>SUM(N$3:N$60)</f>
        <v>0</v>
      </c>
      <c r="O61" s="48">
        <f>SUM(O$3:O$60)</f>
        <v>0</v>
      </c>
      <c r="P61" s="48">
        <f>SUM(P$3:P$60)</f>
        <v>0</v>
      </c>
      <c r="Q61" s="48">
        <f>SUM(Q$3:Q$60)</f>
        <v>0</v>
      </c>
      <c r="R61" s="52">
        <f>SUM(R$3:R$60)</f>
        <v>0</v>
      </c>
      <c r="S61" s="49">
        <f>SUM(S3:S60)</f>
        <v>0</v>
      </c>
      <c r="T61" s="24">
        <f>SUM(T3:T60)</f>
        <v>0</v>
      </c>
      <c r="U61" s="24">
        <f>SUM(U3:U60)</f>
        <v>0</v>
      </c>
      <c r="V61" s="24">
        <f>SUM(V3:V60)</f>
        <v>0</v>
      </c>
      <c r="W61" s="50">
        <f>SUM(W3:W60)</f>
        <v>0</v>
      </c>
      <c r="X61" s="47">
        <f>SUM(X$3:X$60)</f>
        <v>0</v>
      </c>
      <c r="Y61" s="48">
        <f>SUM(Y$3:Y$60)</f>
        <v>0</v>
      </c>
      <c r="Z61" s="48">
        <f>SUM(Z$3:Z$60)</f>
        <v>0</v>
      </c>
      <c r="AA61" s="48">
        <f>SUM(AA$3:AA$60)</f>
        <v>0</v>
      </c>
      <c r="AB61" s="52">
        <f>SUM(AB$3:AB$60)</f>
        <v>0</v>
      </c>
      <c r="AC61" s="49">
        <f>SUM(AC3:AC60)</f>
        <v>0</v>
      </c>
      <c r="AD61" s="24">
        <f>SUM(AD3:AD60)</f>
        <v>0</v>
      </c>
      <c r="AE61" s="24">
        <f>SUM(AE3:AE60)</f>
        <v>0</v>
      </c>
      <c r="AF61" s="24">
        <f>SUM(AF3:AF60)</f>
        <v>0</v>
      </c>
      <c r="AG61" s="323">
        <f>SUM(AG3:AG60)</f>
        <v>0</v>
      </c>
      <c r="AH61" s="661">
        <f>SUM(AH$3:AH$60)</f>
        <v>0</v>
      </c>
      <c r="AI61" s="661">
        <f>SUM(AI$3:AI$60)</f>
        <v>0</v>
      </c>
      <c r="AJ61" s="661">
        <f>SUM(AJ$3:AJ$60)</f>
        <v>0</v>
      </c>
      <c r="AK61" s="661">
        <f>SUM(AK$3:AK$60)</f>
        <v>0</v>
      </c>
    </row>
  </sheetData>
  <sheetProtection formatCells="0" selectLockedCells="1"/>
  <dataConsolidate/>
  <mergeCells count="6">
    <mergeCell ref="X1:AG1"/>
    <mergeCell ref="N1:W1"/>
    <mergeCell ref="A1:B1"/>
    <mergeCell ref="D1:F1"/>
    <mergeCell ref="H1:J1"/>
    <mergeCell ref="L1:M1"/>
  </mergeCells>
  <phoneticPr fontId="6" type="noConversion"/>
  <pageMargins left="0.7" right="0.7" top="0.75" bottom="0.75" header="0.3" footer="0.3"/>
  <pageSetup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1MAData"/>
  <dimension ref="A1:AO61"/>
  <sheetViews>
    <sheetView topLeftCell="N1" zoomScale="70" zoomScaleNormal="70" workbookViewId="0">
      <selection activeCell="AM3" sqref="AM3"/>
    </sheetView>
  </sheetViews>
  <sheetFormatPr defaultColWidth="5.54296875" defaultRowHeight="14.5" x14ac:dyDescent="0.35"/>
  <cols>
    <col min="1" max="2" width="22.54296875" customWidth="1"/>
    <col min="3" max="3" width="1.54296875" customWidth="1"/>
    <col min="4" max="6" width="18.54296875" customWidth="1"/>
    <col min="7" max="7" width="1.54296875" customWidth="1"/>
    <col min="8" max="10" width="18.54296875" customWidth="1"/>
    <col min="11" max="11" width="1.54296875" customWidth="1"/>
    <col min="12" max="38" width="18.54296875" customWidth="1"/>
    <col min="39" max="41" width="19.1796875" customWidth="1"/>
  </cols>
  <sheetData>
    <row r="1" spans="1:41" ht="21.75" customHeight="1" thickBot="1" x14ac:dyDescent="0.4">
      <c r="A1" s="379" t="s">
        <v>658</v>
      </c>
      <c r="B1" s="380"/>
      <c r="C1" s="268" t="s">
        <v>513</v>
      </c>
      <c r="D1" s="1380" t="s">
        <v>506</v>
      </c>
      <c r="E1" s="1381"/>
      <c r="F1" s="1381"/>
      <c r="G1" s="268" t="s">
        <v>517</v>
      </c>
      <c r="H1" s="1375" t="s">
        <v>508</v>
      </c>
      <c r="I1" s="1376"/>
      <c r="J1" s="1376"/>
      <c r="K1" s="268" t="s">
        <v>525</v>
      </c>
      <c r="L1" s="1380" t="s">
        <v>510</v>
      </c>
      <c r="M1" s="1381"/>
      <c r="N1" s="1385"/>
      <c r="O1" s="1375" t="s">
        <v>506</v>
      </c>
      <c r="P1" s="1376"/>
      <c r="Q1" s="1376"/>
      <c r="R1" s="1376"/>
      <c r="S1" s="1376"/>
      <c r="T1" s="1376"/>
      <c r="U1" s="1376"/>
      <c r="V1" s="1376"/>
      <c r="W1" s="1376"/>
      <c r="X1" s="1376"/>
      <c r="Y1" s="1376"/>
      <c r="Z1" s="1377"/>
      <c r="AA1" s="1375" t="s">
        <v>508</v>
      </c>
      <c r="AB1" s="1376"/>
      <c r="AC1" s="1376"/>
      <c r="AD1" s="1376"/>
      <c r="AE1" s="1376"/>
      <c r="AF1" s="1376"/>
      <c r="AG1" s="1376"/>
      <c r="AH1" s="1376"/>
      <c r="AI1" s="1376"/>
      <c r="AJ1" s="1376"/>
      <c r="AK1" s="1376"/>
      <c r="AL1" s="1376"/>
      <c r="AM1" s="419"/>
      <c r="AN1" s="419"/>
      <c r="AO1" s="419"/>
    </row>
    <row r="2" spans="1:41" ht="44" thickBot="1" x14ac:dyDescent="0.4">
      <c r="A2" s="105" t="s">
        <v>511</v>
      </c>
      <c r="B2" s="106" t="s">
        <v>512</v>
      </c>
      <c r="C2" s="262" t="s">
        <v>513</v>
      </c>
      <c r="D2" s="105" t="s">
        <v>514</v>
      </c>
      <c r="E2" s="263" t="s">
        <v>515</v>
      </c>
      <c r="F2" s="264" t="s">
        <v>516</v>
      </c>
      <c r="G2" s="262" t="s">
        <v>517</v>
      </c>
      <c r="H2" s="105" t="s">
        <v>518</v>
      </c>
      <c r="I2" s="263" t="s">
        <v>519</v>
      </c>
      <c r="J2" s="264" t="s">
        <v>520</v>
      </c>
      <c r="K2" s="262" t="s">
        <v>525</v>
      </c>
      <c r="L2" s="104" t="s">
        <v>530</v>
      </c>
      <c r="M2" s="106" t="s">
        <v>532</v>
      </c>
      <c r="N2" s="265" t="s">
        <v>533</v>
      </c>
      <c r="O2" s="105" t="s">
        <v>534</v>
      </c>
      <c r="P2" s="106" t="s">
        <v>535</v>
      </c>
      <c r="Q2" s="106" t="s">
        <v>536</v>
      </c>
      <c r="R2" s="106" t="s">
        <v>537</v>
      </c>
      <c r="S2" s="106" t="s">
        <v>538</v>
      </c>
      <c r="T2" s="107" t="s">
        <v>539</v>
      </c>
      <c r="U2" s="136" t="s">
        <v>540</v>
      </c>
      <c r="V2" s="108" t="s">
        <v>541</v>
      </c>
      <c r="W2" s="107" t="s">
        <v>542</v>
      </c>
      <c r="X2" s="107" t="s">
        <v>543</v>
      </c>
      <c r="Y2" s="433" t="s">
        <v>544</v>
      </c>
      <c r="Z2" s="266" t="s">
        <v>660</v>
      </c>
      <c r="AA2" s="105" t="s">
        <v>556</v>
      </c>
      <c r="AB2" s="106" t="s">
        <v>557</v>
      </c>
      <c r="AC2" s="106" t="s">
        <v>558</v>
      </c>
      <c r="AD2" s="106" t="s">
        <v>559</v>
      </c>
      <c r="AE2" s="106" t="s">
        <v>560</v>
      </c>
      <c r="AF2" s="267" t="s">
        <v>561</v>
      </c>
      <c r="AG2" s="267" t="s">
        <v>562</v>
      </c>
      <c r="AH2" s="446" t="s">
        <v>563</v>
      </c>
      <c r="AI2" s="267" t="s">
        <v>564</v>
      </c>
      <c r="AJ2" s="267" t="s">
        <v>565</v>
      </c>
      <c r="AK2" s="430" t="s">
        <v>566</v>
      </c>
      <c r="AL2" s="423" t="s">
        <v>661</v>
      </c>
      <c r="AM2" s="429" t="s">
        <v>578</v>
      </c>
      <c r="AN2" s="429" t="s">
        <v>681</v>
      </c>
      <c r="AO2" s="429" t="s">
        <v>682</v>
      </c>
    </row>
    <row r="3" spans="1:41" x14ac:dyDescent="0.35">
      <c r="A3" s="166"/>
      <c r="B3" s="37" t="s">
        <v>115</v>
      </c>
      <c r="C3" s="58" t="s">
        <v>513</v>
      </c>
      <c r="D3" s="260" t="str">
        <f>IF(SUM(S1MATbl[[#This Row],[UNRESTRICTED UNITS]])=0,"",S1MATbl[[#This Row],[UNRESTRICTED UNITS]])</f>
        <v/>
      </c>
      <c r="E3" s="98" t="str">
        <f xml:space="preserve">
IF(S1MATbl[[#This Row],[UNRESTRICTED FUNDING REQUESTED]]=0,"",
S1MATbl[[#This Row],[UNRESTRICTED FUNDING REQUESTED]]*
IF(S1_MA_UnrestrictedTotalRequested&lt;=5000000,1,
5000000/S1_MA_UnrestrictedTotalRequested)
)</f>
        <v/>
      </c>
      <c r="F3" s="61" t="str">
        <f>IFERROR(S1MATbl[[#This Row],[TOTAL $ REQUESTED]]/SUM(S1MATbl[TOTAL $ REQUESTED]),"")</f>
        <v/>
      </c>
      <c r="G3" s="58" t="s">
        <v>513</v>
      </c>
      <c r="H3" s="260" t="str">
        <f>IF(SUM(S1MATbl[[#This Row],[RURAL UNITS]])=0,"",S1MATbl[[#This Row],[RURAL UNITS]])</f>
        <v/>
      </c>
      <c r="I3" s="98" t="str">
        <f xml:space="preserve">
IF(S1MATbl[[#This Row],[RURAL FUNDING REQUESTED]]=0,"",
S1MATbl[[#This Row],[RURAL FUNDING REQUESTED]]*
IF(S1_MA_RuralTotalRequested&lt;=(5000000-E$61),1,
(5000000-E$61)/S1_MA_RuralTotalRequested)
)</f>
        <v/>
      </c>
      <c r="J3" s="61" t="str">
        <f>IFERROR(S1MATbl[[#This Row],[TOTAL $ REQUESTED2]]/SUM(S1MATbl[TOTAL $ REQUESTED2]),"")</f>
        <v/>
      </c>
      <c r="K3" s="58" t="s">
        <v>513</v>
      </c>
      <c r="L3" s="157"/>
      <c r="M3" s="158"/>
      <c r="N3" s="159"/>
      <c r="O3" s="130"/>
      <c r="P3" s="160"/>
      <c r="Q3" s="160"/>
      <c r="R3" s="160"/>
      <c r="S3" s="160"/>
      <c r="T3" s="98">
        <f t="shared" ref="T3:T60" si="0">SUM(Q3:S3)</f>
        <v>0</v>
      </c>
      <c r="U3" s="61">
        <f>IF(S1MATbl[[#This Row],[UNRESTRICTED FUNDING REQUESTED]]=0,0,S1MATbl[[#This Row],[UNRESTRICTED FUNDING REQUESTED]]/S1_MA_UnrestrictedTotalRequested)</f>
        <v>0</v>
      </c>
      <c r="V3" s="443">
        <f xml:space="preserve">
IF(S1MATbl[[#This Row],[NEW CONSTRUCTION OR AQUIRE/REHAB]]&lt;&gt;"",
3+IF(S1MATbl[[#This Row],[INFILL SITE]]="Yes",2,0),0)
*S1MATbl[[#This Row],[% OF TOTAL UNRESTRICTED FUNDING]]</f>
        <v>0</v>
      </c>
      <c r="W3" s="59">
        <f>IF(S1MATbl[[#This Row],[ALL UNITS IN A HIGH OR HIGHEST RESOURCE AREA]]="Yes",10*S1MATbl[[#This Row],[% OF TOTAL UNRESTRICTED FUNDING]],0)</f>
        <v>0</v>
      </c>
      <c r="X3" s="59" cm="1">
        <f t="array" ref="X3">INDEX(CountyScoresTbl[Community Need Total Points],ROW(S1MATbl[[#This Row],[COUNTY]])-2,1)*S1MATbl[[#This Row],[% OF TOTAL UNRESTRICTED FUNDING]]</f>
        <v>0</v>
      </c>
      <c r="Y3" s="431" cm="1">
        <f t="array" ref="Y3"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 s="261" cm="1">
        <f t="array" ref="Z3">INDEX(CountyScoresTbl[Farmworker Need Points Awarded],ROW(S1MATbl[[#This Row],[COUNTY]])-2,1)*S1MATbl[[#This Row],[% OF TOTAL UNRESTRICTED FUNDING]]</f>
        <v>0</v>
      </c>
      <c r="AA3" s="130"/>
      <c r="AB3" s="160"/>
      <c r="AC3" s="160"/>
      <c r="AD3" s="160"/>
      <c r="AE3" s="160"/>
      <c r="AF3" s="98">
        <f t="shared" ref="AF3:AF60" si="1">SUM(AC3:AE3)</f>
        <v>0</v>
      </c>
      <c r="AG3" s="61">
        <f>IF(S1MATbl[[#This Row],[RURAL FUNDING REQUESTED]]=0,0,S1MATbl[[#This Row],[RURAL FUNDING REQUESTED]]/S1_MA_RuralTotalRequested)</f>
        <v>0</v>
      </c>
      <c r="AH3" s="443">
        <f xml:space="preserve">
IF(S1MATbl[[#This Row],[NEW CONSTRUCTION OR AQUIRE/REHAB]]&lt;&gt;"",
3+IF(S1MATbl[[#This Row],[INFILL SITE]]="Yes",2,0),0)
*S1MATbl[[#This Row],[% OF TOTAL RURAL FUNDING]]</f>
        <v>0</v>
      </c>
      <c r="AI3" s="59">
        <f>IF(S1MATbl[[#This Row],[ALL UNITS IN A HIGH OR HIGHEST RESOURCE AREA]]="Yes",10*S1MATbl[[#This Row],[% OF TOTAL RURAL FUNDING]],0)</f>
        <v>0</v>
      </c>
      <c r="AJ3" s="59" cm="1">
        <f t="array" ref="AJ3">INDEX(CountyScoresTbl[Community Need Total Points],ROW(S1MATbl[[#This Row],[COUNTY]])-2,1)*S1MATbl[[#This Row],[% OF TOTAL RURAL FUNDING]]</f>
        <v>0</v>
      </c>
      <c r="AK3" s="431" cm="1">
        <f t="array" ref="AK3"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 s="170" cm="1">
        <f t="array" ref="AL3">INDEX(CountyScoresTbl[Farmworker Need Points Awarded],ROW(S1MATbl[[#This Row],[COUNTY]])-2,1)*S1MATbl[[#This Row],[% OF TOTAL RURAL FUNDING]]</f>
        <v>0</v>
      </c>
      <c r="AM3" s="428"/>
      <c r="AN3" s="428"/>
      <c r="AO3" s="428"/>
    </row>
    <row r="4" spans="1:41" x14ac:dyDescent="0.35">
      <c r="A4" s="167"/>
      <c r="B4" s="5" t="s">
        <v>116</v>
      </c>
      <c r="C4" s="31" t="s">
        <v>513</v>
      </c>
      <c r="D4" s="113" t="str">
        <f>IF(SUM(S1MATbl[[#This Row],[UNRESTRICTED UNITS]])=0,"",S1MATbl[[#This Row],[UNRESTRICTED UNITS]])</f>
        <v/>
      </c>
      <c r="E4" s="74" t="str">
        <f xml:space="preserve">
IF(S1MATbl[[#This Row],[UNRESTRICTED FUNDING REQUESTED]]=0,"",
S1MATbl[[#This Row],[UNRESTRICTED FUNDING REQUESTED]]*
IF(S1_MA_UnrestrictedTotalRequested&lt;=5000000,1,
5000000/S1_MA_UnrestrictedTotalRequested)
)</f>
        <v/>
      </c>
      <c r="F4" s="6" t="str">
        <f>IFERROR(S1MATbl[[#This Row],[TOTAL $ REQUESTED]]/SUM(S1MATbl[TOTAL $ REQUESTED]),"")</f>
        <v/>
      </c>
      <c r="G4" s="31" t="s">
        <v>513</v>
      </c>
      <c r="H4" s="256" t="str">
        <f>IF(SUM(S1MATbl[[#This Row],[RURAL UNITS]])=0,"",S1MATbl[[#This Row],[RURAL UNITS]])</f>
        <v/>
      </c>
      <c r="I4" s="306" t="str">
        <f xml:space="preserve">
IF(S1MATbl[[#This Row],[RURAL FUNDING REQUESTED]]=0,"",
S1MATbl[[#This Row],[RURAL FUNDING REQUESTED]]*
IF(S1_MA_RuralTotalRequested&lt;=(5000000-E$61),1,
(5000000-E$61)/S1_MA_RuralTotalRequested)
)</f>
        <v/>
      </c>
      <c r="J4" s="257" t="str">
        <f>IFERROR(S1MATbl[[#This Row],[TOTAL $ REQUESTED2]]/SUM(S1MATbl[TOTAL $ REQUESTED2]),"")</f>
        <v/>
      </c>
      <c r="K4" s="31" t="s">
        <v>513</v>
      </c>
      <c r="L4" s="163"/>
      <c r="M4" s="164"/>
      <c r="N4" s="165"/>
      <c r="O4" s="123"/>
      <c r="P4" s="161"/>
      <c r="Q4" s="161"/>
      <c r="R4" s="161"/>
      <c r="S4" s="161"/>
      <c r="T4" s="98">
        <f t="shared" si="0"/>
        <v>0</v>
      </c>
      <c r="U4" s="6">
        <f>IF(S1MATbl[[#This Row],[UNRESTRICTED FUNDING REQUESTED]]=0,0,S1MATbl[[#This Row],[UNRESTRICTED FUNDING REQUESTED]]/S1_MA_UnrestrictedTotalRequested)</f>
        <v>0</v>
      </c>
      <c r="V4" s="444">
        <f xml:space="preserve">
IF(S1MATbl[[#This Row],[NEW CONSTRUCTION OR AQUIRE/REHAB]]&lt;&gt;"",
3+IF(S1MATbl[[#This Row],[INFILL SITE]]="Yes",2,0),0)
*S1MATbl[[#This Row],[% OF TOTAL UNRESTRICTED FUNDING]]</f>
        <v>0</v>
      </c>
      <c r="W4" s="7">
        <f>IF(S1MATbl[[#This Row],[ALL UNITS IN A HIGH OR HIGHEST RESOURCE AREA]]="Yes",10*S1MATbl[[#This Row],[% OF TOTAL UNRESTRICTED FUNDING]],0)</f>
        <v>0</v>
      </c>
      <c r="X4" s="7" cm="1">
        <f t="array" ref="X4">INDEX(CountyScoresTbl[Community Need Total Points],ROW(S1MATbl[[#This Row],[COUNTY]])-2,1)*S1MATbl[[#This Row],[% OF TOTAL UNRESTRICTED FUNDING]]</f>
        <v>0</v>
      </c>
      <c r="Y4" s="432" cm="1">
        <f t="array" ref="Y4"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 s="26" cm="1">
        <f t="array" ref="Z4">INDEX(CountyScoresTbl[Farmworker Need Points Awarded],ROW(S1MATbl[[#This Row],[COUNTY]])-2,1)*S1MATbl[[#This Row],[% OF TOTAL UNRESTRICTED FUNDING]]</f>
        <v>0</v>
      </c>
      <c r="AA4" s="123"/>
      <c r="AB4" s="161"/>
      <c r="AC4" s="161"/>
      <c r="AD4" s="161"/>
      <c r="AE4" s="161"/>
      <c r="AF4" s="98">
        <f t="shared" si="1"/>
        <v>0</v>
      </c>
      <c r="AG4" s="6">
        <f>IF(S1MATbl[[#This Row],[RURAL FUNDING REQUESTED]]=0,0,S1MATbl[[#This Row],[RURAL FUNDING REQUESTED]]/S1_MA_RuralTotalRequested)</f>
        <v>0</v>
      </c>
      <c r="AH4" s="444">
        <f xml:space="preserve">
IF(S1MATbl[[#This Row],[NEW CONSTRUCTION OR AQUIRE/REHAB]]&lt;&gt;"",
3+IF(S1MATbl[[#This Row],[INFILL SITE]]="Yes",2,0),0)
*S1MATbl[[#This Row],[% OF TOTAL RURAL FUNDING]]</f>
        <v>0</v>
      </c>
      <c r="AI4" s="7">
        <f>IF(S1MATbl[[#This Row],[ALL UNITS IN A HIGH OR HIGHEST RESOURCE AREA]]="Yes",10*S1MATbl[[#This Row],[% OF TOTAL RURAL FUNDING]],0)</f>
        <v>0</v>
      </c>
      <c r="AJ4" s="7" cm="1">
        <f t="array" ref="AJ4">INDEX(CountyScoresTbl[Community Need Total Points],ROW(S1MATbl[[#This Row],[COUNTY]])-2,1)*S1MATbl[[#This Row],[% OF TOTAL RURAL FUNDING]]</f>
        <v>0</v>
      </c>
      <c r="AK4" s="432" cm="1">
        <f t="array" ref="AK4"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 s="73" cm="1">
        <f t="array" ref="AL4">INDEX(CountyScoresTbl[Farmworker Need Points Awarded],ROW(S1MATbl[[#This Row],[COUNTY]])-2,1)*S1MATbl[[#This Row],[% OF TOTAL RURAL FUNDING]]</f>
        <v>0</v>
      </c>
      <c r="AM4" s="426"/>
      <c r="AN4" s="426"/>
      <c r="AO4" s="426"/>
    </row>
    <row r="5" spans="1:41" x14ac:dyDescent="0.35">
      <c r="A5" s="167"/>
      <c r="B5" s="5" t="s">
        <v>117</v>
      </c>
      <c r="C5" s="31" t="s">
        <v>513</v>
      </c>
      <c r="D5" s="113" t="str">
        <f>IF(SUM(S1MATbl[[#This Row],[UNRESTRICTED UNITS]])=0,"",S1MATbl[[#This Row],[UNRESTRICTED UNITS]])</f>
        <v/>
      </c>
      <c r="E5" s="74" t="str">
        <f xml:space="preserve">
IF(S1MATbl[[#This Row],[UNRESTRICTED FUNDING REQUESTED]]=0,"",
S1MATbl[[#This Row],[UNRESTRICTED FUNDING REQUESTED]]*
IF(S1_MA_UnrestrictedTotalRequested&lt;=5000000,1,
5000000/S1_MA_UnrestrictedTotalRequested)
)</f>
        <v/>
      </c>
      <c r="F5" s="6" t="str">
        <f>IFERROR(S1MATbl[[#This Row],[TOTAL $ REQUESTED]]/SUM(S1MATbl[TOTAL $ REQUESTED]),"")</f>
        <v/>
      </c>
      <c r="G5" s="31" t="s">
        <v>513</v>
      </c>
      <c r="H5" s="256" t="str">
        <f>IF(SUM(S1MATbl[[#This Row],[RURAL UNITS]])=0,"",S1MATbl[[#This Row],[RURAL UNITS]])</f>
        <v/>
      </c>
      <c r="I5" s="306" t="str">
        <f xml:space="preserve">
IF(S1MATbl[[#This Row],[RURAL FUNDING REQUESTED]]=0,"",
S1MATbl[[#This Row],[RURAL FUNDING REQUESTED]]*
IF(S1_MA_RuralTotalRequested&lt;=(5000000-E$61),1,
(5000000-E$61)/S1_MA_RuralTotalRequested)
)</f>
        <v/>
      </c>
      <c r="J5" s="257" t="str">
        <f>IFERROR(S1MATbl[[#This Row],[TOTAL $ REQUESTED2]]/SUM(S1MATbl[TOTAL $ REQUESTED2]),"")</f>
        <v/>
      </c>
      <c r="K5" s="31" t="s">
        <v>513</v>
      </c>
      <c r="L5" s="163"/>
      <c r="M5" s="164"/>
      <c r="N5" s="165"/>
      <c r="O5" s="123"/>
      <c r="P5" s="161"/>
      <c r="Q5" s="161"/>
      <c r="R5" s="161"/>
      <c r="S5" s="161"/>
      <c r="T5" s="98">
        <f t="shared" si="0"/>
        <v>0</v>
      </c>
      <c r="U5" s="6">
        <f>IF(S1MATbl[[#This Row],[UNRESTRICTED FUNDING REQUESTED]]=0,0,S1MATbl[[#This Row],[UNRESTRICTED FUNDING REQUESTED]]/S1_MA_UnrestrictedTotalRequested)</f>
        <v>0</v>
      </c>
      <c r="V5" s="444">
        <f xml:space="preserve">
IF(S1MATbl[[#This Row],[NEW CONSTRUCTION OR AQUIRE/REHAB]]&lt;&gt;"",
3+IF(S1MATbl[[#This Row],[INFILL SITE]]="Yes",2,0),0)
*S1MATbl[[#This Row],[% OF TOTAL UNRESTRICTED FUNDING]]</f>
        <v>0</v>
      </c>
      <c r="W5" s="7">
        <f>IF(S1MATbl[[#This Row],[ALL UNITS IN A HIGH OR HIGHEST RESOURCE AREA]]="Yes",10*S1MATbl[[#This Row],[% OF TOTAL UNRESTRICTED FUNDING]],0)</f>
        <v>0</v>
      </c>
      <c r="X5" s="7" cm="1">
        <f t="array" ref="X5">INDEX(CountyScoresTbl[Community Need Total Points],ROW(S1MATbl[[#This Row],[COUNTY]])-2,1)*S1MATbl[[#This Row],[% OF TOTAL UNRESTRICTED FUNDING]]</f>
        <v>0</v>
      </c>
      <c r="Y5" s="432" cm="1">
        <f t="array" ref="Y5"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 s="26" cm="1">
        <f t="array" ref="Z5">INDEX(CountyScoresTbl[Farmworker Need Points Awarded],ROW(S1MATbl[[#This Row],[COUNTY]])-2,1)*S1MATbl[[#This Row],[% OF TOTAL UNRESTRICTED FUNDING]]</f>
        <v>0</v>
      </c>
      <c r="AA5" s="123"/>
      <c r="AB5" s="161"/>
      <c r="AC5" s="161"/>
      <c r="AD5" s="161"/>
      <c r="AE5" s="161"/>
      <c r="AF5" s="98">
        <f t="shared" si="1"/>
        <v>0</v>
      </c>
      <c r="AG5" s="6">
        <f>IF(S1MATbl[[#This Row],[RURAL FUNDING REQUESTED]]=0,0,S1MATbl[[#This Row],[RURAL FUNDING REQUESTED]]/S1_MA_RuralTotalRequested)</f>
        <v>0</v>
      </c>
      <c r="AH5" s="444">
        <f xml:space="preserve">
IF(S1MATbl[[#This Row],[NEW CONSTRUCTION OR AQUIRE/REHAB]]&lt;&gt;"",
3+IF(S1MATbl[[#This Row],[INFILL SITE]]="Yes",2,0),0)
*S1MATbl[[#This Row],[% OF TOTAL RURAL FUNDING]]</f>
        <v>0</v>
      </c>
      <c r="AI5" s="7">
        <f>IF(S1MATbl[[#This Row],[ALL UNITS IN A HIGH OR HIGHEST RESOURCE AREA]]="Yes",10*S1MATbl[[#This Row],[% OF TOTAL RURAL FUNDING]],0)</f>
        <v>0</v>
      </c>
      <c r="AJ5" s="7" cm="1">
        <f t="array" ref="AJ5">INDEX(CountyScoresTbl[Community Need Total Points],ROW(S1MATbl[[#This Row],[COUNTY]])-2,1)*S1MATbl[[#This Row],[% OF TOTAL RURAL FUNDING]]</f>
        <v>0</v>
      </c>
      <c r="AK5" s="432" cm="1">
        <f t="array" ref="AK5"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 s="73" cm="1">
        <f t="array" ref="AL5">INDEX(CountyScoresTbl[Farmworker Need Points Awarded],ROW(S1MATbl[[#This Row],[COUNTY]])-2,1)*S1MATbl[[#This Row],[% OF TOTAL RURAL FUNDING]]</f>
        <v>0</v>
      </c>
      <c r="AM5" s="422"/>
      <c r="AN5" s="422"/>
      <c r="AO5" s="422"/>
    </row>
    <row r="6" spans="1:41" x14ac:dyDescent="0.35">
      <c r="A6" s="167"/>
      <c r="B6" s="5" t="s">
        <v>118</v>
      </c>
      <c r="C6" s="31" t="s">
        <v>513</v>
      </c>
      <c r="D6" s="113" t="str">
        <f>IF(SUM(S1MATbl[[#This Row],[UNRESTRICTED UNITS]])=0,"",S1MATbl[[#This Row],[UNRESTRICTED UNITS]])</f>
        <v/>
      </c>
      <c r="E6" s="74" t="str">
        <f xml:space="preserve">
IF(S1MATbl[[#This Row],[UNRESTRICTED FUNDING REQUESTED]]=0,"",
S1MATbl[[#This Row],[UNRESTRICTED FUNDING REQUESTED]]*
IF(S1_MA_UnrestrictedTotalRequested&lt;=5000000,1,
5000000/S1_MA_UnrestrictedTotalRequested)
)</f>
        <v/>
      </c>
      <c r="F6" s="6" t="str">
        <f>IFERROR(S1MATbl[[#This Row],[TOTAL $ REQUESTED]]/SUM(S1MATbl[TOTAL $ REQUESTED]),"")</f>
        <v/>
      </c>
      <c r="G6" s="31" t="s">
        <v>513</v>
      </c>
      <c r="H6" s="256" t="str">
        <f>IF(SUM(S1MATbl[[#This Row],[RURAL UNITS]])=0,"",S1MATbl[[#This Row],[RURAL UNITS]])</f>
        <v/>
      </c>
      <c r="I6" s="306" t="str">
        <f xml:space="preserve">
IF(S1MATbl[[#This Row],[RURAL FUNDING REQUESTED]]=0,"",
S1MATbl[[#This Row],[RURAL FUNDING REQUESTED]]*
IF(S1_MA_RuralTotalRequested&lt;=(5000000-E$61),1,
(5000000-E$61)/S1_MA_RuralTotalRequested)
)</f>
        <v/>
      </c>
      <c r="J6" s="257" t="str">
        <f>IFERROR(S1MATbl[[#This Row],[TOTAL $ REQUESTED2]]/SUM(S1MATbl[TOTAL $ REQUESTED2]),"")</f>
        <v/>
      </c>
      <c r="K6" s="31" t="s">
        <v>513</v>
      </c>
      <c r="L6" s="163" t="s">
        <v>504</v>
      </c>
      <c r="M6" s="164" t="s">
        <v>504</v>
      </c>
      <c r="N6" s="165"/>
      <c r="O6" s="123"/>
      <c r="P6" s="161"/>
      <c r="Q6" s="161"/>
      <c r="R6" s="161"/>
      <c r="S6" s="161"/>
      <c r="T6" s="98">
        <f t="shared" si="0"/>
        <v>0</v>
      </c>
      <c r="U6" s="6">
        <f>IF(S1MATbl[[#This Row],[UNRESTRICTED FUNDING REQUESTED]]=0,0,S1MATbl[[#This Row],[UNRESTRICTED FUNDING REQUESTED]]/S1_MA_UnrestrictedTotalRequested)</f>
        <v>0</v>
      </c>
      <c r="V6" s="444">
        <f xml:space="preserve">
IF(S1MATbl[[#This Row],[NEW CONSTRUCTION OR AQUIRE/REHAB]]&lt;&gt;"",
3+IF(S1MATbl[[#This Row],[INFILL SITE]]="Yes",2,0),0)
*S1MATbl[[#This Row],[% OF TOTAL UNRESTRICTED FUNDING]]</f>
        <v>0</v>
      </c>
      <c r="W6" s="7">
        <f>IF(S1MATbl[[#This Row],[ALL UNITS IN A HIGH OR HIGHEST RESOURCE AREA]]="Yes",10*S1MATbl[[#This Row],[% OF TOTAL UNRESTRICTED FUNDING]],0)</f>
        <v>0</v>
      </c>
      <c r="X6" s="7" cm="1">
        <f t="array" ref="X6">INDEX(CountyScoresTbl[Community Need Total Points],ROW(S1MATbl[[#This Row],[COUNTY]])-2,1)*S1MATbl[[#This Row],[% OF TOTAL UNRESTRICTED FUNDING]]</f>
        <v>0</v>
      </c>
      <c r="Y6" s="432" cm="1">
        <f t="array" ref="Y6"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6" s="26" cm="1">
        <f t="array" ref="Z6">INDEX(CountyScoresTbl[Farmworker Need Points Awarded],ROW(S1MATbl[[#This Row],[COUNTY]])-2,1)*S1MATbl[[#This Row],[% OF TOTAL UNRESTRICTED FUNDING]]</f>
        <v>0</v>
      </c>
      <c r="AA6" s="123"/>
      <c r="AB6" s="161"/>
      <c r="AC6" s="161"/>
      <c r="AD6" s="161"/>
      <c r="AE6" s="161"/>
      <c r="AF6" s="98">
        <f t="shared" si="1"/>
        <v>0</v>
      </c>
      <c r="AG6" s="6">
        <f>IF(S1MATbl[[#This Row],[RURAL FUNDING REQUESTED]]=0,0,S1MATbl[[#This Row],[RURAL FUNDING REQUESTED]]/S1_MA_RuralTotalRequested)</f>
        <v>0</v>
      </c>
      <c r="AH6" s="444">
        <f xml:space="preserve">
IF(S1MATbl[[#This Row],[NEW CONSTRUCTION OR AQUIRE/REHAB]]&lt;&gt;"",
3+IF(S1MATbl[[#This Row],[INFILL SITE]]="Yes",2,0),0)
*S1MATbl[[#This Row],[% OF TOTAL RURAL FUNDING]]</f>
        <v>0</v>
      </c>
      <c r="AI6" s="7">
        <f>IF(S1MATbl[[#This Row],[ALL UNITS IN A HIGH OR HIGHEST RESOURCE AREA]]="Yes",10*S1MATbl[[#This Row],[% OF TOTAL RURAL FUNDING]],0)</f>
        <v>0</v>
      </c>
      <c r="AJ6" s="7" cm="1">
        <f t="array" ref="AJ6">INDEX(CountyScoresTbl[Community Need Total Points],ROW(S1MATbl[[#This Row],[COUNTY]])-2,1)*S1MATbl[[#This Row],[% OF TOTAL RURAL FUNDING]]</f>
        <v>0</v>
      </c>
      <c r="AK6" s="432" cm="1">
        <f t="array" ref="AK6"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6" s="73" cm="1">
        <f t="array" ref="AL6">INDEX(CountyScoresTbl[Farmworker Need Points Awarded],ROW(S1MATbl[[#This Row],[COUNTY]])-2,1)*S1MATbl[[#This Row],[% OF TOTAL RURAL FUNDING]]</f>
        <v>0</v>
      </c>
      <c r="AM6" s="422"/>
      <c r="AN6" s="422"/>
      <c r="AO6" s="422"/>
    </row>
    <row r="7" spans="1:41" x14ac:dyDescent="0.35">
      <c r="A7" s="167"/>
      <c r="B7" s="5" t="s">
        <v>119</v>
      </c>
      <c r="C7" s="31" t="s">
        <v>513</v>
      </c>
      <c r="D7" s="113" t="str">
        <f>IF(SUM(S1MATbl[[#This Row],[UNRESTRICTED UNITS]])=0,"",S1MATbl[[#This Row],[UNRESTRICTED UNITS]])</f>
        <v/>
      </c>
      <c r="E7" s="74" t="str">
        <f xml:space="preserve">
IF(S1MATbl[[#This Row],[UNRESTRICTED FUNDING REQUESTED]]=0,"",
S1MATbl[[#This Row],[UNRESTRICTED FUNDING REQUESTED]]*
IF(S1_MA_UnrestrictedTotalRequested&lt;=5000000,1,
5000000/S1_MA_UnrestrictedTotalRequested)
)</f>
        <v/>
      </c>
      <c r="F7" s="6" t="str">
        <f>IFERROR(S1MATbl[[#This Row],[TOTAL $ REQUESTED]]/SUM(S1MATbl[TOTAL $ REQUESTED]),"")</f>
        <v/>
      </c>
      <c r="G7" s="31" t="s">
        <v>513</v>
      </c>
      <c r="H7" s="256" t="str">
        <f>IF(SUM(S1MATbl[[#This Row],[RURAL UNITS]])=0,"",S1MATbl[[#This Row],[RURAL UNITS]])</f>
        <v/>
      </c>
      <c r="I7" s="306" t="str">
        <f xml:space="preserve">
IF(S1MATbl[[#This Row],[RURAL FUNDING REQUESTED]]=0,"",
S1MATbl[[#This Row],[RURAL FUNDING REQUESTED]]*
IF(S1_MA_RuralTotalRequested&lt;=(5000000-E$61),1,
(5000000-E$61)/S1_MA_RuralTotalRequested)
)</f>
        <v/>
      </c>
      <c r="J7" s="257" t="str">
        <f>IFERROR(S1MATbl[[#This Row],[TOTAL $ REQUESTED2]]/SUM(S1MATbl[TOTAL $ REQUESTED2]),"")</f>
        <v/>
      </c>
      <c r="K7" s="31" t="s">
        <v>513</v>
      </c>
      <c r="L7" s="163"/>
      <c r="M7" s="164"/>
      <c r="N7" s="165"/>
      <c r="O7" s="123"/>
      <c r="P7" s="161"/>
      <c r="Q7" s="161"/>
      <c r="R7" s="161"/>
      <c r="S7" s="161"/>
      <c r="T7" s="98">
        <f t="shared" si="0"/>
        <v>0</v>
      </c>
      <c r="U7" s="6">
        <f>IF(S1MATbl[[#This Row],[UNRESTRICTED FUNDING REQUESTED]]=0,0,S1MATbl[[#This Row],[UNRESTRICTED FUNDING REQUESTED]]/S1_MA_UnrestrictedTotalRequested)</f>
        <v>0</v>
      </c>
      <c r="V7" s="444">
        <f xml:space="preserve">
IF(S1MATbl[[#This Row],[NEW CONSTRUCTION OR AQUIRE/REHAB]]&lt;&gt;"",
3+IF(S1MATbl[[#This Row],[INFILL SITE]]="Yes",2,0),0)
*S1MATbl[[#This Row],[% OF TOTAL UNRESTRICTED FUNDING]]</f>
        <v>0</v>
      </c>
      <c r="W7" s="7">
        <f>IF(S1MATbl[[#This Row],[ALL UNITS IN A HIGH OR HIGHEST RESOURCE AREA]]="Yes",10*S1MATbl[[#This Row],[% OF TOTAL UNRESTRICTED FUNDING]],0)</f>
        <v>0</v>
      </c>
      <c r="X7" s="7" cm="1">
        <f t="array" ref="X7">INDEX(CountyScoresTbl[Community Need Total Points],ROW(S1MATbl[[#This Row],[COUNTY]])-2,1)*S1MATbl[[#This Row],[% OF TOTAL UNRESTRICTED FUNDING]]</f>
        <v>0</v>
      </c>
      <c r="Y7" s="432" cm="1">
        <f t="array" ref="Y7"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7" s="26" cm="1">
        <f t="array" ref="Z7">INDEX(CountyScoresTbl[Farmworker Need Points Awarded],ROW(S1MATbl[[#This Row],[COUNTY]])-2,1)*S1MATbl[[#This Row],[% OF TOTAL UNRESTRICTED FUNDING]]</f>
        <v>0</v>
      </c>
      <c r="AA7" s="123"/>
      <c r="AB7" s="161"/>
      <c r="AC7" s="161"/>
      <c r="AD7" s="161"/>
      <c r="AE7" s="161"/>
      <c r="AF7" s="98">
        <f t="shared" si="1"/>
        <v>0</v>
      </c>
      <c r="AG7" s="6">
        <f>IF(S1MATbl[[#This Row],[RURAL FUNDING REQUESTED]]=0,0,S1MATbl[[#This Row],[RURAL FUNDING REQUESTED]]/S1_MA_RuralTotalRequested)</f>
        <v>0</v>
      </c>
      <c r="AH7" s="444">
        <f xml:space="preserve">
IF(S1MATbl[[#This Row],[NEW CONSTRUCTION OR AQUIRE/REHAB]]&lt;&gt;"",
3+IF(S1MATbl[[#This Row],[INFILL SITE]]="Yes",2,0),0)
*S1MATbl[[#This Row],[% OF TOTAL RURAL FUNDING]]</f>
        <v>0</v>
      </c>
      <c r="AI7" s="7">
        <f>IF(S1MATbl[[#This Row],[ALL UNITS IN A HIGH OR HIGHEST RESOURCE AREA]]="Yes",10*S1MATbl[[#This Row],[% OF TOTAL RURAL FUNDING]],0)</f>
        <v>0</v>
      </c>
      <c r="AJ7" s="7" cm="1">
        <f t="array" ref="AJ7">INDEX(CountyScoresTbl[Community Need Total Points],ROW(S1MATbl[[#This Row],[COUNTY]])-2,1)*S1MATbl[[#This Row],[% OF TOTAL RURAL FUNDING]]</f>
        <v>0</v>
      </c>
      <c r="AK7" s="432" cm="1">
        <f t="array" ref="AK7"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7" s="73" cm="1">
        <f t="array" ref="AL7">INDEX(CountyScoresTbl[Farmworker Need Points Awarded],ROW(S1MATbl[[#This Row],[COUNTY]])-2,1)*S1MATbl[[#This Row],[% OF TOTAL RURAL FUNDING]]</f>
        <v>0</v>
      </c>
      <c r="AM7" s="422"/>
      <c r="AN7" s="422"/>
      <c r="AO7" s="422"/>
    </row>
    <row r="8" spans="1:41" x14ac:dyDescent="0.35">
      <c r="A8" s="167"/>
      <c r="B8" s="5" t="s">
        <v>120</v>
      </c>
      <c r="C8" s="31" t="s">
        <v>513</v>
      </c>
      <c r="D8" s="113" t="str">
        <f>IF(SUM(S1MATbl[[#This Row],[UNRESTRICTED UNITS]])=0,"",S1MATbl[[#This Row],[UNRESTRICTED UNITS]])</f>
        <v/>
      </c>
      <c r="E8" s="74" t="str">
        <f xml:space="preserve">
IF(S1MATbl[[#This Row],[UNRESTRICTED FUNDING REQUESTED]]=0,"",
S1MATbl[[#This Row],[UNRESTRICTED FUNDING REQUESTED]]*
IF(S1_MA_UnrestrictedTotalRequested&lt;=5000000,1,
5000000/S1_MA_UnrestrictedTotalRequested)
)</f>
        <v/>
      </c>
      <c r="F8" s="6" t="str">
        <f>IFERROR(S1MATbl[[#This Row],[TOTAL $ REQUESTED]]/SUM(S1MATbl[TOTAL $ REQUESTED]),"")</f>
        <v/>
      </c>
      <c r="G8" s="31" t="s">
        <v>513</v>
      </c>
      <c r="H8" s="256" t="str">
        <f>IF(SUM(S1MATbl[[#This Row],[RURAL UNITS]])=0,"",S1MATbl[[#This Row],[RURAL UNITS]])</f>
        <v/>
      </c>
      <c r="I8" s="306" t="str">
        <f xml:space="preserve">
IF(S1MATbl[[#This Row],[RURAL FUNDING REQUESTED]]=0,"",
S1MATbl[[#This Row],[RURAL FUNDING REQUESTED]]*
IF(S1_MA_RuralTotalRequested&lt;=(5000000-E$61),1,
(5000000-E$61)/S1_MA_RuralTotalRequested)
)</f>
        <v/>
      </c>
      <c r="J8" s="257" t="str">
        <f>IFERROR(S1MATbl[[#This Row],[TOTAL $ REQUESTED2]]/SUM(S1MATbl[TOTAL $ REQUESTED2]),"")</f>
        <v/>
      </c>
      <c r="K8" s="31" t="s">
        <v>513</v>
      </c>
      <c r="L8" s="163"/>
      <c r="M8" s="164"/>
      <c r="N8" s="165"/>
      <c r="O8" s="123"/>
      <c r="P8" s="161"/>
      <c r="Q8" s="161"/>
      <c r="R8" s="161"/>
      <c r="S8" s="161"/>
      <c r="T8" s="98">
        <f t="shared" si="0"/>
        <v>0</v>
      </c>
      <c r="U8" s="6">
        <f>IF(S1MATbl[[#This Row],[UNRESTRICTED FUNDING REQUESTED]]=0,0,S1MATbl[[#This Row],[UNRESTRICTED FUNDING REQUESTED]]/S1_MA_UnrestrictedTotalRequested)</f>
        <v>0</v>
      </c>
      <c r="V8" s="444">
        <f xml:space="preserve">
IF(S1MATbl[[#This Row],[NEW CONSTRUCTION OR AQUIRE/REHAB]]&lt;&gt;"",
3+IF(S1MATbl[[#This Row],[INFILL SITE]]="Yes",2,0),0)
*S1MATbl[[#This Row],[% OF TOTAL UNRESTRICTED FUNDING]]</f>
        <v>0</v>
      </c>
      <c r="W8" s="7">
        <f>IF(S1MATbl[[#This Row],[ALL UNITS IN A HIGH OR HIGHEST RESOURCE AREA]]="Yes",10*S1MATbl[[#This Row],[% OF TOTAL UNRESTRICTED FUNDING]],0)</f>
        <v>0</v>
      </c>
      <c r="X8" s="7" cm="1">
        <f t="array" ref="X8">INDEX(CountyScoresTbl[Community Need Total Points],ROW(S1MATbl[[#This Row],[COUNTY]])-2,1)*S1MATbl[[#This Row],[% OF TOTAL UNRESTRICTED FUNDING]]</f>
        <v>0</v>
      </c>
      <c r="Y8" s="432" cm="1">
        <f t="array" ref="Y8"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8" s="26" cm="1">
        <f t="array" ref="Z8">INDEX(CountyScoresTbl[Farmworker Need Points Awarded],ROW(S1MATbl[[#This Row],[COUNTY]])-2,1)*S1MATbl[[#This Row],[% OF TOTAL UNRESTRICTED FUNDING]]</f>
        <v>0</v>
      </c>
      <c r="AA8" s="123"/>
      <c r="AB8" s="161"/>
      <c r="AC8" s="161"/>
      <c r="AD8" s="161"/>
      <c r="AE8" s="161"/>
      <c r="AF8" s="98">
        <f t="shared" si="1"/>
        <v>0</v>
      </c>
      <c r="AG8" s="6">
        <f>IF(S1MATbl[[#This Row],[RURAL FUNDING REQUESTED]]=0,0,S1MATbl[[#This Row],[RURAL FUNDING REQUESTED]]/S1_MA_RuralTotalRequested)</f>
        <v>0</v>
      </c>
      <c r="AH8" s="444">
        <f xml:space="preserve">
IF(S1MATbl[[#This Row],[NEW CONSTRUCTION OR AQUIRE/REHAB]]&lt;&gt;"",
3+IF(S1MATbl[[#This Row],[INFILL SITE]]="Yes",2,0),0)
*S1MATbl[[#This Row],[% OF TOTAL RURAL FUNDING]]</f>
        <v>0</v>
      </c>
      <c r="AI8" s="7">
        <f>IF(S1MATbl[[#This Row],[ALL UNITS IN A HIGH OR HIGHEST RESOURCE AREA]]="Yes",10*S1MATbl[[#This Row],[% OF TOTAL RURAL FUNDING]],0)</f>
        <v>0</v>
      </c>
      <c r="AJ8" s="7" cm="1">
        <f t="array" ref="AJ8">INDEX(CountyScoresTbl[Community Need Total Points],ROW(S1MATbl[[#This Row],[COUNTY]])-2,1)*S1MATbl[[#This Row],[% OF TOTAL RURAL FUNDING]]</f>
        <v>0</v>
      </c>
      <c r="AK8" s="432" cm="1">
        <f t="array" ref="AK8"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8" s="73" cm="1">
        <f t="array" ref="AL8">INDEX(CountyScoresTbl[Farmworker Need Points Awarded],ROW(S1MATbl[[#This Row],[COUNTY]])-2,1)*S1MATbl[[#This Row],[% OF TOTAL RURAL FUNDING]]</f>
        <v>0</v>
      </c>
      <c r="AM8" s="422"/>
      <c r="AN8" s="422"/>
      <c r="AO8" s="422"/>
    </row>
    <row r="9" spans="1:41" x14ac:dyDescent="0.35">
      <c r="A9" s="167"/>
      <c r="B9" s="5" t="s">
        <v>121</v>
      </c>
      <c r="C9" s="31" t="s">
        <v>513</v>
      </c>
      <c r="D9" s="113" t="str">
        <f>IF(SUM(S1MATbl[[#This Row],[UNRESTRICTED UNITS]])=0,"",S1MATbl[[#This Row],[UNRESTRICTED UNITS]])</f>
        <v/>
      </c>
      <c r="E9" s="74" t="str">
        <f xml:space="preserve">
IF(S1MATbl[[#This Row],[UNRESTRICTED FUNDING REQUESTED]]=0,"",
S1MATbl[[#This Row],[UNRESTRICTED FUNDING REQUESTED]]*
IF(S1_MA_UnrestrictedTotalRequested&lt;=5000000,1,
5000000/S1_MA_UnrestrictedTotalRequested)
)</f>
        <v/>
      </c>
      <c r="F9" s="6" t="str">
        <f>IFERROR(S1MATbl[[#This Row],[TOTAL $ REQUESTED]]/SUM(S1MATbl[TOTAL $ REQUESTED]),"")</f>
        <v/>
      </c>
      <c r="G9" s="31" t="s">
        <v>513</v>
      </c>
      <c r="H9" s="256" t="str">
        <f>IF(SUM(S1MATbl[[#This Row],[RURAL UNITS]])=0,"",S1MATbl[[#This Row],[RURAL UNITS]])</f>
        <v/>
      </c>
      <c r="I9" s="306" t="str">
        <f xml:space="preserve">
IF(S1MATbl[[#This Row],[RURAL FUNDING REQUESTED]]=0,"",
S1MATbl[[#This Row],[RURAL FUNDING REQUESTED]]*
IF(S1_MA_RuralTotalRequested&lt;=(5000000-E$61),1,
(5000000-E$61)/S1_MA_RuralTotalRequested)
)</f>
        <v/>
      </c>
      <c r="J9" s="257" t="str">
        <f>IFERROR(S1MATbl[[#This Row],[TOTAL $ REQUESTED2]]/SUM(S1MATbl[TOTAL $ REQUESTED2]),"")</f>
        <v/>
      </c>
      <c r="K9" s="31" t="s">
        <v>513</v>
      </c>
      <c r="L9" s="163"/>
      <c r="M9" s="164"/>
      <c r="N9" s="165"/>
      <c r="O9" s="123"/>
      <c r="P9" s="161"/>
      <c r="Q9" s="161"/>
      <c r="R9" s="161"/>
      <c r="S9" s="161"/>
      <c r="T9" s="98">
        <f t="shared" si="0"/>
        <v>0</v>
      </c>
      <c r="U9" s="6">
        <f>IF(S1MATbl[[#This Row],[UNRESTRICTED FUNDING REQUESTED]]=0,0,S1MATbl[[#This Row],[UNRESTRICTED FUNDING REQUESTED]]/S1_MA_UnrestrictedTotalRequested)</f>
        <v>0</v>
      </c>
      <c r="V9" s="444">
        <f xml:space="preserve">
IF(S1MATbl[[#This Row],[NEW CONSTRUCTION OR AQUIRE/REHAB]]&lt;&gt;"",
3+IF(S1MATbl[[#This Row],[INFILL SITE]]="Yes",2,0),0)
*S1MATbl[[#This Row],[% OF TOTAL UNRESTRICTED FUNDING]]</f>
        <v>0</v>
      </c>
      <c r="W9" s="7">
        <f>IF(S1MATbl[[#This Row],[ALL UNITS IN A HIGH OR HIGHEST RESOURCE AREA]]="Yes",10*S1MATbl[[#This Row],[% OF TOTAL UNRESTRICTED FUNDING]],0)</f>
        <v>0</v>
      </c>
      <c r="X9" s="7" cm="1">
        <f t="array" ref="X9">INDEX(CountyScoresTbl[Community Need Total Points],ROW(S1MATbl[[#This Row],[COUNTY]])-2,1)*S1MATbl[[#This Row],[% OF TOTAL UNRESTRICTED FUNDING]]</f>
        <v>0</v>
      </c>
      <c r="Y9" s="432" cm="1">
        <f t="array" ref="Y9"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9" s="26" cm="1">
        <f t="array" ref="Z9">INDEX(CountyScoresTbl[Farmworker Need Points Awarded],ROW(S1MATbl[[#This Row],[COUNTY]])-2,1)*S1MATbl[[#This Row],[% OF TOTAL UNRESTRICTED FUNDING]]</f>
        <v>0</v>
      </c>
      <c r="AA9" s="123"/>
      <c r="AB9" s="161"/>
      <c r="AC9" s="161"/>
      <c r="AD9" s="161"/>
      <c r="AE9" s="161"/>
      <c r="AF9" s="98">
        <f t="shared" si="1"/>
        <v>0</v>
      </c>
      <c r="AG9" s="6">
        <f>IF(S1MATbl[[#This Row],[RURAL FUNDING REQUESTED]]=0,0,S1MATbl[[#This Row],[RURAL FUNDING REQUESTED]]/S1_MA_RuralTotalRequested)</f>
        <v>0</v>
      </c>
      <c r="AH9" s="444">
        <f xml:space="preserve">
IF(S1MATbl[[#This Row],[NEW CONSTRUCTION OR AQUIRE/REHAB]]&lt;&gt;"",
3+IF(S1MATbl[[#This Row],[INFILL SITE]]="Yes",2,0),0)
*S1MATbl[[#This Row],[% OF TOTAL RURAL FUNDING]]</f>
        <v>0</v>
      </c>
      <c r="AI9" s="7">
        <f>IF(S1MATbl[[#This Row],[ALL UNITS IN A HIGH OR HIGHEST RESOURCE AREA]]="Yes",10*S1MATbl[[#This Row],[% OF TOTAL RURAL FUNDING]],0)</f>
        <v>0</v>
      </c>
      <c r="AJ9" s="7" cm="1">
        <f t="array" ref="AJ9">INDEX(CountyScoresTbl[Community Need Total Points],ROW(S1MATbl[[#This Row],[COUNTY]])-2,1)*S1MATbl[[#This Row],[% OF TOTAL RURAL FUNDING]]</f>
        <v>0</v>
      </c>
      <c r="AK9" s="432" cm="1">
        <f t="array" ref="AK9"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9" s="73" cm="1">
        <f t="array" ref="AL9">INDEX(CountyScoresTbl[Farmworker Need Points Awarded],ROW(S1MATbl[[#This Row],[COUNTY]])-2,1)*S1MATbl[[#This Row],[% OF TOTAL RURAL FUNDING]]</f>
        <v>0</v>
      </c>
      <c r="AM9" s="422"/>
      <c r="AN9" s="422"/>
      <c r="AO9" s="422"/>
    </row>
    <row r="10" spans="1:41" x14ac:dyDescent="0.35">
      <c r="A10" s="167"/>
      <c r="B10" s="5" t="s">
        <v>122</v>
      </c>
      <c r="C10" s="31" t="s">
        <v>513</v>
      </c>
      <c r="D10" s="113" t="str">
        <f>IF(SUM(S1MATbl[[#This Row],[UNRESTRICTED UNITS]])=0,"",S1MATbl[[#This Row],[UNRESTRICTED UNITS]])</f>
        <v/>
      </c>
      <c r="E10" s="74" t="str">
        <f xml:space="preserve">
IF(S1MATbl[[#This Row],[UNRESTRICTED FUNDING REQUESTED]]=0,"",
S1MATbl[[#This Row],[UNRESTRICTED FUNDING REQUESTED]]*
IF(S1_MA_UnrestrictedTotalRequested&lt;=5000000,1,
5000000/S1_MA_UnrestrictedTotalRequested)
)</f>
        <v/>
      </c>
      <c r="F10" s="6" t="str">
        <f>IFERROR(S1MATbl[[#This Row],[TOTAL $ REQUESTED]]/SUM(S1MATbl[TOTAL $ REQUESTED]),"")</f>
        <v/>
      </c>
      <c r="G10" s="31" t="s">
        <v>513</v>
      </c>
      <c r="H10" s="256" t="str">
        <f>IF(SUM(S1MATbl[[#This Row],[RURAL UNITS]])=0,"",S1MATbl[[#This Row],[RURAL UNITS]])</f>
        <v/>
      </c>
      <c r="I10" s="306" t="str">
        <f xml:space="preserve">
IF(S1MATbl[[#This Row],[RURAL FUNDING REQUESTED]]=0,"",
S1MATbl[[#This Row],[RURAL FUNDING REQUESTED]]*
IF(S1_MA_RuralTotalRequested&lt;=(5000000-E$61),1,
(5000000-E$61)/S1_MA_RuralTotalRequested)
)</f>
        <v/>
      </c>
      <c r="J10" s="257" t="str">
        <f>IFERROR(S1MATbl[[#This Row],[TOTAL $ REQUESTED2]]/SUM(S1MATbl[TOTAL $ REQUESTED2]),"")</f>
        <v/>
      </c>
      <c r="K10" s="31" t="s">
        <v>513</v>
      </c>
      <c r="L10" s="163"/>
      <c r="M10" s="164"/>
      <c r="N10" s="165"/>
      <c r="O10" s="123"/>
      <c r="P10" s="161"/>
      <c r="Q10" s="161"/>
      <c r="R10" s="161"/>
      <c r="S10" s="161"/>
      <c r="T10" s="98">
        <f t="shared" si="0"/>
        <v>0</v>
      </c>
      <c r="U10" s="6">
        <f>IF(S1MATbl[[#This Row],[UNRESTRICTED FUNDING REQUESTED]]=0,0,S1MATbl[[#This Row],[UNRESTRICTED FUNDING REQUESTED]]/S1_MA_UnrestrictedTotalRequested)</f>
        <v>0</v>
      </c>
      <c r="V10" s="444">
        <f xml:space="preserve">
IF(S1MATbl[[#This Row],[NEW CONSTRUCTION OR AQUIRE/REHAB]]&lt;&gt;"",
3+IF(S1MATbl[[#This Row],[INFILL SITE]]="Yes",2,0),0)
*S1MATbl[[#This Row],[% OF TOTAL UNRESTRICTED FUNDING]]</f>
        <v>0</v>
      </c>
      <c r="W10" s="7">
        <f>IF(S1MATbl[[#This Row],[ALL UNITS IN A HIGH OR HIGHEST RESOURCE AREA]]="Yes",10*S1MATbl[[#This Row],[% OF TOTAL UNRESTRICTED FUNDING]],0)</f>
        <v>0</v>
      </c>
      <c r="X10" s="7" cm="1">
        <f t="array" ref="X10">INDEX(CountyScoresTbl[Community Need Total Points],ROW(S1MATbl[[#This Row],[COUNTY]])-2,1)*S1MATbl[[#This Row],[% OF TOTAL UNRESTRICTED FUNDING]]</f>
        <v>0</v>
      </c>
      <c r="Y10" s="432" cm="1">
        <f t="array" ref="Y10"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0" s="26" cm="1">
        <f t="array" ref="Z10">INDEX(CountyScoresTbl[Farmworker Need Points Awarded],ROW(S1MATbl[[#This Row],[COUNTY]])-2,1)*S1MATbl[[#This Row],[% OF TOTAL UNRESTRICTED FUNDING]]</f>
        <v>0</v>
      </c>
      <c r="AA10" s="123"/>
      <c r="AB10" s="161"/>
      <c r="AC10" s="161"/>
      <c r="AD10" s="161"/>
      <c r="AE10" s="161"/>
      <c r="AF10" s="98">
        <f t="shared" si="1"/>
        <v>0</v>
      </c>
      <c r="AG10" s="6">
        <f>IF(S1MATbl[[#This Row],[RURAL FUNDING REQUESTED]]=0,0,S1MATbl[[#This Row],[RURAL FUNDING REQUESTED]]/S1_MA_RuralTotalRequested)</f>
        <v>0</v>
      </c>
      <c r="AH10" s="444">
        <f xml:space="preserve">
IF(S1MATbl[[#This Row],[NEW CONSTRUCTION OR AQUIRE/REHAB]]&lt;&gt;"",
3+IF(S1MATbl[[#This Row],[INFILL SITE]]="Yes",2,0),0)
*S1MATbl[[#This Row],[% OF TOTAL RURAL FUNDING]]</f>
        <v>0</v>
      </c>
      <c r="AI10" s="7">
        <f>IF(S1MATbl[[#This Row],[ALL UNITS IN A HIGH OR HIGHEST RESOURCE AREA]]="Yes",10*S1MATbl[[#This Row],[% OF TOTAL RURAL FUNDING]],0)</f>
        <v>0</v>
      </c>
      <c r="AJ10" s="7" cm="1">
        <f t="array" ref="AJ10">INDEX(CountyScoresTbl[Community Need Total Points],ROW(S1MATbl[[#This Row],[COUNTY]])-2,1)*S1MATbl[[#This Row],[% OF TOTAL RURAL FUNDING]]</f>
        <v>0</v>
      </c>
      <c r="AK10" s="432" cm="1">
        <f t="array" ref="AK10"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0" s="73" cm="1">
        <f t="array" ref="AL10">INDEX(CountyScoresTbl[Farmworker Need Points Awarded],ROW(S1MATbl[[#This Row],[COUNTY]])-2,1)*S1MATbl[[#This Row],[% OF TOTAL RURAL FUNDING]]</f>
        <v>0</v>
      </c>
      <c r="AM10" s="422"/>
      <c r="AN10" s="422"/>
      <c r="AO10" s="422"/>
    </row>
    <row r="11" spans="1:41" x14ac:dyDescent="0.35">
      <c r="A11" s="124"/>
      <c r="B11" s="5" t="s">
        <v>123</v>
      </c>
      <c r="C11" s="31" t="s">
        <v>513</v>
      </c>
      <c r="D11" s="113" t="str">
        <f>IF(SUM(S1MATbl[[#This Row],[UNRESTRICTED UNITS]])=0,"",S1MATbl[[#This Row],[UNRESTRICTED UNITS]])</f>
        <v/>
      </c>
      <c r="E11" s="74" t="str">
        <f xml:space="preserve">
IF(S1MATbl[[#This Row],[UNRESTRICTED FUNDING REQUESTED]]=0,"",
S1MATbl[[#This Row],[UNRESTRICTED FUNDING REQUESTED]]*
IF(S1_MA_UnrestrictedTotalRequested&lt;=5000000,1,
5000000/S1_MA_UnrestrictedTotalRequested)
)</f>
        <v/>
      </c>
      <c r="F11" s="6" t="str">
        <f>IFERROR(S1MATbl[[#This Row],[TOTAL $ REQUESTED]]/SUM(S1MATbl[TOTAL $ REQUESTED]),"")</f>
        <v/>
      </c>
      <c r="G11" s="31" t="s">
        <v>513</v>
      </c>
      <c r="H11" s="256" t="str">
        <f>IF(SUM(S1MATbl[[#This Row],[RURAL UNITS]])=0,"",S1MATbl[[#This Row],[RURAL UNITS]])</f>
        <v/>
      </c>
      <c r="I11" s="306" t="str">
        <f xml:space="preserve">
IF(S1MATbl[[#This Row],[RURAL FUNDING REQUESTED]]=0,"",
S1MATbl[[#This Row],[RURAL FUNDING REQUESTED]]*
IF(S1_MA_RuralTotalRequested&lt;=(5000000-E$61),1,
(5000000-E$61)/S1_MA_RuralTotalRequested)
)</f>
        <v/>
      </c>
      <c r="J11" s="257" t="str">
        <f>IFERROR(S1MATbl[[#This Row],[TOTAL $ REQUESTED2]]/SUM(S1MATbl[TOTAL $ REQUESTED2]),"")</f>
        <v/>
      </c>
      <c r="K11" s="31" t="s">
        <v>513</v>
      </c>
      <c r="L11" s="196"/>
      <c r="M11" s="119"/>
      <c r="N11" s="255"/>
      <c r="O11" s="124"/>
      <c r="P11" s="161"/>
      <c r="Q11" s="161"/>
      <c r="R11" s="161"/>
      <c r="S11" s="161"/>
      <c r="T11" s="98">
        <f t="shared" si="0"/>
        <v>0</v>
      </c>
      <c r="U11" s="6">
        <f>IF(S1MATbl[[#This Row],[UNRESTRICTED FUNDING REQUESTED]]=0,0,S1MATbl[[#This Row],[UNRESTRICTED FUNDING REQUESTED]]/S1_MA_UnrestrictedTotalRequested)</f>
        <v>0</v>
      </c>
      <c r="V11" s="444">
        <f xml:space="preserve">
IF(S1MATbl[[#This Row],[NEW CONSTRUCTION OR AQUIRE/REHAB]]&lt;&gt;"",
3+IF(S1MATbl[[#This Row],[INFILL SITE]]="Yes",2,0),0)
*S1MATbl[[#This Row],[% OF TOTAL UNRESTRICTED FUNDING]]</f>
        <v>0</v>
      </c>
      <c r="W11" s="7">
        <f>IF(S1MATbl[[#This Row],[ALL UNITS IN A HIGH OR HIGHEST RESOURCE AREA]]="Yes",10*S1MATbl[[#This Row],[% OF TOTAL UNRESTRICTED FUNDING]],0)</f>
        <v>0</v>
      </c>
      <c r="X11" s="7" cm="1">
        <f t="array" ref="X11">INDEX(CountyScoresTbl[Community Need Total Points],ROW(S1MATbl[[#This Row],[COUNTY]])-2,1)*S1MATbl[[#This Row],[% OF TOTAL UNRESTRICTED FUNDING]]</f>
        <v>0</v>
      </c>
      <c r="Y11" s="432" cm="1">
        <f t="array" ref="Y11"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1" s="26" cm="1">
        <f t="array" ref="Z11">INDEX(CountyScoresTbl[Farmworker Need Points Awarded],ROW(S1MATbl[[#This Row],[COUNTY]])-2,1)*S1MATbl[[#This Row],[% OF TOTAL UNRESTRICTED FUNDING]]</f>
        <v>0</v>
      </c>
      <c r="AA11" s="124"/>
      <c r="AB11" s="161"/>
      <c r="AC11" s="161"/>
      <c r="AD11" s="161"/>
      <c r="AE11" s="161"/>
      <c r="AF11" s="98">
        <f t="shared" si="1"/>
        <v>0</v>
      </c>
      <c r="AG11" s="6">
        <f>IF(S1MATbl[[#This Row],[RURAL FUNDING REQUESTED]]=0,0,S1MATbl[[#This Row],[RURAL FUNDING REQUESTED]]/S1_MA_RuralTotalRequested)</f>
        <v>0</v>
      </c>
      <c r="AH11" s="444">
        <f xml:space="preserve">
IF(S1MATbl[[#This Row],[NEW CONSTRUCTION OR AQUIRE/REHAB]]&lt;&gt;"",
3+IF(S1MATbl[[#This Row],[INFILL SITE]]="Yes",2,0),0)
*S1MATbl[[#This Row],[% OF TOTAL RURAL FUNDING]]</f>
        <v>0</v>
      </c>
      <c r="AI11" s="7">
        <f>IF(S1MATbl[[#This Row],[ALL UNITS IN A HIGH OR HIGHEST RESOURCE AREA]]="Yes",10*S1MATbl[[#This Row],[% OF TOTAL RURAL FUNDING]],0)</f>
        <v>0</v>
      </c>
      <c r="AJ11" s="7" cm="1">
        <f t="array" ref="AJ11">INDEX(CountyScoresTbl[Community Need Total Points],ROW(S1MATbl[[#This Row],[COUNTY]])-2,1)*S1MATbl[[#This Row],[% OF TOTAL RURAL FUNDING]]</f>
        <v>0</v>
      </c>
      <c r="AK11" s="432" cm="1">
        <f t="array" ref="AK11"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1" s="73" cm="1">
        <f t="array" ref="AL11">INDEX(CountyScoresTbl[Farmworker Need Points Awarded],ROW(S1MATbl[[#This Row],[COUNTY]])-2,1)*S1MATbl[[#This Row],[% OF TOTAL RURAL FUNDING]]</f>
        <v>0</v>
      </c>
      <c r="AM11" s="422"/>
      <c r="AN11" s="422"/>
      <c r="AO11" s="422"/>
    </row>
    <row r="12" spans="1:41" x14ac:dyDescent="0.35">
      <c r="A12" s="124"/>
      <c r="B12" s="5" t="s">
        <v>124</v>
      </c>
      <c r="C12" s="31" t="s">
        <v>513</v>
      </c>
      <c r="D12" s="113" t="str">
        <f>IF(SUM(S1MATbl[[#This Row],[UNRESTRICTED UNITS]])=0,"",S1MATbl[[#This Row],[UNRESTRICTED UNITS]])</f>
        <v/>
      </c>
      <c r="E12" s="74" t="str">
        <f xml:space="preserve">
IF(S1MATbl[[#This Row],[UNRESTRICTED FUNDING REQUESTED]]=0,"",
S1MATbl[[#This Row],[UNRESTRICTED FUNDING REQUESTED]]*
IF(S1_MA_UnrestrictedTotalRequested&lt;=5000000,1,
5000000/S1_MA_UnrestrictedTotalRequested)
)</f>
        <v/>
      </c>
      <c r="F12" s="6" t="str">
        <f>IFERROR(S1MATbl[[#This Row],[TOTAL $ REQUESTED]]/SUM(S1MATbl[TOTAL $ REQUESTED]),"")</f>
        <v/>
      </c>
      <c r="G12" s="31" t="s">
        <v>513</v>
      </c>
      <c r="H12" s="256" t="str">
        <f>IF(SUM(S1MATbl[[#This Row],[RURAL UNITS]])=0,"",S1MATbl[[#This Row],[RURAL UNITS]])</f>
        <v/>
      </c>
      <c r="I12" s="306" t="str">
        <f xml:space="preserve">
IF(S1MATbl[[#This Row],[RURAL FUNDING REQUESTED]]=0,"",
S1MATbl[[#This Row],[RURAL FUNDING REQUESTED]]*
IF(S1_MA_RuralTotalRequested&lt;=(5000000-E$61),1,
(5000000-E$61)/S1_MA_RuralTotalRequested)
)</f>
        <v/>
      </c>
      <c r="J12" s="257" t="str">
        <f>IFERROR(S1MATbl[[#This Row],[TOTAL $ REQUESTED2]]/SUM(S1MATbl[TOTAL $ REQUESTED2]),"")</f>
        <v/>
      </c>
      <c r="K12" s="31" t="s">
        <v>513</v>
      </c>
      <c r="L12" s="196"/>
      <c r="M12" s="119"/>
      <c r="N12" s="255"/>
      <c r="O12" s="124"/>
      <c r="P12" s="161"/>
      <c r="Q12" s="161"/>
      <c r="R12" s="161"/>
      <c r="S12" s="161"/>
      <c r="T12" s="98">
        <f t="shared" si="0"/>
        <v>0</v>
      </c>
      <c r="U12" s="6">
        <f>IF(S1MATbl[[#This Row],[UNRESTRICTED FUNDING REQUESTED]]=0,0,S1MATbl[[#This Row],[UNRESTRICTED FUNDING REQUESTED]]/S1_MA_UnrestrictedTotalRequested)</f>
        <v>0</v>
      </c>
      <c r="V12" s="444">
        <f xml:space="preserve">
IF(S1MATbl[[#This Row],[NEW CONSTRUCTION OR AQUIRE/REHAB]]&lt;&gt;"",
3+IF(S1MATbl[[#This Row],[INFILL SITE]]="Yes",2,0),0)
*S1MATbl[[#This Row],[% OF TOTAL UNRESTRICTED FUNDING]]</f>
        <v>0</v>
      </c>
      <c r="W12" s="7">
        <f>IF(S1MATbl[[#This Row],[ALL UNITS IN A HIGH OR HIGHEST RESOURCE AREA]]="Yes",10*S1MATbl[[#This Row],[% OF TOTAL UNRESTRICTED FUNDING]],0)</f>
        <v>0</v>
      </c>
      <c r="X12" s="7" cm="1">
        <f t="array" ref="X12">INDEX(CountyScoresTbl[Community Need Total Points],ROW(S1MATbl[[#This Row],[COUNTY]])-2,1)*S1MATbl[[#This Row],[% OF TOTAL UNRESTRICTED FUNDING]]</f>
        <v>0</v>
      </c>
      <c r="Y12" s="432" cm="1">
        <f t="array" ref="Y12"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2" s="26" cm="1">
        <f t="array" ref="Z12">INDEX(CountyScoresTbl[Farmworker Need Points Awarded],ROW(S1MATbl[[#This Row],[COUNTY]])-2,1)*S1MATbl[[#This Row],[% OF TOTAL UNRESTRICTED FUNDING]]</f>
        <v>0</v>
      </c>
      <c r="AA12" s="124"/>
      <c r="AB12" s="161"/>
      <c r="AC12" s="161"/>
      <c r="AD12" s="161"/>
      <c r="AE12" s="161"/>
      <c r="AF12" s="98">
        <f t="shared" si="1"/>
        <v>0</v>
      </c>
      <c r="AG12" s="6">
        <f>IF(S1MATbl[[#This Row],[RURAL FUNDING REQUESTED]]=0,0,S1MATbl[[#This Row],[RURAL FUNDING REQUESTED]]/S1_MA_RuralTotalRequested)</f>
        <v>0</v>
      </c>
      <c r="AH12" s="444">
        <f xml:space="preserve">
IF(S1MATbl[[#This Row],[NEW CONSTRUCTION OR AQUIRE/REHAB]]&lt;&gt;"",
3+IF(S1MATbl[[#This Row],[INFILL SITE]]="Yes",2,0),0)
*S1MATbl[[#This Row],[% OF TOTAL RURAL FUNDING]]</f>
        <v>0</v>
      </c>
      <c r="AI12" s="7">
        <f>IF(S1MATbl[[#This Row],[ALL UNITS IN A HIGH OR HIGHEST RESOURCE AREA]]="Yes",10*S1MATbl[[#This Row],[% OF TOTAL RURAL FUNDING]],0)</f>
        <v>0</v>
      </c>
      <c r="AJ12" s="7" cm="1">
        <f t="array" ref="AJ12">INDEX(CountyScoresTbl[Community Need Total Points],ROW(S1MATbl[[#This Row],[COUNTY]])-2,1)*S1MATbl[[#This Row],[% OF TOTAL RURAL FUNDING]]</f>
        <v>0</v>
      </c>
      <c r="AK12" s="432" cm="1">
        <f t="array" ref="AK12"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2" s="73" cm="1">
        <f t="array" ref="AL12">INDEX(CountyScoresTbl[Farmworker Need Points Awarded],ROW(S1MATbl[[#This Row],[COUNTY]])-2,1)*S1MATbl[[#This Row],[% OF TOTAL RURAL FUNDING]]</f>
        <v>0</v>
      </c>
      <c r="AM12" s="422"/>
      <c r="AN12" s="422"/>
      <c r="AO12" s="422"/>
    </row>
    <row r="13" spans="1:41" x14ac:dyDescent="0.35">
      <c r="A13" s="124"/>
      <c r="B13" s="5" t="s">
        <v>125</v>
      </c>
      <c r="C13" s="31" t="s">
        <v>513</v>
      </c>
      <c r="D13" s="113" t="str">
        <f>IF(SUM(S1MATbl[[#This Row],[UNRESTRICTED UNITS]])=0,"",S1MATbl[[#This Row],[UNRESTRICTED UNITS]])</f>
        <v/>
      </c>
      <c r="E13" s="74" t="str">
        <f xml:space="preserve">
IF(S1MATbl[[#This Row],[UNRESTRICTED FUNDING REQUESTED]]=0,"",
S1MATbl[[#This Row],[UNRESTRICTED FUNDING REQUESTED]]*
IF(S1_MA_UnrestrictedTotalRequested&lt;=5000000,1,
5000000/S1_MA_UnrestrictedTotalRequested)
)</f>
        <v/>
      </c>
      <c r="F13" s="6" t="str">
        <f>IFERROR(S1MATbl[[#This Row],[TOTAL $ REQUESTED]]/SUM(S1MATbl[TOTAL $ REQUESTED]),"")</f>
        <v/>
      </c>
      <c r="G13" s="31" t="s">
        <v>513</v>
      </c>
      <c r="H13" s="256" t="str">
        <f>IF(SUM(S1MATbl[[#This Row],[RURAL UNITS]])=0,"",S1MATbl[[#This Row],[RURAL UNITS]])</f>
        <v/>
      </c>
      <c r="I13" s="306" t="str">
        <f xml:space="preserve">
IF(S1MATbl[[#This Row],[RURAL FUNDING REQUESTED]]=0,"",
S1MATbl[[#This Row],[RURAL FUNDING REQUESTED]]*
IF(S1_MA_RuralTotalRequested&lt;=(5000000-E$61),1,
(5000000-E$61)/S1_MA_RuralTotalRequested)
)</f>
        <v/>
      </c>
      <c r="J13" s="257" t="str">
        <f>IFERROR(S1MATbl[[#This Row],[TOTAL $ REQUESTED2]]/SUM(S1MATbl[TOTAL $ REQUESTED2]),"")</f>
        <v/>
      </c>
      <c r="K13" s="31" t="s">
        <v>513</v>
      </c>
      <c r="L13" s="196"/>
      <c r="M13" s="119"/>
      <c r="N13" s="255"/>
      <c r="O13" s="124"/>
      <c r="P13" s="161"/>
      <c r="Q13" s="161"/>
      <c r="R13" s="161"/>
      <c r="S13" s="161"/>
      <c r="T13" s="98">
        <f t="shared" si="0"/>
        <v>0</v>
      </c>
      <c r="U13" s="6">
        <f>IF(S1MATbl[[#This Row],[UNRESTRICTED FUNDING REQUESTED]]=0,0,S1MATbl[[#This Row],[UNRESTRICTED FUNDING REQUESTED]]/S1_MA_UnrestrictedTotalRequested)</f>
        <v>0</v>
      </c>
      <c r="V13" s="444">
        <f xml:space="preserve">
IF(S1MATbl[[#This Row],[NEW CONSTRUCTION OR AQUIRE/REHAB]]&lt;&gt;"",
3+IF(S1MATbl[[#This Row],[INFILL SITE]]="Yes",2,0),0)
*S1MATbl[[#This Row],[% OF TOTAL UNRESTRICTED FUNDING]]</f>
        <v>0</v>
      </c>
      <c r="W13" s="7">
        <f>IF(S1MATbl[[#This Row],[ALL UNITS IN A HIGH OR HIGHEST RESOURCE AREA]]="Yes",10*S1MATbl[[#This Row],[% OF TOTAL UNRESTRICTED FUNDING]],0)</f>
        <v>0</v>
      </c>
      <c r="X13" s="7" cm="1">
        <f t="array" ref="X13">INDEX(CountyScoresTbl[Community Need Total Points],ROW(S1MATbl[[#This Row],[COUNTY]])-2,1)*S1MATbl[[#This Row],[% OF TOTAL UNRESTRICTED FUNDING]]</f>
        <v>0</v>
      </c>
      <c r="Y13" s="432" cm="1">
        <f t="array" ref="Y13"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3" s="26" cm="1">
        <f t="array" ref="Z13">INDEX(CountyScoresTbl[Farmworker Need Points Awarded],ROW(S1MATbl[[#This Row],[COUNTY]])-2,1)*S1MATbl[[#This Row],[% OF TOTAL UNRESTRICTED FUNDING]]</f>
        <v>0</v>
      </c>
      <c r="AA13" s="124"/>
      <c r="AB13" s="161"/>
      <c r="AC13" s="161"/>
      <c r="AD13" s="161"/>
      <c r="AE13" s="161"/>
      <c r="AF13" s="98">
        <f t="shared" si="1"/>
        <v>0</v>
      </c>
      <c r="AG13" s="6">
        <f>IF(S1MATbl[[#This Row],[RURAL FUNDING REQUESTED]]=0,0,S1MATbl[[#This Row],[RURAL FUNDING REQUESTED]]/S1_MA_RuralTotalRequested)</f>
        <v>0</v>
      </c>
      <c r="AH13" s="444">
        <f xml:space="preserve">
IF(S1MATbl[[#This Row],[NEW CONSTRUCTION OR AQUIRE/REHAB]]&lt;&gt;"",
3+IF(S1MATbl[[#This Row],[INFILL SITE]]="Yes",2,0),0)
*S1MATbl[[#This Row],[% OF TOTAL RURAL FUNDING]]</f>
        <v>0</v>
      </c>
      <c r="AI13" s="7">
        <f>IF(S1MATbl[[#This Row],[ALL UNITS IN A HIGH OR HIGHEST RESOURCE AREA]]="Yes",10*S1MATbl[[#This Row],[% OF TOTAL RURAL FUNDING]],0)</f>
        <v>0</v>
      </c>
      <c r="AJ13" s="7" cm="1">
        <f t="array" ref="AJ13">INDEX(CountyScoresTbl[Community Need Total Points],ROW(S1MATbl[[#This Row],[COUNTY]])-2,1)*S1MATbl[[#This Row],[% OF TOTAL RURAL FUNDING]]</f>
        <v>0</v>
      </c>
      <c r="AK13" s="432" cm="1">
        <f t="array" ref="AK13"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3" s="73" cm="1">
        <f t="array" ref="AL13">INDEX(CountyScoresTbl[Farmworker Need Points Awarded],ROW(S1MATbl[[#This Row],[COUNTY]])-2,1)*S1MATbl[[#This Row],[% OF TOTAL RURAL FUNDING]]</f>
        <v>0</v>
      </c>
      <c r="AM13" s="422"/>
      <c r="AN13" s="422"/>
      <c r="AO13" s="422"/>
    </row>
    <row r="14" spans="1:41" x14ac:dyDescent="0.35">
      <c r="A14" s="167"/>
      <c r="B14" s="5" t="s">
        <v>126</v>
      </c>
      <c r="C14" s="31" t="s">
        <v>513</v>
      </c>
      <c r="D14" s="113" t="str">
        <f>IF(SUM(S1MATbl[[#This Row],[UNRESTRICTED UNITS]])=0,"",S1MATbl[[#This Row],[UNRESTRICTED UNITS]])</f>
        <v/>
      </c>
      <c r="E14" s="74" t="str">
        <f xml:space="preserve">
IF(S1MATbl[[#This Row],[UNRESTRICTED FUNDING REQUESTED]]=0,"",
S1MATbl[[#This Row],[UNRESTRICTED FUNDING REQUESTED]]*
IF(S1_MA_UnrestrictedTotalRequested&lt;=5000000,1,
5000000/S1_MA_UnrestrictedTotalRequested)
)</f>
        <v/>
      </c>
      <c r="F14" s="6" t="str">
        <f>IFERROR(S1MATbl[[#This Row],[TOTAL $ REQUESTED]]/SUM(S1MATbl[TOTAL $ REQUESTED]),"")</f>
        <v/>
      </c>
      <c r="G14" s="31" t="s">
        <v>513</v>
      </c>
      <c r="H14" s="256" t="str">
        <f>IF(SUM(S1MATbl[[#This Row],[RURAL UNITS]])=0,"",S1MATbl[[#This Row],[RURAL UNITS]])</f>
        <v/>
      </c>
      <c r="I14" s="306" t="str">
        <f xml:space="preserve">
IF(S1MATbl[[#This Row],[RURAL FUNDING REQUESTED]]=0,"",
S1MATbl[[#This Row],[RURAL FUNDING REQUESTED]]*
IF(S1_MA_RuralTotalRequested&lt;=(5000000-E$61),1,
(5000000-E$61)/S1_MA_RuralTotalRequested)
)</f>
        <v/>
      </c>
      <c r="J14" s="257" t="str">
        <f>IFERROR(S1MATbl[[#This Row],[TOTAL $ REQUESTED2]]/SUM(S1MATbl[TOTAL $ REQUESTED2]),"")</f>
        <v/>
      </c>
      <c r="K14" s="31" t="s">
        <v>513</v>
      </c>
      <c r="L14" s="196"/>
      <c r="M14" s="164"/>
      <c r="N14" s="165"/>
      <c r="O14" s="123"/>
      <c r="P14" s="161"/>
      <c r="Q14" s="161"/>
      <c r="R14" s="161"/>
      <c r="S14" s="161"/>
      <c r="T14" s="98">
        <f t="shared" si="0"/>
        <v>0</v>
      </c>
      <c r="U14" s="6">
        <f>IF(S1MATbl[[#This Row],[UNRESTRICTED FUNDING REQUESTED]]=0,0,S1MATbl[[#This Row],[UNRESTRICTED FUNDING REQUESTED]]/S1_MA_UnrestrictedTotalRequested)</f>
        <v>0</v>
      </c>
      <c r="V14" s="444">
        <f xml:space="preserve">
IF(S1MATbl[[#This Row],[NEW CONSTRUCTION OR AQUIRE/REHAB]]&lt;&gt;"",
3+IF(S1MATbl[[#This Row],[INFILL SITE]]="Yes",2,0),0)
*S1MATbl[[#This Row],[% OF TOTAL UNRESTRICTED FUNDING]]</f>
        <v>0</v>
      </c>
      <c r="W14" s="7">
        <f>IF(S1MATbl[[#This Row],[ALL UNITS IN A HIGH OR HIGHEST RESOURCE AREA]]="Yes",10*S1MATbl[[#This Row],[% OF TOTAL UNRESTRICTED FUNDING]],0)</f>
        <v>0</v>
      </c>
      <c r="X14" s="7" cm="1">
        <f t="array" ref="X14">INDEX(CountyScoresTbl[Community Need Total Points],ROW(S1MATbl[[#This Row],[COUNTY]])-2,1)*S1MATbl[[#This Row],[% OF TOTAL UNRESTRICTED FUNDING]]</f>
        <v>0</v>
      </c>
      <c r="Y14" s="432" cm="1">
        <f t="array" ref="Y14"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4" s="26" cm="1">
        <f t="array" ref="Z14">INDEX(CountyScoresTbl[Farmworker Need Points Awarded],ROW(S1MATbl[[#This Row],[COUNTY]])-2,1)*S1MATbl[[#This Row],[% OF TOTAL UNRESTRICTED FUNDING]]</f>
        <v>0</v>
      </c>
      <c r="AA14" s="123"/>
      <c r="AB14" s="161"/>
      <c r="AC14" s="161"/>
      <c r="AD14" s="161"/>
      <c r="AE14" s="161"/>
      <c r="AF14" s="98">
        <f t="shared" si="1"/>
        <v>0</v>
      </c>
      <c r="AG14" s="6">
        <f>IF(S1MATbl[[#This Row],[RURAL FUNDING REQUESTED]]=0,0,S1MATbl[[#This Row],[RURAL FUNDING REQUESTED]]/S1_MA_RuralTotalRequested)</f>
        <v>0</v>
      </c>
      <c r="AH14" s="444">
        <f xml:space="preserve">
IF(S1MATbl[[#This Row],[NEW CONSTRUCTION OR AQUIRE/REHAB]]&lt;&gt;"",
3+IF(S1MATbl[[#This Row],[INFILL SITE]]="Yes",2,0),0)
*S1MATbl[[#This Row],[% OF TOTAL RURAL FUNDING]]</f>
        <v>0</v>
      </c>
      <c r="AI14" s="7">
        <f>IF(S1MATbl[[#This Row],[ALL UNITS IN A HIGH OR HIGHEST RESOURCE AREA]]="Yes",10*S1MATbl[[#This Row],[% OF TOTAL RURAL FUNDING]],0)</f>
        <v>0</v>
      </c>
      <c r="AJ14" s="7" cm="1">
        <f t="array" ref="AJ14">INDEX(CountyScoresTbl[Community Need Total Points],ROW(S1MATbl[[#This Row],[COUNTY]])-2,1)*S1MATbl[[#This Row],[% OF TOTAL RURAL FUNDING]]</f>
        <v>0</v>
      </c>
      <c r="AK14" s="432" cm="1">
        <f t="array" ref="AK14"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4" s="73" cm="1">
        <f t="array" ref="AL14">INDEX(CountyScoresTbl[Farmworker Need Points Awarded],ROW(S1MATbl[[#This Row],[COUNTY]])-2,1)*S1MATbl[[#This Row],[% OF TOTAL RURAL FUNDING]]</f>
        <v>0</v>
      </c>
      <c r="AM14" s="422"/>
      <c r="AN14" s="422"/>
      <c r="AO14" s="422"/>
    </row>
    <row r="15" spans="1:41" x14ac:dyDescent="0.35">
      <c r="A15" s="124"/>
      <c r="B15" s="5" t="s">
        <v>127</v>
      </c>
      <c r="C15" s="31" t="s">
        <v>513</v>
      </c>
      <c r="D15" s="113" t="str">
        <f>IF(SUM(S1MATbl[[#This Row],[UNRESTRICTED UNITS]])=0,"",S1MATbl[[#This Row],[UNRESTRICTED UNITS]])</f>
        <v/>
      </c>
      <c r="E15" s="74" t="str">
        <f xml:space="preserve">
IF(S1MATbl[[#This Row],[UNRESTRICTED FUNDING REQUESTED]]=0,"",
S1MATbl[[#This Row],[UNRESTRICTED FUNDING REQUESTED]]*
IF(S1_MA_UnrestrictedTotalRequested&lt;=5000000,1,
5000000/S1_MA_UnrestrictedTotalRequested)
)</f>
        <v/>
      </c>
      <c r="F15" s="6" t="str">
        <f>IFERROR(S1MATbl[[#This Row],[TOTAL $ REQUESTED]]/SUM(S1MATbl[TOTAL $ REQUESTED]),"")</f>
        <v/>
      </c>
      <c r="G15" s="31" t="s">
        <v>513</v>
      </c>
      <c r="H15" s="256" t="str">
        <f>IF(SUM(S1MATbl[[#This Row],[RURAL UNITS]])=0,"",S1MATbl[[#This Row],[RURAL UNITS]])</f>
        <v/>
      </c>
      <c r="I15" s="306" t="str">
        <f xml:space="preserve">
IF(S1MATbl[[#This Row],[RURAL FUNDING REQUESTED]]=0,"",
S1MATbl[[#This Row],[RURAL FUNDING REQUESTED]]*
IF(S1_MA_RuralTotalRequested&lt;=(5000000-E$61),1,
(5000000-E$61)/S1_MA_RuralTotalRequested)
)</f>
        <v/>
      </c>
      <c r="J15" s="257" t="str">
        <f>IFERROR(S1MATbl[[#This Row],[TOTAL $ REQUESTED2]]/SUM(S1MATbl[TOTAL $ REQUESTED2]),"")</f>
        <v/>
      </c>
      <c r="K15" s="31" t="s">
        <v>513</v>
      </c>
      <c r="L15" s="196"/>
      <c r="M15" s="119"/>
      <c r="N15" s="255"/>
      <c r="O15" s="124"/>
      <c r="P15" s="161"/>
      <c r="Q15" s="161"/>
      <c r="R15" s="161"/>
      <c r="S15" s="161"/>
      <c r="T15" s="98">
        <f t="shared" si="0"/>
        <v>0</v>
      </c>
      <c r="U15" s="6">
        <f>IF(S1MATbl[[#This Row],[UNRESTRICTED FUNDING REQUESTED]]=0,0,S1MATbl[[#This Row],[UNRESTRICTED FUNDING REQUESTED]]/S1_MA_UnrestrictedTotalRequested)</f>
        <v>0</v>
      </c>
      <c r="V15" s="444">
        <f xml:space="preserve">
IF(S1MATbl[[#This Row],[NEW CONSTRUCTION OR AQUIRE/REHAB]]&lt;&gt;"",
3+IF(S1MATbl[[#This Row],[INFILL SITE]]="Yes",2,0),0)
*S1MATbl[[#This Row],[% OF TOTAL UNRESTRICTED FUNDING]]</f>
        <v>0</v>
      </c>
      <c r="W15" s="7">
        <f>IF(S1MATbl[[#This Row],[ALL UNITS IN A HIGH OR HIGHEST RESOURCE AREA]]="Yes",10*S1MATbl[[#This Row],[% OF TOTAL UNRESTRICTED FUNDING]],0)</f>
        <v>0</v>
      </c>
      <c r="X15" s="7" cm="1">
        <f t="array" ref="X15">INDEX(CountyScoresTbl[Community Need Total Points],ROW(S1MATbl[[#This Row],[COUNTY]])-2,1)*S1MATbl[[#This Row],[% OF TOTAL UNRESTRICTED FUNDING]]</f>
        <v>0</v>
      </c>
      <c r="Y15" s="432" cm="1">
        <f t="array" ref="Y15"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5" s="26" cm="1">
        <f t="array" ref="Z15">INDEX(CountyScoresTbl[Farmworker Need Points Awarded],ROW(S1MATbl[[#This Row],[COUNTY]])-2,1)*S1MATbl[[#This Row],[% OF TOTAL UNRESTRICTED FUNDING]]</f>
        <v>0</v>
      </c>
      <c r="AA15" s="124"/>
      <c r="AB15" s="161"/>
      <c r="AC15" s="161"/>
      <c r="AD15" s="161"/>
      <c r="AE15" s="161"/>
      <c r="AF15" s="98">
        <f t="shared" si="1"/>
        <v>0</v>
      </c>
      <c r="AG15" s="6">
        <f>IF(S1MATbl[[#This Row],[RURAL FUNDING REQUESTED]]=0,0,S1MATbl[[#This Row],[RURAL FUNDING REQUESTED]]/S1_MA_RuralTotalRequested)</f>
        <v>0</v>
      </c>
      <c r="AH15" s="444">
        <f xml:space="preserve">
IF(S1MATbl[[#This Row],[NEW CONSTRUCTION OR AQUIRE/REHAB]]&lt;&gt;"",
3+IF(S1MATbl[[#This Row],[INFILL SITE]]="Yes",2,0),0)
*S1MATbl[[#This Row],[% OF TOTAL RURAL FUNDING]]</f>
        <v>0</v>
      </c>
      <c r="AI15" s="7">
        <f>IF(S1MATbl[[#This Row],[ALL UNITS IN A HIGH OR HIGHEST RESOURCE AREA]]="Yes",10*S1MATbl[[#This Row],[% OF TOTAL RURAL FUNDING]],0)</f>
        <v>0</v>
      </c>
      <c r="AJ15" s="7" cm="1">
        <f t="array" ref="AJ15">INDEX(CountyScoresTbl[Community Need Total Points],ROW(S1MATbl[[#This Row],[COUNTY]])-2,1)*S1MATbl[[#This Row],[% OF TOTAL RURAL FUNDING]]</f>
        <v>0</v>
      </c>
      <c r="AK15" s="432" cm="1">
        <f t="array" ref="AK15"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5" s="73" cm="1">
        <f t="array" ref="AL15">INDEX(CountyScoresTbl[Farmworker Need Points Awarded],ROW(S1MATbl[[#This Row],[COUNTY]])-2,1)*S1MATbl[[#This Row],[% OF TOTAL RURAL FUNDING]]</f>
        <v>0</v>
      </c>
      <c r="AM15" s="422"/>
      <c r="AN15" s="422"/>
      <c r="AO15" s="422"/>
    </row>
    <row r="16" spans="1:41" x14ac:dyDescent="0.35">
      <c r="A16" s="124"/>
      <c r="B16" s="5" t="s">
        <v>128</v>
      </c>
      <c r="C16" s="31" t="s">
        <v>513</v>
      </c>
      <c r="D16" s="113" t="str">
        <f>IF(SUM(S1MATbl[[#This Row],[UNRESTRICTED UNITS]])=0,"",S1MATbl[[#This Row],[UNRESTRICTED UNITS]])</f>
        <v/>
      </c>
      <c r="E16" s="74" t="str">
        <f xml:space="preserve">
IF(S1MATbl[[#This Row],[UNRESTRICTED FUNDING REQUESTED]]=0,"",
S1MATbl[[#This Row],[UNRESTRICTED FUNDING REQUESTED]]*
IF(S1_MA_UnrestrictedTotalRequested&lt;=5000000,1,
5000000/S1_MA_UnrestrictedTotalRequested)
)</f>
        <v/>
      </c>
      <c r="F16" s="6" t="str">
        <f>IFERROR(S1MATbl[[#This Row],[TOTAL $ REQUESTED]]/SUM(S1MATbl[TOTAL $ REQUESTED]),"")</f>
        <v/>
      </c>
      <c r="G16" s="31" t="s">
        <v>513</v>
      </c>
      <c r="H16" s="256" t="str">
        <f>IF(SUM(S1MATbl[[#This Row],[RURAL UNITS]])=0,"",S1MATbl[[#This Row],[RURAL UNITS]])</f>
        <v/>
      </c>
      <c r="I16" s="306" t="str">
        <f xml:space="preserve">
IF(S1MATbl[[#This Row],[RURAL FUNDING REQUESTED]]=0,"",
S1MATbl[[#This Row],[RURAL FUNDING REQUESTED]]*
IF(S1_MA_RuralTotalRequested&lt;=(5000000-E$61),1,
(5000000-E$61)/S1_MA_RuralTotalRequested)
)</f>
        <v/>
      </c>
      <c r="J16" s="257" t="str">
        <f>IFERROR(S1MATbl[[#This Row],[TOTAL $ REQUESTED2]]/SUM(S1MATbl[TOTAL $ REQUESTED2]),"")</f>
        <v/>
      </c>
      <c r="K16" s="31" t="s">
        <v>513</v>
      </c>
      <c r="L16" s="196"/>
      <c r="M16" s="119"/>
      <c r="N16" s="255"/>
      <c r="O16" s="124"/>
      <c r="P16" s="161"/>
      <c r="Q16" s="161"/>
      <c r="R16" s="161"/>
      <c r="S16" s="161"/>
      <c r="T16" s="98">
        <f t="shared" si="0"/>
        <v>0</v>
      </c>
      <c r="U16" s="6">
        <f>IF(S1MATbl[[#This Row],[UNRESTRICTED FUNDING REQUESTED]]=0,0,S1MATbl[[#This Row],[UNRESTRICTED FUNDING REQUESTED]]/S1_MA_UnrestrictedTotalRequested)</f>
        <v>0</v>
      </c>
      <c r="V16" s="444">
        <f xml:space="preserve">
IF(S1MATbl[[#This Row],[NEW CONSTRUCTION OR AQUIRE/REHAB]]&lt;&gt;"",
3+IF(S1MATbl[[#This Row],[INFILL SITE]]="Yes",2,0),0)
*S1MATbl[[#This Row],[% OF TOTAL UNRESTRICTED FUNDING]]</f>
        <v>0</v>
      </c>
      <c r="W16" s="7">
        <f>IF(S1MATbl[[#This Row],[ALL UNITS IN A HIGH OR HIGHEST RESOURCE AREA]]="Yes",10*S1MATbl[[#This Row],[% OF TOTAL UNRESTRICTED FUNDING]],0)</f>
        <v>0</v>
      </c>
      <c r="X16" s="7" cm="1">
        <f t="array" ref="X16">INDEX(CountyScoresTbl[Community Need Total Points],ROW(S1MATbl[[#This Row],[COUNTY]])-2,1)*S1MATbl[[#This Row],[% OF TOTAL UNRESTRICTED FUNDING]]</f>
        <v>0</v>
      </c>
      <c r="Y16" s="432" cm="1">
        <f t="array" ref="Y16"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6" s="26" cm="1">
        <f t="array" ref="Z16">INDEX(CountyScoresTbl[Farmworker Need Points Awarded],ROW(S1MATbl[[#This Row],[COUNTY]])-2,1)*S1MATbl[[#This Row],[% OF TOTAL UNRESTRICTED FUNDING]]</f>
        <v>0</v>
      </c>
      <c r="AA16" s="124"/>
      <c r="AB16" s="161"/>
      <c r="AC16" s="161"/>
      <c r="AD16" s="161"/>
      <c r="AE16" s="161"/>
      <c r="AF16" s="98">
        <f t="shared" si="1"/>
        <v>0</v>
      </c>
      <c r="AG16" s="6">
        <f>IF(S1MATbl[[#This Row],[RURAL FUNDING REQUESTED]]=0,0,S1MATbl[[#This Row],[RURAL FUNDING REQUESTED]]/S1_MA_RuralTotalRequested)</f>
        <v>0</v>
      </c>
      <c r="AH16" s="444">
        <f xml:space="preserve">
IF(S1MATbl[[#This Row],[NEW CONSTRUCTION OR AQUIRE/REHAB]]&lt;&gt;"",
3+IF(S1MATbl[[#This Row],[INFILL SITE]]="Yes",2,0),0)
*S1MATbl[[#This Row],[% OF TOTAL RURAL FUNDING]]</f>
        <v>0</v>
      </c>
      <c r="AI16" s="7">
        <f>IF(S1MATbl[[#This Row],[ALL UNITS IN A HIGH OR HIGHEST RESOURCE AREA]]="Yes",10*S1MATbl[[#This Row],[% OF TOTAL RURAL FUNDING]],0)</f>
        <v>0</v>
      </c>
      <c r="AJ16" s="7" cm="1">
        <f t="array" ref="AJ16">INDEX(CountyScoresTbl[Community Need Total Points],ROW(S1MATbl[[#This Row],[COUNTY]])-2,1)*S1MATbl[[#This Row],[% OF TOTAL RURAL FUNDING]]</f>
        <v>0</v>
      </c>
      <c r="AK16" s="432" cm="1">
        <f t="array" ref="AK16"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6" s="73" cm="1">
        <f t="array" ref="AL16">INDEX(CountyScoresTbl[Farmworker Need Points Awarded],ROW(S1MATbl[[#This Row],[COUNTY]])-2,1)*S1MATbl[[#This Row],[% OF TOTAL RURAL FUNDING]]</f>
        <v>0</v>
      </c>
      <c r="AM16" s="422"/>
      <c r="AN16" s="422"/>
      <c r="AO16" s="422"/>
    </row>
    <row r="17" spans="1:41" x14ac:dyDescent="0.35">
      <c r="A17" s="124"/>
      <c r="B17" s="5" t="s">
        <v>129</v>
      </c>
      <c r="C17" s="31" t="s">
        <v>513</v>
      </c>
      <c r="D17" s="113" t="str">
        <f>IF(SUM(S1MATbl[[#This Row],[UNRESTRICTED UNITS]])=0,"",S1MATbl[[#This Row],[UNRESTRICTED UNITS]])</f>
        <v/>
      </c>
      <c r="E17" s="74" t="str">
        <f xml:space="preserve">
IF(S1MATbl[[#This Row],[UNRESTRICTED FUNDING REQUESTED]]=0,"",
S1MATbl[[#This Row],[UNRESTRICTED FUNDING REQUESTED]]*
IF(S1_MA_UnrestrictedTotalRequested&lt;=5000000,1,
5000000/S1_MA_UnrestrictedTotalRequested)
)</f>
        <v/>
      </c>
      <c r="F17" s="6" t="str">
        <f>IFERROR(S1MATbl[[#This Row],[TOTAL $ REQUESTED]]/SUM(S1MATbl[TOTAL $ REQUESTED]),"")</f>
        <v/>
      </c>
      <c r="G17" s="31" t="s">
        <v>513</v>
      </c>
      <c r="H17" s="256" t="str">
        <f>IF(SUM(S1MATbl[[#This Row],[RURAL UNITS]])=0,"",S1MATbl[[#This Row],[RURAL UNITS]])</f>
        <v/>
      </c>
      <c r="I17" s="306" t="str">
        <f xml:space="preserve">
IF(S1MATbl[[#This Row],[RURAL FUNDING REQUESTED]]=0,"",
S1MATbl[[#This Row],[RURAL FUNDING REQUESTED]]*
IF(S1_MA_RuralTotalRequested&lt;=(5000000-E$61),1,
(5000000-E$61)/S1_MA_RuralTotalRequested)
)</f>
        <v/>
      </c>
      <c r="J17" s="257" t="str">
        <f>IFERROR(S1MATbl[[#This Row],[TOTAL $ REQUESTED2]]/SUM(S1MATbl[TOTAL $ REQUESTED2]),"")</f>
        <v/>
      </c>
      <c r="K17" s="31" t="s">
        <v>513</v>
      </c>
      <c r="L17" s="196"/>
      <c r="M17" s="119"/>
      <c r="N17" s="255"/>
      <c r="O17" s="124"/>
      <c r="P17" s="161"/>
      <c r="Q17" s="161"/>
      <c r="R17" s="161"/>
      <c r="S17" s="161"/>
      <c r="T17" s="98">
        <f t="shared" si="0"/>
        <v>0</v>
      </c>
      <c r="U17" s="6">
        <f>IF(S1MATbl[[#This Row],[UNRESTRICTED FUNDING REQUESTED]]=0,0,S1MATbl[[#This Row],[UNRESTRICTED FUNDING REQUESTED]]/S1_MA_UnrestrictedTotalRequested)</f>
        <v>0</v>
      </c>
      <c r="V17" s="444">
        <f xml:space="preserve">
IF(S1MATbl[[#This Row],[NEW CONSTRUCTION OR AQUIRE/REHAB]]&lt;&gt;"",
3+IF(S1MATbl[[#This Row],[INFILL SITE]]="Yes",2,0),0)
*S1MATbl[[#This Row],[% OF TOTAL UNRESTRICTED FUNDING]]</f>
        <v>0</v>
      </c>
      <c r="W17" s="7">
        <f>IF(S1MATbl[[#This Row],[ALL UNITS IN A HIGH OR HIGHEST RESOURCE AREA]]="Yes",10*S1MATbl[[#This Row],[% OF TOTAL UNRESTRICTED FUNDING]],0)</f>
        <v>0</v>
      </c>
      <c r="X17" s="7" cm="1">
        <f t="array" ref="X17">INDEX(CountyScoresTbl[Community Need Total Points],ROW(S1MATbl[[#This Row],[COUNTY]])-2,1)*S1MATbl[[#This Row],[% OF TOTAL UNRESTRICTED FUNDING]]</f>
        <v>0</v>
      </c>
      <c r="Y17" s="432" cm="1">
        <f t="array" ref="Y17"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7" s="26" cm="1">
        <f t="array" ref="Z17">INDEX(CountyScoresTbl[Farmworker Need Points Awarded],ROW(S1MATbl[[#This Row],[COUNTY]])-2,1)*S1MATbl[[#This Row],[% OF TOTAL UNRESTRICTED FUNDING]]</f>
        <v>0</v>
      </c>
      <c r="AA17" s="124"/>
      <c r="AB17" s="161"/>
      <c r="AC17" s="161"/>
      <c r="AD17" s="161"/>
      <c r="AE17" s="161"/>
      <c r="AF17" s="98">
        <f t="shared" si="1"/>
        <v>0</v>
      </c>
      <c r="AG17" s="6">
        <f>IF(S1MATbl[[#This Row],[RURAL FUNDING REQUESTED]]=0,0,S1MATbl[[#This Row],[RURAL FUNDING REQUESTED]]/S1_MA_RuralTotalRequested)</f>
        <v>0</v>
      </c>
      <c r="AH17" s="444">
        <f xml:space="preserve">
IF(S1MATbl[[#This Row],[NEW CONSTRUCTION OR AQUIRE/REHAB]]&lt;&gt;"",
3+IF(S1MATbl[[#This Row],[INFILL SITE]]="Yes",2,0),0)
*S1MATbl[[#This Row],[% OF TOTAL RURAL FUNDING]]</f>
        <v>0</v>
      </c>
      <c r="AI17" s="7">
        <f>IF(S1MATbl[[#This Row],[ALL UNITS IN A HIGH OR HIGHEST RESOURCE AREA]]="Yes",10*S1MATbl[[#This Row],[% OF TOTAL RURAL FUNDING]],0)</f>
        <v>0</v>
      </c>
      <c r="AJ17" s="7" cm="1">
        <f t="array" ref="AJ17">INDEX(CountyScoresTbl[Community Need Total Points],ROW(S1MATbl[[#This Row],[COUNTY]])-2,1)*S1MATbl[[#This Row],[% OF TOTAL RURAL FUNDING]]</f>
        <v>0</v>
      </c>
      <c r="AK17" s="432" cm="1">
        <f t="array" ref="AK17"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7" s="73" cm="1">
        <f t="array" ref="AL17">INDEX(CountyScoresTbl[Farmworker Need Points Awarded],ROW(S1MATbl[[#This Row],[COUNTY]])-2,1)*S1MATbl[[#This Row],[% OF TOTAL RURAL FUNDING]]</f>
        <v>0</v>
      </c>
      <c r="AM17" s="422"/>
      <c r="AN17" s="422"/>
      <c r="AO17" s="422"/>
    </row>
    <row r="18" spans="1:41" x14ac:dyDescent="0.35">
      <c r="A18" s="167"/>
      <c r="B18" s="5" t="s">
        <v>130</v>
      </c>
      <c r="C18" s="31" t="s">
        <v>513</v>
      </c>
      <c r="D18" s="113" t="str">
        <f>IF(SUM(S1MATbl[[#This Row],[UNRESTRICTED UNITS]])=0,"",S1MATbl[[#This Row],[UNRESTRICTED UNITS]])</f>
        <v/>
      </c>
      <c r="E18" s="74" t="str">
        <f xml:space="preserve">
IF(S1MATbl[[#This Row],[UNRESTRICTED FUNDING REQUESTED]]=0,"",
S1MATbl[[#This Row],[UNRESTRICTED FUNDING REQUESTED]]*
IF(S1_MA_UnrestrictedTotalRequested&lt;=5000000,1,
5000000/S1_MA_UnrestrictedTotalRequested)
)</f>
        <v/>
      </c>
      <c r="F18" s="6" t="str">
        <f>IFERROR(S1MATbl[[#This Row],[TOTAL $ REQUESTED]]/SUM(S1MATbl[TOTAL $ REQUESTED]),"")</f>
        <v/>
      </c>
      <c r="G18" s="31" t="s">
        <v>513</v>
      </c>
      <c r="H18" s="256" t="str">
        <f>IF(SUM(S1MATbl[[#This Row],[RURAL UNITS]])=0,"",S1MATbl[[#This Row],[RURAL UNITS]])</f>
        <v/>
      </c>
      <c r="I18" s="306" t="str">
        <f xml:space="preserve">
IF(S1MATbl[[#This Row],[RURAL FUNDING REQUESTED]]=0,"",
S1MATbl[[#This Row],[RURAL FUNDING REQUESTED]]*
IF(S1_MA_RuralTotalRequested&lt;=(5000000-E$61),1,
(5000000-E$61)/S1_MA_RuralTotalRequested)
)</f>
        <v/>
      </c>
      <c r="J18" s="257" t="str">
        <f>IFERROR(S1MATbl[[#This Row],[TOTAL $ REQUESTED2]]/SUM(S1MATbl[TOTAL $ REQUESTED2]),"")</f>
        <v/>
      </c>
      <c r="K18" s="31" t="s">
        <v>513</v>
      </c>
      <c r="L18" s="163"/>
      <c r="M18" s="164"/>
      <c r="N18" s="165"/>
      <c r="O18" s="123"/>
      <c r="P18" s="161"/>
      <c r="Q18" s="161"/>
      <c r="R18" s="161"/>
      <c r="S18" s="161"/>
      <c r="T18" s="98">
        <f t="shared" si="0"/>
        <v>0</v>
      </c>
      <c r="U18" s="6">
        <f>IF(S1MATbl[[#This Row],[UNRESTRICTED FUNDING REQUESTED]]=0,0,S1MATbl[[#This Row],[UNRESTRICTED FUNDING REQUESTED]]/S1_MA_UnrestrictedTotalRequested)</f>
        <v>0</v>
      </c>
      <c r="V18" s="444">
        <f xml:space="preserve">
IF(S1MATbl[[#This Row],[NEW CONSTRUCTION OR AQUIRE/REHAB]]&lt;&gt;"",
3+IF(S1MATbl[[#This Row],[INFILL SITE]]="Yes",2,0),0)
*S1MATbl[[#This Row],[% OF TOTAL UNRESTRICTED FUNDING]]</f>
        <v>0</v>
      </c>
      <c r="W18" s="7">
        <f>IF(S1MATbl[[#This Row],[ALL UNITS IN A HIGH OR HIGHEST RESOURCE AREA]]="Yes",10*S1MATbl[[#This Row],[% OF TOTAL UNRESTRICTED FUNDING]],0)</f>
        <v>0</v>
      </c>
      <c r="X18" s="7" cm="1">
        <f t="array" ref="X18">INDEX(CountyScoresTbl[Community Need Total Points],ROW(S1MATbl[[#This Row],[COUNTY]])-2,1)*S1MATbl[[#This Row],[% OF TOTAL UNRESTRICTED FUNDING]]</f>
        <v>0</v>
      </c>
      <c r="Y18" s="432" cm="1">
        <f t="array" ref="Y18"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8" s="26" cm="1">
        <f t="array" ref="Z18">INDEX(CountyScoresTbl[Farmworker Need Points Awarded],ROW(S1MATbl[[#This Row],[COUNTY]])-2,1)*S1MATbl[[#This Row],[% OF TOTAL UNRESTRICTED FUNDING]]</f>
        <v>0</v>
      </c>
      <c r="AA18" s="123"/>
      <c r="AB18" s="161"/>
      <c r="AC18" s="161"/>
      <c r="AD18" s="161"/>
      <c r="AE18" s="161"/>
      <c r="AF18" s="98">
        <f t="shared" si="1"/>
        <v>0</v>
      </c>
      <c r="AG18" s="6">
        <f>IF(S1MATbl[[#This Row],[RURAL FUNDING REQUESTED]]=0,0,S1MATbl[[#This Row],[RURAL FUNDING REQUESTED]]/S1_MA_RuralTotalRequested)</f>
        <v>0</v>
      </c>
      <c r="AH18" s="444">
        <f xml:space="preserve">
IF(S1MATbl[[#This Row],[NEW CONSTRUCTION OR AQUIRE/REHAB]]&lt;&gt;"",
3+IF(S1MATbl[[#This Row],[INFILL SITE]]="Yes",2,0),0)
*S1MATbl[[#This Row],[% OF TOTAL RURAL FUNDING]]</f>
        <v>0</v>
      </c>
      <c r="AI18" s="7">
        <f>IF(S1MATbl[[#This Row],[ALL UNITS IN A HIGH OR HIGHEST RESOURCE AREA]]="Yes",10*S1MATbl[[#This Row],[% OF TOTAL RURAL FUNDING]],0)</f>
        <v>0</v>
      </c>
      <c r="AJ18" s="7" cm="1">
        <f t="array" ref="AJ18">INDEX(CountyScoresTbl[Community Need Total Points],ROW(S1MATbl[[#This Row],[COUNTY]])-2,1)*S1MATbl[[#This Row],[% OF TOTAL RURAL FUNDING]]</f>
        <v>0</v>
      </c>
      <c r="AK18" s="432" cm="1">
        <f t="array" ref="AK18"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8" s="73" cm="1">
        <f t="array" ref="AL18">INDEX(CountyScoresTbl[Farmworker Need Points Awarded],ROW(S1MATbl[[#This Row],[COUNTY]])-2,1)*S1MATbl[[#This Row],[% OF TOTAL RURAL FUNDING]]</f>
        <v>0</v>
      </c>
      <c r="AM18" s="426"/>
      <c r="AN18" s="426"/>
      <c r="AO18" s="426"/>
    </row>
    <row r="19" spans="1:41" x14ac:dyDescent="0.35">
      <c r="A19" s="167"/>
      <c r="B19" s="5" t="s">
        <v>131</v>
      </c>
      <c r="C19" s="31" t="s">
        <v>513</v>
      </c>
      <c r="D19" s="113" t="str">
        <f>IF(SUM(S1MATbl[[#This Row],[UNRESTRICTED UNITS]])=0,"",S1MATbl[[#This Row],[UNRESTRICTED UNITS]])</f>
        <v/>
      </c>
      <c r="E19" s="74" t="str">
        <f xml:space="preserve">
IF(S1MATbl[[#This Row],[UNRESTRICTED FUNDING REQUESTED]]=0,"",
S1MATbl[[#This Row],[UNRESTRICTED FUNDING REQUESTED]]*
IF(S1_MA_UnrestrictedTotalRequested&lt;=5000000,1,
5000000/S1_MA_UnrestrictedTotalRequested)
)</f>
        <v/>
      </c>
      <c r="F19" s="6" t="str">
        <f>IFERROR(S1MATbl[[#This Row],[TOTAL $ REQUESTED]]/SUM(S1MATbl[TOTAL $ REQUESTED]),"")</f>
        <v/>
      </c>
      <c r="G19" s="31" t="s">
        <v>513</v>
      </c>
      <c r="H19" s="256" t="str">
        <f>IF(SUM(S1MATbl[[#This Row],[RURAL UNITS]])=0,"",S1MATbl[[#This Row],[RURAL UNITS]])</f>
        <v/>
      </c>
      <c r="I19" s="306" t="str">
        <f xml:space="preserve">
IF(S1MATbl[[#This Row],[RURAL FUNDING REQUESTED]]=0,"",
S1MATbl[[#This Row],[RURAL FUNDING REQUESTED]]*
IF(S1_MA_RuralTotalRequested&lt;=(5000000-E$61),1,
(5000000-E$61)/S1_MA_RuralTotalRequested)
)</f>
        <v/>
      </c>
      <c r="J19" s="257" t="str">
        <f>IFERROR(S1MATbl[[#This Row],[TOTAL $ REQUESTED2]]/SUM(S1MATbl[TOTAL $ REQUESTED2]),"")</f>
        <v/>
      </c>
      <c r="K19" s="31" t="s">
        <v>513</v>
      </c>
      <c r="L19" s="163"/>
      <c r="M19" s="164"/>
      <c r="N19" s="165"/>
      <c r="O19" s="123"/>
      <c r="P19" s="161"/>
      <c r="Q19" s="161"/>
      <c r="R19" s="161"/>
      <c r="S19" s="161"/>
      <c r="T19" s="98">
        <f t="shared" si="0"/>
        <v>0</v>
      </c>
      <c r="U19" s="6">
        <f>IF(S1MATbl[[#This Row],[UNRESTRICTED FUNDING REQUESTED]]=0,0,S1MATbl[[#This Row],[UNRESTRICTED FUNDING REQUESTED]]/S1_MA_UnrestrictedTotalRequested)</f>
        <v>0</v>
      </c>
      <c r="V19" s="444">
        <f xml:space="preserve">
IF(S1MATbl[[#This Row],[NEW CONSTRUCTION OR AQUIRE/REHAB]]&lt;&gt;"",
3+IF(S1MATbl[[#This Row],[INFILL SITE]]="Yes",2,0),0)
*S1MATbl[[#This Row],[% OF TOTAL UNRESTRICTED FUNDING]]</f>
        <v>0</v>
      </c>
      <c r="W19" s="7">
        <f>IF(S1MATbl[[#This Row],[ALL UNITS IN A HIGH OR HIGHEST RESOURCE AREA]]="Yes",10*S1MATbl[[#This Row],[% OF TOTAL UNRESTRICTED FUNDING]],0)</f>
        <v>0</v>
      </c>
      <c r="X19" s="7" cm="1">
        <f t="array" ref="X19">INDEX(CountyScoresTbl[Community Need Total Points],ROW(S1MATbl[[#This Row],[COUNTY]])-2,1)*S1MATbl[[#This Row],[% OF TOTAL UNRESTRICTED FUNDING]]</f>
        <v>0</v>
      </c>
      <c r="Y19" s="432" cm="1">
        <f t="array" ref="Y19"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19" s="26" cm="1">
        <f t="array" ref="Z19">INDEX(CountyScoresTbl[Farmworker Need Points Awarded],ROW(S1MATbl[[#This Row],[COUNTY]])-2,1)*S1MATbl[[#This Row],[% OF TOTAL UNRESTRICTED FUNDING]]</f>
        <v>0</v>
      </c>
      <c r="AA19" s="123"/>
      <c r="AB19" s="161"/>
      <c r="AC19" s="161"/>
      <c r="AD19" s="161"/>
      <c r="AE19" s="161"/>
      <c r="AF19" s="98">
        <f t="shared" si="1"/>
        <v>0</v>
      </c>
      <c r="AG19" s="6">
        <f>IF(S1MATbl[[#This Row],[RURAL FUNDING REQUESTED]]=0,0,S1MATbl[[#This Row],[RURAL FUNDING REQUESTED]]/S1_MA_RuralTotalRequested)</f>
        <v>0</v>
      </c>
      <c r="AH19" s="444">
        <f xml:space="preserve">
IF(S1MATbl[[#This Row],[NEW CONSTRUCTION OR AQUIRE/REHAB]]&lt;&gt;"",
3+IF(S1MATbl[[#This Row],[INFILL SITE]]="Yes",2,0),0)
*S1MATbl[[#This Row],[% OF TOTAL RURAL FUNDING]]</f>
        <v>0</v>
      </c>
      <c r="AI19" s="7">
        <f>IF(S1MATbl[[#This Row],[ALL UNITS IN A HIGH OR HIGHEST RESOURCE AREA]]="Yes",10*S1MATbl[[#This Row],[% OF TOTAL RURAL FUNDING]],0)</f>
        <v>0</v>
      </c>
      <c r="AJ19" s="7" cm="1">
        <f t="array" ref="AJ19">INDEX(CountyScoresTbl[Community Need Total Points],ROW(S1MATbl[[#This Row],[COUNTY]])-2,1)*S1MATbl[[#This Row],[% OF TOTAL RURAL FUNDING]]</f>
        <v>0</v>
      </c>
      <c r="AK19" s="432" cm="1">
        <f t="array" ref="AK19"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19" s="73" cm="1">
        <f t="array" ref="AL19">INDEX(CountyScoresTbl[Farmworker Need Points Awarded],ROW(S1MATbl[[#This Row],[COUNTY]])-2,1)*S1MATbl[[#This Row],[% OF TOTAL RURAL FUNDING]]</f>
        <v>0</v>
      </c>
      <c r="AM19" s="422"/>
      <c r="AN19" s="422"/>
      <c r="AO19" s="422"/>
    </row>
    <row r="20" spans="1:41" x14ac:dyDescent="0.35">
      <c r="A20" s="124"/>
      <c r="B20" s="5" t="s">
        <v>132</v>
      </c>
      <c r="C20" s="31" t="s">
        <v>513</v>
      </c>
      <c r="D20" s="113" t="str">
        <f>IF(SUM(S1MATbl[[#This Row],[UNRESTRICTED UNITS]])=0,"",S1MATbl[[#This Row],[UNRESTRICTED UNITS]])</f>
        <v/>
      </c>
      <c r="E20" s="74" t="str">
        <f xml:space="preserve">
IF(S1MATbl[[#This Row],[UNRESTRICTED FUNDING REQUESTED]]=0,"",
S1MATbl[[#This Row],[UNRESTRICTED FUNDING REQUESTED]]*
IF(S1_MA_UnrestrictedTotalRequested&lt;=5000000,1,
5000000/S1_MA_UnrestrictedTotalRequested)
)</f>
        <v/>
      </c>
      <c r="F20" s="6" t="str">
        <f>IFERROR(S1MATbl[[#This Row],[TOTAL $ REQUESTED]]/SUM(S1MATbl[TOTAL $ REQUESTED]),"")</f>
        <v/>
      </c>
      <c r="G20" s="31" t="s">
        <v>513</v>
      </c>
      <c r="H20" s="256" t="str">
        <f>IF(SUM(S1MATbl[[#This Row],[RURAL UNITS]])=0,"",S1MATbl[[#This Row],[RURAL UNITS]])</f>
        <v/>
      </c>
      <c r="I20" s="306" t="str">
        <f xml:space="preserve">
IF(S1MATbl[[#This Row],[RURAL FUNDING REQUESTED]]=0,"",
S1MATbl[[#This Row],[RURAL FUNDING REQUESTED]]*
IF(S1_MA_RuralTotalRequested&lt;=(5000000-E$61),1,
(5000000-E$61)/S1_MA_RuralTotalRequested)
)</f>
        <v/>
      </c>
      <c r="J20" s="257" t="str">
        <f>IFERROR(S1MATbl[[#This Row],[TOTAL $ REQUESTED2]]/SUM(S1MATbl[TOTAL $ REQUESTED2]),"")</f>
        <v/>
      </c>
      <c r="K20" s="31" t="s">
        <v>513</v>
      </c>
      <c r="L20" s="196"/>
      <c r="M20" s="119"/>
      <c r="N20" s="255"/>
      <c r="O20" s="124"/>
      <c r="P20" s="161"/>
      <c r="Q20" s="161"/>
      <c r="R20" s="161"/>
      <c r="S20" s="161"/>
      <c r="T20" s="98">
        <f t="shared" si="0"/>
        <v>0</v>
      </c>
      <c r="U20" s="6">
        <f>IF(S1MATbl[[#This Row],[UNRESTRICTED FUNDING REQUESTED]]=0,0,S1MATbl[[#This Row],[UNRESTRICTED FUNDING REQUESTED]]/S1_MA_UnrestrictedTotalRequested)</f>
        <v>0</v>
      </c>
      <c r="V20" s="444">
        <f xml:space="preserve">
IF(S1MATbl[[#This Row],[NEW CONSTRUCTION OR AQUIRE/REHAB]]&lt;&gt;"",
3+IF(S1MATbl[[#This Row],[INFILL SITE]]="Yes",2,0),0)
*S1MATbl[[#This Row],[% OF TOTAL UNRESTRICTED FUNDING]]</f>
        <v>0</v>
      </c>
      <c r="W20" s="7">
        <f>IF(S1MATbl[[#This Row],[ALL UNITS IN A HIGH OR HIGHEST RESOURCE AREA]]="Yes",10*S1MATbl[[#This Row],[% OF TOTAL UNRESTRICTED FUNDING]],0)</f>
        <v>0</v>
      </c>
      <c r="X20" s="7" cm="1">
        <f t="array" ref="X20">INDEX(CountyScoresTbl[Community Need Total Points],ROW(S1MATbl[[#This Row],[COUNTY]])-2,1)*S1MATbl[[#This Row],[% OF TOTAL UNRESTRICTED FUNDING]]</f>
        <v>0</v>
      </c>
      <c r="Y20" s="432" cm="1">
        <f t="array" ref="Y20"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0" s="26" cm="1">
        <f t="array" ref="Z20">INDEX(CountyScoresTbl[Farmworker Need Points Awarded],ROW(S1MATbl[[#This Row],[COUNTY]])-2,1)*S1MATbl[[#This Row],[% OF TOTAL UNRESTRICTED FUNDING]]</f>
        <v>0</v>
      </c>
      <c r="AA20" s="124"/>
      <c r="AB20" s="161"/>
      <c r="AC20" s="161"/>
      <c r="AD20" s="161"/>
      <c r="AE20" s="161"/>
      <c r="AF20" s="98">
        <f t="shared" si="1"/>
        <v>0</v>
      </c>
      <c r="AG20" s="6">
        <f>IF(S1MATbl[[#This Row],[RURAL FUNDING REQUESTED]]=0,0,S1MATbl[[#This Row],[RURAL FUNDING REQUESTED]]/S1_MA_RuralTotalRequested)</f>
        <v>0</v>
      </c>
      <c r="AH20" s="444">
        <f xml:space="preserve">
IF(S1MATbl[[#This Row],[NEW CONSTRUCTION OR AQUIRE/REHAB]]&lt;&gt;"",
3+IF(S1MATbl[[#This Row],[INFILL SITE]]="Yes",2,0),0)
*S1MATbl[[#This Row],[% OF TOTAL RURAL FUNDING]]</f>
        <v>0</v>
      </c>
      <c r="AI20" s="7">
        <f>IF(S1MATbl[[#This Row],[ALL UNITS IN A HIGH OR HIGHEST RESOURCE AREA]]="Yes",10*S1MATbl[[#This Row],[% OF TOTAL RURAL FUNDING]],0)</f>
        <v>0</v>
      </c>
      <c r="AJ20" s="7" cm="1">
        <f t="array" ref="AJ20">INDEX(CountyScoresTbl[Community Need Total Points],ROW(S1MATbl[[#This Row],[COUNTY]])-2,1)*S1MATbl[[#This Row],[% OF TOTAL RURAL FUNDING]]</f>
        <v>0</v>
      </c>
      <c r="AK20" s="432" cm="1">
        <f t="array" ref="AK20"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0" s="73" cm="1">
        <f t="array" ref="AL20">INDEX(CountyScoresTbl[Farmworker Need Points Awarded],ROW(S1MATbl[[#This Row],[COUNTY]])-2,1)*S1MATbl[[#This Row],[% OF TOTAL RURAL FUNDING]]</f>
        <v>0</v>
      </c>
      <c r="AM20" s="422"/>
      <c r="AN20" s="422"/>
      <c r="AO20" s="422"/>
    </row>
    <row r="21" spans="1:41" x14ac:dyDescent="0.35">
      <c r="A21" s="124"/>
      <c r="B21" s="5" t="s">
        <v>133</v>
      </c>
      <c r="C21" s="31" t="s">
        <v>513</v>
      </c>
      <c r="D21" s="113" t="str">
        <f>IF(SUM(S1MATbl[[#This Row],[UNRESTRICTED UNITS]])=0,"",S1MATbl[[#This Row],[UNRESTRICTED UNITS]])</f>
        <v/>
      </c>
      <c r="E21" s="74" t="str">
        <f xml:space="preserve">
IF(S1MATbl[[#This Row],[UNRESTRICTED FUNDING REQUESTED]]=0,"",
S1MATbl[[#This Row],[UNRESTRICTED FUNDING REQUESTED]]*
IF(S1_MA_UnrestrictedTotalRequested&lt;=5000000,1,
5000000/S1_MA_UnrestrictedTotalRequested)
)</f>
        <v/>
      </c>
      <c r="F21" s="6" t="str">
        <f>IFERROR(S1MATbl[[#This Row],[TOTAL $ REQUESTED]]/SUM(S1MATbl[TOTAL $ REQUESTED]),"")</f>
        <v/>
      </c>
      <c r="G21" s="31" t="s">
        <v>513</v>
      </c>
      <c r="H21" s="256" t="str">
        <f>IF(SUM(S1MATbl[[#This Row],[RURAL UNITS]])=0,"",S1MATbl[[#This Row],[RURAL UNITS]])</f>
        <v/>
      </c>
      <c r="I21" s="306" t="str">
        <f xml:space="preserve">
IF(S1MATbl[[#This Row],[RURAL FUNDING REQUESTED]]=0,"",
S1MATbl[[#This Row],[RURAL FUNDING REQUESTED]]*
IF(S1_MA_RuralTotalRequested&lt;=(5000000-E$61),1,
(5000000-E$61)/S1_MA_RuralTotalRequested)
)</f>
        <v/>
      </c>
      <c r="J21" s="257" t="str">
        <f>IFERROR(S1MATbl[[#This Row],[TOTAL $ REQUESTED2]]/SUM(S1MATbl[TOTAL $ REQUESTED2]),"")</f>
        <v/>
      </c>
      <c r="K21" s="31" t="s">
        <v>513</v>
      </c>
      <c r="L21" s="196"/>
      <c r="M21" s="119"/>
      <c r="N21" s="255"/>
      <c r="O21" s="124"/>
      <c r="P21" s="161"/>
      <c r="Q21" s="161"/>
      <c r="R21" s="161"/>
      <c r="S21" s="161"/>
      <c r="T21" s="98">
        <f t="shared" si="0"/>
        <v>0</v>
      </c>
      <c r="U21" s="6">
        <f>IF(S1MATbl[[#This Row],[UNRESTRICTED FUNDING REQUESTED]]=0,0,S1MATbl[[#This Row],[UNRESTRICTED FUNDING REQUESTED]]/S1_MA_UnrestrictedTotalRequested)</f>
        <v>0</v>
      </c>
      <c r="V21" s="444">
        <f xml:space="preserve">
IF(S1MATbl[[#This Row],[NEW CONSTRUCTION OR AQUIRE/REHAB]]&lt;&gt;"",
3+IF(S1MATbl[[#This Row],[INFILL SITE]]="Yes",2,0),0)
*S1MATbl[[#This Row],[% OF TOTAL UNRESTRICTED FUNDING]]</f>
        <v>0</v>
      </c>
      <c r="W21" s="7">
        <f>IF(S1MATbl[[#This Row],[ALL UNITS IN A HIGH OR HIGHEST RESOURCE AREA]]="Yes",10*S1MATbl[[#This Row],[% OF TOTAL UNRESTRICTED FUNDING]],0)</f>
        <v>0</v>
      </c>
      <c r="X21" s="7" cm="1">
        <f t="array" ref="X21">INDEX(CountyScoresTbl[Community Need Total Points],ROW(S1MATbl[[#This Row],[COUNTY]])-2,1)*S1MATbl[[#This Row],[% OF TOTAL UNRESTRICTED FUNDING]]</f>
        <v>0</v>
      </c>
      <c r="Y21" s="432" cm="1">
        <f t="array" ref="Y21"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1" s="26" cm="1">
        <f t="array" ref="Z21">INDEX(CountyScoresTbl[Farmworker Need Points Awarded],ROW(S1MATbl[[#This Row],[COUNTY]])-2,1)*S1MATbl[[#This Row],[% OF TOTAL UNRESTRICTED FUNDING]]</f>
        <v>0</v>
      </c>
      <c r="AA21" s="124"/>
      <c r="AB21" s="161"/>
      <c r="AC21" s="161"/>
      <c r="AD21" s="161"/>
      <c r="AE21" s="161"/>
      <c r="AF21" s="98">
        <f t="shared" si="1"/>
        <v>0</v>
      </c>
      <c r="AG21" s="6">
        <f>IF(S1MATbl[[#This Row],[RURAL FUNDING REQUESTED]]=0,0,S1MATbl[[#This Row],[RURAL FUNDING REQUESTED]]/S1_MA_RuralTotalRequested)</f>
        <v>0</v>
      </c>
      <c r="AH21" s="444">
        <f xml:space="preserve">
IF(S1MATbl[[#This Row],[NEW CONSTRUCTION OR AQUIRE/REHAB]]&lt;&gt;"",
3+IF(S1MATbl[[#This Row],[INFILL SITE]]="Yes",2,0),0)
*S1MATbl[[#This Row],[% OF TOTAL RURAL FUNDING]]</f>
        <v>0</v>
      </c>
      <c r="AI21" s="7">
        <f>IF(S1MATbl[[#This Row],[ALL UNITS IN A HIGH OR HIGHEST RESOURCE AREA]]="Yes",10*S1MATbl[[#This Row],[% OF TOTAL RURAL FUNDING]],0)</f>
        <v>0</v>
      </c>
      <c r="AJ21" s="7" cm="1">
        <f t="array" ref="AJ21">INDEX(CountyScoresTbl[Community Need Total Points],ROW(S1MATbl[[#This Row],[COUNTY]])-2,1)*S1MATbl[[#This Row],[% OF TOTAL RURAL FUNDING]]</f>
        <v>0</v>
      </c>
      <c r="AK21" s="432" cm="1">
        <f t="array" ref="AK21"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1" s="73" cm="1">
        <f t="array" ref="AL21">INDEX(CountyScoresTbl[Farmworker Need Points Awarded],ROW(S1MATbl[[#This Row],[COUNTY]])-2,1)*S1MATbl[[#This Row],[% OF TOTAL RURAL FUNDING]]</f>
        <v>0</v>
      </c>
      <c r="AM21" s="422"/>
      <c r="AN21" s="422"/>
      <c r="AO21" s="422"/>
    </row>
    <row r="22" spans="1:41" x14ac:dyDescent="0.35">
      <c r="A22" s="124"/>
      <c r="B22" s="5" t="s">
        <v>134</v>
      </c>
      <c r="C22" s="31" t="s">
        <v>513</v>
      </c>
      <c r="D22" s="113" t="str">
        <f>IF(SUM(S1MATbl[[#This Row],[UNRESTRICTED UNITS]])=0,"",S1MATbl[[#This Row],[UNRESTRICTED UNITS]])</f>
        <v/>
      </c>
      <c r="E22" s="74" t="str">
        <f xml:space="preserve">
IF(S1MATbl[[#This Row],[UNRESTRICTED FUNDING REQUESTED]]=0,"",
S1MATbl[[#This Row],[UNRESTRICTED FUNDING REQUESTED]]*
IF(S1_MA_UnrestrictedTotalRequested&lt;=5000000,1,
5000000/S1_MA_UnrestrictedTotalRequested)
)</f>
        <v/>
      </c>
      <c r="F22" s="6" t="str">
        <f>IFERROR(S1MATbl[[#This Row],[TOTAL $ REQUESTED]]/SUM(S1MATbl[TOTAL $ REQUESTED]),"")</f>
        <v/>
      </c>
      <c r="G22" s="31" t="s">
        <v>513</v>
      </c>
      <c r="H22" s="256" t="str">
        <f>IF(SUM(S1MATbl[[#This Row],[RURAL UNITS]])=0,"",S1MATbl[[#This Row],[RURAL UNITS]])</f>
        <v/>
      </c>
      <c r="I22" s="306" t="str">
        <f xml:space="preserve">
IF(S1MATbl[[#This Row],[RURAL FUNDING REQUESTED]]=0,"",
S1MATbl[[#This Row],[RURAL FUNDING REQUESTED]]*
IF(S1_MA_RuralTotalRequested&lt;=(5000000-E$61),1,
(5000000-E$61)/S1_MA_RuralTotalRequested)
)</f>
        <v/>
      </c>
      <c r="J22" s="257" t="str">
        <f>IFERROR(S1MATbl[[#This Row],[TOTAL $ REQUESTED2]]/SUM(S1MATbl[TOTAL $ REQUESTED2]),"")</f>
        <v/>
      </c>
      <c r="K22" s="31" t="s">
        <v>513</v>
      </c>
      <c r="L22" s="196"/>
      <c r="M22" s="119"/>
      <c r="N22" s="255"/>
      <c r="O22" s="124"/>
      <c r="P22" s="161"/>
      <c r="Q22" s="161"/>
      <c r="R22" s="161"/>
      <c r="S22" s="161"/>
      <c r="T22" s="98">
        <f t="shared" si="0"/>
        <v>0</v>
      </c>
      <c r="U22" s="6">
        <f>IF(S1MATbl[[#This Row],[UNRESTRICTED FUNDING REQUESTED]]=0,0,S1MATbl[[#This Row],[UNRESTRICTED FUNDING REQUESTED]]/S1_MA_UnrestrictedTotalRequested)</f>
        <v>0</v>
      </c>
      <c r="V22" s="444">
        <f xml:space="preserve">
IF(S1MATbl[[#This Row],[NEW CONSTRUCTION OR AQUIRE/REHAB]]&lt;&gt;"",
3+IF(S1MATbl[[#This Row],[INFILL SITE]]="Yes",2,0),0)
*S1MATbl[[#This Row],[% OF TOTAL UNRESTRICTED FUNDING]]</f>
        <v>0</v>
      </c>
      <c r="W22" s="7">
        <f>IF(S1MATbl[[#This Row],[ALL UNITS IN A HIGH OR HIGHEST RESOURCE AREA]]="Yes",10*S1MATbl[[#This Row],[% OF TOTAL UNRESTRICTED FUNDING]],0)</f>
        <v>0</v>
      </c>
      <c r="X22" s="7" cm="1">
        <f t="array" ref="X22">INDEX(CountyScoresTbl[Community Need Total Points],ROW(S1MATbl[[#This Row],[COUNTY]])-2,1)*S1MATbl[[#This Row],[% OF TOTAL UNRESTRICTED FUNDING]]</f>
        <v>0</v>
      </c>
      <c r="Y22" s="432" cm="1">
        <f t="array" ref="Y22"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2" s="26" cm="1">
        <f t="array" ref="Z22">INDEX(CountyScoresTbl[Farmworker Need Points Awarded],ROW(S1MATbl[[#This Row],[COUNTY]])-2,1)*S1MATbl[[#This Row],[% OF TOTAL UNRESTRICTED FUNDING]]</f>
        <v>0</v>
      </c>
      <c r="AA22" s="124"/>
      <c r="AB22" s="161"/>
      <c r="AC22" s="161"/>
      <c r="AD22" s="161"/>
      <c r="AE22" s="161"/>
      <c r="AF22" s="98">
        <f t="shared" si="1"/>
        <v>0</v>
      </c>
      <c r="AG22" s="6">
        <f>IF(S1MATbl[[#This Row],[RURAL FUNDING REQUESTED]]=0,0,S1MATbl[[#This Row],[RURAL FUNDING REQUESTED]]/S1_MA_RuralTotalRequested)</f>
        <v>0</v>
      </c>
      <c r="AH22" s="444">
        <f xml:space="preserve">
IF(S1MATbl[[#This Row],[NEW CONSTRUCTION OR AQUIRE/REHAB]]&lt;&gt;"",
3+IF(S1MATbl[[#This Row],[INFILL SITE]]="Yes",2,0),0)
*S1MATbl[[#This Row],[% OF TOTAL RURAL FUNDING]]</f>
        <v>0</v>
      </c>
      <c r="AI22" s="7">
        <f>IF(S1MATbl[[#This Row],[ALL UNITS IN A HIGH OR HIGHEST RESOURCE AREA]]="Yes",10*S1MATbl[[#This Row],[% OF TOTAL RURAL FUNDING]],0)</f>
        <v>0</v>
      </c>
      <c r="AJ22" s="7" cm="1">
        <f t="array" ref="AJ22">INDEX(CountyScoresTbl[Community Need Total Points],ROW(S1MATbl[[#This Row],[COUNTY]])-2,1)*S1MATbl[[#This Row],[% OF TOTAL RURAL FUNDING]]</f>
        <v>0</v>
      </c>
      <c r="AK22" s="432" cm="1">
        <f t="array" ref="AK22"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2" s="73" cm="1">
        <f t="array" ref="AL22">INDEX(CountyScoresTbl[Farmworker Need Points Awarded],ROW(S1MATbl[[#This Row],[COUNTY]])-2,1)*S1MATbl[[#This Row],[% OF TOTAL RURAL FUNDING]]</f>
        <v>0</v>
      </c>
      <c r="AM22" s="422"/>
      <c r="AN22" s="422"/>
      <c r="AO22" s="422"/>
    </row>
    <row r="23" spans="1:41" x14ac:dyDescent="0.35">
      <c r="A23" s="124"/>
      <c r="B23" s="5" t="s">
        <v>135</v>
      </c>
      <c r="C23" s="31" t="s">
        <v>513</v>
      </c>
      <c r="D23" s="113" t="str">
        <f>IF(SUM(S1MATbl[[#This Row],[UNRESTRICTED UNITS]])=0,"",S1MATbl[[#This Row],[UNRESTRICTED UNITS]])</f>
        <v/>
      </c>
      <c r="E23" s="74" t="str">
        <f xml:space="preserve">
IF(S1MATbl[[#This Row],[UNRESTRICTED FUNDING REQUESTED]]=0,"",
S1MATbl[[#This Row],[UNRESTRICTED FUNDING REQUESTED]]*
IF(S1_MA_UnrestrictedTotalRequested&lt;=5000000,1,
5000000/S1_MA_UnrestrictedTotalRequested)
)</f>
        <v/>
      </c>
      <c r="F23" s="6" t="str">
        <f>IFERROR(S1MATbl[[#This Row],[TOTAL $ REQUESTED]]/SUM(S1MATbl[TOTAL $ REQUESTED]),"")</f>
        <v/>
      </c>
      <c r="G23" s="31" t="s">
        <v>513</v>
      </c>
      <c r="H23" s="256" t="str">
        <f>IF(SUM(S1MATbl[[#This Row],[RURAL UNITS]])=0,"",S1MATbl[[#This Row],[RURAL UNITS]])</f>
        <v/>
      </c>
      <c r="I23" s="306" t="str">
        <f xml:space="preserve">
IF(S1MATbl[[#This Row],[RURAL FUNDING REQUESTED]]=0,"",
S1MATbl[[#This Row],[RURAL FUNDING REQUESTED]]*
IF(S1_MA_RuralTotalRequested&lt;=(5000000-E$61),1,
(5000000-E$61)/S1_MA_RuralTotalRequested)
)</f>
        <v/>
      </c>
      <c r="J23" s="257" t="str">
        <f>IFERROR(S1MATbl[[#This Row],[TOTAL $ REQUESTED2]]/SUM(S1MATbl[TOTAL $ REQUESTED2]),"")</f>
        <v/>
      </c>
      <c r="K23" s="31" t="s">
        <v>513</v>
      </c>
      <c r="L23" s="196"/>
      <c r="M23" s="119"/>
      <c r="N23" s="255"/>
      <c r="O23" s="124"/>
      <c r="P23" s="161"/>
      <c r="Q23" s="161"/>
      <c r="R23" s="161"/>
      <c r="S23" s="161"/>
      <c r="T23" s="98">
        <f t="shared" si="0"/>
        <v>0</v>
      </c>
      <c r="U23" s="6">
        <f>IF(S1MATbl[[#This Row],[UNRESTRICTED FUNDING REQUESTED]]=0,0,S1MATbl[[#This Row],[UNRESTRICTED FUNDING REQUESTED]]/S1_MA_UnrestrictedTotalRequested)</f>
        <v>0</v>
      </c>
      <c r="V23" s="444">
        <f xml:space="preserve">
IF(S1MATbl[[#This Row],[NEW CONSTRUCTION OR AQUIRE/REHAB]]&lt;&gt;"",
3+IF(S1MATbl[[#This Row],[INFILL SITE]]="Yes",2,0),0)
*S1MATbl[[#This Row],[% OF TOTAL UNRESTRICTED FUNDING]]</f>
        <v>0</v>
      </c>
      <c r="W23" s="7">
        <f>IF(S1MATbl[[#This Row],[ALL UNITS IN A HIGH OR HIGHEST RESOURCE AREA]]="Yes",10*S1MATbl[[#This Row],[% OF TOTAL UNRESTRICTED FUNDING]],0)</f>
        <v>0</v>
      </c>
      <c r="X23" s="7" cm="1">
        <f t="array" ref="X23">INDEX(CountyScoresTbl[Community Need Total Points],ROW(S1MATbl[[#This Row],[COUNTY]])-2,1)*S1MATbl[[#This Row],[% OF TOTAL UNRESTRICTED FUNDING]]</f>
        <v>0</v>
      </c>
      <c r="Y23" s="432" cm="1">
        <f t="array" ref="Y23"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3" s="26" cm="1">
        <f t="array" ref="Z23">INDEX(CountyScoresTbl[Farmworker Need Points Awarded],ROW(S1MATbl[[#This Row],[COUNTY]])-2,1)*S1MATbl[[#This Row],[% OF TOTAL UNRESTRICTED FUNDING]]</f>
        <v>0</v>
      </c>
      <c r="AA23" s="124"/>
      <c r="AB23" s="161"/>
      <c r="AC23" s="161"/>
      <c r="AD23" s="161"/>
      <c r="AE23" s="161"/>
      <c r="AF23" s="98">
        <f t="shared" si="1"/>
        <v>0</v>
      </c>
      <c r="AG23" s="6">
        <f>IF(S1MATbl[[#This Row],[RURAL FUNDING REQUESTED]]=0,0,S1MATbl[[#This Row],[RURAL FUNDING REQUESTED]]/S1_MA_RuralTotalRequested)</f>
        <v>0</v>
      </c>
      <c r="AH23" s="444">
        <f xml:space="preserve">
IF(S1MATbl[[#This Row],[NEW CONSTRUCTION OR AQUIRE/REHAB]]&lt;&gt;"",
3+IF(S1MATbl[[#This Row],[INFILL SITE]]="Yes",2,0),0)
*S1MATbl[[#This Row],[% OF TOTAL RURAL FUNDING]]</f>
        <v>0</v>
      </c>
      <c r="AI23" s="7">
        <f>IF(S1MATbl[[#This Row],[ALL UNITS IN A HIGH OR HIGHEST RESOURCE AREA]]="Yes",10*S1MATbl[[#This Row],[% OF TOTAL RURAL FUNDING]],0)</f>
        <v>0</v>
      </c>
      <c r="AJ23" s="7" cm="1">
        <f t="array" ref="AJ23">INDEX(CountyScoresTbl[Community Need Total Points],ROW(S1MATbl[[#This Row],[COUNTY]])-2,1)*S1MATbl[[#This Row],[% OF TOTAL RURAL FUNDING]]</f>
        <v>0</v>
      </c>
      <c r="AK23" s="432" cm="1">
        <f t="array" ref="AK23"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3" s="73" cm="1">
        <f t="array" ref="AL23">INDEX(CountyScoresTbl[Farmworker Need Points Awarded],ROW(S1MATbl[[#This Row],[COUNTY]])-2,1)*S1MATbl[[#This Row],[% OF TOTAL RURAL FUNDING]]</f>
        <v>0</v>
      </c>
      <c r="AM23" s="422"/>
      <c r="AN23" s="422"/>
      <c r="AO23" s="422"/>
    </row>
    <row r="24" spans="1:41" x14ac:dyDescent="0.35">
      <c r="A24" s="124"/>
      <c r="B24" s="5" t="s">
        <v>136</v>
      </c>
      <c r="C24" s="31" t="s">
        <v>513</v>
      </c>
      <c r="D24" s="113" t="str">
        <f>IF(SUM(S1MATbl[[#This Row],[UNRESTRICTED UNITS]])=0,"",S1MATbl[[#This Row],[UNRESTRICTED UNITS]])</f>
        <v/>
      </c>
      <c r="E24" s="74" t="str">
        <f xml:space="preserve">
IF(S1MATbl[[#This Row],[UNRESTRICTED FUNDING REQUESTED]]=0,"",
S1MATbl[[#This Row],[UNRESTRICTED FUNDING REQUESTED]]*
IF(S1_MA_UnrestrictedTotalRequested&lt;=5000000,1,
5000000/S1_MA_UnrestrictedTotalRequested)
)</f>
        <v/>
      </c>
      <c r="F24" s="6" t="str">
        <f>IFERROR(S1MATbl[[#This Row],[TOTAL $ REQUESTED]]/SUM(S1MATbl[TOTAL $ REQUESTED]),"")</f>
        <v/>
      </c>
      <c r="G24" s="31" t="s">
        <v>513</v>
      </c>
      <c r="H24" s="256" t="str">
        <f>IF(SUM(S1MATbl[[#This Row],[RURAL UNITS]])=0,"",S1MATbl[[#This Row],[RURAL UNITS]])</f>
        <v/>
      </c>
      <c r="I24" s="306" t="str">
        <f xml:space="preserve">
IF(S1MATbl[[#This Row],[RURAL FUNDING REQUESTED]]=0,"",
S1MATbl[[#This Row],[RURAL FUNDING REQUESTED]]*
IF(S1_MA_RuralTotalRequested&lt;=(5000000-E$61),1,
(5000000-E$61)/S1_MA_RuralTotalRequested)
)</f>
        <v/>
      </c>
      <c r="J24" s="257" t="str">
        <f>IFERROR(S1MATbl[[#This Row],[TOTAL $ REQUESTED2]]/SUM(S1MATbl[TOTAL $ REQUESTED2]),"")</f>
        <v/>
      </c>
      <c r="K24" s="31" t="s">
        <v>513</v>
      </c>
      <c r="L24" s="196"/>
      <c r="M24" s="119"/>
      <c r="N24" s="255"/>
      <c r="O24" s="124"/>
      <c r="P24" s="161"/>
      <c r="Q24" s="161"/>
      <c r="R24" s="161"/>
      <c r="S24" s="161"/>
      <c r="T24" s="98">
        <f t="shared" si="0"/>
        <v>0</v>
      </c>
      <c r="U24" s="6">
        <f>IF(S1MATbl[[#This Row],[UNRESTRICTED FUNDING REQUESTED]]=0,0,S1MATbl[[#This Row],[UNRESTRICTED FUNDING REQUESTED]]/S1_MA_UnrestrictedTotalRequested)</f>
        <v>0</v>
      </c>
      <c r="V24" s="444">
        <f xml:space="preserve">
IF(S1MATbl[[#This Row],[NEW CONSTRUCTION OR AQUIRE/REHAB]]&lt;&gt;"",
3+IF(S1MATbl[[#This Row],[INFILL SITE]]="Yes",2,0),0)
*S1MATbl[[#This Row],[% OF TOTAL UNRESTRICTED FUNDING]]</f>
        <v>0</v>
      </c>
      <c r="W24" s="7">
        <f>IF(S1MATbl[[#This Row],[ALL UNITS IN A HIGH OR HIGHEST RESOURCE AREA]]="Yes",10*S1MATbl[[#This Row],[% OF TOTAL UNRESTRICTED FUNDING]],0)</f>
        <v>0</v>
      </c>
      <c r="X24" s="7" cm="1">
        <f t="array" ref="X24">INDEX(CountyScoresTbl[Community Need Total Points],ROW(S1MATbl[[#This Row],[COUNTY]])-2,1)*S1MATbl[[#This Row],[% OF TOTAL UNRESTRICTED FUNDING]]</f>
        <v>0</v>
      </c>
      <c r="Y24" s="432" cm="1">
        <f t="array" ref="Y24"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4" s="26" cm="1">
        <f t="array" ref="Z24">INDEX(CountyScoresTbl[Farmworker Need Points Awarded],ROW(S1MATbl[[#This Row],[COUNTY]])-2,1)*S1MATbl[[#This Row],[% OF TOTAL UNRESTRICTED FUNDING]]</f>
        <v>0</v>
      </c>
      <c r="AA24" s="124"/>
      <c r="AB24" s="161"/>
      <c r="AC24" s="161"/>
      <c r="AD24" s="161"/>
      <c r="AE24" s="161"/>
      <c r="AF24" s="98">
        <f t="shared" si="1"/>
        <v>0</v>
      </c>
      <c r="AG24" s="6">
        <f>IF(S1MATbl[[#This Row],[RURAL FUNDING REQUESTED]]=0,0,S1MATbl[[#This Row],[RURAL FUNDING REQUESTED]]/S1_MA_RuralTotalRequested)</f>
        <v>0</v>
      </c>
      <c r="AH24" s="444">
        <f xml:space="preserve">
IF(S1MATbl[[#This Row],[NEW CONSTRUCTION OR AQUIRE/REHAB]]&lt;&gt;"",
3+IF(S1MATbl[[#This Row],[INFILL SITE]]="Yes",2,0),0)
*S1MATbl[[#This Row],[% OF TOTAL RURAL FUNDING]]</f>
        <v>0</v>
      </c>
      <c r="AI24" s="7">
        <f>IF(S1MATbl[[#This Row],[ALL UNITS IN A HIGH OR HIGHEST RESOURCE AREA]]="Yes",10*S1MATbl[[#This Row],[% OF TOTAL RURAL FUNDING]],0)</f>
        <v>0</v>
      </c>
      <c r="AJ24" s="7" cm="1">
        <f t="array" ref="AJ24">INDEX(CountyScoresTbl[Community Need Total Points],ROW(S1MATbl[[#This Row],[COUNTY]])-2,1)*S1MATbl[[#This Row],[% OF TOTAL RURAL FUNDING]]</f>
        <v>0</v>
      </c>
      <c r="AK24" s="432" cm="1">
        <f t="array" ref="AK24"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4" s="73" cm="1">
        <f t="array" ref="AL24">INDEX(CountyScoresTbl[Farmworker Need Points Awarded],ROW(S1MATbl[[#This Row],[COUNTY]])-2,1)*S1MATbl[[#This Row],[% OF TOTAL RURAL FUNDING]]</f>
        <v>0</v>
      </c>
      <c r="AM24" s="422"/>
      <c r="AN24" s="422"/>
      <c r="AO24" s="422"/>
    </row>
    <row r="25" spans="1:41" x14ac:dyDescent="0.35">
      <c r="A25" s="167"/>
      <c r="B25" s="5" t="s">
        <v>137</v>
      </c>
      <c r="C25" s="31" t="s">
        <v>513</v>
      </c>
      <c r="D25" s="113" t="str">
        <f>IF(SUM(S1MATbl[[#This Row],[UNRESTRICTED UNITS]])=0,"",S1MATbl[[#This Row],[UNRESTRICTED UNITS]])</f>
        <v/>
      </c>
      <c r="E25" s="74" t="str">
        <f xml:space="preserve">
IF(S1MATbl[[#This Row],[UNRESTRICTED FUNDING REQUESTED]]=0,"",
S1MATbl[[#This Row],[UNRESTRICTED FUNDING REQUESTED]]*
IF(S1_MA_UnrestrictedTotalRequested&lt;=5000000,1,
5000000/S1_MA_UnrestrictedTotalRequested)
)</f>
        <v/>
      </c>
      <c r="F25" s="6" t="str">
        <f>IFERROR(S1MATbl[[#This Row],[TOTAL $ REQUESTED]]/SUM(S1MATbl[TOTAL $ REQUESTED]),"")</f>
        <v/>
      </c>
      <c r="G25" s="31" t="s">
        <v>513</v>
      </c>
      <c r="H25" s="256" t="str">
        <f>IF(SUM(S1MATbl[[#This Row],[RURAL UNITS]])=0,"",S1MATbl[[#This Row],[RURAL UNITS]])</f>
        <v/>
      </c>
      <c r="I25" s="306" t="str">
        <f xml:space="preserve">
IF(S1MATbl[[#This Row],[RURAL FUNDING REQUESTED]]=0,"",
S1MATbl[[#This Row],[RURAL FUNDING REQUESTED]]*
IF(S1_MA_RuralTotalRequested&lt;=(5000000-E$61),1,
(5000000-E$61)/S1_MA_RuralTotalRequested)
)</f>
        <v/>
      </c>
      <c r="J25" s="257" t="str">
        <f>IFERROR(S1MATbl[[#This Row],[TOTAL $ REQUESTED2]]/SUM(S1MATbl[TOTAL $ REQUESTED2]),"")</f>
        <v/>
      </c>
      <c r="K25" s="31" t="s">
        <v>513</v>
      </c>
      <c r="L25" s="163"/>
      <c r="M25" s="164"/>
      <c r="N25" s="165"/>
      <c r="O25" s="123"/>
      <c r="P25" s="161"/>
      <c r="Q25" s="161"/>
      <c r="R25" s="161"/>
      <c r="S25" s="161"/>
      <c r="T25" s="98">
        <f t="shared" si="0"/>
        <v>0</v>
      </c>
      <c r="U25" s="6">
        <f>IF(S1MATbl[[#This Row],[UNRESTRICTED FUNDING REQUESTED]]=0,0,S1MATbl[[#This Row],[UNRESTRICTED FUNDING REQUESTED]]/S1_MA_UnrestrictedTotalRequested)</f>
        <v>0</v>
      </c>
      <c r="V25" s="444">
        <f xml:space="preserve">
IF(S1MATbl[[#This Row],[NEW CONSTRUCTION OR AQUIRE/REHAB]]&lt;&gt;"",
3+IF(S1MATbl[[#This Row],[INFILL SITE]]="Yes",2,0),0)
*S1MATbl[[#This Row],[% OF TOTAL UNRESTRICTED FUNDING]]</f>
        <v>0</v>
      </c>
      <c r="W25" s="7">
        <f>IF(S1MATbl[[#This Row],[ALL UNITS IN A HIGH OR HIGHEST RESOURCE AREA]]="Yes",10*S1MATbl[[#This Row],[% OF TOTAL UNRESTRICTED FUNDING]],0)</f>
        <v>0</v>
      </c>
      <c r="X25" s="7" cm="1">
        <f t="array" ref="X25">INDEX(CountyScoresTbl[Community Need Total Points],ROW(S1MATbl[[#This Row],[COUNTY]])-2,1)*S1MATbl[[#This Row],[% OF TOTAL UNRESTRICTED FUNDING]]</f>
        <v>0</v>
      </c>
      <c r="Y25" s="432" cm="1">
        <f t="array" ref="Y25"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5" s="26" cm="1">
        <f t="array" ref="Z25">INDEX(CountyScoresTbl[Farmworker Need Points Awarded],ROW(S1MATbl[[#This Row],[COUNTY]])-2,1)*S1MATbl[[#This Row],[% OF TOTAL UNRESTRICTED FUNDING]]</f>
        <v>0</v>
      </c>
      <c r="AA25" s="123"/>
      <c r="AB25" s="161"/>
      <c r="AC25" s="161"/>
      <c r="AD25" s="161"/>
      <c r="AE25" s="161"/>
      <c r="AF25" s="98">
        <f t="shared" si="1"/>
        <v>0</v>
      </c>
      <c r="AG25" s="6">
        <f>IF(S1MATbl[[#This Row],[RURAL FUNDING REQUESTED]]=0,0,S1MATbl[[#This Row],[RURAL FUNDING REQUESTED]]/S1_MA_RuralTotalRequested)</f>
        <v>0</v>
      </c>
      <c r="AH25" s="444">
        <f xml:space="preserve">
IF(S1MATbl[[#This Row],[NEW CONSTRUCTION OR AQUIRE/REHAB]]&lt;&gt;"",
3+IF(S1MATbl[[#This Row],[INFILL SITE]]="Yes",2,0),0)
*S1MATbl[[#This Row],[% OF TOTAL RURAL FUNDING]]</f>
        <v>0</v>
      </c>
      <c r="AI25" s="7">
        <f>IF(S1MATbl[[#This Row],[ALL UNITS IN A HIGH OR HIGHEST RESOURCE AREA]]="Yes",10*S1MATbl[[#This Row],[% OF TOTAL RURAL FUNDING]],0)</f>
        <v>0</v>
      </c>
      <c r="AJ25" s="7" cm="1">
        <f t="array" ref="AJ25">INDEX(CountyScoresTbl[Community Need Total Points],ROW(S1MATbl[[#This Row],[COUNTY]])-2,1)*S1MATbl[[#This Row],[% OF TOTAL RURAL FUNDING]]</f>
        <v>0</v>
      </c>
      <c r="AK25" s="432" cm="1">
        <f t="array" ref="AK25"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5" s="73" cm="1">
        <f t="array" ref="AL25">INDEX(CountyScoresTbl[Farmworker Need Points Awarded],ROW(S1MATbl[[#This Row],[COUNTY]])-2,1)*S1MATbl[[#This Row],[% OF TOTAL RURAL FUNDING]]</f>
        <v>0</v>
      </c>
      <c r="AM25" s="422"/>
      <c r="AN25" s="422"/>
      <c r="AO25" s="422"/>
    </row>
    <row r="26" spans="1:41" x14ac:dyDescent="0.35">
      <c r="A26" s="167" t="s">
        <v>504</v>
      </c>
      <c r="B26" s="5" t="s">
        <v>138</v>
      </c>
      <c r="C26" s="31" t="s">
        <v>513</v>
      </c>
      <c r="D26" s="113" t="str">
        <f>IF(SUM(S1MATbl[[#This Row],[UNRESTRICTED UNITS]])=0,"",S1MATbl[[#This Row],[UNRESTRICTED UNITS]])</f>
        <v/>
      </c>
      <c r="E26" s="74" t="str">
        <f xml:space="preserve">
IF(S1MATbl[[#This Row],[UNRESTRICTED FUNDING REQUESTED]]=0,"",
S1MATbl[[#This Row],[UNRESTRICTED FUNDING REQUESTED]]*
IF(S1_MA_UnrestrictedTotalRequested&lt;=5000000,1,
5000000/S1_MA_UnrestrictedTotalRequested)
)</f>
        <v/>
      </c>
      <c r="F26" s="6" t="str">
        <f>IFERROR(S1MATbl[[#This Row],[TOTAL $ REQUESTED]]/SUM(S1MATbl[TOTAL $ REQUESTED]),"")</f>
        <v/>
      </c>
      <c r="G26" s="31" t="s">
        <v>513</v>
      </c>
      <c r="H26" s="256" t="str">
        <f>IF(SUM(S1MATbl[[#This Row],[RURAL UNITS]])=0,"",S1MATbl[[#This Row],[RURAL UNITS]])</f>
        <v/>
      </c>
      <c r="I26" s="306" t="str">
        <f xml:space="preserve">
IF(S1MATbl[[#This Row],[RURAL FUNDING REQUESTED]]=0,"",
S1MATbl[[#This Row],[RURAL FUNDING REQUESTED]]*
IF(S1_MA_RuralTotalRequested&lt;=(5000000-E$61),1,
(5000000-E$61)/S1_MA_RuralTotalRequested)
)</f>
        <v/>
      </c>
      <c r="J26" s="257" t="str">
        <f>IFERROR(S1MATbl[[#This Row],[TOTAL $ REQUESTED2]]/SUM(S1MATbl[TOTAL $ REQUESTED2]),"")</f>
        <v/>
      </c>
      <c r="K26" s="31" t="s">
        <v>513</v>
      </c>
      <c r="L26" s="163"/>
      <c r="M26" s="164" t="s">
        <v>504</v>
      </c>
      <c r="N26" s="165" t="s">
        <v>504</v>
      </c>
      <c r="O26" s="123"/>
      <c r="P26" s="161"/>
      <c r="Q26" s="161"/>
      <c r="R26" s="161"/>
      <c r="S26" s="161"/>
      <c r="T26" s="98">
        <f t="shared" si="0"/>
        <v>0</v>
      </c>
      <c r="U26" s="6">
        <f>IF(S1MATbl[[#This Row],[UNRESTRICTED FUNDING REQUESTED]]=0,0,S1MATbl[[#This Row],[UNRESTRICTED FUNDING REQUESTED]]/S1_MA_UnrestrictedTotalRequested)</f>
        <v>0</v>
      </c>
      <c r="V26" s="444">
        <f xml:space="preserve">
IF(S1MATbl[[#This Row],[NEW CONSTRUCTION OR AQUIRE/REHAB]]&lt;&gt;"",
3+IF(S1MATbl[[#This Row],[INFILL SITE]]="Yes",2,0),0)
*S1MATbl[[#This Row],[% OF TOTAL UNRESTRICTED FUNDING]]</f>
        <v>0</v>
      </c>
      <c r="W26" s="7">
        <f>IF(S1MATbl[[#This Row],[ALL UNITS IN A HIGH OR HIGHEST RESOURCE AREA]]="Yes",10*S1MATbl[[#This Row],[% OF TOTAL UNRESTRICTED FUNDING]],0)</f>
        <v>0</v>
      </c>
      <c r="X26" s="7" cm="1">
        <f t="array" ref="X26">INDEX(CountyScoresTbl[Community Need Total Points],ROW(S1MATbl[[#This Row],[COUNTY]])-2,1)*S1MATbl[[#This Row],[% OF TOTAL UNRESTRICTED FUNDING]]</f>
        <v>0</v>
      </c>
      <c r="Y26" s="432" cm="1">
        <f t="array" ref="Y26"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6" s="26" cm="1">
        <f t="array" ref="Z26">INDEX(CountyScoresTbl[Farmworker Need Points Awarded],ROW(S1MATbl[[#This Row],[COUNTY]])-2,1)*S1MATbl[[#This Row],[% OF TOTAL UNRESTRICTED FUNDING]]</f>
        <v>0</v>
      </c>
      <c r="AA26" s="123"/>
      <c r="AB26" s="161"/>
      <c r="AC26" s="161"/>
      <c r="AD26" s="161"/>
      <c r="AE26" s="161"/>
      <c r="AF26" s="98">
        <f t="shared" si="1"/>
        <v>0</v>
      </c>
      <c r="AG26" s="6">
        <f>IF(S1MATbl[[#This Row],[RURAL FUNDING REQUESTED]]=0,0,S1MATbl[[#This Row],[RURAL FUNDING REQUESTED]]/S1_MA_RuralTotalRequested)</f>
        <v>0</v>
      </c>
      <c r="AH26" s="444">
        <f xml:space="preserve">
IF(S1MATbl[[#This Row],[NEW CONSTRUCTION OR AQUIRE/REHAB]]&lt;&gt;"",
3+IF(S1MATbl[[#This Row],[INFILL SITE]]="Yes",2,0),0)
*S1MATbl[[#This Row],[% OF TOTAL RURAL FUNDING]]</f>
        <v>0</v>
      </c>
      <c r="AI26" s="7">
        <f>IF(S1MATbl[[#This Row],[ALL UNITS IN A HIGH OR HIGHEST RESOURCE AREA]]="Yes",10*S1MATbl[[#This Row],[% OF TOTAL RURAL FUNDING]],0)</f>
        <v>0</v>
      </c>
      <c r="AJ26" s="7" cm="1">
        <f t="array" ref="AJ26">INDEX(CountyScoresTbl[Community Need Total Points],ROW(S1MATbl[[#This Row],[COUNTY]])-2,1)*S1MATbl[[#This Row],[% OF TOTAL RURAL FUNDING]]</f>
        <v>0</v>
      </c>
      <c r="AK26" s="432" cm="1">
        <f t="array" ref="AK26"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6" s="73" cm="1">
        <f t="array" ref="AL26">INDEX(CountyScoresTbl[Farmworker Need Points Awarded],ROW(S1MATbl[[#This Row],[COUNTY]])-2,1)*S1MATbl[[#This Row],[% OF TOTAL RURAL FUNDING]]</f>
        <v>0</v>
      </c>
      <c r="AM26" s="426" t="s">
        <v>504</v>
      </c>
      <c r="AN26" s="426" t="s">
        <v>504</v>
      </c>
      <c r="AO26" s="426" t="s">
        <v>504</v>
      </c>
    </row>
    <row r="27" spans="1:41" x14ac:dyDescent="0.35">
      <c r="A27" s="167"/>
      <c r="B27" s="5" t="s">
        <v>139</v>
      </c>
      <c r="C27" s="31" t="s">
        <v>513</v>
      </c>
      <c r="D27" s="113" t="str">
        <f>IF(SUM(S1MATbl[[#This Row],[UNRESTRICTED UNITS]])=0,"",S1MATbl[[#This Row],[UNRESTRICTED UNITS]])</f>
        <v/>
      </c>
      <c r="E27" s="74" t="str">
        <f xml:space="preserve">
IF(S1MATbl[[#This Row],[UNRESTRICTED FUNDING REQUESTED]]=0,"",
S1MATbl[[#This Row],[UNRESTRICTED FUNDING REQUESTED]]*
IF(S1_MA_UnrestrictedTotalRequested&lt;=5000000,1,
5000000/S1_MA_UnrestrictedTotalRequested)
)</f>
        <v/>
      </c>
      <c r="F27" s="6" t="str">
        <f>IFERROR(S1MATbl[[#This Row],[TOTAL $ REQUESTED]]/SUM(S1MATbl[TOTAL $ REQUESTED]),"")</f>
        <v/>
      </c>
      <c r="G27" s="31" t="s">
        <v>513</v>
      </c>
      <c r="H27" s="256" t="str">
        <f>IF(SUM(S1MATbl[[#This Row],[RURAL UNITS]])=0,"",S1MATbl[[#This Row],[RURAL UNITS]])</f>
        <v/>
      </c>
      <c r="I27" s="306" t="str">
        <f xml:space="preserve">
IF(S1MATbl[[#This Row],[RURAL FUNDING REQUESTED]]=0,"",
S1MATbl[[#This Row],[RURAL FUNDING REQUESTED]]*
IF(S1_MA_RuralTotalRequested&lt;=(5000000-E$61),1,
(5000000-E$61)/S1_MA_RuralTotalRequested)
)</f>
        <v/>
      </c>
      <c r="J27" s="257" t="str">
        <f>IFERROR(S1MATbl[[#This Row],[TOTAL $ REQUESTED2]]/SUM(S1MATbl[TOTAL $ REQUESTED2]),"")</f>
        <v/>
      </c>
      <c r="K27" s="31" t="s">
        <v>513</v>
      </c>
      <c r="L27" s="163"/>
      <c r="M27" s="164"/>
      <c r="N27" s="165"/>
      <c r="O27" s="123"/>
      <c r="P27" s="161"/>
      <c r="Q27" s="161"/>
      <c r="R27" s="161"/>
      <c r="S27" s="161"/>
      <c r="T27" s="98">
        <f t="shared" si="0"/>
        <v>0</v>
      </c>
      <c r="U27" s="6">
        <f>IF(S1MATbl[[#This Row],[UNRESTRICTED FUNDING REQUESTED]]=0,0,S1MATbl[[#This Row],[UNRESTRICTED FUNDING REQUESTED]]/S1_MA_UnrestrictedTotalRequested)</f>
        <v>0</v>
      </c>
      <c r="V27" s="444">
        <f xml:space="preserve">
IF(S1MATbl[[#This Row],[NEW CONSTRUCTION OR AQUIRE/REHAB]]&lt;&gt;"",
3+IF(S1MATbl[[#This Row],[INFILL SITE]]="Yes",2,0),0)
*S1MATbl[[#This Row],[% OF TOTAL UNRESTRICTED FUNDING]]</f>
        <v>0</v>
      </c>
      <c r="W27" s="7">
        <f>IF(S1MATbl[[#This Row],[ALL UNITS IN A HIGH OR HIGHEST RESOURCE AREA]]="Yes",10*S1MATbl[[#This Row],[% OF TOTAL UNRESTRICTED FUNDING]],0)</f>
        <v>0</v>
      </c>
      <c r="X27" s="7" cm="1">
        <f t="array" ref="X27">INDEX(CountyScoresTbl[Community Need Total Points],ROW(S1MATbl[[#This Row],[COUNTY]])-2,1)*S1MATbl[[#This Row],[% OF TOTAL UNRESTRICTED FUNDING]]</f>
        <v>0</v>
      </c>
      <c r="Y27" s="432" cm="1">
        <f t="array" ref="Y27"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7" s="26" cm="1">
        <f t="array" ref="Z27">INDEX(CountyScoresTbl[Farmworker Need Points Awarded],ROW(S1MATbl[[#This Row],[COUNTY]])-2,1)*S1MATbl[[#This Row],[% OF TOTAL UNRESTRICTED FUNDING]]</f>
        <v>0</v>
      </c>
      <c r="AA27" s="123"/>
      <c r="AB27" s="161"/>
      <c r="AC27" s="161"/>
      <c r="AD27" s="161"/>
      <c r="AE27" s="161"/>
      <c r="AF27" s="98">
        <f t="shared" si="1"/>
        <v>0</v>
      </c>
      <c r="AG27" s="6">
        <f>IF(S1MATbl[[#This Row],[RURAL FUNDING REQUESTED]]=0,0,S1MATbl[[#This Row],[RURAL FUNDING REQUESTED]]/S1_MA_RuralTotalRequested)</f>
        <v>0</v>
      </c>
      <c r="AH27" s="444">
        <f xml:space="preserve">
IF(S1MATbl[[#This Row],[NEW CONSTRUCTION OR AQUIRE/REHAB]]&lt;&gt;"",
3+IF(S1MATbl[[#This Row],[INFILL SITE]]="Yes",2,0),0)
*S1MATbl[[#This Row],[% OF TOTAL RURAL FUNDING]]</f>
        <v>0</v>
      </c>
      <c r="AI27" s="7">
        <f>IF(S1MATbl[[#This Row],[ALL UNITS IN A HIGH OR HIGHEST RESOURCE AREA]]="Yes",10*S1MATbl[[#This Row],[% OF TOTAL RURAL FUNDING]],0)</f>
        <v>0</v>
      </c>
      <c r="AJ27" s="7" cm="1">
        <f t="array" ref="AJ27">INDEX(CountyScoresTbl[Community Need Total Points],ROW(S1MATbl[[#This Row],[COUNTY]])-2,1)*S1MATbl[[#This Row],[% OF TOTAL RURAL FUNDING]]</f>
        <v>0</v>
      </c>
      <c r="AK27" s="432" cm="1">
        <f t="array" ref="AK27"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7" s="73" cm="1">
        <f t="array" ref="AL27">INDEX(CountyScoresTbl[Farmworker Need Points Awarded],ROW(S1MATbl[[#This Row],[COUNTY]])-2,1)*S1MATbl[[#This Row],[% OF TOTAL RURAL FUNDING]]</f>
        <v>0</v>
      </c>
      <c r="AM27" s="422"/>
      <c r="AN27" s="422"/>
      <c r="AO27" s="422"/>
    </row>
    <row r="28" spans="1:41" x14ac:dyDescent="0.35">
      <c r="A28" s="124"/>
      <c r="B28" s="5" t="s">
        <v>140</v>
      </c>
      <c r="C28" s="31" t="s">
        <v>513</v>
      </c>
      <c r="D28" s="113" t="str">
        <f>IF(SUM(S1MATbl[[#This Row],[UNRESTRICTED UNITS]])=0,"",S1MATbl[[#This Row],[UNRESTRICTED UNITS]])</f>
        <v/>
      </c>
      <c r="E28" s="74" t="str">
        <f xml:space="preserve">
IF(S1MATbl[[#This Row],[UNRESTRICTED FUNDING REQUESTED]]=0,"",
S1MATbl[[#This Row],[UNRESTRICTED FUNDING REQUESTED]]*
IF(S1_MA_UnrestrictedTotalRequested&lt;=5000000,1,
5000000/S1_MA_UnrestrictedTotalRequested)
)</f>
        <v/>
      </c>
      <c r="F28" s="6" t="str">
        <f>IFERROR(S1MATbl[[#This Row],[TOTAL $ REQUESTED]]/SUM(S1MATbl[TOTAL $ REQUESTED]),"")</f>
        <v/>
      </c>
      <c r="G28" s="31" t="s">
        <v>513</v>
      </c>
      <c r="H28" s="256" t="str">
        <f>IF(SUM(S1MATbl[[#This Row],[RURAL UNITS]])=0,"",S1MATbl[[#This Row],[RURAL UNITS]])</f>
        <v/>
      </c>
      <c r="I28" s="306" t="str">
        <f xml:space="preserve">
IF(S1MATbl[[#This Row],[RURAL FUNDING REQUESTED]]=0,"",
S1MATbl[[#This Row],[RURAL FUNDING REQUESTED]]*
IF(S1_MA_RuralTotalRequested&lt;=(5000000-E$61),1,
(5000000-E$61)/S1_MA_RuralTotalRequested)
)</f>
        <v/>
      </c>
      <c r="J28" s="257" t="str">
        <f>IFERROR(S1MATbl[[#This Row],[TOTAL $ REQUESTED2]]/SUM(S1MATbl[TOTAL $ REQUESTED2]),"")</f>
        <v/>
      </c>
      <c r="K28" s="31" t="s">
        <v>513</v>
      </c>
      <c r="L28" s="196"/>
      <c r="M28" s="119"/>
      <c r="N28" s="255"/>
      <c r="O28" s="124"/>
      <c r="P28" s="161"/>
      <c r="Q28" s="161"/>
      <c r="R28" s="161"/>
      <c r="S28" s="161"/>
      <c r="T28" s="98">
        <f t="shared" si="0"/>
        <v>0</v>
      </c>
      <c r="U28" s="6">
        <f>IF(S1MATbl[[#This Row],[UNRESTRICTED FUNDING REQUESTED]]=0,0,S1MATbl[[#This Row],[UNRESTRICTED FUNDING REQUESTED]]/S1_MA_UnrestrictedTotalRequested)</f>
        <v>0</v>
      </c>
      <c r="V28" s="444">
        <f xml:space="preserve">
IF(S1MATbl[[#This Row],[NEW CONSTRUCTION OR AQUIRE/REHAB]]&lt;&gt;"",
3+IF(S1MATbl[[#This Row],[INFILL SITE]]="Yes",2,0),0)
*S1MATbl[[#This Row],[% OF TOTAL UNRESTRICTED FUNDING]]</f>
        <v>0</v>
      </c>
      <c r="W28" s="7">
        <f>IF(S1MATbl[[#This Row],[ALL UNITS IN A HIGH OR HIGHEST RESOURCE AREA]]="Yes",10*S1MATbl[[#This Row],[% OF TOTAL UNRESTRICTED FUNDING]],0)</f>
        <v>0</v>
      </c>
      <c r="X28" s="7" cm="1">
        <f t="array" ref="X28">INDEX(CountyScoresTbl[Community Need Total Points],ROW(S1MATbl[[#This Row],[COUNTY]])-2,1)*S1MATbl[[#This Row],[% OF TOTAL UNRESTRICTED FUNDING]]</f>
        <v>0</v>
      </c>
      <c r="Y28" s="432" cm="1">
        <f t="array" ref="Y28"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8" s="26" cm="1">
        <f t="array" ref="Z28">INDEX(CountyScoresTbl[Farmworker Need Points Awarded],ROW(S1MATbl[[#This Row],[COUNTY]])-2,1)*S1MATbl[[#This Row],[% OF TOTAL UNRESTRICTED FUNDING]]</f>
        <v>0</v>
      </c>
      <c r="AA28" s="124"/>
      <c r="AB28" s="161"/>
      <c r="AC28" s="161"/>
      <c r="AD28" s="161"/>
      <c r="AE28" s="161"/>
      <c r="AF28" s="98">
        <f t="shared" si="1"/>
        <v>0</v>
      </c>
      <c r="AG28" s="6">
        <f>IF(S1MATbl[[#This Row],[RURAL FUNDING REQUESTED]]=0,0,S1MATbl[[#This Row],[RURAL FUNDING REQUESTED]]/S1_MA_RuralTotalRequested)</f>
        <v>0</v>
      </c>
      <c r="AH28" s="444">
        <f xml:space="preserve">
IF(S1MATbl[[#This Row],[NEW CONSTRUCTION OR AQUIRE/REHAB]]&lt;&gt;"",
3+IF(S1MATbl[[#This Row],[INFILL SITE]]="Yes",2,0),0)
*S1MATbl[[#This Row],[% OF TOTAL RURAL FUNDING]]</f>
        <v>0</v>
      </c>
      <c r="AI28" s="7">
        <f>IF(S1MATbl[[#This Row],[ALL UNITS IN A HIGH OR HIGHEST RESOURCE AREA]]="Yes",10*S1MATbl[[#This Row],[% OF TOTAL RURAL FUNDING]],0)</f>
        <v>0</v>
      </c>
      <c r="AJ28" s="7" cm="1">
        <f t="array" ref="AJ28">INDEX(CountyScoresTbl[Community Need Total Points],ROW(S1MATbl[[#This Row],[COUNTY]])-2,1)*S1MATbl[[#This Row],[% OF TOTAL RURAL FUNDING]]</f>
        <v>0</v>
      </c>
      <c r="AK28" s="432" cm="1">
        <f t="array" ref="AK28"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8" s="73" cm="1">
        <f t="array" ref="AL28">INDEX(CountyScoresTbl[Farmworker Need Points Awarded],ROW(S1MATbl[[#This Row],[COUNTY]])-2,1)*S1MATbl[[#This Row],[% OF TOTAL RURAL FUNDING]]</f>
        <v>0</v>
      </c>
      <c r="AM28" s="422"/>
      <c r="AN28" s="422"/>
      <c r="AO28" s="422"/>
    </row>
    <row r="29" spans="1:41" x14ac:dyDescent="0.35">
      <c r="A29" s="167"/>
      <c r="B29" s="5" t="s">
        <v>141</v>
      </c>
      <c r="C29" s="31" t="s">
        <v>513</v>
      </c>
      <c r="D29" s="113" t="str">
        <f>IF(SUM(S1MATbl[[#This Row],[UNRESTRICTED UNITS]])=0,"",S1MATbl[[#This Row],[UNRESTRICTED UNITS]])</f>
        <v/>
      </c>
      <c r="E29" s="74" t="str">
        <f xml:space="preserve">
IF(S1MATbl[[#This Row],[UNRESTRICTED FUNDING REQUESTED]]=0,"",
S1MATbl[[#This Row],[UNRESTRICTED FUNDING REQUESTED]]*
IF(S1_MA_UnrestrictedTotalRequested&lt;=5000000,1,
5000000/S1_MA_UnrestrictedTotalRequested)
)</f>
        <v/>
      </c>
      <c r="F29" s="6" t="str">
        <f>IFERROR(S1MATbl[[#This Row],[TOTAL $ REQUESTED]]/SUM(S1MATbl[TOTAL $ REQUESTED]),"")</f>
        <v/>
      </c>
      <c r="G29" s="31" t="s">
        <v>513</v>
      </c>
      <c r="H29" s="256" t="str">
        <f>IF(SUM(S1MATbl[[#This Row],[RURAL UNITS]])=0,"",S1MATbl[[#This Row],[RURAL UNITS]])</f>
        <v/>
      </c>
      <c r="I29" s="306" t="str">
        <f xml:space="preserve">
IF(S1MATbl[[#This Row],[RURAL FUNDING REQUESTED]]=0,"",
S1MATbl[[#This Row],[RURAL FUNDING REQUESTED]]*
IF(S1_MA_RuralTotalRequested&lt;=(5000000-E$61),1,
(5000000-E$61)/S1_MA_RuralTotalRequested)
)</f>
        <v/>
      </c>
      <c r="J29" s="257" t="str">
        <f>IFERROR(S1MATbl[[#This Row],[TOTAL $ REQUESTED2]]/SUM(S1MATbl[TOTAL $ REQUESTED2]),"")</f>
        <v/>
      </c>
      <c r="K29" s="31" t="s">
        <v>513</v>
      </c>
      <c r="L29" s="163"/>
      <c r="M29" s="164"/>
      <c r="N29" s="165"/>
      <c r="O29" s="123"/>
      <c r="P29" s="161"/>
      <c r="Q29" s="161"/>
      <c r="R29" s="161"/>
      <c r="S29" s="161"/>
      <c r="T29" s="98">
        <f t="shared" si="0"/>
        <v>0</v>
      </c>
      <c r="U29" s="6">
        <f>IF(S1MATbl[[#This Row],[UNRESTRICTED FUNDING REQUESTED]]=0,0,S1MATbl[[#This Row],[UNRESTRICTED FUNDING REQUESTED]]/S1_MA_UnrestrictedTotalRequested)</f>
        <v>0</v>
      </c>
      <c r="V29" s="444">
        <f xml:space="preserve">
IF(S1MATbl[[#This Row],[NEW CONSTRUCTION OR AQUIRE/REHAB]]&lt;&gt;"",
3+IF(S1MATbl[[#This Row],[INFILL SITE]]="Yes",2,0),0)
*S1MATbl[[#This Row],[% OF TOTAL UNRESTRICTED FUNDING]]</f>
        <v>0</v>
      </c>
      <c r="W29" s="7">
        <f>IF(S1MATbl[[#This Row],[ALL UNITS IN A HIGH OR HIGHEST RESOURCE AREA]]="Yes",10*S1MATbl[[#This Row],[% OF TOTAL UNRESTRICTED FUNDING]],0)</f>
        <v>0</v>
      </c>
      <c r="X29" s="7" cm="1">
        <f t="array" ref="X29">INDEX(CountyScoresTbl[Community Need Total Points],ROW(S1MATbl[[#This Row],[COUNTY]])-2,1)*S1MATbl[[#This Row],[% OF TOTAL UNRESTRICTED FUNDING]]</f>
        <v>0</v>
      </c>
      <c r="Y29" s="432" cm="1">
        <f t="array" ref="Y29"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29" s="26" cm="1">
        <f t="array" ref="Z29">INDEX(CountyScoresTbl[Farmworker Need Points Awarded],ROW(S1MATbl[[#This Row],[COUNTY]])-2,1)*S1MATbl[[#This Row],[% OF TOTAL UNRESTRICTED FUNDING]]</f>
        <v>0</v>
      </c>
      <c r="AA29" s="123"/>
      <c r="AB29" s="161"/>
      <c r="AC29" s="161"/>
      <c r="AD29" s="161"/>
      <c r="AE29" s="161"/>
      <c r="AF29" s="98">
        <f t="shared" si="1"/>
        <v>0</v>
      </c>
      <c r="AG29" s="6">
        <f>IF(S1MATbl[[#This Row],[RURAL FUNDING REQUESTED]]=0,0,S1MATbl[[#This Row],[RURAL FUNDING REQUESTED]]/S1_MA_RuralTotalRequested)</f>
        <v>0</v>
      </c>
      <c r="AH29" s="444">
        <f xml:space="preserve">
IF(S1MATbl[[#This Row],[NEW CONSTRUCTION OR AQUIRE/REHAB]]&lt;&gt;"",
3+IF(S1MATbl[[#This Row],[INFILL SITE]]="Yes",2,0),0)
*S1MATbl[[#This Row],[% OF TOTAL RURAL FUNDING]]</f>
        <v>0</v>
      </c>
      <c r="AI29" s="7">
        <f>IF(S1MATbl[[#This Row],[ALL UNITS IN A HIGH OR HIGHEST RESOURCE AREA]]="Yes",10*S1MATbl[[#This Row],[% OF TOTAL RURAL FUNDING]],0)</f>
        <v>0</v>
      </c>
      <c r="AJ29" s="7" cm="1">
        <f t="array" ref="AJ29">INDEX(CountyScoresTbl[Community Need Total Points],ROW(S1MATbl[[#This Row],[COUNTY]])-2,1)*S1MATbl[[#This Row],[% OF TOTAL RURAL FUNDING]]</f>
        <v>0</v>
      </c>
      <c r="AK29" s="432" cm="1">
        <f t="array" ref="AK29"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29" s="73" cm="1">
        <f t="array" ref="AL29">INDEX(CountyScoresTbl[Farmworker Need Points Awarded],ROW(S1MATbl[[#This Row],[COUNTY]])-2,1)*S1MATbl[[#This Row],[% OF TOTAL RURAL FUNDING]]</f>
        <v>0</v>
      </c>
      <c r="AM29" s="422"/>
      <c r="AN29" s="422"/>
      <c r="AO29" s="422"/>
    </row>
    <row r="30" spans="1:41" x14ac:dyDescent="0.35">
      <c r="A30" s="167"/>
      <c r="B30" s="5" t="s">
        <v>142</v>
      </c>
      <c r="C30" s="31" t="s">
        <v>513</v>
      </c>
      <c r="D30" s="113" t="str">
        <f>IF(SUM(S1MATbl[[#This Row],[UNRESTRICTED UNITS]])=0,"",S1MATbl[[#This Row],[UNRESTRICTED UNITS]])</f>
        <v/>
      </c>
      <c r="E30" s="74" t="str">
        <f xml:space="preserve">
IF(S1MATbl[[#This Row],[UNRESTRICTED FUNDING REQUESTED]]=0,"",
S1MATbl[[#This Row],[UNRESTRICTED FUNDING REQUESTED]]*
IF(S1_MA_UnrestrictedTotalRequested&lt;=5000000,1,
5000000/S1_MA_UnrestrictedTotalRequested)
)</f>
        <v/>
      </c>
      <c r="F30" s="6" t="str">
        <f>IFERROR(S1MATbl[[#This Row],[TOTAL $ REQUESTED]]/SUM(S1MATbl[TOTAL $ REQUESTED]),"")</f>
        <v/>
      </c>
      <c r="G30" s="31" t="s">
        <v>513</v>
      </c>
      <c r="H30" s="256" t="str">
        <f>IF(SUM(S1MATbl[[#This Row],[RURAL UNITS]])=0,"",S1MATbl[[#This Row],[RURAL UNITS]])</f>
        <v/>
      </c>
      <c r="I30" s="306" t="str">
        <f xml:space="preserve">
IF(S1MATbl[[#This Row],[RURAL FUNDING REQUESTED]]=0,"",
S1MATbl[[#This Row],[RURAL FUNDING REQUESTED]]*
IF(S1_MA_RuralTotalRequested&lt;=(5000000-E$61),1,
(5000000-E$61)/S1_MA_RuralTotalRequested)
)</f>
        <v/>
      </c>
      <c r="J30" s="257" t="str">
        <f>IFERROR(S1MATbl[[#This Row],[TOTAL $ REQUESTED2]]/SUM(S1MATbl[TOTAL $ REQUESTED2]),"")</f>
        <v/>
      </c>
      <c r="K30" s="31" t="s">
        <v>513</v>
      </c>
      <c r="L30" s="163"/>
      <c r="M30" s="164"/>
      <c r="N30" s="165"/>
      <c r="O30" s="123"/>
      <c r="P30" s="161"/>
      <c r="Q30" s="161"/>
      <c r="R30" s="161"/>
      <c r="S30" s="161"/>
      <c r="T30" s="98">
        <f t="shared" si="0"/>
        <v>0</v>
      </c>
      <c r="U30" s="6">
        <f>IF(S1MATbl[[#This Row],[UNRESTRICTED FUNDING REQUESTED]]=0,0,S1MATbl[[#This Row],[UNRESTRICTED FUNDING REQUESTED]]/S1_MA_UnrestrictedTotalRequested)</f>
        <v>0</v>
      </c>
      <c r="V30" s="444">
        <f xml:space="preserve">
IF(S1MATbl[[#This Row],[NEW CONSTRUCTION OR AQUIRE/REHAB]]&lt;&gt;"",
3+IF(S1MATbl[[#This Row],[INFILL SITE]]="Yes",2,0),0)
*S1MATbl[[#This Row],[% OF TOTAL UNRESTRICTED FUNDING]]</f>
        <v>0</v>
      </c>
      <c r="W30" s="7">
        <f>IF(S1MATbl[[#This Row],[ALL UNITS IN A HIGH OR HIGHEST RESOURCE AREA]]="Yes",10*S1MATbl[[#This Row],[% OF TOTAL UNRESTRICTED FUNDING]],0)</f>
        <v>0</v>
      </c>
      <c r="X30" s="7" cm="1">
        <f t="array" ref="X30">INDEX(CountyScoresTbl[Community Need Total Points],ROW(S1MATbl[[#This Row],[COUNTY]])-2,1)*S1MATbl[[#This Row],[% OF TOTAL UNRESTRICTED FUNDING]]</f>
        <v>0</v>
      </c>
      <c r="Y30" s="432" cm="1">
        <f t="array" ref="Y30"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0" s="26" cm="1">
        <f t="array" ref="Z30">INDEX(CountyScoresTbl[Farmworker Need Points Awarded],ROW(S1MATbl[[#This Row],[COUNTY]])-2,1)*S1MATbl[[#This Row],[% OF TOTAL UNRESTRICTED FUNDING]]</f>
        <v>0</v>
      </c>
      <c r="AA30" s="123"/>
      <c r="AB30" s="161"/>
      <c r="AC30" s="161"/>
      <c r="AD30" s="161"/>
      <c r="AE30" s="161"/>
      <c r="AF30" s="98">
        <f t="shared" si="1"/>
        <v>0</v>
      </c>
      <c r="AG30" s="6">
        <f>IF(S1MATbl[[#This Row],[RURAL FUNDING REQUESTED]]=0,0,S1MATbl[[#This Row],[RURAL FUNDING REQUESTED]]/S1_MA_RuralTotalRequested)</f>
        <v>0</v>
      </c>
      <c r="AH30" s="444">
        <f xml:space="preserve">
IF(S1MATbl[[#This Row],[NEW CONSTRUCTION OR AQUIRE/REHAB]]&lt;&gt;"",
3+IF(S1MATbl[[#This Row],[INFILL SITE]]="Yes",2,0),0)
*S1MATbl[[#This Row],[% OF TOTAL RURAL FUNDING]]</f>
        <v>0</v>
      </c>
      <c r="AI30" s="7">
        <f>IF(S1MATbl[[#This Row],[ALL UNITS IN A HIGH OR HIGHEST RESOURCE AREA]]="Yes",10*S1MATbl[[#This Row],[% OF TOTAL RURAL FUNDING]],0)</f>
        <v>0</v>
      </c>
      <c r="AJ30" s="7" cm="1">
        <f t="array" ref="AJ30">INDEX(CountyScoresTbl[Community Need Total Points],ROW(S1MATbl[[#This Row],[COUNTY]])-2,1)*S1MATbl[[#This Row],[% OF TOTAL RURAL FUNDING]]</f>
        <v>0</v>
      </c>
      <c r="AK30" s="432" cm="1">
        <f t="array" ref="AK30"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0" s="73" cm="1">
        <f t="array" ref="AL30">INDEX(CountyScoresTbl[Farmworker Need Points Awarded],ROW(S1MATbl[[#This Row],[COUNTY]])-2,1)*S1MATbl[[#This Row],[% OF TOTAL RURAL FUNDING]]</f>
        <v>0</v>
      </c>
      <c r="AM30" s="422"/>
      <c r="AN30" s="422"/>
      <c r="AO30" s="422"/>
    </row>
    <row r="31" spans="1:41" x14ac:dyDescent="0.35">
      <c r="A31" s="124"/>
      <c r="B31" s="5" t="s">
        <v>143</v>
      </c>
      <c r="C31" s="31" t="s">
        <v>513</v>
      </c>
      <c r="D31" s="113" t="str">
        <f>IF(SUM(S1MATbl[[#This Row],[UNRESTRICTED UNITS]])=0,"",S1MATbl[[#This Row],[UNRESTRICTED UNITS]])</f>
        <v/>
      </c>
      <c r="E31" s="74" t="str">
        <f xml:space="preserve">
IF(S1MATbl[[#This Row],[UNRESTRICTED FUNDING REQUESTED]]=0,"",
S1MATbl[[#This Row],[UNRESTRICTED FUNDING REQUESTED]]*
IF(S1_MA_UnrestrictedTotalRequested&lt;=5000000,1,
5000000/S1_MA_UnrestrictedTotalRequested)
)</f>
        <v/>
      </c>
      <c r="F31" s="6" t="str">
        <f>IFERROR(S1MATbl[[#This Row],[TOTAL $ REQUESTED]]/SUM(S1MATbl[TOTAL $ REQUESTED]),"")</f>
        <v/>
      </c>
      <c r="G31" s="31" t="s">
        <v>513</v>
      </c>
      <c r="H31" s="256" t="str">
        <f>IF(SUM(S1MATbl[[#This Row],[RURAL UNITS]])=0,"",S1MATbl[[#This Row],[RURAL UNITS]])</f>
        <v/>
      </c>
      <c r="I31" s="306" t="str">
        <f xml:space="preserve">
IF(S1MATbl[[#This Row],[RURAL FUNDING REQUESTED]]=0,"",
S1MATbl[[#This Row],[RURAL FUNDING REQUESTED]]*
IF(S1_MA_RuralTotalRequested&lt;=(5000000-E$61),1,
(5000000-E$61)/S1_MA_RuralTotalRequested)
)</f>
        <v/>
      </c>
      <c r="J31" s="257" t="str">
        <f>IFERROR(S1MATbl[[#This Row],[TOTAL $ REQUESTED2]]/SUM(S1MATbl[TOTAL $ REQUESTED2]),"")</f>
        <v/>
      </c>
      <c r="K31" s="31" t="s">
        <v>513</v>
      </c>
      <c r="L31" s="196"/>
      <c r="M31" s="119"/>
      <c r="N31" s="255"/>
      <c r="O31" s="124"/>
      <c r="P31" s="161"/>
      <c r="Q31" s="161"/>
      <c r="R31" s="161"/>
      <c r="S31" s="161"/>
      <c r="T31" s="98">
        <f t="shared" si="0"/>
        <v>0</v>
      </c>
      <c r="U31" s="6">
        <f>IF(S1MATbl[[#This Row],[UNRESTRICTED FUNDING REQUESTED]]=0,0,S1MATbl[[#This Row],[UNRESTRICTED FUNDING REQUESTED]]/S1_MA_UnrestrictedTotalRequested)</f>
        <v>0</v>
      </c>
      <c r="V31" s="444">
        <f xml:space="preserve">
IF(S1MATbl[[#This Row],[NEW CONSTRUCTION OR AQUIRE/REHAB]]&lt;&gt;"",
3+IF(S1MATbl[[#This Row],[INFILL SITE]]="Yes",2,0),0)
*S1MATbl[[#This Row],[% OF TOTAL UNRESTRICTED FUNDING]]</f>
        <v>0</v>
      </c>
      <c r="W31" s="7">
        <f>IF(S1MATbl[[#This Row],[ALL UNITS IN A HIGH OR HIGHEST RESOURCE AREA]]="Yes",10*S1MATbl[[#This Row],[% OF TOTAL UNRESTRICTED FUNDING]],0)</f>
        <v>0</v>
      </c>
      <c r="X31" s="7" cm="1">
        <f t="array" ref="X31">INDEX(CountyScoresTbl[Community Need Total Points],ROW(S1MATbl[[#This Row],[COUNTY]])-2,1)*S1MATbl[[#This Row],[% OF TOTAL UNRESTRICTED FUNDING]]</f>
        <v>0</v>
      </c>
      <c r="Y31" s="432" cm="1">
        <f t="array" ref="Y31"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1" s="26" cm="1">
        <f t="array" ref="Z31">INDEX(CountyScoresTbl[Farmworker Need Points Awarded],ROW(S1MATbl[[#This Row],[COUNTY]])-2,1)*S1MATbl[[#This Row],[% OF TOTAL UNRESTRICTED FUNDING]]</f>
        <v>0</v>
      </c>
      <c r="AA31" s="124"/>
      <c r="AB31" s="161"/>
      <c r="AC31" s="161"/>
      <c r="AD31" s="161"/>
      <c r="AE31" s="161"/>
      <c r="AF31" s="98">
        <f t="shared" si="1"/>
        <v>0</v>
      </c>
      <c r="AG31" s="6">
        <f>IF(S1MATbl[[#This Row],[RURAL FUNDING REQUESTED]]=0,0,S1MATbl[[#This Row],[RURAL FUNDING REQUESTED]]/S1_MA_RuralTotalRequested)</f>
        <v>0</v>
      </c>
      <c r="AH31" s="444">
        <f xml:space="preserve">
IF(S1MATbl[[#This Row],[NEW CONSTRUCTION OR AQUIRE/REHAB]]&lt;&gt;"",
3+IF(S1MATbl[[#This Row],[INFILL SITE]]="Yes",2,0),0)
*S1MATbl[[#This Row],[% OF TOTAL RURAL FUNDING]]</f>
        <v>0</v>
      </c>
      <c r="AI31" s="7">
        <f>IF(S1MATbl[[#This Row],[ALL UNITS IN A HIGH OR HIGHEST RESOURCE AREA]]="Yes",10*S1MATbl[[#This Row],[% OF TOTAL RURAL FUNDING]],0)</f>
        <v>0</v>
      </c>
      <c r="AJ31" s="7" cm="1">
        <f t="array" ref="AJ31">INDEX(CountyScoresTbl[Community Need Total Points],ROW(S1MATbl[[#This Row],[COUNTY]])-2,1)*S1MATbl[[#This Row],[% OF TOTAL RURAL FUNDING]]</f>
        <v>0</v>
      </c>
      <c r="AK31" s="432" cm="1">
        <f t="array" ref="AK31"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1" s="73" cm="1">
        <f t="array" ref="AL31">INDEX(CountyScoresTbl[Farmworker Need Points Awarded],ROW(S1MATbl[[#This Row],[COUNTY]])-2,1)*S1MATbl[[#This Row],[% OF TOTAL RURAL FUNDING]]</f>
        <v>0</v>
      </c>
      <c r="AM31" s="422"/>
      <c r="AN31" s="422"/>
      <c r="AO31" s="422"/>
    </row>
    <row r="32" spans="1:41" x14ac:dyDescent="0.35">
      <c r="A32" s="167"/>
      <c r="B32" s="5" t="s">
        <v>144</v>
      </c>
      <c r="C32" s="31" t="s">
        <v>513</v>
      </c>
      <c r="D32" s="113" t="str">
        <f>IF(SUM(S1MATbl[[#This Row],[UNRESTRICTED UNITS]])=0,"",S1MATbl[[#This Row],[UNRESTRICTED UNITS]])</f>
        <v/>
      </c>
      <c r="E32" s="74" t="str">
        <f xml:space="preserve">
IF(S1MATbl[[#This Row],[UNRESTRICTED FUNDING REQUESTED]]=0,"",
S1MATbl[[#This Row],[UNRESTRICTED FUNDING REQUESTED]]*
IF(S1_MA_UnrestrictedTotalRequested&lt;=5000000,1,
5000000/S1_MA_UnrestrictedTotalRequested)
)</f>
        <v/>
      </c>
      <c r="F32" s="6" t="str">
        <f>IFERROR(S1MATbl[[#This Row],[TOTAL $ REQUESTED]]/SUM(S1MATbl[TOTAL $ REQUESTED]),"")</f>
        <v/>
      </c>
      <c r="G32" s="31" t="s">
        <v>513</v>
      </c>
      <c r="H32" s="256" t="str">
        <f>IF(SUM(S1MATbl[[#This Row],[RURAL UNITS]])=0,"",S1MATbl[[#This Row],[RURAL UNITS]])</f>
        <v/>
      </c>
      <c r="I32" s="306" t="str">
        <f xml:space="preserve">
IF(S1MATbl[[#This Row],[RURAL FUNDING REQUESTED]]=0,"",
S1MATbl[[#This Row],[RURAL FUNDING REQUESTED]]*
IF(S1_MA_RuralTotalRequested&lt;=(5000000-E$61),1,
(5000000-E$61)/S1_MA_RuralTotalRequested)
)</f>
        <v/>
      </c>
      <c r="J32" s="257" t="str">
        <f>IFERROR(S1MATbl[[#This Row],[TOTAL $ REQUESTED2]]/SUM(S1MATbl[TOTAL $ REQUESTED2]),"")</f>
        <v/>
      </c>
      <c r="K32" s="31" t="s">
        <v>513</v>
      </c>
      <c r="L32" s="163"/>
      <c r="M32" s="164"/>
      <c r="N32" s="165"/>
      <c r="O32" s="123"/>
      <c r="P32" s="161"/>
      <c r="Q32" s="161"/>
      <c r="R32" s="161"/>
      <c r="S32" s="161"/>
      <c r="T32" s="98">
        <f t="shared" si="0"/>
        <v>0</v>
      </c>
      <c r="U32" s="6">
        <f>IF(S1MATbl[[#This Row],[UNRESTRICTED FUNDING REQUESTED]]=0,0,S1MATbl[[#This Row],[UNRESTRICTED FUNDING REQUESTED]]/S1_MA_UnrestrictedTotalRequested)</f>
        <v>0</v>
      </c>
      <c r="V32" s="444">
        <f xml:space="preserve">
IF(S1MATbl[[#This Row],[NEW CONSTRUCTION OR AQUIRE/REHAB]]&lt;&gt;"",
3+IF(S1MATbl[[#This Row],[INFILL SITE]]="Yes",2,0),0)
*S1MATbl[[#This Row],[% OF TOTAL UNRESTRICTED FUNDING]]</f>
        <v>0</v>
      </c>
      <c r="W32" s="7">
        <f>IF(S1MATbl[[#This Row],[ALL UNITS IN A HIGH OR HIGHEST RESOURCE AREA]]="Yes",10*S1MATbl[[#This Row],[% OF TOTAL UNRESTRICTED FUNDING]],0)</f>
        <v>0</v>
      </c>
      <c r="X32" s="7" cm="1">
        <f t="array" ref="X32">INDEX(CountyScoresTbl[Community Need Total Points],ROW(S1MATbl[[#This Row],[COUNTY]])-2,1)*S1MATbl[[#This Row],[% OF TOTAL UNRESTRICTED FUNDING]]</f>
        <v>0</v>
      </c>
      <c r="Y32" s="432" cm="1">
        <f t="array" ref="Y32"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2" s="26" cm="1">
        <f t="array" ref="Z32">INDEX(CountyScoresTbl[Farmworker Need Points Awarded],ROW(S1MATbl[[#This Row],[COUNTY]])-2,1)*S1MATbl[[#This Row],[% OF TOTAL UNRESTRICTED FUNDING]]</f>
        <v>0</v>
      </c>
      <c r="AA32" s="123"/>
      <c r="AB32" s="161"/>
      <c r="AC32" s="161"/>
      <c r="AD32" s="161"/>
      <c r="AE32" s="161"/>
      <c r="AF32" s="98">
        <f t="shared" si="1"/>
        <v>0</v>
      </c>
      <c r="AG32" s="6">
        <f>IF(S1MATbl[[#This Row],[RURAL FUNDING REQUESTED]]=0,0,S1MATbl[[#This Row],[RURAL FUNDING REQUESTED]]/S1_MA_RuralTotalRequested)</f>
        <v>0</v>
      </c>
      <c r="AH32" s="444">
        <f xml:space="preserve">
IF(S1MATbl[[#This Row],[NEW CONSTRUCTION OR AQUIRE/REHAB]]&lt;&gt;"",
3+IF(S1MATbl[[#This Row],[INFILL SITE]]="Yes",2,0),0)
*S1MATbl[[#This Row],[% OF TOTAL RURAL FUNDING]]</f>
        <v>0</v>
      </c>
      <c r="AI32" s="7">
        <f>IF(S1MATbl[[#This Row],[ALL UNITS IN A HIGH OR HIGHEST RESOURCE AREA]]="Yes",10*S1MATbl[[#This Row],[% OF TOTAL RURAL FUNDING]],0)</f>
        <v>0</v>
      </c>
      <c r="AJ32" s="7" cm="1">
        <f t="array" ref="AJ32">INDEX(CountyScoresTbl[Community Need Total Points],ROW(S1MATbl[[#This Row],[COUNTY]])-2,1)*S1MATbl[[#This Row],[% OF TOTAL RURAL FUNDING]]</f>
        <v>0</v>
      </c>
      <c r="AK32" s="432" cm="1">
        <f t="array" ref="AK32"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2" s="73" cm="1">
        <f t="array" ref="AL32">INDEX(CountyScoresTbl[Farmworker Need Points Awarded],ROW(S1MATbl[[#This Row],[COUNTY]])-2,1)*S1MATbl[[#This Row],[% OF TOTAL RURAL FUNDING]]</f>
        <v>0</v>
      </c>
      <c r="AM32" s="422"/>
      <c r="AN32" s="422"/>
      <c r="AO32" s="422"/>
    </row>
    <row r="33" spans="1:41" x14ac:dyDescent="0.35">
      <c r="A33" s="124"/>
      <c r="B33" s="5" t="s">
        <v>145</v>
      </c>
      <c r="C33" s="31" t="s">
        <v>513</v>
      </c>
      <c r="D33" s="113" t="str">
        <f>IF(SUM(S1MATbl[[#This Row],[UNRESTRICTED UNITS]])=0,"",S1MATbl[[#This Row],[UNRESTRICTED UNITS]])</f>
        <v/>
      </c>
      <c r="E33" s="74" t="str">
        <f xml:space="preserve">
IF(S1MATbl[[#This Row],[UNRESTRICTED FUNDING REQUESTED]]=0,"",
S1MATbl[[#This Row],[UNRESTRICTED FUNDING REQUESTED]]*
IF(S1_MA_UnrestrictedTotalRequested&lt;=5000000,1,
5000000/S1_MA_UnrestrictedTotalRequested)
)</f>
        <v/>
      </c>
      <c r="F33" s="6" t="str">
        <f>IFERROR(S1MATbl[[#This Row],[TOTAL $ REQUESTED]]/SUM(S1MATbl[TOTAL $ REQUESTED]),"")</f>
        <v/>
      </c>
      <c r="G33" s="31" t="s">
        <v>513</v>
      </c>
      <c r="H33" s="256" t="str">
        <f>IF(SUM(S1MATbl[[#This Row],[RURAL UNITS]])=0,"",S1MATbl[[#This Row],[RURAL UNITS]])</f>
        <v/>
      </c>
      <c r="I33" s="306" t="str">
        <f xml:space="preserve">
IF(S1MATbl[[#This Row],[RURAL FUNDING REQUESTED]]=0,"",
S1MATbl[[#This Row],[RURAL FUNDING REQUESTED]]*
IF(S1_MA_RuralTotalRequested&lt;=(5000000-E$61),1,
(5000000-E$61)/S1_MA_RuralTotalRequested)
)</f>
        <v/>
      </c>
      <c r="J33" s="257" t="str">
        <f>IFERROR(S1MATbl[[#This Row],[TOTAL $ REQUESTED2]]/SUM(S1MATbl[TOTAL $ REQUESTED2]),"")</f>
        <v/>
      </c>
      <c r="K33" s="31" t="s">
        <v>513</v>
      </c>
      <c r="L33" s="196"/>
      <c r="M33" s="119"/>
      <c r="N33" s="255"/>
      <c r="O33" s="124"/>
      <c r="P33" s="161"/>
      <c r="Q33" s="161"/>
      <c r="R33" s="161"/>
      <c r="S33" s="161"/>
      <c r="T33" s="98">
        <f t="shared" si="0"/>
        <v>0</v>
      </c>
      <c r="U33" s="6">
        <f>IF(S1MATbl[[#This Row],[UNRESTRICTED FUNDING REQUESTED]]=0,0,S1MATbl[[#This Row],[UNRESTRICTED FUNDING REQUESTED]]/S1_MA_UnrestrictedTotalRequested)</f>
        <v>0</v>
      </c>
      <c r="V33" s="444">
        <f xml:space="preserve">
IF(S1MATbl[[#This Row],[NEW CONSTRUCTION OR AQUIRE/REHAB]]&lt;&gt;"",
3+IF(S1MATbl[[#This Row],[INFILL SITE]]="Yes",2,0),0)
*S1MATbl[[#This Row],[% OF TOTAL UNRESTRICTED FUNDING]]</f>
        <v>0</v>
      </c>
      <c r="W33" s="7">
        <f>IF(S1MATbl[[#This Row],[ALL UNITS IN A HIGH OR HIGHEST RESOURCE AREA]]="Yes",10*S1MATbl[[#This Row],[% OF TOTAL UNRESTRICTED FUNDING]],0)</f>
        <v>0</v>
      </c>
      <c r="X33" s="7" cm="1">
        <f t="array" ref="X33">INDEX(CountyScoresTbl[Community Need Total Points],ROW(S1MATbl[[#This Row],[COUNTY]])-2,1)*S1MATbl[[#This Row],[% OF TOTAL UNRESTRICTED FUNDING]]</f>
        <v>0</v>
      </c>
      <c r="Y33" s="432" cm="1">
        <f t="array" ref="Y33"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3" s="26" cm="1">
        <f t="array" ref="Z33">INDEX(CountyScoresTbl[Farmworker Need Points Awarded],ROW(S1MATbl[[#This Row],[COUNTY]])-2,1)*S1MATbl[[#This Row],[% OF TOTAL UNRESTRICTED FUNDING]]</f>
        <v>0</v>
      </c>
      <c r="AA33" s="124"/>
      <c r="AB33" s="161"/>
      <c r="AC33" s="161"/>
      <c r="AD33" s="161"/>
      <c r="AE33" s="161"/>
      <c r="AF33" s="98">
        <f t="shared" si="1"/>
        <v>0</v>
      </c>
      <c r="AG33" s="6">
        <f>IF(S1MATbl[[#This Row],[RURAL FUNDING REQUESTED]]=0,0,S1MATbl[[#This Row],[RURAL FUNDING REQUESTED]]/S1_MA_RuralTotalRequested)</f>
        <v>0</v>
      </c>
      <c r="AH33" s="444">
        <f xml:space="preserve">
IF(S1MATbl[[#This Row],[NEW CONSTRUCTION OR AQUIRE/REHAB]]&lt;&gt;"",
3+IF(S1MATbl[[#This Row],[INFILL SITE]]="Yes",2,0),0)
*S1MATbl[[#This Row],[% OF TOTAL RURAL FUNDING]]</f>
        <v>0</v>
      </c>
      <c r="AI33" s="7">
        <f>IF(S1MATbl[[#This Row],[ALL UNITS IN A HIGH OR HIGHEST RESOURCE AREA]]="Yes",10*S1MATbl[[#This Row],[% OF TOTAL RURAL FUNDING]],0)</f>
        <v>0</v>
      </c>
      <c r="AJ33" s="7" cm="1">
        <f t="array" ref="AJ33">INDEX(CountyScoresTbl[Community Need Total Points],ROW(S1MATbl[[#This Row],[COUNTY]])-2,1)*S1MATbl[[#This Row],[% OF TOTAL RURAL FUNDING]]</f>
        <v>0</v>
      </c>
      <c r="AK33" s="432" cm="1">
        <f t="array" ref="AK33"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3" s="73" cm="1">
        <f t="array" ref="AL33">INDEX(CountyScoresTbl[Farmworker Need Points Awarded],ROW(S1MATbl[[#This Row],[COUNTY]])-2,1)*S1MATbl[[#This Row],[% OF TOTAL RURAL FUNDING]]</f>
        <v>0</v>
      </c>
      <c r="AM33" s="422"/>
      <c r="AN33" s="422"/>
      <c r="AO33" s="422"/>
    </row>
    <row r="34" spans="1:41" x14ac:dyDescent="0.35">
      <c r="A34" s="167"/>
      <c r="B34" s="5" t="s">
        <v>146</v>
      </c>
      <c r="C34" s="31" t="s">
        <v>513</v>
      </c>
      <c r="D34" s="113" t="str">
        <f>IF(SUM(S1MATbl[[#This Row],[UNRESTRICTED UNITS]])=0,"",S1MATbl[[#This Row],[UNRESTRICTED UNITS]])</f>
        <v/>
      </c>
      <c r="E34" s="74" t="str">
        <f xml:space="preserve">
IF(S1MATbl[[#This Row],[UNRESTRICTED FUNDING REQUESTED]]=0,"",
S1MATbl[[#This Row],[UNRESTRICTED FUNDING REQUESTED]]*
IF(S1_MA_UnrestrictedTotalRequested&lt;=5000000,1,
5000000/S1_MA_UnrestrictedTotalRequested)
)</f>
        <v/>
      </c>
      <c r="F34" s="6" t="str">
        <f>IFERROR(S1MATbl[[#This Row],[TOTAL $ REQUESTED]]/SUM(S1MATbl[TOTAL $ REQUESTED]),"")</f>
        <v/>
      </c>
      <c r="G34" s="31" t="s">
        <v>513</v>
      </c>
      <c r="H34" s="256" t="str">
        <f>IF(SUM(S1MATbl[[#This Row],[RURAL UNITS]])=0,"",S1MATbl[[#This Row],[RURAL UNITS]])</f>
        <v/>
      </c>
      <c r="I34" s="306" t="str">
        <f xml:space="preserve">
IF(S1MATbl[[#This Row],[RURAL FUNDING REQUESTED]]=0,"",
S1MATbl[[#This Row],[RURAL FUNDING REQUESTED]]*
IF(S1_MA_RuralTotalRequested&lt;=(5000000-E$61),1,
(5000000-E$61)/S1_MA_RuralTotalRequested)
)</f>
        <v/>
      </c>
      <c r="J34" s="257" t="str">
        <f>IFERROR(S1MATbl[[#This Row],[TOTAL $ REQUESTED2]]/SUM(S1MATbl[TOTAL $ REQUESTED2]),"")</f>
        <v/>
      </c>
      <c r="K34" s="31" t="s">
        <v>513</v>
      </c>
      <c r="L34" s="163"/>
      <c r="M34" s="164"/>
      <c r="N34" s="165"/>
      <c r="O34" s="123"/>
      <c r="P34" s="161"/>
      <c r="Q34" s="161"/>
      <c r="R34" s="161"/>
      <c r="S34" s="161"/>
      <c r="T34" s="98">
        <f t="shared" si="0"/>
        <v>0</v>
      </c>
      <c r="U34" s="6">
        <f>IF(S1MATbl[[#This Row],[UNRESTRICTED FUNDING REQUESTED]]=0,0,S1MATbl[[#This Row],[UNRESTRICTED FUNDING REQUESTED]]/S1_MA_UnrestrictedTotalRequested)</f>
        <v>0</v>
      </c>
      <c r="V34" s="444">
        <f xml:space="preserve">
IF(S1MATbl[[#This Row],[NEW CONSTRUCTION OR AQUIRE/REHAB]]&lt;&gt;"",
3+IF(S1MATbl[[#This Row],[INFILL SITE]]="Yes",2,0),0)
*S1MATbl[[#This Row],[% OF TOTAL UNRESTRICTED FUNDING]]</f>
        <v>0</v>
      </c>
      <c r="W34" s="7">
        <f>IF(S1MATbl[[#This Row],[ALL UNITS IN A HIGH OR HIGHEST RESOURCE AREA]]="Yes",10*S1MATbl[[#This Row],[% OF TOTAL UNRESTRICTED FUNDING]],0)</f>
        <v>0</v>
      </c>
      <c r="X34" s="7" cm="1">
        <f t="array" ref="X34">INDEX(CountyScoresTbl[Community Need Total Points],ROW(S1MATbl[[#This Row],[COUNTY]])-2,1)*S1MATbl[[#This Row],[% OF TOTAL UNRESTRICTED FUNDING]]</f>
        <v>0</v>
      </c>
      <c r="Y34" s="432" cm="1">
        <f t="array" ref="Y34"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4" s="26" cm="1">
        <f t="array" ref="Z34">INDEX(CountyScoresTbl[Farmworker Need Points Awarded],ROW(S1MATbl[[#This Row],[COUNTY]])-2,1)*S1MATbl[[#This Row],[% OF TOTAL UNRESTRICTED FUNDING]]</f>
        <v>0</v>
      </c>
      <c r="AA34" s="123"/>
      <c r="AB34" s="161"/>
      <c r="AC34" s="161"/>
      <c r="AD34" s="161"/>
      <c r="AE34" s="161"/>
      <c r="AF34" s="98">
        <f t="shared" si="1"/>
        <v>0</v>
      </c>
      <c r="AG34" s="6">
        <f>IF(S1MATbl[[#This Row],[RURAL FUNDING REQUESTED]]=0,0,S1MATbl[[#This Row],[RURAL FUNDING REQUESTED]]/S1_MA_RuralTotalRequested)</f>
        <v>0</v>
      </c>
      <c r="AH34" s="444">
        <f xml:space="preserve">
IF(S1MATbl[[#This Row],[NEW CONSTRUCTION OR AQUIRE/REHAB]]&lt;&gt;"",
3+IF(S1MATbl[[#This Row],[INFILL SITE]]="Yes",2,0),0)
*S1MATbl[[#This Row],[% OF TOTAL RURAL FUNDING]]</f>
        <v>0</v>
      </c>
      <c r="AI34" s="7">
        <f>IF(S1MATbl[[#This Row],[ALL UNITS IN A HIGH OR HIGHEST RESOURCE AREA]]="Yes",10*S1MATbl[[#This Row],[% OF TOTAL RURAL FUNDING]],0)</f>
        <v>0</v>
      </c>
      <c r="AJ34" s="7" cm="1">
        <f t="array" ref="AJ34">INDEX(CountyScoresTbl[Community Need Total Points],ROW(S1MATbl[[#This Row],[COUNTY]])-2,1)*S1MATbl[[#This Row],[% OF TOTAL RURAL FUNDING]]</f>
        <v>0</v>
      </c>
      <c r="AK34" s="432" cm="1">
        <f t="array" ref="AK34"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4" s="73" cm="1">
        <f t="array" ref="AL34">INDEX(CountyScoresTbl[Farmworker Need Points Awarded],ROW(S1MATbl[[#This Row],[COUNTY]])-2,1)*S1MATbl[[#This Row],[% OF TOTAL RURAL FUNDING]]</f>
        <v>0</v>
      </c>
      <c r="AM34" s="422"/>
      <c r="AN34" s="422"/>
      <c r="AO34" s="422"/>
    </row>
    <row r="35" spans="1:41" x14ac:dyDescent="0.35">
      <c r="A35" s="167"/>
      <c r="B35" s="5" t="s">
        <v>147</v>
      </c>
      <c r="C35" s="31" t="s">
        <v>513</v>
      </c>
      <c r="D35" s="113" t="str">
        <f>IF(SUM(S1MATbl[[#This Row],[UNRESTRICTED UNITS]])=0,"",S1MATbl[[#This Row],[UNRESTRICTED UNITS]])</f>
        <v/>
      </c>
      <c r="E35" s="74" t="str">
        <f xml:space="preserve">
IF(S1MATbl[[#This Row],[UNRESTRICTED FUNDING REQUESTED]]=0,"",
S1MATbl[[#This Row],[UNRESTRICTED FUNDING REQUESTED]]*
IF(S1_MA_UnrestrictedTotalRequested&lt;=5000000,1,
5000000/S1_MA_UnrestrictedTotalRequested)
)</f>
        <v/>
      </c>
      <c r="F35" s="6" t="str">
        <f>IFERROR(S1MATbl[[#This Row],[TOTAL $ REQUESTED]]/SUM(S1MATbl[TOTAL $ REQUESTED]),"")</f>
        <v/>
      </c>
      <c r="G35" s="31" t="s">
        <v>513</v>
      </c>
      <c r="H35" s="256" t="str">
        <f>IF(SUM(S1MATbl[[#This Row],[RURAL UNITS]])=0,"",S1MATbl[[#This Row],[RURAL UNITS]])</f>
        <v/>
      </c>
      <c r="I35" s="306" t="str">
        <f xml:space="preserve">
IF(S1MATbl[[#This Row],[RURAL FUNDING REQUESTED]]=0,"",
S1MATbl[[#This Row],[RURAL FUNDING REQUESTED]]*
IF(S1_MA_RuralTotalRequested&lt;=(5000000-E$61),1,
(5000000-E$61)/S1_MA_RuralTotalRequested)
)</f>
        <v/>
      </c>
      <c r="J35" s="257" t="str">
        <f>IFERROR(S1MATbl[[#This Row],[TOTAL $ REQUESTED2]]/SUM(S1MATbl[TOTAL $ REQUESTED2]),"")</f>
        <v/>
      </c>
      <c r="K35" s="31" t="s">
        <v>513</v>
      </c>
      <c r="L35" s="163"/>
      <c r="M35" s="164"/>
      <c r="N35" s="165"/>
      <c r="O35" s="123"/>
      <c r="P35" s="161"/>
      <c r="Q35" s="161"/>
      <c r="R35" s="161"/>
      <c r="S35" s="161"/>
      <c r="T35" s="98">
        <f t="shared" si="0"/>
        <v>0</v>
      </c>
      <c r="U35" s="6">
        <f>IF(S1MATbl[[#This Row],[UNRESTRICTED FUNDING REQUESTED]]=0,0,S1MATbl[[#This Row],[UNRESTRICTED FUNDING REQUESTED]]/S1_MA_UnrestrictedTotalRequested)</f>
        <v>0</v>
      </c>
      <c r="V35" s="444">
        <f xml:space="preserve">
IF(S1MATbl[[#This Row],[NEW CONSTRUCTION OR AQUIRE/REHAB]]&lt;&gt;"",
3+IF(S1MATbl[[#This Row],[INFILL SITE]]="Yes",2,0),0)
*S1MATbl[[#This Row],[% OF TOTAL UNRESTRICTED FUNDING]]</f>
        <v>0</v>
      </c>
      <c r="W35" s="7">
        <f>IF(S1MATbl[[#This Row],[ALL UNITS IN A HIGH OR HIGHEST RESOURCE AREA]]="Yes",10*S1MATbl[[#This Row],[% OF TOTAL UNRESTRICTED FUNDING]],0)</f>
        <v>0</v>
      </c>
      <c r="X35" s="7" cm="1">
        <f t="array" ref="X35">INDEX(CountyScoresTbl[Community Need Total Points],ROW(S1MATbl[[#This Row],[COUNTY]])-2,1)*S1MATbl[[#This Row],[% OF TOTAL UNRESTRICTED FUNDING]]</f>
        <v>0</v>
      </c>
      <c r="Y35" s="432" cm="1">
        <f t="array" ref="Y35"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5" s="26" cm="1">
        <f t="array" ref="Z35">INDEX(CountyScoresTbl[Farmworker Need Points Awarded],ROW(S1MATbl[[#This Row],[COUNTY]])-2,1)*S1MATbl[[#This Row],[% OF TOTAL UNRESTRICTED FUNDING]]</f>
        <v>0</v>
      </c>
      <c r="AA35" s="123"/>
      <c r="AB35" s="161"/>
      <c r="AC35" s="161"/>
      <c r="AD35" s="161"/>
      <c r="AE35" s="161"/>
      <c r="AF35" s="98">
        <f t="shared" si="1"/>
        <v>0</v>
      </c>
      <c r="AG35" s="6">
        <f>IF(S1MATbl[[#This Row],[RURAL FUNDING REQUESTED]]=0,0,S1MATbl[[#This Row],[RURAL FUNDING REQUESTED]]/S1_MA_RuralTotalRequested)</f>
        <v>0</v>
      </c>
      <c r="AH35" s="444">
        <f xml:space="preserve">
IF(S1MATbl[[#This Row],[NEW CONSTRUCTION OR AQUIRE/REHAB]]&lt;&gt;"",
3+IF(S1MATbl[[#This Row],[INFILL SITE]]="Yes",2,0),0)
*S1MATbl[[#This Row],[% OF TOTAL RURAL FUNDING]]</f>
        <v>0</v>
      </c>
      <c r="AI35" s="7">
        <f>IF(S1MATbl[[#This Row],[ALL UNITS IN A HIGH OR HIGHEST RESOURCE AREA]]="Yes",10*S1MATbl[[#This Row],[% OF TOTAL RURAL FUNDING]],0)</f>
        <v>0</v>
      </c>
      <c r="AJ35" s="7" cm="1">
        <f t="array" ref="AJ35">INDEX(CountyScoresTbl[Community Need Total Points],ROW(S1MATbl[[#This Row],[COUNTY]])-2,1)*S1MATbl[[#This Row],[% OF TOTAL RURAL FUNDING]]</f>
        <v>0</v>
      </c>
      <c r="AK35" s="432" cm="1">
        <f t="array" ref="AK35"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5" s="73" cm="1">
        <f t="array" ref="AL35">INDEX(CountyScoresTbl[Farmworker Need Points Awarded],ROW(S1MATbl[[#This Row],[COUNTY]])-2,1)*S1MATbl[[#This Row],[% OF TOTAL RURAL FUNDING]]</f>
        <v>0</v>
      </c>
      <c r="AM35" s="422"/>
      <c r="AN35" s="422"/>
      <c r="AO35" s="422"/>
    </row>
    <row r="36" spans="1:41" x14ac:dyDescent="0.35">
      <c r="A36" s="124"/>
      <c r="B36" s="5" t="s">
        <v>148</v>
      </c>
      <c r="C36" s="31" t="s">
        <v>513</v>
      </c>
      <c r="D36" s="113" t="str">
        <f>IF(SUM(S1MATbl[[#This Row],[UNRESTRICTED UNITS]])=0,"",S1MATbl[[#This Row],[UNRESTRICTED UNITS]])</f>
        <v/>
      </c>
      <c r="E36" s="74" t="str">
        <f xml:space="preserve">
IF(S1MATbl[[#This Row],[UNRESTRICTED FUNDING REQUESTED]]=0,"",
S1MATbl[[#This Row],[UNRESTRICTED FUNDING REQUESTED]]*
IF(S1_MA_UnrestrictedTotalRequested&lt;=5000000,1,
5000000/S1_MA_UnrestrictedTotalRequested)
)</f>
        <v/>
      </c>
      <c r="F36" s="6" t="str">
        <f>IFERROR(S1MATbl[[#This Row],[TOTAL $ REQUESTED]]/SUM(S1MATbl[TOTAL $ REQUESTED]),"")</f>
        <v/>
      </c>
      <c r="G36" s="31" t="s">
        <v>513</v>
      </c>
      <c r="H36" s="256" t="str">
        <f>IF(SUM(S1MATbl[[#This Row],[RURAL UNITS]])=0,"",S1MATbl[[#This Row],[RURAL UNITS]])</f>
        <v/>
      </c>
      <c r="I36" s="306" t="str">
        <f xml:space="preserve">
IF(S1MATbl[[#This Row],[RURAL FUNDING REQUESTED]]=0,"",
S1MATbl[[#This Row],[RURAL FUNDING REQUESTED]]*
IF(S1_MA_RuralTotalRequested&lt;=(5000000-E$61),1,
(5000000-E$61)/S1_MA_RuralTotalRequested)
)</f>
        <v/>
      </c>
      <c r="J36" s="257" t="str">
        <f>IFERROR(S1MATbl[[#This Row],[TOTAL $ REQUESTED2]]/SUM(S1MATbl[TOTAL $ REQUESTED2]),"")</f>
        <v/>
      </c>
      <c r="K36" s="31" t="s">
        <v>513</v>
      </c>
      <c r="L36" s="196"/>
      <c r="M36" s="119"/>
      <c r="N36" s="255"/>
      <c r="O36" s="124"/>
      <c r="P36" s="161"/>
      <c r="Q36" s="161"/>
      <c r="R36" s="161"/>
      <c r="S36" s="161"/>
      <c r="T36" s="98">
        <f t="shared" si="0"/>
        <v>0</v>
      </c>
      <c r="U36" s="6">
        <f>IF(S1MATbl[[#This Row],[UNRESTRICTED FUNDING REQUESTED]]=0,0,S1MATbl[[#This Row],[UNRESTRICTED FUNDING REQUESTED]]/S1_MA_UnrestrictedTotalRequested)</f>
        <v>0</v>
      </c>
      <c r="V36" s="444">
        <f xml:space="preserve">
IF(S1MATbl[[#This Row],[NEW CONSTRUCTION OR AQUIRE/REHAB]]&lt;&gt;"",
3+IF(S1MATbl[[#This Row],[INFILL SITE]]="Yes",2,0),0)
*S1MATbl[[#This Row],[% OF TOTAL UNRESTRICTED FUNDING]]</f>
        <v>0</v>
      </c>
      <c r="W36" s="7">
        <f>IF(S1MATbl[[#This Row],[ALL UNITS IN A HIGH OR HIGHEST RESOURCE AREA]]="Yes",10*S1MATbl[[#This Row],[% OF TOTAL UNRESTRICTED FUNDING]],0)</f>
        <v>0</v>
      </c>
      <c r="X36" s="7" cm="1">
        <f t="array" ref="X36">INDEX(CountyScoresTbl[Community Need Total Points],ROW(S1MATbl[[#This Row],[COUNTY]])-2,1)*S1MATbl[[#This Row],[% OF TOTAL UNRESTRICTED FUNDING]]</f>
        <v>0</v>
      </c>
      <c r="Y36" s="432" cm="1">
        <f t="array" ref="Y36"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6" s="26" cm="1">
        <f t="array" ref="Z36">INDEX(CountyScoresTbl[Farmworker Need Points Awarded],ROW(S1MATbl[[#This Row],[COUNTY]])-2,1)*S1MATbl[[#This Row],[% OF TOTAL UNRESTRICTED FUNDING]]</f>
        <v>0</v>
      </c>
      <c r="AA36" s="124"/>
      <c r="AB36" s="161"/>
      <c r="AC36" s="161"/>
      <c r="AD36" s="161"/>
      <c r="AE36" s="161"/>
      <c r="AF36" s="98">
        <f t="shared" si="1"/>
        <v>0</v>
      </c>
      <c r="AG36" s="6">
        <f>IF(S1MATbl[[#This Row],[RURAL FUNDING REQUESTED]]=0,0,S1MATbl[[#This Row],[RURAL FUNDING REQUESTED]]/S1_MA_RuralTotalRequested)</f>
        <v>0</v>
      </c>
      <c r="AH36" s="444">
        <f xml:space="preserve">
IF(S1MATbl[[#This Row],[NEW CONSTRUCTION OR AQUIRE/REHAB]]&lt;&gt;"",
3+IF(S1MATbl[[#This Row],[INFILL SITE]]="Yes",2,0),0)
*S1MATbl[[#This Row],[% OF TOTAL RURAL FUNDING]]</f>
        <v>0</v>
      </c>
      <c r="AI36" s="7">
        <f>IF(S1MATbl[[#This Row],[ALL UNITS IN A HIGH OR HIGHEST RESOURCE AREA]]="Yes",10*S1MATbl[[#This Row],[% OF TOTAL RURAL FUNDING]],0)</f>
        <v>0</v>
      </c>
      <c r="AJ36" s="7" cm="1">
        <f t="array" ref="AJ36">INDEX(CountyScoresTbl[Community Need Total Points],ROW(S1MATbl[[#This Row],[COUNTY]])-2,1)*S1MATbl[[#This Row],[% OF TOTAL RURAL FUNDING]]</f>
        <v>0</v>
      </c>
      <c r="AK36" s="432" cm="1">
        <f t="array" ref="AK36"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6" s="73" cm="1">
        <f t="array" ref="AL36">INDEX(CountyScoresTbl[Farmworker Need Points Awarded],ROW(S1MATbl[[#This Row],[COUNTY]])-2,1)*S1MATbl[[#This Row],[% OF TOTAL RURAL FUNDING]]</f>
        <v>0</v>
      </c>
      <c r="AM36" s="422"/>
      <c r="AN36" s="422"/>
      <c r="AO36" s="422"/>
    </row>
    <row r="37" spans="1:41" x14ac:dyDescent="0.35">
      <c r="A37" s="167"/>
      <c r="B37" s="5" t="s">
        <v>149</v>
      </c>
      <c r="C37" s="31" t="s">
        <v>513</v>
      </c>
      <c r="D37" s="113" t="str">
        <f>IF(SUM(S1MATbl[[#This Row],[UNRESTRICTED UNITS]])=0,"",S1MATbl[[#This Row],[UNRESTRICTED UNITS]])</f>
        <v/>
      </c>
      <c r="E37" s="74" t="str">
        <f xml:space="preserve">
IF(S1MATbl[[#This Row],[UNRESTRICTED FUNDING REQUESTED]]=0,"",
S1MATbl[[#This Row],[UNRESTRICTED FUNDING REQUESTED]]*
IF(S1_MA_UnrestrictedTotalRequested&lt;=5000000,1,
5000000/S1_MA_UnrestrictedTotalRequested)
)</f>
        <v/>
      </c>
      <c r="F37" s="6" t="str">
        <f>IFERROR(S1MATbl[[#This Row],[TOTAL $ REQUESTED]]/SUM(S1MATbl[TOTAL $ REQUESTED]),"")</f>
        <v/>
      </c>
      <c r="G37" s="31" t="s">
        <v>513</v>
      </c>
      <c r="H37" s="256" t="str">
        <f>IF(SUM(S1MATbl[[#This Row],[RURAL UNITS]])=0,"",S1MATbl[[#This Row],[RURAL UNITS]])</f>
        <v/>
      </c>
      <c r="I37" s="306" t="str">
        <f xml:space="preserve">
IF(S1MATbl[[#This Row],[RURAL FUNDING REQUESTED]]=0,"",
S1MATbl[[#This Row],[RURAL FUNDING REQUESTED]]*
IF(S1_MA_RuralTotalRequested&lt;=(5000000-E$61),1,
(5000000-E$61)/S1_MA_RuralTotalRequested)
)</f>
        <v/>
      </c>
      <c r="J37" s="257" t="str">
        <f>IFERROR(S1MATbl[[#This Row],[TOTAL $ REQUESTED2]]/SUM(S1MATbl[TOTAL $ REQUESTED2]),"")</f>
        <v/>
      </c>
      <c r="K37" s="31" t="s">
        <v>513</v>
      </c>
      <c r="L37" s="163"/>
      <c r="M37" s="164"/>
      <c r="N37" s="165"/>
      <c r="O37" s="123"/>
      <c r="P37" s="161"/>
      <c r="Q37" s="161"/>
      <c r="R37" s="161"/>
      <c r="S37" s="161"/>
      <c r="T37" s="98">
        <f t="shared" si="0"/>
        <v>0</v>
      </c>
      <c r="U37" s="6">
        <f>IF(S1MATbl[[#This Row],[UNRESTRICTED FUNDING REQUESTED]]=0,0,S1MATbl[[#This Row],[UNRESTRICTED FUNDING REQUESTED]]/S1_MA_UnrestrictedTotalRequested)</f>
        <v>0</v>
      </c>
      <c r="V37" s="444">
        <f xml:space="preserve">
IF(S1MATbl[[#This Row],[NEW CONSTRUCTION OR AQUIRE/REHAB]]&lt;&gt;"",
3+IF(S1MATbl[[#This Row],[INFILL SITE]]="Yes",2,0),0)
*S1MATbl[[#This Row],[% OF TOTAL UNRESTRICTED FUNDING]]</f>
        <v>0</v>
      </c>
      <c r="W37" s="7">
        <f>IF(S1MATbl[[#This Row],[ALL UNITS IN A HIGH OR HIGHEST RESOURCE AREA]]="Yes",10*S1MATbl[[#This Row],[% OF TOTAL UNRESTRICTED FUNDING]],0)</f>
        <v>0</v>
      </c>
      <c r="X37" s="7" cm="1">
        <f t="array" ref="X37">INDEX(CountyScoresTbl[Community Need Total Points],ROW(S1MATbl[[#This Row],[COUNTY]])-2,1)*S1MATbl[[#This Row],[% OF TOTAL UNRESTRICTED FUNDING]]</f>
        <v>0</v>
      </c>
      <c r="Y37" s="432" cm="1">
        <f t="array" ref="Y37"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7" s="26" cm="1">
        <f t="array" ref="Z37">INDEX(CountyScoresTbl[Farmworker Need Points Awarded],ROW(S1MATbl[[#This Row],[COUNTY]])-2,1)*S1MATbl[[#This Row],[% OF TOTAL UNRESTRICTED FUNDING]]</f>
        <v>0</v>
      </c>
      <c r="AA37" s="123"/>
      <c r="AB37" s="161"/>
      <c r="AC37" s="161"/>
      <c r="AD37" s="161"/>
      <c r="AE37" s="161"/>
      <c r="AF37" s="98">
        <f t="shared" si="1"/>
        <v>0</v>
      </c>
      <c r="AG37" s="6">
        <f>IF(S1MATbl[[#This Row],[RURAL FUNDING REQUESTED]]=0,0,S1MATbl[[#This Row],[RURAL FUNDING REQUESTED]]/S1_MA_RuralTotalRequested)</f>
        <v>0</v>
      </c>
      <c r="AH37" s="444">
        <f xml:space="preserve">
IF(S1MATbl[[#This Row],[NEW CONSTRUCTION OR AQUIRE/REHAB]]&lt;&gt;"",
3+IF(S1MATbl[[#This Row],[INFILL SITE]]="Yes",2,0),0)
*S1MATbl[[#This Row],[% OF TOTAL RURAL FUNDING]]</f>
        <v>0</v>
      </c>
      <c r="AI37" s="7">
        <f>IF(S1MATbl[[#This Row],[ALL UNITS IN A HIGH OR HIGHEST RESOURCE AREA]]="Yes",10*S1MATbl[[#This Row],[% OF TOTAL RURAL FUNDING]],0)</f>
        <v>0</v>
      </c>
      <c r="AJ37" s="7" cm="1">
        <f t="array" ref="AJ37">INDEX(CountyScoresTbl[Community Need Total Points],ROW(S1MATbl[[#This Row],[COUNTY]])-2,1)*S1MATbl[[#This Row],[% OF TOTAL RURAL FUNDING]]</f>
        <v>0</v>
      </c>
      <c r="AK37" s="432" cm="1">
        <f t="array" ref="AK37"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7" s="73" cm="1">
        <f t="array" ref="AL37">INDEX(CountyScoresTbl[Farmworker Need Points Awarded],ROW(S1MATbl[[#This Row],[COUNTY]])-2,1)*S1MATbl[[#This Row],[% OF TOTAL RURAL FUNDING]]</f>
        <v>0</v>
      </c>
      <c r="AM37" s="422"/>
      <c r="AN37" s="422"/>
      <c r="AO37" s="422"/>
    </row>
    <row r="38" spans="1:41" x14ac:dyDescent="0.35">
      <c r="A38" s="124"/>
      <c r="B38" s="5" t="s">
        <v>150</v>
      </c>
      <c r="C38" s="31" t="s">
        <v>513</v>
      </c>
      <c r="D38" s="113" t="str">
        <f>IF(SUM(S1MATbl[[#This Row],[UNRESTRICTED UNITS]])=0,"",S1MATbl[[#This Row],[UNRESTRICTED UNITS]])</f>
        <v/>
      </c>
      <c r="E38" s="74" t="str">
        <f xml:space="preserve">
IF(S1MATbl[[#This Row],[UNRESTRICTED FUNDING REQUESTED]]=0,"",
S1MATbl[[#This Row],[UNRESTRICTED FUNDING REQUESTED]]*
IF(S1_MA_UnrestrictedTotalRequested&lt;=5000000,1,
5000000/S1_MA_UnrestrictedTotalRequested)
)</f>
        <v/>
      </c>
      <c r="F38" s="6" t="str">
        <f>IFERROR(S1MATbl[[#This Row],[TOTAL $ REQUESTED]]/SUM(S1MATbl[TOTAL $ REQUESTED]),"")</f>
        <v/>
      </c>
      <c r="G38" s="31" t="s">
        <v>513</v>
      </c>
      <c r="H38" s="256" t="str">
        <f>IF(SUM(S1MATbl[[#This Row],[RURAL UNITS]])=0,"",S1MATbl[[#This Row],[RURAL UNITS]])</f>
        <v/>
      </c>
      <c r="I38" s="306" t="str">
        <f xml:space="preserve">
IF(S1MATbl[[#This Row],[RURAL FUNDING REQUESTED]]=0,"",
S1MATbl[[#This Row],[RURAL FUNDING REQUESTED]]*
IF(S1_MA_RuralTotalRequested&lt;=(5000000-E$61),1,
(5000000-E$61)/S1_MA_RuralTotalRequested)
)</f>
        <v/>
      </c>
      <c r="J38" s="257" t="str">
        <f>IFERROR(S1MATbl[[#This Row],[TOTAL $ REQUESTED2]]/SUM(S1MATbl[TOTAL $ REQUESTED2]),"")</f>
        <v/>
      </c>
      <c r="K38" s="31" t="s">
        <v>513</v>
      </c>
      <c r="L38" s="196"/>
      <c r="M38" s="119"/>
      <c r="N38" s="255"/>
      <c r="O38" s="124"/>
      <c r="P38" s="161"/>
      <c r="Q38" s="161"/>
      <c r="R38" s="161"/>
      <c r="S38" s="161"/>
      <c r="T38" s="98">
        <f t="shared" si="0"/>
        <v>0</v>
      </c>
      <c r="U38" s="6">
        <f>IF(S1MATbl[[#This Row],[UNRESTRICTED FUNDING REQUESTED]]=0,0,S1MATbl[[#This Row],[UNRESTRICTED FUNDING REQUESTED]]/S1_MA_UnrestrictedTotalRequested)</f>
        <v>0</v>
      </c>
      <c r="V38" s="444">
        <f xml:space="preserve">
IF(S1MATbl[[#This Row],[NEW CONSTRUCTION OR AQUIRE/REHAB]]&lt;&gt;"",
3+IF(S1MATbl[[#This Row],[INFILL SITE]]="Yes",2,0),0)
*S1MATbl[[#This Row],[% OF TOTAL UNRESTRICTED FUNDING]]</f>
        <v>0</v>
      </c>
      <c r="W38" s="7">
        <f>IF(S1MATbl[[#This Row],[ALL UNITS IN A HIGH OR HIGHEST RESOURCE AREA]]="Yes",10*S1MATbl[[#This Row],[% OF TOTAL UNRESTRICTED FUNDING]],0)</f>
        <v>0</v>
      </c>
      <c r="X38" s="7" cm="1">
        <f t="array" ref="X38">INDEX(CountyScoresTbl[Community Need Total Points],ROW(S1MATbl[[#This Row],[COUNTY]])-2,1)*S1MATbl[[#This Row],[% OF TOTAL UNRESTRICTED FUNDING]]</f>
        <v>0</v>
      </c>
      <c r="Y38" s="432" cm="1">
        <f t="array" ref="Y38"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8" s="26" cm="1">
        <f t="array" ref="Z38">INDEX(CountyScoresTbl[Farmworker Need Points Awarded],ROW(S1MATbl[[#This Row],[COUNTY]])-2,1)*S1MATbl[[#This Row],[% OF TOTAL UNRESTRICTED FUNDING]]</f>
        <v>0</v>
      </c>
      <c r="AA38" s="124"/>
      <c r="AB38" s="161"/>
      <c r="AC38" s="161"/>
      <c r="AD38" s="161"/>
      <c r="AE38" s="161"/>
      <c r="AF38" s="98">
        <f t="shared" si="1"/>
        <v>0</v>
      </c>
      <c r="AG38" s="6">
        <f>IF(S1MATbl[[#This Row],[RURAL FUNDING REQUESTED]]=0,0,S1MATbl[[#This Row],[RURAL FUNDING REQUESTED]]/S1_MA_RuralTotalRequested)</f>
        <v>0</v>
      </c>
      <c r="AH38" s="444">
        <f xml:space="preserve">
IF(S1MATbl[[#This Row],[NEW CONSTRUCTION OR AQUIRE/REHAB]]&lt;&gt;"",
3+IF(S1MATbl[[#This Row],[INFILL SITE]]="Yes",2,0),0)
*S1MATbl[[#This Row],[% OF TOTAL RURAL FUNDING]]</f>
        <v>0</v>
      </c>
      <c r="AI38" s="7">
        <f>IF(S1MATbl[[#This Row],[ALL UNITS IN A HIGH OR HIGHEST RESOURCE AREA]]="Yes",10*S1MATbl[[#This Row],[% OF TOTAL RURAL FUNDING]],0)</f>
        <v>0</v>
      </c>
      <c r="AJ38" s="7" cm="1">
        <f t="array" ref="AJ38">INDEX(CountyScoresTbl[Community Need Total Points],ROW(S1MATbl[[#This Row],[COUNTY]])-2,1)*S1MATbl[[#This Row],[% OF TOTAL RURAL FUNDING]]</f>
        <v>0</v>
      </c>
      <c r="AK38" s="432" cm="1">
        <f t="array" ref="AK38"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8" s="73" cm="1">
        <f t="array" ref="AL38">INDEX(CountyScoresTbl[Farmworker Need Points Awarded],ROW(S1MATbl[[#This Row],[COUNTY]])-2,1)*S1MATbl[[#This Row],[% OF TOTAL RURAL FUNDING]]</f>
        <v>0</v>
      </c>
      <c r="AM38" s="422"/>
      <c r="AN38" s="422"/>
      <c r="AO38" s="422"/>
    </row>
    <row r="39" spans="1:41" x14ac:dyDescent="0.35">
      <c r="A39" s="167"/>
      <c r="B39" s="5" t="s">
        <v>151</v>
      </c>
      <c r="C39" s="31" t="s">
        <v>513</v>
      </c>
      <c r="D39" s="113" t="str">
        <f>IF(SUM(S1MATbl[[#This Row],[UNRESTRICTED UNITS]])=0,"",S1MATbl[[#This Row],[UNRESTRICTED UNITS]])</f>
        <v/>
      </c>
      <c r="E39" s="74" t="str">
        <f xml:space="preserve">
IF(S1MATbl[[#This Row],[UNRESTRICTED FUNDING REQUESTED]]=0,"",
S1MATbl[[#This Row],[UNRESTRICTED FUNDING REQUESTED]]*
IF(S1_MA_UnrestrictedTotalRequested&lt;=5000000,1,
5000000/S1_MA_UnrestrictedTotalRequested)
)</f>
        <v/>
      </c>
      <c r="F39" s="6" t="str">
        <f>IFERROR(S1MATbl[[#This Row],[TOTAL $ REQUESTED]]/SUM(S1MATbl[TOTAL $ REQUESTED]),"")</f>
        <v/>
      </c>
      <c r="G39" s="31" t="s">
        <v>513</v>
      </c>
      <c r="H39" s="256" t="str">
        <f>IF(SUM(S1MATbl[[#This Row],[RURAL UNITS]])=0,"",S1MATbl[[#This Row],[RURAL UNITS]])</f>
        <v/>
      </c>
      <c r="I39" s="306" t="str">
        <f xml:space="preserve">
IF(S1MATbl[[#This Row],[RURAL FUNDING REQUESTED]]=0,"",
S1MATbl[[#This Row],[RURAL FUNDING REQUESTED]]*
IF(S1_MA_RuralTotalRequested&lt;=(5000000-E$61),1,
(5000000-E$61)/S1_MA_RuralTotalRequested)
)</f>
        <v/>
      </c>
      <c r="J39" s="257" t="str">
        <f>IFERROR(S1MATbl[[#This Row],[TOTAL $ REQUESTED2]]/SUM(S1MATbl[TOTAL $ REQUESTED2]),"")</f>
        <v/>
      </c>
      <c r="K39" s="31" t="s">
        <v>513</v>
      </c>
      <c r="L39" s="163"/>
      <c r="M39" s="164"/>
      <c r="N39" s="165"/>
      <c r="O39" s="123"/>
      <c r="P39" s="161"/>
      <c r="Q39" s="161"/>
      <c r="R39" s="161"/>
      <c r="S39" s="161"/>
      <c r="T39" s="98">
        <f t="shared" si="0"/>
        <v>0</v>
      </c>
      <c r="U39" s="6">
        <f>IF(S1MATbl[[#This Row],[UNRESTRICTED FUNDING REQUESTED]]=0,0,S1MATbl[[#This Row],[UNRESTRICTED FUNDING REQUESTED]]/S1_MA_UnrestrictedTotalRequested)</f>
        <v>0</v>
      </c>
      <c r="V39" s="444">
        <f xml:space="preserve">
IF(S1MATbl[[#This Row],[NEW CONSTRUCTION OR AQUIRE/REHAB]]&lt;&gt;"",
3+IF(S1MATbl[[#This Row],[INFILL SITE]]="Yes",2,0),0)
*S1MATbl[[#This Row],[% OF TOTAL UNRESTRICTED FUNDING]]</f>
        <v>0</v>
      </c>
      <c r="W39" s="7">
        <f>IF(S1MATbl[[#This Row],[ALL UNITS IN A HIGH OR HIGHEST RESOURCE AREA]]="Yes",10*S1MATbl[[#This Row],[% OF TOTAL UNRESTRICTED FUNDING]],0)</f>
        <v>0</v>
      </c>
      <c r="X39" s="7" cm="1">
        <f t="array" ref="X39">INDEX(CountyScoresTbl[Community Need Total Points],ROW(S1MATbl[[#This Row],[COUNTY]])-2,1)*S1MATbl[[#This Row],[% OF TOTAL UNRESTRICTED FUNDING]]</f>
        <v>0</v>
      </c>
      <c r="Y39" s="432" cm="1">
        <f t="array" ref="Y39"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39" s="26" cm="1">
        <f t="array" ref="Z39">INDEX(CountyScoresTbl[Farmworker Need Points Awarded],ROW(S1MATbl[[#This Row],[COUNTY]])-2,1)*S1MATbl[[#This Row],[% OF TOTAL UNRESTRICTED FUNDING]]</f>
        <v>0</v>
      </c>
      <c r="AA39" s="123"/>
      <c r="AB39" s="161"/>
      <c r="AC39" s="161"/>
      <c r="AD39" s="161"/>
      <c r="AE39" s="161"/>
      <c r="AF39" s="98">
        <f t="shared" si="1"/>
        <v>0</v>
      </c>
      <c r="AG39" s="6">
        <f>IF(S1MATbl[[#This Row],[RURAL FUNDING REQUESTED]]=0,0,S1MATbl[[#This Row],[RURAL FUNDING REQUESTED]]/S1_MA_RuralTotalRequested)</f>
        <v>0</v>
      </c>
      <c r="AH39" s="444">
        <f xml:space="preserve">
IF(S1MATbl[[#This Row],[NEW CONSTRUCTION OR AQUIRE/REHAB]]&lt;&gt;"",
3+IF(S1MATbl[[#This Row],[INFILL SITE]]="Yes",2,0),0)
*S1MATbl[[#This Row],[% OF TOTAL RURAL FUNDING]]</f>
        <v>0</v>
      </c>
      <c r="AI39" s="7">
        <f>IF(S1MATbl[[#This Row],[ALL UNITS IN A HIGH OR HIGHEST RESOURCE AREA]]="Yes",10*S1MATbl[[#This Row],[% OF TOTAL RURAL FUNDING]],0)</f>
        <v>0</v>
      </c>
      <c r="AJ39" s="7" cm="1">
        <f t="array" ref="AJ39">INDEX(CountyScoresTbl[Community Need Total Points],ROW(S1MATbl[[#This Row],[COUNTY]])-2,1)*S1MATbl[[#This Row],[% OF TOTAL RURAL FUNDING]]</f>
        <v>0</v>
      </c>
      <c r="AK39" s="432" cm="1">
        <f t="array" ref="AK39"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39" s="73" cm="1">
        <f t="array" ref="AL39">INDEX(CountyScoresTbl[Farmworker Need Points Awarded],ROW(S1MATbl[[#This Row],[COUNTY]])-2,1)*S1MATbl[[#This Row],[% OF TOTAL RURAL FUNDING]]</f>
        <v>0</v>
      </c>
      <c r="AM39" s="422"/>
      <c r="AN39" s="422"/>
      <c r="AO39" s="422"/>
    </row>
    <row r="40" spans="1:41" x14ac:dyDescent="0.35">
      <c r="A40" s="124"/>
      <c r="B40" s="5" t="s">
        <v>152</v>
      </c>
      <c r="C40" s="31" t="s">
        <v>513</v>
      </c>
      <c r="D40" s="113" t="str">
        <f>IF(SUM(S1MATbl[[#This Row],[UNRESTRICTED UNITS]])=0,"",S1MATbl[[#This Row],[UNRESTRICTED UNITS]])</f>
        <v/>
      </c>
      <c r="E40" s="74" t="str">
        <f xml:space="preserve">
IF(S1MATbl[[#This Row],[UNRESTRICTED FUNDING REQUESTED]]=0,"",
S1MATbl[[#This Row],[UNRESTRICTED FUNDING REQUESTED]]*
IF(S1_MA_UnrestrictedTotalRequested&lt;=5000000,1,
5000000/S1_MA_UnrestrictedTotalRequested)
)</f>
        <v/>
      </c>
      <c r="F40" s="6" t="str">
        <f>IFERROR(S1MATbl[[#This Row],[TOTAL $ REQUESTED]]/SUM(S1MATbl[TOTAL $ REQUESTED]),"")</f>
        <v/>
      </c>
      <c r="G40" s="31" t="s">
        <v>513</v>
      </c>
      <c r="H40" s="256" t="str">
        <f>IF(SUM(S1MATbl[[#This Row],[RURAL UNITS]])=0,"",S1MATbl[[#This Row],[RURAL UNITS]])</f>
        <v/>
      </c>
      <c r="I40" s="306" t="str">
        <f xml:space="preserve">
IF(S1MATbl[[#This Row],[RURAL FUNDING REQUESTED]]=0,"",
S1MATbl[[#This Row],[RURAL FUNDING REQUESTED]]*
IF(S1_MA_RuralTotalRequested&lt;=(5000000-E$61),1,
(5000000-E$61)/S1_MA_RuralTotalRequested)
)</f>
        <v/>
      </c>
      <c r="J40" s="257" t="str">
        <f>IFERROR(S1MATbl[[#This Row],[TOTAL $ REQUESTED2]]/SUM(S1MATbl[TOTAL $ REQUESTED2]),"")</f>
        <v/>
      </c>
      <c r="K40" s="31" t="s">
        <v>513</v>
      </c>
      <c r="L40" s="196"/>
      <c r="M40" s="119"/>
      <c r="N40" s="255"/>
      <c r="O40" s="124"/>
      <c r="P40" s="161"/>
      <c r="Q40" s="161"/>
      <c r="R40" s="161"/>
      <c r="S40" s="161"/>
      <c r="T40" s="98">
        <f t="shared" si="0"/>
        <v>0</v>
      </c>
      <c r="U40" s="6">
        <f>IF(S1MATbl[[#This Row],[UNRESTRICTED FUNDING REQUESTED]]=0,0,S1MATbl[[#This Row],[UNRESTRICTED FUNDING REQUESTED]]/S1_MA_UnrestrictedTotalRequested)</f>
        <v>0</v>
      </c>
      <c r="V40" s="444">
        <f xml:space="preserve">
IF(S1MATbl[[#This Row],[NEW CONSTRUCTION OR AQUIRE/REHAB]]&lt;&gt;"",
3+IF(S1MATbl[[#This Row],[INFILL SITE]]="Yes",2,0),0)
*S1MATbl[[#This Row],[% OF TOTAL UNRESTRICTED FUNDING]]</f>
        <v>0</v>
      </c>
      <c r="W40" s="7">
        <f>IF(S1MATbl[[#This Row],[ALL UNITS IN A HIGH OR HIGHEST RESOURCE AREA]]="Yes",10*S1MATbl[[#This Row],[% OF TOTAL UNRESTRICTED FUNDING]],0)</f>
        <v>0</v>
      </c>
      <c r="X40" s="7" cm="1">
        <f t="array" ref="X40">INDEX(CountyScoresTbl[Community Need Total Points],ROW(S1MATbl[[#This Row],[COUNTY]])-2,1)*S1MATbl[[#This Row],[% OF TOTAL UNRESTRICTED FUNDING]]</f>
        <v>0</v>
      </c>
      <c r="Y40" s="432" cm="1">
        <f t="array" ref="Y40"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0" s="26" cm="1">
        <f t="array" ref="Z40">INDEX(CountyScoresTbl[Farmworker Need Points Awarded],ROW(S1MATbl[[#This Row],[COUNTY]])-2,1)*S1MATbl[[#This Row],[% OF TOTAL UNRESTRICTED FUNDING]]</f>
        <v>0</v>
      </c>
      <c r="AA40" s="124"/>
      <c r="AB40" s="161"/>
      <c r="AC40" s="161"/>
      <c r="AD40" s="161"/>
      <c r="AE40" s="161"/>
      <c r="AF40" s="98">
        <f t="shared" si="1"/>
        <v>0</v>
      </c>
      <c r="AG40" s="6">
        <f>IF(S1MATbl[[#This Row],[RURAL FUNDING REQUESTED]]=0,0,S1MATbl[[#This Row],[RURAL FUNDING REQUESTED]]/S1_MA_RuralTotalRequested)</f>
        <v>0</v>
      </c>
      <c r="AH40" s="444">
        <f xml:space="preserve">
IF(S1MATbl[[#This Row],[NEW CONSTRUCTION OR AQUIRE/REHAB]]&lt;&gt;"",
3+IF(S1MATbl[[#This Row],[INFILL SITE]]="Yes",2,0),0)
*S1MATbl[[#This Row],[% OF TOTAL RURAL FUNDING]]</f>
        <v>0</v>
      </c>
      <c r="AI40" s="7">
        <f>IF(S1MATbl[[#This Row],[ALL UNITS IN A HIGH OR HIGHEST RESOURCE AREA]]="Yes",10*S1MATbl[[#This Row],[% OF TOTAL RURAL FUNDING]],0)</f>
        <v>0</v>
      </c>
      <c r="AJ40" s="7" cm="1">
        <f t="array" ref="AJ40">INDEX(CountyScoresTbl[Community Need Total Points],ROW(S1MATbl[[#This Row],[COUNTY]])-2,1)*S1MATbl[[#This Row],[% OF TOTAL RURAL FUNDING]]</f>
        <v>0</v>
      </c>
      <c r="AK40" s="432" cm="1">
        <f t="array" ref="AK40"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0" s="73" cm="1">
        <f t="array" ref="AL40">INDEX(CountyScoresTbl[Farmworker Need Points Awarded],ROW(S1MATbl[[#This Row],[COUNTY]])-2,1)*S1MATbl[[#This Row],[% OF TOTAL RURAL FUNDING]]</f>
        <v>0</v>
      </c>
      <c r="AM40" s="422"/>
      <c r="AN40" s="422"/>
      <c r="AO40" s="422"/>
    </row>
    <row r="41" spans="1:41" x14ac:dyDescent="0.35">
      <c r="A41" s="124"/>
      <c r="B41" s="5" t="s">
        <v>153</v>
      </c>
      <c r="C41" s="31" t="s">
        <v>513</v>
      </c>
      <c r="D41" s="113" t="str">
        <f>IF(SUM(S1MATbl[[#This Row],[UNRESTRICTED UNITS]])=0,"",S1MATbl[[#This Row],[UNRESTRICTED UNITS]])</f>
        <v/>
      </c>
      <c r="E41" s="74" t="str">
        <f xml:space="preserve">
IF(S1MATbl[[#This Row],[UNRESTRICTED FUNDING REQUESTED]]=0,"",
S1MATbl[[#This Row],[UNRESTRICTED FUNDING REQUESTED]]*
IF(S1_MA_UnrestrictedTotalRequested&lt;=5000000,1,
5000000/S1_MA_UnrestrictedTotalRequested)
)</f>
        <v/>
      </c>
      <c r="F41" s="6" t="str">
        <f>IFERROR(S1MATbl[[#This Row],[TOTAL $ REQUESTED]]/SUM(S1MATbl[TOTAL $ REQUESTED]),"")</f>
        <v/>
      </c>
      <c r="G41" s="31" t="s">
        <v>513</v>
      </c>
      <c r="H41" s="256" t="str">
        <f>IF(SUM(S1MATbl[[#This Row],[RURAL UNITS]])=0,"",S1MATbl[[#This Row],[RURAL UNITS]])</f>
        <v/>
      </c>
      <c r="I41" s="306" t="str">
        <f xml:space="preserve">
IF(S1MATbl[[#This Row],[RURAL FUNDING REQUESTED]]=0,"",
S1MATbl[[#This Row],[RURAL FUNDING REQUESTED]]*
IF(S1_MA_RuralTotalRequested&lt;=(5000000-E$61),1,
(5000000-E$61)/S1_MA_RuralTotalRequested)
)</f>
        <v/>
      </c>
      <c r="J41" s="257" t="str">
        <f>IFERROR(S1MATbl[[#This Row],[TOTAL $ REQUESTED2]]/SUM(S1MATbl[TOTAL $ REQUESTED2]),"")</f>
        <v/>
      </c>
      <c r="K41" s="31" t="s">
        <v>513</v>
      </c>
      <c r="L41" s="196"/>
      <c r="M41" s="119"/>
      <c r="N41" s="255"/>
      <c r="O41" s="124"/>
      <c r="P41" s="161"/>
      <c r="Q41" s="161"/>
      <c r="R41" s="161"/>
      <c r="S41" s="161"/>
      <c r="T41" s="98">
        <f t="shared" si="0"/>
        <v>0</v>
      </c>
      <c r="U41" s="6">
        <f>IF(S1MATbl[[#This Row],[UNRESTRICTED FUNDING REQUESTED]]=0,0,S1MATbl[[#This Row],[UNRESTRICTED FUNDING REQUESTED]]/S1_MA_UnrestrictedTotalRequested)</f>
        <v>0</v>
      </c>
      <c r="V41" s="444">
        <f xml:space="preserve">
IF(S1MATbl[[#This Row],[NEW CONSTRUCTION OR AQUIRE/REHAB]]&lt;&gt;"",
3+IF(S1MATbl[[#This Row],[INFILL SITE]]="Yes",2,0),0)
*S1MATbl[[#This Row],[% OF TOTAL UNRESTRICTED FUNDING]]</f>
        <v>0</v>
      </c>
      <c r="W41" s="7">
        <f>IF(S1MATbl[[#This Row],[ALL UNITS IN A HIGH OR HIGHEST RESOURCE AREA]]="Yes",10*S1MATbl[[#This Row],[% OF TOTAL UNRESTRICTED FUNDING]],0)</f>
        <v>0</v>
      </c>
      <c r="X41" s="7" cm="1">
        <f t="array" ref="X41">INDEX(CountyScoresTbl[Community Need Total Points],ROW(S1MATbl[[#This Row],[COUNTY]])-2,1)*S1MATbl[[#This Row],[% OF TOTAL UNRESTRICTED FUNDING]]</f>
        <v>0</v>
      </c>
      <c r="Y41" s="432" cm="1">
        <f t="array" ref="Y41"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1" s="26" cm="1">
        <f t="array" ref="Z41">INDEX(CountyScoresTbl[Farmworker Need Points Awarded],ROW(S1MATbl[[#This Row],[COUNTY]])-2,1)*S1MATbl[[#This Row],[% OF TOTAL UNRESTRICTED FUNDING]]</f>
        <v>0</v>
      </c>
      <c r="AA41" s="124"/>
      <c r="AB41" s="161"/>
      <c r="AC41" s="161"/>
      <c r="AD41" s="161"/>
      <c r="AE41" s="161"/>
      <c r="AF41" s="98">
        <f t="shared" si="1"/>
        <v>0</v>
      </c>
      <c r="AG41" s="6">
        <f>IF(S1MATbl[[#This Row],[RURAL FUNDING REQUESTED]]=0,0,S1MATbl[[#This Row],[RURAL FUNDING REQUESTED]]/S1_MA_RuralTotalRequested)</f>
        <v>0</v>
      </c>
      <c r="AH41" s="444">
        <f xml:space="preserve">
IF(S1MATbl[[#This Row],[NEW CONSTRUCTION OR AQUIRE/REHAB]]&lt;&gt;"",
3+IF(S1MATbl[[#This Row],[INFILL SITE]]="Yes",2,0),0)
*S1MATbl[[#This Row],[% OF TOTAL RURAL FUNDING]]</f>
        <v>0</v>
      </c>
      <c r="AI41" s="7">
        <f>IF(S1MATbl[[#This Row],[ALL UNITS IN A HIGH OR HIGHEST RESOURCE AREA]]="Yes",10*S1MATbl[[#This Row],[% OF TOTAL RURAL FUNDING]],0)</f>
        <v>0</v>
      </c>
      <c r="AJ41" s="7" cm="1">
        <f t="array" ref="AJ41">INDEX(CountyScoresTbl[Community Need Total Points],ROW(S1MATbl[[#This Row],[COUNTY]])-2,1)*S1MATbl[[#This Row],[% OF TOTAL RURAL FUNDING]]</f>
        <v>0</v>
      </c>
      <c r="AK41" s="432" cm="1">
        <f t="array" ref="AK41"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1" s="73" cm="1">
        <f t="array" ref="AL41">INDEX(CountyScoresTbl[Farmworker Need Points Awarded],ROW(S1MATbl[[#This Row],[COUNTY]])-2,1)*S1MATbl[[#This Row],[% OF TOTAL RURAL FUNDING]]</f>
        <v>0</v>
      </c>
      <c r="AM41" s="422"/>
      <c r="AN41" s="422"/>
      <c r="AO41" s="422"/>
    </row>
    <row r="42" spans="1:41" x14ac:dyDescent="0.35">
      <c r="A42" s="124"/>
      <c r="B42" s="5" t="s">
        <v>154</v>
      </c>
      <c r="C42" s="31" t="s">
        <v>513</v>
      </c>
      <c r="D42" s="113" t="str">
        <f>IF(SUM(S1MATbl[[#This Row],[UNRESTRICTED UNITS]])=0,"",S1MATbl[[#This Row],[UNRESTRICTED UNITS]])</f>
        <v/>
      </c>
      <c r="E42" s="74" t="str">
        <f xml:space="preserve">
IF(S1MATbl[[#This Row],[UNRESTRICTED FUNDING REQUESTED]]=0,"",
S1MATbl[[#This Row],[UNRESTRICTED FUNDING REQUESTED]]*
IF(S1_MA_UnrestrictedTotalRequested&lt;=5000000,1,
5000000/S1_MA_UnrestrictedTotalRequested)
)</f>
        <v/>
      </c>
      <c r="F42" s="6" t="str">
        <f>IFERROR(S1MATbl[[#This Row],[TOTAL $ REQUESTED]]/SUM(S1MATbl[TOTAL $ REQUESTED]),"")</f>
        <v/>
      </c>
      <c r="G42" s="31" t="s">
        <v>513</v>
      </c>
      <c r="H42" s="256" t="str">
        <f>IF(SUM(S1MATbl[[#This Row],[RURAL UNITS]])=0,"",S1MATbl[[#This Row],[RURAL UNITS]])</f>
        <v/>
      </c>
      <c r="I42" s="306" t="str">
        <f xml:space="preserve">
IF(S1MATbl[[#This Row],[RURAL FUNDING REQUESTED]]=0,"",
S1MATbl[[#This Row],[RURAL FUNDING REQUESTED]]*
IF(S1_MA_RuralTotalRequested&lt;=(5000000-E$61),1,
(5000000-E$61)/S1_MA_RuralTotalRequested)
)</f>
        <v/>
      </c>
      <c r="J42" s="257" t="str">
        <f>IFERROR(S1MATbl[[#This Row],[TOTAL $ REQUESTED2]]/SUM(S1MATbl[TOTAL $ REQUESTED2]),"")</f>
        <v/>
      </c>
      <c r="K42" s="31" t="s">
        <v>513</v>
      </c>
      <c r="L42" s="196"/>
      <c r="M42" s="119"/>
      <c r="N42" s="255"/>
      <c r="O42" s="124"/>
      <c r="P42" s="161"/>
      <c r="Q42" s="161"/>
      <c r="R42" s="161"/>
      <c r="S42" s="161"/>
      <c r="T42" s="98">
        <f t="shared" si="0"/>
        <v>0</v>
      </c>
      <c r="U42" s="6">
        <f>IF(S1MATbl[[#This Row],[UNRESTRICTED FUNDING REQUESTED]]=0,0,S1MATbl[[#This Row],[UNRESTRICTED FUNDING REQUESTED]]/S1_MA_UnrestrictedTotalRequested)</f>
        <v>0</v>
      </c>
      <c r="V42" s="444">
        <f xml:space="preserve">
IF(S1MATbl[[#This Row],[NEW CONSTRUCTION OR AQUIRE/REHAB]]&lt;&gt;"",
3+IF(S1MATbl[[#This Row],[INFILL SITE]]="Yes",2,0),0)
*S1MATbl[[#This Row],[% OF TOTAL UNRESTRICTED FUNDING]]</f>
        <v>0</v>
      </c>
      <c r="W42" s="7">
        <f>IF(S1MATbl[[#This Row],[ALL UNITS IN A HIGH OR HIGHEST RESOURCE AREA]]="Yes",10*S1MATbl[[#This Row],[% OF TOTAL UNRESTRICTED FUNDING]],0)</f>
        <v>0</v>
      </c>
      <c r="X42" s="7" cm="1">
        <f t="array" ref="X42">INDEX(CountyScoresTbl[Community Need Total Points],ROW(S1MATbl[[#This Row],[COUNTY]])-2,1)*S1MATbl[[#This Row],[% OF TOTAL UNRESTRICTED FUNDING]]</f>
        <v>0</v>
      </c>
      <c r="Y42" s="432" cm="1">
        <f t="array" ref="Y42"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2" s="26" cm="1">
        <f t="array" ref="Z42">INDEX(CountyScoresTbl[Farmworker Need Points Awarded],ROW(S1MATbl[[#This Row],[COUNTY]])-2,1)*S1MATbl[[#This Row],[% OF TOTAL UNRESTRICTED FUNDING]]</f>
        <v>0</v>
      </c>
      <c r="AA42" s="124"/>
      <c r="AB42" s="161"/>
      <c r="AC42" s="161"/>
      <c r="AD42" s="161"/>
      <c r="AE42" s="161"/>
      <c r="AF42" s="98">
        <f t="shared" si="1"/>
        <v>0</v>
      </c>
      <c r="AG42" s="6">
        <f>IF(S1MATbl[[#This Row],[RURAL FUNDING REQUESTED]]=0,0,S1MATbl[[#This Row],[RURAL FUNDING REQUESTED]]/S1_MA_RuralTotalRequested)</f>
        <v>0</v>
      </c>
      <c r="AH42" s="444">
        <f xml:space="preserve">
IF(S1MATbl[[#This Row],[NEW CONSTRUCTION OR AQUIRE/REHAB]]&lt;&gt;"",
3+IF(S1MATbl[[#This Row],[INFILL SITE]]="Yes",2,0),0)
*S1MATbl[[#This Row],[% OF TOTAL RURAL FUNDING]]</f>
        <v>0</v>
      </c>
      <c r="AI42" s="7">
        <f>IF(S1MATbl[[#This Row],[ALL UNITS IN A HIGH OR HIGHEST RESOURCE AREA]]="Yes",10*S1MATbl[[#This Row],[% OF TOTAL RURAL FUNDING]],0)</f>
        <v>0</v>
      </c>
      <c r="AJ42" s="7" cm="1">
        <f t="array" ref="AJ42">INDEX(CountyScoresTbl[Community Need Total Points],ROW(S1MATbl[[#This Row],[COUNTY]])-2,1)*S1MATbl[[#This Row],[% OF TOTAL RURAL FUNDING]]</f>
        <v>0</v>
      </c>
      <c r="AK42" s="432" cm="1">
        <f t="array" ref="AK42"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2" s="73" cm="1">
        <f t="array" ref="AL42">INDEX(CountyScoresTbl[Farmworker Need Points Awarded],ROW(S1MATbl[[#This Row],[COUNTY]])-2,1)*S1MATbl[[#This Row],[% OF TOTAL RURAL FUNDING]]</f>
        <v>0</v>
      </c>
      <c r="AM42" s="422"/>
      <c r="AN42" s="422"/>
      <c r="AO42" s="422"/>
    </row>
    <row r="43" spans="1:41" x14ac:dyDescent="0.35">
      <c r="A43" s="124"/>
      <c r="B43" s="5" t="s">
        <v>155</v>
      </c>
      <c r="C43" s="31" t="s">
        <v>513</v>
      </c>
      <c r="D43" s="113" t="str">
        <f>IF(SUM(S1MATbl[[#This Row],[UNRESTRICTED UNITS]])=0,"",S1MATbl[[#This Row],[UNRESTRICTED UNITS]])</f>
        <v/>
      </c>
      <c r="E43" s="74" t="str">
        <f xml:space="preserve">
IF(S1MATbl[[#This Row],[UNRESTRICTED FUNDING REQUESTED]]=0,"",
S1MATbl[[#This Row],[UNRESTRICTED FUNDING REQUESTED]]*
IF(S1_MA_UnrestrictedTotalRequested&lt;=5000000,1,
5000000/S1_MA_UnrestrictedTotalRequested)
)</f>
        <v/>
      </c>
      <c r="F43" s="6" t="str">
        <f>IFERROR(S1MATbl[[#This Row],[TOTAL $ REQUESTED]]/SUM(S1MATbl[TOTAL $ REQUESTED]),"")</f>
        <v/>
      </c>
      <c r="G43" s="31" t="s">
        <v>513</v>
      </c>
      <c r="H43" s="256" t="str">
        <f>IF(SUM(S1MATbl[[#This Row],[RURAL UNITS]])=0,"",S1MATbl[[#This Row],[RURAL UNITS]])</f>
        <v/>
      </c>
      <c r="I43" s="306" t="str">
        <f xml:space="preserve">
IF(S1MATbl[[#This Row],[RURAL FUNDING REQUESTED]]=0,"",
S1MATbl[[#This Row],[RURAL FUNDING REQUESTED]]*
IF(S1_MA_RuralTotalRequested&lt;=(5000000-E$61),1,
(5000000-E$61)/S1_MA_RuralTotalRequested)
)</f>
        <v/>
      </c>
      <c r="J43" s="257" t="str">
        <f>IFERROR(S1MATbl[[#This Row],[TOTAL $ REQUESTED2]]/SUM(S1MATbl[TOTAL $ REQUESTED2]),"")</f>
        <v/>
      </c>
      <c r="K43" s="31" t="s">
        <v>513</v>
      </c>
      <c r="L43" s="196"/>
      <c r="M43" s="119"/>
      <c r="N43" s="255"/>
      <c r="O43" s="124"/>
      <c r="P43" s="161"/>
      <c r="Q43" s="161"/>
      <c r="R43" s="161"/>
      <c r="S43" s="161"/>
      <c r="T43" s="98">
        <f t="shared" si="0"/>
        <v>0</v>
      </c>
      <c r="U43" s="6">
        <f>IF(S1MATbl[[#This Row],[UNRESTRICTED FUNDING REQUESTED]]=0,0,S1MATbl[[#This Row],[UNRESTRICTED FUNDING REQUESTED]]/S1_MA_UnrestrictedTotalRequested)</f>
        <v>0</v>
      </c>
      <c r="V43" s="444">
        <f xml:space="preserve">
IF(S1MATbl[[#This Row],[NEW CONSTRUCTION OR AQUIRE/REHAB]]&lt;&gt;"",
3+IF(S1MATbl[[#This Row],[INFILL SITE]]="Yes",2,0),0)
*S1MATbl[[#This Row],[% OF TOTAL UNRESTRICTED FUNDING]]</f>
        <v>0</v>
      </c>
      <c r="W43" s="7">
        <f>IF(S1MATbl[[#This Row],[ALL UNITS IN A HIGH OR HIGHEST RESOURCE AREA]]="Yes",10*S1MATbl[[#This Row],[% OF TOTAL UNRESTRICTED FUNDING]],0)</f>
        <v>0</v>
      </c>
      <c r="X43" s="7" cm="1">
        <f t="array" ref="X43">INDEX(CountyScoresTbl[Community Need Total Points],ROW(S1MATbl[[#This Row],[COUNTY]])-2,1)*S1MATbl[[#This Row],[% OF TOTAL UNRESTRICTED FUNDING]]</f>
        <v>0</v>
      </c>
      <c r="Y43" s="432" cm="1">
        <f t="array" ref="Y43"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3" s="26" cm="1">
        <f t="array" ref="Z43">INDEX(CountyScoresTbl[Farmworker Need Points Awarded],ROW(S1MATbl[[#This Row],[COUNTY]])-2,1)*S1MATbl[[#This Row],[% OF TOTAL UNRESTRICTED FUNDING]]</f>
        <v>0</v>
      </c>
      <c r="AA43" s="124"/>
      <c r="AB43" s="161"/>
      <c r="AC43" s="161"/>
      <c r="AD43" s="161"/>
      <c r="AE43" s="161"/>
      <c r="AF43" s="98">
        <f t="shared" si="1"/>
        <v>0</v>
      </c>
      <c r="AG43" s="6">
        <f>IF(S1MATbl[[#This Row],[RURAL FUNDING REQUESTED]]=0,0,S1MATbl[[#This Row],[RURAL FUNDING REQUESTED]]/S1_MA_RuralTotalRequested)</f>
        <v>0</v>
      </c>
      <c r="AH43" s="444">
        <f xml:space="preserve">
IF(S1MATbl[[#This Row],[NEW CONSTRUCTION OR AQUIRE/REHAB]]&lt;&gt;"",
3+IF(S1MATbl[[#This Row],[INFILL SITE]]="Yes",2,0),0)
*S1MATbl[[#This Row],[% OF TOTAL RURAL FUNDING]]</f>
        <v>0</v>
      </c>
      <c r="AI43" s="7">
        <f>IF(S1MATbl[[#This Row],[ALL UNITS IN A HIGH OR HIGHEST RESOURCE AREA]]="Yes",10*S1MATbl[[#This Row],[% OF TOTAL RURAL FUNDING]],0)</f>
        <v>0</v>
      </c>
      <c r="AJ43" s="7" cm="1">
        <f t="array" ref="AJ43">INDEX(CountyScoresTbl[Community Need Total Points],ROW(S1MATbl[[#This Row],[COUNTY]])-2,1)*S1MATbl[[#This Row],[% OF TOTAL RURAL FUNDING]]</f>
        <v>0</v>
      </c>
      <c r="AK43" s="432" cm="1">
        <f t="array" ref="AK43"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3" s="73" cm="1">
        <f t="array" ref="AL43">INDEX(CountyScoresTbl[Farmworker Need Points Awarded],ROW(S1MATbl[[#This Row],[COUNTY]])-2,1)*S1MATbl[[#This Row],[% OF TOTAL RURAL FUNDING]]</f>
        <v>0</v>
      </c>
      <c r="AM43" s="422"/>
      <c r="AN43" s="422"/>
      <c r="AO43" s="422"/>
    </row>
    <row r="44" spans="1:41" x14ac:dyDescent="0.35">
      <c r="A44" s="124"/>
      <c r="B44" s="5" t="s">
        <v>156</v>
      </c>
      <c r="C44" s="31" t="s">
        <v>513</v>
      </c>
      <c r="D44" s="113" t="str">
        <f>IF(SUM(S1MATbl[[#This Row],[UNRESTRICTED UNITS]])=0,"",S1MATbl[[#This Row],[UNRESTRICTED UNITS]])</f>
        <v/>
      </c>
      <c r="E44" s="74" t="str">
        <f xml:space="preserve">
IF(S1MATbl[[#This Row],[UNRESTRICTED FUNDING REQUESTED]]=0,"",
S1MATbl[[#This Row],[UNRESTRICTED FUNDING REQUESTED]]*
IF(S1_MA_UnrestrictedTotalRequested&lt;=5000000,1,
5000000/S1_MA_UnrestrictedTotalRequested)
)</f>
        <v/>
      </c>
      <c r="F44" s="6" t="str">
        <f>IFERROR(S1MATbl[[#This Row],[TOTAL $ REQUESTED]]/SUM(S1MATbl[TOTAL $ REQUESTED]),"")</f>
        <v/>
      </c>
      <c r="G44" s="31" t="s">
        <v>513</v>
      </c>
      <c r="H44" s="256" t="str">
        <f>IF(SUM(S1MATbl[[#This Row],[RURAL UNITS]])=0,"",S1MATbl[[#This Row],[RURAL UNITS]])</f>
        <v/>
      </c>
      <c r="I44" s="306" t="str">
        <f xml:space="preserve">
IF(S1MATbl[[#This Row],[RURAL FUNDING REQUESTED]]=0,"",
S1MATbl[[#This Row],[RURAL FUNDING REQUESTED]]*
IF(S1_MA_RuralTotalRequested&lt;=(5000000-E$61),1,
(5000000-E$61)/S1_MA_RuralTotalRequested)
)</f>
        <v/>
      </c>
      <c r="J44" s="257" t="str">
        <f>IFERROR(S1MATbl[[#This Row],[TOTAL $ REQUESTED2]]/SUM(S1MATbl[TOTAL $ REQUESTED2]),"")</f>
        <v/>
      </c>
      <c r="K44" s="31" t="s">
        <v>513</v>
      </c>
      <c r="L44" s="196"/>
      <c r="M44" s="119"/>
      <c r="N44" s="255"/>
      <c r="O44" s="124"/>
      <c r="P44" s="161"/>
      <c r="Q44" s="161"/>
      <c r="R44" s="161"/>
      <c r="S44" s="161"/>
      <c r="T44" s="98">
        <f t="shared" si="0"/>
        <v>0</v>
      </c>
      <c r="U44" s="6">
        <f>IF(S1MATbl[[#This Row],[UNRESTRICTED FUNDING REQUESTED]]=0,0,S1MATbl[[#This Row],[UNRESTRICTED FUNDING REQUESTED]]/S1_MA_UnrestrictedTotalRequested)</f>
        <v>0</v>
      </c>
      <c r="V44" s="444">
        <f xml:space="preserve">
IF(S1MATbl[[#This Row],[NEW CONSTRUCTION OR AQUIRE/REHAB]]&lt;&gt;"",
3+IF(S1MATbl[[#This Row],[INFILL SITE]]="Yes",2,0),0)
*S1MATbl[[#This Row],[% OF TOTAL UNRESTRICTED FUNDING]]</f>
        <v>0</v>
      </c>
      <c r="W44" s="7">
        <f>IF(S1MATbl[[#This Row],[ALL UNITS IN A HIGH OR HIGHEST RESOURCE AREA]]="Yes",10*S1MATbl[[#This Row],[% OF TOTAL UNRESTRICTED FUNDING]],0)</f>
        <v>0</v>
      </c>
      <c r="X44" s="7" cm="1">
        <f t="array" ref="X44">INDEX(CountyScoresTbl[Community Need Total Points],ROW(S1MATbl[[#This Row],[COUNTY]])-2,1)*S1MATbl[[#This Row],[% OF TOTAL UNRESTRICTED FUNDING]]</f>
        <v>0</v>
      </c>
      <c r="Y44" s="432" cm="1">
        <f t="array" ref="Y44"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4" s="26" cm="1">
        <f t="array" ref="Z44">INDEX(CountyScoresTbl[Farmworker Need Points Awarded],ROW(S1MATbl[[#This Row],[COUNTY]])-2,1)*S1MATbl[[#This Row],[% OF TOTAL UNRESTRICTED FUNDING]]</f>
        <v>0</v>
      </c>
      <c r="AA44" s="124"/>
      <c r="AB44" s="161"/>
      <c r="AC44" s="161"/>
      <c r="AD44" s="161"/>
      <c r="AE44" s="161"/>
      <c r="AF44" s="98">
        <f t="shared" si="1"/>
        <v>0</v>
      </c>
      <c r="AG44" s="6">
        <f>IF(S1MATbl[[#This Row],[RURAL FUNDING REQUESTED]]=0,0,S1MATbl[[#This Row],[RURAL FUNDING REQUESTED]]/S1_MA_RuralTotalRequested)</f>
        <v>0</v>
      </c>
      <c r="AH44" s="444">
        <f xml:space="preserve">
IF(S1MATbl[[#This Row],[NEW CONSTRUCTION OR AQUIRE/REHAB]]&lt;&gt;"",
3+IF(S1MATbl[[#This Row],[INFILL SITE]]="Yes",2,0),0)
*S1MATbl[[#This Row],[% OF TOTAL RURAL FUNDING]]</f>
        <v>0</v>
      </c>
      <c r="AI44" s="7">
        <f>IF(S1MATbl[[#This Row],[ALL UNITS IN A HIGH OR HIGHEST RESOURCE AREA]]="Yes",10*S1MATbl[[#This Row],[% OF TOTAL RURAL FUNDING]],0)</f>
        <v>0</v>
      </c>
      <c r="AJ44" s="7" cm="1">
        <f t="array" ref="AJ44">INDEX(CountyScoresTbl[Community Need Total Points],ROW(S1MATbl[[#This Row],[COUNTY]])-2,1)*S1MATbl[[#This Row],[% OF TOTAL RURAL FUNDING]]</f>
        <v>0</v>
      </c>
      <c r="AK44" s="432" cm="1">
        <f t="array" ref="AK44"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4" s="73" cm="1">
        <f t="array" ref="AL44">INDEX(CountyScoresTbl[Farmworker Need Points Awarded],ROW(S1MATbl[[#This Row],[COUNTY]])-2,1)*S1MATbl[[#This Row],[% OF TOTAL RURAL FUNDING]]</f>
        <v>0</v>
      </c>
      <c r="AM44" s="422"/>
      <c r="AN44" s="422"/>
      <c r="AO44" s="422"/>
    </row>
    <row r="45" spans="1:41" x14ac:dyDescent="0.35">
      <c r="A45" s="124"/>
      <c r="B45" s="5" t="s">
        <v>157</v>
      </c>
      <c r="C45" s="31" t="s">
        <v>513</v>
      </c>
      <c r="D45" s="113" t="str">
        <f>IF(SUM(S1MATbl[[#This Row],[UNRESTRICTED UNITS]])=0,"",S1MATbl[[#This Row],[UNRESTRICTED UNITS]])</f>
        <v/>
      </c>
      <c r="E45" s="74" t="str">
        <f xml:space="preserve">
IF(S1MATbl[[#This Row],[UNRESTRICTED FUNDING REQUESTED]]=0,"",
S1MATbl[[#This Row],[UNRESTRICTED FUNDING REQUESTED]]*
IF(S1_MA_UnrestrictedTotalRequested&lt;=5000000,1,
5000000/S1_MA_UnrestrictedTotalRequested)
)</f>
        <v/>
      </c>
      <c r="F45" s="6" t="str">
        <f>IFERROR(S1MATbl[[#This Row],[TOTAL $ REQUESTED]]/SUM(S1MATbl[TOTAL $ REQUESTED]),"")</f>
        <v/>
      </c>
      <c r="G45" s="31" t="s">
        <v>513</v>
      </c>
      <c r="H45" s="256" t="str">
        <f>IF(SUM(S1MATbl[[#This Row],[RURAL UNITS]])=0,"",S1MATbl[[#This Row],[RURAL UNITS]])</f>
        <v/>
      </c>
      <c r="I45" s="306" t="str">
        <f xml:space="preserve">
IF(S1MATbl[[#This Row],[RURAL FUNDING REQUESTED]]=0,"",
S1MATbl[[#This Row],[RURAL FUNDING REQUESTED]]*
IF(S1_MA_RuralTotalRequested&lt;=(5000000-E$61),1,
(5000000-E$61)/S1_MA_RuralTotalRequested)
)</f>
        <v/>
      </c>
      <c r="J45" s="257" t="str">
        <f>IFERROR(S1MATbl[[#This Row],[TOTAL $ REQUESTED2]]/SUM(S1MATbl[TOTAL $ REQUESTED2]),"")</f>
        <v/>
      </c>
      <c r="K45" s="31" t="s">
        <v>513</v>
      </c>
      <c r="L45" s="196"/>
      <c r="M45" s="119"/>
      <c r="N45" s="255"/>
      <c r="O45" s="124"/>
      <c r="P45" s="161"/>
      <c r="Q45" s="161"/>
      <c r="R45" s="161"/>
      <c r="S45" s="161"/>
      <c r="T45" s="98">
        <f t="shared" si="0"/>
        <v>0</v>
      </c>
      <c r="U45" s="6">
        <f>IF(S1MATbl[[#This Row],[UNRESTRICTED FUNDING REQUESTED]]=0,0,S1MATbl[[#This Row],[UNRESTRICTED FUNDING REQUESTED]]/S1_MA_UnrestrictedTotalRequested)</f>
        <v>0</v>
      </c>
      <c r="V45" s="444">
        <f xml:space="preserve">
IF(S1MATbl[[#This Row],[NEW CONSTRUCTION OR AQUIRE/REHAB]]&lt;&gt;"",
3+IF(S1MATbl[[#This Row],[INFILL SITE]]="Yes",2,0),0)
*S1MATbl[[#This Row],[% OF TOTAL UNRESTRICTED FUNDING]]</f>
        <v>0</v>
      </c>
      <c r="W45" s="7">
        <f>IF(S1MATbl[[#This Row],[ALL UNITS IN A HIGH OR HIGHEST RESOURCE AREA]]="Yes",10*S1MATbl[[#This Row],[% OF TOTAL UNRESTRICTED FUNDING]],0)</f>
        <v>0</v>
      </c>
      <c r="X45" s="7" cm="1">
        <f t="array" ref="X45">INDEX(CountyScoresTbl[Community Need Total Points],ROW(S1MATbl[[#This Row],[COUNTY]])-2,1)*S1MATbl[[#This Row],[% OF TOTAL UNRESTRICTED FUNDING]]</f>
        <v>0</v>
      </c>
      <c r="Y45" s="432" cm="1">
        <f t="array" ref="Y45"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5" s="26" cm="1">
        <f t="array" ref="Z45">INDEX(CountyScoresTbl[Farmworker Need Points Awarded],ROW(S1MATbl[[#This Row],[COUNTY]])-2,1)*S1MATbl[[#This Row],[% OF TOTAL UNRESTRICTED FUNDING]]</f>
        <v>0</v>
      </c>
      <c r="AA45" s="124"/>
      <c r="AB45" s="161"/>
      <c r="AC45" s="161"/>
      <c r="AD45" s="161"/>
      <c r="AE45" s="161"/>
      <c r="AF45" s="98">
        <f t="shared" si="1"/>
        <v>0</v>
      </c>
      <c r="AG45" s="6">
        <f>IF(S1MATbl[[#This Row],[RURAL FUNDING REQUESTED]]=0,0,S1MATbl[[#This Row],[RURAL FUNDING REQUESTED]]/S1_MA_RuralTotalRequested)</f>
        <v>0</v>
      </c>
      <c r="AH45" s="444">
        <f xml:space="preserve">
IF(S1MATbl[[#This Row],[NEW CONSTRUCTION OR AQUIRE/REHAB]]&lt;&gt;"",
3+IF(S1MATbl[[#This Row],[INFILL SITE]]="Yes",2,0),0)
*S1MATbl[[#This Row],[% OF TOTAL RURAL FUNDING]]</f>
        <v>0</v>
      </c>
      <c r="AI45" s="7">
        <f>IF(S1MATbl[[#This Row],[ALL UNITS IN A HIGH OR HIGHEST RESOURCE AREA]]="Yes",10*S1MATbl[[#This Row],[% OF TOTAL RURAL FUNDING]],0)</f>
        <v>0</v>
      </c>
      <c r="AJ45" s="7" cm="1">
        <f t="array" ref="AJ45">INDEX(CountyScoresTbl[Community Need Total Points],ROW(S1MATbl[[#This Row],[COUNTY]])-2,1)*S1MATbl[[#This Row],[% OF TOTAL RURAL FUNDING]]</f>
        <v>0</v>
      </c>
      <c r="AK45" s="432" cm="1">
        <f t="array" ref="AK45"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5" s="73" cm="1">
        <f t="array" ref="AL45">INDEX(CountyScoresTbl[Farmworker Need Points Awarded],ROW(S1MATbl[[#This Row],[COUNTY]])-2,1)*S1MATbl[[#This Row],[% OF TOTAL RURAL FUNDING]]</f>
        <v>0</v>
      </c>
      <c r="AM45" s="422"/>
      <c r="AN45" s="422"/>
      <c r="AO45" s="422"/>
    </row>
    <row r="46" spans="1:41" x14ac:dyDescent="0.35">
      <c r="A46" s="124"/>
      <c r="B46" s="5" t="s">
        <v>158</v>
      </c>
      <c r="C46" s="31" t="s">
        <v>513</v>
      </c>
      <c r="D46" s="113" t="str">
        <f>IF(SUM(S1MATbl[[#This Row],[UNRESTRICTED UNITS]])=0,"",S1MATbl[[#This Row],[UNRESTRICTED UNITS]])</f>
        <v/>
      </c>
      <c r="E46" s="74" t="str">
        <f xml:space="preserve">
IF(S1MATbl[[#This Row],[UNRESTRICTED FUNDING REQUESTED]]=0,"",
S1MATbl[[#This Row],[UNRESTRICTED FUNDING REQUESTED]]*
IF(S1_MA_UnrestrictedTotalRequested&lt;=5000000,1,
5000000/S1_MA_UnrestrictedTotalRequested)
)</f>
        <v/>
      </c>
      <c r="F46" s="6" t="str">
        <f>IFERROR(S1MATbl[[#This Row],[TOTAL $ REQUESTED]]/SUM(S1MATbl[TOTAL $ REQUESTED]),"")</f>
        <v/>
      </c>
      <c r="G46" s="31" t="s">
        <v>513</v>
      </c>
      <c r="H46" s="256" t="str">
        <f>IF(SUM(S1MATbl[[#This Row],[RURAL UNITS]])=0,"",S1MATbl[[#This Row],[RURAL UNITS]])</f>
        <v/>
      </c>
      <c r="I46" s="306" t="str">
        <f xml:space="preserve">
IF(S1MATbl[[#This Row],[RURAL FUNDING REQUESTED]]=0,"",
S1MATbl[[#This Row],[RURAL FUNDING REQUESTED]]*
IF(S1_MA_RuralTotalRequested&lt;=(5000000-E$61),1,
(5000000-E$61)/S1_MA_RuralTotalRequested)
)</f>
        <v/>
      </c>
      <c r="J46" s="257" t="str">
        <f>IFERROR(S1MATbl[[#This Row],[TOTAL $ REQUESTED2]]/SUM(S1MATbl[TOTAL $ REQUESTED2]),"")</f>
        <v/>
      </c>
      <c r="K46" s="31" t="s">
        <v>513</v>
      </c>
      <c r="L46" s="196"/>
      <c r="M46" s="119"/>
      <c r="N46" s="255"/>
      <c r="O46" s="124"/>
      <c r="P46" s="161"/>
      <c r="Q46" s="161"/>
      <c r="R46" s="161"/>
      <c r="S46" s="161"/>
      <c r="T46" s="98">
        <f t="shared" si="0"/>
        <v>0</v>
      </c>
      <c r="U46" s="6">
        <f>IF(S1MATbl[[#This Row],[UNRESTRICTED FUNDING REQUESTED]]=0,0,S1MATbl[[#This Row],[UNRESTRICTED FUNDING REQUESTED]]/S1_MA_UnrestrictedTotalRequested)</f>
        <v>0</v>
      </c>
      <c r="V46" s="444">
        <f xml:space="preserve">
IF(S1MATbl[[#This Row],[NEW CONSTRUCTION OR AQUIRE/REHAB]]&lt;&gt;"",
3+IF(S1MATbl[[#This Row],[INFILL SITE]]="Yes",2,0),0)
*S1MATbl[[#This Row],[% OF TOTAL UNRESTRICTED FUNDING]]</f>
        <v>0</v>
      </c>
      <c r="W46" s="7">
        <f>IF(S1MATbl[[#This Row],[ALL UNITS IN A HIGH OR HIGHEST RESOURCE AREA]]="Yes",10*S1MATbl[[#This Row],[% OF TOTAL UNRESTRICTED FUNDING]],0)</f>
        <v>0</v>
      </c>
      <c r="X46" s="7" cm="1">
        <f t="array" ref="X46">INDEX(CountyScoresTbl[Community Need Total Points],ROW(S1MATbl[[#This Row],[COUNTY]])-2,1)*S1MATbl[[#This Row],[% OF TOTAL UNRESTRICTED FUNDING]]</f>
        <v>0</v>
      </c>
      <c r="Y46" s="432" cm="1">
        <f t="array" ref="Y46"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6" s="26" cm="1">
        <f t="array" ref="Z46">INDEX(CountyScoresTbl[Farmworker Need Points Awarded],ROW(S1MATbl[[#This Row],[COUNTY]])-2,1)*S1MATbl[[#This Row],[% OF TOTAL UNRESTRICTED FUNDING]]</f>
        <v>0</v>
      </c>
      <c r="AA46" s="124"/>
      <c r="AB46" s="161"/>
      <c r="AC46" s="161"/>
      <c r="AD46" s="161"/>
      <c r="AE46" s="161"/>
      <c r="AF46" s="98">
        <f t="shared" si="1"/>
        <v>0</v>
      </c>
      <c r="AG46" s="6">
        <f>IF(S1MATbl[[#This Row],[RURAL FUNDING REQUESTED]]=0,0,S1MATbl[[#This Row],[RURAL FUNDING REQUESTED]]/S1_MA_RuralTotalRequested)</f>
        <v>0</v>
      </c>
      <c r="AH46" s="444">
        <f xml:space="preserve">
IF(S1MATbl[[#This Row],[NEW CONSTRUCTION OR AQUIRE/REHAB]]&lt;&gt;"",
3+IF(S1MATbl[[#This Row],[INFILL SITE]]="Yes",2,0),0)
*S1MATbl[[#This Row],[% OF TOTAL RURAL FUNDING]]</f>
        <v>0</v>
      </c>
      <c r="AI46" s="7">
        <f>IF(S1MATbl[[#This Row],[ALL UNITS IN A HIGH OR HIGHEST RESOURCE AREA]]="Yes",10*S1MATbl[[#This Row],[% OF TOTAL RURAL FUNDING]],0)</f>
        <v>0</v>
      </c>
      <c r="AJ46" s="7" cm="1">
        <f t="array" ref="AJ46">INDEX(CountyScoresTbl[Community Need Total Points],ROW(S1MATbl[[#This Row],[COUNTY]])-2,1)*S1MATbl[[#This Row],[% OF TOTAL RURAL FUNDING]]</f>
        <v>0</v>
      </c>
      <c r="AK46" s="432" cm="1">
        <f t="array" ref="AK46"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6" s="73" cm="1">
        <f t="array" ref="AL46">INDEX(CountyScoresTbl[Farmworker Need Points Awarded],ROW(S1MATbl[[#This Row],[COUNTY]])-2,1)*S1MATbl[[#This Row],[% OF TOTAL RURAL FUNDING]]</f>
        <v>0</v>
      </c>
      <c r="AM46" s="422"/>
      <c r="AN46" s="422"/>
      <c r="AO46" s="422"/>
    </row>
    <row r="47" spans="1:41" x14ac:dyDescent="0.35">
      <c r="A47" s="124"/>
      <c r="B47" s="5" t="s">
        <v>159</v>
      </c>
      <c r="C47" s="31" t="s">
        <v>513</v>
      </c>
      <c r="D47" s="113" t="str">
        <f>IF(SUM(S1MATbl[[#This Row],[UNRESTRICTED UNITS]])=0,"",S1MATbl[[#This Row],[UNRESTRICTED UNITS]])</f>
        <v/>
      </c>
      <c r="E47" s="74" t="str">
        <f xml:space="preserve">
IF(S1MATbl[[#This Row],[UNRESTRICTED FUNDING REQUESTED]]=0,"",
S1MATbl[[#This Row],[UNRESTRICTED FUNDING REQUESTED]]*
IF(S1_MA_UnrestrictedTotalRequested&lt;=5000000,1,
5000000/S1_MA_UnrestrictedTotalRequested)
)</f>
        <v/>
      </c>
      <c r="F47" s="6" t="str">
        <f>IFERROR(S1MATbl[[#This Row],[TOTAL $ REQUESTED]]/SUM(S1MATbl[TOTAL $ REQUESTED]),"")</f>
        <v/>
      </c>
      <c r="G47" s="31" t="s">
        <v>513</v>
      </c>
      <c r="H47" s="256" t="str">
        <f>IF(SUM(S1MATbl[[#This Row],[RURAL UNITS]])=0,"",S1MATbl[[#This Row],[RURAL UNITS]])</f>
        <v/>
      </c>
      <c r="I47" s="306" t="str">
        <f xml:space="preserve">
IF(S1MATbl[[#This Row],[RURAL FUNDING REQUESTED]]=0,"",
S1MATbl[[#This Row],[RURAL FUNDING REQUESTED]]*
IF(S1_MA_RuralTotalRequested&lt;=(5000000-E$61),1,
(5000000-E$61)/S1_MA_RuralTotalRequested)
)</f>
        <v/>
      </c>
      <c r="J47" s="257" t="str">
        <f>IFERROR(S1MATbl[[#This Row],[TOTAL $ REQUESTED2]]/SUM(S1MATbl[TOTAL $ REQUESTED2]),"")</f>
        <v/>
      </c>
      <c r="K47" s="31" t="s">
        <v>513</v>
      </c>
      <c r="L47" s="196"/>
      <c r="M47" s="119"/>
      <c r="N47" s="255"/>
      <c r="O47" s="124"/>
      <c r="P47" s="161"/>
      <c r="Q47" s="161"/>
      <c r="R47" s="161"/>
      <c r="S47" s="161"/>
      <c r="T47" s="98">
        <f t="shared" si="0"/>
        <v>0</v>
      </c>
      <c r="U47" s="6">
        <f>IF(S1MATbl[[#This Row],[UNRESTRICTED FUNDING REQUESTED]]=0,0,S1MATbl[[#This Row],[UNRESTRICTED FUNDING REQUESTED]]/S1_MA_UnrestrictedTotalRequested)</f>
        <v>0</v>
      </c>
      <c r="V47" s="444">
        <f xml:space="preserve">
IF(S1MATbl[[#This Row],[NEW CONSTRUCTION OR AQUIRE/REHAB]]&lt;&gt;"",
3+IF(S1MATbl[[#This Row],[INFILL SITE]]="Yes",2,0),0)
*S1MATbl[[#This Row],[% OF TOTAL UNRESTRICTED FUNDING]]</f>
        <v>0</v>
      </c>
      <c r="W47" s="7">
        <f>IF(S1MATbl[[#This Row],[ALL UNITS IN A HIGH OR HIGHEST RESOURCE AREA]]="Yes",10*S1MATbl[[#This Row],[% OF TOTAL UNRESTRICTED FUNDING]],0)</f>
        <v>0</v>
      </c>
      <c r="X47" s="7" cm="1">
        <f t="array" ref="X47">INDEX(CountyScoresTbl[Community Need Total Points],ROW(S1MATbl[[#This Row],[COUNTY]])-2,1)*S1MATbl[[#This Row],[% OF TOTAL UNRESTRICTED FUNDING]]</f>
        <v>0</v>
      </c>
      <c r="Y47" s="432" cm="1">
        <f t="array" ref="Y47"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7" s="26" cm="1">
        <f t="array" ref="Z47">INDEX(CountyScoresTbl[Farmworker Need Points Awarded],ROW(S1MATbl[[#This Row],[COUNTY]])-2,1)*S1MATbl[[#This Row],[% OF TOTAL UNRESTRICTED FUNDING]]</f>
        <v>0</v>
      </c>
      <c r="AA47" s="124"/>
      <c r="AB47" s="161"/>
      <c r="AC47" s="161"/>
      <c r="AD47" s="161"/>
      <c r="AE47" s="161"/>
      <c r="AF47" s="98">
        <f t="shared" si="1"/>
        <v>0</v>
      </c>
      <c r="AG47" s="6">
        <f>IF(S1MATbl[[#This Row],[RURAL FUNDING REQUESTED]]=0,0,S1MATbl[[#This Row],[RURAL FUNDING REQUESTED]]/S1_MA_RuralTotalRequested)</f>
        <v>0</v>
      </c>
      <c r="AH47" s="444">
        <f xml:space="preserve">
IF(S1MATbl[[#This Row],[NEW CONSTRUCTION OR AQUIRE/REHAB]]&lt;&gt;"",
3+IF(S1MATbl[[#This Row],[INFILL SITE]]="Yes",2,0),0)
*S1MATbl[[#This Row],[% OF TOTAL RURAL FUNDING]]</f>
        <v>0</v>
      </c>
      <c r="AI47" s="7">
        <f>IF(S1MATbl[[#This Row],[ALL UNITS IN A HIGH OR HIGHEST RESOURCE AREA]]="Yes",10*S1MATbl[[#This Row],[% OF TOTAL RURAL FUNDING]],0)</f>
        <v>0</v>
      </c>
      <c r="AJ47" s="7" cm="1">
        <f t="array" ref="AJ47">INDEX(CountyScoresTbl[Community Need Total Points],ROW(S1MATbl[[#This Row],[COUNTY]])-2,1)*S1MATbl[[#This Row],[% OF TOTAL RURAL FUNDING]]</f>
        <v>0</v>
      </c>
      <c r="AK47" s="432" cm="1">
        <f t="array" ref="AK47"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7" s="73" cm="1">
        <f t="array" ref="AL47">INDEX(CountyScoresTbl[Farmworker Need Points Awarded],ROW(S1MATbl[[#This Row],[COUNTY]])-2,1)*S1MATbl[[#This Row],[% OF TOTAL RURAL FUNDING]]</f>
        <v>0</v>
      </c>
      <c r="AM47" s="422"/>
      <c r="AN47" s="422"/>
      <c r="AO47" s="422"/>
    </row>
    <row r="48" spans="1:41" x14ac:dyDescent="0.35">
      <c r="A48" s="124"/>
      <c r="B48" s="5" t="s">
        <v>160</v>
      </c>
      <c r="C48" s="31" t="s">
        <v>513</v>
      </c>
      <c r="D48" s="113" t="str">
        <f>IF(SUM(S1MATbl[[#This Row],[UNRESTRICTED UNITS]])=0,"",S1MATbl[[#This Row],[UNRESTRICTED UNITS]])</f>
        <v/>
      </c>
      <c r="E48" s="74" t="str">
        <f xml:space="preserve">
IF(S1MATbl[[#This Row],[UNRESTRICTED FUNDING REQUESTED]]=0,"",
S1MATbl[[#This Row],[UNRESTRICTED FUNDING REQUESTED]]*
IF(S1_MA_UnrestrictedTotalRequested&lt;=5000000,1,
5000000/S1_MA_UnrestrictedTotalRequested)
)</f>
        <v/>
      </c>
      <c r="F48" s="6" t="str">
        <f>IFERROR(S1MATbl[[#This Row],[TOTAL $ REQUESTED]]/SUM(S1MATbl[TOTAL $ REQUESTED]),"")</f>
        <v/>
      </c>
      <c r="G48" s="31" t="s">
        <v>513</v>
      </c>
      <c r="H48" s="256" t="str">
        <f>IF(SUM(S1MATbl[[#This Row],[RURAL UNITS]])=0,"",S1MATbl[[#This Row],[RURAL UNITS]])</f>
        <v/>
      </c>
      <c r="I48" s="306" t="str">
        <f xml:space="preserve">
IF(S1MATbl[[#This Row],[RURAL FUNDING REQUESTED]]=0,"",
S1MATbl[[#This Row],[RURAL FUNDING REQUESTED]]*
IF(S1_MA_RuralTotalRequested&lt;=(5000000-E$61),1,
(5000000-E$61)/S1_MA_RuralTotalRequested)
)</f>
        <v/>
      </c>
      <c r="J48" s="257" t="str">
        <f>IFERROR(S1MATbl[[#This Row],[TOTAL $ REQUESTED2]]/SUM(S1MATbl[TOTAL $ REQUESTED2]),"")</f>
        <v/>
      </c>
      <c r="K48" s="31" t="s">
        <v>513</v>
      </c>
      <c r="L48" s="196"/>
      <c r="M48" s="119"/>
      <c r="N48" s="255"/>
      <c r="O48" s="124"/>
      <c r="P48" s="161"/>
      <c r="Q48" s="161"/>
      <c r="R48" s="161"/>
      <c r="S48" s="161"/>
      <c r="T48" s="98">
        <f t="shared" si="0"/>
        <v>0</v>
      </c>
      <c r="U48" s="6">
        <f>IF(S1MATbl[[#This Row],[UNRESTRICTED FUNDING REQUESTED]]=0,0,S1MATbl[[#This Row],[UNRESTRICTED FUNDING REQUESTED]]/S1_MA_UnrestrictedTotalRequested)</f>
        <v>0</v>
      </c>
      <c r="V48" s="444">
        <f xml:space="preserve">
IF(S1MATbl[[#This Row],[NEW CONSTRUCTION OR AQUIRE/REHAB]]&lt;&gt;"",
3+IF(S1MATbl[[#This Row],[INFILL SITE]]="Yes",2,0),0)
*S1MATbl[[#This Row],[% OF TOTAL UNRESTRICTED FUNDING]]</f>
        <v>0</v>
      </c>
      <c r="W48" s="7">
        <f>IF(S1MATbl[[#This Row],[ALL UNITS IN A HIGH OR HIGHEST RESOURCE AREA]]="Yes",10*S1MATbl[[#This Row],[% OF TOTAL UNRESTRICTED FUNDING]],0)</f>
        <v>0</v>
      </c>
      <c r="X48" s="7" cm="1">
        <f t="array" ref="X48">INDEX(CountyScoresTbl[Community Need Total Points],ROW(S1MATbl[[#This Row],[COUNTY]])-2,1)*S1MATbl[[#This Row],[% OF TOTAL UNRESTRICTED FUNDING]]</f>
        <v>0</v>
      </c>
      <c r="Y48" s="432" cm="1">
        <f t="array" ref="Y48"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8" s="26" cm="1">
        <f t="array" ref="Z48">INDEX(CountyScoresTbl[Farmworker Need Points Awarded],ROW(S1MATbl[[#This Row],[COUNTY]])-2,1)*S1MATbl[[#This Row],[% OF TOTAL UNRESTRICTED FUNDING]]</f>
        <v>0</v>
      </c>
      <c r="AA48" s="124"/>
      <c r="AB48" s="161"/>
      <c r="AC48" s="161"/>
      <c r="AD48" s="161"/>
      <c r="AE48" s="161"/>
      <c r="AF48" s="98">
        <f t="shared" si="1"/>
        <v>0</v>
      </c>
      <c r="AG48" s="6">
        <f>IF(S1MATbl[[#This Row],[RURAL FUNDING REQUESTED]]=0,0,S1MATbl[[#This Row],[RURAL FUNDING REQUESTED]]/S1_MA_RuralTotalRequested)</f>
        <v>0</v>
      </c>
      <c r="AH48" s="444">
        <f xml:space="preserve">
IF(S1MATbl[[#This Row],[NEW CONSTRUCTION OR AQUIRE/REHAB]]&lt;&gt;"",
3+IF(S1MATbl[[#This Row],[INFILL SITE]]="Yes",2,0),0)
*S1MATbl[[#This Row],[% OF TOTAL RURAL FUNDING]]</f>
        <v>0</v>
      </c>
      <c r="AI48" s="7">
        <f>IF(S1MATbl[[#This Row],[ALL UNITS IN A HIGH OR HIGHEST RESOURCE AREA]]="Yes",10*S1MATbl[[#This Row],[% OF TOTAL RURAL FUNDING]],0)</f>
        <v>0</v>
      </c>
      <c r="AJ48" s="7" cm="1">
        <f t="array" ref="AJ48">INDEX(CountyScoresTbl[Community Need Total Points],ROW(S1MATbl[[#This Row],[COUNTY]])-2,1)*S1MATbl[[#This Row],[% OF TOTAL RURAL FUNDING]]</f>
        <v>0</v>
      </c>
      <c r="AK48" s="432" cm="1">
        <f t="array" ref="AK48"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8" s="73" cm="1">
        <f t="array" ref="AL48">INDEX(CountyScoresTbl[Farmworker Need Points Awarded],ROW(S1MATbl[[#This Row],[COUNTY]])-2,1)*S1MATbl[[#This Row],[% OF TOTAL RURAL FUNDING]]</f>
        <v>0</v>
      </c>
      <c r="AM48" s="422"/>
      <c r="AN48" s="422"/>
      <c r="AO48" s="422"/>
    </row>
    <row r="49" spans="1:41" x14ac:dyDescent="0.35">
      <c r="A49" s="124"/>
      <c r="B49" s="5" t="s">
        <v>161</v>
      </c>
      <c r="C49" s="31" t="s">
        <v>513</v>
      </c>
      <c r="D49" s="113" t="str">
        <f>IF(SUM(S1MATbl[[#This Row],[UNRESTRICTED UNITS]])=0,"",S1MATbl[[#This Row],[UNRESTRICTED UNITS]])</f>
        <v/>
      </c>
      <c r="E49" s="74" t="str">
        <f xml:space="preserve">
IF(S1MATbl[[#This Row],[UNRESTRICTED FUNDING REQUESTED]]=0,"",
S1MATbl[[#This Row],[UNRESTRICTED FUNDING REQUESTED]]*
IF(S1_MA_UnrestrictedTotalRequested&lt;=5000000,1,
5000000/S1_MA_UnrestrictedTotalRequested)
)</f>
        <v/>
      </c>
      <c r="F49" s="6" t="str">
        <f>IFERROR(S1MATbl[[#This Row],[TOTAL $ REQUESTED]]/SUM(S1MATbl[TOTAL $ REQUESTED]),"")</f>
        <v/>
      </c>
      <c r="G49" s="31" t="s">
        <v>513</v>
      </c>
      <c r="H49" s="256" t="str">
        <f>IF(SUM(S1MATbl[[#This Row],[RURAL UNITS]])=0,"",S1MATbl[[#This Row],[RURAL UNITS]])</f>
        <v/>
      </c>
      <c r="I49" s="306" t="str">
        <f xml:space="preserve">
IF(S1MATbl[[#This Row],[RURAL FUNDING REQUESTED]]=0,"",
S1MATbl[[#This Row],[RURAL FUNDING REQUESTED]]*
IF(S1_MA_RuralTotalRequested&lt;=(5000000-E$61),1,
(5000000-E$61)/S1_MA_RuralTotalRequested)
)</f>
        <v/>
      </c>
      <c r="J49" s="257" t="str">
        <f>IFERROR(S1MATbl[[#This Row],[TOTAL $ REQUESTED2]]/SUM(S1MATbl[TOTAL $ REQUESTED2]),"")</f>
        <v/>
      </c>
      <c r="K49" s="31" t="s">
        <v>513</v>
      </c>
      <c r="L49" s="196"/>
      <c r="M49" s="119"/>
      <c r="N49" s="255"/>
      <c r="O49" s="124"/>
      <c r="P49" s="161"/>
      <c r="Q49" s="161"/>
      <c r="R49" s="161"/>
      <c r="S49" s="161"/>
      <c r="T49" s="98">
        <f t="shared" si="0"/>
        <v>0</v>
      </c>
      <c r="U49" s="6">
        <f>IF(S1MATbl[[#This Row],[UNRESTRICTED FUNDING REQUESTED]]=0,0,S1MATbl[[#This Row],[UNRESTRICTED FUNDING REQUESTED]]/S1_MA_UnrestrictedTotalRequested)</f>
        <v>0</v>
      </c>
      <c r="V49" s="444">
        <f xml:space="preserve">
IF(S1MATbl[[#This Row],[NEW CONSTRUCTION OR AQUIRE/REHAB]]&lt;&gt;"",
3+IF(S1MATbl[[#This Row],[INFILL SITE]]="Yes",2,0),0)
*S1MATbl[[#This Row],[% OF TOTAL UNRESTRICTED FUNDING]]</f>
        <v>0</v>
      </c>
      <c r="W49" s="7">
        <f>IF(S1MATbl[[#This Row],[ALL UNITS IN A HIGH OR HIGHEST RESOURCE AREA]]="Yes",10*S1MATbl[[#This Row],[% OF TOTAL UNRESTRICTED FUNDING]],0)</f>
        <v>0</v>
      </c>
      <c r="X49" s="7" cm="1">
        <f t="array" ref="X49">INDEX(CountyScoresTbl[Community Need Total Points],ROW(S1MATbl[[#This Row],[COUNTY]])-2,1)*S1MATbl[[#This Row],[% OF TOTAL UNRESTRICTED FUNDING]]</f>
        <v>0</v>
      </c>
      <c r="Y49" s="432" cm="1">
        <f t="array" ref="Y49"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49" s="26" cm="1">
        <f t="array" ref="Z49">INDEX(CountyScoresTbl[Farmworker Need Points Awarded],ROW(S1MATbl[[#This Row],[COUNTY]])-2,1)*S1MATbl[[#This Row],[% OF TOTAL UNRESTRICTED FUNDING]]</f>
        <v>0</v>
      </c>
      <c r="AA49" s="124"/>
      <c r="AB49" s="161"/>
      <c r="AC49" s="161"/>
      <c r="AD49" s="161"/>
      <c r="AE49" s="161"/>
      <c r="AF49" s="98">
        <f t="shared" si="1"/>
        <v>0</v>
      </c>
      <c r="AG49" s="6">
        <f>IF(S1MATbl[[#This Row],[RURAL FUNDING REQUESTED]]=0,0,S1MATbl[[#This Row],[RURAL FUNDING REQUESTED]]/S1_MA_RuralTotalRequested)</f>
        <v>0</v>
      </c>
      <c r="AH49" s="444">
        <f xml:space="preserve">
IF(S1MATbl[[#This Row],[NEW CONSTRUCTION OR AQUIRE/REHAB]]&lt;&gt;"",
3+IF(S1MATbl[[#This Row],[INFILL SITE]]="Yes",2,0),0)
*S1MATbl[[#This Row],[% OF TOTAL RURAL FUNDING]]</f>
        <v>0</v>
      </c>
      <c r="AI49" s="7">
        <f>IF(S1MATbl[[#This Row],[ALL UNITS IN A HIGH OR HIGHEST RESOURCE AREA]]="Yes",10*S1MATbl[[#This Row],[% OF TOTAL RURAL FUNDING]],0)</f>
        <v>0</v>
      </c>
      <c r="AJ49" s="7" cm="1">
        <f t="array" ref="AJ49">INDEX(CountyScoresTbl[Community Need Total Points],ROW(S1MATbl[[#This Row],[COUNTY]])-2,1)*S1MATbl[[#This Row],[% OF TOTAL RURAL FUNDING]]</f>
        <v>0</v>
      </c>
      <c r="AK49" s="432" cm="1">
        <f t="array" ref="AK49"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49" s="73" cm="1">
        <f t="array" ref="AL49">INDEX(CountyScoresTbl[Farmworker Need Points Awarded],ROW(S1MATbl[[#This Row],[COUNTY]])-2,1)*S1MATbl[[#This Row],[% OF TOTAL RURAL FUNDING]]</f>
        <v>0</v>
      </c>
      <c r="AM49" s="422"/>
      <c r="AN49" s="422"/>
      <c r="AO49" s="422"/>
    </row>
    <row r="50" spans="1:41" x14ac:dyDescent="0.35">
      <c r="A50" s="124"/>
      <c r="B50" s="5" t="s">
        <v>162</v>
      </c>
      <c r="C50" s="31" t="s">
        <v>513</v>
      </c>
      <c r="D50" s="113" t="str">
        <f>IF(SUM(S1MATbl[[#This Row],[UNRESTRICTED UNITS]])=0,"",S1MATbl[[#This Row],[UNRESTRICTED UNITS]])</f>
        <v/>
      </c>
      <c r="E50" s="74" t="str">
        <f xml:space="preserve">
IF(S1MATbl[[#This Row],[UNRESTRICTED FUNDING REQUESTED]]=0,"",
S1MATbl[[#This Row],[UNRESTRICTED FUNDING REQUESTED]]*
IF(S1_MA_UnrestrictedTotalRequested&lt;=5000000,1,
5000000/S1_MA_UnrestrictedTotalRequested)
)</f>
        <v/>
      </c>
      <c r="F50" s="6" t="str">
        <f>IFERROR(S1MATbl[[#This Row],[TOTAL $ REQUESTED]]/SUM(S1MATbl[TOTAL $ REQUESTED]),"")</f>
        <v/>
      </c>
      <c r="G50" s="31" t="s">
        <v>513</v>
      </c>
      <c r="H50" s="256" t="str">
        <f>IF(SUM(S1MATbl[[#This Row],[RURAL UNITS]])=0,"",S1MATbl[[#This Row],[RURAL UNITS]])</f>
        <v/>
      </c>
      <c r="I50" s="306" t="str">
        <f xml:space="preserve">
IF(S1MATbl[[#This Row],[RURAL FUNDING REQUESTED]]=0,"",
S1MATbl[[#This Row],[RURAL FUNDING REQUESTED]]*
IF(S1_MA_RuralTotalRequested&lt;=(5000000-E$61),1,
(5000000-E$61)/S1_MA_RuralTotalRequested)
)</f>
        <v/>
      </c>
      <c r="J50" s="257" t="str">
        <f>IFERROR(S1MATbl[[#This Row],[TOTAL $ REQUESTED2]]/SUM(S1MATbl[TOTAL $ REQUESTED2]),"")</f>
        <v/>
      </c>
      <c r="K50" s="31" t="s">
        <v>513</v>
      </c>
      <c r="L50" s="196"/>
      <c r="M50" s="119"/>
      <c r="N50" s="255"/>
      <c r="O50" s="124"/>
      <c r="P50" s="161"/>
      <c r="Q50" s="161"/>
      <c r="R50" s="161"/>
      <c r="S50" s="161"/>
      <c r="T50" s="98">
        <f t="shared" si="0"/>
        <v>0</v>
      </c>
      <c r="U50" s="6">
        <f>IF(S1MATbl[[#This Row],[UNRESTRICTED FUNDING REQUESTED]]=0,0,S1MATbl[[#This Row],[UNRESTRICTED FUNDING REQUESTED]]/S1_MA_UnrestrictedTotalRequested)</f>
        <v>0</v>
      </c>
      <c r="V50" s="444">
        <f xml:space="preserve">
IF(S1MATbl[[#This Row],[NEW CONSTRUCTION OR AQUIRE/REHAB]]&lt;&gt;"",
3+IF(S1MATbl[[#This Row],[INFILL SITE]]="Yes",2,0),0)
*S1MATbl[[#This Row],[% OF TOTAL UNRESTRICTED FUNDING]]</f>
        <v>0</v>
      </c>
      <c r="W50" s="7">
        <f>IF(S1MATbl[[#This Row],[ALL UNITS IN A HIGH OR HIGHEST RESOURCE AREA]]="Yes",10*S1MATbl[[#This Row],[% OF TOTAL UNRESTRICTED FUNDING]],0)</f>
        <v>0</v>
      </c>
      <c r="X50" s="7" cm="1">
        <f t="array" ref="X50">INDEX(CountyScoresTbl[Community Need Total Points],ROW(S1MATbl[[#This Row],[COUNTY]])-2,1)*S1MATbl[[#This Row],[% OF TOTAL UNRESTRICTED FUNDING]]</f>
        <v>0</v>
      </c>
      <c r="Y50" s="432" cm="1">
        <f t="array" ref="Y50"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0" s="26" cm="1">
        <f t="array" ref="Z50">INDEX(CountyScoresTbl[Farmworker Need Points Awarded],ROW(S1MATbl[[#This Row],[COUNTY]])-2,1)*S1MATbl[[#This Row],[% OF TOTAL UNRESTRICTED FUNDING]]</f>
        <v>0</v>
      </c>
      <c r="AA50" s="124"/>
      <c r="AB50" s="161"/>
      <c r="AC50" s="161"/>
      <c r="AD50" s="161"/>
      <c r="AE50" s="161"/>
      <c r="AF50" s="98">
        <f t="shared" si="1"/>
        <v>0</v>
      </c>
      <c r="AG50" s="6">
        <f>IF(S1MATbl[[#This Row],[RURAL FUNDING REQUESTED]]=0,0,S1MATbl[[#This Row],[RURAL FUNDING REQUESTED]]/S1_MA_RuralTotalRequested)</f>
        <v>0</v>
      </c>
      <c r="AH50" s="444">
        <f xml:space="preserve">
IF(S1MATbl[[#This Row],[NEW CONSTRUCTION OR AQUIRE/REHAB]]&lt;&gt;"",
3+IF(S1MATbl[[#This Row],[INFILL SITE]]="Yes",2,0),0)
*S1MATbl[[#This Row],[% OF TOTAL RURAL FUNDING]]</f>
        <v>0</v>
      </c>
      <c r="AI50" s="7">
        <f>IF(S1MATbl[[#This Row],[ALL UNITS IN A HIGH OR HIGHEST RESOURCE AREA]]="Yes",10*S1MATbl[[#This Row],[% OF TOTAL RURAL FUNDING]],0)</f>
        <v>0</v>
      </c>
      <c r="AJ50" s="7" cm="1">
        <f t="array" ref="AJ50">INDEX(CountyScoresTbl[Community Need Total Points],ROW(S1MATbl[[#This Row],[COUNTY]])-2,1)*S1MATbl[[#This Row],[% OF TOTAL RURAL FUNDING]]</f>
        <v>0</v>
      </c>
      <c r="AK50" s="432" cm="1">
        <f t="array" ref="AK50"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0" s="73" cm="1">
        <f t="array" ref="AL50">INDEX(CountyScoresTbl[Farmworker Need Points Awarded],ROW(S1MATbl[[#This Row],[COUNTY]])-2,1)*S1MATbl[[#This Row],[% OF TOTAL RURAL FUNDING]]</f>
        <v>0</v>
      </c>
      <c r="AM50" s="422"/>
      <c r="AN50" s="422"/>
      <c r="AO50" s="422"/>
    </row>
    <row r="51" spans="1:41" x14ac:dyDescent="0.35">
      <c r="A51" s="124"/>
      <c r="B51" s="5" t="s">
        <v>163</v>
      </c>
      <c r="C51" s="31" t="s">
        <v>513</v>
      </c>
      <c r="D51" s="113" t="str">
        <f>IF(SUM(S1MATbl[[#This Row],[UNRESTRICTED UNITS]])=0,"",S1MATbl[[#This Row],[UNRESTRICTED UNITS]])</f>
        <v/>
      </c>
      <c r="E51" s="74" t="str">
        <f xml:space="preserve">
IF(S1MATbl[[#This Row],[UNRESTRICTED FUNDING REQUESTED]]=0,"",
S1MATbl[[#This Row],[UNRESTRICTED FUNDING REQUESTED]]*
IF(S1_MA_UnrestrictedTotalRequested&lt;=5000000,1,
5000000/S1_MA_UnrestrictedTotalRequested)
)</f>
        <v/>
      </c>
      <c r="F51" s="6" t="str">
        <f>IFERROR(S1MATbl[[#This Row],[TOTAL $ REQUESTED]]/SUM(S1MATbl[TOTAL $ REQUESTED]),"")</f>
        <v/>
      </c>
      <c r="G51" s="31" t="s">
        <v>513</v>
      </c>
      <c r="H51" s="256" t="str">
        <f>IF(SUM(S1MATbl[[#This Row],[RURAL UNITS]])=0,"",S1MATbl[[#This Row],[RURAL UNITS]])</f>
        <v/>
      </c>
      <c r="I51" s="306" t="str">
        <f xml:space="preserve">
IF(S1MATbl[[#This Row],[RURAL FUNDING REQUESTED]]=0,"",
S1MATbl[[#This Row],[RURAL FUNDING REQUESTED]]*
IF(S1_MA_RuralTotalRequested&lt;=(5000000-E$61),1,
(5000000-E$61)/S1_MA_RuralTotalRequested)
)</f>
        <v/>
      </c>
      <c r="J51" s="257" t="str">
        <f>IFERROR(S1MATbl[[#This Row],[TOTAL $ REQUESTED2]]/SUM(S1MATbl[TOTAL $ REQUESTED2]),"")</f>
        <v/>
      </c>
      <c r="K51" s="31" t="s">
        <v>513</v>
      </c>
      <c r="L51" s="196"/>
      <c r="M51" s="119"/>
      <c r="N51" s="255"/>
      <c r="O51" s="124"/>
      <c r="P51" s="161"/>
      <c r="Q51" s="161"/>
      <c r="R51" s="161"/>
      <c r="S51" s="161"/>
      <c r="T51" s="98">
        <f t="shared" si="0"/>
        <v>0</v>
      </c>
      <c r="U51" s="6">
        <f>IF(S1MATbl[[#This Row],[UNRESTRICTED FUNDING REQUESTED]]=0,0,S1MATbl[[#This Row],[UNRESTRICTED FUNDING REQUESTED]]/S1_MA_UnrestrictedTotalRequested)</f>
        <v>0</v>
      </c>
      <c r="V51" s="444">
        <f xml:space="preserve">
IF(S1MATbl[[#This Row],[NEW CONSTRUCTION OR AQUIRE/REHAB]]&lt;&gt;"",
3+IF(S1MATbl[[#This Row],[INFILL SITE]]="Yes",2,0),0)
*S1MATbl[[#This Row],[% OF TOTAL UNRESTRICTED FUNDING]]</f>
        <v>0</v>
      </c>
      <c r="W51" s="7">
        <f>IF(S1MATbl[[#This Row],[ALL UNITS IN A HIGH OR HIGHEST RESOURCE AREA]]="Yes",10*S1MATbl[[#This Row],[% OF TOTAL UNRESTRICTED FUNDING]],0)</f>
        <v>0</v>
      </c>
      <c r="X51" s="7" cm="1">
        <f t="array" ref="X51">INDEX(CountyScoresTbl[Community Need Total Points],ROW(S1MATbl[[#This Row],[COUNTY]])-2,1)*S1MATbl[[#This Row],[% OF TOTAL UNRESTRICTED FUNDING]]</f>
        <v>0</v>
      </c>
      <c r="Y51" s="432" cm="1">
        <f t="array" ref="Y51"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1" s="26" cm="1">
        <f t="array" ref="Z51">INDEX(CountyScoresTbl[Farmworker Need Points Awarded],ROW(S1MATbl[[#This Row],[COUNTY]])-2,1)*S1MATbl[[#This Row],[% OF TOTAL UNRESTRICTED FUNDING]]</f>
        <v>0</v>
      </c>
      <c r="AA51" s="124"/>
      <c r="AB51" s="161"/>
      <c r="AC51" s="161"/>
      <c r="AD51" s="161"/>
      <c r="AE51" s="161"/>
      <c r="AF51" s="98">
        <f t="shared" si="1"/>
        <v>0</v>
      </c>
      <c r="AG51" s="6">
        <f>IF(S1MATbl[[#This Row],[RURAL FUNDING REQUESTED]]=0,0,S1MATbl[[#This Row],[RURAL FUNDING REQUESTED]]/S1_MA_RuralTotalRequested)</f>
        <v>0</v>
      </c>
      <c r="AH51" s="444">
        <f xml:space="preserve">
IF(S1MATbl[[#This Row],[NEW CONSTRUCTION OR AQUIRE/REHAB]]&lt;&gt;"",
3+IF(S1MATbl[[#This Row],[INFILL SITE]]="Yes",2,0),0)
*S1MATbl[[#This Row],[% OF TOTAL RURAL FUNDING]]</f>
        <v>0</v>
      </c>
      <c r="AI51" s="7">
        <f>IF(S1MATbl[[#This Row],[ALL UNITS IN A HIGH OR HIGHEST RESOURCE AREA]]="Yes",10*S1MATbl[[#This Row],[% OF TOTAL RURAL FUNDING]],0)</f>
        <v>0</v>
      </c>
      <c r="AJ51" s="7" cm="1">
        <f t="array" ref="AJ51">INDEX(CountyScoresTbl[Community Need Total Points],ROW(S1MATbl[[#This Row],[COUNTY]])-2,1)*S1MATbl[[#This Row],[% OF TOTAL RURAL FUNDING]]</f>
        <v>0</v>
      </c>
      <c r="AK51" s="432" cm="1">
        <f t="array" ref="AK51"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1" s="73" cm="1">
        <f t="array" ref="AL51">INDEX(CountyScoresTbl[Farmworker Need Points Awarded],ROW(S1MATbl[[#This Row],[COUNTY]])-2,1)*S1MATbl[[#This Row],[% OF TOTAL RURAL FUNDING]]</f>
        <v>0</v>
      </c>
      <c r="AM51" s="422"/>
      <c r="AN51" s="422"/>
      <c r="AO51" s="422"/>
    </row>
    <row r="52" spans="1:41" x14ac:dyDescent="0.35">
      <c r="A52" s="124"/>
      <c r="B52" s="5" t="s">
        <v>164</v>
      </c>
      <c r="C52" s="31" t="s">
        <v>513</v>
      </c>
      <c r="D52" s="113" t="str">
        <f>IF(SUM(S1MATbl[[#This Row],[UNRESTRICTED UNITS]])=0,"",S1MATbl[[#This Row],[UNRESTRICTED UNITS]])</f>
        <v/>
      </c>
      <c r="E52" s="74" t="str">
        <f xml:space="preserve">
IF(S1MATbl[[#This Row],[UNRESTRICTED FUNDING REQUESTED]]=0,"",
S1MATbl[[#This Row],[UNRESTRICTED FUNDING REQUESTED]]*
IF(S1_MA_UnrestrictedTotalRequested&lt;=5000000,1,
5000000/S1_MA_UnrestrictedTotalRequested)
)</f>
        <v/>
      </c>
      <c r="F52" s="6" t="str">
        <f>IFERROR(S1MATbl[[#This Row],[TOTAL $ REQUESTED]]/SUM(S1MATbl[TOTAL $ REQUESTED]),"")</f>
        <v/>
      </c>
      <c r="G52" s="31" t="s">
        <v>513</v>
      </c>
      <c r="H52" s="256" t="str">
        <f>IF(SUM(S1MATbl[[#This Row],[RURAL UNITS]])=0,"",S1MATbl[[#This Row],[RURAL UNITS]])</f>
        <v/>
      </c>
      <c r="I52" s="306" t="str">
        <f xml:space="preserve">
IF(S1MATbl[[#This Row],[RURAL FUNDING REQUESTED]]=0,"",
S1MATbl[[#This Row],[RURAL FUNDING REQUESTED]]*
IF(S1_MA_RuralTotalRequested&lt;=(5000000-E$61),1,
(5000000-E$61)/S1_MA_RuralTotalRequested)
)</f>
        <v/>
      </c>
      <c r="J52" s="257" t="str">
        <f>IFERROR(S1MATbl[[#This Row],[TOTAL $ REQUESTED2]]/SUM(S1MATbl[TOTAL $ REQUESTED2]),"")</f>
        <v/>
      </c>
      <c r="K52" s="31" t="s">
        <v>513</v>
      </c>
      <c r="L52" s="196"/>
      <c r="M52" s="119"/>
      <c r="N52" s="255"/>
      <c r="O52" s="124"/>
      <c r="P52" s="161"/>
      <c r="Q52" s="161"/>
      <c r="R52" s="161"/>
      <c r="S52" s="161"/>
      <c r="T52" s="98">
        <f t="shared" si="0"/>
        <v>0</v>
      </c>
      <c r="U52" s="6">
        <f>IF(S1MATbl[[#This Row],[UNRESTRICTED FUNDING REQUESTED]]=0,0,S1MATbl[[#This Row],[UNRESTRICTED FUNDING REQUESTED]]/S1_MA_UnrestrictedTotalRequested)</f>
        <v>0</v>
      </c>
      <c r="V52" s="444">
        <f xml:space="preserve">
IF(S1MATbl[[#This Row],[NEW CONSTRUCTION OR AQUIRE/REHAB]]&lt;&gt;"",
3+IF(S1MATbl[[#This Row],[INFILL SITE]]="Yes",2,0),0)
*S1MATbl[[#This Row],[% OF TOTAL UNRESTRICTED FUNDING]]</f>
        <v>0</v>
      </c>
      <c r="W52" s="7">
        <f>IF(S1MATbl[[#This Row],[ALL UNITS IN A HIGH OR HIGHEST RESOURCE AREA]]="Yes",10*S1MATbl[[#This Row],[% OF TOTAL UNRESTRICTED FUNDING]],0)</f>
        <v>0</v>
      </c>
      <c r="X52" s="7" cm="1">
        <f t="array" ref="X52">INDEX(CountyScoresTbl[Community Need Total Points],ROW(S1MATbl[[#This Row],[COUNTY]])-2,1)*S1MATbl[[#This Row],[% OF TOTAL UNRESTRICTED FUNDING]]</f>
        <v>0</v>
      </c>
      <c r="Y52" s="432" cm="1">
        <f t="array" ref="Y52"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2" s="26" cm="1">
        <f t="array" ref="Z52">INDEX(CountyScoresTbl[Farmworker Need Points Awarded],ROW(S1MATbl[[#This Row],[COUNTY]])-2,1)*S1MATbl[[#This Row],[% OF TOTAL UNRESTRICTED FUNDING]]</f>
        <v>0</v>
      </c>
      <c r="AA52" s="124"/>
      <c r="AB52" s="161"/>
      <c r="AC52" s="161"/>
      <c r="AD52" s="161"/>
      <c r="AE52" s="161"/>
      <c r="AF52" s="98">
        <f t="shared" si="1"/>
        <v>0</v>
      </c>
      <c r="AG52" s="6">
        <f>IF(S1MATbl[[#This Row],[RURAL FUNDING REQUESTED]]=0,0,S1MATbl[[#This Row],[RURAL FUNDING REQUESTED]]/S1_MA_RuralTotalRequested)</f>
        <v>0</v>
      </c>
      <c r="AH52" s="444">
        <f xml:space="preserve">
IF(S1MATbl[[#This Row],[NEW CONSTRUCTION OR AQUIRE/REHAB]]&lt;&gt;"",
3+IF(S1MATbl[[#This Row],[INFILL SITE]]="Yes",2,0),0)
*S1MATbl[[#This Row],[% OF TOTAL RURAL FUNDING]]</f>
        <v>0</v>
      </c>
      <c r="AI52" s="7">
        <f>IF(S1MATbl[[#This Row],[ALL UNITS IN A HIGH OR HIGHEST RESOURCE AREA]]="Yes",10*S1MATbl[[#This Row],[% OF TOTAL RURAL FUNDING]],0)</f>
        <v>0</v>
      </c>
      <c r="AJ52" s="7" cm="1">
        <f t="array" ref="AJ52">INDEX(CountyScoresTbl[Community Need Total Points],ROW(S1MATbl[[#This Row],[COUNTY]])-2,1)*S1MATbl[[#This Row],[% OF TOTAL RURAL FUNDING]]</f>
        <v>0</v>
      </c>
      <c r="AK52" s="432" cm="1">
        <f t="array" ref="AK52"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2" s="73" cm="1">
        <f t="array" ref="AL52">INDEX(CountyScoresTbl[Farmworker Need Points Awarded],ROW(S1MATbl[[#This Row],[COUNTY]])-2,1)*S1MATbl[[#This Row],[% OF TOTAL RURAL FUNDING]]</f>
        <v>0</v>
      </c>
      <c r="AM52" s="422"/>
      <c r="AN52" s="422"/>
      <c r="AO52" s="422"/>
    </row>
    <row r="53" spans="1:41" x14ac:dyDescent="0.35">
      <c r="A53" s="124"/>
      <c r="B53" s="5" t="s">
        <v>165</v>
      </c>
      <c r="C53" s="31" t="s">
        <v>513</v>
      </c>
      <c r="D53" s="113" t="str">
        <f>IF(SUM(S1MATbl[[#This Row],[UNRESTRICTED UNITS]])=0,"",S1MATbl[[#This Row],[UNRESTRICTED UNITS]])</f>
        <v/>
      </c>
      <c r="E53" s="74" t="str">
        <f xml:space="preserve">
IF(S1MATbl[[#This Row],[UNRESTRICTED FUNDING REQUESTED]]=0,"",
S1MATbl[[#This Row],[UNRESTRICTED FUNDING REQUESTED]]*
IF(S1_MA_UnrestrictedTotalRequested&lt;=5000000,1,
5000000/S1_MA_UnrestrictedTotalRequested)
)</f>
        <v/>
      </c>
      <c r="F53" s="6" t="str">
        <f>IFERROR(S1MATbl[[#This Row],[TOTAL $ REQUESTED]]/SUM(S1MATbl[TOTAL $ REQUESTED]),"")</f>
        <v/>
      </c>
      <c r="G53" s="31" t="s">
        <v>513</v>
      </c>
      <c r="H53" s="256" t="str">
        <f>IF(SUM(S1MATbl[[#This Row],[RURAL UNITS]])=0,"",S1MATbl[[#This Row],[RURAL UNITS]])</f>
        <v/>
      </c>
      <c r="I53" s="306" t="str">
        <f xml:space="preserve">
IF(S1MATbl[[#This Row],[RURAL FUNDING REQUESTED]]=0,"",
S1MATbl[[#This Row],[RURAL FUNDING REQUESTED]]*
IF(S1_MA_RuralTotalRequested&lt;=(5000000-E$61),1,
(5000000-E$61)/S1_MA_RuralTotalRequested)
)</f>
        <v/>
      </c>
      <c r="J53" s="257" t="str">
        <f>IFERROR(S1MATbl[[#This Row],[TOTAL $ REQUESTED2]]/SUM(S1MATbl[TOTAL $ REQUESTED2]),"")</f>
        <v/>
      </c>
      <c r="K53" s="31" t="s">
        <v>513</v>
      </c>
      <c r="L53" s="196"/>
      <c r="M53" s="119"/>
      <c r="N53" s="255"/>
      <c r="O53" s="124"/>
      <c r="P53" s="161"/>
      <c r="Q53" s="161"/>
      <c r="R53" s="161"/>
      <c r="S53" s="161"/>
      <c r="T53" s="98">
        <f t="shared" si="0"/>
        <v>0</v>
      </c>
      <c r="U53" s="6">
        <f>IF(S1MATbl[[#This Row],[UNRESTRICTED FUNDING REQUESTED]]=0,0,S1MATbl[[#This Row],[UNRESTRICTED FUNDING REQUESTED]]/S1_MA_UnrestrictedTotalRequested)</f>
        <v>0</v>
      </c>
      <c r="V53" s="444">
        <f xml:space="preserve">
IF(S1MATbl[[#This Row],[NEW CONSTRUCTION OR AQUIRE/REHAB]]&lt;&gt;"",
3+IF(S1MATbl[[#This Row],[INFILL SITE]]="Yes",2,0),0)
*S1MATbl[[#This Row],[% OF TOTAL UNRESTRICTED FUNDING]]</f>
        <v>0</v>
      </c>
      <c r="W53" s="7">
        <f>IF(S1MATbl[[#This Row],[ALL UNITS IN A HIGH OR HIGHEST RESOURCE AREA]]="Yes",10*S1MATbl[[#This Row],[% OF TOTAL UNRESTRICTED FUNDING]],0)</f>
        <v>0</v>
      </c>
      <c r="X53" s="7" cm="1">
        <f t="array" ref="X53">INDEX(CountyScoresTbl[Community Need Total Points],ROW(S1MATbl[[#This Row],[COUNTY]])-2,1)*S1MATbl[[#This Row],[% OF TOTAL UNRESTRICTED FUNDING]]</f>
        <v>0</v>
      </c>
      <c r="Y53" s="432" cm="1">
        <f t="array" ref="Y53"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3" s="26" cm="1">
        <f t="array" ref="Z53">INDEX(CountyScoresTbl[Farmworker Need Points Awarded],ROW(S1MATbl[[#This Row],[COUNTY]])-2,1)*S1MATbl[[#This Row],[% OF TOTAL UNRESTRICTED FUNDING]]</f>
        <v>0</v>
      </c>
      <c r="AA53" s="124"/>
      <c r="AB53" s="161"/>
      <c r="AC53" s="161"/>
      <c r="AD53" s="161"/>
      <c r="AE53" s="161"/>
      <c r="AF53" s="98">
        <f t="shared" si="1"/>
        <v>0</v>
      </c>
      <c r="AG53" s="6">
        <f>IF(S1MATbl[[#This Row],[RURAL FUNDING REQUESTED]]=0,0,S1MATbl[[#This Row],[RURAL FUNDING REQUESTED]]/S1_MA_RuralTotalRequested)</f>
        <v>0</v>
      </c>
      <c r="AH53" s="444">
        <f xml:space="preserve">
IF(S1MATbl[[#This Row],[NEW CONSTRUCTION OR AQUIRE/REHAB]]&lt;&gt;"",
3+IF(S1MATbl[[#This Row],[INFILL SITE]]="Yes",2,0),0)
*S1MATbl[[#This Row],[% OF TOTAL RURAL FUNDING]]</f>
        <v>0</v>
      </c>
      <c r="AI53" s="7">
        <f>IF(S1MATbl[[#This Row],[ALL UNITS IN A HIGH OR HIGHEST RESOURCE AREA]]="Yes",10*S1MATbl[[#This Row],[% OF TOTAL RURAL FUNDING]],0)</f>
        <v>0</v>
      </c>
      <c r="AJ53" s="7" cm="1">
        <f t="array" ref="AJ53">INDEX(CountyScoresTbl[Community Need Total Points],ROW(S1MATbl[[#This Row],[COUNTY]])-2,1)*S1MATbl[[#This Row],[% OF TOTAL RURAL FUNDING]]</f>
        <v>0</v>
      </c>
      <c r="AK53" s="432" cm="1">
        <f t="array" ref="AK53"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3" s="73" cm="1">
        <f t="array" ref="AL53">INDEX(CountyScoresTbl[Farmworker Need Points Awarded],ROW(S1MATbl[[#This Row],[COUNTY]])-2,1)*S1MATbl[[#This Row],[% OF TOTAL RURAL FUNDING]]</f>
        <v>0</v>
      </c>
      <c r="AM53" s="422"/>
      <c r="AN53" s="422"/>
      <c r="AO53" s="422"/>
    </row>
    <row r="54" spans="1:41" x14ac:dyDescent="0.35">
      <c r="A54" s="124"/>
      <c r="B54" s="5" t="s">
        <v>166</v>
      </c>
      <c r="C54" s="31" t="s">
        <v>513</v>
      </c>
      <c r="D54" s="113" t="str">
        <f>IF(SUM(S1MATbl[[#This Row],[UNRESTRICTED UNITS]])=0,"",S1MATbl[[#This Row],[UNRESTRICTED UNITS]])</f>
        <v/>
      </c>
      <c r="E54" s="74" t="str">
        <f xml:space="preserve">
IF(S1MATbl[[#This Row],[UNRESTRICTED FUNDING REQUESTED]]=0,"",
S1MATbl[[#This Row],[UNRESTRICTED FUNDING REQUESTED]]*
IF(S1_MA_UnrestrictedTotalRequested&lt;=5000000,1,
5000000/S1_MA_UnrestrictedTotalRequested)
)</f>
        <v/>
      </c>
      <c r="F54" s="6" t="str">
        <f>IFERROR(S1MATbl[[#This Row],[TOTAL $ REQUESTED]]/SUM(S1MATbl[TOTAL $ REQUESTED]),"")</f>
        <v/>
      </c>
      <c r="G54" s="31" t="s">
        <v>513</v>
      </c>
      <c r="H54" s="256" t="str">
        <f>IF(SUM(S1MATbl[[#This Row],[RURAL UNITS]])=0,"",S1MATbl[[#This Row],[RURAL UNITS]])</f>
        <v/>
      </c>
      <c r="I54" s="306" t="str">
        <f xml:space="preserve">
IF(S1MATbl[[#This Row],[RURAL FUNDING REQUESTED]]=0,"",
S1MATbl[[#This Row],[RURAL FUNDING REQUESTED]]*
IF(S1_MA_RuralTotalRequested&lt;=(5000000-E$61),1,
(5000000-E$61)/S1_MA_RuralTotalRequested)
)</f>
        <v/>
      </c>
      <c r="J54" s="257" t="str">
        <f>IFERROR(S1MATbl[[#This Row],[TOTAL $ REQUESTED2]]/SUM(S1MATbl[TOTAL $ REQUESTED2]),"")</f>
        <v/>
      </c>
      <c r="K54" s="31" t="s">
        <v>513</v>
      </c>
      <c r="L54" s="196"/>
      <c r="M54" s="119"/>
      <c r="N54" s="255"/>
      <c r="O54" s="124"/>
      <c r="P54" s="161"/>
      <c r="Q54" s="161"/>
      <c r="R54" s="161"/>
      <c r="S54" s="161"/>
      <c r="T54" s="98">
        <f t="shared" si="0"/>
        <v>0</v>
      </c>
      <c r="U54" s="6">
        <f>IF(S1MATbl[[#This Row],[UNRESTRICTED FUNDING REQUESTED]]=0,0,S1MATbl[[#This Row],[UNRESTRICTED FUNDING REQUESTED]]/S1_MA_UnrestrictedTotalRequested)</f>
        <v>0</v>
      </c>
      <c r="V54" s="444">
        <f xml:space="preserve">
IF(S1MATbl[[#This Row],[NEW CONSTRUCTION OR AQUIRE/REHAB]]&lt;&gt;"",
3+IF(S1MATbl[[#This Row],[INFILL SITE]]="Yes",2,0),0)
*S1MATbl[[#This Row],[% OF TOTAL UNRESTRICTED FUNDING]]</f>
        <v>0</v>
      </c>
      <c r="W54" s="7">
        <f>IF(S1MATbl[[#This Row],[ALL UNITS IN A HIGH OR HIGHEST RESOURCE AREA]]="Yes",10*S1MATbl[[#This Row],[% OF TOTAL UNRESTRICTED FUNDING]],0)</f>
        <v>0</v>
      </c>
      <c r="X54" s="7" cm="1">
        <f t="array" ref="X54">INDEX(CountyScoresTbl[Community Need Total Points],ROW(S1MATbl[[#This Row],[COUNTY]])-2,1)*S1MATbl[[#This Row],[% OF TOTAL UNRESTRICTED FUNDING]]</f>
        <v>0</v>
      </c>
      <c r="Y54" s="432" cm="1">
        <f t="array" ref="Y54"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4" s="26" cm="1">
        <f t="array" ref="Z54">INDEX(CountyScoresTbl[Farmworker Need Points Awarded],ROW(S1MATbl[[#This Row],[COUNTY]])-2,1)*S1MATbl[[#This Row],[% OF TOTAL UNRESTRICTED FUNDING]]</f>
        <v>0</v>
      </c>
      <c r="AA54" s="124"/>
      <c r="AB54" s="161"/>
      <c r="AC54" s="161"/>
      <c r="AD54" s="161"/>
      <c r="AE54" s="161"/>
      <c r="AF54" s="98">
        <f t="shared" si="1"/>
        <v>0</v>
      </c>
      <c r="AG54" s="6">
        <f>IF(S1MATbl[[#This Row],[RURAL FUNDING REQUESTED]]=0,0,S1MATbl[[#This Row],[RURAL FUNDING REQUESTED]]/S1_MA_RuralTotalRequested)</f>
        <v>0</v>
      </c>
      <c r="AH54" s="444">
        <f xml:space="preserve">
IF(S1MATbl[[#This Row],[NEW CONSTRUCTION OR AQUIRE/REHAB]]&lt;&gt;"",
3+IF(S1MATbl[[#This Row],[INFILL SITE]]="Yes",2,0),0)
*S1MATbl[[#This Row],[% OF TOTAL RURAL FUNDING]]</f>
        <v>0</v>
      </c>
      <c r="AI54" s="7">
        <f>IF(S1MATbl[[#This Row],[ALL UNITS IN A HIGH OR HIGHEST RESOURCE AREA]]="Yes",10*S1MATbl[[#This Row],[% OF TOTAL RURAL FUNDING]],0)</f>
        <v>0</v>
      </c>
      <c r="AJ54" s="7" cm="1">
        <f t="array" ref="AJ54">INDEX(CountyScoresTbl[Community Need Total Points],ROW(S1MATbl[[#This Row],[COUNTY]])-2,1)*S1MATbl[[#This Row],[% OF TOTAL RURAL FUNDING]]</f>
        <v>0</v>
      </c>
      <c r="AK54" s="432" cm="1">
        <f t="array" ref="AK54"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4" s="73" cm="1">
        <f t="array" ref="AL54">INDEX(CountyScoresTbl[Farmworker Need Points Awarded],ROW(S1MATbl[[#This Row],[COUNTY]])-2,1)*S1MATbl[[#This Row],[% OF TOTAL RURAL FUNDING]]</f>
        <v>0</v>
      </c>
      <c r="AM54" s="422"/>
      <c r="AN54" s="422"/>
      <c r="AO54" s="422"/>
    </row>
    <row r="55" spans="1:41" x14ac:dyDescent="0.35">
      <c r="A55" s="124"/>
      <c r="B55" s="5" t="s">
        <v>167</v>
      </c>
      <c r="C55" s="31" t="s">
        <v>513</v>
      </c>
      <c r="D55" s="113" t="str">
        <f>IF(SUM(S1MATbl[[#This Row],[UNRESTRICTED UNITS]])=0,"",S1MATbl[[#This Row],[UNRESTRICTED UNITS]])</f>
        <v/>
      </c>
      <c r="E55" s="74" t="str">
        <f xml:space="preserve">
IF(S1MATbl[[#This Row],[UNRESTRICTED FUNDING REQUESTED]]=0,"",
S1MATbl[[#This Row],[UNRESTRICTED FUNDING REQUESTED]]*
IF(S1_MA_UnrestrictedTotalRequested&lt;=5000000,1,
5000000/S1_MA_UnrestrictedTotalRequested)
)</f>
        <v/>
      </c>
      <c r="F55" s="6" t="str">
        <f>IFERROR(S1MATbl[[#This Row],[TOTAL $ REQUESTED]]/SUM(S1MATbl[TOTAL $ REQUESTED]),"")</f>
        <v/>
      </c>
      <c r="G55" s="31" t="s">
        <v>513</v>
      </c>
      <c r="H55" s="256" t="str">
        <f>IF(SUM(S1MATbl[[#This Row],[RURAL UNITS]])=0,"",S1MATbl[[#This Row],[RURAL UNITS]])</f>
        <v/>
      </c>
      <c r="I55" s="306" t="str">
        <f xml:space="preserve">
IF(S1MATbl[[#This Row],[RURAL FUNDING REQUESTED]]=0,"",
S1MATbl[[#This Row],[RURAL FUNDING REQUESTED]]*
IF(S1_MA_RuralTotalRequested&lt;=(5000000-E$61),1,
(5000000-E$61)/S1_MA_RuralTotalRequested)
)</f>
        <v/>
      </c>
      <c r="J55" s="257" t="str">
        <f>IFERROR(S1MATbl[[#This Row],[TOTAL $ REQUESTED2]]/SUM(S1MATbl[TOTAL $ REQUESTED2]),"")</f>
        <v/>
      </c>
      <c r="K55" s="31" t="s">
        <v>513</v>
      </c>
      <c r="L55" s="196"/>
      <c r="M55" s="119"/>
      <c r="N55" s="255"/>
      <c r="O55" s="124"/>
      <c r="P55" s="161"/>
      <c r="Q55" s="161"/>
      <c r="R55" s="161"/>
      <c r="S55" s="161"/>
      <c r="T55" s="98">
        <f t="shared" si="0"/>
        <v>0</v>
      </c>
      <c r="U55" s="6">
        <f>IF(S1MATbl[[#This Row],[UNRESTRICTED FUNDING REQUESTED]]=0,0,S1MATbl[[#This Row],[UNRESTRICTED FUNDING REQUESTED]]/S1_MA_UnrestrictedTotalRequested)</f>
        <v>0</v>
      </c>
      <c r="V55" s="444">
        <f xml:space="preserve">
IF(S1MATbl[[#This Row],[NEW CONSTRUCTION OR AQUIRE/REHAB]]&lt;&gt;"",
3+IF(S1MATbl[[#This Row],[INFILL SITE]]="Yes",2,0),0)
*S1MATbl[[#This Row],[% OF TOTAL UNRESTRICTED FUNDING]]</f>
        <v>0</v>
      </c>
      <c r="W55" s="7">
        <f>IF(S1MATbl[[#This Row],[ALL UNITS IN A HIGH OR HIGHEST RESOURCE AREA]]="Yes",10*S1MATbl[[#This Row],[% OF TOTAL UNRESTRICTED FUNDING]],0)</f>
        <v>0</v>
      </c>
      <c r="X55" s="7" cm="1">
        <f t="array" ref="X55">INDEX(CountyScoresTbl[Community Need Total Points],ROW(S1MATbl[[#This Row],[COUNTY]])-2,1)*S1MATbl[[#This Row],[% OF TOTAL UNRESTRICTED FUNDING]]</f>
        <v>0</v>
      </c>
      <c r="Y55" s="432" cm="1">
        <f t="array" ref="Y55"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5" s="26" cm="1">
        <f t="array" ref="Z55">INDEX(CountyScoresTbl[Farmworker Need Points Awarded],ROW(S1MATbl[[#This Row],[COUNTY]])-2,1)*S1MATbl[[#This Row],[% OF TOTAL UNRESTRICTED FUNDING]]</f>
        <v>0</v>
      </c>
      <c r="AA55" s="124"/>
      <c r="AB55" s="161"/>
      <c r="AC55" s="161"/>
      <c r="AD55" s="161"/>
      <c r="AE55" s="161"/>
      <c r="AF55" s="98">
        <f t="shared" si="1"/>
        <v>0</v>
      </c>
      <c r="AG55" s="6">
        <f>IF(S1MATbl[[#This Row],[RURAL FUNDING REQUESTED]]=0,0,S1MATbl[[#This Row],[RURAL FUNDING REQUESTED]]/S1_MA_RuralTotalRequested)</f>
        <v>0</v>
      </c>
      <c r="AH55" s="444">
        <f xml:space="preserve">
IF(S1MATbl[[#This Row],[NEW CONSTRUCTION OR AQUIRE/REHAB]]&lt;&gt;"",
3+IF(S1MATbl[[#This Row],[INFILL SITE]]="Yes",2,0),0)
*S1MATbl[[#This Row],[% OF TOTAL RURAL FUNDING]]</f>
        <v>0</v>
      </c>
      <c r="AI55" s="7">
        <f>IF(S1MATbl[[#This Row],[ALL UNITS IN A HIGH OR HIGHEST RESOURCE AREA]]="Yes",10*S1MATbl[[#This Row],[% OF TOTAL RURAL FUNDING]],0)</f>
        <v>0</v>
      </c>
      <c r="AJ55" s="7" cm="1">
        <f t="array" ref="AJ55">INDEX(CountyScoresTbl[Community Need Total Points],ROW(S1MATbl[[#This Row],[COUNTY]])-2,1)*S1MATbl[[#This Row],[% OF TOTAL RURAL FUNDING]]</f>
        <v>0</v>
      </c>
      <c r="AK55" s="432" cm="1">
        <f t="array" ref="AK55"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5" s="73" cm="1">
        <f t="array" ref="AL55">INDEX(CountyScoresTbl[Farmworker Need Points Awarded],ROW(S1MATbl[[#This Row],[COUNTY]])-2,1)*S1MATbl[[#This Row],[% OF TOTAL RURAL FUNDING]]</f>
        <v>0</v>
      </c>
      <c r="AM55" s="422"/>
      <c r="AN55" s="422"/>
      <c r="AO55" s="422"/>
    </row>
    <row r="56" spans="1:41" x14ac:dyDescent="0.35">
      <c r="A56" s="124"/>
      <c r="B56" s="5" t="s">
        <v>168</v>
      </c>
      <c r="C56" s="31" t="s">
        <v>513</v>
      </c>
      <c r="D56" s="113" t="str">
        <f>IF(SUM(S1MATbl[[#This Row],[UNRESTRICTED UNITS]])=0,"",S1MATbl[[#This Row],[UNRESTRICTED UNITS]])</f>
        <v/>
      </c>
      <c r="E56" s="74" t="str">
        <f xml:space="preserve">
IF(S1MATbl[[#This Row],[UNRESTRICTED FUNDING REQUESTED]]=0,"",
S1MATbl[[#This Row],[UNRESTRICTED FUNDING REQUESTED]]*
IF(S1_MA_UnrestrictedTotalRequested&lt;=5000000,1,
5000000/S1_MA_UnrestrictedTotalRequested)
)</f>
        <v/>
      </c>
      <c r="F56" s="6" t="str">
        <f>IFERROR(S1MATbl[[#This Row],[TOTAL $ REQUESTED]]/SUM(S1MATbl[TOTAL $ REQUESTED]),"")</f>
        <v/>
      </c>
      <c r="G56" s="31" t="s">
        <v>513</v>
      </c>
      <c r="H56" s="256" t="str">
        <f>IF(SUM(S1MATbl[[#This Row],[RURAL UNITS]])=0,"",S1MATbl[[#This Row],[RURAL UNITS]])</f>
        <v/>
      </c>
      <c r="I56" s="306" t="str">
        <f xml:space="preserve">
IF(S1MATbl[[#This Row],[RURAL FUNDING REQUESTED]]=0,"",
S1MATbl[[#This Row],[RURAL FUNDING REQUESTED]]*
IF(S1_MA_RuralTotalRequested&lt;=(5000000-E$61),1,
(5000000-E$61)/S1_MA_RuralTotalRequested)
)</f>
        <v/>
      </c>
      <c r="J56" s="257" t="str">
        <f>IFERROR(S1MATbl[[#This Row],[TOTAL $ REQUESTED2]]/SUM(S1MATbl[TOTAL $ REQUESTED2]),"")</f>
        <v/>
      </c>
      <c r="K56" s="31" t="s">
        <v>513</v>
      </c>
      <c r="L56" s="196"/>
      <c r="M56" s="119"/>
      <c r="N56" s="255"/>
      <c r="O56" s="124"/>
      <c r="P56" s="161"/>
      <c r="Q56" s="161"/>
      <c r="R56" s="161"/>
      <c r="S56" s="161"/>
      <c r="T56" s="98">
        <f t="shared" si="0"/>
        <v>0</v>
      </c>
      <c r="U56" s="6">
        <f>IF(S1MATbl[[#This Row],[UNRESTRICTED FUNDING REQUESTED]]=0,0,S1MATbl[[#This Row],[UNRESTRICTED FUNDING REQUESTED]]/S1_MA_UnrestrictedTotalRequested)</f>
        <v>0</v>
      </c>
      <c r="V56" s="444">
        <f xml:space="preserve">
IF(S1MATbl[[#This Row],[NEW CONSTRUCTION OR AQUIRE/REHAB]]&lt;&gt;"",
3+IF(S1MATbl[[#This Row],[INFILL SITE]]="Yes",2,0),0)
*S1MATbl[[#This Row],[% OF TOTAL UNRESTRICTED FUNDING]]</f>
        <v>0</v>
      </c>
      <c r="W56" s="7">
        <f>IF(S1MATbl[[#This Row],[ALL UNITS IN A HIGH OR HIGHEST RESOURCE AREA]]="Yes",10*S1MATbl[[#This Row],[% OF TOTAL UNRESTRICTED FUNDING]],0)</f>
        <v>0</v>
      </c>
      <c r="X56" s="7" cm="1">
        <f t="array" ref="X56">INDEX(CountyScoresTbl[Community Need Total Points],ROW(S1MATbl[[#This Row],[COUNTY]])-2,1)*S1MATbl[[#This Row],[% OF TOTAL UNRESTRICTED FUNDING]]</f>
        <v>0</v>
      </c>
      <c r="Y56" s="432" cm="1">
        <f t="array" ref="Y56"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6" s="26" cm="1">
        <f t="array" ref="Z56">INDEX(CountyScoresTbl[Farmworker Need Points Awarded],ROW(S1MATbl[[#This Row],[COUNTY]])-2,1)*S1MATbl[[#This Row],[% OF TOTAL UNRESTRICTED FUNDING]]</f>
        <v>0</v>
      </c>
      <c r="AA56" s="124"/>
      <c r="AB56" s="161"/>
      <c r="AC56" s="161"/>
      <c r="AD56" s="161"/>
      <c r="AE56" s="161"/>
      <c r="AF56" s="98">
        <f t="shared" si="1"/>
        <v>0</v>
      </c>
      <c r="AG56" s="6">
        <f>IF(S1MATbl[[#This Row],[RURAL FUNDING REQUESTED]]=0,0,S1MATbl[[#This Row],[RURAL FUNDING REQUESTED]]/S1_MA_RuralTotalRequested)</f>
        <v>0</v>
      </c>
      <c r="AH56" s="444">
        <f xml:space="preserve">
IF(S1MATbl[[#This Row],[NEW CONSTRUCTION OR AQUIRE/REHAB]]&lt;&gt;"",
3+IF(S1MATbl[[#This Row],[INFILL SITE]]="Yes",2,0),0)
*S1MATbl[[#This Row],[% OF TOTAL RURAL FUNDING]]</f>
        <v>0</v>
      </c>
      <c r="AI56" s="7">
        <f>IF(S1MATbl[[#This Row],[ALL UNITS IN A HIGH OR HIGHEST RESOURCE AREA]]="Yes",10*S1MATbl[[#This Row],[% OF TOTAL RURAL FUNDING]],0)</f>
        <v>0</v>
      </c>
      <c r="AJ56" s="7" cm="1">
        <f t="array" ref="AJ56">INDEX(CountyScoresTbl[Community Need Total Points],ROW(S1MATbl[[#This Row],[COUNTY]])-2,1)*S1MATbl[[#This Row],[% OF TOTAL RURAL FUNDING]]</f>
        <v>0</v>
      </c>
      <c r="AK56" s="432" cm="1">
        <f t="array" ref="AK56"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6" s="73" cm="1">
        <f t="array" ref="AL56">INDEX(CountyScoresTbl[Farmworker Need Points Awarded],ROW(S1MATbl[[#This Row],[COUNTY]])-2,1)*S1MATbl[[#This Row],[% OF TOTAL RURAL FUNDING]]</f>
        <v>0</v>
      </c>
      <c r="AM56" s="422"/>
      <c r="AN56" s="422"/>
      <c r="AO56" s="422"/>
    </row>
    <row r="57" spans="1:41" x14ac:dyDescent="0.35">
      <c r="A57" s="124"/>
      <c r="B57" s="5" t="s">
        <v>169</v>
      </c>
      <c r="C57" s="31" t="s">
        <v>513</v>
      </c>
      <c r="D57" s="113" t="str">
        <f>IF(SUM(S1MATbl[[#This Row],[UNRESTRICTED UNITS]])=0,"",S1MATbl[[#This Row],[UNRESTRICTED UNITS]])</f>
        <v/>
      </c>
      <c r="E57" s="74" t="str">
        <f xml:space="preserve">
IF(S1MATbl[[#This Row],[UNRESTRICTED FUNDING REQUESTED]]=0,"",
S1MATbl[[#This Row],[UNRESTRICTED FUNDING REQUESTED]]*
IF(S1_MA_UnrestrictedTotalRequested&lt;=5000000,1,
5000000/S1_MA_UnrestrictedTotalRequested)
)</f>
        <v/>
      </c>
      <c r="F57" s="6" t="str">
        <f>IFERROR(S1MATbl[[#This Row],[TOTAL $ REQUESTED]]/SUM(S1MATbl[TOTAL $ REQUESTED]),"")</f>
        <v/>
      </c>
      <c r="G57" s="31" t="s">
        <v>513</v>
      </c>
      <c r="H57" s="256" t="str">
        <f>IF(SUM(S1MATbl[[#This Row],[RURAL UNITS]])=0,"",S1MATbl[[#This Row],[RURAL UNITS]])</f>
        <v/>
      </c>
      <c r="I57" s="306" t="str">
        <f xml:space="preserve">
IF(S1MATbl[[#This Row],[RURAL FUNDING REQUESTED]]=0,"",
S1MATbl[[#This Row],[RURAL FUNDING REQUESTED]]*
IF(S1_MA_RuralTotalRequested&lt;=(5000000-E$61),1,
(5000000-E$61)/S1_MA_RuralTotalRequested)
)</f>
        <v/>
      </c>
      <c r="J57" s="257" t="str">
        <f>IFERROR(S1MATbl[[#This Row],[TOTAL $ REQUESTED2]]/SUM(S1MATbl[TOTAL $ REQUESTED2]),"")</f>
        <v/>
      </c>
      <c r="K57" s="31" t="s">
        <v>513</v>
      </c>
      <c r="L57" s="196"/>
      <c r="M57" s="119"/>
      <c r="N57" s="255"/>
      <c r="O57" s="124"/>
      <c r="P57" s="161"/>
      <c r="Q57" s="161"/>
      <c r="R57" s="161"/>
      <c r="S57" s="161"/>
      <c r="T57" s="98">
        <f t="shared" si="0"/>
        <v>0</v>
      </c>
      <c r="U57" s="6">
        <f>IF(S1MATbl[[#This Row],[UNRESTRICTED FUNDING REQUESTED]]=0,0,S1MATbl[[#This Row],[UNRESTRICTED FUNDING REQUESTED]]/S1_MA_UnrestrictedTotalRequested)</f>
        <v>0</v>
      </c>
      <c r="V57" s="444">
        <f xml:space="preserve">
IF(S1MATbl[[#This Row],[NEW CONSTRUCTION OR AQUIRE/REHAB]]&lt;&gt;"",
3+IF(S1MATbl[[#This Row],[INFILL SITE]]="Yes",2,0),0)
*S1MATbl[[#This Row],[% OF TOTAL UNRESTRICTED FUNDING]]</f>
        <v>0</v>
      </c>
      <c r="W57" s="7">
        <f>IF(S1MATbl[[#This Row],[ALL UNITS IN A HIGH OR HIGHEST RESOURCE AREA]]="Yes",10*S1MATbl[[#This Row],[% OF TOTAL UNRESTRICTED FUNDING]],0)</f>
        <v>0</v>
      </c>
      <c r="X57" s="7" cm="1">
        <f t="array" ref="X57">INDEX(CountyScoresTbl[Community Need Total Points],ROW(S1MATbl[[#This Row],[COUNTY]])-2,1)*S1MATbl[[#This Row],[% OF TOTAL UNRESTRICTED FUNDING]]</f>
        <v>0</v>
      </c>
      <c r="Y57" s="432" cm="1">
        <f t="array" ref="Y57"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7" s="26" cm="1">
        <f t="array" ref="Z57">INDEX(CountyScoresTbl[Farmworker Need Points Awarded],ROW(S1MATbl[[#This Row],[COUNTY]])-2,1)*S1MATbl[[#This Row],[% OF TOTAL UNRESTRICTED FUNDING]]</f>
        <v>0</v>
      </c>
      <c r="AA57" s="124"/>
      <c r="AB57" s="161"/>
      <c r="AC57" s="161"/>
      <c r="AD57" s="161"/>
      <c r="AE57" s="161"/>
      <c r="AF57" s="98">
        <f t="shared" si="1"/>
        <v>0</v>
      </c>
      <c r="AG57" s="6">
        <f>IF(S1MATbl[[#This Row],[RURAL FUNDING REQUESTED]]=0,0,S1MATbl[[#This Row],[RURAL FUNDING REQUESTED]]/S1_MA_RuralTotalRequested)</f>
        <v>0</v>
      </c>
      <c r="AH57" s="444">
        <f xml:space="preserve">
IF(S1MATbl[[#This Row],[NEW CONSTRUCTION OR AQUIRE/REHAB]]&lt;&gt;"",
3+IF(S1MATbl[[#This Row],[INFILL SITE]]="Yes",2,0),0)
*S1MATbl[[#This Row],[% OF TOTAL RURAL FUNDING]]</f>
        <v>0</v>
      </c>
      <c r="AI57" s="7">
        <f>IF(S1MATbl[[#This Row],[ALL UNITS IN A HIGH OR HIGHEST RESOURCE AREA]]="Yes",10*S1MATbl[[#This Row],[% OF TOTAL RURAL FUNDING]],0)</f>
        <v>0</v>
      </c>
      <c r="AJ57" s="7" cm="1">
        <f t="array" ref="AJ57">INDEX(CountyScoresTbl[Community Need Total Points],ROW(S1MATbl[[#This Row],[COUNTY]])-2,1)*S1MATbl[[#This Row],[% OF TOTAL RURAL FUNDING]]</f>
        <v>0</v>
      </c>
      <c r="AK57" s="432" cm="1">
        <f t="array" ref="AK57"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7" s="73" cm="1">
        <f t="array" ref="AL57">INDEX(CountyScoresTbl[Farmworker Need Points Awarded],ROW(S1MATbl[[#This Row],[COUNTY]])-2,1)*S1MATbl[[#This Row],[% OF TOTAL RURAL FUNDING]]</f>
        <v>0</v>
      </c>
      <c r="AM57" s="422"/>
      <c r="AN57" s="422"/>
      <c r="AO57" s="422"/>
    </row>
    <row r="58" spans="1:41" x14ac:dyDescent="0.35">
      <c r="A58" s="124"/>
      <c r="B58" s="5" t="s">
        <v>170</v>
      </c>
      <c r="C58" s="31" t="s">
        <v>513</v>
      </c>
      <c r="D58" s="113" t="str">
        <f>IF(SUM(S1MATbl[[#This Row],[UNRESTRICTED UNITS]])=0,"",S1MATbl[[#This Row],[UNRESTRICTED UNITS]])</f>
        <v/>
      </c>
      <c r="E58" s="74" t="str">
        <f xml:space="preserve">
IF(S1MATbl[[#This Row],[UNRESTRICTED FUNDING REQUESTED]]=0,"",
S1MATbl[[#This Row],[UNRESTRICTED FUNDING REQUESTED]]*
IF(S1_MA_UnrestrictedTotalRequested&lt;=5000000,1,
5000000/S1_MA_UnrestrictedTotalRequested)
)</f>
        <v/>
      </c>
      <c r="F58" s="6" t="str">
        <f>IFERROR(S1MATbl[[#This Row],[TOTAL $ REQUESTED]]/SUM(S1MATbl[TOTAL $ REQUESTED]),"")</f>
        <v/>
      </c>
      <c r="G58" s="31" t="s">
        <v>513</v>
      </c>
      <c r="H58" s="256" t="str">
        <f>IF(SUM(S1MATbl[[#This Row],[RURAL UNITS]])=0,"",S1MATbl[[#This Row],[RURAL UNITS]])</f>
        <v/>
      </c>
      <c r="I58" s="306" t="str">
        <f xml:space="preserve">
IF(S1MATbl[[#This Row],[RURAL FUNDING REQUESTED]]=0,"",
S1MATbl[[#This Row],[RURAL FUNDING REQUESTED]]*
IF(S1_MA_RuralTotalRequested&lt;=(5000000-E$61),1,
(5000000-E$61)/S1_MA_RuralTotalRequested)
)</f>
        <v/>
      </c>
      <c r="J58" s="257" t="str">
        <f>IFERROR(S1MATbl[[#This Row],[TOTAL $ REQUESTED2]]/SUM(S1MATbl[TOTAL $ REQUESTED2]),"")</f>
        <v/>
      </c>
      <c r="K58" s="31" t="s">
        <v>513</v>
      </c>
      <c r="L58" s="196"/>
      <c r="M58" s="119"/>
      <c r="N58" s="255"/>
      <c r="O58" s="124"/>
      <c r="P58" s="161"/>
      <c r="Q58" s="161"/>
      <c r="R58" s="161"/>
      <c r="S58" s="161"/>
      <c r="T58" s="98">
        <f t="shared" si="0"/>
        <v>0</v>
      </c>
      <c r="U58" s="6">
        <f>IF(S1MATbl[[#This Row],[UNRESTRICTED FUNDING REQUESTED]]=0,0,S1MATbl[[#This Row],[UNRESTRICTED FUNDING REQUESTED]]/S1_MA_UnrestrictedTotalRequested)</f>
        <v>0</v>
      </c>
      <c r="V58" s="444">
        <f xml:space="preserve">
IF(S1MATbl[[#This Row],[NEW CONSTRUCTION OR AQUIRE/REHAB]]&lt;&gt;"",
3+IF(S1MATbl[[#This Row],[INFILL SITE]]="Yes",2,0),0)
*S1MATbl[[#This Row],[% OF TOTAL UNRESTRICTED FUNDING]]</f>
        <v>0</v>
      </c>
      <c r="W58" s="7">
        <f>IF(S1MATbl[[#This Row],[ALL UNITS IN A HIGH OR HIGHEST RESOURCE AREA]]="Yes",10*S1MATbl[[#This Row],[% OF TOTAL UNRESTRICTED FUNDING]],0)</f>
        <v>0</v>
      </c>
      <c r="X58" s="7" cm="1">
        <f t="array" ref="X58">INDEX(CountyScoresTbl[Community Need Total Points],ROW(S1MATbl[[#This Row],[COUNTY]])-2,1)*S1MATbl[[#This Row],[% OF TOTAL UNRESTRICTED FUNDING]]</f>
        <v>0</v>
      </c>
      <c r="Y58" s="432" cm="1">
        <f t="array" ref="Y58"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8" s="26" cm="1">
        <f t="array" ref="Z58">INDEX(CountyScoresTbl[Farmworker Need Points Awarded],ROW(S1MATbl[[#This Row],[COUNTY]])-2,1)*S1MATbl[[#This Row],[% OF TOTAL UNRESTRICTED FUNDING]]</f>
        <v>0</v>
      </c>
      <c r="AA58" s="124"/>
      <c r="AB58" s="161"/>
      <c r="AC58" s="161"/>
      <c r="AD58" s="161"/>
      <c r="AE58" s="161"/>
      <c r="AF58" s="98">
        <f t="shared" si="1"/>
        <v>0</v>
      </c>
      <c r="AG58" s="6">
        <f>IF(S1MATbl[[#This Row],[RURAL FUNDING REQUESTED]]=0,0,S1MATbl[[#This Row],[RURAL FUNDING REQUESTED]]/S1_MA_RuralTotalRequested)</f>
        <v>0</v>
      </c>
      <c r="AH58" s="444">
        <f xml:space="preserve">
IF(S1MATbl[[#This Row],[NEW CONSTRUCTION OR AQUIRE/REHAB]]&lt;&gt;"",
3+IF(S1MATbl[[#This Row],[INFILL SITE]]="Yes",2,0),0)
*S1MATbl[[#This Row],[% OF TOTAL RURAL FUNDING]]</f>
        <v>0</v>
      </c>
      <c r="AI58" s="7">
        <f>IF(S1MATbl[[#This Row],[ALL UNITS IN A HIGH OR HIGHEST RESOURCE AREA]]="Yes",10*S1MATbl[[#This Row],[% OF TOTAL RURAL FUNDING]],0)</f>
        <v>0</v>
      </c>
      <c r="AJ58" s="7" cm="1">
        <f t="array" ref="AJ58">INDEX(CountyScoresTbl[Community Need Total Points],ROW(S1MATbl[[#This Row],[COUNTY]])-2,1)*S1MATbl[[#This Row],[% OF TOTAL RURAL FUNDING]]</f>
        <v>0</v>
      </c>
      <c r="AK58" s="432" cm="1">
        <f t="array" ref="AK58"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8" s="73" cm="1">
        <f t="array" ref="AL58">INDEX(CountyScoresTbl[Farmworker Need Points Awarded],ROW(S1MATbl[[#This Row],[COUNTY]])-2,1)*S1MATbl[[#This Row],[% OF TOTAL RURAL FUNDING]]</f>
        <v>0</v>
      </c>
      <c r="AM58" s="422"/>
      <c r="AN58" s="422"/>
      <c r="AO58" s="422"/>
    </row>
    <row r="59" spans="1:41" x14ac:dyDescent="0.35">
      <c r="A59" s="124"/>
      <c r="B59" s="5" t="s">
        <v>171</v>
      </c>
      <c r="C59" s="31" t="s">
        <v>513</v>
      </c>
      <c r="D59" s="113" t="str">
        <f>IF(SUM(S1MATbl[[#This Row],[UNRESTRICTED UNITS]])=0,"",S1MATbl[[#This Row],[UNRESTRICTED UNITS]])</f>
        <v/>
      </c>
      <c r="E59" s="74" t="str">
        <f xml:space="preserve">
IF(S1MATbl[[#This Row],[UNRESTRICTED FUNDING REQUESTED]]=0,"",
S1MATbl[[#This Row],[UNRESTRICTED FUNDING REQUESTED]]*
IF(S1_MA_UnrestrictedTotalRequested&lt;=5000000,1,
5000000/S1_MA_UnrestrictedTotalRequested)
)</f>
        <v/>
      </c>
      <c r="F59" s="6" t="str">
        <f>IFERROR(S1MATbl[[#This Row],[TOTAL $ REQUESTED]]/SUM(S1MATbl[TOTAL $ REQUESTED]),"")</f>
        <v/>
      </c>
      <c r="G59" s="31" t="s">
        <v>513</v>
      </c>
      <c r="H59" s="256" t="str">
        <f>IF(SUM(S1MATbl[[#This Row],[RURAL UNITS]])=0,"",S1MATbl[[#This Row],[RURAL UNITS]])</f>
        <v/>
      </c>
      <c r="I59" s="306" t="str">
        <f xml:space="preserve">
IF(S1MATbl[[#This Row],[RURAL FUNDING REQUESTED]]=0,"",
S1MATbl[[#This Row],[RURAL FUNDING REQUESTED]]*
IF(S1_MA_RuralTotalRequested&lt;=(5000000-E$61),1,
(5000000-E$61)/S1_MA_RuralTotalRequested)
)</f>
        <v/>
      </c>
      <c r="J59" s="257" t="str">
        <f>IFERROR(S1MATbl[[#This Row],[TOTAL $ REQUESTED2]]/SUM(S1MATbl[TOTAL $ REQUESTED2]),"")</f>
        <v/>
      </c>
      <c r="K59" s="31" t="s">
        <v>513</v>
      </c>
      <c r="L59" s="196"/>
      <c r="M59" s="119"/>
      <c r="N59" s="255"/>
      <c r="O59" s="124"/>
      <c r="P59" s="161"/>
      <c r="Q59" s="161"/>
      <c r="R59" s="161"/>
      <c r="S59" s="161"/>
      <c r="T59" s="98">
        <f t="shared" si="0"/>
        <v>0</v>
      </c>
      <c r="U59" s="6">
        <f>IF(S1MATbl[[#This Row],[UNRESTRICTED FUNDING REQUESTED]]=0,0,S1MATbl[[#This Row],[UNRESTRICTED FUNDING REQUESTED]]/S1_MA_UnrestrictedTotalRequested)</f>
        <v>0</v>
      </c>
      <c r="V59" s="444">
        <f xml:space="preserve">
IF(S1MATbl[[#This Row],[NEW CONSTRUCTION OR AQUIRE/REHAB]]&lt;&gt;"",
3+IF(S1MATbl[[#This Row],[INFILL SITE]]="Yes",2,0),0)
*S1MATbl[[#This Row],[% OF TOTAL UNRESTRICTED FUNDING]]</f>
        <v>0</v>
      </c>
      <c r="W59" s="7">
        <f>IF(S1MATbl[[#This Row],[ALL UNITS IN A HIGH OR HIGHEST RESOURCE AREA]]="Yes",10*S1MATbl[[#This Row],[% OF TOTAL UNRESTRICTED FUNDING]],0)</f>
        <v>0</v>
      </c>
      <c r="X59" s="7" cm="1">
        <f t="array" ref="X59">INDEX(CountyScoresTbl[Community Need Total Points],ROW(S1MATbl[[#This Row],[COUNTY]])-2,1)*S1MATbl[[#This Row],[% OF TOTAL UNRESTRICTED FUNDING]]</f>
        <v>0</v>
      </c>
      <c r="Y59" s="432" cm="1">
        <f t="array" ref="Y59"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59" s="26" cm="1">
        <f t="array" ref="Z59">INDEX(CountyScoresTbl[Farmworker Need Points Awarded],ROW(S1MATbl[[#This Row],[COUNTY]])-2,1)*S1MATbl[[#This Row],[% OF TOTAL UNRESTRICTED FUNDING]]</f>
        <v>0</v>
      </c>
      <c r="AA59" s="124"/>
      <c r="AB59" s="161"/>
      <c r="AC59" s="161"/>
      <c r="AD59" s="161"/>
      <c r="AE59" s="161"/>
      <c r="AF59" s="98">
        <f t="shared" si="1"/>
        <v>0</v>
      </c>
      <c r="AG59" s="6">
        <f>IF(S1MATbl[[#This Row],[RURAL FUNDING REQUESTED]]=0,0,S1MATbl[[#This Row],[RURAL FUNDING REQUESTED]]/S1_MA_RuralTotalRequested)</f>
        <v>0</v>
      </c>
      <c r="AH59" s="444">
        <f xml:space="preserve">
IF(S1MATbl[[#This Row],[NEW CONSTRUCTION OR AQUIRE/REHAB]]&lt;&gt;"",
3+IF(S1MATbl[[#This Row],[INFILL SITE]]="Yes",2,0),0)
*S1MATbl[[#This Row],[% OF TOTAL RURAL FUNDING]]</f>
        <v>0</v>
      </c>
      <c r="AI59" s="7">
        <f>IF(S1MATbl[[#This Row],[ALL UNITS IN A HIGH OR HIGHEST RESOURCE AREA]]="Yes",10*S1MATbl[[#This Row],[% OF TOTAL RURAL FUNDING]],0)</f>
        <v>0</v>
      </c>
      <c r="AJ59" s="7" cm="1">
        <f t="array" ref="AJ59">INDEX(CountyScoresTbl[Community Need Total Points],ROW(S1MATbl[[#This Row],[COUNTY]])-2,1)*S1MATbl[[#This Row],[% OF TOTAL RURAL FUNDING]]</f>
        <v>0</v>
      </c>
      <c r="AK59" s="432" cm="1">
        <f t="array" ref="AK59"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59" s="73" cm="1">
        <f t="array" ref="AL59">INDEX(CountyScoresTbl[Farmworker Need Points Awarded],ROW(S1MATbl[[#This Row],[COUNTY]])-2,1)*S1MATbl[[#This Row],[% OF TOTAL RURAL FUNDING]]</f>
        <v>0</v>
      </c>
      <c r="AM59" s="422"/>
      <c r="AN59" s="422"/>
      <c r="AO59" s="422"/>
    </row>
    <row r="60" spans="1:41" ht="15" thickBot="1" x14ac:dyDescent="0.4">
      <c r="A60" s="381"/>
      <c r="B60" s="382" t="s">
        <v>172</v>
      </c>
      <c r="C60" s="383" t="s">
        <v>513</v>
      </c>
      <c r="D60" s="384" t="str">
        <f>IF(SUM(S1MATbl[[#This Row],[UNRESTRICTED UNITS]])=0,"",S1MATbl[[#This Row],[UNRESTRICTED UNITS]])</f>
        <v/>
      </c>
      <c r="E60" s="385" t="str">
        <f xml:space="preserve">
IF(S1MATbl[[#This Row],[UNRESTRICTED FUNDING REQUESTED]]=0,"",
S1MATbl[[#This Row],[UNRESTRICTED FUNDING REQUESTED]]*
IF(S1_MA_UnrestrictedTotalRequested&lt;=5000000,1,
5000000/S1_MA_UnrestrictedTotalRequested)
)</f>
        <v/>
      </c>
      <c r="F60" s="386" t="str">
        <f>IFERROR(S1MATbl[[#This Row],[TOTAL $ REQUESTED]]/SUM(S1MATbl[TOTAL $ REQUESTED]),"")</f>
        <v/>
      </c>
      <c r="G60" s="383" t="s">
        <v>513</v>
      </c>
      <c r="H60" s="387" t="str">
        <f>IF(SUM(S1MATbl[[#This Row],[RURAL UNITS]])=0,"",S1MATbl[[#This Row],[RURAL UNITS]])</f>
        <v/>
      </c>
      <c r="I60" s="388" t="str">
        <f xml:space="preserve">
IF(S1MATbl[[#This Row],[RURAL FUNDING REQUESTED]]=0,"",
S1MATbl[[#This Row],[RURAL FUNDING REQUESTED]]*
IF(S1_MA_RuralTotalRequested&lt;=(5000000-E$61),1,
(5000000-E$61)/S1_MA_RuralTotalRequested)
)</f>
        <v/>
      </c>
      <c r="J60" s="389" t="str">
        <f>IFERROR(S1MATbl[[#This Row],[TOTAL $ REQUESTED2]]/SUM(S1MATbl[TOTAL $ REQUESTED2]),"")</f>
        <v/>
      </c>
      <c r="K60" s="383" t="s">
        <v>513</v>
      </c>
      <c r="L60" s="390"/>
      <c r="M60" s="391"/>
      <c r="N60" s="392"/>
      <c r="O60" s="381"/>
      <c r="P60" s="393"/>
      <c r="Q60" s="393"/>
      <c r="R60" s="393"/>
      <c r="S60" s="393"/>
      <c r="T60" s="385">
        <f t="shared" si="0"/>
        <v>0</v>
      </c>
      <c r="U60" s="386">
        <f>IF(S1MATbl[[#This Row],[UNRESTRICTED FUNDING REQUESTED]]=0,0,S1MATbl[[#This Row],[UNRESTRICTED FUNDING REQUESTED]]/S1_MA_UnrestrictedTotalRequested)</f>
        <v>0</v>
      </c>
      <c r="V60" s="445">
        <f xml:space="preserve">
IF(S1MATbl[[#This Row],[NEW CONSTRUCTION OR AQUIRE/REHAB]]&lt;&gt;"",
3+IF(S1MATbl[[#This Row],[INFILL SITE]]="Yes",2,0),0)
*S1MATbl[[#This Row],[% OF TOTAL UNRESTRICTED FUNDING]]</f>
        <v>0</v>
      </c>
      <c r="W60" s="394">
        <f>IF(S1MATbl[[#This Row],[ALL UNITS IN A HIGH OR HIGHEST RESOURCE AREA]]="Yes",10*S1MATbl[[#This Row],[% OF TOTAL UNRESTRICTED FUNDING]],0)</f>
        <v>0</v>
      </c>
      <c r="X60" s="394" cm="1">
        <f t="array" ref="X60">INDEX(CountyScoresTbl[Community Need Total Points],ROW(S1MATbl[[#This Row],[COUNTY]])-2,1)*S1MATbl[[#This Row],[% OF TOTAL UNRESTRICTED FUNDING]]</f>
        <v>0</v>
      </c>
      <c r="Y60" s="24" cm="1">
        <f t="array" ref="Y60" xml:space="preserve">
IF(
AND(
OR(
S1MATbl[[#This Row],[NEW CONSTRUCTION OR AQUIRE/REHAB]]="Newly Constructed Housing",
S1MATbl[[#This Row],[NEW CONSTRUCTION OR AQUIRE/REHAB]]="Acquired and Rehabilitated Housing"),
S1MATbl[[#This Row],[FundingSource]]="Yes",S1MATbl[[#This Row],[FirstTimeBuyers]]="Yes"),
20*S1MATbl[[#This Row],[% OF TOTAL UNRESTRICTED FUNDING]],
INDEX(CountyScoresTbl[CalHome Feasibility Points Awarded],ROW(S1MATbl[[#This Row],[COUNTY]])-2,1)*S1MATbl[[#This Row],[% OF TOTAL UNRESTRICTED FUNDING]])</f>
        <v>0</v>
      </c>
      <c r="Z60" s="395" cm="1">
        <f t="array" ref="Z60">INDEX(CountyScoresTbl[Farmworker Need Points Awarded],ROW(S1MATbl[[#This Row],[COUNTY]])-2,1)*S1MATbl[[#This Row],[% OF TOTAL UNRESTRICTED FUNDING]]</f>
        <v>0</v>
      </c>
      <c r="AA60" s="381"/>
      <c r="AB60" s="393"/>
      <c r="AC60" s="393"/>
      <c r="AD60" s="393"/>
      <c r="AE60" s="393"/>
      <c r="AF60" s="385">
        <f t="shared" si="1"/>
        <v>0</v>
      </c>
      <c r="AG60" s="386">
        <f>IF(S1MATbl[[#This Row],[RURAL FUNDING REQUESTED]]=0,0,S1MATbl[[#This Row],[RURAL FUNDING REQUESTED]]/S1_MA_RuralTotalRequested)</f>
        <v>0</v>
      </c>
      <c r="AH60" s="445">
        <f xml:space="preserve">
IF(S1MATbl[[#This Row],[NEW CONSTRUCTION OR AQUIRE/REHAB]]&lt;&gt;"",
3+IF(S1MATbl[[#This Row],[INFILL SITE]]="Yes",2,0),0)
*S1MATbl[[#This Row],[% OF TOTAL RURAL FUNDING]]</f>
        <v>0</v>
      </c>
      <c r="AI60" s="394">
        <f>IF(S1MATbl[[#This Row],[ALL UNITS IN A HIGH OR HIGHEST RESOURCE AREA]]="Yes",10*S1MATbl[[#This Row],[% OF TOTAL RURAL FUNDING]],0)</f>
        <v>0</v>
      </c>
      <c r="AJ60" s="394" cm="1">
        <f t="array" ref="AJ60">INDEX(CountyScoresTbl[Community Need Total Points],ROW(S1MATbl[[#This Row],[COUNTY]])-2,1)*S1MATbl[[#This Row],[% OF TOTAL RURAL FUNDING]]</f>
        <v>0</v>
      </c>
      <c r="AK60" s="24" cm="1">
        <f t="array" ref="AK60" xml:space="preserve">
IF(
AND(
OR(
S1MATbl[[#This Row],[NEW CONSTRUCTION OR AQUIRE/REHAB]]="Newly Constructed Housing",
S1MATbl[[#This Row],[NEW CONSTRUCTION OR AQUIRE/REHAB]]="Acquired and Rehabilitated Housing"),
S1MATbl[[#This Row],[FundingSource]]="Yes",S1MATbl[[#This Row],[FirstTimeBuyers]]="Yes"),
20*S1MATbl[[#This Row],[% OF TOTAL RURAL FUNDING]],
INDEX(CountyScoresTbl[CalHome Feasibility Points Awarded],ROW(S1MATbl[[#This Row],[COUNTY]])-2,1)*S1MATbl[[#This Row],[% OF TOTAL RURAL FUNDING]])</f>
        <v>0</v>
      </c>
      <c r="AL60" s="424" cm="1">
        <f t="array" ref="AL60">INDEX(CountyScoresTbl[Farmworker Need Points Awarded],ROW(S1MATbl[[#This Row],[COUNTY]])-2,1)*S1MATbl[[#This Row],[% OF TOTAL RURAL FUNDING]]</f>
        <v>0</v>
      </c>
      <c r="AM60" s="422"/>
      <c r="AN60" s="422"/>
      <c r="AO60" s="422"/>
    </row>
    <row r="61" spans="1:41" ht="15" thickBot="1" x14ac:dyDescent="0.4">
      <c r="A61" s="209"/>
      <c r="B61" s="259"/>
      <c r="C61" s="220"/>
      <c r="D61" s="150">
        <f>SUM(D$3:D$60)</f>
        <v>0</v>
      </c>
      <c r="E61" s="151">
        <f>SUM(E$3:E$60)</f>
        <v>0</v>
      </c>
      <c r="F61" s="320">
        <f>SUM(F$3:F$60)</f>
        <v>0</v>
      </c>
      <c r="G61" s="220"/>
      <c r="H61" s="209">
        <f>SUM(H$3:H$60)</f>
        <v>0</v>
      </c>
      <c r="I61" s="307">
        <f>SUM(I$3:I$60)</f>
        <v>0</v>
      </c>
      <c r="J61" s="320">
        <f>SUM(J$3:J$60)</f>
        <v>0</v>
      </c>
      <c r="K61" s="220"/>
      <c r="L61" s="209">
        <f>COUNTIF(S1MATbl[ALL UNITS IN A HIGH OR HIGHEST RESOURCE AREA],"Yes")</f>
        <v>0</v>
      </c>
      <c r="M61" s="207">
        <f>COUNTIF(S1MATbl[APPLY FOR RURAL AREA SET ASSIDE?],"Yes")</f>
        <v>0</v>
      </c>
      <c r="N61" s="223">
        <f>COUNTIF(S1MATbl[NEW CONSTRUCTION OR AQUIRE/REHAB],"Yes")</f>
        <v>0</v>
      </c>
      <c r="O61" s="321">
        <f>SUM(O$3:O$60)</f>
        <v>0</v>
      </c>
      <c r="P61" s="97">
        <f t="shared" ref="P61:AL61" si="2">SUM(P$3:P$60)</f>
        <v>0</v>
      </c>
      <c r="Q61" s="97">
        <f t="shared" si="2"/>
        <v>0</v>
      </c>
      <c r="R61" s="97">
        <f t="shared" si="2"/>
        <v>0</v>
      </c>
      <c r="S61" s="97">
        <f t="shared" si="2"/>
        <v>0</v>
      </c>
      <c r="T61" s="151">
        <f t="shared" si="2"/>
        <v>0</v>
      </c>
      <c r="U61" s="208">
        <f t="shared" si="2"/>
        <v>0</v>
      </c>
      <c r="V61" s="137">
        <f t="shared" si="2"/>
        <v>0</v>
      </c>
      <c r="W61" s="137">
        <f t="shared" si="2"/>
        <v>0</v>
      </c>
      <c r="X61" s="137">
        <f t="shared" si="2"/>
        <v>0</v>
      </c>
      <c r="Y61" s="153">
        <f t="shared" si="2"/>
        <v>0</v>
      </c>
      <c r="Z61" s="138">
        <f t="shared" si="2"/>
        <v>0</v>
      </c>
      <c r="AA61" s="209">
        <f t="shared" si="2"/>
        <v>0</v>
      </c>
      <c r="AB61" s="97">
        <f t="shared" si="2"/>
        <v>0</v>
      </c>
      <c r="AC61" s="97">
        <f t="shared" si="2"/>
        <v>0</v>
      </c>
      <c r="AD61" s="97">
        <f t="shared" si="2"/>
        <v>0</v>
      </c>
      <c r="AE61" s="97">
        <f t="shared" si="2"/>
        <v>0</v>
      </c>
      <c r="AF61" s="151">
        <f t="shared" si="2"/>
        <v>0</v>
      </c>
      <c r="AG61" s="208">
        <f t="shared" si="2"/>
        <v>0</v>
      </c>
      <c r="AH61" s="137">
        <f t="shared" si="2"/>
        <v>0</v>
      </c>
      <c r="AI61" s="137">
        <f t="shared" si="2"/>
        <v>0</v>
      </c>
      <c r="AJ61" s="137">
        <f t="shared" si="2"/>
        <v>0</v>
      </c>
      <c r="AK61" s="153">
        <f t="shared" si="2"/>
        <v>0</v>
      </c>
      <c r="AL61" s="425">
        <f t="shared" si="2"/>
        <v>0</v>
      </c>
      <c r="AM61" s="427">
        <f>COUNTIF(AM$3:AM$60,"Yes")</f>
        <v>0</v>
      </c>
      <c r="AN61" s="427">
        <f>COUNTIF(AN$3:AN$60,"Yes")</f>
        <v>0</v>
      </c>
      <c r="AO61" s="427">
        <f>COUNTIF(AO$3:AO$60,"Yes")</f>
        <v>0</v>
      </c>
    </row>
  </sheetData>
  <sheetProtection formatCells="0" selectLockedCells="1"/>
  <dataConsolidate/>
  <mergeCells count="5">
    <mergeCell ref="AA1:AL1"/>
    <mergeCell ref="L1:N1"/>
    <mergeCell ref="O1:Z1"/>
    <mergeCell ref="H1:J1"/>
    <mergeCell ref="D1:F1"/>
  </mergeCells>
  <phoneticPr fontId="6" type="noConversion"/>
  <pageMargins left="0.7" right="0.7" top="0.75" bottom="0.75" header="0.3" footer="0.3"/>
  <pageSetup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1AMHData"/>
  <dimension ref="A1:AI61"/>
  <sheetViews>
    <sheetView topLeftCell="M1" zoomScale="70" zoomScaleNormal="70" workbookViewId="0">
      <selection activeCell="X5" sqref="X5"/>
    </sheetView>
  </sheetViews>
  <sheetFormatPr defaultColWidth="5.54296875" defaultRowHeight="14.5" x14ac:dyDescent="0.35"/>
  <cols>
    <col min="1" max="2" width="22.54296875" customWidth="1"/>
    <col min="3" max="3" width="1.54296875" customWidth="1"/>
    <col min="4" max="6" width="18.54296875" customWidth="1"/>
    <col min="7" max="7" width="1.54296875" customWidth="1"/>
    <col min="8" max="10" width="18.54296875" customWidth="1"/>
    <col min="11" max="11" width="1.54296875" customWidth="1"/>
    <col min="12" max="32" width="18.54296875" customWidth="1"/>
    <col min="33" max="35" width="15.54296875" customWidth="1"/>
  </cols>
  <sheetData>
    <row r="1" spans="1:35" ht="21" customHeight="1" thickBot="1" x14ac:dyDescent="0.4">
      <c r="A1" s="1367" t="s">
        <v>654</v>
      </c>
      <c r="B1" s="1374"/>
      <c r="C1" s="1368"/>
      <c r="D1" s="1371" t="s">
        <v>506</v>
      </c>
      <c r="E1" s="1372"/>
      <c r="F1" s="1372"/>
      <c r="G1" s="1373"/>
      <c r="H1" s="1371" t="s">
        <v>508</v>
      </c>
      <c r="I1" s="1372"/>
      <c r="J1" s="1372"/>
      <c r="K1" s="1373"/>
      <c r="L1" s="1371" t="s">
        <v>510</v>
      </c>
      <c r="M1" s="1372"/>
      <c r="N1" s="1373"/>
      <c r="O1" s="1371" t="s">
        <v>506</v>
      </c>
      <c r="P1" s="1372"/>
      <c r="Q1" s="1372"/>
      <c r="R1" s="1372"/>
      <c r="S1" s="1372"/>
      <c r="T1" s="1372"/>
      <c r="U1" s="1372"/>
      <c r="V1" s="1372"/>
      <c r="W1" s="1373"/>
      <c r="X1" s="1367" t="s">
        <v>508</v>
      </c>
      <c r="Y1" s="1374"/>
      <c r="Z1" s="1374"/>
      <c r="AA1" s="1374"/>
      <c r="AB1" s="1374"/>
      <c r="AC1" s="1374"/>
      <c r="AD1" s="1374"/>
      <c r="AE1" s="1374"/>
      <c r="AF1" s="1368"/>
      <c r="AG1" s="401"/>
      <c r="AH1" s="1359"/>
      <c r="AI1" s="1360"/>
    </row>
    <row r="2" spans="1:35" ht="44" thickBot="1" x14ac:dyDescent="0.4">
      <c r="A2" s="20" t="s">
        <v>511</v>
      </c>
      <c r="B2" s="19" t="s">
        <v>512</v>
      </c>
      <c r="C2" s="30" t="s">
        <v>513</v>
      </c>
      <c r="D2" s="20" t="s">
        <v>514</v>
      </c>
      <c r="E2" s="21" t="s">
        <v>515</v>
      </c>
      <c r="F2" s="22" t="s">
        <v>516</v>
      </c>
      <c r="G2" s="30" t="s">
        <v>517</v>
      </c>
      <c r="H2" s="20" t="s">
        <v>518</v>
      </c>
      <c r="I2" s="21" t="s">
        <v>519</v>
      </c>
      <c r="J2" s="22" t="s">
        <v>520</v>
      </c>
      <c r="K2" s="46" t="s">
        <v>521</v>
      </c>
      <c r="L2" s="29" t="s">
        <v>530</v>
      </c>
      <c r="M2" s="377" t="s">
        <v>532</v>
      </c>
      <c r="N2" s="377" t="s">
        <v>655</v>
      </c>
      <c r="O2" s="20" t="s">
        <v>534</v>
      </c>
      <c r="P2" s="19" t="s">
        <v>536</v>
      </c>
      <c r="Q2" s="19" t="s">
        <v>537</v>
      </c>
      <c r="R2" s="23" t="s">
        <v>539</v>
      </c>
      <c r="S2" s="23" t="s">
        <v>619</v>
      </c>
      <c r="T2" s="23" t="s">
        <v>620</v>
      </c>
      <c r="U2" s="23" t="s">
        <v>543</v>
      </c>
      <c r="V2" s="23" t="s">
        <v>544</v>
      </c>
      <c r="W2" s="25" t="s">
        <v>656</v>
      </c>
      <c r="X2" s="20" t="s">
        <v>556</v>
      </c>
      <c r="Y2" s="19" t="s">
        <v>558</v>
      </c>
      <c r="Z2" s="19" t="s">
        <v>559</v>
      </c>
      <c r="AA2" s="45" t="s">
        <v>561</v>
      </c>
      <c r="AB2" s="45" t="s">
        <v>629</v>
      </c>
      <c r="AC2" s="45" t="s">
        <v>605</v>
      </c>
      <c r="AD2" s="45" t="s">
        <v>565</v>
      </c>
      <c r="AE2" s="45" t="s">
        <v>566</v>
      </c>
      <c r="AF2" s="299" t="s">
        <v>657</v>
      </c>
      <c r="AG2" s="396" t="s">
        <v>578</v>
      </c>
      <c r="AH2" s="136" t="s">
        <v>541</v>
      </c>
      <c r="AI2" s="407" t="s">
        <v>563</v>
      </c>
    </row>
    <row r="3" spans="1:35" x14ac:dyDescent="0.35">
      <c r="A3" s="167"/>
      <c r="B3" s="5" t="s">
        <v>115</v>
      </c>
      <c r="C3" s="31" t="s">
        <v>513</v>
      </c>
      <c r="D3" s="113" t="str">
        <f>IF(SUM(S1AMHTbl[[#This Row],[UNRESTRICTED UNITS]])=0,"",S1AMHTbl[[#This Row],[UNRESTRICTED UNITS]])</f>
        <v/>
      </c>
      <c r="E3" s="74" t="str">
        <f>IF(S1AMHTbl[[#This Row],[UNRESTRICTED FUNDING REQUESTED]]=0,"",S1AMHTbl[[#This Row],[UNRESTRICTED FUNDING REQUESTED]]*
IF(S1_AMH_UnrestrictedTotalRequested&lt;=5000000,1,
5000000/S1_AMH_UnrestrictedTotalRequested))</f>
        <v/>
      </c>
      <c r="F3" s="6" t="str">
        <f>IFERROR(S1AMHTbl[[#This Row],[TOTAL $ REQUESTED]]/SUM(S1AMHTbl[TOTAL $ REQUESTED]),"")</f>
        <v/>
      </c>
      <c r="G3" s="31" t="s">
        <v>513</v>
      </c>
      <c r="H3" s="113" t="str">
        <f>IF(SUM(S1AMHTbl[[#This Row],[RURAL UNITS]])=0,"",S1AMHTbl[[#This Row],[RURAL UNITS]])</f>
        <v/>
      </c>
      <c r="I3" s="74" t="str">
        <f>IF(S1AMHTbl[[#This Row],[RURAL FUNDING REQUESTED]]=0,"",S1AMHTbl[[#This Row],[RURAL FUNDING REQUESTED]]*
IF(S1_AMH_RuralTotalRequested&lt;=(5000000-E$61),1,
(5000000-E$61)/S1_AMH_RuralTotalRequested))</f>
        <v/>
      </c>
      <c r="J3" s="6" t="str">
        <f>IFERROR(S1AMHTbl[[#This Row],[TOTAL $ REQUESTED2]]/SUM(S1AMHTbl[TOTAL $ REQUESTED2]),"")</f>
        <v/>
      </c>
      <c r="K3" s="31" t="s">
        <v>513</v>
      </c>
      <c r="L3" s="163"/>
      <c r="M3" s="164"/>
      <c r="N3" s="225"/>
      <c r="O3" s="123"/>
      <c r="P3" s="161"/>
      <c r="Q3" s="161"/>
      <c r="R3" s="74">
        <f t="shared" ref="R3:R34" si="0">SUM(P3:Q3)</f>
        <v>0</v>
      </c>
      <c r="S3" s="6">
        <f>IF(S1AMHTbl[[#This Row],[UNRESTRICTED FUNDING REQUESTED]]=0,0,S1AMHTbl[[#This Row],[UNRESTRICTED FUNDING REQUESTED]]/S1_AMH_UnrestrictedTotalRequested)</f>
        <v>0</v>
      </c>
      <c r="T3" s="7">
        <f>IF(S1AMHTbl[[#This Row],[ALL UNITS IN A HIGH OR HIGHEST RESOURCE AREA]]="Yes",10*S1AMHTbl[[#This Row],[UNRESTRICTED % OF FUNDING]],0)</f>
        <v>0</v>
      </c>
      <c r="U3" s="7" cm="1">
        <f t="array" ref="U3">INDEX(CountyScoresTbl[Community Need Total Points],ROW(S1AMHTbl[[#This Row],[COUNTY]])-2,1)*S1AMHTbl[[#This Row],[UNRESTRICTED % OF FUNDING]]</f>
        <v>0</v>
      </c>
      <c r="V3" s="7">
        <f>IF(S1AMHTbl[[#This Row],[SITE CONTROL]]="Yes",20,10)*S1AMHTbl[[#This Row],[UNRESTRICTED % OF FUNDING]]</f>
        <v>0</v>
      </c>
      <c r="W3" s="26" cm="1">
        <f t="array" ref="W3">INDEX(CountyScoresTbl[Farmworker Need Points Awarded],ROW(S1AMHTbl[[#This Row],[COUNTY]])-2,1)*S1AMHTbl[[#This Row],[UNRESTRICTED % OF FUNDING]]</f>
        <v>0</v>
      </c>
      <c r="X3" s="123"/>
      <c r="Y3" s="161"/>
      <c r="Z3" s="161"/>
      <c r="AA3" s="74">
        <f t="shared" ref="AA3:AA34" si="1">SUM(Y3:Z3)</f>
        <v>0</v>
      </c>
      <c r="AB3" s="6">
        <f>IF(S1AMHTbl[[#This Row],[RURAL FUNDING REQUESTED]]=0,0,S1AMHTbl[[#This Row],[RURAL FUNDING REQUESTED]]/S1_AMH_RuralTotalRequested)</f>
        <v>0</v>
      </c>
      <c r="AC3" s="7">
        <f>IF(S1AMHTbl[[#This Row],[ALL UNITS IN A HIGH OR HIGHEST RESOURCE AREA]]="Yes",10*S1AMHTbl[[#This Row],[RURAL % OF FUNDING]],0)</f>
        <v>0</v>
      </c>
      <c r="AD3" s="7" cm="1">
        <f t="array" ref="AD3">INDEX(CountyScoresTbl[Community Need Total Points],ROW(S1AMHTbl[[#This Row],[COUNTY]])-2,1)*S1AMHTbl[[#This Row],[RURAL % OF FUNDING]]</f>
        <v>0</v>
      </c>
      <c r="AE3" s="7">
        <f>IF(S1AMHTbl[[#This Row],[SITE CONTROL]]="Yes",20,10)*S1AMHTbl[[#This Row],[RURAL % OF FUNDING]]</f>
        <v>0</v>
      </c>
      <c r="AF3" s="26" cm="1">
        <f t="array" ref="AF3">INDEX(CountyScoresTbl[Farmworker Need Points Awarded],ROW(S1AMHTbl[[#This Row],[COUNTY]])-2,1)*S1AMHTbl[[#This Row],[RURAL % OF FUNDING]]</f>
        <v>0</v>
      </c>
      <c r="AG3" s="404"/>
      <c r="AH3" s="409">
        <f>IF(S1AMHTbl[[#This Row],[INFILL SITE]]="Yes",5,3)*S1AMHTbl[[#This Row],[UNRESTRICTED % OF FUNDING]]</f>
        <v>0</v>
      </c>
      <c r="AI3" s="408">
        <f>IF(S1AMHTbl[[#This Row],[INFILL SITE]]="Yes",5,3)*S1AMHTbl[[#This Row],[RURAL % OF FUNDING]]</f>
        <v>0</v>
      </c>
    </row>
    <row r="4" spans="1:35" x14ac:dyDescent="0.35">
      <c r="A4" s="167"/>
      <c r="B4" s="5" t="s">
        <v>116</v>
      </c>
      <c r="C4" s="31" t="s">
        <v>513</v>
      </c>
      <c r="D4" s="113" t="str">
        <f>IF(SUM(S1AMHTbl[[#This Row],[UNRESTRICTED UNITS]])=0,"",S1AMHTbl[[#This Row],[UNRESTRICTED UNITS]])</f>
        <v/>
      </c>
      <c r="E4" s="74" t="str">
        <f>IF(S1AMHTbl[[#This Row],[UNRESTRICTED FUNDING REQUESTED]]=0,"",S1AMHTbl[[#This Row],[UNRESTRICTED FUNDING REQUESTED]]*
IF(S1_AMH_UnrestrictedTotalRequested&lt;=5000000,1,
5000000/S1_AMH_UnrestrictedTotalRequested))</f>
        <v/>
      </c>
      <c r="F4" s="6" t="str">
        <f>IFERROR(S1AMHTbl[[#This Row],[TOTAL $ REQUESTED]]/SUM(S1AMHTbl[TOTAL $ REQUESTED]),"")</f>
        <v/>
      </c>
      <c r="G4" s="31" t="s">
        <v>513</v>
      </c>
      <c r="H4" s="113" t="str">
        <f>IF(SUM(S1AMHTbl[[#This Row],[RURAL UNITS]])=0,"",S1AMHTbl[[#This Row],[RURAL UNITS]])</f>
        <v/>
      </c>
      <c r="I4" s="74" t="str">
        <f>IF(S1AMHTbl[[#This Row],[RURAL FUNDING REQUESTED]]=0,"",S1AMHTbl[[#This Row],[RURAL FUNDING REQUESTED]]*
IF(S1_AMH_RuralTotalRequested&lt;=(5000000-E$61),1,
(5000000-E$61)/S1_AMH_RuralTotalRequested))</f>
        <v/>
      </c>
      <c r="J4" s="6" t="str">
        <f>IFERROR(S1AMHTbl[[#This Row],[TOTAL $ REQUESTED2]]/SUM(S1AMHTbl[TOTAL $ REQUESTED2]),"")</f>
        <v/>
      </c>
      <c r="K4" s="31" t="s">
        <v>513</v>
      </c>
      <c r="L4" s="163" t="s">
        <v>504</v>
      </c>
      <c r="M4" s="164" t="s">
        <v>504</v>
      </c>
      <c r="N4" s="225"/>
      <c r="O4" s="123"/>
      <c r="P4" s="161"/>
      <c r="Q4" s="161"/>
      <c r="R4" s="74">
        <f t="shared" si="0"/>
        <v>0</v>
      </c>
      <c r="S4" s="6">
        <f>IF(S1AMHTbl[[#This Row],[UNRESTRICTED FUNDING REQUESTED]]=0,0,S1AMHTbl[[#This Row],[UNRESTRICTED FUNDING REQUESTED]]/S1_AMH_UnrestrictedTotalRequested)</f>
        <v>0</v>
      </c>
      <c r="T4" s="7">
        <f>IF(S1AMHTbl[[#This Row],[ALL UNITS IN A HIGH OR HIGHEST RESOURCE AREA]]="Yes",10*S1AMHTbl[[#This Row],[UNRESTRICTED % OF FUNDING]],0)</f>
        <v>0</v>
      </c>
      <c r="U4" s="7" cm="1">
        <f t="array" ref="U4">INDEX(CountyScoresTbl[Community Need Total Points],ROW(S1AMHTbl[[#This Row],[COUNTY]])-2,1)*S1AMHTbl[[#This Row],[UNRESTRICTED % OF FUNDING]]</f>
        <v>0</v>
      </c>
      <c r="V4" s="7">
        <f>IF(S1AMHTbl[[#This Row],[SITE CONTROL]]="Yes",20,10)*S1AMHTbl[[#This Row],[UNRESTRICTED % OF FUNDING]]</f>
        <v>0</v>
      </c>
      <c r="W4" s="26" cm="1">
        <f t="array" ref="W4">INDEX(CountyScoresTbl[Farmworker Need Points Awarded],ROW(S1AMHTbl[[#This Row],[COUNTY]])-2,1)*S1AMHTbl[[#This Row],[UNRESTRICTED % OF FUNDING]]</f>
        <v>0</v>
      </c>
      <c r="X4" s="123"/>
      <c r="Y4" s="161"/>
      <c r="Z4" s="161"/>
      <c r="AA4" s="74">
        <f t="shared" si="1"/>
        <v>0</v>
      </c>
      <c r="AB4" s="6">
        <f>IF(S1AMHTbl[[#This Row],[RURAL FUNDING REQUESTED]]=0,0,S1AMHTbl[[#This Row],[RURAL FUNDING REQUESTED]]/S1_AMH_RuralTotalRequested)</f>
        <v>0</v>
      </c>
      <c r="AC4" s="7">
        <f>IF(S1AMHTbl[[#This Row],[ALL UNITS IN A HIGH OR HIGHEST RESOURCE AREA]]="Yes",10*S1AMHTbl[[#This Row],[RURAL % OF FUNDING]],0)</f>
        <v>0</v>
      </c>
      <c r="AD4" s="7" cm="1">
        <f t="array" ref="AD4">INDEX(CountyScoresTbl[Community Need Total Points],ROW(S1AMHTbl[[#This Row],[COUNTY]])-2,1)*S1AMHTbl[[#This Row],[RURAL % OF FUNDING]]</f>
        <v>0</v>
      </c>
      <c r="AE4" s="7">
        <f>IF(S1AMHTbl[[#This Row],[SITE CONTROL]]="Yes",20,10)*S1AMHTbl[[#This Row],[RURAL % OF FUNDING]]</f>
        <v>0</v>
      </c>
      <c r="AF4" s="26" cm="1">
        <f t="array" ref="AF4">INDEX(CountyScoresTbl[Farmworker Need Points Awarded],ROW(S1AMHTbl[[#This Row],[COUNTY]])-2,1)*S1AMHTbl[[#This Row],[RURAL % OF FUNDING]]</f>
        <v>0</v>
      </c>
      <c r="AG4" s="434"/>
      <c r="AH4" s="7">
        <f>IF(S1AMHTbl[[#This Row],[INFILL SITE]]="Yes",5,3)*S1AMHTbl[[#This Row],[UNRESTRICTED % OF FUNDING]]</f>
        <v>0</v>
      </c>
      <c r="AI4" s="26">
        <f>IF(S1AMHTbl[[#This Row],[INFILL SITE]]="Yes",5,3)*S1AMHTbl[[#This Row],[RURAL % OF FUNDING]]</f>
        <v>0</v>
      </c>
    </row>
    <row r="5" spans="1:35" x14ac:dyDescent="0.35">
      <c r="A5" s="167"/>
      <c r="B5" s="5" t="s">
        <v>117</v>
      </c>
      <c r="C5" s="31" t="s">
        <v>513</v>
      </c>
      <c r="D5" s="113" t="str">
        <f>IF(SUM(S1AMHTbl[[#This Row],[UNRESTRICTED UNITS]])=0,"",S1AMHTbl[[#This Row],[UNRESTRICTED UNITS]])</f>
        <v/>
      </c>
      <c r="E5" s="74" t="str">
        <f>IF(S1AMHTbl[[#This Row],[UNRESTRICTED FUNDING REQUESTED]]=0,"",S1AMHTbl[[#This Row],[UNRESTRICTED FUNDING REQUESTED]]*
IF(S1_AMH_UnrestrictedTotalRequested&lt;=5000000,1,
5000000/S1_AMH_UnrestrictedTotalRequested))</f>
        <v/>
      </c>
      <c r="F5" s="6" t="str">
        <f>IFERROR(S1AMHTbl[[#This Row],[TOTAL $ REQUESTED]]/SUM(S1AMHTbl[TOTAL $ REQUESTED]),"")</f>
        <v/>
      </c>
      <c r="G5" s="31" t="s">
        <v>513</v>
      </c>
      <c r="H5" s="113" t="str">
        <f>IF(SUM(S1AMHTbl[[#This Row],[RURAL UNITS]])=0,"",S1AMHTbl[[#This Row],[RURAL UNITS]])</f>
        <v/>
      </c>
      <c r="I5" s="74" t="str">
        <f>IF(S1AMHTbl[[#This Row],[RURAL FUNDING REQUESTED]]=0,"",S1AMHTbl[[#This Row],[RURAL FUNDING REQUESTED]]*
IF(S1_AMH_RuralTotalRequested&lt;=(5000000-E$61),1,
(5000000-E$61)/S1_AMH_RuralTotalRequested))</f>
        <v/>
      </c>
      <c r="J5" s="6" t="str">
        <f>IFERROR(S1AMHTbl[[#This Row],[TOTAL $ REQUESTED2]]/SUM(S1AMHTbl[TOTAL $ REQUESTED2]),"")</f>
        <v/>
      </c>
      <c r="K5" s="31" t="s">
        <v>513</v>
      </c>
      <c r="L5" s="163"/>
      <c r="M5" s="164"/>
      <c r="N5" s="225"/>
      <c r="O5" s="123"/>
      <c r="P5" s="161"/>
      <c r="Q5" s="161"/>
      <c r="R5" s="74">
        <f t="shared" si="0"/>
        <v>0</v>
      </c>
      <c r="S5" s="6">
        <f>IF(S1AMHTbl[[#This Row],[UNRESTRICTED FUNDING REQUESTED]]=0,0,S1AMHTbl[[#This Row],[UNRESTRICTED FUNDING REQUESTED]]/S1_AMH_UnrestrictedTotalRequested)</f>
        <v>0</v>
      </c>
      <c r="T5" s="7">
        <f>IF(S1AMHTbl[[#This Row],[ALL UNITS IN A HIGH OR HIGHEST RESOURCE AREA]]="Yes",10*S1AMHTbl[[#This Row],[UNRESTRICTED % OF FUNDING]],0)</f>
        <v>0</v>
      </c>
      <c r="U5" s="7" cm="1">
        <f t="array" ref="U5">INDEX(CountyScoresTbl[Community Need Total Points],ROW(S1AMHTbl[[#This Row],[COUNTY]])-2,1)*S1AMHTbl[[#This Row],[UNRESTRICTED % OF FUNDING]]</f>
        <v>0</v>
      </c>
      <c r="V5" s="7">
        <f>IF(S1AMHTbl[[#This Row],[SITE CONTROL]]="Yes",20,10)*S1AMHTbl[[#This Row],[UNRESTRICTED % OF FUNDING]]</f>
        <v>0</v>
      </c>
      <c r="W5" s="26" cm="1">
        <f t="array" ref="W5">INDEX(CountyScoresTbl[Farmworker Need Points Awarded],ROW(S1AMHTbl[[#This Row],[COUNTY]])-2,1)*S1AMHTbl[[#This Row],[UNRESTRICTED % OF FUNDING]]</f>
        <v>0</v>
      </c>
      <c r="X5" s="123"/>
      <c r="Y5" s="161"/>
      <c r="Z5" s="161"/>
      <c r="AA5" s="74">
        <f t="shared" si="1"/>
        <v>0</v>
      </c>
      <c r="AB5" s="6">
        <f>IF(S1AMHTbl[[#This Row],[RURAL FUNDING REQUESTED]]=0,0,S1AMHTbl[[#This Row],[RURAL FUNDING REQUESTED]]/S1_AMH_RuralTotalRequested)</f>
        <v>0</v>
      </c>
      <c r="AC5" s="7">
        <f>IF(S1AMHTbl[[#This Row],[ALL UNITS IN A HIGH OR HIGHEST RESOURCE AREA]]="Yes",10*S1AMHTbl[[#This Row],[RURAL % OF FUNDING]],0)</f>
        <v>0</v>
      </c>
      <c r="AD5" s="7" cm="1">
        <f t="array" ref="AD5">INDEX(CountyScoresTbl[Community Need Total Points],ROW(S1AMHTbl[[#This Row],[COUNTY]])-2,1)*S1AMHTbl[[#This Row],[RURAL % OF FUNDING]]</f>
        <v>0</v>
      </c>
      <c r="AE5" s="7">
        <f>IF(S1AMHTbl[[#This Row],[SITE CONTROL]]="Yes",20,10)*S1AMHTbl[[#This Row],[RURAL % OF FUNDING]]</f>
        <v>0</v>
      </c>
      <c r="AF5" s="26" cm="1">
        <f t="array" ref="AF5">INDEX(CountyScoresTbl[Farmworker Need Points Awarded],ROW(S1AMHTbl[[#This Row],[COUNTY]])-2,1)*S1AMHTbl[[#This Row],[RURAL % OF FUNDING]]</f>
        <v>0</v>
      </c>
      <c r="AG5" s="405"/>
      <c r="AH5" s="7">
        <f>IF(S1AMHTbl[[#This Row],[INFILL SITE]]="Yes",5,3)*S1AMHTbl[[#This Row],[UNRESTRICTED % OF FUNDING]]</f>
        <v>0</v>
      </c>
      <c r="AI5" s="26">
        <f>IF(S1AMHTbl[[#This Row],[INFILL SITE]]="Yes",5,3)*S1AMHTbl[[#This Row],[RURAL % OF FUNDING]]</f>
        <v>0</v>
      </c>
    </row>
    <row r="6" spans="1:35" x14ac:dyDescent="0.35">
      <c r="A6" s="167"/>
      <c r="B6" s="5" t="s">
        <v>118</v>
      </c>
      <c r="C6" s="31" t="s">
        <v>513</v>
      </c>
      <c r="D6" s="113" t="str">
        <f>IF(SUM(S1AMHTbl[[#This Row],[UNRESTRICTED UNITS]])=0,"",S1AMHTbl[[#This Row],[UNRESTRICTED UNITS]])</f>
        <v/>
      </c>
      <c r="E6" s="74" t="str">
        <f>IF(S1AMHTbl[[#This Row],[UNRESTRICTED FUNDING REQUESTED]]=0,"",S1AMHTbl[[#This Row],[UNRESTRICTED FUNDING REQUESTED]]*
IF(S1_AMH_UnrestrictedTotalRequested&lt;=5000000,1,
5000000/S1_AMH_UnrestrictedTotalRequested))</f>
        <v/>
      </c>
      <c r="F6" s="6" t="str">
        <f>IFERROR(S1AMHTbl[[#This Row],[TOTAL $ REQUESTED]]/SUM(S1AMHTbl[TOTAL $ REQUESTED]),"")</f>
        <v/>
      </c>
      <c r="G6" s="31" t="s">
        <v>513</v>
      </c>
      <c r="H6" s="113" t="str">
        <f>IF(SUM(S1AMHTbl[[#This Row],[RURAL UNITS]])=0,"",S1AMHTbl[[#This Row],[RURAL UNITS]])</f>
        <v/>
      </c>
      <c r="I6" s="74" t="str">
        <f>IF(S1AMHTbl[[#This Row],[RURAL FUNDING REQUESTED]]=0,"",S1AMHTbl[[#This Row],[RURAL FUNDING REQUESTED]]*
IF(S1_AMH_RuralTotalRequested&lt;=(5000000-E$61),1,
(5000000-E$61)/S1_AMH_RuralTotalRequested))</f>
        <v/>
      </c>
      <c r="J6" s="6" t="str">
        <f>IFERROR(S1AMHTbl[[#This Row],[TOTAL $ REQUESTED2]]/SUM(S1AMHTbl[TOTAL $ REQUESTED2]),"")</f>
        <v/>
      </c>
      <c r="K6" s="31" t="s">
        <v>513</v>
      </c>
      <c r="L6" s="163" t="s">
        <v>504</v>
      </c>
      <c r="M6" s="164"/>
      <c r="N6" s="225"/>
      <c r="O6" s="123"/>
      <c r="P6" s="161"/>
      <c r="Q6" s="161"/>
      <c r="R6" s="74">
        <f t="shared" si="0"/>
        <v>0</v>
      </c>
      <c r="S6" s="6">
        <f>IF(S1AMHTbl[[#This Row],[UNRESTRICTED FUNDING REQUESTED]]=0,0,S1AMHTbl[[#This Row],[UNRESTRICTED FUNDING REQUESTED]]/S1_AMH_UnrestrictedTotalRequested)</f>
        <v>0</v>
      </c>
      <c r="T6" s="7">
        <f>IF(S1AMHTbl[[#This Row],[ALL UNITS IN A HIGH OR HIGHEST RESOURCE AREA]]="Yes",10*S1AMHTbl[[#This Row],[UNRESTRICTED % OF FUNDING]],0)</f>
        <v>0</v>
      </c>
      <c r="U6" s="7" cm="1">
        <f t="array" ref="U6">INDEX(CountyScoresTbl[Community Need Total Points],ROW(S1AMHTbl[[#This Row],[COUNTY]])-2,1)*S1AMHTbl[[#This Row],[UNRESTRICTED % OF FUNDING]]</f>
        <v>0</v>
      </c>
      <c r="V6" s="7">
        <f>IF(S1AMHTbl[[#This Row],[SITE CONTROL]]="Yes",20,10)*S1AMHTbl[[#This Row],[UNRESTRICTED % OF FUNDING]]</f>
        <v>0</v>
      </c>
      <c r="W6" s="26" cm="1">
        <f t="array" ref="W6">INDEX(CountyScoresTbl[Farmworker Need Points Awarded],ROW(S1AMHTbl[[#This Row],[COUNTY]])-2,1)*S1AMHTbl[[#This Row],[UNRESTRICTED % OF FUNDING]]</f>
        <v>0</v>
      </c>
      <c r="X6" s="123"/>
      <c r="Y6" s="161"/>
      <c r="Z6" s="161"/>
      <c r="AA6" s="74">
        <f t="shared" si="1"/>
        <v>0</v>
      </c>
      <c r="AB6" s="6">
        <f>IF(S1AMHTbl[[#This Row],[RURAL FUNDING REQUESTED]]=0,0,S1AMHTbl[[#This Row],[RURAL FUNDING REQUESTED]]/S1_AMH_RuralTotalRequested)</f>
        <v>0</v>
      </c>
      <c r="AC6" s="7">
        <f>IF(S1AMHTbl[[#This Row],[ALL UNITS IN A HIGH OR HIGHEST RESOURCE AREA]]="Yes",10*S1AMHTbl[[#This Row],[RURAL % OF FUNDING]],0)</f>
        <v>0</v>
      </c>
      <c r="AD6" s="7" cm="1">
        <f t="array" ref="AD6">INDEX(CountyScoresTbl[Community Need Total Points],ROW(S1AMHTbl[[#This Row],[COUNTY]])-2,1)*S1AMHTbl[[#This Row],[RURAL % OF FUNDING]]</f>
        <v>0</v>
      </c>
      <c r="AE6" s="7">
        <f>IF(S1AMHTbl[[#This Row],[SITE CONTROL]]="Yes",20,10)*S1AMHTbl[[#This Row],[RURAL % OF FUNDING]]</f>
        <v>0</v>
      </c>
      <c r="AF6" s="26" cm="1">
        <f t="array" ref="AF6">INDEX(CountyScoresTbl[Farmworker Need Points Awarded],ROW(S1AMHTbl[[#This Row],[COUNTY]])-2,1)*S1AMHTbl[[#This Row],[RURAL % OF FUNDING]]</f>
        <v>0</v>
      </c>
      <c r="AG6" s="399"/>
      <c r="AH6" s="7">
        <f>IF(S1AMHTbl[[#This Row],[INFILL SITE]]="Yes",5,3)*S1AMHTbl[[#This Row],[UNRESTRICTED % OF FUNDING]]</f>
        <v>0</v>
      </c>
      <c r="AI6" s="26">
        <f>IF(S1AMHTbl[[#This Row],[INFILL SITE]]="Yes",5,3)*S1AMHTbl[[#This Row],[RURAL % OF FUNDING]]</f>
        <v>0</v>
      </c>
    </row>
    <row r="7" spans="1:35" x14ac:dyDescent="0.35">
      <c r="A7" s="124"/>
      <c r="B7" s="5" t="s">
        <v>119</v>
      </c>
      <c r="C7" s="31" t="s">
        <v>513</v>
      </c>
      <c r="D7" s="113" t="str">
        <f>IF(SUM(S1AMHTbl[[#This Row],[UNRESTRICTED UNITS]])=0,"",S1AMHTbl[[#This Row],[UNRESTRICTED UNITS]])</f>
        <v/>
      </c>
      <c r="E7" s="74" t="str">
        <f>IF(S1AMHTbl[[#This Row],[UNRESTRICTED FUNDING REQUESTED]]=0,"",S1AMHTbl[[#This Row],[UNRESTRICTED FUNDING REQUESTED]]*
IF(S1_AMH_UnrestrictedTotalRequested&lt;=5000000,1,
5000000/S1_AMH_UnrestrictedTotalRequested))</f>
        <v/>
      </c>
      <c r="F7" s="6" t="str">
        <f>IFERROR(S1AMHTbl[[#This Row],[TOTAL $ REQUESTED]]/SUM(S1AMHTbl[TOTAL $ REQUESTED]),"")</f>
        <v/>
      </c>
      <c r="G7" s="31" t="s">
        <v>513</v>
      </c>
      <c r="H7" s="113" t="str">
        <f>IF(SUM(S1AMHTbl[[#This Row],[RURAL UNITS]])=0,"",S1AMHTbl[[#This Row],[RURAL UNITS]])</f>
        <v/>
      </c>
      <c r="I7" s="74" t="str">
        <f>IF(S1AMHTbl[[#This Row],[RURAL FUNDING REQUESTED]]=0,"",S1AMHTbl[[#This Row],[RURAL FUNDING REQUESTED]]*
IF(S1_AMH_RuralTotalRequested&lt;=(5000000-E$61),1,
(5000000-E$61)/S1_AMH_RuralTotalRequested))</f>
        <v/>
      </c>
      <c r="J7" s="6" t="str">
        <f>IFERROR(S1AMHTbl[[#This Row],[TOTAL $ REQUESTED2]]/SUM(S1AMHTbl[TOTAL $ REQUESTED2]),"")</f>
        <v/>
      </c>
      <c r="K7" s="31" t="s">
        <v>513</v>
      </c>
      <c r="L7" s="196"/>
      <c r="M7" s="119"/>
      <c r="N7" s="227"/>
      <c r="O7" s="124"/>
      <c r="P7" s="161"/>
      <c r="Q7" s="161"/>
      <c r="R7" s="74">
        <f t="shared" si="0"/>
        <v>0</v>
      </c>
      <c r="S7" s="6">
        <f>IF(S1AMHTbl[[#This Row],[UNRESTRICTED FUNDING REQUESTED]]=0,0,S1AMHTbl[[#This Row],[UNRESTRICTED FUNDING REQUESTED]]/S1_AMH_UnrestrictedTotalRequested)</f>
        <v>0</v>
      </c>
      <c r="T7" s="7">
        <f>IF(S1AMHTbl[[#This Row],[ALL UNITS IN A HIGH OR HIGHEST RESOURCE AREA]]="Yes",10*S1AMHTbl[[#This Row],[UNRESTRICTED % OF FUNDING]],0)</f>
        <v>0</v>
      </c>
      <c r="U7" s="7" cm="1">
        <f t="array" ref="U7">INDEX(CountyScoresTbl[Community Need Total Points],ROW(S1AMHTbl[[#This Row],[COUNTY]])-2,1)*S1AMHTbl[[#This Row],[UNRESTRICTED % OF FUNDING]]</f>
        <v>0</v>
      </c>
      <c r="V7" s="7">
        <f>IF(S1AMHTbl[[#This Row],[SITE CONTROL]]="Yes",20,10)*S1AMHTbl[[#This Row],[UNRESTRICTED % OF FUNDING]]</f>
        <v>0</v>
      </c>
      <c r="W7" s="26" cm="1">
        <f t="array" ref="W7">INDEX(CountyScoresTbl[Farmworker Need Points Awarded],ROW(S1AMHTbl[[#This Row],[COUNTY]])-2,1)*S1AMHTbl[[#This Row],[UNRESTRICTED % OF FUNDING]]</f>
        <v>0</v>
      </c>
      <c r="X7" s="124"/>
      <c r="Y7" s="161"/>
      <c r="Z7" s="161"/>
      <c r="AA7" s="74">
        <f t="shared" si="1"/>
        <v>0</v>
      </c>
      <c r="AB7" s="6">
        <f>IF(S1AMHTbl[[#This Row],[RURAL FUNDING REQUESTED]]=0,0,S1AMHTbl[[#This Row],[RURAL FUNDING REQUESTED]]/S1_AMH_RuralTotalRequested)</f>
        <v>0</v>
      </c>
      <c r="AC7" s="7">
        <f>IF(S1AMHTbl[[#This Row],[ALL UNITS IN A HIGH OR HIGHEST RESOURCE AREA]]="Yes",10*S1AMHTbl[[#This Row],[RURAL % OF FUNDING]],0)</f>
        <v>0</v>
      </c>
      <c r="AD7" s="7" cm="1">
        <f t="array" ref="AD7">INDEX(CountyScoresTbl[Community Need Total Points],ROW(S1AMHTbl[[#This Row],[COUNTY]])-2,1)*S1AMHTbl[[#This Row],[RURAL % OF FUNDING]]</f>
        <v>0</v>
      </c>
      <c r="AE7" s="7">
        <f>IF(S1AMHTbl[[#This Row],[SITE CONTROL]]="Yes",20,10)*S1AMHTbl[[#This Row],[RURAL % OF FUNDING]]</f>
        <v>0</v>
      </c>
      <c r="AF7" s="26" cm="1">
        <f t="array" ref="AF7">INDEX(CountyScoresTbl[Farmworker Need Points Awarded],ROW(S1AMHTbl[[#This Row],[COUNTY]])-2,1)*S1AMHTbl[[#This Row],[RURAL % OF FUNDING]]</f>
        <v>0</v>
      </c>
      <c r="AG7" s="399"/>
      <c r="AH7" s="7">
        <f>IF(S1AMHTbl[[#This Row],[INFILL SITE]]="Yes",5,3)*S1AMHTbl[[#This Row],[UNRESTRICTED % OF FUNDING]]</f>
        <v>0</v>
      </c>
      <c r="AI7" s="26">
        <f>IF(S1AMHTbl[[#This Row],[INFILL SITE]]="Yes",5,3)*S1AMHTbl[[#This Row],[RURAL % OF FUNDING]]</f>
        <v>0</v>
      </c>
    </row>
    <row r="8" spans="1:35" x14ac:dyDescent="0.35">
      <c r="A8" s="124"/>
      <c r="B8" s="5" t="s">
        <v>120</v>
      </c>
      <c r="C8" s="31" t="s">
        <v>513</v>
      </c>
      <c r="D8" s="113" t="str">
        <f>IF(SUM(S1AMHTbl[[#This Row],[UNRESTRICTED UNITS]])=0,"",S1AMHTbl[[#This Row],[UNRESTRICTED UNITS]])</f>
        <v/>
      </c>
      <c r="E8" s="74" t="str">
        <f>IF(S1AMHTbl[[#This Row],[UNRESTRICTED FUNDING REQUESTED]]=0,"",S1AMHTbl[[#This Row],[UNRESTRICTED FUNDING REQUESTED]]*
IF(S1_AMH_UnrestrictedTotalRequested&lt;=5000000,1,
5000000/S1_AMH_UnrestrictedTotalRequested))</f>
        <v/>
      </c>
      <c r="F8" s="6" t="str">
        <f>IFERROR(S1AMHTbl[[#This Row],[TOTAL $ REQUESTED]]/SUM(S1AMHTbl[TOTAL $ REQUESTED]),"")</f>
        <v/>
      </c>
      <c r="G8" s="31" t="s">
        <v>513</v>
      </c>
      <c r="H8" s="113" t="str">
        <f>IF(SUM(S1AMHTbl[[#This Row],[RURAL UNITS]])=0,"",S1AMHTbl[[#This Row],[RURAL UNITS]])</f>
        <v/>
      </c>
      <c r="I8" s="74" t="str">
        <f>IF(S1AMHTbl[[#This Row],[RURAL FUNDING REQUESTED]]=0,"",S1AMHTbl[[#This Row],[RURAL FUNDING REQUESTED]]*
IF(S1_AMH_RuralTotalRequested&lt;=(5000000-E$61),1,
(5000000-E$61)/S1_AMH_RuralTotalRequested))</f>
        <v/>
      </c>
      <c r="J8" s="6" t="str">
        <f>IFERROR(S1AMHTbl[[#This Row],[TOTAL $ REQUESTED2]]/SUM(S1AMHTbl[TOTAL $ REQUESTED2]),"")</f>
        <v/>
      </c>
      <c r="K8" s="31" t="s">
        <v>513</v>
      </c>
      <c r="L8" s="196"/>
      <c r="M8" s="119"/>
      <c r="N8" s="227"/>
      <c r="O8" s="124"/>
      <c r="P8" s="161"/>
      <c r="Q8" s="161"/>
      <c r="R8" s="74">
        <f t="shared" si="0"/>
        <v>0</v>
      </c>
      <c r="S8" s="6">
        <f>IF(S1AMHTbl[[#This Row],[UNRESTRICTED FUNDING REQUESTED]]=0,0,S1AMHTbl[[#This Row],[UNRESTRICTED FUNDING REQUESTED]]/S1_AMH_UnrestrictedTotalRequested)</f>
        <v>0</v>
      </c>
      <c r="T8" s="7">
        <f>IF(S1AMHTbl[[#This Row],[ALL UNITS IN A HIGH OR HIGHEST RESOURCE AREA]]="Yes",10*S1AMHTbl[[#This Row],[UNRESTRICTED % OF FUNDING]],0)</f>
        <v>0</v>
      </c>
      <c r="U8" s="7" cm="1">
        <f t="array" ref="U8">INDEX(CountyScoresTbl[Community Need Total Points],ROW(S1AMHTbl[[#This Row],[COUNTY]])-2,1)*S1AMHTbl[[#This Row],[UNRESTRICTED % OF FUNDING]]</f>
        <v>0</v>
      </c>
      <c r="V8" s="7">
        <f>IF(S1AMHTbl[[#This Row],[SITE CONTROL]]="Yes",20,10)*S1AMHTbl[[#This Row],[UNRESTRICTED % OF FUNDING]]</f>
        <v>0</v>
      </c>
      <c r="W8" s="26" cm="1">
        <f t="array" ref="W8">INDEX(CountyScoresTbl[Farmworker Need Points Awarded],ROW(S1AMHTbl[[#This Row],[COUNTY]])-2,1)*S1AMHTbl[[#This Row],[UNRESTRICTED % OF FUNDING]]</f>
        <v>0</v>
      </c>
      <c r="X8" s="124"/>
      <c r="Y8" s="161"/>
      <c r="Z8" s="161"/>
      <c r="AA8" s="74">
        <f t="shared" si="1"/>
        <v>0</v>
      </c>
      <c r="AB8" s="6">
        <f>IF(S1AMHTbl[[#This Row],[RURAL FUNDING REQUESTED]]=0,0,S1AMHTbl[[#This Row],[RURAL FUNDING REQUESTED]]/S1_AMH_RuralTotalRequested)</f>
        <v>0</v>
      </c>
      <c r="AC8" s="7">
        <f>IF(S1AMHTbl[[#This Row],[ALL UNITS IN A HIGH OR HIGHEST RESOURCE AREA]]="Yes",10*S1AMHTbl[[#This Row],[RURAL % OF FUNDING]],0)</f>
        <v>0</v>
      </c>
      <c r="AD8" s="7" cm="1">
        <f t="array" ref="AD8">INDEX(CountyScoresTbl[Community Need Total Points],ROW(S1AMHTbl[[#This Row],[COUNTY]])-2,1)*S1AMHTbl[[#This Row],[RURAL % OF FUNDING]]</f>
        <v>0</v>
      </c>
      <c r="AE8" s="7">
        <f>IF(S1AMHTbl[[#This Row],[SITE CONTROL]]="Yes",20,10)*S1AMHTbl[[#This Row],[RURAL % OF FUNDING]]</f>
        <v>0</v>
      </c>
      <c r="AF8" s="26" cm="1">
        <f t="array" ref="AF8">INDEX(CountyScoresTbl[Farmworker Need Points Awarded],ROW(S1AMHTbl[[#This Row],[COUNTY]])-2,1)*S1AMHTbl[[#This Row],[RURAL % OF FUNDING]]</f>
        <v>0</v>
      </c>
      <c r="AG8" s="399"/>
      <c r="AH8" s="7">
        <f>IF(S1AMHTbl[[#This Row],[INFILL SITE]]="Yes",5,3)*S1AMHTbl[[#This Row],[UNRESTRICTED % OF FUNDING]]</f>
        <v>0</v>
      </c>
      <c r="AI8" s="26">
        <f>IF(S1AMHTbl[[#This Row],[INFILL SITE]]="Yes",5,3)*S1AMHTbl[[#This Row],[RURAL % OF FUNDING]]</f>
        <v>0</v>
      </c>
    </row>
    <row r="9" spans="1:35" x14ac:dyDescent="0.35">
      <c r="A9" s="167"/>
      <c r="B9" s="5" t="s">
        <v>121</v>
      </c>
      <c r="C9" s="31" t="s">
        <v>513</v>
      </c>
      <c r="D9" s="113" t="str">
        <f>IF(SUM(S1AMHTbl[[#This Row],[UNRESTRICTED UNITS]])=0,"",S1AMHTbl[[#This Row],[UNRESTRICTED UNITS]])</f>
        <v/>
      </c>
      <c r="E9" s="74" t="str">
        <f>IF(S1AMHTbl[[#This Row],[UNRESTRICTED FUNDING REQUESTED]]=0,"",S1AMHTbl[[#This Row],[UNRESTRICTED FUNDING REQUESTED]]*
IF(S1_AMH_UnrestrictedTotalRequested&lt;=5000000,1,
5000000/S1_AMH_UnrestrictedTotalRequested))</f>
        <v/>
      </c>
      <c r="F9" s="6" t="str">
        <f>IFERROR(S1AMHTbl[[#This Row],[TOTAL $ REQUESTED]]/SUM(S1AMHTbl[TOTAL $ REQUESTED]),"")</f>
        <v/>
      </c>
      <c r="G9" s="31" t="s">
        <v>513</v>
      </c>
      <c r="H9" s="113" t="str">
        <f>IF(SUM(S1AMHTbl[[#This Row],[RURAL UNITS]])=0,"",S1AMHTbl[[#This Row],[RURAL UNITS]])</f>
        <v/>
      </c>
      <c r="I9" s="74" t="str">
        <f>IF(S1AMHTbl[[#This Row],[RURAL FUNDING REQUESTED]]=0,"",S1AMHTbl[[#This Row],[RURAL FUNDING REQUESTED]]*
IF(S1_AMH_RuralTotalRequested&lt;=(5000000-E$61),1,
(5000000-E$61)/S1_AMH_RuralTotalRequested))</f>
        <v/>
      </c>
      <c r="J9" s="6" t="str">
        <f>IFERROR(S1AMHTbl[[#This Row],[TOTAL $ REQUESTED2]]/SUM(S1AMHTbl[TOTAL $ REQUESTED2]),"")</f>
        <v/>
      </c>
      <c r="K9" s="31" t="s">
        <v>513</v>
      </c>
      <c r="L9" s="163"/>
      <c r="M9" s="164"/>
      <c r="N9" s="225"/>
      <c r="O9" s="123"/>
      <c r="P9" s="161"/>
      <c r="Q9" s="161"/>
      <c r="R9" s="74">
        <f t="shared" si="0"/>
        <v>0</v>
      </c>
      <c r="S9" s="6">
        <f>IF(S1AMHTbl[[#This Row],[UNRESTRICTED FUNDING REQUESTED]]=0,0,S1AMHTbl[[#This Row],[UNRESTRICTED FUNDING REQUESTED]]/S1_AMH_UnrestrictedTotalRequested)</f>
        <v>0</v>
      </c>
      <c r="T9" s="7">
        <f>IF(S1AMHTbl[[#This Row],[ALL UNITS IN A HIGH OR HIGHEST RESOURCE AREA]]="Yes",10*S1AMHTbl[[#This Row],[UNRESTRICTED % OF FUNDING]],0)</f>
        <v>0</v>
      </c>
      <c r="U9" s="7" cm="1">
        <f t="array" ref="U9">INDEX(CountyScoresTbl[Community Need Total Points],ROW(S1AMHTbl[[#This Row],[COUNTY]])-2,1)*S1AMHTbl[[#This Row],[UNRESTRICTED % OF FUNDING]]</f>
        <v>0</v>
      </c>
      <c r="V9" s="7">
        <f>IF(S1AMHTbl[[#This Row],[SITE CONTROL]]="Yes",20,10)*S1AMHTbl[[#This Row],[UNRESTRICTED % OF FUNDING]]</f>
        <v>0</v>
      </c>
      <c r="W9" s="26" cm="1">
        <f t="array" ref="W9">INDEX(CountyScoresTbl[Farmworker Need Points Awarded],ROW(S1AMHTbl[[#This Row],[COUNTY]])-2,1)*S1AMHTbl[[#This Row],[UNRESTRICTED % OF FUNDING]]</f>
        <v>0</v>
      </c>
      <c r="X9" s="123"/>
      <c r="Y9" s="161"/>
      <c r="Z9" s="161"/>
      <c r="AA9" s="74">
        <f t="shared" si="1"/>
        <v>0</v>
      </c>
      <c r="AB9" s="6">
        <f>IF(S1AMHTbl[[#This Row],[RURAL FUNDING REQUESTED]]=0,0,S1AMHTbl[[#This Row],[RURAL FUNDING REQUESTED]]/S1_AMH_RuralTotalRequested)</f>
        <v>0</v>
      </c>
      <c r="AC9" s="7">
        <f>IF(S1AMHTbl[[#This Row],[ALL UNITS IN A HIGH OR HIGHEST RESOURCE AREA]]="Yes",10*S1AMHTbl[[#This Row],[RURAL % OF FUNDING]],0)</f>
        <v>0</v>
      </c>
      <c r="AD9" s="7" cm="1">
        <f t="array" ref="AD9">INDEX(CountyScoresTbl[Community Need Total Points],ROW(S1AMHTbl[[#This Row],[COUNTY]])-2,1)*S1AMHTbl[[#This Row],[RURAL % OF FUNDING]]</f>
        <v>0</v>
      </c>
      <c r="AE9" s="7">
        <f>IF(S1AMHTbl[[#This Row],[SITE CONTROL]]="Yes",20,10)*S1AMHTbl[[#This Row],[RURAL % OF FUNDING]]</f>
        <v>0</v>
      </c>
      <c r="AF9" s="26" cm="1">
        <f t="array" ref="AF9">INDEX(CountyScoresTbl[Farmworker Need Points Awarded],ROW(S1AMHTbl[[#This Row],[COUNTY]])-2,1)*S1AMHTbl[[#This Row],[RURAL % OF FUNDING]]</f>
        <v>0</v>
      </c>
      <c r="AG9" s="399"/>
      <c r="AH9" s="7">
        <f>IF(S1AMHTbl[[#This Row],[INFILL SITE]]="Yes",5,3)*S1AMHTbl[[#This Row],[UNRESTRICTED % OF FUNDING]]</f>
        <v>0</v>
      </c>
      <c r="AI9" s="26">
        <f>IF(S1AMHTbl[[#This Row],[INFILL SITE]]="Yes",5,3)*S1AMHTbl[[#This Row],[RURAL % OF FUNDING]]</f>
        <v>0</v>
      </c>
    </row>
    <row r="10" spans="1:35" x14ac:dyDescent="0.35">
      <c r="A10" s="124"/>
      <c r="B10" s="5" t="s">
        <v>122</v>
      </c>
      <c r="C10" s="31" t="s">
        <v>513</v>
      </c>
      <c r="D10" s="113" t="str">
        <f>IF(SUM(S1AMHTbl[[#This Row],[UNRESTRICTED UNITS]])=0,"",S1AMHTbl[[#This Row],[UNRESTRICTED UNITS]])</f>
        <v/>
      </c>
      <c r="E10" s="74" t="str">
        <f>IF(S1AMHTbl[[#This Row],[UNRESTRICTED FUNDING REQUESTED]]=0,"",S1AMHTbl[[#This Row],[UNRESTRICTED FUNDING REQUESTED]]*
IF(S1_AMH_UnrestrictedTotalRequested&lt;=5000000,1,
5000000/S1_AMH_UnrestrictedTotalRequested))</f>
        <v/>
      </c>
      <c r="F10" s="6" t="str">
        <f>IFERROR(S1AMHTbl[[#This Row],[TOTAL $ REQUESTED]]/SUM(S1AMHTbl[TOTAL $ REQUESTED]),"")</f>
        <v/>
      </c>
      <c r="G10" s="31" t="s">
        <v>513</v>
      </c>
      <c r="H10" s="113" t="str">
        <f>IF(SUM(S1AMHTbl[[#This Row],[RURAL UNITS]])=0,"",S1AMHTbl[[#This Row],[RURAL UNITS]])</f>
        <v/>
      </c>
      <c r="I10" s="74" t="str">
        <f>IF(S1AMHTbl[[#This Row],[RURAL FUNDING REQUESTED]]=0,"",S1AMHTbl[[#This Row],[RURAL FUNDING REQUESTED]]*
IF(S1_AMH_RuralTotalRequested&lt;=(5000000-E$61),1,
(5000000-E$61)/S1_AMH_RuralTotalRequested))</f>
        <v/>
      </c>
      <c r="J10" s="6" t="str">
        <f>IFERROR(S1AMHTbl[[#This Row],[TOTAL $ REQUESTED2]]/SUM(S1AMHTbl[TOTAL $ REQUESTED2]),"")</f>
        <v/>
      </c>
      <c r="K10" s="31" t="s">
        <v>513</v>
      </c>
      <c r="L10" s="196"/>
      <c r="M10" s="119"/>
      <c r="N10" s="227"/>
      <c r="O10" s="124"/>
      <c r="P10" s="161"/>
      <c r="Q10" s="161"/>
      <c r="R10" s="74">
        <f t="shared" si="0"/>
        <v>0</v>
      </c>
      <c r="S10" s="6">
        <f>IF(S1AMHTbl[[#This Row],[UNRESTRICTED FUNDING REQUESTED]]=0,0,S1AMHTbl[[#This Row],[UNRESTRICTED FUNDING REQUESTED]]/S1_AMH_UnrestrictedTotalRequested)</f>
        <v>0</v>
      </c>
      <c r="T10" s="7">
        <f>IF(S1AMHTbl[[#This Row],[ALL UNITS IN A HIGH OR HIGHEST RESOURCE AREA]]="Yes",10*S1AMHTbl[[#This Row],[UNRESTRICTED % OF FUNDING]],0)</f>
        <v>0</v>
      </c>
      <c r="U10" s="7" cm="1">
        <f t="array" ref="U10">INDEX(CountyScoresTbl[Community Need Total Points],ROW(S1AMHTbl[[#This Row],[COUNTY]])-2,1)*S1AMHTbl[[#This Row],[UNRESTRICTED % OF FUNDING]]</f>
        <v>0</v>
      </c>
      <c r="V10" s="7">
        <f>IF(S1AMHTbl[[#This Row],[SITE CONTROL]]="Yes",20,10)*S1AMHTbl[[#This Row],[UNRESTRICTED % OF FUNDING]]</f>
        <v>0</v>
      </c>
      <c r="W10" s="26" cm="1">
        <f t="array" ref="W10">INDEX(CountyScoresTbl[Farmworker Need Points Awarded],ROW(S1AMHTbl[[#This Row],[COUNTY]])-2,1)*S1AMHTbl[[#This Row],[UNRESTRICTED % OF FUNDING]]</f>
        <v>0</v>
      </c>
      <c r="X10" s="124"/>
      <c r="Y10" s="161"/>
      <c r="Z10" s="161"/>
      <c r="AA10" s="74">
        <f t="shared" si="1"/>
        <v>0</v>
      </c>
      <c r="AB10" s="6">
        <f>IF(S1AMHTbl[[#This Row],[RURAL FUNDING REQUESTED]]=0,0,S1AMHTbl[[#This Row],[RURAL FUNDING REQUESTED]]/S1_AMH_RuralTotalRequested)</f>
        <v>0</v>
      </c>
      <c r="AC10" s="7">
        <f>IF(S1AMHTbl[[#This Row],[ALL UNITS IN A HIGH OR HIGHEST RESOURCE AREA]]="Yes",10*S1AMHTbl[[#This Row],[RURAL % OF FUNDING]],0)</f>
        <v>0</v>
      </c>
      <c r="AD10" s="7" cm="1">
        <f t="array" ref="AD10">INDEX(CountyScoresTbl[Community Need Total Points],ROW(S1AMHTbl[[#This Row],[COUNTY]])-2,1)*S1AMHTbl[[#This Row],[RURAL % OF FUNDING]]</f>
        <v>0</v>
      </c>
      <c r="AE10" s="7">
        <f>IF(S1AMHTbl[[#This Row],[SITE CONTROL]]="Yes",20,10)*S1AMHTbl[[#This Row],[RURAL % OF FUNDING]]</f>
        <v>0</v>
      </c>
      <c r="AF10" s="26" cm="1">
        <f t="array" ref="AF10">INDEX(CountyScoresTbl[Farmworker Need Points Awarded],ROW(S1AMHTbl[[#This Row],[COUNTY]])-2,1)*S1AMHTbl[[#This Row],[RURAL % OF FUNDING]]</f>
        <v>0</v>
      </c>
      <c r="AG10" s="399"/>
      <c r="AH10" s="7">
        <f>IF(S1AMHTbl[[#This Row],[INFILL SITE]]="Yes",5,3)*S1AMHTbl[[#This Row],[UNRESTRICTED % OF FUNDING]]</f>
        <v>0</v>
      </c>
      <c r="AI10" s="26">
        <f>IF(S1AMHTbl[[#This Row],[INFILL SITE]]="Yes",5,3)*S1AMHTbl[[#This Row],[RURAL % OF FUNDING]]</f>
        <v>0</v>
      </c>
    </row>
    <row r="11" spans="1:35" x14ac:dyDescent="0.35">
      <c r="A11" s="167"/>
      <c r="B11" s="5" t="s">
        <v>123</v>
      </c>
      <c r="C11" s="31" t="s">
        <v>513</v>
      </c>
      <c r="D11" s="113" t="str">
        <f>IF(SUM(S1AMHTbl[[#This Row],[UNRESTRICTED UNITS]])=0,"",S1AMHTbl[[#This Row],[UNRESTRICTED UNITS]])</f>
        <v/>
      </c>
      <c r="E11" s="74" t="str">
        <f>IF(S1AMHTbl[[#This Row],[UNRESTRICTED FUNDING REQUESTED]]=0,"",S1AMHTbl[[#This Row],[UNRESTRICTED FUNDING REQUESTED]]*
IF(S1_AMH_UnrestrictedTotalRequested&lt;=5000000,1,
5000000/S1_AMH_UnrestrictedTotalRequested))</f>
        <v/>
      </c>
      <c r="F11" s="6" t="str">
        <f>IFERROR(S1AMHTbl[[#This Row],[TOTAL $ REQUESTED]]/SUM(S1AMHTbl[TOTAL $ REQUESTED]),"")</f>
        <v/>
      </c>
      <c r="G11" s="31" t="s">
        <v>513</v>
      </c>
      <c r="H11" s="113" t="str">
        <f>IF(SUM(S1AMHTbl[[#This Row],[RURAL UNITS]])=0,"",S1AMHTbl[[#This Row],[RURAL UNITS]])</f>
        <v/>
      </c>
      <c r="I11" s="74" t="str">
        <f>IF(S1AMHTbl[[#This Row],[RURAL FUNDING REQUESTED]]=0,"",S1AMHTbl[[#This Row],[RURAL FUNDING REQUESTED]]*
IF(S1_AMH_RuralTotalRequested&lt;=(5000000-E$61),1,
(5000000-E$61)/S1_AMH_RuralTotalRequested))</f>
        <v/>
      </c>
      <c r="J11" s="6" t="str">
        <f>IFERROR(S1AMHTbl[[#This Row],[TOTAL $ REQUESTED2]]/SUM(S1AMHTbl[TOTAL $ REQUESTED2]),"")</f>
        <v/>
      </c>
      <c r="K11" s="31" t="s">
        <v>513</v>
      </c>
      <c r="L11" s="163"/>
      <c r="M11" s="164"/>
      <c r="N11" s="225"/>
      <c r="O11" s="123"/>
      <c r="P11" s="161"/>
      <c r="Q11" s="161"/>
      <c r="R11" s="74">
        <f t="shared" si="0"/>
        <v>0</v>
      </c>
      <c r="S11" s="6">
        <f>IF(S1AMHTbl[[#This Row],[UNRESTRICTED FUNDING REQUESTED]]=0,0,S1AMHTbl[[#This Row],[UNRESTRICTED FUNDING REQUESTED]]/S1_AMH_UnrestrictedTotalRequested)</f>
        <v>0</v>
      </c>
      <c r="T11" s="7">
        <f>IF(S1AMHTbl[[#This Row],[ALL UNITS IN A HIGH OR HIGHEST RESOURCE AREA]]="Yes",10*S1AMHTbl[[#This Row],[UNRESTRICTED % OF FUNDING]],0)</f>
        <v>0</v>
      </c>
      <c r="U11" s="7" cm="1">
        <f t="array" ref="U11">INDEX(CountyScoresTbl[Community Need Total Points],ROW(S1AMHTbl[[#This Row],[COUNTY]])-2,1)*S1AMHTbl[[#This Row],[UNRESTRICTED % OF FUNDING]]</f>
        <v>0</v>
      </c>
      <c r="V11" s="7">
        <f>IF(S1AMHTbl[[#This Row],[SITE CONTROL]]="Yes",20,10)*S1AMHTbl[[#This Row],[UNRESTRICTED % OF FUNDING]]</f>
        <v>0</v>
      </c>
      <c r="W11" s="26" cm="1">
        <f t="array" ref="W11">INDEX(CountyScoresTbl[Farmworker Need Points Awarded],ROW(S1AMHTbl[[#This Row],[COUNTY]])-2,1)*S1AMHTbl[[#This Row],[UNRESTRICTED % OF FUNDING]]</f>
        <v>0</v>
      </c>
      <c r="X11" s="123"/>
      <c r="Y11" s="161"/>
      <c r="Z11" s="161"/>
      <c r="AA11" s="74">
        <f t="shared" si="1"/>
        <v>0</v>
      </c>
      <c r="AB11" s="6">
        <f>IF(S1AMHTbl[[#This Row],[RURAL FUNDING REQUESTED]]=0,0,S1AMHTbl[[#This Row],[RURAL FUNDING REQUESTED]]/S1_AMH_RuralTotalRequested)</f>
        <v>0</v>
      </c>
      <c r="AC11" s="7">
        <f>IF(S1AMHTbl[[#This Row],[ALL UNITS IN A HIGH OR HIGHEST RESOURCE AREA]]="Yes",10*S1AMHTbl[[#This Row],[RURAL % OF FUNDING]],0)</f>
        <v>0</v>
      </c>
      <c r="AD11" s="7" cm="1">
        <f t="array" ref="AD11">INDEX(CountyScoresTbl[Community Need Total Points],ROW(S1AMHTbl[[#This Row],[COUNTY]])-2,1)*S1AMHTbl[[#This Row],[RURAL % OF FUNDING]]</f>
        <v>0</v>
      </c>
      <c r="AE11" s="7">
        <f>IF(S1AMHTbl[[#This Row],[SITE CONTROL]]="Yes",20,10)*S1AMHTbl[[#This Row],[RURAL % OF FUNDING]]</f>
        <v>0</v>
      </c>
      <c r="AF11" s="26" cm="1">
        <f t="array" ref="AF11">INDEX(CountyScoresTbl[Farmworker Need Points Awarded],ROW(S1AMHTbl[[#This Row],[COUNTY]])-2,1)*S1AMHTbl[[#This Row],[RURAL % OF FUNDING]]</f>
        <v>0</v>
      </c>
      <c r="AG11" s="399"/>
      <c r="AH11" s="7">
        <f>IF(S1AMHTbl[[#This Row],[INFILL SITE]]="Yes",5,3)*S1AMHTbl[[#This Row],[UNRESTRICTED % OF FUNDING]]</f>
        <v>0</v>
      </c>
      <c r="AI11" s="26">
        <f>IF(S1AMHTbl[[#This Row],[INFILL SITE]]="Yes",5,3)*S1AMHTbl[[#This Row],[RURAL % OF FUNDING]]</f>
        <v>0</v>
      </c>
    </row>
    <row r="12" spans="1:35" x14ac:dyDescent="0.35">
      <c r="A12" s="167"/>
      <c r="B12" s="5" t="s">
        <v>124</v>
      </c>
      <c r="C12" s="31" t="s">
        <v>513</v>
      </c>
      <c r="D12" s="113" t="str">
        <f>IF(SUM(S1AMHTbl[[#This Row],[UNRESTRICTED UNITS]])=0,"",S1AMHTbl[[#This Row],[UNRESTRICTED UNITS]])</f>
        <v/>
      </c>
      <c r="E12" s="74" t="str">
        <f>IF(S1AMHTbl[[#This Row],[UNRESTRICTED FUNDING REQUESTED]]=0,"",S1AMHTbl[[#This Row],[UNRESTRICTED FUNDING REQUESTED]]*
IF(S1_AMH_UnrestrictedTotalRequested&lt;=5000000,1,
5000000/S1_AMH_UnrestrictedTotalRequested))</f>
        <v/>
      </c>
      <c r="F12" s="6" t="str">
        <f>IFERROR(S1AMHTbl[[#This Row],[TOTAL $ REQUESTED]]/SUM(S1AMHTbl[TOTAL $ REQUESTED]),"")</f>
        <v/>
      </c>
      <c r="G12" s="31" t="s">
        <v>513</v>
      </c>
      <c r="H12" s="113" t="str">
        <f>IF(SUM(S1AMHTbl[[#This Row],[RURAL UNITS]])=0,"",S1AMHTbl[[#This Row],[RURAL UNITS]])</f>
        <v/>
      </c>
      <c r="I12" s="74" t="str">
        <f>IF(S1AMHTbl[[#This Row],[RURAL FUNDING REQUESTED]]=0,"",S1AMHTbl[[#This Row],[RURAL FUNDING REQUESTED]]*
IF(S1_AMH_RuralTotalRequested&lt;=(5000000-E$61),1,
(5000000-E$61)/S1_AMH_RuralTotalRequested))</f>
        <v/>
      </c>
      <c r="J12" s="6" t="str">
        <f>IFERROR(S1AMHTbl[[#This Row],[TOTAL $ REQUESTED2]]/SUM(S1AMHTbl[TOTAL $ REQUESTED2]),"")</f>
        <v/>
      </c>
      <c r="K12" s="31" t="s">
        <v>513</v>
      </c>
      <c r="L12" s="163"/>
      <c r="M12" s="164"/>
      <c r="N12" s="225"/>
      <c r="O12" s="123"/>
      <c r="P12" s="161"/>
      <c r="Q12" s="161"/>
      <c r="R12" s="74">
        <f t="shared" si="0"/>
        <v>0</v>
      </c>
      <c r="S12" s="6">
        <f>IF(S1AMHTbl[[#This Row],[UNRESTRICTED FUNDING REQUESTED]]=0,0,S1AMHTbl[[#This Row],[UNRESTRICTED FUNDING REQUESTED]]/S1_AMH_UnrestrictedTotalRequested)</f>
        <v>0</v>
      </c>
      <c r="T12" s="7">
        <f>IF(S1AMHTbl[[#This Row],[ALL UNITS IN A HIGH OR HIGHEST RESOURCE AREA]]="Yes",10*S1AMHTbl[[#This Row],[UNRESTRICTED % OF FUNDING]],0)</f>
        <v>0</v>
      </c>
      <c r="U12" s="7" cm="1">
        <f t="array" ref="U12">INDEX(CountyScoresTbl[Community Need Total Points],ROW(S1AMHTbl[[#This Row],[COUNTY]])-2,1)*S1AMHTbl[[#This Row],[UNRESTRICTED % OF FUNDING]]</f>
        <v>0</v>
      </c>
      <c r="V12" s="7">
        <f>IF(S1AMHTbl[[#This Row],[SITE CONTROL]]="Yes",20,10)*S1AMHTbl[[#This Row],[UNRESTRICTED % OF FUNDING]]</f>
        <v>0</v>
      </c>
      <c r="W12" s="26" cm="1">
        <f t="array" ref="W12">INDEX(CountyScoresTbl[Farmworker Need Points Awarded],ROW(S1AMHTbl[[#This Row],[COUNTY]])-2,1)*S1AMHTbl[[#This Row],[UNRESTRICTED % OF FUNDING]]</f>
        <v>0</v>
      </c>
      <c r="X12" s="123"/>
      <c r="Y12" s="161"/>
      <c r="Z12" s="161"/>
      <c r="AA12" s="74">
        <f t="shared" si="1"/>
        <v>0</v>
      </c>
      <c r="AB12" s="6">
        <f>IF(S1AMHTbl[[#This Row],[RURAL FUNDING REQUESTED]]=0,0,S1AMHTbl[[#This Row],[RURAL FUNDING REQUESTED]]/S1_AMH_RuralTotalRequested)</f>
        <v>0</v>
      </c>
      <c r="AC12" s="7">
        <f>IF(S1AMHTbl[[#This Row],[ALL UNITS IN A HIGH OR HIGHEST RESOURCE AREA]]="Yes",10*S1AMHTbl[[#This Row],[RURAL % OF FUNDING]],0)</f>
        <v>0</v>
      </c>
      <c r="AD12" s="7" cm="1">
        <f t="array" ref="AD12">INDEX(CountyScoresTbl[Community Need Total Points],ROW(S1AMHTbl[[#This Row],[COUNTY]])-2,1)*S1AMHTbl[[#This Row],[RURAL % OF FUNDING]]</f>
        <v>0</v>
      </c>
      <c r="AE12" s="7">
        <f>IF(S1AMHTbl[[#This Row],[SITE CONTROL]]="Yes",20,10)*S1AMHTbl[[#This Row],[RURAL % OF FUNDING]]</f>
        <v>0</v>
      </c>
      <c r="AF12" s="26" cm="1">
        <f t="array" ref="AF12">INDEX(CountyScoresTbl[Farmworker Need Points Awarded],ROW(S1AMHTbl[[#This Row],[COUNTY]])-2,1)*S1AMHTbl[[#This Row],[RURAL % OF FUNDING]]</f>
        <v>0</v>
      </c>
      <c r="AG12" s="399"/>
      <c r="AH12" s="7">
        <f>IF(S1AMHTbl[[#This Row],[INFILL SITE]]="Yes",5,3)*S1AMHTbl[[#This Row],[UNRESTRICTED % OF FUNDING]]</f>
        <v>0</v>
      </c>
      <c r="AI12" s="26">
        <f>IF(S1AMHTbl[[#This Row],[INFILL SITE]]="Yes",5,3)*S1AMHTbl[[#This Row],[RURAL % OF FUNDING]]</f>
        <v>0</v>
      </c>
    </row>
    <row r="13" spans="1:35" x14ac:dyDescent="0.35">
      <c r="A13" s="124"/>
      <c r="B13" s="5" t="s">
        <v>125</v>
      </c>
      <c r="C13" s="31" t="s">
        <v>513</v>
      </c>
      <c r="D13" s="113" t="str">
        <f>IF(SUM(S1AMHTbl[[#This Row],[UNRESTRICTED UNITS]])=0,"",S1AMHTbl[[#This Row],[UNRESTRICTED UNITS]])</f>
        <v/>
      </c>
      <c r="E13" s="74" t="str">
        <f>IF(S1AMHTbl[[#This Row],[UNRESTRICTED FUNDING REQUESTED]]=0,"",S1AMHTbl[[#This Row],[UNRESTRICTED FUNDING REQUESTED]]*
IF(S1_AMH_UnrestrictedTotalRequested&lt;=5000000,1,
5000000/S1_AMH_UnrestrictedTotalRequested))</f>
        <v/>
      </c>
      <c r="F13" s="6" t="str">
        <f>IFERROR(S1AMHTbl[[#This Row],[TOTAL $ REQUESTED]]/SUM(S1AMHTbl[TOTAL $ REQUESTED]),"")</f>
        <v/>
      </c>
      <c r="G13" s="31" t="s">
        <v>513</v>
      </c>
      <c r="H13" s="113" t="str">
        <f>IF(SUM(S1AMHTbl[[#This Row],[RURAL UNITS]])=0,"",S1AMHTbl[[#This Row],[RURAL UNITS]])</f>
        <v/>
      </c>
      <c r="I13" s="74" t="str">
        <f>IF(S1AMHTbl[[#This Row],[RURAL FUNDING REQUESTED]]=0,"",S1AMHTbl[[#This Row],[RURAL FUNDING REQUESTED]]*
IF(S1_AMH_RuralTotalRequested&lt;=(5000000-E$61),1,
(5000000-E$61)/S1_AMH_RuralTotalRequested))</f>
        <v/>
      </c>
      <c r="J13" s="6" t="str">
        <f>IFERROR(S1AMHTbl[[#This Row],[TOTAL $ REQUESTED2]]/SUM(S1AMHTbl[TOTAL $ REQUESTED2]),"")</f>
        <v/>
      </c>
      <c r="K13" s="31" t="s">
        <v>513</v>
      </c>
      <c r="L13" s="196"/>
      <c r="M13" s="119"/>
      <c r="N13" s="227"/>
      <c r="O13" s="124"/>
      <c r="P13" s="161"/>
      <c r="Q13" s="161"/>
      <c r="R13" s="74">
        <f t="shared" si="0"/>
        <v>0</v>
      </c>
      <c r="S13" s="6">
        <f>IF(S1AMHTbl[[#This Row],[UNRESTRICTED FUNDING REQUESTED]]=0,0,S1AMHTbl[[#This Row],[UNRESTRICTED FUNDING REQUESTED]]/S1_AMH_UnrestrictedTotalRequested)</f>
        <v>0</v>
      </c>
      <c r="T13" s="7">
        <f>IF(S1AMHTbl[[#This Row],[ALL UNITS IN A HIGH OR HIGHEST RESOURCE AREA]]="Yes",10*S1AMHTbl[[#This Row],[UNRESTRICTED % OF FUNDING]],0)</f>
        <v>0</v>
      </c>
      <c r="U13" s="7" cm="1">
        <f t="array" ref="U13">INDEX(CountyScoresTbl[Community Need Total Points],ROW(S1AMHTbl[[#This Row],[COUNTY]])-2,1)*S1AMHTbl[[#This Row],[UNRESTRICTED % OF FUNDING]]</f>
        <v>0</v>
      </c>
      <c r="V13" s="7">
        <f>IF(S1AMHTbl[[#This Row],[SITE CONTROL]]="Yes",20,10)*S1AMHTbl[[#This Row],[UNRESTRICTED % OF FUNDING]]</f>
        <v>0</v>
      </c>
      <c r="W13" s="26" cm="1">
        <f t="array" ref="W13">INDEX(CountyScoresTbl[Farmworker Need Points Awarded],ROW(S1AMHTbl[[#This Row],[COUNTY]])-2,1)*S1AMHTbl[[#This Row],[UNRESTRICTED % OF FUNDING]]</f>
        <v>0</v>
      </c>
      <c r="X13" s="124"/>
      <c r="Y13" s="161"/>
      <c r="Z13" s="161"/>
      <c r="AA13" s="74">
        <f t="shared" si="1"/>
        <v>0</v>
      </c>
      <c r="AB13" s="6">
        <f>IF(S1AMHTbl[[#This Row],[RURAL FUNDING REQUESTED]]=0,0,S1AMHTbl[[#This Row],[RURAL FUNDING REQUESTED]]/S1_AMH_RuralTotalRequested)</f>
        <v>0</v>
      </c>
      <c r="AC13" s="7">
        <f>IF(S1AMHTbl[[#This Row],[ALL UNITS IN A HIGH OR HIGHEST RESOURCE AREA]]="Yes",10*S1AMHTbl[[#This Row],[RURAL % OF FUNDING]],0)</f>
        <v>0</v>
      </c>
      <c r="AD13" s="7" cm="1">
        <f t="array" ref="AD13">INDEX(CountyScoresTbl[Community Need Total Points],ROW(S1AMHTbl[[#This Row],[COUNTY]])-2,1)*S1AMHTbl[[#This Row],[RURAL % OF FUNDING]]</f>
        <v>0</v>
      </c>
      <c r="AE13" s="7">
        <f>IF(S1AMHTbl[[#This Row],[SITE CONTROL]]="Yes",20,10)*S1AMHTbl[[#This Row],[RURAL % OF FUNDING]]</f>
        <v>0</v>
      </c>
      <c r="AF13" s="26" cm="1">
        <f t="array" ref="AF13">INDEX(CountyScoresTbl[Farmworker Need Points Awarded],ROW(S1AMHTbl[[#This Row],[COUNTY]])-2,1)*S1AMHTbl[[#This Row],[RURAL % OF FUNDING]]</f>
        <v>0</v>
      </c>
      <c r="AG13" s="399"/>
      <c r="AH13" s="7">
        <f>IF(S1AMHTbl[[#This Row],[INFILL SITE]]="Yes",5,3)*S1AMHTbl[[#This Row],[UNRESTRICTED % OF FUNDING]]</f>
        <v>0</v>
      </c>
      <c r="AI13" s="26">
        <f>IF(S1AMHTbl[[#This Row],[INFILL SITE]]="Yes",5,3)*S1AMHTbl[[#This Row],[RURAL % OF FUNDING]]</f>
        <v>0</v>
      </c>
    </row>
    <row r="14" spans="1:35" x14ac:dyDescent="0.35">
      <c r="A14" s="167"/>
      <c r="B14" s="5" t="s">
        <v>126</v>
      </c>
      <c r="C14" s="31" t="s">
        <v>513</v>
      </c>
      <c r="D14" s="113" t="str">
        <f>IF(SUM(S1AMHTbl[[#This Row],[UNRESTRICTED UNITS]])=0,"",S1AMHTbl[[#This Row],[UNRESTRICTED UNITS]])</f>
        <v/>
      </c>
      <c r="E14" s="74" t="str">
        <f>IF(S1AMHTbl[[#This Row],[UNRESTRICTED FUNDING REQUESTED]]=0,"",S1AMHTbl[[#This Row],[UNRESTRICTED FUNDING REQUESTED]]*
IF(S1_AMH_UnrestrictedTotalRequested&lt;=5000000,1,
5000000/S1_AMH_UnrestrictedTotalRequested))</f>
        <v/>
      </c>
      <c r="F14" s="6" t="str">
        <f>IFERROR(S1AMHTbl[[#This Row],[TOTAL $ REQUESTED]]/SUM(S1AMHTbl[TOTAL $ REQUESTED]),"")</f>
        <v/>
      </c>
      <c r="G14" s="31" t="s">
        <v>513</v>
      </c>
      <c r="H14" s="113" t="str">
        <f>IF(SUM(S1AMHTbl[[#This Row],[RURAL UNITS]])=0,"",S1AMHTbl[[#This Row],[RURAL UNITS]])</f>
        <v/>
      </c>
      <c r="I14" s="74" t="str">
        <f>IF(S1AMHTbl[[#This Row],[RURAL FUNDING REQUESTED]]=0,"",S1AMHTbl[[#This Row],[RURAL FUNDING REQUESTED]]*
IF(S1_AMH_RuralTotalRequested&lt;=(5000000-E$61),1,
(5000000-E$61)/S1_AMH_RuralTotalRequested))</f>
        <v/>
      </c>
      <c r="J14" s="6" t="str">
        <f>IFERROR(S1AMHTbl[[#This Row],[TOTAL $ REQUESTED2]]/SUM(S1AMHTbl[TOTAL $ REQUESTED2]),"")</f>
        <v/>
      </c>
      <c r="K14" s="31" t="s">
        <v>513</v>
      </c>
      <c r="L14" s="196"/>
      <c r="M14" s="119"/>
      <c r="N14" s="227"/>
      <c r="O14" s="123"/>
      <c r="P14" s="161"/>
      <c r="Q14" s="161"/>
      <c r="R14" s="74">
        <f t="shared" si="0"/>
        <v>0</v>
      </c>
      <c r="S14" s="6">
        <f>IF(S1AMHTbl[[#This Row],[UNRESTRICTED FUNDING REQUESTED]]=0,0,S1AMHTbl[[#This Row],[UNRESTRICTED FUNDING REQUESTED]]/S1_AMH_UnrestrictedTotalRequested)</f>
        <v>0</v>
      </c>
      <c r="T14" s="7">
        <f>IF(S1AMHTbl[[#This Row],[ALL UNITS IN A HIGH OR HIGHEST RESOURCE AREA]]="Yes",10*S1AMHTbl[[#This Row],[UNRESTRICTED % OF FUNDING]],0)</f>
        <v>0</v>
      </c>
      <c r="U14" s="7" cm="1">
        <f t="array" ref="U14">INDEX(CountyScoresTbl[Community Need Total Points],ROW(S1AMHTbl[[#This Row],[COUNTY]])-2,1)*S1AMHTbl[[#This Row],[UNRESTRICTED % OF FUNDING]]</f>
        <v>0</v>
      </c>
      <c r="V14" s="7">
        <f>IF(S1AMHTbl[[#This Row],[SITE CONTROL]]="Yes",20,10)*S1AMHTbl[[#This Row],[UNRESTRICTED % OF FUNDING]]</f>
        <v>0</v>
      </c>
      <c r="W14" s="26" cm="1">
        <f t="array" ref="W14">INDEX(CountyScoresTbl[Farmworker Need Points Awarded],ROW(S1AMHTbl[[#This Row],[COUNTY]])-2,1)*S1AMHTbl[[#This Row],[UNRESTRICTED % OF FUNDING]]</f>
        <v>0</v>
      </c>
      <c r="X14" s="123"/>
      <c r="Y14" s="161"/>
      <c r="Z14" s="161"/>
      <c r="AA14" s="74">
        <f t="shared" si="1"/>
        <v>0</v>
      </c>
      <c r="AB14" s="6">
        <f>IF(S1AMHTbl[[#This Row],[RURAL FUNDING REQUESTED]]=0,0,S1AMHTbl[[#This Row],[RURAL FUNDING REQUESTED]]/S1_AMH_RuralTotalRequested)</f>
        <v>0</v>
      </c>
      <c r="AC14" s="7">
        <f>IF(S1AMHTbl[[#This Row],[ALL UNITS IN A HIGH OR HIGHEST RESOURCE AREA]]="Yes",10*S1AMHTbl[[#This Row],[RURAL % OF FUNDING]],0)</f>
        <v>0</v>
      </c>
      <c r="AD14" s="7" cm="1">
        <f t="array" ref="AD14">INDEX(CountyScoresTbl[Community Need Total Points],ROW(S1AMHTbl[[#This Row],[COUNTY]])-2,1)*S1AMHTbl[[#This Row],[RURAL % OF FUNDING]]</f>
        <v>0</v>
      </c>
      <c r="AE14" s="7">
        <f>IF(S1AMHTbl[[#This Row],[SITE CONTROL]]="Yes",20,10)*S1AMHTbl[[#This Row],[RURAL % OF FUNDING]]</f>
        <v>0</v>
      </c>
      <c r="AF14" s="26" cm="1">
        <f t="array" ref="AF14">INDEX(CountyScoresTbl[Farmworker Need Points Awarded],ROW(S1AMHTbl[[#This Row],[COUNTY]])-2,1)*S1AMHTbl[[#This Row],[RURAL % OF FUNDING]]</f>
        <v>0</v>
      </c>
      <c r="AG14" s="399"/>
      <c r="AH14" s="7">
        <f>IF(S1AMHTbl[[#This Row],[INFILL SITE]]="Yes",5,3)*S1AMHTbl[[#This Row],[UNRESTRICTED % OF FUNDING]]</f>
        <v>0</v>
      </c>
      <c r="AI14" s="26">
        <f>IF(S1AMHTbl[[#This Row],[INFILL SITE]]="Yes",5,3)*S1AMHTbl[[#This Row],[RURAL % OF FUNDING]]</f>
        <v>0</v>
      </c>
    </row>
    <row r="15" spans="1:35" x14ac:dyDescent="0.35">
      <c r="A15" s="124"/>
      <c r="B15" s="5" t="s">
        <v>127</v>
      </c>
      <c r="C15" s="31" t="s">
        <v>513</v>
      </c>
      <c r="D15" s="113" t="str">
        <f>IF(SUM(S1AMHTbl[[#This Row],[UNRESTRICTED UNITS]])=0,"",S1AMHTbl[[#This Row],[UNRESTRICTED UNITS]])</f>
        <v/>
      </c>
      <c r="E15" s="74" t="str">
        <f>IF(S1AMHTbl[[#This Row],[UNRESTRICTED FUNDING REQUESTED]]=0,"",S1AMHTbl[[#This Row],[UNRESTRICTED FUNDING REQUESTED]]*
IF(S1_AMH_UnrestrictedTotalRequested&lt;=5000000,1,
5000000/S1_AMH_UnrestrictedTotalRequested))</f>
        <v/>
      </c>
      <c r="F15" s="6" t="str">
        <f>IFERROR(S1AMHTbl[[#This Row],[TOTAL $ REQUESTED]]/SUM(S1AMHTbl[TOTAL $ REQUESTED]),"")</f>
        <v/>
      </c>
      <c r="G15" s="31" t="s">
        <v>513</v>
      </c>
      <c r="H15" s="113" t="str">
        <f>IF(SUM(S1AMHTbl[[#This Row],[RURAL UNITS]])=0,"",S1AMHTbl[[#This Row],[RURAL UNITS]])</f>
        <v/>
      </c>
      <c r="I15" s="74" t="str">
        <f>IF(S1AMHTbl[[#This Row],[RURAL FUNDING REQUESTED]]=0,"",S1AMHTbl[[#This Row],[RURAL FUNDING REQUESTED]]*
IF(S1_AMH_RuralTotalRequested&lt;=(5000000-E$61),1,
(5000000-E$61)/S1_AMH_RuralTotalRequested))</f>
        <v/>
      </c>
      <c r="J15" s="6" t="str">
        <f>IFERROR(S1AMHTbl[[#This Row],[TOTAL $ REQUESTED2]]/SUM(S1AMHTbl[TOTAL $ REQUESTED2]),"")</f>
        <v/>
      </c>
      <c r="K15" s="31" t="s">
        <v>513</v>
      </c>
      <c r="L15" s="196"/>
      <c r="M15" s="119"/>
      <c r="N15" s="227"/>
      <c r="O15" s="124"/>
      <c r="P15" s="161"/>
      <c r="Q15" s="161"/>
      <c r="R15" s="74">
        <f t="shared" si="0"/>
        <v>0</v>
      </c>
      <c r="S15" s="6">
        <f>IF(S1AMHTbl[[#This Row],[UNRESTRICTED FUNDING REQUESTED]]=0,0,S1AMHTbl[[#This Row],[UNRESTRICTED FUNDING REQUESTED]]/S1_AMH_UnrestrictedTotalRequested)</f>
        <v>0</v>
      </c>
      <c r="T15" s="7">
        <f>IF(S1AMHTbl[[#This Row],[ALL UNITS IN A HIGH OR HIGHEST RESOURCE AREA]]="Yes",10*S1AMHTbl[[#This Row],[UNRESTRICTED % OF FUNDING]],0)</f>
        <v>0</v>
      </c>
      <c r="U15" s="7" cm="1">
        <f t="array" ref="U15">INDEX(CountyScoresTbl[Community Need Total Points],ROW(S1AMHTbl[[#This Row],[COUNTY]])-2,1)*S1AMHTbl[[#This Row],[UNRESTRICTED % OF FUNDING]]</f>
        <v>0</v>
      </c>
      <c r="V15" s="7">
        <f>IF(S1AMHTbl[[#This Row],[SITE CONTROL]]="Yes",20,10)*S1AMHTbl[[#This Row],[UNRESTRICTED % OF FUNDING]]</f>
        <v>0</v>
      </c>
      <c r="W15" s="26" cm="1">
        <f t="array" ref="W15">INDEX(CountyScoresTbl[Farmworker Need Points Awarded],ROW(S1AMHTbl[[#This Row],[COUNTY]])-2,1)*S1AMHTbl[[#This Row],[UNRESTRICTED % OF FUNDING]]</f>
        <v>0</v>
      </c>
      <c r="X15" s="124"/>
      <c r="Y15" s="161"/>
      <c r="Z15" s="161"/>
      <c r="AA15" s="74">
        <f t="shared" si="1"/>
        <v>0</v>
      </c>
      <c r="AB15" s="6">
        <f>IF(S1AMHTbl[[#This Row],[RURAL FUNDING REQUESTED]]=0,0,S1AMHTbl[[#This Row],[RURAL FUNDING REQUESTED]]/S1_AMH_RuralTotalRequested)</f>
        <v>0</v>
      </c>
      <c r="AC15" s="7">
        <f>IF(S1AMHTbl[[#This Row],[ALL UNITS IN A HIGH OR HIGHEST RESOURCE AREA]]="Yes",10*S1AMHTbl[[#This Row],[RURAL % OF FUNDING]],0)</f>
        <v>0</v>
      </c>
      <c r="AD15" s="7" cm="1">
        <f t="array" ref="AD15">INDEX(CountyScoresTbl[Community Need Total Points],ROW(S1AMHTbl[[#This Row],[COUNTY]])-2,1)*S1AMHTbl[[#This Row],[RURAL % OF FUNDING]]</f>
        <v>0</v>
      </c>
      <c r="AE15" s="7">
        <f>IF(S1AMHTbl[[#This Row],[SITE CONTROL]]="Yes",20,10)*S1AMHTbl[[#This Row],[RURAL % OF FUNDING]]</f>
        <v>0</v>
      </c>
      <c r="AF15" s="26" cm="1">
        <f t="array" ref="AF15">INDEX(CountyScoresTbl[Farmworker Need Points Awarded],ROW(S1AMHTbl[[#This Row],[COUNTY]])-2,1)*S1AMHTbl[[#This Row],[RURAL % OF FUNDING]]</f>
        <v>0</v>
      </c>
      <c r="AG15" s="399"/>
      <c r="AH15" s="7">
        <f>IF(S1AMHTbl[[#This Row],[INFILL SITE]]="Yes",5,3)*S1AMHTbl[[#This Row],[UNRESTRICTED % OF FUNDING]]</f>
        <v>0</v>
      </c>
      <c r="AI15" s="26">
        <f>IF(S1AMHTbl[[#This Row],[INFILL SITE]]="Yes",5,3)*S1AMHTbl[[#This Row],[RURAL % OF FUNDING]]</f>
        <v>0</v>
      </c>
    </row>
    <row r="16" spans="1:35" x14ac:dyDescent="0.35">
      <c r="A16" s="167"/>
      <c r="B16" s="5" t="s">
        <v>128</v>
      </c>
      <c r="C16" s="31" t="s">
        <v>513</v>
      </c>
      <c r="D16" s="113" t="str">
        <f>IF(SUM(S1AMHTbl[[#This Row],[UNRESTRICTED UNITS]])=0,"",S1AMHTbl[[#This Row],[UNRESTRICTED UNITS]])</f>
        <v/>
      </c>
      <c r="E16" s="74" t="str">
        <f>IF(S1AMHTbl[[#This Row],[UNRESTRICTED FUNDING REQUESTED]]=0,"",S1AMHTbl[[#This Row],[UNRESTRICTED FUNDING REQUESTED]]*
IF(S1_AMH_UnrestrictedTotalRequested&lt;=5000000,1,
5000000/S1_AMH_UnrestrictedTotalRequested))</f>
        <v/>
      </c>
      <c r="F16" s="6" t="str">
        <f>IFERROR(S1AMHTbl[[#This Row],[TOTAL $ REQUESTED]]/SUM(S1AMHTbl[TOTAL $ REQUESTED]),"")</f>
        <v/>
      </c>
      <c r="G16" s="31" t="s">
        <v>513</v>
      </c>
      <c r="H16" s="113" t="str">
        <f>IF(SUM(S1AMHTbl[[#This Row],[RURAL UNITS]])=0,"",S1AMHTbl[[#This Row],[RURAL UNITS]])</f>
        <v/>
      </c>
      <c r="I16" s="74" t="str">
        <f>IF(S1AMHTbl[[#This Row],[RURAL FUNDING REQUESTED]]=0,"",S1AMHTbl[[#This Row],[RURAL FUNDING REQUESTED]]*
IF(S1_AMH_RuralTotalRequested&lt;=(5000000-E$61),1,
(5000000-E$61)/S1_AMH_RuralTotalRequested))</f>
        <v/>
      </c>
      <c r="J16" s="6" t="str">
        <f>IFERROR(S1AMHTbl[[#This Row],[TOTAL $ REQUESTED2]]/SUM(S1AMHTbl[TOTAL $ REQUESTED2]),"")</f>
        <v/>
      </c>
      <c r="K16" s="31" t="s">
        <v>513</v>
      </c>
      <c r="L16" s="163"/>
      <c r="M16" s="164"/>
      <c r="N16" s="225"/>
      <c r="O16" s="123"/>
      <c r="P16" s="161"/>
      <c r="Q16" s="161"/>
      <c r="R16" s="74">
        <f t="shared" si="0"/>
        <v>0</v>
      </c>
      <c r="S16" s="6">
        <f>IF(S1AMHTbl[[#This Row],[UNRESTRICTED FUNDING REQUESTED]]=0,0,S1AMHTbl[[#This Row],[UNRESTRICTED FUNDING REQUESTED]]/S1_AMH_UnrestrictedTotalRequested)</f>
        <v>0</v>
      </c>
      <c r="T16" s="7">
        <f>IF(S1AMHTbl[[#This Row],[ALL UNITS IN A HIGH OR HIGHEST RESOURCE AREA]]="Yes",10*S1AMHTbl[[#This Row],[UNRESTRICTED % OF FUNDING]],0)</f>
        <v>0</v>
      </c>
      <c r="U16" s="7" cm="1">
        <f t="array" ref="U16">INDEX(CountyScoresTbl[Community Need Total Points],ROW(S1AMHTbl[[#This Row],[COUNTY]])-2,1)*S1AMHTbl[[#This Row],[UNRESTRICTED % OF FUNDING]]</f>
        <v>0</v>
      </c>
      <c r="V16" s="7">
        <f>IF(S1AMHTbl[[#This Row],[SITE CONTROL]]="Yes",20,10)*S1AMHTbl[[#This Row],[UNRESTRICTED % OF FUNDING]]</f>
        <v>0</v>
      </c>
      <c r="W16" s="26" cm="1">
        <f t="array" ref="W16">INDEX(CountyScoresTbl[Farmworker Need Points Awarded],ROW(S1AMHTbl[[#This Row],[COUNTY]])-2,1)*S1AMHTbl[[#This Row],[UNRESTRICTED % OF FUNDING]]</f>
        <v>0</v>
      </c>
      <c r="X16" s="123"/>
      <c r="Y16" s="161"/>
      <c r="Z16" s="161"/>
      <c r="AA16" s="74">
        <f t="shared" si="1"/>
        <v>0</v>
      </c>
      <c r="AB16" s="6">
        <f>IF(S1AMHTbl[[#This Row],[RURAL FUNDING REQUESTED]]=0,0,S1AMHTbl[[#This Row],[RURAL FUNDING REQUESTED]]/S1_AMH_RuralTotalRequested)</f>
        <v>0</v>
      </c>
      <c r="AC16" s="7">
        <f>IF(S1AMHTbl[[#This Row],[ALL UNITS IN A HIGH OR HIGHEST RESOURCE AREA]]="Yes",10*S1AMHTbl[[#This Row],[RURAL % OF FUNDING]],0)</f>
        <v>0</v>
      </c>
      <c r="AD16" s="7" cm="1">
        <f t="array" ref="AD16">INDEX(CountyScoresTbl[Community Need Total Points],ROW(S1AMHTbl[[#This Row],[COUNTY]])-2,1)*S1AMHTbl[[#This Row],[RURAL % OF FUNDING]]</f>
        <v>0</v>
      </c>
      <c r="AE16" s="7">
        <f>IF(S1AMHTbl[[#This Row],[SITE CONTROL]]="Yes",20,10)*S1AMHTbl[[#This Row],[RURAL % OF FUNDING]]</f>
        <v>0</v>
      </c>
      <c r="AF16" s="26" cm="1">
        <f t="array" ref="AF16">INDEX(CountyScoresTbl[Farmworker Need Points Awarded],ROW(S1AMHTbl[[#This Row],[COUNTY]])-2,1)*S1AMHTbl[[#This Row],[RURAL % OF FUNDING]]</f>
        <v>0</v>
      </c>
      <c r="AG16" s="399"/>
      <c r="AH16" s="7">
        <f>IF(S1AMHTbl[[#This Row],[INFILL SITE]]="Yes",5,3)*S1AMHTbl[[#This Row],[UNRESTRICTED % OF FUNDING]]</f>
        <v>0</v>
      </c>
      <c r="AI16" s="26">
        <f>IF(S1AMHTbl[[#This Row],[INFILL SITE]]="Yes",5,3)*S1AMHTbl[[#This Row],[RURAL % OF FUNDING]]</f>
        <v>0</v>
      </c>
    </row>
    <row r="17" spans="1:35" x14ac:dyDescent="0.35">
      <c r="A17" s="167"/>
      <c r="B17" s="5" t="s">
        <v>129</v>
      </c>
      <c r="C17" s="31" t="s">
        <v>513</v>
      </c>
      <c r="D17" s="113" t="str">
        <f>IF(SUM(S1AMHTbl[[#This Row],[UNRESTRICTED UNITS]])=0,"",S1AMHTbl[[#This Row],[UNRESTRICTED UNITS]])</f>
        <v/>
      </c>
      <c r="E17" s="74" t="str">
        <f>IF(S1AMHTbl[[#This Row],[UNRESTRICTED FUNDING REQUESTED]]=0,"",S1AMHTbl[[#This Row],[UNRESTRICTED FUNDING REQUESTED]]*
IF(S1_AMH_UnrestrictedTotalRequested&lt;=5000000,1,
5000000/S1_AMH_UnrestrictedTotalRequested))</f>
        <v/>
      </c>
      <c r="F17" s="6" t="str">
        <f>IFERROR(S1AMHTbl[[#This Row],[TOTAL $ REQUESTED]]/SUM(S1AMHTbl[TOTAL $ REQUESTED]),"")</f>
        <v/>
      </c>
      <c r="G17" s="31" t="s">
        <v>513</v>
      </c>
      <c r="H17" s="113" t="str">
        <f>IF(SUM(S1AMHTbl[[#This Row],[RURAL UNITS]])=0,"",S1AMHTbl[[#This Row],[RURAL UNITS]])</f>
        <v/>
      </c>
      <c r="I17" s="74" t="str">
        <f>IF(S1AMHTbl[[#This Row],[RURAL FUNDING REQUESTED]]=0,"",S1AMHTbl[[#This Row],[RURAL FUNDING REQUESTED]]*
IF(S1_AMH_RuralTotalRequested&lt;=(5000000-E$61),1,
(5000000-E$61)/S1_AMH_RuralTotalRequested))</f>
        <v/>
      </c>
      <c r="J17" s="6" t="str">
        <f>IFERROR(S1AMHTbl[[#This Row],[TOTAL $ REQUESTED2]]/SUM(S1AMHTbl[TOTAL $ REQUESTED2]),"")</f>
        <v/>
      </c>
      <c r="K17" s="31" t="s">
        <v>513</v>
      </c>
      <c r="L17" s="163"/>
      <c r="M17" s="164"/>
      <c r="N17" s="225"/>
      <c r="O17" s="123"/>
      <c r="P17" s="161"/>
      <c r="Q17" s="161"/>
      <c r="R17" s="74">
        <f t="shared" si="0"/>
        <v>0</v>
      </c>
      <c r="S17" s="6">
        <f>IF(S1AMHTbl[[#This Row],[UNRESTRICTED FUNDING REQUESTED]]=0,0,S1AMHTbl[[#This Row],[UNRESTRICTED FUNDING REQUESTED]]/S1_AMH_UnrestrictedTotalRequested)</f>
        <v>0</v>
      </c>
      <c r="T17" s="7">
        <f>IF(S1AMHTbl[[#This Row],[ALL UNITS IN A HIGH OR HIGHEST RESOURCE AREA]]="Yes",10*S1AMHTbl[[#This Row],[UNRESTRICTED % OF FUNDING]],0)</f>
        <v>0</v>
      </c>
      <c r="U17" s="7" cm="1">
        <f t="array" ref="U17">INDEX(CountyScoresTbl[Community Need Total Points],ROW(S1AMHTbl[[#This Row],[COUNTY]])-2,1)*S1AMHTbl[[#This Row],[UNRESTRICTED % OF FUNDING]]</f>
        <v>0</v>
      </c>
      <c r="V17" s="7">
        <f>IF(S1AMHTbl[[#This Row],[SITE CONTROL]]="Yes",20,10)*S1AMHTbl[[#This Row],[UNRESTRICTED % OF FUNDING]]</f>
        <v>0</v>
      </c>
      <c r="W17" s="26" cm="1">
        <f t="array" ref="W17">INDEX(CountyScoresTbl[Farmworker Need Points Awarded],ROW(S1AMHTbl[[#This Row],[COUNTY]])-2,1)*S1AMHTbl[[#This Row],[UNRESTRICTED % OF FUNDING]]</f>
        <v>0</v>
      </c>
      <c r="X17" s="123"/>
      <c r="Y17" s="161"/>
      <c r="Z17" s="161"/>
      <c r="AA17" s="74">
        <f t="shared" si="1"/>
        <v>0</v>
      </c>
      <c r="AB17" s="6">
        <f>IF(S1AMHTbl[[#This Row],[RURAL FUNDING REQUESTED]]=0,0,S1AMHTbl[[#This Row],[RURAL FUNDING REQUESTED]]/S1_AMH_RuralTotalRequested)</f>
        <v>0</v>
      </c>
      <c r="AC17" s="7">
        <f>IF(S1AMHTbl[[#This Row],[ALL UNITS IN A HIGH OR HIGHEST RESOURCE AREA]]="Yes",10*S1AMHTbl[[#This Row],[RURAL % OF FUNDING]],0)</f>
        <v>0</v>
      </c>
      <c r="AD17" s="7" cm="1">
        <f t="array" ref="AD17">INDEX(CountyScoresTbl[Community Need Total Points],ROW(S1AMHTbl[[#This Row],[COUNTY]])-2,1)*S1AMHTbl[[#This Row],[RURAL % OF FUNDING]]</f>
        <v>0</v>
      </c>
      <c r="AE17" s="7">
        <f>IF(S1AMHTbl[[#This Row],[SITE CONTROL]]="Yes",20,10)*S1AMHTbl[[#This Row],[RURAL % OF FUNDING]]</f>
        <v>0</v>
      </c>
      <c r="AF17" s="26" cm="1">
        <f t="array" ref="AF17">INDEX(CountyScoresTbl[Farmworker Need Points Awarded],ROW(S1AMHTbl[[#This Row],[COUNTY]])-2,1)*S1AMHTbl[[#This Row],[RURAL % OF FUNDING]]</f>
        <v>0</v>
      </c>
      <c r="AG17" s="399"/>
      <c r="AH17" s="7">
        <f>IF(S1AMHTbl[[#This Row],[INFILL SITE]]="Yes",5,3)*S1AMHTbl[[#This Row],[UNRESTRICTED % OF FUNDING]]</f>
        <v>0</v>
      </c>
      <c r="AI17" s="26">
        <f>IF(S1AMHTbl[[#This Row],[INFILL SITE]]="Yes",5,3)*S1AMHTbl[[#This Row],[RURAL % OF FUNDING]]</f>
        <v>0</v>
      </c>
    </row>
    <row r="18" spans="1:35" x14ac:dyDescent="0.35">
      <c r="A18" s="167"/>
      <c r="B18" s="5" t="s">
        <v>130</v>
      </c>
      <c r="C18" s="31" t="s">
        <v>513</v>
      </c>
      <c r="D18" s="113" t="str">
        <f>IF(SUM(S1AMHTbl[[#This Row],[UNRESTRICTED UNITS]])=0,"",S1AMHTbl[[#This Row],[UNRESTRICTED UNITS]])</f>
        <v/>
      </c>
      <c r="E18" s="74" t="str">
        <f>IF(S1AMHTbl[[#This Row],[UNRESTRICTED FUNDING REQUESTED]]=0,"",S1AMHTbl[[#This Row],[UNRESTRICTED FUNDING REQUESTED]]*
IF(S1_AMH_UnrestrictedTotalRequested&lt;=5000000,1,
5000000/S1_AMH_UnrestrictedTotalRequested))</f>
        <v/>
      </c>
      <c r="F18" s="6" t="str">
        <f>IFERROR(S1AMHTbl[[#This Row],[TOTAL $ REQUESTED]]/SUM(S1AMHTbl[TOTAL $ REQUESTED]),"")</f>
        <v/>
      </c>
      <c r="G18" s="31" t="s">
        <v>513</v>
      </c>
      <c r="H18" s="113" t="str">
        <f>IF(SUM(S1AMHTbl[[#This Row],[RURAL UNITS]])=0,"",S1AMHTbl[[#This Row],[RURAL UNITS]])</f>
        <v/>
      </c>
      <c r="I18" s="74" t="str">
        <f>IF(S1AMHTbl[[#This Row],[RURAL FUNDING REQUESTED]]=0,"",S1AMHTbl[[#This Row],[RURAL FUNDING REQUESTED]]*
IF(S1_AMH_RuralTotalRequested&lt;=(5000000-E$61),1,
(5000000-E$61)/S1_AMH_RuralTotalRequested))</f>
        <v/>
      </c>
      <c r="J18" s="6" t="str">
        <f>IFERROR(S1AMHTbl[[#This Row],[TOTAL $ REQUESTED2]]/SUM(S1AMHTbl[TOTAL $ REQUESTED2]),"")</f>
        <v/>
      </c>
      <c r="K18" s="31" t="s">
        <v>513</v>
      </c>
      <c r="L18" s="163"/>
      <c r="M18" s="164"/>
      <c r="N18" s="225"/>
      <c r="O18" s="123"/>
      <c r="P18" s="161"/>
      <c r="Q18" s="161"/>
      <c r="R18" s="74">
        <f t="shared" si="0"/>
        <v>0</v>
      </c>
      <c r="S18" s="6">
        <f>IF(S1AMHTbl[[#This Row],[UNRESTRICTED FUNDING REQUESTED]]=0,0,S1AMHTbl[[#This Row],[UNRESTRICTED FUNDING REQUESTED]]/S1_AMH_UnrestrictedTotalRequested)</f>
        <v>0</v>
      </c>
      <c r="T18" s="7">
        <f>IF(S1AMHTbl[[#This Row],[ALL UNITS IN A HIGH OR HIGHEST RESOURCE AREA]]="Yes",10*S1AMHTbl[[#This Row],[UNRESTRICTED % OF FUNDING]],0)</f>
        <v>0</v>
      </c>
      <c r="U18" s="7" cm="1">
        <f t="array" ref="U18">INDEX(CountyScoresTbl[Community Need Total Points],ROW(S1AMHTbl[[#This Row],[COUNTY]])-2,1)*S1AMHTbl[[#This Row],[UNRESTRICTED % OF FUNDING]]</f>
        <v>0</v>
      </c>
      <c r="V18" s="7">
        <f>IF(S1AMHTbl[[#This Row],[SITE CONTROL]]="Yes",20,10)*S1AMHTbl[[#This Row],[UNRESTRICTED % OF FUNDING]]</f>
        <v>0</v>
      </c>
      <c r="W18" s="26" cm="1">
        <f t="array" ref="W18">INDEX(CountyScoresTbl[Farmworker Need Points Awarded],ROW(S1AMHTbl[[#This Row],[COUNTY]])-2,1)*S1AMHTbl[[#This Row],[UNRESTRICTED % OF FUNDING]]</f>
        <v>0</v>
      </c>
      <c r="X18" s="123"/>
      <c r="Y18" s="161"/>
      <c r="Z18" s="161"/>
      <c r="AA18" s="74">
        <f t="shared" si="1"/>
        <v>0</v>
      </c>
      <c r="AB18" s="6">
        <f>IF(S1AMHTbl[[#This Row],[RURAL FUNDING REQUESTED]]=0,0,S1AMHTbl[[#This Row],[RURAL FUNDING REQUESTED]]/S1_AMH_RuralTotalRequested)</f>
        <v>0</v>
      </c>
      <c r="AC18" s="7">
        <f>IF(S1AMHTbl[[#This Row],[ALL UNITS IN A HIGH OR HIGHEST RESOURCE AREA]]="Yes",10*S1AMHTbl[[#This Row],[RURAL % OF FUNDING]],0)</f>
        <v>0</v>
      </c>
      <c r="AD18" s="7" cm="1">
        <f t="array" ref="AD18">INDEX(CountyScoresTbl[Community Need Total Points],ROW(S1AMHTbl[[#This Row],[COUNTY]])-2,1)*S1AMHTbl[[#This Row],[RURAL % OF FUNDING]]</f>
        <v>0</v>
      </c>
      <c r="AE18" s="7">
        <f>IF(S1AMHTbl[[#This Row],[SITE CONTROL]]="Yes",20,10)*S1AMHTbl[[#This Row],[RURAL % OF FUNDING]]</f>
        <v>0</v>
      </c>
      <c r="AF18" s="26" cm="1">
        <f t="array" ref="AF18">INDEX(CountyScoresTbl[Farmworker Need Points Awarded],ROW(S1AMHTbl[[#This Row],[COUNTY]])-2,1)*S1AMHTbl[[#This Row],[RURAL % OF FUNDING]]</f>
        <v>0</v>
      </c>
      <c r="AG18" s="399"/>
      <c r="AH18" s="7">
        <f>IF(S1AMHTbl[[#This Row],[INFILL SITE]]="Yes",5,3)*S1AMHTbl[[#This Row],[UNRESTRICTED % OF FUNDING]]</f>
        <v>0</v>
      </c>
      <c r="AI18" s="26">
        <f>IF(S1AMHTbl[[#This Row],[INFILL SITE]]="Yes",5,3)*S1AMHTbl[[#This Row],[RURAL % OF FUNDING]]</f>
        <v>0</v>
      </c>
    </row>
    <row r="19" spans="1:35" x14ac:dyDescent="0.35">
      <c r="A19" s="167"/>
      <c r="B19" s="5" t="s">
        <v>131</v>
      </c>
      <c r="C19" s="31" t="s">
        <v>513</v>
      </c>
      <c r="D19" s="113" t="str">
        <f>IF(SUM(S1AMHTbl[[#This Row],[UNRESTRICTED UNITS]])=0,"",S1AMHTbl[[#This Row],[UNRESTRICTED UNITS]])</f>
        <v/>
      </c>
      <c r="E19" s="74" t="str">
        <f>IF(S1AMHTbl[[#This Row],[UNRESTRICTED FUNDING REQUESTED]]=0,"",S1AMHTbl[[#This Row],[UNRESTRICTED FUNDING REQUESTED]]*
IF(S1_AMH_UnrestrictedTotalRequested&lt;=5000000,1,
5000000/S1_AMH_UnrestrictedTotalRequested))</f>
        <v/>
      </c>
      <c r="F19" s="6" t="str">
        <f>IFERROR(S1AMHTbl[[#This Row],[TOTAL $ REQUESTED]]/SUM(S1AMHTbl[TOTAL $ REQUESTED]),"")</f>
        <v/>
      </c>
      <c r="G19" s="31" t="s">
        <v>513</v>
      </c>
      <c r="H19" s="113" t="str">
        <f>IF(SUM(S1AMHTbl[[#This Row],[RURAL UNITS]])=0,"",S1AMHTbl[[#This Row],[RURAL UNITS]])</f>
        <v/>
      </c>
      <c r="I19" s="74" t="str">
        <f>IF(S1AMHTbl[[#This Row],[RURAL FUNDING REQUESTED]]=0,"",S1AMHTbl[[#This Row],[RURAL FUNDING REQUESTED]]*
IF(S1_AMH_RuralTotalRequested&lt;=(5000000-E$61),1,
(5000000-E$61)/S1_AMH_RuralTotalRequested))</f>
        <v/>
      </c>
      <c r="J19" s="6" t="str">
        <f>IFERROR(S1AMHTbl[[#This Row],[TOTAL $ REQUESTED2]]/SUM(S1AMHTbl[TOTAL $ REQUESTED2]),"")</f>
        <v/>
      </c>
      <c r="K19" s="31" t="s">
        <v>513</v>
      </c>
      <c r="L19" s="163"/>
      <c r="M19" s="164"/>
      <c r="N19" s="225"/>
      <c r="O19" s="123"/>
      <c r="P19" s="161"/>
      <c r="Q19" s="161"/>
      <c r="R19" s="74">
        <f t="shared" si="0"/>
        <v>0</v>
      </c>
      <c r="S19" s="6">
        <f>IF(S1AMHTbl[[#This Row],[UNRESTRICTED FUNDING REQUESTED]]=0,0,S1AMHTbl[[#This Row],[UNRESTRICTED FUNDING REQUESTED]]/S1_AMH_UnrestrictedTotalRequested)</f>
        <v>0</v>
      </c>
      <c r="T19" s="7">
        <f>IF(S1AMHTbl[[#This Row],[ALL UNITS IN A HIGH OR HIGHEST RESOURCE AREA]]="Yes",10*S1AMHTbl[[#This Row],[UNRESTRICTED % OF FUNDING]],0)</f>
        <v>0</v>
      </c>
      <c r="U19" s="7" cm="1">
        <f t="array" ref="U19">INDEX(CountyScoresTbl[Community Need Total Points],ROW(S1AMHTbl[[#This Row],[COUNTY]])-2,1)*S1AMHTbl[[#This Row],[UNRESTRICTED % OF FUNDING]]</f>
        <v>0</v>
      </c>
      <c r="V19" s="7">
        <f>IF(S1AMHTbl[[#This Row],[SITE CONTROL]]="Yes",20,10)*S1AMHTbl[[#This Row],[UNRESTRICTED % OF FUNDING]]</f>
        <v>0</v>
      </c>
      <c r="W19" s="26" cm="1">
        <f t="array" ref="W19">INDEX(CountyScoresTbl[Farmworker Need Points Awarded],ROW(S1AMHTbl[[#This Row],[COUNTY]])-2,1)*S1AMHTbl[[#This Row],[UNRESTRICTED % OF FUNDING]]</f>
        <v>0</v>
      </c>
      <c r="X19" s="123"/>
      <c r="Y19" s="161"/>
      <c r="Z19" s="161"/>
      <c r="AA19" s="74">
        <f t="shared" si="1"/>
        <v>0</v>
      </c>
      <c r="AB19" s="6">
        <f>IF(S1AMHTbl[[#This Row],[RURAL FUNDING REQUESTED]]=0,0,S1AMHTbl[[#This Row],[RURAL FUNDING REQUESTED]]/S1_AMH_RuralTotalRequested)</f>
        <v>0</v>
      </c>
      <c r="AC19" s="7">
        <f>IF(S1AMHTbl[[#This Row],[ALL UNITS IN A HIGH OR HIGHEST RESOURCE AREA]]="Yes",10*S1AMHTbl[[#This Row],[RURAL % OF FUNDING]],0)</f>
        <v>0</v>
      </c>
      <c r="AD19" s="7" cm="1">
        <f t="array" ref="AD19">INDEX(CountyScoresTbl[Community Need Total Points],ROW(S1AMHTbl[[#This Row],[COUNTY]])-2,1)*S1AMHTbl[[#This Row],[RURAL % OF FUNDING]]</f>
        <v>0</v>
      </c>
      <c r="AE19" s="7">
        <f>IF(S1AMHTbl[[#This Row],[SITE CONTROL]]="Yes",20,10)*S1AMHTbl[[#This Row],[RURAL % OF FUNDING]]</f>
        <v>0</v>
      </c>
      <c r="AF19" s="26" cm="1">
        <f t="array" ref="AF19">INDEX(CountyScoresTbl[Farmworker Need Points Awarded],ROW(S1AMHTbl[[#This Row],[COUNTY]])-2,1)*S1AMHTbl[[#This Row],[RURAL % OF FUNDING]]</f>
        <v>0</v>
      </c>
      <c r="AG19" s="399"/>
      <c r="AH19" s="7">
        <f>IF(S1AMHTbl[[#This Row],[INFILL SITE]]="Yes",5,3)*S1AMHTbl[[#This Row],[UNRESTRICTED % OF FUNDING]]</f>
        <v>0</v>
      </c>
      <c r="AI19" s="26">
        <f>IF(S1AMHTbl[[#This Row],[INFILL SITE]]="Yes",5,3)*S1AMHTbl[[#This Row],[RURAL % OF FUNDING]]</f>
        <v>0</v>
      </c>
    </row>
    <row r="20" spans="1:35" x14ac:dyDescent="0.35">
      <c r="A20" s="124"/>
      <c r="B20" s="5" t="s">
        <v>132</v>
      </c>
      <c r="C20" s="31" t="s">
        <v>513</v>
      </c>
      <c r="D20" s="113" t="str">
        <f>IF(SUM(S1AMHTbl[[#This Row],[UNRESTRICTED UNITS]])=0,"",S1AMHTbl[[#This Row],[UNRESTRICTED UNITS]])</f>
        <v/>
      </c>
      <c r="E20" s="74" t="str">
        <f>IF(S1AMHTbl[[#This Row],[UNRESTRICTED FUNDING REQUESTED]]=0,"",S1AMHTbl[[#This Row],[UNRESTRICTED FUNDING REQUESTED]]*
IF(S1_AMH_UnrestrictedTotalRequested&lt;=5000000,1,
5000000/S1_AMH_UnrestrictedTotalRequested))</f>
        <v/>
      </c>
      <c r="F20" s="6" t="str">
        <f>IFERROR(S1AMHTbl[[#This Row],[TOTAL $ REQUESTED]]/SUM(S1AMHTbl[TOTAL $ REQUESTED]),"")</f>
        <v/>
      </c>
      <c r="G20" s="31" t="s">
        <v>513</v>
      </c>
      <c r="H20" s="113" t="str">
        <f>IF(SUM(S1AMHTbl[[#This Row],[RURAL UNITS]])=0,"",S1AMHTbl[[#This Row],[RURAL UNITS]])</f>
        <v/>
      </c>
      <c r="I20" s="74" t="str">
        <f>IF(S1AMHTbl[[#This Row],[RURAL FUNDING REQUESTED]]=0,"",S1AMHTbl[[#This Row],[RURAL FUNDING REQUESTED]]*
IF(S1_AMH_RuralTotalRequested&lt;=(5000000-E$61),1,
(5000000-E$61)/S1_AMH_RuralTotalRequested))</f>
        <v/>
      </c>
      <c r="J20" s="6" t="str">
        <f>IFERROR(S1AMHTbl[[#This Row],[TOTAL $ REQUESTED2]]/SUM(S1AMHTbl[TOTAL $ REQUESTED2]),"")</f>
        <v/>
      </c>
      <c r="K20" s="31" t="s">
        <v>513</v>
      </c>
      <c r="L20" s="196"/>
      <c r="M20" s="119"/>
      <c r="N20" s="227"/>
      <c r="O20" s="124"/>
      <c r="P20" s="161"/>
      <c r="Q20" s="161"/>
      <c r="R20" s="74">
        <f t="shared" si="0"/>
        <v>0</v>
      </c>
      <c r="S20" s="6">
        <f>IF(S1AMHTbl[[#This Row],[UNRESTRICTED FUNDING REQUESTED]]=0,0,S1AMHTbl[[#This Row],[UNRESTRICTED FUNDING REQUESTED]]/S1_AMH_UnrestrictedTotalRequested)</f>
        <v>0</v>
      </c>
      <c r="T20" s="7">
        <f>IF(S1AMHTbl[[#This Row],[ALL UNITS IN A HIGH OR HIGHEST RESOURCE AREA]]="Yes",10*S1AMHTbl[[#This Row],[UNRESTRICTED % OF FUNDING]],0)</f>
        <v>0</v>
      </c>
      <c r="U20" s="7" cm="1">
        <f t="array" ref="U20">INDEX(CountyScoresTbl[Community Need Total Points],ROW(S1AMHTbl[[#This Row],[COUNTY]])-2,1)*S1AMHTbl[[#This Row],[UNRESTRICTED % OF FUNDING]]</f>
        <v>0</v>
      </c>
      <c r="V20" s="7">
        <f>IF(S1AMHTbl[[#This Row],[SITE CONTROL]]="Yes",20,10)*S1AMHTbl[[#This Row],[UNRESTRICTED % OF FUNDING]]</f>
        <v>0</v>
      </c>
      <c r="W20" s="26" cm="1">
        <f t="array" ref="W20">INDEX(CountyScoresTbl[Farmworker Need Points Awarded],ROW(S1AMHTbl[[#This Row],[COUNTY]])-2,1)*S1AMHTbl[[#This Row],[UNRESTRICTED % OF FUNDING]]</f>
        <v>0</v>
      </c>
      <c r="X20" s="124"/>
      <c r="Y20" s="161"/>
      <c r="Z20" s="161"/>
      <c r="AA20" s="74">
        <f t="shared" si="1"/>
        <v>0</v>
      </c>
      <c r="AB20" s="6">
        <f>IF(S1AMHTbl[[#This Row],[RURAL FUNDING REQUESTED]]=0,0,S1AMHTbl[[#This Row],[RURAL FUNDING REQUESTED]]/S1_AMH_RuralTotalRequested)</f>
        <v>0</v>
      </c>
      <c r="AC20" s="7">
        <f>IF(S1AMHTbl[[#This Row],[ALL UNITS IN A HIGH OR HIGHEST RESOURCE AREA]]="Yes",10*S1AMHTbl[[#This Row],[RURAL % OF FUNDING]],0)</f>
        <v>0</v>
      </c>
      <c r="AD20" s="7" cm="1">
        <f t="array" ref="AD20">INDEX(CountyScoresTbl[Community Need Total Points],ROW(S1AMHTbl[[#This Row],[COUNTY]])-2,1)*S1AMHTbl[[#This Row],[RURAL % OF FUNDING]]</f>
        <v>0</v>
      </c>
      <c r="AE20" s="7">
        <f>IF(S1AMHTbl[[#This Row],[SITE CONTROL]]="Yes",20,10)*S1AMHTbl[[#This Row],[RURAL % OF FUNDING]]</f>
        <v>0</v>
      </c>
      <c r="AF20" s="26" cm="1">
        <f t="array" ref="AF20">INDEX(CountyScoresTbl[Farmworker Need Points Awarded],ROW(S1AMHTbl[[#This Row],[COUNTY]])-2,1)*S1AMHTbl[[#This Row],[RURAL % OF FUNDING]]</f>
        <v>0</v>
      </c>
      <c r="AG20" s="399"/>
      <c r="AH20" s="7">
        <f>IF(S1AMHTbl[[#This Row],[INFILL SITE]]="Yes",5,3)*S1AMHTbl[[#This Row],[UNRESTRICTED % OF FUNDING]]</f>
        <v>0</v>
      </c>
      <c r="AI20" s="26">
        <f>IF(S1AMHTbl[[#This Row],[INFILL SITE]]="Yes",5,3)*S1AMHTbl[[#This Row],[RURAL % OF FUNDING]]</f>
        <v>0</v>
      </c>
    </row>
    <row r="21" spans="1:35" x14ac:dyDescent="0.35">
      <c r="A21" s="124"/>
      <c r="B21" s="5" t="s">
        <v>133</v>
      </c>
      <c r="C21" s="31" t="s">
        <v>513</v>
      </c>
      <c r="D21" s="113" t="str">
        <f>IF(SUM(S1AMHTbl[[#This Row],[UNRESTRICTED UNITS]])=0,"",S1AMHTbl[[#This Row],[UNRESTRICTED UNITS]])</f>
        <v/>
      </c>
      <c r="E21" s="74" t="str">
        <f>IF(S1AMHTbl[[#This Row],[UNRESTRICTED FUNDING REQUESTED]]=0,"",S1AMHTbl[[#This Row],[UNRESTRICTED FUNDING REQUESTED]]*
IF(S1_AMH_UnrestrictedTotalRequested&lt;=5000000,1,
5000000/S1_AMH_UnrestrictedTotalRequested))</f>
        <v/>
      </c>
      <c r="F21" s="6" t="str">
        <f>IFERROR(S1AMHTbl[[#This Row],[TOTAL $ REQUESTED]]/SUM(S1AMHTbl[TOTAL $ REQUESTED]),"")</f>
        <v/>
      </c>
      <c r="G21" s="31" t="s">
        <v>513</v>
      </c>
      <c r="H21" s="113" t="str">
        <f>IF(SUM(S1AMHTbl[[#This Row],[RURAL UNITS]])=0,"",S1AMHTbl[[#This Row],[RURAL UNITS]])</f>
        <v/>
      </c>
      <c r="I21" s="74" t="str">
        <f>IF(S1AMHTbl[[#This Row],[RURAL FUNDING REQUESTED]]=0,"",S1AMHTbl[[#This Row],[RURAL FUNDING REQUESTED]]*
IF(S1_AMH_RuralTotalRequested&lt;=(5000000-E$61),1,
(5000000-E$61)/S1_AMH_RuralTotalRequested))</f>
        <v/>
      </c>
      <c r="J21" s="6" t="str">
        <f>IFERROR(S1AMHTbl[[#This Row],[TOTAL $ REQUESTED2]]/SUM(S1AMHTbl[TOTAL $ REQUESTED2]),"")</f>
        <v/>
      </c>
      <c r="K21" s="31" t="s">
        <v>513</v>
      </c>
      <c r="L21" s="196"/>
      <c r="M21" s="119"/>
      <c r="N21" s="227"/>
      <c r="O21" s="124"/>
      <c r="P21" s="161"/>
      <c r="Q21" s="161"/>
      <c r="R21" s="74">
        <f t="shared" si="0"/>
        <v>0</v>
      </c>
      <c r="S21" s="6">
        <f>IF(S1AMHTbl[[#This Row],[UNRESTRICTED FUNDING REQUESTED]]=0,0,S1AMHTbl[[#This Row],[UNRESTRICTED FUNDING REQUESTED]]/S1_AMH_UnrestrictedTotalRequested)</f>
        <v>0</v>
      </c>
      <c r="T21" s="7">
        <f>IF(S1AMHTbl[[#This Row],[ALL UNITS IN A HIGH OR HIGHEST RESOURCE AREA]]="Yes",10*S1AMHTbl[[#This Row],[UNRESTRICTED % OF FUNDING]],0)</f>
        <v>0</v>
      </c>
      <c r="U21" s="7" cm="1">
        <f t="array" ref="U21">INDEX(CountyScoresTbl[Community Need Total Points],ROW(S1AMHTbl[[#This Row],[COUNTY]])-2,1)*S1AMHTbl[[#This Row],[UNRESTRICTED % OF FUNDING]]</f>
        <v>0</v>
      </c>
      <c r="V21" s="7">
        <f>IF(S1AMHTbl[[#This Row],[SITE CONTROL]]="Yes",20,10)*S1AMHTbl[[#This Row],[UNRESTRICTED % OF FUNDING]]</f>
        <v>0</v>
      </c>
      <c r="W21" s="26" cm="1">
        <f t="array" ref="W21">INDEX(CountyScoresTbl[Farmworker Need Points Awarded],ROW(S1AMHTbl[[#This Row],[COUNTY]])-2,1)*S1AMHTbl[[#This Row],[UNRESTRICTED % OF FUNDING]]</f>
        <v>0</v>
      </c>
      <c r="X21" s="124"/>
      <c r="Y21" s="161"/>
      <c r="Z21" s="161"/>
      <c r="AA21" s="74">
        <f t="shared" si="1"/>
        <v>0</v>
      </c>
      <c r="AB21" s="6">
        <f>IF(S1AMHTbl[[#This Row],[RURAL FUNDING REQUESTED]]=0,0,S1AMHTbl[[#This Row],[RURAL FUNDING REQUESTED]]/S1_AMH_RuralTotalRequested)</f>
        <v>0</v>
      </c>
      <c r="AC21" s="7">
        <f>IF(S1AMHTbl[[#This Row],[ALL UNITS IN A HIGH OR HIGHEST RESOURCE AREA]]="Yes",10*S1AMHTbl[[#This Row],[RURAL % OF FUNDING]],0)</f>
        <v>0</v>
      </c>
      <c r="AD21" s="7" cm="1">
        <f t="array" ref="AD21">INDEX(CountyScoresTbl[Community Need Total Points],ROW(S1AMHTbl[[#This Row],[COUNTY]])-2,1)*S1AMHTbl[[#This Row],[RURAL % OF FUNDING]]</f>
        <v>0</v>
      </c>
      <c r="AE21" s="7">
        <f>IF(S1AMHTbl[[#This Row],[SITE CONTROL]]="Yes",20,10)*S1AMHTbl[[#This Row],[RURAL % OF FUNDING]]</f>
        <v>0</v>
      </c>
      <c r="AF21" s="26" cm="1">
        <f t="array" ref="AF21">INDEX(CountyScoresTbl[Farmworker Need Points Awarded],ROW(S1AMHTbl[[#This Row],[COUNTY]])-2,1)*S1AMHTbl[[#This Row],[RURAL % OF FUNDING]]</f>
        <v>0</v>
      </c>
      <c r="AG21" s="399"/>
      <c r="AH21" s="7">
        <f>IF(S1AMHTbl[[#This Row],[INFILL SITE]]="Yes",5,3)*S1AMHTbl[[#This Row],[UNRESTRICTED % OF FUNDING]]</f>
        <v>0</v>
      </c>
      <c r="AI21" s="26">
        <f>IF(S1AMHTbl[[#This Row],[INFILL SITE]]="Yes",5,3)*S1AMHTbl[[#This Row],[RURAL % OF FUNDING]]</f>
        <v>0</v>
      </c>
    </row>
    <row r="22" spans="1:35" x14ac:dyDescent="0.35">
      <c r="A22" s="124"/>
      <c r="B22" s="5" t="s">
        <v>134</v>
      </c>
      <c r="C22" s="31" t="s">
        <v>513</v>
      </c>
      <c r="D22" s="113" t="str">
        <f>IF(SUM(S1AMHTbl[[#This Row],[UNRESTRICTED UNITS]])=0,"",S1AMHTbl[[#This Row],[UNRESTRICTED UNITS]])</f>
        <v/>
      </c>
      <c r="E22" s="74" t="str">
        <f>IF(S1AMHTbl[[#This Row],[UNRESTRICTED FUNDING REQUESTED]]=0,"",S1AMHTbl[[#This Row],[UNRESTRICTED FUNDING REQUESTED]]*
IF(S1_AMH_UnrestrictedTotalRequested&lt;=5000000,1,
5000000/S1_AMH_UnrestrictedTotalRequested))</f>
        <v/>
      </c>
      <c r="F22" s="6" t="str">
        <f>IFERROR(S1AMHTbl[[#This Row],[TOTAL $ REQUESTED]]/SUM(S1AMHTbl[TOTAL $ REQUESTED]),"")</f>
        <v/>
      </c>
      <c r="G22" s="31" t="s">
        <v>513</v>
      </c>
      <c r="H22" s="113" t="str">
        <f>IF(SUM(S1AMHTbl[[#This Row],[RURAL UNITS]])=0,"",S1AMHTbl[[#This Row],[RURAL UNITS]])</f>
        <v/>
      </c>
      <c r="I22" s="74" t="str">
        <f>IF(S1AMHTbl[[#This Row],[RURAL FUNDING REQUESTED]]=0,"",S1AMHTbl[[#This Row],[RURAL FUNDING REQUESTED]]*
IF(S1_AMH_RuralTotalRequested&lt;=(5000000-E$61),1,
(5000000-E$61)/S1_AMH_RuralTotalRequested))</f>
        <v/>
      </c>
      <c r="J22" s="6" t="str">
        <f>IFERROR(S1AMHTbl[[#This Row],[TOTAL $ REQUESTED2]]/SUM(S1AMHTbl[TOTAL $ REQUESTED2]),"")</f>
        <v/>
      </c>
      <c r="K22" s="31" t="s">
        <v>513</v>
      </c>
      <c r="L22" s="196"/>
      <c r="M22" s="119"/>
      <c r="N22" s="227"/>
      <c r="O22" s="124"/>
      <c r="P22" s="161"/>
      <c r="Q22" s="161"/>
      <c r="R22" s="74">
        <f t="shared" si="0"/>
        <v>0</v>
      </c>
      <c r="S22" s="6">
        <f>IF(S1AMHTbl[[#This Row],[UNRESTRICTED FUNDING REQUESTED]]=0,0,S1AMHTbl[[#This Row],[UNRESTRICTED FUNDING REQUESTED]]/S1_AMH_UnrestrictedTotalRequested)</f>
        <v>0</v>
      </c>
      <c r="T22" s="7">
        <f>IF(S1AMHTbl[[#This Row],[ALL UNITS IN A HIGH OR HIGHEST RESOURCE AREA]]="Yes",10*S1AMHTbl[[#This Row],[UNRESTRICTED % OF FUNDING]],0)</f>
        <v>0</v>
      </c>
      <c r="U22" s="7" cm="1">
        <f t="array" ref="U22">INDEX(CountyScoresTbl[Community Need Total Points],ROW(S1AMHTbl[[#This Row],[COUNTY]])-2,1)*S1AMHTbl[[#This Row],[UNRESTRICTED % OF FUNDING]]</f>
        <v>0</v>
      </c>
      <c r="V22" s="7">
        <f>IF(S1AMHTbl[[#This Row],[SITE CONTROL]]="Yes",20,10)*S1AMHTbl[[#This Row],[UNRESTRICTED % OF FUNDING]]</f>
        <v>0</v>
      </c>
      <c r="W22" s="26" cm="1">
        <f t="array" ref="W22">INDEX(CountyScoresTbl[Farmworker Need Points Awarded],ROW(S1AMHTbl[[#This Row],[COUNTY]])-2,1)*S1AMHTbl[[#This Row],[UNRESTRICTED % OF FUNDING]]</f>
        <v>0</v>
      </c>
      <c r="X22" s="124"/>
      <c r="Y22" s="161"/>
      <c r="Z22" s="161"/>
      <c r="AA22" s="74">
        <f t="shared" si="1"/>
        <v>0</v>
      </c>
      <c r="AB22" s="6">
        <f>IF(S1AMHTbl[[#This Row],[RURAL FUNDING REQUESTED]]=0,0,S1AMHTbl[[#This Row],[RURAL FUNDING REQUESTED]]/S1_AMH_RuralTotalRequested)</f>
        <v>0</v>
      </c>
      <c r="AC22" s="7">
        <f>IF(S1AMHTbl[[#This Row],[ALL UNITS IN A HIGH OR HIGHEST RESOURCE AREA]]="Yes",10*S1AMHTbl[[#This Row],[RURAL % OF FUNDING]],0)</f>
        <v>0</v>
      </c>
      <c r="AD22" s="7" cm="1">
        <f t="array" ref="AD22">INDEX(CountyScoresTbl[Community Need Total Points],ROW(S1AMHTbl[[#This Row],[COUNTY]])-2,1)*S1AMHTbl[[#This Row],[RURAL % OF FUNDING]]</f>
        <v>0</v>
      </c>
      <c r="AE22" s="7">
        <f>IF(S1AMHTbl[[#This Row],[SITE CONTROL]]="Yes",20,10)*S1AMHTbl[[#This Row],[RURAL % OF FUNDING]]</f>
        <v>0</v>
      </c>
      <c r="AF22" s="26" cm="1">
        <f t="array" ref="AF22">INDEX(CountyScoresTbl[Farmworker Need Points Awarded],ROW(S1AMHTbl[[#This Row],[COUNTY]])-2,1)*S1AMHTbl[[#This Row],[RURAL % OF FUNDING]]</f>
        <v>0</v>
      </c>
      <c r="AG22" s="399"/>
      <c r="AH22" s="7">
        <f>IF(S1AMHTbl[[#This Row],[INFILL SITE]]="Yes",5,3)*S1AMHTbl[[#This Row],[UNRESTRICTED % OF FUNDING]]</f>
        <v>0</v>
      </c>
      <c r="AI22" s="26">
        <f>IF(S1AMHTbl[[#This Row],[INFILL SITE]]="Yes",5,3)*S1AMHTbl[[#This Row],[RURAL % OF FUNDING]]</f>
        <v>0</v>
      </c>
    </row>
    <row r="23" spans="1:35" x14ac:dyDescent="0.35">
      <c r="A23" s="167"/>
      <c r="B23" s="5" t="s">
        <v>135</v>
      </c>
      <c r="C23" s="31" t="s">
        <v>513</v>
      </c>
      <c r="D23" s="113" t="str">
        <f>IF(SUM(S1AMHTbl[[#This Row],[UNRESTRICTED UNITS]])=0,"",S1AMHTbl[[#This Row],[UNRESTRICTED UNITS]])</f>
        <v/>
      </c>
      <c r="E23" s="74" t="str">
        <f>IF(S1AMHTbl[[#This Row],[UNRESTRICTED FUNDING REQUESTED]]=0,"",S1AMHTbl[[#This Row],[UNRESTRICTED FUNDING REQUESTED]]*
IF(S1_AMH_UnrestrictedTotalRequested&lt;=5000000,1,
5000000/S1_AMH_UnrestrictedTotalRequested))</f>
        <v/>
      </c>
      <c r="F23" s="6" t="str">
        <f>IFERROR(S1AMHTbl[[#This Row],[TOTAL $ REQUESTED]]/SUM(S1AMHTbl[TOTAL $ REQUESTED]),"")</f>
        <v/>
      </c>
      <c r="G23" s="31" t="s">
        <v>513</v>
      </c>
      <c r="H23" s="113" t="str">
        <f>IF(SUM(S1AMHTbl[[#This Row],[RURAL UNITS]])=0,"",S1AMHTbl[[#This Row],[RURAL UNITS]])</f>
        <v/>
      </c>
      <c r="I23" s="74" t="str">
        <f>IF(S1AMHTbl[[#This Row],[RURAL FUNDING REQUESTED]]=0,"",S1AMHTbl[[#This Row],[RURAL FUNDING REQUESTED]]*
IF(S1_AMH_RuralTotalRequested&lt;=(5000000-E$61),1,
(5000000-E$61)/S1_AMH_RuralTotalRequested))</f>
        <v/>
      </c>
      <c r="J23" s="6" t="str">
        <f>IFERROR(S1AMHTbl[[#This Row],[TOTAL $ REQUESTED2]]/SUM(S1AMHTbl[TOTAL $ REQUESTED2]),"")</f>
        <v/>
      </c>
      <c r="K23" s="31" t="s">
        <v>513</v>
      </c>
      <c r="L23" s="163"/>
      <c r="M23" s="164"/>
      <c r="N23" s="225"/>
      <c r="O23" s="123"/>
      <c r="P23" s="161"/>
      <c r="Q23" s="161"/>
      <c r="R23" s="74">
        <f t="shared" si="0"/>
        <v>0</v>
      </c>
      <c r="S23" s="6">
        <f>IF(S1AMHTbl[[#This Row],[UNRESTRICTED FUNDING REQUESTED]]=0,0,S1AMHTbl[[#This Row],[UNRESTRICTED FUNDING REQUESTED]]/S1_AMH_UnrestrictedTotalRequested)</f>
        <v>0</v>
      </c>
      <c r="T23" s="7">
        <f>IF(S1AMHTbl[[#This Row],[ALL UNITS IN A HIGH OR HIGHEST RESOURCE AREA]]="Yes",10*S1AMHTbl[[#This Row],[UNRESTRICTED % OF FUNDING]],0)</f>
        <v>0</v>
      </c>
      <c r="U23" s="7" cm="1">
        <f t="array" ref="U23">INDEX(CountyScoresTbl[Community Need Total Points],ROW(S1AMHTbl[[#This Row],[COUNTY]])-2,1)*S1AMHTbl[[#This Row],[UNRESTRICTED % OF FUNDING]]</f>
        <v>0</v>
      </c>
      <c r="V23" s="7">
        <f>IF(S1AMHTbl[[#This Row],[SITE CONTROL]]="Yes",20,10)*S1AMHTbl[[#This Row],[UNRESTRICTED % OF FUNDING]]</f>
        <v>0</v>
      </c>
      <c r="W23" s="26" cm="1">
        <f t="array" ref="W23">INDEX(CountyScoresTbl[Farmworker Need Points Awarded],ROW(S1AMHTbl[[#This Row],[COUNTY]])-2,1)*S1AMHTbl[[#This Row],[UNRESTRICTED % OF FUNDING]]</f>
        <v>0</v>
      </c>
      <c r="X23" s="123"/>
      <c r="Y23" s="161"/>
      <c r="Z23" s="161"/>
      <c r="AA23" s="74">
        <f t="shared" si="1"/>
        <v>0</v>
      </c>
      <c r="AB23" s="6">
        <f>IF(S1AMHTbl[[#This Row],[RURAL FUNDING REQUESTED]]=0,0,S1AMHTbl[[#This Row],[RURAL FUNDING REQUESTED]]/S1_AMH_RuralTotalRequested)</f>
        <v>0</v>
      </c>
      <c r="AC23" s="7">
        <f>IF(S1AMHTbl[[#This Row],[ALL UNITS IN A HIGH OR HIGHEST RESOURCE AREA]]="Yes",10*S1AMHTbl[[#This Row],[RURAL % OF FUNDING]],0)</f>
        <v>0</v>
      </c>
      <c r="AD23" s="7" cm="1">
        <f t="array" ref="AD23">INDEX(CountyScoresTbl[Community Need Total Points],ROW(S1AMHTbl[[#This Row],[COUNTY]])-2,1)*S1AMHTbl[[#This Row],[RURAL % OF FUNDING]]</f>
        <v>0</v>
      </c>
      <c r="AE23" s="7">
        <f>IF(S1AMHTbl[[#This Row],[SITE CONTROL]]="Yes",20,10)*S1AMHTbl[[#This Row],[RURAL % OF FUNDING]]</f>
        <v>0</v>
      </c>
      <c r="AF23" s="26" cm="1">
        <f t="array" ref="AF23">INDEX(CountyScoresTbl[Farmworker Need Points Awarded],ROW(S1AMHTbl[[#This Row],[COUNTY]])-2,1)*S1AMHTbl[[#This Row],[RURAL % OF FUNDING]]</f>
        <v>0</v>
      </c>
      <c r="AG23" s="399"/>
      <c r="AH23" s="7">
        <f>IF(S1AMHTbl[[#This Row],[INFILL SITE]]="Yes",5,3)*S1AMHTbl[[#This Row],[UNRESTRICTED % OF FUNDING]]</f>
        <v>0</v>
      </c>
      <c r="AI23" s="26">
        <f>IF(S1AMHTbl[[#This Row],[INFILL SITE]]="Yes",5,3)*S1AMHTbl[[#This Row],[RURAL % OF FUNDING]]</f>
        <v>0</v>
      </c>
    </row>
    <row r="24" spans="1:35" x14ac:dyDescent="0.35">
      <c r="A24" s="124"/>
      <c r="B24" s="5" t="s">
        <v>136</v>
      </c>
      <c r="C24" s="31" t="s">
        <v>513</v>
      </c>
      <c r="D24" s="113" t="str">
        <f>IF(SUM(S1AMHTbl[[#This Row],[UNRESTRICTED UNITS]])=0,"",S1AMHTbl[[#This Row],[UNRESTRICTED UNITS]])</f>
        <v/>
      </c>
      <c r="E24" s="74" t="str">
        <f>IF(S1AMHTbl[[#This Row],[UNRESTRICTED FUNDING REQUESTED]]=0,"",S1AMHTbl[[#This Row],[UNRESTRICTED FUNDING REQUESTED]]*
IF(S1_AMH_UnrestrictedTotalRequested&lt;=5000000,1,
5000000/S1_AMH_UnrestrictedTotalRequested))</f>
        <v/>
      </c>
      <c r="F24" s="6" t="str">
        <f>IFERROR(S1AMHTbl[[#This Row],[TOTAL $ REQUESTED]]/SUM(S1AMHTbl[TOTAL $ REQUESTED]),"")</f>
        <v/>
      </c>
      <c r="G24" s="31" t="s">
        <v>513</v>
      </c>
      <c r="H24" s="113" t="str">
        <f>IF(SUM(S1AMHTbl[[#This Row],[RURAL UNITS]])=0,"",S1AMHTbl[[#This Row],[RURAL UNITS]])</f>
        <v/>
      </c>
      <c r="I24" s="74" t="str">
        <f>IF(S1AMHTbl[[#This Row],[RURAL FUNDING REQUESTED]]=0,"",S1AMHTbl[[#This Row],[RURAL FUNDING REQUESTED]]*
IF(S1_AMH_RuralTotalRequested&lt;=(5000000-E$61),1,
(5000000-E$61)/S1_AMH_RuralTotalRequested))</f>
        <v/>
      </c>
      <c r="J24" s="6" t="str">
        <f>IFERROR(S1AMHTbl[[#This Row],[TOTAL $ REQUESTED2]]/SUM(S1AMHTbl[TOTAL $ REQUESTED2]),"")</f>
        <v/>
      </c>
      <c r="K24" s="31" t="s">
        <v>513</v>
      </c>
      <c r="L24" s="196"/>
      <c r="M24" s="119"/>
      <c r="N24" s="227"/>
      <c r="O24" s="124"/>
      <c r="P24" s="161"/>
      <c r="Q24" s="161"/>
      <c r="R24" s="74">
        <f t="shared" si="0"/>
        <v>0</v>
      </c>
      <c r="S24" s="6">
        <f>IF(S1AMHTbl[[#This Row],[UNRESTRICTED FUNDING REQUESTED]]=0,0,S1AMHTbl[[#This Row],[UNRESTRICTED FUNDING REQUESTED]]/S1_AMH_UnrestrictedTotalRequested)</f>
        <v>0</v>
      </c>
      <c r="T24" s="7">
        <f>IF(S1AMHTbl[[#This Row],[ALL UNITS IN A HIGH OR HIGHEST RESOURCE AREA]]="Yes",10*S1AMHTbl[[#This Row],[UNRESTRICTED % OF FUNDING]],0)</f>
        <v>0</v>
      </c>
      <c r="U24" s="7" cm="1">
        <f t="array" ref="U24">INDEX(CountyScoresTbl[Community Need Total Points],ROW(S1AMHTbl[[#This Row],[COUNTY]])-2,1)*S1AMHTbl[[#This Row],[UNRESTRICTED % OF FUNDING]]</f>
        <v>0</v>
      </c>
      <c r="V24" s="7">
        <f>IF(S1AMHTbl[[#This Row],[SITE CONTROL]]="Yes",20,10)*S1AMHTbl[[#This Row],[UNRESTRICTED % OF FUNDING]]</f>
        <v>0</v>
      </c>
      <c r="W24" s="26" cm="1">
        <f t="array" ref="W24">INDEX(CountyScoresTbl[Farmworker Need Points Awarded],ROW(S1AMHTbl[[#This Row],[COUNTY]])-2,1)*S1AMHTbl[[#This Row],[UNRESTRICTED % OF FUNDING]]</f>
        <v>0</v>
      </c>
      <c r="X24" s="124"/>
      <c r="Y24" s="161"/>
      <c r="Z24" s="161"/>
      <c r="AA24" s="74">
        <f t="shared" si="1"/>
        <v>0</v>
      </c>
      <c r="AB24" s="6">
        <f>IF(S1AMHTbl[[#This Row],[RURAL FUNDING REQUESTED]]=0,0,S1AMHTbl[[#This Row],[RURAL FUNDING REQUESTED]]/S1_AMH_RuralTotalRequested)</f>
        <v>0</v>
      </c>
      <c r="AC24" s="7">
        <f>IF(S1AMHTbl[[#This Row],[ALL UNITS IN A HIGH OR HIGHEST RESOURCE AREA]]="Yes",10*S1AMHTbl[[#This Row],[RURAL % OF FUNDING]],0)</f>
        <v>0</v>
      </c>
      <c r="AD24" s="7" cm="1">
        <f t="array" ref="AD24">INDEX(CountyScoresTbl[Community Need Total Points],ROW(S1AMHTbl[[#This Row],[COUNTY]])-2,1)*S1AMHTbl[[#This Row],[RURAL % OF FUNDING]]</f>
        <v>0</v>
      </c>
      <c r="AE24" s="7">
        <f>IF(S1AMHTbl[[#This Row],[SITE CONTROL]]="Yes",20,10)*S1AMHTbl[[#This Row],[RURAL % OF FUNDING]]</f>
        <v>0</v>
      </c>
      <c r="AF24" s="26" cm="1">
        <f t="array" ref="AF24">INDEX(CountyScoresTbl[Farmworker Need Points Awarded],ROW(S1AMHTbl[[#This Row],[COUNTY]])-2,1)*S1AMHTbl[[#This Row],[RURAL % OF FUNDING]]</f>
        <v>0</v>
      </c>
      <c r="AG24" s="399"/>
      <c r="AH24" s="7">
        <f>IF(S1AMHTbl[[#This Row],[INFILL SITE]]="Yes",5,3)*S1AMHTbl[[#This Row],[UNRESTRICTED % OF FUNDING]]</f>
        <v>0</v>
      </c>
      <c r="AI24" s="26">
        <f>IF(S1AMHTbl[[#This Row],[INFILL SITE]]="Yes",5,3)*S1AMHTbl[[#This Row],[RURAL % OF FUNDING]]</f>
        <v>0</v>
      </c>
    </row>
    <row r="25" spans="1:35" x14ac:dyDescent="0.35">
      <c r="A25" s="124"/>
      <c r="B25" s="5" t="s">
        <v>137</v>
      </c>
      <c r="C25" s="31" t="s">
        <v>513</v>
      </c>
      <c r="D25" s="113" t="str">
        <f>IF(SUM(S1AMHTbl[[#This Row],[UNRESTRICTED UNITS]])=0,"",S1AMHTbl[[#This Row],[UNRESTRICTED UNITS]])</f>
        <v/>
      </c>
      <c r="E25" s="74" t="str">
        <f>IF(S1AMHTbl[[#This Row],[UNRESTRICTED FUNDING REQUESTED]]=0,"",S1AMHTbl[[#This Row],[UNRESTRICTED FUNDING REQUESTED]]*
IF(S1_AMH_UnrestrictedTotalRequested&lt;=5000000,1,
5000000/S1_AMH_UnrestrictedTotalRequested))</f>
        <v/>
      </c>
      <c r="F25" s="6" t="str">
        <f>IFERROR(S1AMHTbl[[#This Row],[TOTAL $ REQUESTED]]/SUM(S1AMHTbl[TOTAL $ REQUESTED]),"")</f>
        <v/>
      </c>
      <c r="G25" s="31" t="s">
        <v>513</v>
      </c>
      <c r="H25" s="113" t="str">
        <f>IF(SUM(S1AMHTbl[[#This Row],[RURAL UNITS]])=0,"",S1AMHTbl[[#This Row],[RURAL UNITS]])</f>
        <v/>
      </c>
      <c r="I25" s="74" t="str">
        <f>IF(S1AMHTbl[[#This Row],[RURAL FUNDING REQUESTED]]=0,"",S1AMHTbl[[#This Row],[RURAL FUNDING REQUESTED]]*
IF(S1_AMH_RuralTotalRequested&lt;=(5000000-E$61),1,
(5000000-E$61)/S1_AMH_RuralTotalRequested))</f>
        <v/>
      </c>
      <c r="J25" s="6" t="str">
        <f>IFERROR(S1AMHTbl[[#This Row],[TOTAL $ REQUESTED2]]/SUM(S1AMHTbl[TOTAL $ REQUESTED2]),"")</f>
        <v/>
      </c>
      <c r="K25" s="31" t="s">
        <v>513</v>
      </c>
      <c r="L25" s="196"/>
      <c r="M25" s="119"/>
      <c r="N25" s="227"/>
      <c r="O25" s="124"/>
      <c r="P25" s="161"/>
      <c r="Q25" s="161"/>
      <c r="R25" s="74">
        <f t="shared" si="0"/>
        <v>0</v>
      </c>
      <c r="S25" s="6">
        <f>IF(S1AMHTbl[[#This Row],[UNRESTRICTED FUNDING REQUESTED]]=0,0,S1AMHTbl[[#This Row],[UNRESTRICTED FUNDING REQUESTED]]/S1_AMH_UnrestrictedTotalRequested)</f>
        <v>0</v>
      </c>
      <c r="T25" s="7">
        <f>IF(S1AMHTbl[[#This Row],[ALL UNITS IN A HIGH OR HIGHEST RESOURCE AREA]]="Yes",10*S1AMHTbl[[#This Row],[UNRESTRICTED % OF FUNDING]],0)</f>
        <v>0</v>
      </c>
      <c r="U25" s="7" cm="1">
        <f t="array" ref="U25">INDEX(CountyScoresTbl[Community Need Total Points],ROW(S1AMHTbl[[#This Row],[COUNTY]])-2,1)*S1AMHTbl[[#This Row],[UNRESTRICTED % OF FUNDING]]</f>
        <v>0</v>
      </c>
      <c r="V25" s="7">
        <f>IF(S1AMHTbl[[#This Row],[SITE CONTROL]]="Yes",20,10)*S1AMHTbl[[#This Row],[UNRESTRICTED % OF FUNDING]]</f>
        <v>0</v>
      </c>
      <c r="W25" s="26" cm="1">
        <f t="array" ref="W25">INDEX(CountyScoresTbl[Farmworker Need Points Awarded],ROW(S1AMHTbl[[#This Row],[COUNTY]])-2,1)*S1AMHTbl[[#This Row],[UNRESTRICTED % OF FUNDING]]</f>
        <v>0</v>
      </c>
      <c r="X25" s="124"/>
      <c r="Y25" s="161"/>
      <c r="Z25" s="161"/>
      <c r="AA25" s="74">
        <f t="shared" si="1"/>
        <v>0</v>
      </c>
      <c r="AB25" s="6">
        <f>IF(S1AMHTbl[[#This Row],[RURAL FUNDING REQUESTED]]=0,0,S1AMHTbl[[#This Row],[RURAL FUNDING REQUESTED]]/S1_AMH_RuralTotalRequested)</f>
        <v>0</v>
      </c>
      <c r="AC25" s="7">
        <f>IF(S1AMHTbl[[#This Row],[ALL UNITS IN A HIGH OR HIGHEST RESOURCE AREA]]="Yes",10*S1AMHTbl[[#This Row],[RURAL % OF FUNDING]],0)</f>
        <v>0</v>
      </c>
      <c r="AD25" s="7" cm="1">
        <f t="array" ref="AD25">INDEX(CountyScoresTbl[Community Need Total Points],ROW(S1AMHTbl[[#This Row],[COUNTY]])-2,1)*S1AMHTbl[[#This Row],[RURAL % OF FUNDING]]</f>
        <v>0</v>
      </c>
      <c r="AE25" s="7">
        <f>IF(S1AMHTbl[[#This Row],[SITE CONTROL]]="Yes",20,10)*S1AMHTbl[[#This Row],[RURAL % OF FUNDING]]</f>
        <v>0</v>
      </c>
      <c r="AF25" s="26" cm="1">
        <f t="array" ref="AF25">INDEX(CountyScoresTbl[Farmworker Need Points Awarded],ROW(S1AMHTbl[[#This Row],[COUNTY]])-2,1)*S1AMHTbl[[#This Row],[RURAL % OF FUNDING]]</f>
        <v>0</v>
      </c>
      <c r="AG25" s="399"/>
      <c r="AH25" s="7">
        <f>IF(S1AMHTbl[[#This Row],[INFILL SITE]]="Yes",5,3)*S1AMHTbl[[#This Row],[UNRESTRICTED % OF FUNDING]]</f>
        <v>0</v>
      </c>
      <c r="AI25" s="26">
        <f>IF(S1AMHTbl[[#This Row],[INFILL SITE]]="Yes",5,3)*S1AMHTbl[[#This Row],[RURAL % OF FUNDING]]</f>
        <v>0</v>
      </c>
    </row>
    <row r="26" spans="1:35" x14ac:dyDescent="0.35">
      <c r="A26" s="124"/>
      <c r="B26" s="5" t="s">
        <v>138</v>
      </c>
      <c r="C26" s="31" t="s">
        <v>513</v>
      </c>
      <c r="D26" s="113" t="str">
        <f>IF(SUM(S1AMHTbl[[#This Row],[UNRESTRICTED UNITS]])=0,"",S1AMHTbl[[#This Row],[UNRESTRICTED UNITS]])</f>
        <v/>
      </c>
      <c r="E26" s="74" t="str">
        <f>IF(S1AMHTbl[[#This Row],[UNRESTRICTED FUNDING REQUESTED]]=0,"",S1AMHTbl[[#This Row],[UNRESTRICTED FUNDING REQUESTED]]*
IF(S1_AMH_UnrestrictedTotalRequested&lt;=5000000,1,
5000000/S1_AMH_UnrestrictedTotalRequested))</f>
        <v/>
      </c>
      <c r="F26" s="6" t="str">
        <f>IFERROR(S1AMHTbl[[#This Row],[TOTAL $ REQUESTED]]/SUM(S1AMHTbl[TOTAL $ REQUESTED]),"")</f>
        <v/>
      </c>
      <c r="G26" s="31" t="s">
        <v>513</v>
      </c>
      <c r="H26" s="113" t="str">
        <f>IF(SUM(S1AMHTbl[[#This Row],[RURAL UNITS]])=0,"",S1AMHTbl[[#This Row],[RURAL UNITS]])</f>
        <v/>
      </c>
      <c r="I26" s="74" t="str">
        <f>IF(S1AMHTbl[[#This Row],[RURAL FUNDING REQUESTED]]=0,"",S1AMHTbl[[#This Row],[RURAL FUNDING REQUESTED]]*
IF(S1_AMH_RuralTotalRequested&lt;=(5000000-E$61),1,
(5000000-E$61)/S1_AMH_RuralTotalRequested))</f>
        <v/>
      </c>
      <c r="J26" s="6" t="str">
        <f>IFERROR(S1AMHTbl[[#This Row],[TOTAL $ REQUESTED2]]/SUM(S1AMHTbl[TOTAL $ REQUESTED2]),"")</f>
        <v/>
      </c>
      <c r="K26" s="31" t="s">
        <v>513</v>
      </c>
      <c r="L26" s="196"/>
      <c r="M26" s="119"/>
      <c r="N26" s="227"/>
      <c r="O26" s="124"/>
      <c r="P26" s="161"/>
      <c r="Q26" s="161"/>
      <c r="R26" s="74">
        <f t="shared" si="0"/>
        <v>0</v>
      </c>
      <c r="S26" s="6">
        <f>IF(S1AMHTbl[[#This Row],[UNRESTRICTED FUNDING REQUESTED]]=0,0,S1AMHTbl[[#This Row],[UNRESTRICTED FUNDING REQUESTED]]/S1_AMH_UnrestrictedTotalRequested)</f>
        <v>0</v>
      </c>
      <c r="T26" s="7">
        <f>IF(S1AMHTbl[[#This Row],[ALL UNITS IN A HIGH OR HIGHEST RESOURCE AREA]]="Yes",10*S1AMHTbl[[#This Row],[UNRESTRICTED % OF FUNDING]],0)</f>
        <v>0</v>
      </c>
      <c r="U26" s="7" cm="1">
        <f t="array" ref="U26">INDEX(CountyScoresTbl[Community Need Total Points],ROW(S1AMHTbl[[#This Row],[COUNTY]])-2,1)*S1AMHTbl[[#This Row],[UNRESTRICTED % OF FUNDING]]</f>
        <v>0</v>
      </c>
      <c r="V26" s="7">
        <f>IF(S1AMHTbl[[#This Row],[SITE CONTROL]]="Yes",20,10)*S1AMHTbl[[#This Row],[UNRESTRICTED % OF FUNDING]]</f>
        <v>0</v>
      </c>
      <c r="W26" s="26" cm="1">
        <f t="array" ref="W26">INDEX(CountyScoresTbl[Farmworker Need Points Awarded],ROW(S1AMHTbl[[#This Row],[COUNTY]])-2,1)*S1AMHTbl[[#This Row],[UNRESTRICTED % OF FUNDING]]</f>
        <v>0</v>
      </c>
      <c r="X26" s="124"/>
      <c r="Y26" s="161"/>
      <c r="Z26" s="161"/>
      <c r="AA26" s="74">
        <f t="shared" si="1"/>
        <v>0</v>
      </c>
      <c r="AB26" s="6">
        <f>IF(S1AMHTbl[[#This Row],[RURAL FUNDING REQUESTED]]=0,0,S1AMHTbl[[#This Row],[RURAL FUNDING REQUESTED]]/S1_AMH_RuralTotalRequested)</f>
        <v>0</v>
      </c>
      <c r="AC26" s="7">
        <f>IF(S1AMHTbl[[#This Row],[ALL UNITS IN A HIGH OR HIGHEST RESOURCE AREA]]="Yes",10*S1AMHTbl[[#This Row],[RURAL % OF FUNDING]],0)</f>
        <v>0</v>
      </c>
      <c r="AD26" s="7" cm="1">
        <f t="array" ref="AD26">INDEX(CountyScoresTbl[Community Need Total Points],ROW(S1AMHTbl[[#This Row],[COUNTY]])-2,1)*S1AMHTbl[[#This Row],[RURAL % OF FUNDING]]</f>
        <v>0</v>
      </c>
      <c r="AE26" s="7">
        <f>IF(S1AMHTbl[[#This Row],[SITE CONTROL]]="Yes",20,10)*S1AMHTbl[[#This Row],[RURAL % OF FUNDING]]</f>
        <v>0</v>
      </c>
      <c r="AF26" s="26" cm="1">
        <f t="array" ref="AF26">INDEX(CountyScoresTbl[Farmworker Need Points Awarded],ROW(S1AMHTbl[[#This Row],[COUNTY]])-2,1)*S1AMHTbl[[#This Row],[RURAL % OF FUNDING]]</f>
        <v>0</v>
      </c>
      <c r="AG26" s="399"/>
      <c r="AH26" s="7">
        <f>IF(S1AMHTbl[[#This Row],[INFILL SITE]]="Yes",5,3)*S1AMHTbl[[#This Row],[UNRESTRICTED % OF FUNDING]]</f>
        <v>0</v>
      </c>
      <c r="AI26" s="26">
        <f>IF(S1AMHTbl[[#This Row],[INFILL SITE]]="Yes",5,3)*S1AMHTbl[[#This Row],[RURAL % OF FUNDING]]</f>
        <v>0</v>
      </c>
    </row>
    <row r="27" spans="1:35" x14ac:dyDescent="0.35">
      <c r="A27" s="124"/>
      <c r="B27" s="5" t="s">
        <v>139</v>
      </c>
      <c r="C27" s="31" t="s">
        <v>513</v>
      </c>
      <c r="D27" s="113" t="str">
        <f>IF(SUM(S1AMHTbl[[#This Row],[UNRESTRICTED UNITS]])=0,"",S1AMHTbl[[#This Row],[UNRESTRICTED UNITS]])</f>
        <v/>
      </c>
      <c r="E27" s="74" t="str">
        <f>IF(S1AMHTbl[[#This Row],[UNRESTRICTED FUNDING REQUESTED]]=0,"",S1AMHTbl[[#This Row],[UNRESTRICTED FUNDING REQUESTED]]*
IF(S1_AMH_UnrestrictedTotalRequested&lt;=5000000,1,
5000000/S1_AMH_UnrestrictedTotalRequested))</f>
        <v/>
      </c>
      <c r="F27" s="6" t="str">
        <f>IFERROR(S1AMHTbl[[#This Row],[TOTAL $ REQUESTED]]/SUM(S1AMHTbl[TOTAL $ REQUESTED]),"")</f>
        <v/>
      </c>
      <c r="G27" s="31" t="s">
        <v>513</v>
      </c>
      <c r="H27" s="113" t="str">
        <f>IF(SUM(S1AMHTbl[[#This Row],[RURAL UNITS]])=0,"",S1AMHTbl[[#This Row],[RURAL UNITS]])</f>
        <v/>
      </c>
      <c r="I27" s="74" t="str">
        <f>IF(S1AMHTbl[[#This Row],[RURAL FUNDING REQUESTED]]=0,"",S1AMHTbl[[#This Row],[RURAL FUNDING REQUESTED]]*
IF(S1_AMH_RuralTotalRequested&lt;=(5000000-E$61),1,
(5000000-E$61)/S1_AMH_RuralTotalRequested))</f>
        <v/>
      </c>
      <c r="J27" s="6" t="str">
        <f>IFERROR(S1AMHTbl[[#This Row],[TOTAL $ REQUESTED2]]/SUM(S1AMHTbl[TOTAL $ REQUESTED2]),"")</f>
        <v/>
      </c>
      <c r="K27" s="31" t="s">
        <v>513</v>
      </c>
      <c r="L27" s="196"/>
      <c r="M27" s="119"/>
      <c r="N27" s="227"/>
      <c r="O27" s="124"/>
      <c r="P27" s="161"/>
      <c r="Q27" s="161"/>
      <c r="R27" s="74">
        <f t="shared" si="0"/>
        <v>0</v>
      </c>
      <c r="S27" s="6">
        <f>IF(S1AMHTbl[[#This Row],[UNRESTRICTED FUNDING REQUESTED]]=0,0,S1AMHTbl[[#This Row],[UNRESTRICTED FUNDING REQUESTED]]/S1_AMH_UnrestrictedTotalRequested)</f>
        <v>0</v>
      </c>
      <c r="T27" s="7">
        <f>IF(S1AMHTbl[[#This Row],[ALL UNITS IN A HIGH OR HIGHEST RESOURCE AREA]]="Yes",10*S1AMHTbl[[#This Row],[UNRESTRICTED % OF FUNDING]],0)</f>
        <v>0</v>
      </c>
      <c r="U27" s="7" cm="1">
        <f t="array" ref="U27">INDEX(CountyScoresTbl[Community Need Total Points],ROW(S1AMHTbl[[#This Row],[COUNTY]])-2,1)*S1AMHTbl[[#This Row],[UNRESTRICTED % OF FUNDING]]</f>
        <v>0</v>
      </c>
      <c r="V27" s="7">
        <f>IF(S1AMHTbl[[#This Row],[SITE CONTROL]]="Yes",20,10)*S1AMHTbl[[#This Row],[UNRESTRICTED % OF FUNDING]]</f>
        <v>0</v>
      </c>
      <c r="W27" s="26" cm="1">
        <f t="array" ref="W27">INDEX(CountyScoresTbl[Farmworker Need Points Awarded],ROW(S1AMHTbl[[#This Row],[COUNTY]])-2,1)*S1AMHTbl[[#This Row],[UNRESTRICTED % OF FUNDING]]</f>
        <v>0</v>
      </c>
      <c r="X27" s="124"/>
      <c r="Y27" s="161"/>
      <c r="Z27" s="161"/>
      <c r="AA27" s="74">
        <f t="shared" si="1"/>
        <v>0</v>
      </c>
      <c r="AB27" s="6">
        <f>IF(S1AMHTbl[[#This Row],[RURAL FUNDING REQUESTED]]=0,0,S1AMHTbl[[#This Row],[RURAL FUNDING REQUESTED]]/S1_AMH_RuralTotalRequested)</f>
        <v>0</v>
      </c>
      <c r="AC27" s="7">
        <f>IF(S1AMHTbl[[#This Row],[ALL UNITS IN A HIGH OR HIGHEST RESOURCE AREA]]="Yes",10*S1AMHTbl[[#This Row],[RURAL % OF FUNDING]],0)</f>
        <v>0</v>
      </c>
      <c r="AD27" s="7" cm="1">
        <f t="array" ref="AD27">INDEX(CountyScoresTbl[Community Need Total Points],ROW(S1AMHTbl[[#This Row],[COUNTY]])-2,1)*S1AMHTbl[[#This Row],[RURAL % OF FUNDING]]</f>
        <v>0</v>
      </c>
      <c r="AE27" s="7">
        <f>IF(S1AMHTbl[[#This Row],[SITE CONTROL]]="Yes",20,10)*S1AMHTbl[[#This Row],[RURAL % OF FUNDING]]</f>
        <v>0</v>
      </c>
      <c r="AF27" s="26" cm="1">
        <f t="array" ref="AF27">INDEX(CountyScoresTbl[Farmworker Need Points Awarded],ROW(S1AMHTbl[[#This Row],[COUNTY]])-2,1)*S1AMHTbl[[#This Row],[RURAL % OF FUNDING]]</f>
        <v>0</v>
      </c>
      <c r="AG27" s="399"/>
      <c r="AH27" s="7">
        <f>IF(S1AMHTbl[[#This Row],[INFILL SITE]]="Yes",5,3)*S1AMHTbl[[#This Row],[UNRESTRICTED % OF FUNDING]]</f>
        <v>0</v>
      </c>
      <c r="AI27" s="26">
        <f>IF(S1AMHTbl[[#This Row],[INFILL SITE]]="Yes",5,3)*S1AMHTbl[[#This Row],[RURAL % OF FUNDING]]</f>
        <v>0</v>
      </c>
    </row>
    <row r="28" spans="1:35" x14ac:dyDescent="0.35">
      <c r="A28" s="167"/>
      <c r="B28" s="5" t="s">
        <v>140</v>
      </c>
      <c r="C28" s="31" t="s">
        <v>513</v>
      </c>
      <c r="D28" s="113" t="str">
        <f>IF(SUM(S1AMHTbl[[#This Row],[UNRESTRICTED UNITS]])=0,"",S1AMHTbl[[#This Row],[UNRESTRICTED UNITS]])</f>
        <v/>
      </c>
      <c r="E28" s="74" t="str">
        <f>IF(S1AMHTbl[[#This Row],[UNRESTRICTED FUNDING REQUESTED]]=0,"",S1AMHTbl[[#This Row],[UNRESTRICTED FUNDING REQUESTED]]*
IF(S1_AMH_UnrestrictedTotalRequested&lt;=5000000,1,
5000000/S1_AMH_UnrestrictedTotalRequested))</f>
        <v/>
      </c>
      <c r="F28" s="6" t="str">
        <f>IFERROR(S1AMHTbl[[#This Row],[TOTAL $ REQUESTED]]/SUM(S1AMHTbl[TOTAL $ REQUESTED]),"")</f>
        <v/>
      </c>
      <c r="G28" s="31" t="s">
        <v>513</v>
      </c>
      <c r="H28" s="113" t="str">
        <f>IF(SUM(S1AMHTbl[[#This Row],[RURAL UNITS]])=0,"",S1AMHTbl[[#This Row],[RURAL UNITS]])</f>
        <v/>
      </c>
      <c r="I28" s="74" t="str">
        <f>IF(S1AMHTbl[[#This Row],[RURAL FUNDING REQUESTED]]=0,"",S1AMHTbl[[#This Row],[RURAL FUNDING REQUESTED]]*
IF(S1_AMH_RuralTotalRequested&lt;=(5000000-E$61),1,
(5000000-E$61)/S1_AMH_RuralTotalRequested))</f>
        <v/>
      </c>
      <c r="J28" s="6" t="str">
        <f>IFERROR(S1AMHTbl[[#This Row],[TOTAL $ REQUESTED2]]/SUM(S1AMHTbl[TOTAL $ REQUESTED2]),"")</f>
        <v/>
      </c>
      <c r="K28" s="31" t="s">
        <v>513</v>
      </c>
      <c r="L28" s="163"/>
      <c r="M28" s="164"/>
      <c r="N28" s="225"/>
      <c r="O28" s="123"/>
      <c r="P28" s="161"/>
      <c r="Q28" s="161"/>
      <c r="R28" s="74">
        <f t="shared" si="0"/>
        <v>0</v>
      </c>
      <c r="S28" s="6">
        <f>IF(S1AMHTbl[[#This Row],[UNRESTRICTED FUNDING REQUESTED]]=0,0,S1AMHTbl[[#This Row],[UNRESTRICTED FUNDING REQUESTED]]/S1_AMH_UnrestrictedTotalRequested)</f>
        <v>0</v>
      </c>
      <c r="T28" s="7">
        <f>IF(S1AMHTbl[[#This Row],[ALL UNITS IN A HIGH OR HIGHEST RESOURCE AREA]]="Yes",10*S1AMHTbl[[#This Row],[UNRESTRICTED % OF FUNDING]],0)</f>
        <v>0</v>
      </c>
      <c r="U28" s="7" cm="1">
        <f t="array" ref="U28">INDEX(CountyScoresTbl[Community Need Total Points],ROW(S1AMHTbl[[#This Row],[COUNTY]])-2,1)*S1AMHTbl[[#This Row],[UNRESTRICTED % OF FUNDING]]</f>
        <v>0</v>
      </c>
      <c r="V28" s="7">
        <f>IF(S1AMHTbl[[#This Row],[SITE CONTROL]]="Yes",20,10)*S1AMHTbl[[#This Row],[UNRESTRICTED % OF FUNDING]]</f>
        <v>0</v>
      </c>
      <c r="W28" s="26" cm="1">
        <f t="array" ref="W28">INDEX(CountyScoresTbl[Farmworker Need Points Awarded],ROW(S1AMHTbl[[#This Row],[COUNTY]])-2,1)*S1AMHTbl[[#This Row],[UNRESTRICTED % OF FUNDING]]</f>
        <v>0</v>
      </c>
      <c r="X28" s="123"/>
      <c r="Y28" s="161"/>
      <c r="Z28" s="161"/>
      <c r="AA28" s="74">
        <f t="shared" si="1"/>
        <v>0</v>
      </c>
      <c r="AB28" s="6">
        <f>IF(S1AMHTbl[[#This Row],[RURAL FUNDING REQUESTED]]=0,0,S1AMHTbl[[#This Row],[RURAL FUNDING REQUESTED]]/S1_AMH_RuralTotalRequested)</f>
        <v>0</v>
      </c>
      <c r="AC28" s="7">
        <f>IF(S1AMHTbl[[#This Row],[ALL UNITS IN A HIGH OR HIGHEST RESOURCE AREA]]="Yes",10*S1AMHTbl[[#This Row],[RURAL % OF FUNDING]],0)</f>
        <v>0</v>
      </c>
      <c r="AD28" s="7" cm="1">
        <f t="array" ref="AD28">INDEX(CountyScoresTbl[Community Need Total Points],ROW(S1AMHTbl[[#This Row],[COUNTY]])-2,1)*S1AMHTbl[[#This Row],[RURAL % OF FUNDING]]</f>
        <v>0</v>
      </c>
      <c r="AE28" s="7">
        <f>IF(S1AMHTbl[[#This Row],[SITE CONTROL]]="Yes",20,10)*S1AMHTbl[[#This Row],[RURAL % OF FUNDING]]</f>
        <v>0</v>
      </c>
      <c r="AF28" s="26" cm="1">
        <f t="array" ref="AF28">INDEX(CountyScoresTbl[Farmworker Need Points Awarded],ROW(S1AMHTbl[[#This Row],[COUNTY]])-2,1)*S1AMHTbl[[#This Row],[RURAL % OF FUNDING]]</f>
        <v>0</v>
      </c>
      <c r="AG28" s="399"/>
      <c r="AH28" s="7">
        <f>IF(S1AMHTbl[[#This Row],[INFILL SITE]]="Yes",5,3)*S1AMHTbl[[#This Row],[UNRESTRICTED % OF FUNDING]]</f>
        <v>0</v>
      </c>
      <c r="AI28" s="26">
        <f>IF(S1AMHTbl[[#This Row],[INFILL SITE]]="Yes",5,3)*S1AMHTbl[[#This Row],[RURAL % OF FUNDING]]</f>
        <v>0</v>
      </c>
    </row>
    <row r="29" spans="1:35" x14ac:dyDescent="0.35">
      <c r="A29" s="167"/>
      <c r="B29" s="5" t="s">
        <v>141</v>
      </c>
      <c r="C29" s="31" t="s">
        <v>513</v>
      </c>
      <c r="D29" s="113" t="str">
        <f>IF(SUM(S1AMHTbl[[#This Row],[UNRESTRICTED UNITS]])=0,"",S1AMHTbl[[#This Row],[UNRESTRICTED UNITS]])</f>
        <v/>
      </c>
      <c r="E29" s="74" t="str">
        <f>IF(S1AMHTbl[[#This Row],[UNRESTRICTED FUNDING REQUESTED]]=0,"",S1AMHTbl[[#This Row],[UNRESTRICTED FUNDING REQUESTED]]*
IF(S1_AMH_UnrestrictedTotalRequested&lt;=5000000,1,
5000000/S1_AMH_UnrestrictedTotalRequested))</f>
        <v/>
      </c>
      <c r="F29" s="6" t="str">
        <f>IFERROR(S1AMHTbl[[#This Row],[TOTAL $ REQUESTED]]/SUM(S1AMHTbl[TOTAL $ REQUESTED]),"")</f>
        <v/>
      </c>
      <c r="G29" s="31" t="s">
        <v>513</v>
      </c>
      <c r="H29" s="113" t="str">
        <f>IF(SUM(S1AMHTbl[[#This Row],[RURAL UNITS]])=0,"",S1AMHTbl[[#This Row],[RURAL UNITS]])</f>
        <v/>
      </c>
      <c r="I29" s="74" t="str">
        <f>IF(S1AMHTbl[[#This Row],[RURAL FUNDING REQUESTED]]=0,"",S1AMHTbl[[#This Row],[RURAL FUNDING REQUESTED]]*
IF(S1_AMH_RuralTotalRequested&lt;=(5000000-E$61),1,
(5000000-E$61)/S1_AMH_RuralTotalRequested))</f>
        <v/>
      </c>
      <c r="J29" s="6" t="str">
        <f>IFERROR(S1AMHTbl[[#This Row],[TOTAL $ REQUESTED2]]/SUM(S1AMHTbl[TOTAL $ REQUESTED2]),"")</f>
        <v/>
      </c>
      <c r="K29" s="31" t="s">
        <v>513</v>
      </c>
      <c r="L29" s="163"/>
      <c r="M29" s="164"/>
      <c r="N29" s="225"/>
      <c r="O29" s="123"/>
      <c r="P29" s="161"/>
      <c r="Q29" s="161"/>
      <c r="R29" s="74">
        <f t="shared" si="0"/>
        <v>0</v>
      </c>
      <c r="S29" s="6">
        <f>IF(S1AMHTbl[[#This Row],[UNRESTRICTED FUNDING REQUESTED]]=0,0,S1AMHTbl[[#This Row],[UNRESTRICTED FUNDING REQUESTED]]/S1_AMH_UnrestrictedTotalRequested)</f>
        <v>0</v>
      </c>
      <c r="T29" s="7">
        <f>IF(S1AMHTbl[[#This Row],[ALL UNITS IN A HIGH OR HIGHEST RESOURCE AREA]]="Yes",10*S1AMHTbl[[#This Row],[UNRESTRICTED % OF FUNDING]],0)</f>
        <v>0</v>
      </c>
      <c r="U29" s="7" cm="1">
        <f t="array" ref="U29">INDEX(CountyScoresTbl[Community Need Total Points],ROW(S1AMHTbl[[#This Row],[COUNTY]])-2,1)*S1AMHTbl[[#This Row],[UNRESTRICTED % OF FUNDING]]</f>
        <v>0</v>
      </c>
      <c r="V29" s="7">
        <f>IF(S1AMHTbl[[#This Row],[SITE CONTROL]]="Yes",20,10)*S1AMHTbl[[#This Row],[UNRESTRICTED % OF FUNDING]]</f>
        <v>0</v>
      </c>
      <c r="W29" s="26" cm="1">
        <f t="array" ref="W29">INDEX(CountyScoresTbl[Farmworker Need Points Awarded],ROW(S1AMHTbl[[#This Row],[COUNTY]])-2,1)*S1AMHTbl[[#This Row],[UNRESTRICTED % OF FUNDING]]</f>
        <v>0</v>
      </c>
      <c r="X29" s="123"/>
      <c r="Y29" s="161"/>
      <c r="Z29" s="161"/>
      <c r="AA29" s="74">
        <f t="shared" si="1"/>
        <v>0</v>
      </c>
      <c r="AB29" s="6">
        <f>IF(S1AMHTbl[[#This Row],[RURAL FUNDING REQUESTED]]=0,0,S1AMHTbl[[#This Row],[RURAL FUNDING REQUESTED]]/S1_AMH_RuralTotalRequested)</f>
        <v>0</v>
      </c>
      <c r="AC29" s="7">
        <f>IF(S1AMHTbl[[#This Row],[ALL UNITS IN A HIGH OR HIGHEST RESOURCE AREA]]="Yes",10*S1AMHTbl[[#This Row],[RURAL % OF FUNDING]],0)</f>
        <v>0</v>
      </c>
      <c r="AD29" s="7" cm="1">
        <f t="array" ref="AD29">INDEX(CountyScoresTbl[Community Need Total Points],ROW(S1AMHTbl[[#This Row],[COUNTY]])-2,1)*S1AMHTbl[[#This Row],[RURAL % OF FUNDING]]</f>
        <v>0</v>
      </c>
      <c r="AE29" s="7">
        <f>IF(S1AMHTbl[[#This Row],[SITE CONTROL]]="Yes",20,10)*S1AMHTbl[[#This Row],[RURAL % OF FUNDING]]</f>
        <v>0</v>
      </c>
      <c r="AF29" s="26" cm="1">
        <f t="array" ref="AF29">INDEX(CountyScoresTbl[Farmworker Need Points Awarded],ROW(S1AMHTbl[[#This Row],[COUNTY]])-2,1)*S1AMHTbl[[#This Row],[RURAL % OF FUNDING]]</f>
        <v>0</v>
      </c>
      <c r="AG29" s="399"/>
      <c r="AH29" s="7">
        <f>IF(S1AMHTbl[[#This Row],[INFILL SITE]]="Yes",5,3)*S1AMHTbl[[#This Row],[UNRESTRICTED % OF FUNDING]]</f>
        <v>0</v>
      </c>
      <c r="AI29" s="26">
        <f>IF(S1AMHTbl[[#This Row],[INFILL SITE]]="Yes",5,3)*S1AMHTbl[[#This Row],[RURAL % OF FUNDING]]</f>
        <v>0</v>
      </c>
    </row>
    <row r="30" spans="1:35" x14ac:dyDescent="0.35">
      <c r="A30" s="124"/>
      <c r="B30" s="5" t="s">
        <v>142</v>
      </c>
      <c r="C30" s="31" t="s">
        <v>513</v>
      </c>
      <c r="D30" s="113" t="str">
        <f>IF(SUM(S1AMHTbl[[#This Row],[UNRESTRICTED UNITS]])=0,"",S1AMHTbl[[#This Row],[UNRESTRICTED UNITS]])</f>
        <v/>
      </c>
      <c r="E30" s="74" t="str">
        <f>IF(S1AMHTbl[[#This Row],[UNRESTRICTED FUNDING REQUESTED]]=0,"",S1AMHTbl[[#This Row],[UNRESTRICTED FUNDING REQUESTED]]*
IF(S1_AMH_UnrestrictedTotalRequested&lt;=5000000,1,
5000000/S1_AMH_UnrestrictedTotalRequested))</f>
        <v/>
      </c>
      <c r="F30" s="6" t="str">
        <f>IFERROR(S1AMHTbl[[#This Row],[TOTAL $ REQUESTED]]/SUM(S1AMHTbl[TOTAL $ REQUESTED]),"")</f>
        <v/>
      </c>
      <c r="G30" s="31" t="s">
        <v>513</v>
      </c>
      <c r="H30" s="113" t="str">
        <f>IF(SUM(S1AMHTbl[[#This Row],[RURAL UNITS]])=0,"",S1AMHTbl[[#This Row],[RURAL UNITS]])</f>
        <v/>
      </c>
      <c r="I30" s="74" t="str">
        <f>IF(S1AMHTbl[[#This Row],[RURAL FUNDING REQUESTED]]=0,"",S1AMHTbl[[#This Row],[RURAL FUNDING REQUESTED]]*
IF(S1_AMH_RuralTotalRequested&lt;=(5000000-E$61),1,
(5000000-E$61)/S1_AMH_RuralTotalRequested))</f>
        <v/>
      </c>
      <c r="J30" s="6" t="str">
        <f>IFERROR(S1AMHTbl[[#This Row],[TOTAL $ REQUESTED2]]/SUM(S1AMHTbl[TOTAL $ REQUESTED2]),"")</f>
        <v/>
      </c>
      <c r="K30" s="31" t="s">
        <v>513</v>
      </c>
      <c r="L30" s="196"/>
      <c r="M30" s="119"/>
      <c r="N30" s="227"/>
      <c r="O30" s="124"/>
      <c r="P30" s="161"/>
      <c r="Q30" s="161"/>
      <c r="R30" s="74">
        <f t="shared" si="0"/>
        <v>0</v>
      </c>
      <c r="S30" s="6">
        <f>IF(S1AMHTbl[[#This Row],[UNRESTRICTED FUNDING REQUESTED]]=0,0,S1AMHTbl[[#This Row],[UNRESTRICTED FUNDING REQUESTED]]/S1_AMH_UnrestrictedTotalRequested)</f>
        <v>0</v>
      </c>
      <c r="T30" s="7">
        <f>IF(S1AMHTbl[[#This Row],[ALL UNITS IN A HIGH OR HIGHEST RESOURCE AREA]]="Yes",10*S1AMHTbl[[#This Row],[UNRESTRICTED % OF FUNDING]],0)</f>
        <v>0</v>
      </c>
      <c r="U30" s="7" cm="1">
        <f t="array" ref="U30">INDEX(CountyScoresTbl[Community Need Total Points],ROW(S1AMHTbl[[#This Row],[COUNTY]])-2,1)*S1AMHTbl[[#This Row],[UNRESTRICTED % OF FUNDING]]</f>
        <v>0</v>
      </c>
      <c r="V30" s="7">
        <f>IF(S1AMHTbl[[#This Row],[SITE CONTROL]]="Yes",20,10)*S1AMHTbl[[#This Row],[UNRESTRICTED % OF FUNDING]]</f>
        <v>0</v>
      </c>
      <c r="W30" s="26" cm="1">
        <f t="array" ref="W30">INDEX(CountyScoresTbl[Farmworker Need Points Awarded],ROW(S1AMHTbl[[#This Row],[COUNTY]])-2,1)*S1AMHTbl[[#This Row],[UNRESTRICTED % OF FUNDING]]</f>
        <v>0</v>
      </c>
      <c r="X30" s="124"/>
      <c r="Y30" s="161"/>
      <c r="Z30" s="161"/>
      <c r="AA30" s="74">
        <f t="shared" si="1"/>
        <v>0</v>
      </c>
      <c r="AB30" s="6">
        <f>IF(S1AMHTbl[[#This Row],[RURAL FUNDING REQUESTED]]=0,0,S1AMHTbl[[#This Row],[RURAL FUNDING REQUESTED]]/S1_AMH_RuralTotalRequested)</f>
        <v>0</v>
      </c>
      <c r="AC30" s="7">
        <f>IF(S1AMHTbl[[#This Row],[ALL UNITS IN A HIGH OR HIGHEST RESOURCE AREA]]="Yes",10*S1AMHTbl[[#This Row],[RURAL % OF FUNDING]],0)</f>
        <v>0</v>
      </c>
      <c r="AD30" s="7" cm="1">
        <f t="array" ref="AD30">INDEX(CountyScoresTbl[Community Need Total Points],ROW(S1AMHTbl[[#This Row],[COUNTY]])-2,1)*S1AMHTbl[[#This Row],[RURAL % OF FUNDING]]</f>
        <v>0</v>
      </c>
      <c r="AE30" s="7">
        <f>IF(S1AMHTbl[[#This Row],[SITE CONTROL]]="Yes",20,10)*S1AMHTbl[[#This Row],[RURAL % OF FUNDING]]</f>
        <v>0</v>
      </c>
      <c r="AF30" s="26" cm="1">
        <f t="array" ref="AF30">INDEX(CountyScoresTbl[Farmworker Need Points Awarded],ROW(S1AMHTbl[[#This Row],[COUNTY]])-2,1)*S1AMHTbl[[#This Row],[RURAL % OF FUNDING]]</f>
        <v>0</v>
      </c>
      <c r="AG30" s="399"/>
      <c r="AH30" s="7">
        <f>IF(S1AMHTbl[[#This Row],[INFILL SITE]]="Yes",5,3)*S1AMHTbl[[#This Row],[UNRESTRICTED % OF FUNDING]]</f>
        <v>0</v>
      </c>
      <c r="AI30" s="26">
        <f>IF(S1AMHTbl[[#This Row],[INFILL SITE]]="Yes",5,3)*S1AMHTbl[[#This Row],[RURAL % OF FUNDING]]</f>
        <v>0</v>
      </c>
    </row>
    <row r="31" spans="1:35" x14ac:dyDescent="0.35">
      <c r="A31" s="167"/>
      <c r="B31" s="5" t="s">
        <v>143</v>
      </c>
      <c r="C31" s="31" t="s">
        <v>513</v>
      </c>
      <c r="D31" s="113" t="str">
        <f>IF(SUM(S1AMHTbl[[#This Row],[UNRESTRICTED UNITS]])=0,"",S1AMHTbl[[#This Row],[UNRESTRICTED UNITS]])</f>
        <v/>
      </c>
      <c r="E31" s="74" t="str">
        <f>IF(S1AMHTbl[[#This Row],[UNRESTRICTED FUNDING REQUESTED]]=0,"",S1AMHTbl[[#This Row],[UNRESTRICTED FUNDING REQUESTED]]*
IF(S1_AMH_UnrestrictedTotalRequested&lt;=5000000,1,
5000000/S1_AMH_UnrestrictedTotalRequested))</f>
        <v/>
      </c>
      <c r="F31" s="6" t="str">
        <f>IFERROR(S1AMHTbl[[#This Row],[TOTAL $ REQUESTED]]/SUM(S1AMHTbl[TOTAL $ REQUESTED]),"")</f>
        <v/>
      </c>
      <c r="G31" s="31" t="s">
        <v>513</v>
      </c>
      <c r="H31" s="113" t="str">
        <f>IF(SUM(S1AMHTbl[[#This Row],[RURAL UNITS]])=0,"",S1AMHTbl[[#This Row],[RURAL UNITS]])</f>
        <v/>
      </c>
      <c r="I31" s="74" t="str">
        <f>IF(S1AMHTbl[[#This Row],[RURAL FUNDING REQUESTED]]=0,"",S1AMHTbl[[#This Row],[RURAL FUNDING REQUESTED]]*
IF(S1_AMH_RuralTotalRequested&lt;=(5000000-E$61),1,
(5000000-E$61)/S1_AMH_RuralTotalRequested))</f>
        <v/>
      </c>
      <c r="J31" s="6" t="str">
        <f>IFERROR(S1AMHTbl[[#This Row],[TOTAL $ REQUESTED2]]/SUM(S1AMHTbl[TOTAL $ REQUESTED2]),"")</f>
        <v/>
      </c>
      <c r="K31" s="31" t="s">
        <v>513</v>
      </c>
      <c r="L31" s="163"/>
      <c r="M31" s="164"/>
      <c r="N31" s="225"/>
      <c r="O31" s="123"/>
      <c r="P31" s="161"/>
      <c r="Q31" s="161"/>
      <c r="R31" s="74">
        <f t="shared" si="0"/>
        <v>0</v>
      </c>
      <c r="S31" s="6">
        <f>IF(S1AMHTbl[[#This Row],[UNRESTRICTED FUNDING REQUESTED]]=0,0,S1AMHTbl[[#This Row],[UNRESTRICTED FUNDING REQUESTED]]/S1_AMH_UnrestrictedTotalRequested)</f>
        <v>0</v>
      </c>
      <c r="T31" s="7">
        <f>IF(S1AMHTbl[[#This Row],[ALL UNITS IN A HIGH OR HIGHEST RESOURCE AREA]]="Yes",10*S1AMHTbl[[#This Row],[UNRESTRICTED % OF FUNDING]],0)</f>
        <v>0</v>
      </c>
      <c r="U31" s="7" cm="1">
        <f t="array" ref="U31">INDEX(CountyScoresTbl[Community Need Total Points],ROW(S1AMHTbl[[#This Row],[COUNTY]])-2,1)*S1AMHTbl[[#This Row],[UNRESTRICTED % OF FUNDING]]</f>
        <v>0</v>
      </c>
      <c r="V31" s="7">
        <f>IF(S1AMHTbl[[#This Row],[SITE CONTROL]]="Yes",20,10)*S1AMHTbl[[#This Row],[UNRESTRICTED % OF FUNDING]]</f>
        <v>0</v>
      </c>
      <c r="W31" s="26" cm="1">
        <f t="array" ref="W31">INDEX(CountyScoresTbl[Farmworker Need Points Awarded],ROW(S1AMHTbl[[#This Row],[COUNTY]])-2,1)*S1AMHTbl[[#This Row],[UNRESTRICTED % OF FUNDING]]</f>
        <v>0</v>
      </c>
      <c r="X31" s="123"/>
      <c r="Y31" s="161"/>
      <c r="Z31" s="161"/>
      <c r="AA31" s="74">
        <f t="shared" si="1"/>
        <v>0</v>
      </c>
      <c r="AB31" s="6">
        <f>IF(S1AMHTbl[[#This Row],[RURAL FUNDING REQUESTED]]=0,0,S1AMHTbl[[#This Row],[RURAL FUNDING REQUESTED]]/S1_AMH_RuralTotalRequested)</f>
        <v>0</v>
      </c>
      <c r="AC31" s="7">
        <f>IF(S1AMHTbl[[#This Row],[ALL UNITS IN A HIGH OR HIGHEST RESOURCE AREA]]="Yes",10*S1AMHTbl[[#This Row],[RURAL % OF FUNDING]],0)</f>
        <v>0</v>
      </c>
      <c r="AD31" s="7" cm="1">
        <f t="array" ref="AD31">INDEX(CountyScoresTbl[Community Need Total Points],ROW(S1AMHTbl[[#This Row],[COUNTY]])-2,1)*S1AMHTbl[[#This Row],[RURAL % OF FUNDING]]</f>
        <v>0</v>
      </c>
      <c r="AE31" s="7">
        <f>IF(S1AMHTbl[[#This Row],[SITE CONTROL]]="Yes",20,10)*S1AMHTbl[[#This Row],[RURAL % OF FUNDING]]</f>
        <v>0</v>
      </c>
      <c r="AF31" s="26" cm="1">
        <f t="array" ref="AF31">INDEX(CountyScoresTbl[Farmworker Need Points Awarded],ROW(S1AMHTbl[[#This Row],[COUNTY]])-2,1)*S1AMHTbl[[#This Row],[RURAL % OF FUNDING]]</f>
        <v>0</v>
      </c>
      <c r="AG31" s="399"/>
      <c r="AH31" s="7">
        <f>IF(S1AMHTbl[[#This Row],[INFILL SITE]]="Yes",5,3)*S1AMHTbl[[#This Row],[UNRESTRICTED % OF FUNDING]]</f>
        <v>0</v>
      </c>
      <c r="AI31" s="26">
        <f>IF(S1AMHTbl[[#This Row],[INFILL SITE]]="Yes",5,3)*S1AMHTbl[[#This Row],[RURAL % OF FUNDING]]</f>
        <v>0</v>
      </c>
    </row>
    <row r="32" spans="1:35" x14ac:dyDescent="0.35">
      <c r="A32" s="124"/>
      <c r="B32" s="5" t="s">
        <v>144</v>
      </c>
      <c r="C32" s="31" t="s">
        <v>513</v>
      </c>
      <c r="D32" s="113" t="str">
        <f>IF(SUM(S1AMHTbl[[#This Row],[UNRESTRICTED UNITS]])=0,"",S1AMHTbl[[#This Row],[UNRESTRICTED UNITS]])</f>
        <v/>
      </c>
      <c r="E32" s="74" t="str">
        <f>IF(S1AMHTbl[[#This Row],[UNRESTRICTED FUNDING REQUESTED]]=0,"",S1AMHTbl[[#This Row],[UNRESTRICTED FUNDING REQUESTED]]*
IF(S1_AMH_UnrestrictedTotalRequested&lt;=5000000,1,
5000000/S1_AMH_UnrestrictedTotalRequested))</f>
        <v/>
      </c>
      <c r="F32" s="6" t="str">
        <f>IFERROR(S1AMHTbl[[#This Row],[TOTAL $ REQUESTED]]/SUM(S1AMHTbl[TOTAL $ REQUESTED]),"")</f>
        <v/>
      </c>
      <c r="G32" s="31" t="s">
        <v>513</v>
      </c>
      <c r="H32" s="113" t="str">
        <f>IF(SUM(S1AMHTbl[[#This Row],[RURAL UNITS]])=0,"",S1AMHTbl[[#This Row],[RURAL UNITS]])</f>
        <v/>
      </c>
      <c r="I32" s="74" t="str">
        <f>IF(S1AMHTbl[[#This Row],[RURAL FUNDING REQUESTED]]=0,"",S1AMHTbl[[#This Row],[RURAL FUNDING REQUESTED]]*
IF(S1_AMH_RuralTotalRequested&lt;=(5000000-E$61),1,
(5000000-E$61)/S1_AMH_RuralTotalRequested))</f>
        <v/>
      </c>
      <c r="J32" s="6" t="str">
        <f>IFERROR(S1AMHTbl[[#This Row],[TOTAL $ REQUESTED2]]/SUM(S1AMHTbl[TOTAL $ REQUESTED2]),"")</f>
        <v/>
      </c>
      <c r="K32" s="31" t="s">
        <v>513</v>
      </c>
      <c r="L32" s="196"/>
      <c r="M32" s="119"/>
      <c r="N32" s="227"/>
      <c r="O32" s="124"/>
      <c r="P32" s="161"/>
      <c r="Q32" s="161"/>
      <c r="R32" s="74">
        <f t="shared" si="0"/>
        <v>0</v>
      </c>
      <c r="S32" s="6">
        <f>IF(S1AMHTbl[[#This Row],[UNRESTRICTED FUNDING REQUESTED]]=0,0,S1AMHTbl[[#This Row],[UNRESTRICTED FUNDING REQUESTED]]/S1_AMH_UnrestrictedTotalRequested)</f>
        <v>0</v>
      </c>
      <c r="T32" s="7">
        <f>IF(S1AMHTbl[[#This Row],[ALL UNITS IN A HIGH OR HIGHEST RESOURCE AREA]]="Yes",10*S1AMHTbl[[#This Row],[UNRESTRICTED % OF FUNDING]],0)</f>
        <v>0</v>
      </c>
      <c r="U32" s="7" cm="1">
        <f t="array" ref="U32">INDEX(CountyScoresTbl[Community Need Total Points],ROW(S1AMHTbl[[#This Row],[COUNTY]])-2,1)*S1AMHTbl[[#This Row],[UNRESTRICTED % OF FUNDING]]</f>
        <v>0</v>
      </c>
      <c r="V32" s="7">
        <f>IF(S1AMHTbl[[#This Row],[SITE CONTROL]]="Yes",20,10)*S1AMHTbl[[#This Row],[UNRESTRICTED % OF FUNDING]]</f>
        <v>0</v>
      </c>
      <c r="W32" s="26" cm="1">
        <f t="array" ref="W32">INDEX(CountyScoresTbl[Farmworker Need Points Awarded],ROW(S1AMHTbl[[#This Row],[COUNTY]])-2,1)*S1AMHTbl[[#This Row],[UNRESTRICTED % OF FUNDING]]</f>
        <v>0</v>
      </c>
      <c r="X32" s="124"/>
      <c r="Y32" s="161"/>
      <c r="Z32" s="161"/>
      <c r="AA32" s="74">
        <f t="shared" si="1"/>
        <v>0</v>
      </c>
      <c r="AB32" s="6">
        <f>IF(S1AMHTbl[[#This Row],[RURAL FUNDING REQUESTED]]=0,0,S1AMHTbl[[#This Row],[RURAL FUNDING REQUESTED]]/S1_AMH_RuralTotalRequested)</f>
        <v>0</v>
      </c>
      <c r="AC32" s="7">
        <f>IF(S1AMHTbl[[#This Row],[ALL UNITS IN A HIGH OR HIGHEST RESOURCE AREA]]="Yes",10*S1AMHTbl[[#This Row],[RURAL % OF FUNDING]],0)</f>
        <v>0</v>
      </c>
      <c r="AD32" s="7" cm="1">
        <f t="array" ref="AD32">INDEX(CountyScoresTbl[Community Need Total Points],ROW(S1AMHTbl[[#This Row],[COUNTY]])-2,1)*S1AMHTbl[[#This Row],[RURAL % OF FUNDING]]</f>
        <v>0</v>
      </c>
      <c r="AE32" s="7">
        <f>IF(S1AMHTbl[[#This Row],[SITE CONTROL]]="Yes",20,10)*S1AMHTbl[[#This Row],[RURAL % OF FUNDING]]</f>
        <v>0</v>
      </c>
      <c r="AF32" s="26" cm="1">
        <f t="array" ref="AF32">INDEX(CountyScoresTbl[Farmworker Need Points Awarded],ROW(S1AMHTbl[[#This Row],[COUNTY]])-2,1)*S1AMHTbl[[#This Row],[RURAL % OF FUNDING]]</f>
        <v>0</v>
      </c>
      <c r="AG32" s="399"/>
      <c r="AH32" s="7">
        <f>IF(S1AMHTbl[[#This Row],[INFILL SITE]]="Yes",5,3)*S1AMHTbl[[#This Row],[UNRESTRICTED % OF FUNDING]]</f>
        <v>0</v>
      </c>
      <c r="AI32" s="26">
        <f>IF(S1AMHTbl[[#This Row],[INFILL SITE]]="Yes",5,3)*S1AMHTbl[[#This Row],[RURAL % OF FUNDING]]</f>
        <v>0</v>
      </c>
    </row>
    <row r="33" spans="1:35" x14ac:dyDescent="0.35">
      <c r="A33" s="124"/>
      <c r="B33" s="5" t="s">
        <v>145</v>
      </c>
      <c r="C33" s="31" t="s">
        <v>513</v>
      </c>
      <c r="D33" s="113" t="str">
        <f>IF(SUM(S1AMHTbl[[#This Row],[UNRESTRICTED UNITS]])=0,"",S1AMHTbl[[#This Row],[UNRESTRICTED UNITS]])</f>
        <v/>
      </c>
      <c r="E33" s="74" t="str">
        <f>IF(S1AMHTbl[[#This Row],[UNRESTRICTED FUNDING REQUESTED]]=0,"",S1AMHTbl[[#This Row],[UNRESTRICTED FUNDING REQUESTED]]*
IF(S1_AMH_UnrestrictedTotalRequested&lt;=5000000,1,
5000000/S1_AMH_UnrestrictedTotalRequested))</f>
        <v/>
      </c>
      <c r="F33" s="6" t="str">
        <f>IFERROR(S1AMHTbl[[#This Row],[TOTAL $ REQUESTED]]/SUM(S1AMHTbl[TOTAL $ REQUESTED]),"")</f>
        <v/>
      </c>
      <c r="G33" s="31" t="s">
        <v>513</v>
      </c>
      <c r="H33" s="113" t="str">
        <f>IF(SUM(S1AMHTbl[[#This Row],[RURAL UNITS]])=0,"",S1AMHTbl[[#This Row],[RURAL UNITS]])</f>
        <v/>
      </c>
      <c r="I33" s="74" t="str">
        <f>IF(S1AMHTbl[[#This Row],[RURAL FUNDING REQUESTED]]=0,"",S1AMHTbl[[#This Row],[RURAL FUNDING REQUESTED]]*
IF(S1_AMH_RuralTotalRequested&lt;=(5000000-E$61),1,
(5000000-E$61)/S1_AMH_RuralTotalRequested))</f>
        <v/>
      </c>
      <c r="J33" s="6" t="str">
        <f>IFERROR(S1AMHTbl[[#This Row],[TOTAL $ REQUESTED2]]/SUM(S1AMHTbl[TOTAL $ REQUESTED2]),"")</f>
        <v/>
      </c>
      <c r="K33" s="31" t="s">
        <v>513</v>
      </c>
      <c r="L33" s="196"/>
      <c r="M33" s="119"/>
      <c r="N33" s="227"/>
      <c r="O33" s="124"/>
      <c r="P33" s="161"/>
      <c r="Q33" s="161"/>
      <c r="R33" s="74">
        <f t="shared" si="0"/>
        <v>0</v>
      </c>
      <c r="S33" s="6">
        <f>IF(S1AMHTbl[[#This Row],[UNRESTRICTED FUNDING REQUESTED]]=0,0,S1AMHTbl[[#This Row],[UNRESTRICTED FUNDING REQUESTED]]/S1_AMH_UnrestrictedTotalRequested)</f>
        <v>0</v>
      </c>
      <c r="T33" s="7">
        <f>IF(S1AMHTbl[[#This Row],[ALL UNITS IN A HIGH OR HIGHEST RESOURCE AREA]]="Yes",10*S1AMHTbl[[#This Row],[UNRESTRICTED % OF FUNDING]],0)</f>
        <v>0</v>
      </c>
      <c r="U33" s="7" cm="1">
        <f t="array" ref="U33">INDEX(CountyScoresTbl[Community Need Total Points],ROW(S1AMHTbl[[#This Row],[COUNTY]])-2,1)*S1AMHTbl[[#This Row],[UNRESTRICTED % OF FUNDING]]</f>
        <v>0</v>
      </c>
      <c r="V33" s="7">
        <f>IF(S1AMHTbl[[#This Row],[SITE CONTROL]]="Yes",20,10)*S1AMHTbl[[#This Row],[UNRESTRICTED % OF FUNDING]]</f>
        <v>0</v>
      </c>
      <c r="W33" s="26" cm="1">
        <f t="array" ref="W33">INDEX(CountyScoresTbl[Farmworker Need Points Awarded],ROW(S1AMHTbl[[#This Row],[COUNTY]])-2,1)*S1AMHTbl[[#This Row],[UNRESTRICTED % OF FUNDING]]</f>
        <v>0</v>
      </c>
      <c r="X33" s="124"/>
      <c r="Y33" s="161"/>
      <c r="Z33" s="161"/>
      <c r="AA33" s="74">
        <f t="shared" si="1"/>
        <v>0</v>
      </c>
      <c r="AB33" s="6">
        <f>IF(S1AMHTbl[[#This Row],[RURAL FUNDING REQUESTED]]=0,0,S1AMHTbl[[#This Row],[RURAL FUNDING REQUESTED]]/S1_AMH_RuralTotalRequested)</f>
        <v>0</v>
      </c>
      <c r="AC33" s="7">
        <f>IF(S1AMHTbl[[#This Row],[ALL UNITS IN A HIGH OR HIGHEST RESOURCE AREA]]="Yes",10*S1AMHTbl[[#This Row],[RURAL % OF FUNDING]],0)</f>
        <v>0</v>
      </c>
      <c r="AD33" s="7" cm="1">
        <f t="array" ref="AD33">INDEX(CountyScoresTbl[Community Need Total Points],ROW(S1AMHTbl[[#This Row],[COUNTY]])-2,1)*S1AMHTbl[[#This Row],[RURAL % OF FUNDING]]</f>
        <v>0</v>
      </c>
      <c r="AE33" s="7">
        <f>IF(S1AMHTbl[[#This Row],[SITE CONTROL]]="Yes",20,10)*S1AMHTbl[[#This Row],[RURAL % OF FUNDING]]</f>
        <v>0</v>
      </c>
      <c r="AF33" s="26" cm="1">
        <f t="array" ref="AF33">INDEX(CountyScoresTbl[Farmworker Need Points Awarded],ROW(S1AMHTbl[[#This Row],[COUNTY]])-2,1)*S1AMHTbl[[#This Row],[RURAL % OF FUNDING]]</f>
        <v>0</v>
      </c>
      <c r="AG33" s="399"/>
      <c r="AH33" s="7">
        <f>IF(S1AMHTbl[[#This Row],[INFILL SITE]]="Yes",5,3)*S1AMHTbl[[#This Row],[UNRESTRICTED % OF FUNDING]]</f>
        <v>0</v>
      </c>
      <c r="AI33" s="26">
        <f>IF(S1AMHTbl[[#This Row],[INFILL SITE]]="Yes",5,3)*S1AMHTbl[[#This Row],[RURAL % OF FUNDING]]</f>
        <v>0</v>
      </c>
    </row>
    <row r="34" spans="1:35" x14ac:dyDescent="0.35">
      <c r="A34" s="124"/>
      <c r="B34" s="5" t="s">
        <v>146</v>
      </c>
      <c r="C34" s="31" t="s">
        <v>513</v>
      </c>
      <c r="D34" s="113" t="str">
        <f>IF(SUM(S1AMHTbl[[#This Row],[UNRESTRICTED UNITS]])=0,"",S1AMHTbl[[#This Row],[UNRESTRICTED UNITS]])</f>
        <v/>
      </c>
      <c r="E34" s="74" t="str">
        <f>IF(S1AMHTbl[[#This Row],[UNRESTRICTED FUNDING REQUESTED]]=0,"",S1AMHTbl[[#This Row],[UNRESTRICTED FUNDING REQUESTED]]*
IF(S1_AMH_UnrestrictedTotalRequested&lt;=5000000,1,
5000000/S1_AMH_UnrestrictedTotalRequested))</f>
        <v/>
      </c>
      <c r="F34" s="6" t="str">
        <f>IFERROR(S1AMHTbl[[#This Row],[TOTAL $ REQUESTED]]/SUM(S1AMHTbl[TOTAL $ REQUESTED]),"")</f>
        <v/>
      </c>
      <c r="G34" s="31" t="s">
        <v>513</v>
      </c>
      <c r="H34" s="113" t="str">
        <f>IF(SUM(S1AMHTbl[[#This Row],[RURAL UNITS]])=0,"",S1AMHTbl[[#This Row],[RURAL UNITS]])</f>
        <v/>
      </c>
      <c r="I34" s="74" t="str">
        <f>IF(S1AMHTbl[[#This Row],[RURAL FUNDING REQUESTED]]=0,"",S1AMHTbl[[#This Row],[RURAL FUNDING REQUESTED]]*
IF(S1_AMH_RuralTotalRequested&lt;=(5000000-E$61),1,
(5000000-E$61)/S1_AMH_RuralTotalRequested))</f>
        <v/>
      </c>
      <c r="J34" s="6" t="str">
        <f>IFERROR(S1AMHTbl[[#This Row],[TOTAL $ REQUESTED2]]/SUM(S1AMHTbl[TOTAL $ REQUESTED2]),"")</f>
        <v/>
      </c>
      <c r="K34" s="31" t="s">
        <v>513</v>
      </c>
      <c r="L34" s="196"/>
      <c r="M34" s="119"/>
      <c r="N34" s="227"/>
      <c r="O34" s="124"/>
      <c r="P34" s="161"/>
      <c r="Q34" s="161"/>
      <c r="R34" s="74">
        <f t="shared" si="0"/>
        <v>0</v>
      </c>
      <c r="S34" s="6">
        <f>IF(S1AMHTbl[[#This Row],[UNRESTRICTED FUNDING REQUESTED]]=0,0,S1AMHTbl[[#This Row],[UNRESTRICTED FUNDING REQUESTED]]/S1_AMH_UnrestrictedTotalRequested)</f>
        <v>0</v>
      </c>
      <c r="T34" s="7">
        <f>IF(S1AMHTbl[[#This Row],[ALL UNITS IN A HIGH OR HIGHEST RESOURCE AREA]]="Yes",10*S1AMHTbl[[#This Row],[UNRESTRICTED % OF FUNDING]],0)</f>
        <v>0</v>
      </c>
      <c r="U34" s="7" cm="1">
        <f t="array" ref="U34">INDEX(CountyScoresTbl[Community Need Total Points],ROW(S1AMHTbl[[#This Row],[COUNTY]])-2,1)*S1AMHTbl[[#This Row],[UNRESTRICTED % OF FUNDING]]</f>
        <v>0</v>
      </c>
      <c r="V34" s="7">
        <f>IF(S1AMHTbl[[#This Row],[SITE CONTROL]]="Yes",20,10)*S1AMHTbl[[#This Row],[UNRESTRICTED % OF FUNDING]]</f>
        <v>0</v>
      </c>
      <c r="W34" s="26" cm="1">
        <f t="array" ref="W34">INDEX(CountyScoresTbl[Farmworker Need Points Awarded],ROW(S1AMHTbl[[#This Row],[COUNTY]])-2,1)*S1AMHTbl[[#This Row],[UNRESTRICTED % OF FUNDING]]</f>
        <v>0</v>
      </c>
      <c r="X34" s="124"/>
      <c r="Y34" s="161"/>
      <c r="Z34" s="161"/>
      <c r="AA34" s="74">
        <f t="shared" si="1"/>
        <v>0</v>
      </c>
      <c r="AB34" s="6">
        <f>IF(S1AMHTbl[[#This Row],[RURAL FUNDING REQUESTED]]=0,0,S1AMHTbl[[#This Row],[RURAL FUNDING REQUESTED]]/S1_AMH_RuralTotalRequested)</f>
        <v>0</v>
      </c>
      <c r="AC34" s="7">
        <f>IF(S1AMHTbl[[#This Row],[ALL UNITS IN A HIGH OR HIGHEST RESOURCE AREA]]="Yes",10*S1AMHTbl[[#This Row],[RURAL % OF FUNDING]],0)</f>
        <v>0</v>
      </c>
      <c r="AD34" s="7" cm="1">
        <f t="array" ref="AD34">INDEX(CountyScoresTbl[Community Need Total Points],ROW(S1AMHTbl[[#This Row],[COUNTY]])-2,1)*S1AMHTbl[[#This Row],[RURAL % OF FUNDING]]</f>
        <v>0</v>
      </c>
      <c r="AE34" s="7">
        <f>IF(S1AMHTbl[[#This Row],[SITE CONTROL]]="Yes",20,10)*S1AMHTbl[[#This Row],[RURAL % OF FUNDING]]</f>
        <v>0</v>
      </c>
      <c r="AF34" s="26" cm="1">
        <f t="array" ref="AF34">INDEX(CountyScoresTbl[Farmworker Need Points Awarded],ROW(S1AMHTbl[[#This Row],[COUNTY]])-2,1)*S1AMHTbl[[#This Row],[RURAL % OF FUNDING]]</f>
        <v>0</v>
      </c>
      <c r="AG34" s="399"/>
      <c r="AH34" s="7">
        <f>IF(S1AMHTbl[[#This Row],[INFILL SITE]]="Yes",5,3)*S1AMHTbl[[#This Row],[UNRESTRICTED % OF FUNDING]]</f>
        <v>0</v>
      </c>
      <c r="AI34" s="26">
        <f>IF(S1AMHTbl[[#This Row],[INFILL SITE]]="Yes",5,3)*S1AMHTbl[[#This Row],[RURAL % OF FUNDING]]</f>
        <v>0</v>
      </c>
    </row>
    <row r="35" spans="1:35" x14ac:dyDescent="0.35">
      <c r="A35" s="167"/>
      <c r="B35" s="5" t="s">
        <v>147</v>
      </c>
      <c r="C35" s="31" t="s">
        <v>513</v>
      </c>
      <c r="D35" s="113" t="str">
        <f>IF(SUM(S1AMHTbl[[#This Row],[UNRESTRICTED UNITS]])=0,"",S1AMHTbl[[#This Row],[UNRESTRICTED UNITS]])</f>
        <v/>
      </c>
      <c r="E35" s="74" t="str">
        <f>IF(S1AMHTbl[[#This Row],[UNRESTRICTED FUNDING REQUESTED]]=0,"",S1AMHTbl[[#This Row],[UNRESTRICTED FUNDING REQUESTED]]*
IF(S1_AMH_UnrestrictedTotalRequested&lt;=5000000,1,
5000000/S1_AMH_UnrestrictedTotalRequested))</f>
        <v/>
      </c>
      <c r="F35" s="6" t="str">
        <f>IFERROR(S1AMHTbl[[#This Row],[TOTAL $ REQUESTED]]/SUM(S1AMHTbl[TOTAL $ REQUESTED]),"")</f>
        <v/>
      </c>
      <c r="G35" s="31" t="s">
        <v>513</v>
      </c>
      <c r="H35" s="113" t="str">
        <f>IF(SUM(S1AMHTbl[[#This Row],[RURAL UNITS]])=0,"",S1AMHTbl[[#This Row],[RURAL UNITS]])</f>
        <v/>
      </c>
      <c r="I35" s="74" t="str">
        <f>IF(S1AMHTbl[[#This Row],[RURAL FUNDING REQUESTED]]=0,"",S1AMHTbl[[#This Row],[RURAL FUNDING REQUESTED]]*
IF(S1_AMH_RuralTotalRequested&lt;=(5000000-E$61),1,
(5000000-E$61)/S1_AMH_RuralTotalRequested))</f>
        <v/>
      </c>
      <c r="J35" s="6" t="str">
        <f>IFERROR(S1AMHTbl[[#This Row],[TOTAL $ REQUESTED2]]/SUM(S1AMHTbl[TOTAL $ REQUESTED2]),"")</f>
        <v/>
      </c>
      <c r="K35" s="31" t="s">
        <v>513</v>
      </c>
      <c r="L35" s="163"/>
      <c r="M35" s="164"/>
      <c r="N35" s="225"/>
      <c r="O35" s="123"/>
      <c r="P35" s="161"/>
      <c r="Q35" s="161"/>
      <c r="R35" s="74">
        <f t="shared" ref="R35:R60" si="2">SUM(P35:Q35)</f>
        <v>0</v>
      </c>
      <c r="S35" s="6">
        <f>IF(S1AMHTbl[[#This Row],[UNRESTRICTED FUNDING REQUESTED]]=0,0,S1AMHTbl[[#This Row],[UNRESTRICTED FUNDING REQUESTED]]/S1_AMH_UnrestrictedTotalRequested)</f>
        <v>0</v>
      </c>
      <c r="T35" s="7">
        <f>IF(S1AMHTbl[[#This Row],[ALL UNITS IN A HIGH OR HIGHEST RESOURCE AREA]]="Yes",10*S1AMHTbl[[#This Row],[UNRESTRICTED % OF FUNDING]],0)</f>
        <v>0</v>
      </c>
      <c r="U35" s="7" cm="1">
        <f t="array" ref="U35">INDEX(CountyScoresTbl[Community Need Total Points],ROW(S1AMHTbl[[#This Row],[COUNTY]])-2,1)*S1AMHTbl[[#This Row],[UNRESTRICTED % OF FUNDING]]</f>
        <v>0</v>
      </c>
      <c r="V35" s="7">
        <f>IF(S1AMHTbl[[#This Row],[SITE CONTROL]]="Yes",20,10)*S1AMHTbl[[#This Row],[UNRESTRICTED % OF FUNDING]]</f>
        <v>0</v>
      </c>
      <c r="W35" s="26" cm="1">
        <f t="array" ref="W35">INDEX(CountyScoresTbl[Farmworker Need Points Awarded],ROW(S1AMHTbl[[#This Row],[COUNTY]])-2,1)*S1AMHTbl[[#This Row],[UNRESTRICTED % OF FUNDING]]</f>
        <v>0</v>
      </c>
      <c r="X35" s="123"/>
      <c r="Y35" s="161"/>
      <c r="Z35" s="161"/>
      <c r="AA35" s="74">
        <f t="shared" ref="AA35:AA60" si="3">SUM(Y35:Z35)</f>
        <v>0</v>
      </c>
      <c r="AB35" s="6">
        <f>IF(S1AMHTbl[[#This Row],[RURAL FUNDING REQUESTED]]=0,0,S1AMHTbl[[#This Row],[RURAL FUNDING REQUESTED]]/S1_AMH_RuralTotalRequested)</f>
        <v>0</v>
      </c>
      <c r="AC35" s="7">
        <f>IF(S1AMHTbl[[#This Row],[ALL UNITS IN A HIGH OR HIGHEST RESOURCE AREA]]="Yes",10*S1AMHTbl[[#This Row],[RURAL % OF FUNDING]],0)</f>
        <v>0</v>
      </c>
      <c r="AD35" s="7" cm="1">
        <f t="array" ref="AD35">INDEX(CountyScoresTbl[Community Need Total Points],ROW(S1AMHTbl[[#This Row],[COUNTY]])-2,1)*S1AMHTbl[[#This Row],[RURAL % OF FUNDING]]</f>
        <v>0</v>
      </c>
      <c r="AE35" s="7">
        <f>IF(S1AMHTbl[[#This Row],[SITE CONTROL]]="Yes",20,10)*S1AMHTbl[[#This Row],[RURAL % OF FUNDING]]</f>
        <v>0</v>
      </c>
      <c r="AF35" s="26" cm="1">
        <f t="array" ref="AF35">INDEX(CountyScoresTbl[Farmworker Need Points Awarded],ROW(S1AMHTbl[[#This Row],[COUNTY]])-2,1)*S1AMHTbl[[#This Row],[RURAL % OF FUNDING]]</f>
        <v>0</v>
      </c>
      <c r="AG35" s="399"/>
      <c r="AH35" s="7">
        <f>IF(S1AMHTbl[[#This Row],[INFILL SITE]]="Yes",5,3)*S1AMHTbl[[#This Row],[UNRESTRICTED % OF FUNDING]]</f>
        <v>0</v>
      </c>
      <c r="AI35" s="26">
        <f>IF(S1AMHTbl[[#This Row],[INFILL SITE]]="Yes",5,3)*S1AMHTbl[[#This Row],[RURAL % OF FUNDING]]</f>
        <v>0</v>
      </c>
    </row>
    <row r="36" spans="1:35" x14ac:dyDescent="0.35">
      <c r="A36" s="124"/>
      <c r="B36" s="5" t="s">
        <v>148</v>
      </c>
      <c r="C36" s="31" t="s">
        <v>513</v>
      </c>
      <c r="D36" s="113" t="str">
        <f>IF(SUM(S1AMHTbl[[#This Row],[UNRESTRICTED UNITS]])=0,"",S1AMHTbl[[#This Row],[UNRESTRICTED UNITS]])</f>
        <v/>
      </c>
      <c r="E36" s="74" t="str">
        <f>IF(S1AMHTbl[[#This Row],[UNRESTRICTED FUNDING REQUESTED]]=0,"",S1AMHTbl[[#This Row],[UNRESTRICTED FUNDING REQUESTED]]*
IF(S1_AMH_UnrestrictedTotalRequested&lt;=5000000,1,
5000000/S1_AMH_UnrestrictedTotalRequested))</f>
        <v/>
      </c>
      <c r="F36" s="6" t="str">
        <f>IFERROR(S1AMHTbl[[#This Row],[TOTAL $ REQUESTED]]/SUM(S1AMHTbl[TOTAL $ REQUESTED]),"")</f>
        <v/>
      </c>
      <c r="G36" s="31" t="s">
        <v>513</v>
      </c>
      <c r="H36" s="113" t="str">
        <f>IF(SUM(S1AMHTbl[[#This Row],[RURAL UNITS]])=0,"",S1AMHTbl[[#This Row],[RURAL UNITS]])</f>
        <v/>
      </c>
      <c r="I36" s="74" t="str">
        <f>IF(S1AMHTbl[[#This Row],[RURAL FUNDING REQUESTED]]=0,"",S1AMHTbl[[#This Row],[RURAL FUNDING REQUESTED]]*
IF(S1_AMH_RuralTotalRequested&lt;=(5000000-E$61),1,
(5000000-E$61)/S1_AMH_RuralTotalRequested))</f>
        <v/>
      </c>
      <c r="J36" s="6" t="str">
        <f>IFERROR(S1AMHTbl[[#This Row],[TOTAL $ REQUESTED2]]/SUM(S1AMHTbl[TOTAL $ REQUESTED2]),"")</f>
        <v/>
      </c>
      <c r="K36" s="31" t="s">
        <v>513</v>
      </c>
      <c r="L36" s="196"/>
      <c r="M36" s="119"/>
      <c r="N36" s="227"/>
      <c r="O36" s="124"/>
      <c r="P36" s="161"/>
      <c r="Q36" s="161"/>
      <c r="R36" s="74">
        <f t="shared" si="2"/>
        <v>0</v>
      </c>
      <c r="S36" s="6">
        <f>IF(S1AMHTbl[[#This Row],[UNRESTRICTED FUNDING REQUESTED]]=0,0,S1AMHTbl[[#This Row],[UNRESTRICTED FUNDING REQUESTED]]/S1_AMH_UnrestrictedTotalRequested)</f>
        <v>0</v>
      </c>
      <c r="T36" s="7">
        <f>IF(S1AMHTbl[[#This Row],[ALL UNITS IN A HIGH OR HIGHEST RESOURCE AREA]]="Yes",10*S1AMHTbl[[#This Row],[UNRESTRICTED % OF FUNDING]],0)</f>
        <v>0</v>
      </c>
      <c r="U36" s="7" cm="1">
        <f t="array" ref="U36">INDEX(CountyScoresTbl[Community Need Total Points],ROW(S1AMHTbl[[#This Row],[COUNTY]])-2,1)*S1AMHTbl[[#This Row],[UNRESTRICTED % OF FUNDING]]</f>
        <v>0</v>
      </c>
      <c r="V36" s="7">
        <f>IF(S1AMHTbl[[#This Row],[SITE CONTROL]]="Yes",20,10)*S1AMHTbl[[#This Row],[UNRESTRICTED % OF FUNDING]]</f>
        <v>0</v>
      </c>
      <c r="W36" s="26" cm="1">
        <f t="array" ref="W36">INDEX(CountyScoresTbl[Farmworker Need Points Awarded],ROW(S1AMHTbl[[#This Row],[COUNTY]])-2,1)*S1AMHTbl[[#This Row],[UNRESTRICTED % OF FUNDING]]</f>
        <v>0</v>
      </c>
      <c r="X36" s="124"/>
      <c r="Y36" s="161"/>
      <c r="Z36" s="161"/>
      <c r="AA36" s="74">
        <f t="shared" si="3"/>
        <v>0</v>
      </c>
      <c r="AB36" s="6">
        <f>IF(S1AMHTbl[[#This Row],[RURAL FUNDING REQUESTED]]=0,0,S1AMHTbl[[#This Row],[RURAL FUNDING REQUESTED]]/S1_AMH_RuralTotalRequested)</f>
        <v>0</v>
      </c>
      <c r="AC36" s="7">
        <f>IF(S1AMHTbl[[#This Row],[ALL UNITS IN A HIGH OR HIGHEST RESOURCE AREA]]="Yes",10*S1AMHTbl[[#This Row],[RURAL % OF FUNDING]],0)</f>
        <v>0</v>
      </c>
      <c r="AD36" s="7" cm="1">
        <f t="array" ref="AD36">INDEX(CountyScoresTbl[Community Need Total Points],ROW(S1AMHTbl[[#This Row],[COUNTY]])-2,1)*S1AMHTbl[[#This Row],[RURAL % OF FUNDING]]</f>
        <v>0</v>
      </c>
      <c r="AE36" s="7">
        <f>IF(S1AMHTbl[[#This Row],[SITE CONTROL]]="Yes",20,10)*S1AMHTbl[[#This Row],[RURAL % OF FUNDING]]</f>
        <v>0</v>
      </c>
      <c r="AF36" s="26" cm="1">
        <f t="array" ref="AF36">INDEX(CountyScoresTbl[Farmworker Need Points Awarded],ROW(S1AMHTbl[[#This Row],[COUNTY]])-2,1)*S1AMHTbl[[#This Row],[RURAL % OF FUNDING]]</f>
        <v>0</v>
      </c>
      <c r="AG36" s="399"/>
      <c r="AH36" s="7">
        <f>IF(S1AMHTbl[[#This Row],[INFILL SITE]]="Yes",5,3)*S1AMHTbl[[#This Row],[UNRESTRICTED % OF FUNDING]]</f>
        <v>0</v>
      </c>
      <c r="AI36" s="26">
        <f>IF(S1AMHTbl[[#This Row],[INFILL SITE]]="Yes",5,3)*S1AMHTbl[[#This Row],[RURAL % OF FUNDING]]</f>
        <v>0</v>
      </c>
    </row>
    <row r="37" spans="1:35" x14ac:dyDescent="0.35">
      <c r="A37" s="167"/>
      <c r="B37" s="5" t="s">
        <v>149</v>
      </c>
      <c r="C37" s="31" t="s">
        <v>513</v>
      </c>
      <c r="D37" s="113" t="str">
        <f>IF(SUM(S1AMHTbl[[#This Row],[UNRESTRICTED UNITS]])=0,"",S1AMHTbl[[#This Row],[UNRESTRICTED UNITS]])</f>
        <v/>
      </c>
      <c r="E37" s="74" t="str">
        <f>IF(S1AMHTbl[[#This Row],[UNRESTRICTED FUNDING REQUESTED]]=0,"",S1AMHTbl[[#This Row],[UNRESTRICTED FUNDING REQUESTED]]*
IF(S1_AMH_UnrestrictedTotalRequested&lt;=5000000,1,
5000000/S1_AMH_UnrestrictedTotalRequested))</f>
        <v/>
      </c>
      <c r="F37" s="6" t="str">
        <f>IFERROR(S1AMHTbl[[#This Row],[TOTAL $ REQUESTED]]/SUM(S1AMHTbl[TOTAL $ REQUESTED]),"")</f>
        <v/>
      </c>
      <c r="G37" s="31" t="s">
        <v>513</v>
      </c>
      <c r="H37" s="113" t="str">
        <f>IF(SUM(S1AMHTbl[[#This Row],[RURAL UNITS]])=0,"",S1AMHTbl[[#This Row],[RURAL UNITS]])</f>
        <v/>
      </c>
      <c r="I37" s="74" t="str">
        <f>IF(S1AMHTbl[[#This Row],[RURAL FUNDING REQUESTED]]=0,"",S1AMHTbl[[#This Row],[RURAL FUNDING REQUESTED]]*
IF(S1_AMH_RuralTotalRequested&lt;=(5000000-E$61),1,
(5000000-E$61)/S1_AMH_RuralTotalRequested))</f>
        <v/>
      </c>
      <c r="J37" s="6" t="str">
        <f>IFERROR(S1AMHTbl[[#This Row],[TOTAL $ REQUESTED2]]/SUM(S1AMHTbl[TOTAL $ REQUESTED2]),"")</f>
        <v/>
      </c>
      <c r="K37" s="31" t="s">
        <v>513</v>
      </c>
      <c r="L37" s="163"/>
      <c r="M37" s="164"/>
      <c r="N37" s="225"/>
      <c r="O37" s="123"/>
      <c r="P37" s="161"/>
      <c r="Q37" s="161"/>
      <c r="R37" s="74">
        <f t="shared" si="2"/>
        <v>0</v>
      </c>
      <c r="S37" s="6">
        <f>IF(S1AMHTbl[[#This Row],[UNRESTRICTED FUNDING REQUESTED]]=0,0,S1AMHTbl[[#This Row],[UNRESTRICTED FUNDING REQUESTED]]/S1_AMH_UnrestrictedTotalRequested)</f>
        <v>0</v>
      </c>
      <c r="T37" s="7">
        <f>IF(S1AMHTbl[[#This Row],[ALL UNITS IN A HIGH OR HIGHEST RESOURCE AREA]]="Yes",10*S1AMHTbl[[#This Row],[UNRESTRICTED % OF FUNDING]],0)</f>
        <v>0</v>
      </c>
      <c r="U37" s="7" cm="1">
        <f t="array" ref="U37">INDEX(CountyScoresTbl[Community Need Total Points],ROW(S1AMHTbl[[#This Row],[COUNTY]])-2,1)*S1AMHTbl[[#This Row],[UNRESTRICTED % OF FUNDING]]</f>
        <v>0</v>
      </c>
      <c r="V37" s="7">
        <f>IF(S1AMHTbl[[#This Row],[SITE CONTROL]]="Yes",20,10)*S1AMHTbl[[#This Row],[UNRESTRICTED % OF FUNDING]]</f>
        <v>0</v>
      </c>
      <c r="W37" s="26" cm="1">
        <f t="array" ref="W37">INDEX(CountyScoresTbl[Farmworker Need Points Awarded],ROW(S1AMHTbl[[#This Row],[COUNTY]])-2,1)*S1AMHTbl[[#This Row],[UNRESTRICTED % OF FUNDING]]</f>
        <v>0</v>
      </c>
      <c r="X37" s="123"/>
      <c r="Y37" s="161"/>
      <c r="Z37" s="161"/>
      <c r="AA37" s="74">
        <f t="shared" si="3"/>
        <v>0</v>
      </c>
      <c r="AB37" s="6">
        <f>IF(S1AMHTbl[[#This Row],[RURAL FUNDING REQUESTED]]=0,0,S1AMHTbl[[#This Row],[RURAL FUNDING REQUESTED]]/S1_AMH_RuralTotalRequested)</f>
        <v>0</v>
      </c>
      <c r="AC37" s="7">
        <f>IF(S1AMHTbl[[#This Row],[ALL UNITS IN A HIGH OR HIGHEST RESOURCE AREA]]="Yes",10*S1AMHTbl[[#This Row],[RURAL % OF FUNDING]],0)</f>
        <v>0</v>
      </c>
      <c r="AD37" s="7" cm="1">
        <f t="array" ref="AD37">INDEX(CountyScoresTbl[Community Need Total Points],ROW(S1AMHTbl[[#This Row],[COUNTY]])-2,1)*S1AMHTbl[[#This Row],[RURAL % OF FUNDING]]</f>
        <v>0</v>
      </c>
      <c r="AE37" s="7">
        <f>IF(S1AMHTbl[[#This Row],[SITE CONTROL]]="Yes",20,10)*S1AMHTbl[[#This Row],[RURAL % OF FUNDING]]</f>
        <v>0</v>
      </c>
      <c r="AF37" s="26" cm="1">
        <f t="array" ref="AF37">INDEX(CountyScoresTbl[Farmworker Need Points Awarded],ROW(S1AMHTbl[[#This Row],[COUNTY]])-2,1)*S1AMHTbl[[#This Row],[RURAL % OF FUNDING]]</f>
        <v>0</v>
      </c>
      <c r="AG37" s="399"/>
      <c r="AH37" s="7">
        <f>IF(S1AMHTbl[[#This Row],[INFILL SITE]]="Yes",5,3)*S1AMHTbl[[#This Row],[UNRESTRICTED % OF FUNDING]]</f>
        <v>0</v>
      </c>
      <c r="AI37" s="26">
        <f>IF(S1AMHTbl[[#This Row],[INFILL SITE]]="Yes",5,3)*S1AMHTbl[[#This Row],[RURAL % OF FUNDING]]</f>
        <v>0</v>
      </c>
    </row>
    <row r="38" spans="1:35" x14ac:dyDescent="0.35">
      <c r="A38" s="124"/>
      <c r="B38" s="5" t="s">
        <v>150</v>
      </c>
      <c r="C38" s="31" t="s">
        <v>513</v>
      </c>
      <c r="D38" s="113" t="str">
        <f>IF(SUM(S1AMHTbl[[#This Row],[UNRESTRICTED UNITS]])=0,"",S1AMHTbl[[#This Row],[UNRESTRICTED UNITS]])</f>
        <v/>
      </c>
      <c r="E38" s="74" t="str">
        <f>IF(S1AMHTbl[[#This Row],[UNRESTRICTED FUNDING REQUESTED]]=0,"",S1AMHTbl[[#This Row],[UNRESTRICTED FUNDING REQUESTED]]*
IF(S1_AMH_UnrestrictedTotalRequested&lt;=5000000,1,
5000000/S1_AMH_UnrestrictedTotalRequested))</f>
        <v/>
      </c>
      <c r="F38" s="6" t="str">
        <f>IFERROR(S1AMHTbl[[#This Row],[TOTAL $ REQUESTED]]/SUM(S1AMHTbl[TOTAL $ REQUESTED]),"")</f>
        <v/>
      </c>
      <c r="G38" s="31" t="s">
        <v>513</v>
      </c>
      <c r="H38" s="113" t="str">
        <f>IF(SUM(S1AMHTbl[[#This Row],[RURAL UNITS]])=0,"",S1AMHTbl[[#This Row],[RURAL UNITS]])</f>
        <v/>
      </c>
      <c r="I38" s="74" t="str">
        <f>IF(S1AMHTbl[[#This Row],[RURAL FUNDING REQUESTED]]=0,"",S1AMHTbl[[#This Row],[RURAL FUNDING REQUESTED]]*
IF(S1_AMH_RuralTotalRequested&lt;=(5000000-E$61),1,
(5000000-E$61)/S1_AMH_RuralTotalRequested))</f>
        <v/>
      </c>
      <c r="J38" s="6" t="str">
        <f>IFERROR(S1AMHTbl[[#This Row],[TOTAL $ REQUESTED2]]/SUM(S1AMHTbl[TOTAL $ REQUESTED2]),"")</f>
        <v/>
      </c>
      <c r="K38" s="31" t="s">
        <v>513</v>
      </c>
      <c r="L38" s="196"/>
      <c r="M38" s="119"/>
      <c r="N38" s="227"/>
      <c r="O38" s="124"/>
      <c r="P38" s="161"/>
      <c r="Q38" s="161"/>
      <c r="R38" s="74">
        <f t="shared" si="2"/>
        <v>0</v>
      </c>
      <c r="S38" s="6">
        <f>IF(S1AMHTbl[[#This Row],[UNRESTRICTED FUNDING REQUESTED]]=0,0,S1AMHTbl[[#This Row],[UNRESTRICTED FUNDING REQUESTED]]/S1_AMH_UnrestrictedTotalRequested)</f>
        <v>0</v>
      </c>
      <c r="T38" s="7">
        <f>IF(S1AMHTbl[[#This Row],[ALL UNITS IN A HIGH OR HIGHEST RESOURCE AREA]]="Yes",10*S1AMHTbl[[#This Row],[UNRESTRICTED % OF FUNDING]],0)</f>
        <v>0</v>
      </c>
      <c r="U38" s="7" cm="1">
        <f t="array" ref="U38">INDEX(CountyScoresTbl[Community Need Total Points],ROW(S1AMHTbl[[#This Row],[COUNTY]])-2,1)*S1AMHTbl[[#This Row],[UNRESTRICTED % OF FUNDING]]</f>
        <v>0</v>
      </c>
      <c r="V38" s="7">
        <f>IF(S1AMHTbl[[#This Row],[SITE CONTROL]]="Yes",20,10)*S1AMHTbl[[#This Row],[UNRESTRICTED % OF FUNDING]]</f>
        <v>0</v>
      </c>
      <c r="W38" s="26" cm="1">
        <f t="array" ref="W38">INDEX(CountyScoresTbl[Farmworker Need Points Awarded],ROW(S1AMHTbl[[#This Row],[COUNTY]])-2,1)*S1AMHTbl[[#This Row],[UNRESTRICTED % OF FUNDING]]</f>
        <v>0</v>
      </c>
      <c r="X38" s="124"/>
      <c r="Y38" s="161"/>
      <c r="Z38" s="161"/>
      <c r="AA38" s="74">
        <f t="shared" si="3"/>
        <v>0</v>
      </c>
      <c r="AB38" s="6">
        <f>IF(S1AMHTbl[[#This Row],[RURAL FUNDING REQUESTED]]=0,0,S1AMHTbl[[#This Row],[RURAL FUNDING REQUESTED]]/S1_AMH_RuralTotalRequested)</f>
        <v>0</v>
      </c>
      <c r="AC38" s="7">
        <f>IF(S1AMHTbl[[#This Row],[ALL UNITS IN A HIGH OR HIGHEST RESOURCE AREA]]="Yes",10*S1AMHTbl[[#This Row],[RURAL % OF FUNDING]],0)</f>
        <v>0</v>
      </c>
      <c r="AD38" s="7" cm="1">
        <f t="array" ref="AD38">INDEX(CountyScoresTbl[Community Need Total Points],ROW(S1AMHTbl[[#This Row],[COUNTY]])-2,1)*S1AMHTbl[[#This Row],[RURAL % OF FUNDING]]</f>
        <v>0</v>
      </c>
      <c r="AE38" s="7">
        <f>IF(S1AMHTbl[[#This Row],[SITE CONTROL]]="Yes",20,10)*S1AMHTbl[[#This Row],[RURAL % OF FUNDING]]</f>
        <v>0</v>
      </c>
      <c r="AF38" s="26" cm="1">
        <f t="array" ref="AF38">INDEX(CountyScoresTbl[Farmworker Need Points Awarded],ROW(S1AMHTbl[[#This Row],[COUNTY]])-2,1)*S1AMHTbl[[#This Row],[RURAL % OF FUNDING]]</f>
        <v>0</v>
      </c>
      <c r="AG38" s="399"/>
      <c r="AH38" s="7">
        <f>IF(S1AMHTbl[[#This Row],[INFILL SITE]]="Yes",5,3)*S1AMHTbl[[#This Row],[UNRESTRICTED % OF FUNDING]]</f>
        <v>0</v>
      </c>
      <c r="AI38" s="26">
        <f>IF(S1AMHTbl[[#This Row],[INFILL SITE]]="Yes",5,3)*S1AMHTbl[[#This Row],[RURAL % OF FUNDING]]</f>
        <v>0</v>
      </c>
    </row>
    <row r="39" spans="1:35" x14ac:dyDescent="0.35">
      <c r="A39" s="124"/>
      <c r="B39" s="5" t="s">
        <v>151</v>
      </c>
      <c r="C39" s="31" t="s">
        <v>513</v>
      </c>
      <c r="D39" s="113" t="str">
        <f>IF(SUM(S1AMHTbl[[#This Row],[UNRESTRICTED UNITS]])=0,"",S1AMHTbl[[#This Row],[UNRESTRICTED UNITS]])</f>
        <v/>
      </c>
      <c r="E39" s="74" t="str">
        <f>IF(S1AMHTbl[[#This Row],[UNRESTRICTED FUNDING REQUESTED]]=0,"",S1AMHTbl[[#This Row],[UNRESTRICTED FUNDING REQUESTED]]*
IF(S1_AMH_UnrestrictedTotalRequested&lt;=5000000,1,
5000000/S1_AMH_UnrestrictedTotalRequested))</f>
        <v/>
      </c>
      <c r="F39" s="6" t="str">
        <f>IFERROR(S1AMHTbl[[#This Row],[TOTAL $ REQUESTED]]/SUM(S1AMHTbl[TOTAL $ REQUESTED]),"")</f>
        <v/>
      </c>
      <c r="G39" s="31" t="s">
        <v>513</v>
      </c>
      <c r="H39" s="113" t="str">
        <f>IF(SUM(S1AMHTbl[[#This Row],[RURAL UNITS]])=0,"",S1AMHTbl[[#This Row],[RURAL UNITS]])</f>
        <v/>
      </c>
      <c r="I39" s="74" t="str">
        <f>IF(S1AMHTbl[[#This Row],[RURAL FUNDING REQUESTED]]=0,"",S1AMHTbl[[#This Row],[RURAL FUNDING REQUESTED]]*
IF(S1_AMH_RuralTotalRequested&lt;=(5000000-E$61),1,
(5000000-E$61)/S1_AMH_RuralTotalRequested))</f>
        <v/>
      </c>
      <c r="J39" s="6" t="str">
        <f>IFERROR(S1AMHTbl[[#This Row],[TOTAL $ REQUESTED2]]/SUM(S1AMHTbl[TOTAL $ REQUESTED2]),"")</f>
        <v/>
      </c>
      <c r="K39" s="31" t="s">
        <v>513</v>
      </c>
      <c r="L39" s="196"/>
      <c r="M39" s="119"/>
      <c r="N39" s="227"/>
      <c r="O39" s="124"/>
      <c r="P39" s="161"/>
      <c r="Q39" s="161"/>
      <c r="R39" s="74">
        <f t="shared" si="2"/>
        <v>0</v>
      </c>
      <c r="S39" s="6">
        <f>IF(S1AMHTbl[[#This Row],[UNRESTRICTED FUNDING REQUESTED]]=0,0,S1AMHTbl[[#This Row],[UNRESTRICTED FUNDING REQUESTED]]/S1_AMH_UnrestrictedTotalRequested)</f>
        <v>0</v>
      </c>
      <c r="T39" s="7">
        <f>IF(S1AMHTbl[[#This Row],[ALL UNITS IN A HIGH OR HIGHEST RESOURCE AREA]]="Yes",10*S1AMHTbl[[#This Row],[UNRESTRICTED % OF FUNDING]],0)</f>
        <v>0</v>
      </c>
      <c r="U39" s="7" cm="1">
        <f t="array" ref="U39">INDEX(CountyScoresTbl[Community Need Total Points],ROW(S1AMHTbl[[#This Row],[COUNTY]])-2,1)*S1AMHTbl[[#This Row],[UNRESTRICTED % OF FUNDING]]</f>
        <v>0</v>
      </c>
      <c r="V39" s="7">
        <f>IF(S1AMHTbl[[#This Row],[SITE CONTROL]]="Yes",20,10)*S1AMHTbl[[#This Row],[UNRESTRICTED % OF FUNDING]]</f>
        <v>0</v>
      </c>
      <c r="W39" s="26" cm="1">
        <f t="array" ref="W39">INDEX(CountyScoresTbl[Farmworker Need Points Awarded],ROW(S1AMHTbl[[#This Row],[COUNTY]])-2,1)*S1AMHTbl[[#This Row],[UNRESTRICTED % OF FUNDING]]</f>
        <v>0</v>
      </c>
      <c r="X39" s="124"/>
      <c r="Y39" s="161"/>
      <c r="Z39" s="161"/>
      <c r="AA39" s="74">
        <f t="shared" si="3"/>
        <v>0</v>
      </c>
      <c r="AB39" s="6">
        <f>IF(S1AMHTbl[[#This Row],[RURAL FUNDING REQUESTED]]=0,0,S1AMHTbl[[#This Row],[RURAL FUNDING REQUESTED]]/S1_AMH_RuralTotalRequested)</f>
        <v>0</v>
      </c>
      <c r="AC39" s="7">
        <f>IF(S1AMHTbl[[#This Row],[ALL UNITS IN A HIGH OR HIGHEST RESOURCE AREA]]="Yes",10*S1AMHTbl[[#This Row],[RURAL % OF FUNDING]],0)</f>
        <v>0</v>
      </c>
      <c r="AD39" s="7" cm="1">
        <f t="array" ref="AD39">INDEX(CountyScoresTbl[Community Need Total Points],ROW(S1AMHTbl[[#This Row],[COUNTY]])-2,1)*S1AMHTbl[[#This Row],[RURAL % OF FUNDING]]</f>
        <v>0</v>
      </c>
      <c r="AE39" s="7">
        <f>IF(S1AMHTbl[[#This Row],[SITE CONTROL]]="Yes",20,10)*S1AMHTbl[[#This Row],[RURAL % OF FUNDING]]</f>
        <v>0</v>
      </c>
      <c r="AF39" s="26" cm="1">
        <f t="array" ref="AF39">INDEX(CountyScoresTbl[Farmworker Need Points Awarded],ROW(S1AMHTbl[[#This Row],[COUNTY]])-2,1)*S1AMHTbl[[#This Row],[RURAL % OF FUNDING]]</f>
        <v>0</v>
      </c>
      <c r="AG39" s="399"/>
      <c r="AH39" s="7">
        <f>IF(S1AMHTbl[[#This Row],[INFILL SITE]]="Yes",5,3)*S1AMHTbl[[#This Row],[UNRESTRICTED % OF FUNDING]]</f>
        <v>0</v>
      </c>
      <c r="AI39" s="26">
        <f>IF(S1AMHTbl[[#This Row],[INFILL SITE]]="Yes",5,3)*S1AMHTbl[[#This Row],[RURAL % OF FUNDING]]</f>
        <v>0</v>
      </c>
    </row>
    <row r="40" spans="1:35" x14ac:dyDescent="0.35">
      <c r="A40" s="124"/>
      <c r="B40" s="5" t="s">
        <v>152</v>
      </c>
      <c r="C40" s="31" t="s">
        <v>513</v>
      </c>
      <c r="D40" s="113" t="str">
        <f>IF(SUM(S1AMHTbl[[#This Row],[UNRESTRICTED UNITS]])=0,"",S1AMHTbl[[#This Row],[UNRESTRICTED UNITS]])</f>
        <v/>
      </c>
      <c r="E40" s="74" t="str">
        <f>IF(S1AMHTbl[[#This Row],[UNRESTRICTED FUNDING REQUESTED]]=0,"",S1AMHTbl[[#This Row],[UNRESTRICTED FUNDING REQUESTED]]*
IF(S1_AMH_UnrestrictedTotalRequested&lt;=5000000,1,
5000000/S1_AMH_UnrestrictedTotalRequested))</f>
        <v/>
      </c>
      <c r="F40" s="6" t="str">
        <f>IFERROR(S1AMHTbl[[#This Row],[TOTAL $ REQUESTED]]/SUM(S1AMHTbl[TOTAL $ REQUESTED]),"")</f>
        <v/>
      </c>
      <c r="G40" s="31" t="s">
        <v>513</v>
      </c>
      <c r="H40" s="113" t="str">
        <f>IF(SUM(S1AMHTbl[[#This Row],[RURAL UNITS]])=0,"",S1AMHTbl[[#This Row],[RURAL UNITS]])</f>
        <v/>
      </c>
      <c r="I40" s="74" t="str">
        <f>IF(S1AMHTbl[[#This Row],[RURAL FUNDING REQUESTED]]=0,"",S1AMHTbl[[#This Row],[RURAL FUNDING REQUESTED]]*
IF(S1_AMH_RuralTotalRequested&lt;=(5000000-E$61),1,
(5000000-E$61)/S1_AMH_RuralTotalRequested))</f>
        <v/>
      </c>
      <c r="J40" s="6" t="str">
        <f>IFERROR(S1AMHTbl[[#This Row],[TOTAL $ REQUESTED2]]/SUM(S1AMHTbl[TOTAL $ REQUESTED2]),"")</f>
        <v/>
      </c>
      <c r="K40" s="31" t="s">
        <v>513</v>
      </c>
      <c r="L40" s="196"/>
      <c r="M40" s="119"/>
      <c r="N40" s="227"/>
      <c r="O40" s="124"/>
      <c r="P40" s="161"/>
      <c r="Q40" s="161"/>
      <c r="R40" s="74">
        <f t="shared" si="2"/>
        <v>0</v>
      </c>
      <c r="S40" s="6">
        <f>IF(S1AMHTbl[[#This Row],[UNRESTRICTED FUNDING REQUESTED]]=0,0,S1AMHTbl[[#This Row],[UNRESTRICTED FUNDING REQUESTED]]/S1_AMH_UnrestrictedTotalRequested)</f>
        <v>0</v>
      </c>
      <c r="T40" s="7">
        <f>IF(S1AMHTbl[[#This Row],[ALL UNITS IN A HIGH OR HIGHEST RESOURCE AREA]]="Yes",10*S1AMHTbl[[#This Row],[UNRESTRICTED % OF FUNDING]],0)</f>
        <v>0</v>
      </c>
      <c r="U40" s="7" cm="1">
        <f t="array" ref="U40">INDEX(CountyScoresTbl[Community Need Total Points],ROW(S1AMHTbl[[#This Row],[COUNTY]])-2,1)*S1AMHTbl[[#This Row],[UNRESTRICTED % OF FUNDING]]</f>
        <v>0</v>
      </c>
      <c r="V40" s="7">
        <f>IF(S1AMHTbl[[#This Row],[SITE CONTROL]]="Yes",20,10)*S1AMHTbl[[#This Row],[UNRESTRICTED % OF FUNDING]]</f>
        <v>0</v>
      </c>
      <c r="W40" s="26" cm="1">
        <f t="array" ref="W40">INDEX(CountyScoresTbl[Farmworker Need Points Awarded],ROW(S1AMHTbl[[#This Row],[COUNTY]])-2,1)*S1AMHTbl[[#This Row],[UNRESTRICTED % OF FUNDING]]</f>
        <v>0</v>
      </c>
      <c r="X40" s="124"/>
      <c r="Y40" s="161"/>
      <c r="Z40" s="161"/>
      <c r="AA40" s="74">
        <f t="shared" si="3"/>
        <v>0</v>
      </c>
      <c r="AB40" s="6">
        <f>IF(S1AMHTbl[[#This Row],[RURAL FUNDING REQUESTED]]=0,0,S1AMHTbl[[#This Row],[RURAL FUNDING REQUESTED]]/S1_AMH_RuralTotalRequested)</f>
        <v>0</v>
      </c>
      <c r="AC40" s="7">
        <f>IF(S1AMHTbl[[#This Row],[ALL UNITS IN A HIGH OR HIGHEST RESOURCE AREA]]="Yes",10*S1AMHTbl[[#This Row],[RURAL % OF FUNDING]],0)</f>
        <v>0</v>
      </c>
      <c r="AD40" s="7" cm="1">
        <f t="array" ref="AD40">INDEX(CountyScoresTbl[Community Need Total Points],ROW(S1AMHTbl[[#This Row],[COUNTY]])-2,1)*S1AMHTbl[[#This Row],[RURAL % OF FUNDING]]</f>
        <v>0</v>
      </c>
      <c r="AE40" s="7">
        <f>IF(S1AMHTbl[[#This Row],[SITE CONTROL]]="Yes",20,10)*S1AMHTbl[[#This Row],[RURAL % OF FUNDING]]</f>
        <v>0</v>
      </c>
      <c r="AF40" s="26" cm="1">
        <f t="array" ref="AF40">INDEX(CountyScoresTbl[Farmworker Need Points Awarded],ROW(S1AMHTbl[[#This Row],[COUNTY]])-2,1)*S1AMHTbl[[#This Row],[RURAL % OF FUNDING]]</f>
        <v>0</v>
      </c>
      <c r="AG40" s="399"/>
      <c r="AH40" s="7">
        <f>IF(S1AMHTbl[[#This Row],[INFILL SITE]]="Yes",5,3)*S1AMHTbl[[#This Row],[UNRESTRICTED % OF FUNDING]]</f>
        <v>0</v>
      </c>
      <c r="AI40" s="26">
        <f>IF(S1AMHTbl[[#This Row],[INFILL SITE]]="Yes",5,3)*S1AMHTbl[[#This Row],[RURAL % OF FUNDING]]</f>
        <v>0</v>
      </c>
    </row>
    <row r="41" spans="1:35" x14ac:dyDescent="0.35">
      <c r="A41" s="124"/>
      <c r="B41" s="5" t="s">
        <v>153</v>
      </c>
      <c r="C41" s="31" t="s">
        <v>513</v>
      </c>
      <c r="D41" s="113" t="str">
        <f>IF(SUM(S1AMHTbl[[#This Row],[UNRESTRICTED UNITS]])=0,"",S1AMHTbl[[#This Row],[UNRESTRICTED UNITS]])</f>
        <v/>
      </c>
      <c r="E41" s="74" t="str">
        <f>IF(S1AMHTbl[[#This Row],[UNRESTRICTED FUNDING REQUESTED]]=0,"",S1AMHTbl[[#This Row],[UNRESTRICTED FUNDING REQUESTED]]*
IF(S1_AMH_UnrestrictedTotalRequested&lt;=5000000,1,
5000000/S1_AMH_UnrestrictedTotalRequested))</f>
        <v/>
      </c>
      <c r="F41" s="6" t="str">
        <f>IFERROR(S1AMHTbl[[#This Row],[TOTAL $ REQUESTED]]/SUM(S1AMHTbl[TOTAL $ REQUESTED]),"")</f>
        <v/>
      </c>
      <c r="G41" s="31" t="s">
        <v>513</v>
      </c>
      <c r="H41" s="113" t="str">
        <f>IF(SUM(S1AMHTbl[[#This Row],[RURAL UNITS]])=0,"",S1AMHTbl[[#This Row],[RURAL UNITS]])</f>
        <v/>
      </c>
      <c r="I41" s="74" t="str">
        <f>IF(S1AMHTbl[[#This Row],[RURAL FUNDING REQUESTED]]=0,"",S1AMHTbl[[#This Row],[RURAL FUNDING REQUESTED]]*
IF(S1_AMH_RuralTotalRequested&lt;=(5000000-E$61),1,
(5000000-E$61)/S1_AMH_RuralTotalRequested))</f>
        <v/>
      </c>
      <c r="J41" s="6" t="str">
        <f>IFERROR(S1AMHTbl[[#This Row],[TOTAL $ REQUESTED2]]/SUM(S1AMHTbl[TOTAL $ REQUESTED2]),"")</f>
        <v/>
      </c>
      <c r="K41" s="31" t="s">
        <v>513</v>
      </c>
      <c r="L41" s="196"/>
      <c r="M41" s="119"/>
      <c r="N41" s="227"/>
      <c r="O41" s="124"/>
      <c r="P41" s="161"/>
      <c r="Q41" s="161"/>
      <c r="R41" s="74">
        <f t="shared" si="2"/>
        <v>0</v>
      </c>
      <c r="S41" s="6">
        <f>IF(S1AMHTbl[[#This Row],[UNRESTRICTED FUNDING REQUESTED]]=0,0,S1AMHTbl[[#This Row],[UNRESTRICTED FUNDING REQUESTED]]/S1_AMH_UnrestrictedTotalRequested)</f>
        <v>0</v>
      </c>
      <c r="T41" s="7">
        <f>IF(S1AMHTbl[[#This Row],[ALL UNITS IN A HIGH OR HIGHEST RESOURCE AREA]]="Yes",10*S1AMHTbl[[#This Row],[UNRESTRICTED % OF FUNDING]],0)</f>
        <v>0</v>
      </c>
      <c r="U41" s="7" cm="1">
        <f t="array" ref="U41">INDEX(CountyScoresTbl[Community Need Total Points],ROW(S1AMHTbl[[#This Row],[COUNTY]])-2,1)*S1AMHTbl[[#This Row],[UNRESTRICTED % OF FUNDING]]</f>
        <v>0</v>
      </c>
      <c r="V41" s="7">
        <f>IF(S1AMHTbl[[#This Row],[SITE CONTROL]]="Yes",20,10)*S1AMHTbl[[#This Row],[UNRESTRICTED % OF FUNDING]]</f>
        <v>0</v>
      </c>
      <c r="W41" s="26" cm="1">
        <f t="array" ref="W41">INDEX(CountyScoresTbl[Farmworker Need Points Awarded],ROW(S1AMHTbl[[#This Row],[COUNTY]])-2,1)*S1AMHTbl[[#This Row],[UNRESTRICTED % OF FUNDING]]</f>
        <v>0</v>
      </c>
      <c r="X41" s="124"/>
      <c r="Y41" s="161"/>
      <c r="Z41" s="161"/>
      <c r="AA41" s="74">
        <f t="shared" si="3"/>
        <v>0</v>
      </c>
      <c r="AB41" s="6">
        <f>IF(S1AMHTbl[[#This Row],[RURAL FUNDING REQUESTED]]=0,0,S1AMHTbl[[#This Row],[RURAL FUNDING REQUESTED]]/S1_AMH_RuralTotalRequested)</f>
        <v>0</v>
      </c>
      <c r="AC41" s="7">
        <f>IF(S1AMHTbl[[#This Row],[ALL UNITS IN A HIGH OR HIGHEST RESOURCE AREA]]="Yes",10*S1AMHTbl[[#This Row],[RURAL % OF FUNDING]],0)</f>
        <v>0</v>
      </c>
      <c r="AD41" s="7" cm="1">
        <f t="array" ref="AD41">INDEX(CountyScoresTbl[Community Need Total Points],ROW(S1AMHTbl[[#This Row],[COUNTY]])-2,1)*S1AMHTbl[[#This Row],[RURAL % OF FUNDING]]</f>
        <v>0</v>
      </c>
      <c r="AE41" s="7">
        <f>IF(S1AMHTbl[[#This Row],[SITE CONTROL]]="Yes",20,10)*S1AMHTbl[[#This Row],[RURAL % OF FUNDING]]</f>
        <v>0</v>
      </c>
      <c r="AF41" s="26" cm="1">
        <f t="array" ref="AF41">INDEX(CountyScoresTbl[Farmworker Need Points Awarded],ROW(S1AMHTbl[[#This Row],[COUNTY]])-2,1)*S1AMHTbl[[#This Row],[RURAL % OF FUNDING]]</f>
        <v>0</v>
      </c>
      <c r="AG41" s="399"/>
      <c r="AH41" s="7">
        <f>IF(S1AMHTbl[[#This Row],[INFILL SITE]]="Yes",5,3)*S1AMHTbl[[#This Row],[UNRESTRICTED % OF FUNDING]]</f>
        <v>0</v>
      </c>
      <c r="AI41" s="26">
        <f>IF(S1AMHTbl[[#This Row],[INFILL SITE]]="Yes",5,3)*S1AMHTbl[[#This Row],[RURAL % OF FUNDING]]</f>
        <v>0</v>
      </c>
    </row>
    <row r="42" spans="1:35" x14ac:dyDescent="0.35">
      <c r="A42" s="124"/>
      <c r="B42" s="5" t="s">
        <v>154</v>
      </c>
      <c r="C42" s="31" t="s">
        <v>513</v>
      </c>
      <c r="D42" s="113" t="str">
        <f>IF(SUM(S1AMHTbl[[#This Row],[UNRESTRICTED UNITS]])=0,"",S1AMHTbl[[#This Row],[UNRESTRICTED UNITS]])</f>
        <v/>
      </c>
      <c r="E42" s="74" t="str">
        <f>IF(S1AMHTbl[[#This Row],[UNRESTRICTED FUNDING REQUESTED]]=0,"",S1AMHTbl[[#This Row],[UNRESTRICTED FUNDING REQUESTED]]*
IF(S1_AMH_UnrestrictedTotalRequested&lt;=5000000,1,
5000000/S1_AMH_UnrestrictedTotalRequested))</f>
        <v/>
      </c>
      <c r="F42" s="6" t="str">
        <f>IFERROR(S1AMHTbl[[#This Row],[TOTAL $ REQUESTED]]/SUM(S1AMHTbl[TOTAL $ REQUESTED]),"")</f>
        <v/>
      </c>
      <c r="G42" s="31" t="s">
        <v>513</v>
      </c>
      <c r="H42" s="113" t="str">
        <f>IF(SUM(S1AMHTbl[[#This Row],[RURAL UNITS]])=0,"",S1AMHTbl[[#This Row],[RURAL UNITS]])</f>
        <v/>
      </c>
      <c r="I42" s="74" t="str">
        <f>IF(S1AMHTbl[[#This Row],[RURAL FUNDING REQUESTED]]=0,"",S1AMHTbl[[#This Row],[RURAL FUNDING REQUESTED]]*
IF(S1_AMH_RuralTotalRequested&lt;=(5000000-E$61),1,
(5000000-E$61)/S1_AMH_RuralTotalRequested))</f>
        <v/>
      </c>
      <c r="J42" s="6" t="str">
        <f>IFERROR(S1AMHTbl[[#This Row],[TOTAL $ REQUESTED2]]/SUM(S1AMHTbl[TOTAL $ REQUESTED2]),"")</f>
        <v/>
      </c>
      <c r="K42" s="31" t="s">
        <v>513</v>
      </c>
      <c r="L42" s="196"/>
      <c r="M42" s="119"/>
      <c r="N42" s="227"/>
      <c r="O42" s="124"/>
      <c r="P42" s="161"/>
      <c r="Q42" s="161"/>
      <c r="R42" s="74">
        <f t="shared" si="2"/>
        <v>0</v>
      </c>
      <c r="S42" s="6">
        <f>IF(S1AMHTbl[[#This Row],[UNRESTRICTED FUNDING REQUESTED]]=0,0,S1AMHTbl[[#This Row],[UNRESTRICTED FUNDING REQUESTED]]/S1_AMH_UnrestrictedTotalRequested)</f>
        <v>0</v>
      </c>
      <c r="T42" s="7">
        <f>IF(S1AMHTbl[[#This Row],[ALL UNITS IN A HIGH OR HIGHEST RESOURCE AREA]]="Yes",10*S1AMHTbl[[#This Row],[UNRESTRICTED % OF FUNDING]],0)</f>
        <v>0</v>
      </c>
      <c r="U42" s="7" cm="1">
        <f t="array" ref="U42">INDEX(CountyScoresTbl[Community Need Total Points],ROW(S1AMHTbl[[#This Row],[COUNTY]])-2,1)*S1AMHTbl[[#This Row],[UNRESTRICTED % OF FUNDING]]</f>
        <v>0</v>
      </c>
      <c r="V42" s="7">
        <f>IF(S1AMHTbl[[#This Row],[SITE CONTROL]]="Yes",20,10)*S1AMHTbl[[#This Row],[UNRESTRICTED % OF FUNDING]]</f>
        <v>0</v>
      </c>
      <c r="W42" s="26" cm="1">
        <f t="array" ref="W42">INDEX(CountyScoresTbl[Farmworker Need Points Awarded],ROW(S1AMHTbl[[#This Row],[COUNTY]])-2,1)*S1AMHTbl[[#This Row],[UNRESTRICTED % OF FUNDING]]</f>
        <v>0</v>
      </c>
      <c r="X42" s="124"/>
      <c r="Y42" s="161"/>
      <c r="Z42" s="161"/>
      <c r="AA42" s="74">
        <f t="shared" si="3"/>
        <v>0</v>
      </c>
      <c r="AB42" s="6">
        <f>IF(S1AMHTbl[[#This Row],[RURAL FUNDING REQUESTED]]=0,0,S1AMHTbl[[#This Row],[RURAL FUNDING REQUESTED]]/S1_AMH_RuralTotalRequested)</f>
        <v>0</v>
      </c>
      <c r="AC42" s="7">
        <f>IF(S1AMHTbl[[#This Row],[ALL UNITS IN A HIGH OR HIGHEST RESOURCE AREA]]="Yes",10*S1AMHTbl[[#This Row],[RURAL % OF FUNDING]],0)</f>
        <v>0</v>
      </c>
      <c r="AD42" s="7" cm="1">
        <f t="array" ref="AD42">INDEX(CountyScoresTbl[Community Need Total Points],ROW(S1AMHTbl[[#This Row],[COUNTY]])-2,1)*S1AMHTbl[[#This Row],[RURAL % OF FUNDING]]</f>
        <v>0</v>
      </c>
      <c r="AE42" s="7">
        <f>IF(S1AMHTbl[[#This Row],[SITE CONTROL]]="Yes",20,10)*S1AMHTbl[[#This Row],[RURAL % OF FUNDING]]</f>
        <v>0</v>
      </c>
      <c r="AF42" s="26" cm="1">
        <f t="array" ref="AF42">INDEX(CountyScoresTbl[Farmworker Need Points Awarded],ROW(S1AMHTbl[[#This Row],[COUNTY]])-2,1)*S1AMHTbl[[#This Row],[RURAL % OF FUNDING]]</f>
        <v>0</v>
      </c>
      <c r="AG42" s="399"/>
      <c r="AH42" s="7">
        <f>IF(S1AMHTbl[[#This Row],[INFILL SITE]]="Yes",5,3)*S1AMHTbl[[#This Row],[UNRESTRICTED % OF FUNDING]]</f>
        <v>0</v>
      </c>
      <c r="AI42" s="26">
        <f>IF(S1AMHTbl[[#This Row],[INFILL SITE]]="Yes",5,3)*S1AMHTbl[[#This Row],[RURAL % OF FUNDING]]</f>
        <v>0</v>
      </c>
    </row>
    <row r="43" spans="1:35" x14ac:dyDescent="0.35">
      <c r="A43" s="124"/>
      <c r="B43" s="5" t="s">
        <v>155</v>
      </c>
      <c r="C43" s="31" t="s">
        <v>513</v>
      </c>
      <c r="D43" s="113" t="str">
        <f>IF(SUM(S1AMHTbl[[#This Row],[UNRESTRICTED UNITS]])=0,"",S1AMHTbl[[#This Row],[UNRESTRICTED UNITS]])</f>
        <v/>
      </c>
      <c r="E43" s="74" t="str">
        <f>IF(S1AMHTbl[[#This Row],[UNRESTRICTED FUNDING REQUESTED]]=0,"",S1AMHTbl[[#This Row],[UNRESTRICTED FUNDING REQUESTED]]*
IF(S1_AMH_UnrestrictedTotalRequested&lt;=5000000,1,
5000000/S1_AMH_UnrestrictedTotalRequested))</f>
        <v/>
      </c>
      <c r="F43" s="6" t="str">
        <f>IFERROR(S1AMHTbl[[#This Row],[TOTAL $ REQUESTED]]/SUM(S1AMHTbl[TOTAL $ REQUESTED]),"")</f>
        <v/>
      </c>
      <c r="G43" s="31" t="s">
        <v>513</v>
      </c>
      <c r="H43" s="113" t="str">
        <f>IF(SUM(S1AMHTbl[[#This Row],[RURAL UNITS]])=0,"",S1AMHTbl[[#This Row],[RURAL UNITS]])</f>
        <v/>
      </c>
      <c r="I43" s="74" t="str">
        <f>IF(S1AMHTbl[[#This Row],[RURAL FUNDING REQUESTED]]=0,"",S1AMHTbl[[#This Row],[RURAL FUNDING REQUESTED]]*
IF(S1_AMH_RuralTotalRequested&lt;=(5000000-E$61),1,
(5000000-E$61)/S1_AMH_RuralTotalRequested))</f>
        <v/>
      </c>
      <c r="J43" s="6" t="str">
        <f>IFERROR(S1AMHTbl[[#This Row],[TOTAL $ REQUESTED2]]/SUM(S1AMHTbl[TOTAL $ REQUESTED2]),"")</f>
        <v/>
      </c>
      <c r="K43" s="31" t="s">
        <v>513</v>
      </c>
      <c r="L43" s="196"/>
      <c r="M43" s="119"/>
      <c r="N43" s="227"/>
      <c r="O43" s="124"/>
      <c r="P43" s="161"/>
      <c r="Q43" s="161"/>
      <c r="R43" s="74">
        <f t="shared" si="2"/>
        <v>0</v>
      </c>
      <c r="S43" s="6">
        <f>IF(S1AMHTbl[[#This Row],[UNRESTRICTED FUNDING REQUESTED]]=0,0,S1AMHTbl[[#This Row],[UNRESTRICTED FUNDING REQUESTED]]/S1_AMH_UnrestrictedTotalRequested)</f>
        <v>0</v>
      </c>
      <c r="T43" s="7">
        <f>IF(S1AMHTbl[[#This Row],[ALL UNITS IN A HIGH OR HIGHEST RESOURCE AREA]]="Yes",10*S1AMHTbl[[#This Row],[UNRESTRICTED % OF FUNDING]],0)</f>
        <v>0</v>
      </c>
      <c r="U43" s="7" cm="1">
        <f t="array" ref="U43">INDEX(CountyScoresTbl[Community Need Total Points],ROW(S1AMHTbl[[#This Row],[COUNTY]])-2,1)*S1AMHTbl[[#This Row],[UNRESTRICTED % OF FUNDING]]</f>
        <v>0</v>
      </c>
      <c r="V43" s="7">
        <f>IF(S1AMHTbl[[#This Row],[SITE CONTROL]]="Yes",20,10)*S1AMHTbl[[#This Row],[UNRESTRICTED % OF FUNDING]]</f>
        <v>0</v>
      </c>
      <c r="W43" s="26" cm="1">
        <f t="array" ref="W43">INDEX(CountyScoresTbl[Farmworker Need Points Awarded],ROW(S1AMHTbl[[#This Row],[COUNTY]])-2,1)*S1AMHTbl[[#This Row],[UNRESTRICTED % OF FUNDING]]</f>
        <v>0</v>
      </c>
      <c r="X43" s="124"/>
      <c r="Y43" s="161"/>
      <c r="Z43" s="161"/>
      <c r="AA43" s="74">
        <f t="shared" si="3"/>
        <v>0</v>
      </c>
      <c r="AB43" s="6">
        <f>IF(S1AMHTbl[[#This Row],[RURAL FUNDING REQUESTED]]=0,0,S1AMHTbl[[#This Row],[RURAL FUNDING REQUESTED]]/S1_AMH_RuralTotalRequested)</f>
        <v>0</v>
      </c>
      <c r="AC43" s="7">
        <f>IF(S1AMHTbl[[#This Row],[ALL UNITS IN A HIGH OR HIGHEST RESOURCE AREA]]="Yes",10*S1AMHTbl[[#This Row],[RURAL % OF FUNDING]],0)</f>
        <v>0</v>
      </c>
      <c r="AD43" s="7" cm="1">
        <f t="array" ref="AD43">INDEX(CountyScoresTbl[Community Need Total Points],ROW(S1AMHTbl[[#This Row],[COUNTY]])-2,1)*S1AMHTbl[[#This Row],[RURAL % OF FUNDING]]</f>
        <v>0</v>
      </c>
      <c r="AE43" s="7">
        <f>IF(S1AMHTbl[[#This Row],[SITE CONTROL]]="Yes",20,10)*S1AMHTbl[[#This Row],[RURAL % OF FUNDING]]</f>
        <v>0</v>
      </c>
      <c r="AF43" s="26" cm="1">
        <f t="array" ref="AF43">INDEX(CountyScoresTbl[Farmworker Need Points Awarded],ROW(S1AMHTbl[[#This Row],[COUNTY]])-2,1)*S1AMHTbl[[#This Row],[RURAL % OF FUNDING]]</f>
        <v>0</v>
      </c>
      <c r="AG43" s="399"/>
      <c r="AH43" s="7">
        <f>IF(S1AMHTbl[[#This Row],[INFILL SITE]]="Yes",5,3)*S1AMHTbl[[#This Row],[UNRESTRICTED % OF FUNDING]]</f>
        <v>0</v>
      </c>
      <c r="AI43" s="26">
        <f>IF(S1AMHTbl[[#This Row],[INFILL SITE]]="Yes",5,3)*S1AMHTbl[[#This Row],[RURAL % OF FUNDING]]</f>
        <v>0</v>
      </c>
    </row>
    <row r="44" spans="1:35" x14ac:dyDescent="0.35">
      <c r="A44" s="124"/>
      <c r="B44" s="5" t="s">
        <v>156</v>
      </c>
      <c r="C44" s="31" t="s">
        <v>513</v>
      </c>
      <c r="D44" s="113" t="str">
        <f>IF(SUM(S1AMHTbl[[#This Row],[UNRESTRICTED UNITS]])=0,"",S1AMHTbl[[#This Row],[UNRESTRICTED UNITS]])</f>
        <v/>
      </c>
      <c r="E44" s="74" t="str">
        <f>IF(S1AMHTbl[[#This Row],[UNRESTRICTED FUNDING REQUESTED]]=0,"",S1AMHTbl[[#This Row],[UNRESTRICTED FUNDING REQUESTED]]*
IF(S1_AMH_UnrestrictedTotalRequested&lt;=5000000,1,
5000000/S1_AMH_UnrestrictedTotalRequested))</f>
        <v/>
      </c>
      <c r="F44" s="6" t="str">
        <f>IFERROR(S1AMHTbl[[#This Row],[TOTAL $ REQUESTED]]/SUM(S1AMHTbl[TOTAL $ REQUESTED]),"")</f>
        <v/>
      </c>
      <c r="G44" s="31" t="s">
        <v>513</v>
      </c>
      <c r="H44" s="113" t="str">
        <f>IF(SUM(S1AMHTbl[[#This Row],[RURAL UNITS]])=0,"",S1AMHTbl[[#This Row],[RURAL UNITS]])</f>
        <v/>
      </c>
      <c r="I44" s="74" t="str">
        <f>IF(S1AMHTbl[[#This Row],[RURAL FUNDING REQUESTED]]=0,"",S1AMHTbl[[#This Row],[RURAL FUNDING REQUESTED]]*
IF(S1_AMH_RuralTotalRequested&lt;=(5000000-E$61),1,
(5000000-E$61)/S1_AMH_RuralTotalRequested))</f>
        <v/>
      </c>
      <c r="J44" s="6" t="str">
        <f>IFERROR(S1AMHTbl[[#This Row],[TOTAL $ REQUESTED2]]/SUM(S1AMHTbl[TOTAL $ REQUESTED2]),"")</f>
        <v/>
      </c>
      <c r="K44" s="31" t="s">
        <v>513</v>
      </c>
      <c r="L44" s="196"/>
      <c r="M44" s="119"/>
      <c r="N44" s="227"/>
      <c r="O44" s="124"/>
      <c r="P44" s="161"/>
      <c r="Q44" s="161"/>
      <c r="R44" s="74">
        <f t="shared" si="2"/>
        <v>0</v>
      </c>
      <c r="S44" s="6">
        <f>IF(S1AMHTbl[[#This Row],[UNRESTRICTED FUNDING REQUESTED]]=0,0,S1AMHTbl[[#This Row],[UNRESTRICTED FUNDING REQUESTED]]/S1_AMH_UnrestrictedTotalRequested)</f>
        <v>0</v>
      </c>
      <c r="T44" s="7">
        <f>IF(S1AMHTbl[[#This Row],[ALL UNITS IN A HIGH OR HIGHEST RESOURCE AREA]]="Yes",10*S1AMHTbl[[#This Row],[UNRESTRICTED % OF FUNDING]],0)</f>
        <v>0</v>
      </c>
      <c r="U44" s="7" cm="1">
        <f t="array" ref="U44">INDEX(CountyScoresTbl[Community Need Total Points],ROW(S1AMHTbl[[#This Row],[COUNTY]])-2,1)*S1AMHTbl[[#This Row],[UNRESTRICTED % OF FUNDING]]</f>
        <v>0</v>
      </c>
      <c r="V44" s="7">
        <f>IF(S1AMHTbl[[#This Row],[SITE CONTROL]]="Yes",20,10)*S1AMHTbl[[#This Row],[UNRESTRICTED % OF FUNDING]]</f>
        <v>0</v>
      </c>
      <c r="W44" s="26" cm="1">
        <f t="array" ref="W44">INDEX(CountyScoresTbl[Farmworker Need Points Awarded],ROW(S1AMHTbl[[#This Row],[COUNTY]])-2,1)*S1AMHTbl[[#This Row],[UNRESTRICTED % OF FUNDING]]</f>
        <v>0</v>
      </c>
      <c r="X44" s="124"/>
      <c r="Y44" s="161"/>
      <c r="Z44" s="161"/>
      <c r="AA44" s="74">
        <f t="shared" si="3"/>
        <v>0</v>
      </c>
      <c r="AB44" s="6">
        <f>IF(S1AMHTbl[[#This Row],[RURAL FUNDING REQUESTED]]=0,0,S1AMHTbl[[#This Row],[RURAL FUNDING REQUESTED]]/S1_AMH_RuralTotalRequested)</f>
        <v>0</v>
      </c>
      <c r="AC44" s="7">
        <f>IF(S1AMHTbl[[#This Row],[ALL UNITS IN A HIGH OR HIGHEST RESOURCE AREA]]="Yes",10*S1AMHTbl[[#This Row],[RURAL % OF FUNDING]],0)</f>
        <v>0</v>
      </c>
      <c r="AD44" s="7" cm="1">
        <f t="array" ref="AD44">INDEX(CountyScoresTbl[Community Need Total Points],ROW(S1AMHTbl[[#This Row],[COUNTY]])-2,1)*S1AMHTbl[[#This Row],[RURAL % OF FUNDING]]</f>
        <v>0</v>
      </c>
      <c r="AE44" s="7">
        <f>IF(S1AMHTbl[[#This Row],[SITE CONTROL]]="Yes",20,10)*S1AMHTbl[[#This Row],[RURAL % OF FUNDING]]</f>
        <v>0</v>
      </c>
      <c r="AF44" s="26" cm="1">
        <f t="array" ref="AF44">INDEX(CountyScoresTbl[Farmworker Need Points Awarded],ROW(S1AMHTbl[[#This Row],[COUNTY]])-2,1)*S1AMHTbl[[#This Row],[RURAL % OF FUNDING]]</f>
        <v>0</v>
      </c>
      <c r="AG44" s="399"/>
      <c r="AH44" s="7">
        <f>IF(S1AMHTbl[[#This Row],[INFILL SITE]]="Yes",5,3)*S1AMHTbl[[#This Row],[UNRESTRICTED % OF FUNDING]]</f>
        <v>0</v>
      </c>
      <c r="AI44" s="26">
        <f>IF(S1AMHTbl[[#This Row],[INFILL SITE]]="Yes",5,3)*S1AMHTbl[[#This Row],[RURAL % OF FUNDING]]</f>
        <v>0</v>
      </c>
    </row>
    <row r="45" spans="1:35" x14ac:dyDescent="0.35">
      <c r="A45" s="124"/>
      <c r="B45" s="5" t="s">
        <v>157</v>
      </c>
      <c r="C45" s="31" t="s">
        <v>513</v>
      </c>
      <c r="D45" s="113" t="str">
        <f>IF(SUM(S1AMHTbl[[#This Row],[UNRESTRICTED UNITS]])=0,"",S1AMHTbl[[#This Row],[UNRESTRICTED UNITS]])</f>
        <v/>
      </c>
      <c r="E45" s="74" t="str">
        <f>IF(S1AMHTbl[[#This Row],[UNRESTRICTED FUNDING REQUESTED]]=0,"",S1AMHTbl[[#This Row],[UNRESTRICTED FUNDING REQUESTED]]*
IF(S1_AMH_UnrestrictedTotalRequested&lt;=5000000,1,
5000000/S1_AMH_UnrestrictedTotalRequested))</f>
        <v/>
      </c>
      <c r="F45" s="6" t="str">
        <f>IFERROR(S1AMHTbl[[#This Row],[TOTAL $ REQUESTED]]/SUM(S1AMHTbl[TOTAL $ REQUESTED]),"")</f>
        <v/>
      </c>
      <c r="G45" s="31" t="s">
        <v>513</v>
      </c>
      <c r="H45" s="113" t="str">
        <f>IF(SUM(S1AMHTbl[[#This Row],[RURAL UNITS]])=0,"",S1AMHTbl[[#This Row],[RURAL UNITS]])</f>
        <v/>
      </c>
      <c r="I45" s="74" t="str">
        <f>IF(S1AMHTbl[[#This Row],[RURAL FUNDING REQUESTED]]=0,"",S1AMHTbl[[#This Row],[RURAL FUNDING REQUESTED]]*
IF(S1_AMH_RuralTotalRequested&lt;=(5000000-E$61),1,
(5000000-E$61)/S1_AMH_RuralTotalRequested))</f>
        <v/>
      </c>
      <c r="J45" s="6" t="str">
        <f>IFERROR(S1AMHTbl[[#This Row],[TOTAL $ REQUESTED2]]/SUM(S1AMHTbl[TOTAL $ REQUESTED2]),"")</f>
        <v/>
      </c>
      <c r="K45" s="31" t="s">
        <v>513</v>
      </c>
      <c r="L45" s="196"/>
      <c r="M45" s="119"/>
      <c r="N45" s="227"/>
      <c r="O45" s="124"/>
      <c r="P45" s="161"/>
      <c r="Q45" s="161"/>
      <c r="R45" s="74">
        <f t="shared" si="2"/>
        <v>0</v>
      </c>
      <c r="S45" s="6">
        <f>IF(S1AMHTbl[[#This Row],[UNRESTRICTED FUNDING REQUESTED]]=0,0,S1AMHTbl[[#This Row],[UNRESTRICTED FUNDING REQUESTED]]/S1_AMH_UnrestrictedTotalRequested)</f>
        <v>0</v>
      </c>
      <c r="T45" s="7">
        <f>IF(S1AMHTbl[[#This Row],[ALL UNITS IN A HIGH OR HIGHEST RESOURCE AREA]]="Yes",10*S1AMHTbl[[#This Row],[UNRESTRICTED % OF FUNDING]],0)</f>
        <v>0</v>
      </c>
      <c r="U45" s="7" cm="1">
        <f t="array" ref="U45">INDEX(CountyScoresTbl[Community Need Total Points],ROW(S1AMHTbl[[#This Row],[COUNTY]])-2,1)*S1AMHTbl[[#This Row],[UNRESTRICTED % OF FUNDING]]</f>
        <v>0</v>
      </c>
      <c r="V45" s="7">
        <f>IF(S1AMHTbl[[#This Row],[SITE CONTROL]]="Yes",20,10)*S1AMHTbl[[#This Row],[UNRESTRICTED % OF FUNDING]]</f>
        <v>0</v>
      </c>
      <c r="W45" s="26" cm="1">
        <f t="array" ref="W45">INDEX(CountyScoresTbl[Farmworker Need Points Awarded],ROW(S1AMHTbl[[#This Row],[COUNTY]])-2,1)*S1AMHTbl[[#This Row],[UNRESTRICTED % OF FUNDING]]</f>
        <v>0</v>
      </c>
      <c r="X45" s="124"/>
      <c r="Y45" s="161"/>
      <c r="Z45" s="161"/>
      <c r="AA45" s="74">
        <f t="shared" si="3"/>
        <v>0</v>
      </c>
      <c r="AB45" s="6">
        <f>IF(S1AMHTbl[[#This Row],[RURAL FUNDING REQUESTED]]=0,0,S1AMHTbl[[#This Row],[RURAL FUNDING REQUESTED]]/S1_AMH_RuralTotalRequested)</f>
        <v>0</v>
      </c>
      <c r="AC45" s="7">
        <f>IF(S1AMHTbl[[#This Row],[ALL UNITS IN A HIGH OR HIGHEST RESOURCE AREA]]="Yes",10*S1AMHTbl[[#This Row],[RURAL % OF FUNDING]],0)</f>
        <v>0</v>
      </c>
      <c r="AD45" s="7" cm="1">
        <f t="array" ref="AD45">INDEX(CountyScoresTbl[Community Need Total Points],ROW(S1AMHTbl[[#This Row],[COUNTY]])-2,1)*S1AMHTbl[[#This Row],[RURAL % OF FUNDING]]</f>
        <v>0</v>
      </c>
      <c r="AE45" s="7">
        <f>IF(S1AMHTbl[[#This Row],[SITE CONTROL]]="Yes",20,10)*S1AMHTbl[[#This Row],[RURAL % OF FUNDING]]</f>
        <v>0</v>
      </c>
      <c r="AF45" s="26" cm="1">
        <f t="array" ref="AF45">INDEX(CountyScoresTbl[Farmworker Need Points Awarded],ROW(S1AMHTbl[[#This Row],[COUNTY]])-2,1)*S1AMHTbl[[#This Row],[RURAL % OF FUNDING]]</f>
        <v>0</v>
      </c>
      <c r="AG45" s="399"/>
      <c r="AH45" s="7">
        <f>IF(S1AMHTbl[[#This Row],[INFILL SITE]]="Yes",5,3)*S1AMHTbl[[#This Row],[UNRESTRICTED % OF FUNDING]]</f>
        <v>0</v>
      </c>
      <c r="AI45" s="26">
        <f>IF(S1AMHTbl[[#This Row],[INFILL SITE]]="Yes",5,3)*S1AMHTbl[[#This Row],[RURAL % OF FUNDING]]</f>
        <v>0</v>
      </c>
    </row>
    <row r="46" spans="1:35" x14ac:dyDescent="0.35">
      <c r="A46" s="124"/>
      <c r="B46" s="5" t="s">
        <v>158</v>
      </c>
      <c r="C46" s="31" t="s">
        <v>513</v>
      </c>
      <c r="D46" s="113" t="str">
        <f>IF(SUM(S1AMHTbl[[#This Row],[UNRESTRICTED UNITS]])=0,"",S1AMHTbl[[#This Row],[UNRESTRICTED UNITS]])</f>
        <v/>
      </c>
      <c r="E46" s="74" t="str">
        <f>IF(S1AMHTbl[[#This Row],[UNRESTRICTED FUNDING REQUESTED]]=0,"",S1AMHTbl[[#This Row],[UNRESTRICTED FUNDING REQUESTED]]*
IF(S1_AMH_UnrestrictedTotalRequested&lt;=5000000,1,
5000000/S1_AMH_UnrestrictedTotalRequested))</f>
        <v/>
      </c>
      <c r="F46" s="6" t="str">
        <f>IFERROR(S1AMHTbl[[#This Row],[TOTAL $ REQUESTED]]/SUM(S1AMHTbl[TOTAL $ REQUESTED]),"")</f>
        <v/>
      </c>
      <c r="G46" s="31" t="s">
        <v>513</v>
      </c>
      <c r="H46" s="113" t="str">
        <f>IF(SUM(S1AMHTbl[[#This Row],[RURAL UNITS]])=0,"",S1AMHTbl[[#This Row],[RURAL UNITS]])</f>
        <v/>
      </c>
      <c r="I46" s="74" t="str">
        <f>IF(S1AMHTbl[[#This Row],[RURAL FUNDING REQUESTED]]=0,"",S1AMHTbl[[#This Row],[RURAL FUNDING REQUESTED]]*
IF(S1_AMH_RuralTotalRequested&lt;=(5000000-E$61),1,
(5000000-E$61)/S1_AMH_RuralTotalRequested))</f>
        <v/>
      </c>
      <c r="J46" s="6" t="str">
        <f>IFERROR(S1AMHTbl[[#This Row],[TOTAL $ REQUESTED2]]/SUM(S1AMHTbl[TOTAL $ REQUESTED2]),"")</f>
        <v/>
      </c>
      <c r="K46" s="31" t="s">
        <v>513</v>
      </c>
      <c r="L46" s="196"/>
      <c r="M46" s="119"/>
      <c r="N46" s="227"/>
      <c r="O46" s="124"/>
      <c r="P46" s="161"/>
      <c r="Q46" s="161"/>
      <c r="R46" s="74">
        <f t="shared" si="2"/>
        <v>0</v>
      </c>
      <c r="S46" s="6">
        <f>IF(S1AMHTbl[[#This Row],[UNRESTRICTED FUNDING REQUESTED]]=0,0,S1AMHTbl[[#This Row],[UNRESTRICTED FUNDING REQUESTED]]/S1_AMH_UnrestrictedTotalRequested)</f>
        <v>0</v>
      </c>
      <c r="T46" s="7">
        <f>IF(S1AMHTbl[[#This Row],[ALL UNITS IN A HIGH OR HIGHEST RESOURCE AREA]]="Yes",10*S1AMHTbl[[#This Row],[UNRESTRICTED % OF FUNDING]],0)</f>
        <v>0</v>
      </c>
      <c r="U46" s="7" cm="1">
        <f t="array" ref="U46">INDEX(CountyScoresTbl[Community Need Total Points],ROW(S1AMHTbl[[#This Row],[COUNTY]])-2,1)*S1AMHTbl[[#This Row],[UNRESTRICTED % OF FUNDING]]</f>
        <v>0</v>
      </c>
      <c r="V46" s="7">
        <f>IF(S1AMHTbl[[#This Row],[SITE CONTROL]]="Yes",20,10)*S1AMHTbl[[#This Row],[UNRESTRICTED % OF FUNDING]]</f>
        <v>0</v>
      </c>
      <c r="W46" s="26" cm="1">
        <f t="array" ref="W46">INDEX(CountyScoresTbl[Farmworker Need Points Awarded],ROW(S1AMHTbl[[#This Row],[COUNTY]])-2,1)*S1AMHTbl[[#This Row],[UNRESTRICTED % OF FUNDING]]</f>
        <v>0</v>
      </c>
      <c r="X46" s="124"/>
      <c r="Y46" s="161"/>
      <c r="Z46" s="161"/>
      <c r="AA46" s="74">
        <f t="shared" si="3"/>
        <v>0</v>
      </c>
      <c r="AB46" s="6">
        <f>IF(S1AMHTbl[[#This Row],[RURAL FUNDING REQUESTED]]=0,0,S1AMHTbl[[#This Row],[RURAL FUNDING REQUESTED]]/S1_AMH_RuralTotalRequested)</f>
        <v>0</v>
      </c>
      <c r="AC46" s="7">
        <f>IF(S1AMHTbl[[#This Row],[ALL UNITS IN A HIGH OR HIGHEST RESOURCE AREA]]="Yes",10*S1AMHTbl[[#This Row],[RURAL % OF FUNDING]],0)</f>
        <v>0</v>
      </c>
      <c r="AD46" s="7" cm="1">
        <f t="array" ref="AD46">INDEX(CountyScoresTbl[Community Need Total Points],ROW(S1AMHTbl[[#This Row],[COUNTY]])-2,1)*S1AMHTbl[[#This Row],[RURAL % OF FUNDING]]</f>
        <v>0</v>
      </c>
      <c r="AE46" s="7">
        <f>IF(S1AMHTbl[[#This Row],[SITE CONTROL]]="Yes",20,10)*S1AMHTbl[[#This Row],[RURAL % OF FUNDING]]</f>
        <v>0</v>
      </c>
      <c r="AF46" s="26" cm="1">
        <f t="array" ref="AF46">INDEX(CountyScoresTbl[Farmworker Need Points Awarded],ROW(S1AMHTbl[[#This Row],[COUNTY]])-2,1)*S1AMHTbl[[#This Row],[RURAL % OF FUNDING]]</f>
        <v>0</v>
      </c>
      <c r="AG46" s="399"/>
      <c r="AH46" s="7">
        <f>IF(S1AMHTbl[[#This Row],[INFILL SITE]]="Yes",5,3)*S1AMHTbl[[#This Row],[UNRESTRICTED % OF FUNDING]]</f>
        <v>0</v>
      </c>
      <c r="AI46" s="26">
        <f>IF(S1AMHTbl[[#This Row],[INFILL SITE]]="Yes",5,3)*S1AMHTbl[[#This Row],[RURAL % OF FUNDING]]</f>
        <v>0</v>
      </c>
    </row>
    <row r="47" spans="1:35" x14ac:dyDescent="0.35">
      <c r="A47" s="124"/>
      <c r="B47" s="5" t="s">
        <v>159</v>
      </c>
      <c r="C47" s="31" t="s">
        <v>513</v>
      </c>
      <c r="D47" s="113" t="str">
        <f>IF(SUM(S1AMHTbl[[#This Row],[UNRESTRICTED UNITS]])=0,"",S1AMHTbl[[#This Row],[UNRESTRICTED UNITS]])</f>
        <v/>
      </c>
      <c r="E47" s="74" t="str">
        <f>IF(S1AMHTbl[[#This Row],[UNRESTRICTED FUNDING REQUESTED]]=0,"",S1AMHTbl[[#This Row],[UNRESTRICTED FUNDING REQUESTED]]*
IF(S1_AMH_UnrestrictedTotalRequested&lt;=5000000,1,
5000000/S1_AMH_UnrestrictedTotalRequested))</f>
        <v/>
      </c>
      <c r="F47" s="6" t="str">
        <f>IFERROR(S1AMHTbl[[#This Row],[TOTAL $ REQUESTED]]/SUM(S1AMHTbl[TOTAL $ REQUESTED]),"")</f>
        <v/>
      </c>
      <c r="G47" s="31" t="s">
        <v>513</v>
      </c>
      <c r="H47" s="113" t="str">
        <f>IF(SUM(S1AMHTbl[[#This Row],[RURAL UNITS]])=0,"",S1AMHTbl[[#This Row],[RURAL UNITS]])</f>
        <v/>
      </c>
      <c r="I47" s="74" t="str">
        <f>IF(S1AMHTbl[[#This Row],[RURAL FUNDING REQUESTED]]=0,"",S1AMHTbl[[#This Row],[RURAL FUNDING REQUESTED]]*
IF(S1_AMH_RuralTotalRequested&lt;=(5000000-E$61),1,
(5000000-E$61)/S1_AMH_RuralTotalRequested))</f>
        <v/>
      </c>
      <c r="J47" s="6" t="str">
        <f>IFERROR(S1AMHTbl[[#This Row],[TOTAL $ REQUESTED2]]/SUM(S1AMHTbl[TOTAL $ REQUESTED2]),"")</f>
        <v/>
      </c>
      <c r="K47" s="31" t="s">
        <v>513</v>
      </c>
      <c r="L47" s="196"/>
      <c r="M47" s="119"/>
      <c r="N47" s="227"/>
      <c r="O47" s="124"/>
      <c r="P47" s="161"/>
      <c r="Q47" s="161"/>
      <c r="R47" s="74">
        <f t="shared" si="2"/>
        <v>0</v>
      </c>
      <c r="S47" s="6">
        <f>IF(S1AMHTbl[[#This Row],[UNRESTRICTED FUNDING REQUESTED]]=0,0,S1AMHTbl[[#This Row],[UNRESTRICTED FUNDING REQUESTED]]/S1_AMH_UnrestrictedTotalRequested)</f>
        <v>0</v>
      </c>
      <c r="T47" s="7">
        <f>IF(S1AMHTbl[[#This Row],[ALL UNITS IN A HIGH OR HIGHEST RESOURCE AREA]]="Yes",10*S1AMHTbl[[#This Row],[UNRESTRICTED % OF FUNDING]],0)</f>
        <v>0</v>
      </c>
      <c r="U47" s="7" cm="1">
        <f t="array" ref="U47">INDEX(CountyScoresTbl[Community Need Total Points],ROW(S1AMHTbl[[#This Row],[COUNTY]])-2,1)*S1AMHTbl[[#This Row],[UNRESTRICTED % OF FUNDING]]</f>
        <v>0</v>
      </c>
      <c r="V47" s="7">
        <f>IF(S1AMHTbl[[#This Row],[SITE CONTROL]]="Yes",20,10)*S1AMHTbl[[#This Row],[UNRESTRICTED % OF FUNDING]]</f>
        <v>0</v>
      </c>
      <c r="W47" s="26" cm="1">
        <f t="array" ref="W47">INDEX(CountyScoresTbl[Farmworker Need Points Awarded],ROW(S1AMHTbl[[#This Row],[COUNTY]])-2,1)*S1AMHTbl[[#This Row],[UNRESTRICTED % OF FUNDING]]</f>
        <v>0</v>
      </c>
      <c r="X47" s="124"/>
      <c r="Y47" s="161"/>
      <c r="Z47" s="161"/>
      <c r="AA47" s="74">
        <f t="shared" si="3"/>
        <v>0</v>
      </c>
      <c r="AB47" s="6">
        <f>IF(S1AMHTbl[[#This Row],[RURAL FUNDING REQUESTED]]=0,0,S1AMHTbl[[#This Row],[RURAL FUNDING REQUESTED]]/S1_AMH_RuralTotalRequested)</f>
        <v>0</v>
      </c>
      <c r="AC47" s="7">
        <f>IF(S1AMHTbl[[#This Row],[ALL UNITS IN A HIGH OR HIGHEST RESOURCE AREA]]="Yes",10*S1AMHTbl[[#This Row],[RURAL % OF FUNDING]],0)</f>
        <v>0</v>
      </c>
      <c r="AD47" s="7" cm="1">
        <f t="array" ref="AD47">INDEX(CountyScoresTbl[Community Need Total Points],ROW(S1AMHTbl[[#This Row],[COUNTY]])-2,1)*S1AMHTbl[[#This Row],[RURAL % OF FUNDING]]</f>
        <v>0</v>
      </c>
      <c r="AE47" s="7">
        <f>IF(S1AMHTbl[[#This Row],[SITE CONTROL]]="Yes",20,10)*S1AMHTbl[[#This Row],[RURAL % OF FUNDING]]</f>
        <v>0</v>
      </c>
      <c r="AF47" s="26" cm="1">
        <f t="array" ref="AF47">INDEX(CountyScoresTbl[Farmworker Need Points Awarded],ROW(S1AMHTbl[[#This Row],[COUNTY]])-2,1)*S1AMHTbl[[#This Row],[RURAL % OF FUNDING]]</f>
        <v>0</v>
      </c>
      <c r="AG47" s="399"/>
      <c r="AH47" s="7">
        <f>IF(S1AMHTbl[[#This Row],[INFILL SITE]]="Yes",5,3)*S1AMHTbl[[#This Row],[UNRESTRICTED % OF FUNDING]]</f>
        <v>0</v>
      </c>
      <c r="AI47" s="26">
        <f>IF(S1AMHTbl[[#This Row],[INFILL SITE]]="Yes",5,3)*S1AMHTbl[[#This Row],[RURAL % OF FUNDING]]</f>
        <v>0</v>
      </c>
    </row>
    <row r="48" spans="1:35" x14ac:dyDescent="0.35">
      <c r="A48" s="124"/>
      <c r="B48" s="5" t="s">
        <v>160</v>
      </c>
      <c r="C48" s="31" t="s">
        <v>513</v>
      </c>
      <c r="D48" s="113" t="str">
        <f>IF(SUM(S1AMHTbl[[#This Row],[UNRESTRICTED UNITS]])=0,"",S1AMHTbl[[#This Row],[UNRESTRICTED UNITS]])</f>
        <v/>
      </c>
      <c r="E48" s="74" t="str">
        <f>IF(S1AMHTbl[[#This Row],[UNRESTRICTED FUNDING REQUESTED]]=0,"",S1AMHTbl[[#This Row],[UNRESTRICTED FUNDING REQUESTED]]*
IF(S1_AMH_UnrestrictedTotalRequested&lt;=5000000,1,
5000000/S1_AMH_UnrestrictedTotalRequested))</f>
        <v/>
      </c>
      <c r="F48" s="6" t="str">
        <f>IFERROR(S1AMHTbl[[#This Row],[TOTAL $ REQUESTED]]/SUM(S1AMHTbl[TOTAL $ REQUESTED]),"")</f>
        <v/>
      </c>
      <c r="G48" s="31" t="s">
        <v>513</v>
      </c>
      <c r="H48" s="113" t="str">
        <f>IF(SUM(S1AMHTbl[[#This Row],[RURAL UNITS]])=0,"",S1AMHTbl[[#This Row],[RURAL UNITS]])</f>
        <v/>
      </c>
      <c r="I48" s="74" t="str">
        <f>IF(S1AMHTbl[[#This Row],[RURAL FUNDING REQUESTED]]=0,"",S1AMHTbl[[#This Row],[RURAL FUNDING REQUESTED]]*
IF(S1_AMH_RuralTotalRequested&lt;=(5000000-E$61),1,
(5000000-E$61)/S1_AMH_RuralTotalRequested))</f>
        <v/>
      </c>
      <c r="J48" s="6" t="str">
        <f>IFERROR(S1AMHTbl[[#This Row],[TOTAL $ REQUESTED2]]/SUM(S1AMHTbl[TOTAL $ REQUESTED2]),"")</f>
        <v/>
      </c>
      <c r="K48" s="31" t="s">
        <v>513</v>
      </c>
      <c r="L48" s="196"/>
      <c r="M48" s="119"/>
      <c r="N48" s="227"/>
      <c r="O48" s="124"/>
      <c r="P48" s="161"/>
      <c r="Q48" s="161"/>
      <c r="R48" s="74">
        <f t="shared" si="2"/>
        <v>0</v>
      </c>
      <c r="S48" s="6">
        <f>IF(S1AMHTbl[[#This Row],[UNRESTRICTED FUNDING REQUESTED]]=0,0,S1AMHTbl[[#This Row],[UNRESTRICTED FUNDING REQUESTED]]/S1_AMH_UnrestrictedTotalRequested)</f>
        <v>0</v>
      </c>
      <c r="T48" s="7">
        <f>IF(S1AMHTbl[[#This Row],[ALL UNITS IN A HIGH OR HIGHEST RESOURCE AREA]]="Yes",10*S1AMHTbl[[#This Row],[UNRESTRICTED % OF FUNDING]],0)</f>
        <v>0</v>
      </c>
      <c r="U48" s="7" cm="1">
        <f t="array" ref="U48">INDEX(CountyScoresTbl[Community Need Total Points],ROW(S1AMHTbl[[#This Row],[COUNTY]])-2,1)*S1AMHTbl[[#This Row],[UNRESTRICTED % OF FUNDING]]</f>
        <v>0</v>
      </c>
      <c r="V48" s="7">
        <f>IF(S1AMHTbl[[#This Row],[SITE CONTROL]]="Yes",20,10)*S1AMHTbl[[#This Row],[UNRESTRICTED % OF FUNDING]]</f>
        <v>0</v>
      </c>
      <c r="W48" s="26" cm="1">
        <f t="array" ref="W48">INDEX(CountyScoresTbl[Farmworker Need Points Awarded],ROW(S1AMHTbl[[#This Row],[COUNTY]])-2,1)*S1AMHTbl[[#This Row],[UNRESTRICTED % OF FUNDING]]</f>
        <v>0</v>
      </c>
      <c r="X48" s="124"/>
      <c r="Y48" s="161"/>
      <c r="Z48" s="161"/>
      <c r="AA48" s="74">
        <f t="shared" si="3"/>
        <v>0</v>
      </c>
      <c r="AB48" s="6">
        <f>IF(S1AMHTbl[[#This Row],[RURAL FUNDING REQUESTED]]=0,0,S1AMHTbl[[#This Row],[RURAL FUNDING REQUESTED]]/S1_AMH_RuralTotalRequested)</f>
        <v>0</v>
      </c>
      <c r="AC48" s="7">
        <f>IF(S1AMHTbl[[#This Row],[ALL UNITS IN A HIGH OR HIGHEST RESOURCE AREA]]="Yes",10*S1AMHTbl[[#This Row],[RURAL % OF FUNDING]],0)</f>
        <v>0</v>
      </c>
      <c r="AD48" s="7" cm="1">
        <f t="array" ref="AD48">INDEX(CountyScoresTbl[Community Need Total Points],ROW(S1AMHTbl[[#This Row],[COUNTY]])-2,1)*S1AMHTbl[[#This Row],[RURAL % OF FUNDING]]</f>
        <v>0</v>
      </c>
      <c r="AE48" s="7">
        <f>IF(S1AMHTbl[[#This Row],[SITE CONTROL]]="Yes",20,10)*S1AMHTbl[[#This Row],[RURAL % OF FUNDING]]</f>
        <v>0</v>
      </c>
      <c r="AF48" s="26" cm="1">
        <f t="array" ref="AF48">INDEX(CountyScoresTbl[Farmworker Need Points Awarded],ROW(S1AMHTbl[[#This Row],[COUNTY]])-2,1)*S1AMHTbl[[#This Row],[RURAL % OF FUNDING]]</f>
        <v>0</v>
      </c>
      <c r="AG48" s="399"/>
      <c r="AH48" s="7">
        <f>IF(S1AMHTbl[[#This Row],[INFILL SITE]]="Yes",5,3)*S1AMHTbl[[#This Row],[UNRESTRICTED % OF FUNDING]]</f>
        <v>0</v>
      </c>
      <c r="AI48" s="26">
        <f>IF(S1AMHTbl[[#This Row],[INFILL SITE]]="Yes",5,3)*S1AMHTbl[[#This Row],[RURAL % OF FUNDING]]</f>
        <v>0</v>
      </c>
    </row>
    <row r="49" spans="1:35" x14ac:dyDescent="0.35">
      <c r="A49" s="124"/>
      <c r="B49" s="5" t="s">
        <v>161</v>
      </c>
      <c r="C49" s="31" t="s">
        <v>513</v>
      </c>
      <c r="D49" s="113" t="str">
        <f>IF(SUM(S1AMHTbl[[#This Row],[UNRESTRICTED UNITS]])=0,"",S1AMHTbl[[#This Row],[UNRESTRICTED UNITS]])</f>
        <v/>
      </c>
      <c r="E49" s="74" t="str">
        <f>IF(S1AMHTbl[[#This Row],[UNRESTRICTED FUNDING REQUESTED]]=0,"",S1AMHTbl[[#This Row],[UNRESTRICTED FUNDING REQUESTED]]*
IF(S1_AMH_UnrestrictedTotalRequested&lt;=5000000,1,
5000000/S1_AMH_UnrestrictedTotalRequested))</f>
        <v/>
      </c>
      <c r="F49" s="6" t="str">
        <f>IFERROR(S1AMHTbl[[#This Row],[TOTAL $ REQUESTED]]/SUM(S1AMHTbl[TOTAL $ REQUESTED]),"")</f>
        <v/>
      </c>
      <c r="G49" s="31" t="s">
        <v>513</v>
      </c>
      <c r="H49" s="113" t="str">
        <f>IF(SUM(S1AMHTbl[[#This Row],[RURAL UNITS]])=0,"",S1AMHTbl[[#This Row],[RURAL UNITS]])</f>
        <v/>
      </c>
      <c r="I49" s="74" t="str">
        <f>IF(S1AMHTbl[[#This Row],[RURAL FUNDING REQUESTED]]=0,"",S1AMHTbl[[#This Row],[RURAL FUNDING REQUESTED]]*
IF(S1_AMH_RuralTotalRequested&lt;=(5000000-E$61),1,
(5000000-E$61)/S1_AMH_RuralTotalRequested))</f>
        <v/>
      </c>
      <c r="J49" s="6" t="str">
        <f>IFERROR(S1AMHTbl[[#This Row],[TOTAL $ REQUESTED2]]/SUM(S1AMHTbl[TOTAL $ REQUESTED2]),"")</f>
        <v/>
      </c>
      <c r="K49" s="31" t="s">
        <v>513</v>
      </c>
      <c r="L49" s="196"/>
      <c r="M49" s="119"/>
      <c r="N49" s="227"/>
      <c r="O49" s="124"/>
      <c r="P49" s="161"/>
      <c r="Q49" s="161"/>
      <c r="R49" s="74">
        <f t="shared" si="2"/>
        <v>0</v>
      </c>
      <c r="S49" s="6">
        <f>IF(S1AMHTbl[[#This Row],[UNRESTRICTED FUNDING REQUESTED]]=0,0,S1AMHTbl[[#This Row],[UNRESTRICTED FUNDING REQUESTED]]/S1_AMH_UnrestrictedTotalRequested)</f>
        <v>0</v>
      </c>
      <c r="T49" s="7">
        <f>IF(S1AMHTbl[[#This Row],[ALL UNITS IN A HIGH OR HIGHEST RESOURCE AREA]]="Yes",10*S1AMHTbl[[#This Row],[UNRESTRICTED % OF FUNDING]],0)</f>
        <v>0</v>
      </c>
      <c r="U49" s="7" cm="1">
        <f t="array" ref="U49">INDEX(CountyScoresTbl[Community Need Total Points],ROW(S1AMHTbl[[#This Row],[COUNTY]])-2,1)*S1AMHTbl[[#This Row],[UNRESTRICTED % OF FUNDING]]</f>
        <v>0</v>
      </c>
      <c r="V49" s="7">
        <f>IF(S1AMHTbl[[#This Row],[SITE CONTROL]]="Yes",20,10)*S1AMHTbl[[#This Row],[UNRESTRICTED % OF FUNDING]]</f>
        <v>0</v>
      </c>
      <c r="W49" s="26" cm="1">
        <f t="array" ref="W49">INDEX(CountyScoresTbl[Farmworker Need Points Awarded],ROW(S1AMHTbl[[#This Row],[COUNTY]])-2,1)*S1AMHTbl[[#This Row],[UNRESTRICTED % OF FUNDING]]</f>
        <v>0</v>
      </c>
      <c r="X49" s="124"/>
      <c r="Y49" s="161"/>
      <c r="Z49" s="161"/>
      <c r="AA49" s="74">
        <f t="shared" si="3"/>
        <v>0</v>
      </c>
      <c r="AB49" s="6">
        <f>IF(S1AMHTbl[[#This Row],[RURAL FUNDING REQUESTED]]=0,0,S1AMHTbl[[#This Row],[RURAL FUNDING REQUESTED]]/S1_AMH_RuralTotalRequested)</f>
        <v>0</v>
      </c>
      <c r="AC49" s="7">
        <f>IF(S1AMHTbl[[#This Row],[ALL UNITS IN A HIGH OR HIGHEST RESOURCE AREA]]="Yes",10*S1AMHTbl[[#This Row],[RURAL % OF FUNDING]],0)</f>
        <v>0</v>
      </c>
      <c r="AD49" s="7" cm="1">
        <f t="array" ref="AD49">INDEX(CountyScoresTbl[Community Need Total Points],ROW(S1AMHTbl[[#This Row],[COUNTY]])-2,1)*S1AMHTbl[[#This Row],[RURAL % OF FUNDING]]</f>
        <v>0</v>
      </c>
      <c r="AE49" s="7">
        <f>IF(S1AMHTbl[[#This Row],[SITE CONTROL]]="Yes",20,10)*S1AMHTbl[[#This Row],[RURAL % OF FUNDING]]</f>
        <v>0</v>
      </c>
      <c r="AF49" s="26" cm="1">
        <f t="array" ref="AF49">INDEX(CountyScoresTbl[Farmworker Need Points Awarded],ROW(S1AMHTbl[[#This Row],[COUNTY]])-2,1)*S1AMHTbl[[#This Row],[RURAL % OF FUNDING]]</f>
        <v>0</v>
      </c>
      <c r="AG49" s="399"/>
      <c r="AH49" s="7">
        <f>IF(S1AMHTbl[[#This Row],[INFILL SITE]]="Yes",5,3)*S1AMHTbl[[#This Row],[UNRESTRICTED % OF FUNDING]]</f>
        <v>0</v>
      </c>
      <c r="AI49" s="26">
        <f>IF(S1AMHTbl[[#This Row],[INFILL SITE]]="Yes",5,3)*S1AMHTbl[[#This Row],[RURAL % OF FUNDING]]</f>
        <v>0</v>
      </c>
    </row>
    <row r="50" spans="1:35" x14ac:dyDescent="0.35">
      <c r="A50" s="124"/>
      <c r="B50" s="5" t="s">
        <v>162</v>
      </c>
      <c r="C50" s="31" t="s">
        <v>513</v>
      </c>
      <c r="D50" s="113" t="str">
        <f>IF(SUM(S1AMHTbl[[#This Row],[UNRESTRICTED UNITS]])=0,"",S1AMHTbl[[#This Row],[UNRESTRICTED UNITS]])</f>
        <v/>
      </c>
      <c r="E50" s="74" t="str">
        <f>IF(S1AMHTbl[[#This Row],[UNRESTRICTED FUNDING REQUESTED]]=0,"",S1AMHTbl[[#This Row],[UNRESTRICTED FUNDING REQUESTED]]*
IF(S1_AMH_UnrestrictedTotalRequested&lt;=5000000,1,
5000000/S1_AMH_UnrestrictedTotalRequested))</f>
        <v/>
      </c>
      <c r="F50" s="6" t="str">
        <f>IFERROR(S1AMHTbl[[#This Row],[TOTAL $ REQUESTED]]/SUM(S1AMHTbl[TOTAL $ REQUESTED]),"")</f>
        <v/>
      </c>
      <c r="G50" s="31" t="s">
        <v>513</v>
      </c>
      <c r="H50" s="113" t="str">
        <f>IF(SUM(S1AMHTbl[[#This Row],[RURAL UNITS]])=0,"",S1AMHTbl[[#This Row],[RURAL UNITS]])</f>
        <v/>
      </c>
      <c r="I50" s="74" t="str">
        <f>IF(S1AMHTbl[[#This Row],[RURAL FUNDING REQUESTED]]=0,"",S1AMHTbl[[#This Row],[RURAL FUNDING REQUESTED]]*
IF(S1_AMH_RuralTotalRequested&lt;=(5000000-E$61),1,
(5000000-E$61)/S1_AMH_RuralTotalRequested))</f>
        <v/>
      </c>
      <c r="J50" s="6" t="str">
        <f>IFERROR(S1AMHTbl[[#This Row],[TOTAL $ REQUESTED2]]/SUM(S1AMHTbl[TOTAL $ REQUESTED2]),"")</f>
        <v/>
      </c>
      <c r="K50" s="31" t="s">
        <v>513</v>
      </c>
      <c r="L50" s="196"/>
      <c r="M50" s="119"/>
      <c r="N50" s="227"/>
      <c r="O50" s="124"/>
      <c r="P50" s="161"/>
      <c r="Q50" s="161"/>
      <c r="R50" s="74">
        <f t="shared" si="2"/>
        <v>0</v>
      </c>
      <c r="S50" s="6">
        <f>IF(S1AMHTbl[[#This Row],[UNRESTRICTED FUNDING REQUESTED]]=0,0,S1AMHTbl[[#This Row],[UNRESTRICTED FUNDING REQUESTED]]/S1_AMH_UnrestrictedTotalRequested)</f>
        <v>0</v>
      </c>
      <c r="T50" s="7">
        <f>IF(S1AMHTbl[[#This Row],[ALL UNITS IN A HIGH OR HIGHEST RESOURCE AREA]]="Yes",10*S1AMHTbl[[#This Row],[UNRESTRICTED % OF FUNDING]],0)</f>
        <v>0</v>
      </c>
      <c r="U50" s="7" cm="1">
        <f t="array" ref="U50">INDEX(CountyScoresTbl[Community Need Total Points],ROW(S1AMHTbl[[#This Row],[COUNTY]])-2,1)*S1AMHTbl[[#This Row],[UNRESTRICTED % OF FUNDING]]</f>
        <v>0</v>
      </c>
      <c r="V50" s="7">
        <f>IF(S1AMHTbl[[#This Row],[SITE CONTROL]]="Yes",20,10)*S1AMHTbl[[#This Row],[UNRESTRICTED % OF FUNDING]]</f>
        <v>0</v>
      </c>
      <c r="W50" s="26" cm="1">
        <f t="array" ref="W50">INDEX(CountyScoresTbl[Farmworker Need Points Awarded],ROW(S1AMHTbl[[#This Row],[COUNTY]])-2,1)*S1AMHTbl[[#This Row],[UNRESTRICTED % OF FUNDING]]</f>
        <v>0</v>
      </c>
      <c r="X50" s="124"/>
      <c r="Y50" s="161"/>
      <c r="Z50" s="161"/>
      <c r="AA50" s="74">
        <f t="shared" si="3"/>
        <v>0</v>
      </c>
      <c r="AB50" s="6">
        <f>IF(S1AMHTbl[[#This Row],[RURAL FUNDING REQUESTED]]=0,0,S1AMHTbl[[#This Row],[RURAL FUNDING REQUESTED]]/S1_AMH_RuralTotalRequested)</f>
        <v>0</v>
      </c>
      <c r="AC50" s="7">
        <f>IF(S1AMHTbl[[#This Row],[ALL UNITS IN A HIGH OR HIGHEST RESOURCE AREA]]="Yes",10*S1AMHTbl[[#This Row],[RURAL % OF FUNDING]],0)</f>
        <v>0</v>
      </c>
      <c r="AD50" s="7" cm="1">
        <f t="array" ref="AD50">INDEX(CountyScoresTbl[Community Need Total Points],ROW(S1AMHTbl[[#This Row],[COUNTY]])-2,1)*S1AMHTbl[[#This Row],[RURAL % OF FUNDING]]</f>
        <v>0</v>
      </c>
      <c r="AE50" s="7">
        <f>IF(S1AMHTbl[[#This Row],[SITE CONTROL]]="Yes",20,10)*S1AMHTbl[[#This Row],[RURAL % OF FUNDING]]</f>
        <v>0</v>
      </c>
      <c r="AF50" s="26" cm="1">
        <f t="array" ref="AF50">INDEX(CountyScoresTbl[Farmworker Need Points Awarded],ROW(S1AMHTbl[[#This Row],[COUNTY]])-2,1)*S1AMHTbl[[#This Row],[RURAL % OF FUNDING]]</f>
        <v>0</v>
      </c>
      <c r="AG50" s="399"/>
      <c r="AH50" s="7">
        <f>IF(S1AMHTbl[[#This Row],[INFILL SITE]]="Yes",5,3)*S1AMHTbl[[#This Row],[UNRESTRICTED % OF FUNDING]]</f>
        <v>0</v>
      </c>
      <c r="AI50" s="26">
        <f>IF(S1AMHTbl[[#This Row],[INFILL SITE]]="Yes",5,3)*S1AMHTbl[[#This Row],[RURAL % OF FUNDING]]</f>
        <v>0</v>
      </c>
    </row>
    <row r="51" spans="1:35" x14ac:dyDescent="0.35">
      <c r="A51" s="124"/>
      <c r="B51" s="5" t="s">
        <v>163</v>
      </c>
      <c r="C51" s="31" t="s">
        <v>513</v>
      </c>
      <c r="D51" s="113" t="str">
        <f>IF(SUM(S1AMHTbl[[#This Row],[UNRESTRICTED UNITS]])=0,"",S1AMHTbl[[#This Row],[UNRESTRICTED UNITS]])</f>
        <v/>
      </c>
      <c r="E51" s="74" t="str">
        <f>IF(S1AMHTbl[[#This Row],[UNRESTRICTED FUNDING REQUESTED]]=0,"",S1AMHTbl[[#This Row],[UNRESTRICTED FUNDING REQUESTED]]*
IF(S1_AMH_UnrestrictedTotalRequested&lt;=5000000,1,
5000000/S1_AMH_UnrestrictedTotalRequested))</f>
        <v/>
      </c>
      <c r="F51" s="6" t="str">
        <f>IFERROR(S1AMHTbl[[#This Row],[TOTAL $ REQUESTED]]/SUM(S1AMHTbl[TOTAL $ REQUESTED]),"")</f>
        <v/>
      </c>
      <c r="G51" s="31" t="s">
        <v>513</v>
      </c>
      <c r="H51" s="113" t="str">
        <f>IF(SUM(S1AMHTbl[[#This Row],[RURAL UNITS]])=0,"",S1AMHTbl[[#This Row],[RURAL UNITS]])</f>
        <v/>
      </c>
      <c r="I51" s="74" t="str">
        <f>IF(S1AMHTbl[[#This Row],[RURAL FUNDING REQUESTED]]=0,"",S1AMHTbl[[#This Row],[RURAL FUNDING REQUESTED]]*
IF(S1_AMH_RuralTotalRequested&lt;=(5000000-E$61),1,
(5000000-E$61)/S1_AMH_RuralTotalRequested))</f>
        <v/>
      </c>
      <c r="J51" s="6" t="str">
        <f>IFERROR(S1AMHTbl[[#This Row],[TOTAL $ REQUESTED2]]/SUM(S1AMHTbl[TOTAL $ REQUESTED2]),"")</f>
        <v/>
      </c>
      <c r="K51" s="31" t="s">
        <v>513</v>
      </c>
      <c r="L51" s="196"/>
      <c r="M51" s="119"/>
      <c r="N51" s="227"/>
      <c r="O51" s="124"/>
      <c r="P51" s="161"/>
      <c r="Q51" s="161"/>
      <c r="R51" s="74">
        <f t="shared" si="2"/>
        <v>0</v>
      </c>
      <c r="S51" s="6">
        <f>IF(S1AMHTbl[[#This Row],[UNRESTRICTED FUNDING REQUESTED]]=0,0,S1AMHTbl[[#This Row],[UNRESTRICTED FUNDING REQUESTED]]/S1_AMH_UnrestrictedTotalRequested)</f>
        <v>0</v>
      </c>
      <c r="T51" s="7">
        <f>IF(S1AMHTbl[[#This Row],[ALL UNITS IN A HIGH OR HIGHEST RESOURCE AREA]]="Yes",10*S1AMHTbl[[#This Row],[UNRESTRICTED % OF FUNDING]],0)</f>
        <v>0</v>
      </c>
      <c r="U51" s="7" cm="1">
        <f t="array" ref="U51">INDEX(CountyScoresTbl[Community Need Total Points],ROW(S1AMHTbl[[#This Row],[COUNTY]])-2,1)*S1AMHTbl[[#This Row],[UNRESTRICTED % OF FUNDING]]</f>
        <v>0</v>
      </c>
      <c r="V51" s="7">
        <f>IF(S1AMHTbl[[#This Row],[SITE CONTROL]]="Yes",20,10)*S1AMHTbl[[#This Row],[UNRESTRICTED % OF FUNDING]]</f>
        <v>0</v>
      </c>
      <c r="W51" s="26" cm="1">
        <f t="array" ref="W51">INDEX(CountyScoresTbl[Farmworker Need Points Awarded],ROW(S1AMHTbl[[#This Row],[COUNTY]])-2,1)*S1AMHTbl[[#This Row],[UNRESTRICTED % OF FUNDING]]</f>
        <v>0</v>
      </c>
      <c r="X51" s="124"/>
      <c r="Y51" s="161"/>
      <c r="Z51" s="161"/>
      <c r="AA51" s="74">
        <f t="shared" si="3"/>
        <v>0</v>
      </c>
      <c r="AB51" s="6">
        <f>IF(S1AMHTbl[[#This Row],[RURAL FUNDING REQUESTED]]=0,0,S1AMHTbl[[#This Row],[RURAL FUNDING REQUESTED]]/S1_AMH_RuralTotalRequested)</f>
        <v>0</v>
      </c>
      <c r="AC51" s="7">
        <f>IF(S1AMHTbl[[#This Row],[ALL UNITS IN A HIGH OR HIGHEST RESOURCE AREA]]="Yes",10*S1AMHTbl[[#This Row],[RURAL % OF FUNDING]],0)</f>
        <v>0</v>
      </c>
      <c r="AD51" s="7" cm="1">
        <f t="array" ref="AD51">INDEX(CountyScoresTbl[Community Need Total Points],ROW(S1AMHTbl[[#This Row],[COUNTY]])-2,1)*S1AMHTbl[[#This Row],[RURAL % OF FUNDING]]</f>
        <v>0</v>
      </c>
      <c r="AE51" s="7">
        <f>IF(S1AMHTbl[[#This Row],[SITE CONTROL]]="Yes",20,10)*S1AMHTbl[[#This Row],[RURAL % OF FUNDING]]</f>
        <v>0</v>
      </c>
      <c r="AF51" s="26" cm="1">
        <f t="array" ref="AF51">INDEX(CountyScoresTbl[Farmworker Need Points Awarded],ROW(S1AMHTbl[[#This Row],[COUNTY]])-2,1)*S1AMHTbl[[#This Row],[RURAL % OF FUNDING]]</f>
        <v>0</v>
      </c>
      <c r="AG51" s="399"/>
      <c r="AH51" s="7">
        <f>IF(S1AMHTbl[[#This Row],[INFILL SITE]]="Yes",5,3)*S1AMHTbl[[#This Row],[UNRESTRICTED % OF FUNDING]]</f>
        <v>0</v>
      </c>
      <c r="AI51" s="26">
        <f>IF(S1AMHTbl[[#This Row],[INFILL SITE]]="Yes",5,3)*S1AMHTbl[[#This Row],[RURAL % OF FUNDING]]</f>
        <v>0</v>
      </c>
    </row>
    <row r="52" spans="1:35" x14ac:dyDescent="0.35">
      <c r="A52" s="124"/>
      <c r="B52" s="5" t="s">
        <v>164</v>
      </c>
      <c r="C52" s="31" t="s">
        <v>513</v>
      </c>
      <c r="D52" s="113" t="str">
        <f>IF(SUM(S1AMHTbl[[#This Row],[UNRESTRICTED UNITS]])=0,"",S1AMHTbl[[#This Row],[UNRESTRICTED UNITS]])</f>
        <v/>
      </c>
      <c r="E52" s="74" t="str">
        <f>IF(S1AMHTbl[[#This Row],[UNRESTRICTED FUNDING REQUESTED]]=0,"",S1AMHTbl[[#This Row],[UNRESTRICTED FUNDING REQUESTED]]*
IF(S1_AMH_UnrestrictedTotalRequested&lt;=5000000,1,
5000000/S1_AMH_UnrestrictedTotalRequested))</f>
        <v/>
      </c>
      <c r="F52" s="6" t="str">
        <f>IFERROR(S1AMHTbl[[#This Row],[TOTAL $ REQUESTED]]/SUM(S1AMHTbl[TOTAL $ REQUESTED]),"")</f>
        <v/>
      </c>
      <c r="G52" s="31" t="s">
        <v>513</v>
      </c>
      <c r="H52" s="113" t="str">
        <f>IF(SUM(S1AMHTbl[[#This Row],[RURAL UNITS]])=0,"",S1AMHTbl[[#This Row],[RURAL UNITS]])</f>
        <v/>
      </c>
      <c r="I52" s="74" t="str">
        <f>IF(S1AMHTbl[[#This Row],[RURAL FUNDING REQUESTED]]=0,"",S1AMHTbl[[#This Row],[RURAL FUNDING REQUESTED]]*
IF(S1_AMH_RuralTotalRequested&lt;=(5000000-E$61),1,
(5000000-E$61)/S1_AMH_RuralTotalRequested))</f>
        <v/>
      </c>
      <c r="J52" s="6" t="str">
        <f>IFERROR(S1AMHTbl[[#This Row],[TOTAL $ REQUESTED2]]/SUM(S1AMHTbl[TOTAL $ REQUESTED2]),"")</f>
        <v/>
      </c>
      <c r="K52" s="31" t="s">
        <v>513</v>
      </c>
      <c r="L52" s="196"/>
      <c r="M52" s="119"/>
      <c r="N52" s="227"/>
      <c r="O52" s="124"/>
      <c r="P52" s="161"/>
      <c r="Q52" s="161"/>
      <c r="R52" s="74">
        <f t="shared" si="2"/>
        <v>0</v>
      </c>
      <c r="S52" s="6">
        <f>IF(S1AMHTbl[[#This Row],[UNRESTRICTED FUNDING REQUESTED]]=0,0,S1AMHTbl[[#This Row],[UNRESTRICTED FUNDING REQUESTED]]/S1_AMH_UnrestrictedTotalRequested)</f>
        <v>0</v>
      </c>
      <c r="T52" s="7">
        <f>IF(S1AMHTbl[[#This Row],[ALL UNITS IN A HIGH OR HIGHEST RESOURCE AREA]]="Yes",10*S1AMHTbl[[#This Row],[UNRESTRICTED % OF FUNDING]],0)</f>
        <v>0</v>
      </c>
      <c r="U52" s="7" cm="1">
        <f t="array" ref="U52">INDEX(CountyScoresTbl[Community Need Total Points],ROW(S1AMHTbl[[#This Row],[COUNTY]])-2,1)*S1AMHTbl[[#This Row],[UNRESTRICTED % OF FUNDING]]</f>
        <v>0</v>
      </c>
      <c r="V52" s="7">
        <f>IF(S1AMHTbl[[#This Row],[SITE CONTROL]]="Yes",20,10)*S1AMHTbl[[#This Row],[UNRESTRICTED % OF FUNDING]]</f>
        <v>0</v>
      </c>
      <c r="W52" s="26" cm="1">
        <f t="array" ref="W52">INDEX(CountyScoresTbl[Farmworker Need Points Awarded],ROW(S1AMHTbl[[#This Row],[COUNTY]])-2,1)*S1AMHTbl[[#This Row],[UNRESTRICTED % OF FUNDING]]</f>
        <v>0</v>
      </c>
      <c r="X52" s="124"/>
      <c r="Y52" s="161"/>
      <c r="Z52" s="161"/>
      <c r="AA52" s="74">
        <f t="shared" si="3"/>
        <v>0</v>
      </c>
      <c r="AB52" s="6">
        <f>IF(S1AMHTbl[[#This Row],[RURAL FUNDING REQUESTED]]=0,0,S1AMHTbl[[#This Row],[RURAL FUNDING REQUESTED]]/S1_AMH_RuralTotalRequested)</f>
        <v>0</v>
      </c>
      <c r="AC52" s="7">
        <f>IF(S1AMHTbl[[#This Row],[ALL UNITS IN A HIGH OR HIGHEST RESOURCE AREA]]="Yes",10*S1AMHTbl[[#This Row],[RURAL % OF FUNDING]],0)</f>
        <v>0</v>
      </c>
      <c r="AD52" s="7" cm="1">
        <f t="array" ref="AD52">INDEX(CountyScoresTbl[Community Need Total Points],ROW(S1AMHTbl[[#This Row],[COUNTY]])-2,1)*S1AMHTbl[[#This Row],[RURAL % OF FUNDING]]</f>
        <v>0</v>
      </c>
      <c r="AE52" s="7">
        <f>IF(S1AMHTbl[[#This Row],[SITE CONTROL]]="Yes",20,10)*S1AMHTbl[[#This Row],[RURAL % OF FUNDING]]</f>
        <v>0</v>
      </c>
      <c r="AF52" s="26" cm="1">
        <f t="array" ref="AF52">INDEX(CountyScoresTbl[Farmworker Need Points Awarded],ROW(S1AMHTbl[[#This Row],[COUNTY]])-2,1)*S1AMHTbl[[#This Row],[RURAL % OF FUNDING]]</f>
        <v>0</v>
      </c>
      <c r="AG52" s="399"/>
      <c r="AH52" s="7">
        <f>IF(S1AMHTbl[[#This Row],[INFILL SITE]]="Yes",5,3)*S1AMHTbl[[#This Row],[UNRESTRICTED % OF FUNDING]]</f>
        <v>0</v>
      </c>
      <c r="AI52" s="26">
        <f>IF(S1AMHTbl[[#This Row],[INFILL SITE]]="Yes",5,3)*S1AMHTbl[[#This Row],[RURAL % OF FUNDING]]</f>
        <v>0</v>
      </c>
    </row>
    <row r="53" spans="1:35" x14ac:dyDescent="0.35">
      <c r="A53" s="124"/>
      <c r="B53" s="5" t="s">
        <v>165</v>
      </c>
      <c r="C53" s="31" t="s">
        <v>513</v>
      </c>
      <c r="D53" s="113" t="str">
        <f>IF(SUM(S1AMHTbl[[#This Row],[UNRESTRICTED UNITS]])=0,"",S1AMHTbl[[#This Row],[UNRESTRICTED UNITS]])</f>
        <v/>
      </c>
      <c r="E53" s="74" t="str">
        <f>IF(S1AMHTbl[[#This Row],[UNRESTRICTED FUNDING REQUESTED]]=0,"",S1AMHTbl[[#This Row],[UNRESTRICTED FUNDING REQUESTED]]*
IF(S1_AMH_UnrestrictedTotalRequested&lt;=5000000,1,
5000000/S1_AMH_UnrestrictedTotalRequested))</f>
        <v/>
      </c>
      <c r="F53" s="6" t="str">
        <f>IFERROR(S1AMHTbl[[#This Row],[TOTAL $ REQUESTED]]/SUM(S1AMHTbl[TOTAL $ REQUESTED]),"")</f>
        <v/>
      </c>
      <c r="G53" s="31" t="s">
        <v>513</v>
      </c>
      <c r="H53" s="113" t="str">
        <f>IF(SUM(S1AMHTbl[[#This Row],[RURAL UNITS]])=0,"",S1AMHTbl[[#This Row],[RURAL UNITS]])</f>
        <v/>
      </c>
      <c r="I53" s="74" t="str">
        <f>IF(S1AMHTbl[[#This Row],[RURAL FUNDING REQUESTED]]=0,"",S1AMHTbl[[#This Row],[RURAL FUNDING REQUESTED]]*
IF(S1_AMH_RuralTotalRequested&lt;=(5000000-E$61),1,
(5000000-E$61)/S1_AMH_RuralTotalRequested))</f>
        <v/>
      </c>
      <c r="J53" s="6" t="str">
        <f>IFERROR(S1AMHTbl[[#This Row],[TOTAL $ REQUESTED2]]/SUM(S1AMHTbl[TOTAL $ REQUESTED2]),"")</f>
        <v/>
      </c>
      <c r="K53" s="31" t="s">
        <v>513</v>
      </c>
      <c r="L53" s="196"/>
      <c r="M53" s="119"/>
      <c r="N53" s="227"/>
      <c r="O53" s="124"/>
      <c r="P53" s="161"/>
      <c r="Q53" s="161"/>
      <c r="R53" s="74">
        <f t="shared" si="2"/>
        <v>0</v>
      </c>
      <c r="S53" s="6">
        <f>IF(S1AMHTbl[[#This Row],[UNRESTRICTED FUNDING REQUESTED]]=0,0,S1AMHTbl[[#This Row],[UNRESTRICTED FUNDING REQUESTED]]/S1_AMH_UnrestrictedTotalRequested)</f>
        <v>0</v>
      </c>
      <c r="T53" s="7">
        <f>IF(S1AMHTbl[[#This Row],[ALL UNITS IN A HIGH OR HIGHEST RESOURCE AREA]]="Yes",10*S1AMHTbl[[#This Row],[UNRESTRICTED % OF FUNDING]],0)</f>
        <v>0</v>
      </c>
      <c r="U53" s="7" cm="1">
        <f t="array" ref="U53">INDEX(CountyScoresTbl[Community Need Total Points],ROW(S1AMHTbl[[#This Row],[COUNTY]])-2,1)*S1AMHTbl[[#This Row],[UNRESTRICTED % OF FUNDING]]</f>
        <v>0</v>
      </c>
      <c r="V53" s="7">
        <f>IF(S1AMHTbl[[#This Row],[SITE CONTROL]]="Yes",20,10)*S1AMHTbl[[#This Row],[UNRESTRICTED % OF FUNDING]]</f>
        <v>0</v>
      </c>
      <c r="W53" s="26" cm="1">
        <f t="array" ref="W53">INDEX(CountyScoresTbl[Farmworker Need Points Awarded],ROW(S1AMHTbl[[#This Row],[COUNTY]])-2,1)*S1AMHTbl[[#This Row],[UNRESTRICTED % OF FUNDING]]</f>
        <v>0</v>
      </c>
      <c r="X53" s="124"/>
      <c r="Y53" s="161"/>
      <c r="Z53" s="161"/>
      <c r="AA53" s="74">
        <f t="shared" si="3"/>
        <v>0</v>
      </c>
      <c r="AB53" s="6">
        <f>IF(S1AMHTbl[[#This Row],[RURAL FUNDING REQUESTED]]=0,0,S1AMHTbl[[#This Row],[RURAL FUNDING REQUESTED]]/S1_AMH_RuralTotalRequested)</f>
        <v>0</v>
      </c>
      <c r="AC53" s="7">
        <f>IF(S1AMHTbl[[#This Row],[ALL UNITS IN A HIGH OR HIGHEST RESOURCE AREA]]="Yes",10*S1AMHTbl[[#This Row],[RURAL % OF FUNDING]],0)</f>
        <v>0</v>
      </c>
      <c r="AD53" s="7" cm="1">
        <f t="array" ref="AD53">INDEX(CountyScoresTbl[Community Need Total Points],ROW(S1AMHTbl[[#This Row],[COUNTY]])-2,1)*S1AMHTbl[[#This Row],[RURAL % OF FUNDING]]</f>
        <v>0</v>
      </c>
      <c r="AE53" s="7">
        <f>IF(S1AMHTbl[[#This Row],[SITE CONTROL]]="Yes",20,10)*S1AMHTbl[[#This Row],[RURAL % OF FUNDING]]</f>
        <v>0</v>
      </c>
      <c r="AF53" s="26" cm="1">
        <f t="array" ref="AF53">INDEX(CountyScoresTbl[Farmworker Need Points Awarded],ROW(S1AMHTbl[[#This Row],[COUNTY]])-2,1)*S1AMHTbl[[#This Row],[RURAL % OF FUNDING]]</f>
        <v>0</v>
      </c>
      <c r="AG53" s="399"/>
      <c r="AH53" s="7">
        <f>IF(S1AMHTbl[[#This Row],[INFILL SITE]]="Yes",5,3)*S1AMHTbl[[#This Row],[UNRESTRICTED % OF FUNDING]]</f>
        <v>0</v>
      </c>
      <c r="AI53" s="26">
        <f>IF(S1AMHTbl[[#This Row],[INFILL SITE]]="Yes",5,3)*S1AMHTbl[[#This Row],[RURAL % OF FUNDING]]</f>
        <v>0</v>
      </c>
    </row>
    <row r="54" spans="1:35" x14ac:dyDescent="0.35">
      <c r="A54" s="124"/>
      <c r="B54" s="5" t="s">
        <v>166</v>
      </c>
      <c r="C54" s="31" t="s">
        <v>513</v>
      </c>
      <c r="D54" s="113" t="str">
        <f>IF(SUM(S1AMHTbl[[#This Row],[UNRESTRICTED UNITS]])=0,"",S1AMHTbl[[#This Row],[UNRESTRICTED UNITS]])</f>
        <v/>
      </c>
      <c r="E54" s="74" t="str">
        <f>IF(S1AMHTbl[[#This Row],[UNRESTRICTED FUNDING REQUESTED]]=0,"",S1AMHTbl[[#This Row],[UNRESTRICTED FUNDING REQUESTED]]*
IF(S1_AMH_UnrestrictedTotalRequested&lt;=5000000,1,
5000000/S1_AMH_UnrestrictedTotalRequested))</f>
        <v/>
      </c>
      <c r="F54" s="6" t="str">
        <f>IFERROR(S1AMHTbl[[#This Row],[TOTAL $ REQUESTED]]/SUM(S1AMHTbl[TOTAL $ REQUESTED]),"")</f>
        <v/>
      </c>
      <c r="G54" s="31" t="s">
        <v>513</v>
      </c>
      <c r="H54" s="113" t="str">
        <f>IF(SUM(S1AMHTbl[[#This Row],[RURAL UNITS]])=0,"",S1AMHTbl[[#This Row],[RURAL UNITS]])</f>
        <v/>
      </c>
      <c r="I54" s="74" t="str">
        <f>IF(S1AMHTbl[[#This Row],[RURAL FUNDING REQUESTED]]=0,"",S1AMHTbl[[#This Row],[RURAL FUNDING REQUESTED]]*
IF(S1_AMH_RuralTotalRequested&lt;=(5000000-E$61),1,
(5000000-E$61)/S1_AMH_RuralTotalRequested))</f>
        <v/>
      </c>
      <c r="J54" s="6" t="str">
        <f>IFERROR(S1AMHTbl[[#This Row],[TOTAL $ REQUESTED2]]/SUM(S1AMHTbl[TOTAL $ REQUESTED2]),"")</f>
        <v/>
      </c>
      <c r="K54" s="31" t="s">
        <v>513</v>
      </c>
      <c r="L54" s="196"/>
      <c r="M54" s="119"/>
      <c r="N54" s="227"/>
      <c r="O54" s="124"/>
      <c r="P54" s="161"/>
      <c r="Q54" s="161"/>
      <c r="R54" s="74">
        <f t="shared" si="2"/>
        <v>0</v>
      </c>
      <c r="S54" s="6">
        <f>IF(S1AMHTbl[[#This Row],[UNRESTRICTED FUNDING REQUESTED]]=0,0,S1AMHTbl[[#This Row],[UNRESTRICTED FUNDING REQUESTED]]/S1_AMH_UnrestrictedTotalRequested)</f>
        <v>0</v>
      </c>
      <c r="T54" s="7">
        <f>IF(S1AMHTbl[[#This Row],[ALL UNITS IN A HIGH OR HIGHEST RESOURCE AREA]]="Yes",10*S1AMHTbl[[#This Row],[UNRESTRICTED % OF FUNDING]],0)</f>
        <v>0</v>
      </c>
      <c r="U54" s="7" cm="1">
        <f t="array" ref="U54">INDEX(CountyScoresTbl[Community Need Total Points],ROW(S1AMHTbl[[#This Row],[COUNTY]])-2,1)*S1AMHTbl[[#This Row],[UNRESTRICTED % OF FUNDING]]</f>
        <v>0</v>
      </c>
      <c r="V54" s="7">
        <f>IF(S1AMHTbl[[#This Row],[SITE CONTROL]]="Yes",20,10)*S1AMHTbl[[#This Row],[UNRESTRICTED % OF FUNDING]]</f>
        <v>0</v>
      </c>
      <c r="W54" s="26" cm="1">
        <f t="array" ref="W54">INDEX(CountyScoresTbl[Farmworker Need Points Awarded],ROW(S1AMHTbl[[#This Row],[COUNTY]])-2,1)*S1AMHTbl[[#This Row],[UNRESTRICTED % OF FUNDING]]</f>
        <v>0</v>
      </c>
      <c r="X54" s="124"/>
      <c r="Y54" s="161"/>
      <c r="Z54" s="161"/>
      <c r="AA54" s="74">
        <f t="shared" si="3"/>
        <v>0</v>
      </c>
      <c r="AB54" s="6">
        <f>IF(S1AMHTbl[[#This Row],[RURAL FUNDING REQUESTED]]=0,0,S1AMHTbl[[#This Row],[RURAL FUNDING REQUESTED]]/S1_AMH_RuralTotalRequested)</f>
        <v>0</v>
      </c>
      <c r="AC54" s="7">
        <f>IF(S1AMHTbl[[#This Row],[ALL UNITS IN A HIGH OR HIGHEST RESOURCE AREA]]="Yes",10*S1AMHTbl[[#This Row],[RURAL % OF FUNDING]],0)</f>
        <v>0</v>
      </c>
      <c r="AD54" s="7" cm="1">
        <f t="array" ref="AD54">INDEX(CountyScoresTbl[Community Need Total Points],ROW(S1AMHTbl[[#This Row],[COUNTY]])-2,1)*S1AMHTbl[[#This Row],[RURAL % OF FUNDING]]</f>
        <v>0</v>
      </c>
      <c r="AE54" s="7">
        <f>IF(S1AMHTbl[[#This Row],[SITE CONTROL]]="Yes",20,10)*S1AMHTbl[[#This Row],[RURAL % OF FUNDING]]</f>
        <v>0</v>
      </c>
      <c r="AF54" s="26" cm="1">
        <f t="array" ref="AF54">INDEX(CountyScoresTbl[Farmworker Need Points Awarded],ROW(S1AMHTbl[[#This Row],[COUNTY]])-2,1)*S1AMHTbl[[#This Row],[RURAL % OF FUNDING]]</f>
        <v>0</v>
      </c>
      <c r="AG54" s="399"/>
      <c r="AH54" s="7">
        <f>IF(S1AMHTbl[[#This Row],[INFILL SITE]]="Yes",5,3)*S1AMHTbl[[#This Row],[UNRESTRICTED % OF FUNDING]]</f>
        <v>0</v>
      </c>
      <c r="AI54" s="26">
        <f>IF(S1AMHTbl[[#This Row],[INFILL SITE]]="Yes",5,3)*S1AMHTbl[[#This Row],[RURAL % OF FUNDING]]</f>
        <v>0</v>
      </c>
    </row>
    <row r="55" spans="1:35" x14ac:dyDescent="0.35">
      <c r="A55" s="124"/>
      <c r="B55" s="5" t="s">
        <v>167</v>
      </c>
      <c r="C55" s="31" t="s">
        <v>513</v>
      </c>
      <c r="D55" s="113" t="str">
        <f>IF(SUM(S1AMHTbl[[#This Row],[UNRESTRICTED UNITS]])=0,"",S1AMHTbl[[#This Row],[UNRESTRICTED UNITS]])</f>
        <v/>
      </c>
      <c r="E55" s="74" t="str">
        <f>IF(S1AMHTbl[[#This Row],[UNRESTRICTED FUNDING REQUESTED]]=0,"",S1AMHTbl[[#This Row],[UNRESTRICTED FUNDING REQUESTED]]*
IF(S1_AMH_UnrestrictedTotalRequested&lt;=5000000,1,
5000000/S1_AMH_UnrestrictedTotalRequested))</f>
        <v/>
      </c>
      <c r="F55" s="6" t="str">
        <f>IFERROR(S1AMHTbl[[#This Row],[TOTAL $ REQUESTED]]/SUM(S1AMHTbl[TOTAL $ REQUESTED]),"")</f>
        <v/>
      </c>
      <c r="G55" s="31" t="s">
        <v>513</v>
      </c>
      <c r="H55" s="113" t="str">
        <f>IF(SUM(S1AMHTbl[[#This Row],[RURAL UNITS]])=0,"",S1AMHTbl[[#This Row],[RURAL UNITS]])</f>
        <v/>
      </c>
      <c r="I55" s="74" t="str">
        <f>IF(S1AMHTbl[[#This Row],[RURAL FUNDING REQUESTED]]=0,"",S1AMHTbl[[#This Row],[RURAL FUNDING REQUESTED]]*
IF(S1_AMH_RuralTotalRequested&lt;=(5000000-E$61),1,
(5000000-E$61)/S1_AMH_RuralTotalRequested))</f>
        <v/>
      </c>
      <c r="J55" s="6" t="str">
        <f>IFERROR(S1AMHTbl[[#This Row],[TOTAL $ REQUESTED2]]/SUM(S1AMHTbl[TOTAL $ REQUESTED2]),"")</f>
        <v/>
      </c>
      <c r="K55" s="31" t="s">
        <v>513</v>
      </c>
      <c r="L55" s="196"/>
      <c r="M55" s="119"/>
      <c r="N55" s="227"/>
      <c r="O55" s="124"/>
      <c r="P55" s="161"/>
      <c r="Q55" s="161"/>
      <c r="R55" s="74">
        <f t="shared" si="2"/>
        <v>0</v>
      </c>
      <c r="S55" s="6">
        <f>IF(S1AMHTbl[[#This Row],[UNRESTRICTED FUNDING REQUESTED]]=0,0,S1AMHTbl[[#This Row],[UNRESTRICTED FUNDING REQUESTED]]/S1_AMH_UnrestrictedTotalRequested)</f>
        <v>0</v>
      </c>
      <c r="T55" s="7">
        <f>IF(S1AMHTbl[[#This Row],[ALL UNITS IN A HIGH OR HIGHEST RESOURCE AREA]]="Yes",10*S1AMHTbl[[#This Row],[UNRESTRICTED % OF FUNDING]],0)</f>
        <v>0</v>
      </c>
      <c r="U55" s="7" cm="1">
        <f t="array" ref="U55">INDEX(CountyScoresTbl[Community Need Total Points],ROW(S1AMHTbl[[#This Row],[COUNTY]])-2,1)*S1AMHTbl[[#This Row],[UNRESTRICTED % OF FUNDING]]</f>
        <v>0</v>
      </c>
      <c r="V55" s="7">
        <f>IF(S1AMHTbl[[#This Row],[SITE CONTROL]]="Yes",20,10)*S1AMHTbl[[#This Row],[UNRESTRICTED % OF FUNDING]]</f>
        <v>0</v>
      </c>
      <c r="W55" s="26" cm="1">
        <f t="array" ref="W55">INDEX(CountyScoresTbl[Farmworker Need Points Awarded],ROW(S1AMHTbl[[#This Row],[COUNTY]])-2,1)*S1AMHTbl[[#This Row],[UNRESTRICTED % OF FUNDING]]</f>
        <v>0</v>
      </c>
      <c r="X55" s="124"/>
      <c r="Y55" s="161"/>
      <c r="Z55" s="161"/>
      <c r="AA55" s="74">
        <f t="shared" si="3"/>
        <v>0</v>
      </c>
      <c r="AB55" s="6">
        <f>IF(S1AMHTbl[[#This Row],[RURAL FUNDING REQUESTED]]=0,0,S1AMHTbl[[#This Row],[RURAL FUNDING REQUESTED]]/S1_AMH_RuralTotalRequested)</f>
        <v>0</v>
      </c>
      <c r="AC55" s="7">
        <f>IF(S1AMHTbl[[#This Row],[ALL UNITS IN A HIGH OR HIGHEST RESOURCE AREA]]="Yes",10*S1AMHTbl[[#This Row],[RURAL % OF FUNDING]],0)</f>
        <v>0</v>
      </c>
      <c r="AD55" s="7" cm="1">
        <f t="array" ref="AD55">INDEX(CountyScoresTbl[Community Need Total Points],ROW(S1AMHTbl[[#This Row],[COUNTY]])-2,1)*S1AMHTbl[[#This Row],[RURAL % OF FUNDING]]</f>
        <v>0</v>
      </c>
      <c r="AE55" s="7">
        <f>IF(S1AMHTbl[[#This Row],[SITE CONTROL]]="Yes",20,10)*S1AMHTbl[[#This Row],[RURAL % OF FUNDING]]</f>
        <v>0</v>
      </c>
      <c r="AF55" s="26" cm="1">
        <f t="array" ref="AF55">INDEX(CountyScoresTbl[Farmworker Need Points Awarded],ROW(S1AMHTbl[[#This Row],[COUNTY]])-2,1)*S1AMHTbl[[#This Row],[RURAL % OF FUNDING]]</f>
        <v>0</v>
      </c>
      <c r="AG55" s="399"/>
      <c r="AH55" s="7">
        <f>IF(S1AMHTbl[[#This Row],[INFILL SITE]]="Yes",5,3)*S1AMHTbl[[#This Row],[UNRESTRICTED % OF FUNDING]]</f>
        <v>0</v>
      </c>
      <c r="AI55" s="26">
        <f>IF(S1AMHTbl[[#This Row],[INFILL SITE]]="Yes",5,3)*S1AMHTbl[[#This Row],[RURAL % OF FUNDING]]</f>
        <v>0</v>
      </c>
    </row>
    <row r="56" spans="1:35" x14ac:dyDescent="0.35">
      <c r="A56" s="124"/>
      <c r="B56" s="5" t="s">
        <v>168</v>
      </c>
      <c r="C56" s="31" t="s">
        <v>513</v>
      </c>
      <c r="D56" s="113" t="str">
        <f>IF(SUM(S1AMHTbl[[#This Row],[UNRESTRICTED UNITS]])=0,"",S1AMHTbl[[#This Row],[UNRESTRICTED UNITS]])</f>
        <v/>
      </c>
      <c r="E56" s="74" t="str">
        <f>IF(S1AMHTbl[[#This Row],[UNRESTRICTED FUNDING REQUESTED]]=0,"",S1AMHTbl[[#This Row],[UNRESTRICTED FUNDING REQUESTED]]*
IF(S1_AMH_UnrestrictedTotalRequested&lt;=5000000,1,
5000000/S1_AMH_UnrestrictedTotalRequested))</f>
        <v/>
      </c>
      <c r="F56" s="6" t="str">
        <f>IFERROR(S1AMHTbl[[#This Row],[TOTAL $ REQUESTED]]/SUM(S1AMHTbl[TOTAL $ REQUESTED]),"")</f>
        <v/>
      </c>
      <c r="G56" s="31" t="s">
        <v>513</v>
      </c>
      <c r="H56" s="113" t="str">
        <f>IF(SUM(S1AMHTbl[[#This Row],[RURAL UNITS]])=0,"",S1AMHTbl[[#This Row],[RURAL UNITS]])</f>
        <v/>
      </c>
      <c r="I56" s="74" t="str">
        <f>IF(S1AMHTbl[[#This Row],[RURAL FUNDING REQUESTED]]=0,"",S1AMHTbl[[#This Row],[RURAL FUNDING REQUESTED]]*
IF(S1_AMH_RuralTotalRequested&lt;=(5000000-E$61),1,
(5000000-E$61)/S1_AMH_RuralTotalRequested))</f>
        <v/>
      </c>
      <c r="J56" s="6" t="str">
        <f>IFERROR(S1AMHTbl[[#This Row],[TOTAL $ REQUESTED2]]/SUM(S1AMHTbl[TOTAL $ REQUESTED2]),"")</f>
        <v/>
      </c>
      <c r="K56" s="31" t="s">
        <v>513</v>
      </c>
      <c r="L56" s="196"/>
      <c r="M56" s="119"/>
      <c r="N56" s="227"/>
      <c r="O56" s="124"/>
      <c r="P56" s="161"/>
      <c r="Q56" s="161"/>
      <c r="R56" s="74">
        <f t="shared" si="2"/>
        <v>0</v>
      </c>
      <c r="S56" s="6">
        <f>IF(S1AMHTbl[[#This Row],[UNRESTRICTED FUNDING REQUESTED]]=0,0,S1AMHTbl[[#This Row],[UNRESTRICTED FUNDING REQUESTED]]/S1_AMH_UnrestrictedTotalRequested)</f>
        <v>0</v>
      </c>
      <c r="T56" s="7">
        <f>IF(S1AMHTbl[[#This Row],[ALL UNITS IN A HIGH OR HIGHEST RESOURCE AREA]]="Yes",10*S1AMHTbl[[#This Row],[UNRESTRICTED % OF FUNDING]],0)</f>
        <v>0</v>
      </c>
      <c r="U56" s="7" cm="1">
        <f t="array" ref="U56">INDEX(CountyScoresTbl[Community Need Total Points],ROW(S1AMHTbl[[#This Row],[COUNTY]])-2,1)*S1AMHTbl[[#This Row],[UNRESTRICTED % OF FUNDING]]</f>
        <v>0</v>
      </c>
      <c r="V56" s="7">
        <f>IF(S1AMHTbl[[#This Row],[SITE CONTROL]]="Yes",20,10)*S1AMHTbl[[#This Row],[UNRESTRICTED % OF FUNDING]]</f>
        <v>0</v>
      </c>
      <c r="W56" s="26" cm="1">
        <f t="array" ref="W56">INDEX(CountyScoresTbl[Farmworker Need Points Awarded],ROW(S1AMHTbl[[#This Row],[COUNTY]])-2,1)*S1AMHTbl[[#This Row],[UNRESTRICTED % OF FUNDING]]</f>
        <v>0</v>
      </c>
      <c r="X56" s="124"/>
      <c r="Y56" s="161"/>
      <c r="Z56" s="161"/>
      <c r="AA56" s="74">
        <f t="shared" si="3"/>
        <v>0</v>
      </c>
      <c r="AB56" s="6">
        <f>IF(S1AMHTbl[[#This Row],[RURAL FUNDING REQUESTED]]=0,0,S1AMHTbl[[#This Row],[RURAL FUNDING REQUESTED]]/S1_AMH_RuralTotalRequested)</f>
        <v>0</v>
      </c>
      <c r="AC56" s="7">
        <f>IF(S1AMHTbl[[#This Row],[ALL UNITS IN A HIGH OR HIGHEST RESOURCE AREA]]="Yes",10*S1AMHTbl[[#This Row],[RURAL % OF FUNDING]],0)</f>
        <v>0</v>
      </c>
      <c r="AD56" s="7" cm="1">
        <f t="array" ref="AD56">INDEX(CountyScoresTbl[Community Need Total Points],ROW(S1AMHTbl[[#This Row],[COUNTY]])-2,1)*S1AMHTbl[[#This Row],[RURAL % OF FUNDING]]</f>
        <v>0</v>
      </c>
      <c r="AE56" s="7">
        <f>IF(S1AMHTbl[[#This Row],[SITE CONTROL]]="Yes",20,10)*S1AMHTbl[[#This Row],[RURAL % OF FUNDING]]</f>
        <v>0</v>
      </c>
      <c r="AF56" s="26" cm="1">
        <f t="array" ref="AF56">INDEX(CountyScoresTbl[Farmworker Need Points Awarded],ROW(S1AMHTbl[[#This Row],[COUNTY]])-2,1)*S1AMHTbl[[#This Row],[RURAL % OF FUNDING]]</f>
        <v>0</v>
      </c>
      <c r="AG56" s="399"/>
      <c r="AH56" s="7">
        <f>IF(S1AMHTbl[[#This Row],[INFILL SITE]]="Yes",5,3)*S1AMHTbl[[#This Row],[UNRESTRICTED % OF FUNDING]]</f>
        <v>0</v>
      </c>
      <c r="AI56" s="26">
        <f>IF(S1AMHTbl[[#This Row],[INFILL SITE]]="Yes",5,3)*S1AMHTbl[[#This Row],[RURAL % OF FUNDING]]</f>
        <v>0</v>
      </c>
    </row>
    <row r="57" spans="1:35" x14ac:dyDescent="0.35">
      <c r="A57" s="124"/>
      <c r="B57" s="5" t="s">
        <v>169</v>
      </c>
      <c r="C57" s="31" t="s">
        <v>513</v>
      </c>
      <c r="D57" s="113" t="str">
        <f>IF(SUM(S1AMHTbl[[#This Row],[UNRESTRICTED UNITS]])=0,"",S1AMHTbl[[#This Row],[UNRESTRICTED UNITS]])</f>
        <v/>
      </c>
      <c r="E57" s="74" t="str">
        <f>IF(S1AMHTbl[[#This Row],[UNRESTRICTED FUNDING REQUESTED]]=0,"",S1AMHTbl[[#This Row],[UNRESTRICTED FUNDING REQUESTED]]*
IF(S1_AMH_UnrestrictedTotalRequested&lt;=5000000,1,
5000000/S1_AMH_UnrestrictedTotalRequested))</f>
        <v/>
      </c>
      <c r="F57" s="6" t="str">
        <f>IFERROR(S1AMHTbl[[#This Row],[TOTAL $ REQUESTED]]/SUM(S1AMHTbl[TOTAL $ REQUESTED]),"")</f>
        <v/>
      </c>
      <c r="G57" s="31" t="s">
        <v>513</v>
      </c>
      <c r="H57" s="113" t="str">
        <f>IF(SUM(S1AMHTbl[[#This Row],[RURAL UNITS]])=0,"",S1AMHTbl[[#This Row],[RURAL UNITS]])</f>
        <v/>
      </c>
      <c r="I57" s="74" t="str">
        <f>IF(S1AMHTbl[[#This Row],[RURAL FUNDING REQUESTED]]=0,"",S1AMHTbl[[#This Row],[RURAL FUNDING REQUESTED]]*
IF(S1_AMH_RuralTotalRequested&lt;=(5000000-E$61),1,
(5000000-E$61)/S1_AMH_RuralTotalRequested))</f>
        <v/>
      </c>
      <c r="J57" s="6" t="str">
        <f>IFERROR(S1AMHTbl[[#This Row],[TOTAL $ REQUESTED2]]/SUM(S1AMHTbl[TOTAL $ REQUESTED2]),"")</f>
        <v/>
      </c>
      <c r="K57" s="31" t="s">
        <v>513</v>
      </c>
      <c r="L57" s="196"/>
      <c r="M57" s="119"/>
      <c r="N57" s="227"/>
      <c r="O57" s="124"/>
      <c r="P57" s="161"/>
      <c r="Q57" s="161"/>
      <c r="R57" s="74">
        <f t="shared" si="2"/>
        <v>0</v>
      </c>
      <c r="S57" s="6">
        <f>IF(S1AMHTbl[[#This Row],[UNRESTRICTED FUNDING REQUESTED]]=0,0,S1AMHTbl[[#This Row],[UNRESTRICTED FUNDING REQUESTED]]/S1_AMH_UnrestrictedTotalRequested)</f>
        <v>0</v>
      </c>
      <c r="T57" s="7">
        <f>IF(S1AMHTbl[[#This Row],[ALL UNITS IN A HIGH OR HIGHEST RESOURCE AREA]]="Yes",10*S1AMHTbl[[#This Row],[UNRESTRICTED % OF FUNDING]],0)</f>
        <v>0</v>
      </c>
      <c r="U57" s="7" cm="1">
        <f t="array" ref="U57">INDEX(CountyScoresTbl[Community Need Total Points],ROW(S1AMHTbl[[#This Row],[COUNTY]])-2,1)*S1AMHTbl[[#This Row],[UNRESTRICTED % OF FUNDING]]</f>
        <v>0</v>
      </c>
      <c r="V57" s="7">
        <f>IF(S1AMHTbl[[#This Row],[SITE CONTROL]]="Yes",20,10)*S1AMHTbl[[#This Row],[UNRESTRICTED % OF FUNDING]]</f>
        <v>0</v>
      </c>
      <c r="W57" s="26" cm="1">
        <f t="array" ref="W57">INDEX(CountyScoresTbl[Farmworker Need Points Awarded],ROW(S1AMHTbl[[#This Row],[COUNTY]])-2,1)*S1AMHTbl[[#This Row],[UNRESTRICTED % OF FUNDING]]</f>
        <v>0</v>
      </c>
      <c r="X57" s="124"/>
      <c r="Y57" s="161"/>
      <c r="Z57" s="161"/>
      <c r="AA57" s="74">
        <f t="shared" si="3"/>
        <v>0</v>
      </c>
      <c r="AB57" s="6">
        <f>IF(S1AMHTbl[[#This Row],[RURAL FUNDING REQUESTED]]=0,0,S1AMHTbl[[#This Row],[RURAL FUNDING REQUESTED]]/S1_AMH_RuralTotalRequested)</f>
        <v>0</v>
      </c>
      <c r="AC57" s="7">
        <f>IF(S1AMHTbl[[#This Row],[ALL UNITS IN A HIGH OR HIGHEST RESOURCE AREA]]="Yes",10*S1AMHTbl[[#This Row],[RURAL % OF FUNDING]],0)</f>
        <v>0</v>
      </c>
      <c r="AD57" s="7" cm="1">
        <f t="array" ref="AD57">INDEX(CountyScoresTbl[Community Need Total Points],ROW(S1AMHTbl[[#This Row],[COUNTY]])-2,1)*S1AMHTbl[[#This Row],[RURAL % OF FUNDING]]</f>
        <v>0</v>
      </c>
      <c r="AE57" s="7">
        <f>IF(S1AMHTbl[[#This Row],[SITE CONTROL]]="Yes",20,10)*S1AMHTbl[[#This Row],[RURAL % OF FUNDING]]</f>
        <v>0</v>
      </c>
      <c r="AF57" s="26" cm="1">
        <f t="array" ref="AF57">INDEX(CountyScoresTbl[Farmworker Need Points Awarded],ROW(S1AMHTbl[[#This Row],[COUNTY]])-2,1)*S1AMHTbl[[#This Row],[RURAL % OF FUNDING]]</f>
        <v>0</v>
      </c>
      <c r="AG57" s="399"/>
      <c r="AH57" s="7">
        <f>IF(S1AMHTbl[[#This Row],[INFILL SITE]]="Yes",5,3)*S1AMHTbl[[#This Row],[UNRESTRICTED % OF FUNDING]]</f>
        <v>0</v>
      </c>
      <c r="AI57" s="26">
        <f>IF(S1AMHTbl[[#This Row],[INFILL SITE]]="Yes",5,3)*S1AMHTbl[[#This Row],[RURAL % OF FUNDING]]</f>
        <v>0</v>
      </c>
    </row>
    <row r="58" spans="1:35" x14ac:dyDescent="0.35">
      <c r="A58" s="124"/>
      <c r="B58" s="5" t="s">
        <v>170</v>
      </c>
      <c r="C58" s="31" t="s">
        <v>513</v>
      </c>
      <c r="D58" s="113" t="str">
        <f>IF(SUM(S1AMHTbl[[#This Row],[UNRESTRICTED UNITS]])=0,"",S1AMHTbl[[#This Row],[UNRESTRICTED UNITS]])</f>
        <v/>
      </c>
      <c r="E58" s="74" t="str">
        <f>IF(S1AMHTbl[[#This Row],[UNRESTRICTED FUNDING REQUESTED]]=0,"",S1AMHTbl[[#This Row],[UNRESTRICTED FUNDING REQUESTED]]*
IF(S1_AMH_UnrestrictedTotalRequested&lt;=5000000,1,
5000000/S1_AMH_UnrestrictedTotalRequested))</f>
        <v/>
      </c>
      <c r="F58" s="6" t="str">
        <f>IFERROR(S1AMHTbl[[#This Row],[TOTAL $ REQUESTED]]/SUM(S1AMHTbl[TOTAL $ REQUESTED]),"")</f>
        <v/>
      </c>
      <c r="G58" s="31" t="s">
        <v>513</v>
      </c>
      <c r="H58" s="113" t="str">
        <f>IF(SUM(S1AMHTbl[[#This Row],[RURAL UNITS]])=0,"",S1AMHTbl[[#This Row],[RURAL UNITS]])</f>
        <v/>
      </c>
      <c r="I58" s="74" t="str">
        <f>IF(S1AMHTbl[[#This Row],[RURAL FUNDING REQUESTED]]=0,"",S1AMHTbl[[#This Row],[RURAL FUNDING REQUESTED]]*
IF(S1_AMH_RuralTotalRequested&lt;=(5000000-E$61),1,
(5000000-E$61)/S1_AMH_RuralTotalRequested))</f>
        <v/>
      </c>
      <c r="J58" s="6" t="str">
        <f>IFERROR(S1AMHTbl[[#This Row],[TOTAL $ REQUESTED2]]/SUM(S1AMHTbl[TOTAL $ REQUESTED2]),"")</f>
        <v/>
      </c>
      <c r="K58" s="31" t="s">
        <v>513</v>
      </c>
      <c r="L58" s="196"/>
      <c r="M58" s="119"/>
      <c r="N58" s="227"/>
      <c r="O58" s="124"/>
      <c r="P58" s="161"/>
      <c r="Q58" s="161"/>
      <c r="R58" s="74">
        <f t="shared" si="2"/>
        <v>0</v>
      </c>
      <c r="S58" s="6">
        <f>IF(S1AMHTbl[[#This Row],[UNRESTRICTED FUNDING REQUESTED]]=0,0,S1AMHTbl[[#This Row],[UNRESTRICTED FUNDING REQUESTED]]/S1_AMH_UnrestrictedTotalRequested)</f>
        <v>0</v>
      </c>
      <c r="T58" s="7">
        <f>IF(S1AMHTbl[[#This Row],[ALL UNITS IN A HIGH OR HIGHEST RESOURCE AREA]]="Yes",10*S1AMHTbl[[#This Row],[UNRESTRICTED % OF FUNDING]],0)</f>
        <v>0</v>
      </c>
      <c r="U58" s="7" cm="1">
        <f t="array" ref="U58">INDEX(CountyScoresTbl[Community Need Total Points],ROW(S1AMHTbl[[#This Row],[COUNTY]])-2,1)*S1AMHTbl[[#This Row],[UNRESTRICTED % OF FUNDING]]</f>
        <v>0</v>
      </c>
      <c r="V58" s="7">
        <f>IF(S1AMHTbl[[#This Row],[SITE CONTROL]]="Yes",20,10)*S1AMHTbl[[#This Row],[UNRESTRICTED % OF FUNDING]]</f>
        <v>0</v>
      </c>
      <c r="W58" s="26" cm="1">
        <f t="array" ref="W58">INDEX(CountyScoresTbl[Farmworker Need Points Awarded],ROW(S1AMHTbl[[#This Row],[COUNTY]])-2,1)*S1AMHTbl[[#This Row],[UNRESTRICTED % OF FUNDING]]</f>
        <v>0</v>
      </c>
      <c r="X58" s="124"/>
      <c r="Y58" s="161"/>
      <c r="Z58" s="161"/>
      <c r="AA58" s="74">
        <f t="shared" si="3"/>
        <v>0</v>
      </c>
      <c r="AB58" s="6">
        <f>IF(S1AMHTbl[[#This Row],[RURAL FUNDING REQUESTED]]=0,0,S1AMHTbl[[#This Row],[RURAL FUNDING REQUESTED]]/S1_AMH_RuralTotalRequested)</f>
        <v>0</v>
      </c>
      <c r="AC58" s="7">
        <f>IF(S1AMHTbl[[#This Row],[ALL UNITS IN A HIGH OR HIGHEST RESOURCE AREA]]="Yes",10*S1AMHTbl[[#This Row],[RURAL % OF FUNDING]],0)</f>
        <v>0</v>
      </c>
      <c r="AD58" s="7" cm="1">
        <f t="array" ref="AD58">INDEX(CountyScoresTbl[Community Need Total Points],ROW(S1AMHTbl[[#This Row],[COUNTY]])-2,1)*S1AMHTbl[[#This Row],[RURAL % OF FUNDING]]</f>
        <v>0</v>
      </c>
      <c r="AE58" s="7">
        <f>IF(S1AMHTbl[[#This Row],[SITE CONTROL]]="Yes",20,10)*S1AMHTbl[[#This Row],[RURAL % OF FUNDING]]</f>
        <v>0</v>
      </c>
      <c r="AF58" s="26" cm="1">
        <f t="array" ref="AF58">INDEX(CountyScoresTbl[Farmworker Need Points Awarded],ROW(S1AMHTbl[[#This Row],[COUNTY]])-2,1)*S1AMHTbl[[#This Row],[RURAL % OF FUNDING]]</f>
        <v>0</v>
      </c>
      <c r="AG58" s="399"/>
      <c r="AH58" s="7">
        <f>IF(S1AMHTbl[[#This Row],[INFILL SITE]]="Yes",5,3)*S1AMHTbl[[#This Row],[UNRESTRICTED % OF FUNDING]]</f>
        <v>0</v>
      </c>
      <c r="AI58" s="26">
        <f>IF(S1AMHTbl[[#This Row],[INFILL SITE]]="Yes",5,3)*S1AMHTbl[[#This Row],[RURAL % OF FUNDING]]</f>
        <v>0</v>
      </c>
    </row>
    <row r="59" spans="1:35" x14ac:dyDescent="0.35">
      <c r="A59" s="124"/>
      <c r="B59" s="5" t="s">
        <v>171</v>
      </c>
      <c r="C59" s="31" t="s">
        <v>513</v>
      </c>
      <c r="D59" s="113" t="str">
        <f>IF(SUM(S1AMHTbl[[#This Row],[UNRESTRICTED UNITS]])=0,"",S1AMHTbl[[#This Row],[UNRESTRICTED UNITS]])</f>
        <v/>
      </c>
      <c r="E59" s="74" t="str">
        <f>IF(S1AMHTbl[[#This Row],[UNRESTRICTED FUNDING REQUESTED]]=0,"",S1AMHTbl[[#This Row],[UNRESTRICTED FUNDING REQUESTED]]*
IF(S1_AMH_UnrestrictedTotalRequested&lt;=5000000,1,
5000000/S1_AMH_UnrestrictedTotalRequested))</f>
        <v/>
      </c>
      <c r="F59" s="6" t="str">
        <f>IFERROR(S1AMHTbl[[#This Row],[TOTAL $ REQUESTED]]/SUM(S1AMHTbl[TOTAL $ REQUESTED]),"")</f>
        <v/>
      </c>
      <c r="G59" s="31" t="s">
        <v>513</v>
      </c>
      <c r="H59" s="113" t="str">
        <f>IF(SUM(S1AMHTbl[[#This Row],[RURAL UNITS]])=0,"",S1AMHTbl[[#This Row],[RURAL UNITS]])</f>
        <v/>
      </c>
      <c r="I59" s="74" t="str">
        <f>IF(S1AMHTbl[[#This Row],[RURAL FUNDING REQUESTED]]=0,"",S1AMHTbl[[#This Row],[RURAL FUNDING REQUESTED]]*
IF(S1_AMH_RuralTotalRequested&lt;=(5000000-E$61),1,
(5000000-E$61)/S1_AMH_RuralTotalRequested))</f>
        <v/>
      </c>
      <c r="J59" s="6" t="str">
        <f>IFERROR(S1AMHTbl[[#This Row],[TOTAL $ REQUESTED2]]/SUM(S1AMHTbl[TOTAL $ REQUESTED2]),"")</f>
        <v/>
      </c>
      <c r="K59" s="31" t="s">
        <v>513</v>
      </c>
      <c r="L59" s="196"/>
      <c r="M59" s="119"/>
      <c r="N59" s="227"/>
      <c r="O59" s="124"/>
      <c r="P59" s="161"/>
      <c r="Q59" s="161"/>
      <c r="R59" s="74">
        <f t="shared" si="2"/>
        <v>0</v>
      </c>
      <c r="S59" s="6">
        <f>IF(S1AMHTbl[[#This Row],[UNRESTRICTED FUNDING REQUESTED]]=0,0,S1AMHTbl[[#This Row],[UNRESTRICTED FUNDING REQUESTED]]/S1_AMH_UnrestrictedTotalRequested)</f>
        <v>0</v>
      </c>
      <c r="T59" s="7">
        <f>IF(S1AMHTbl[[#This Row],[ALL UNITS IN A HIGH OR HIGHEST RESOURCE AREA]]="Yes",10*S1AMHTbl[[#This Row],[UNRESTRICTED % OF FUNDING]],0)</f>
        <v>0</v>
      </c>
      <c r="U59" s="7" cm="1">
        <f t="array" ref="U59">INDEX(CountyScoresTbl[Community Need Total Points],ROW(S1AMHTbl[[#This Row],[COUNTY]])-2,1)*S1AMHTbl[[#This Row],[UNRESTRICTED % OF FUNDING]]</f>
        <v>0</v>
      </c>
      <c r="V59" s="7">
        <f>IF(S1AMHTbl[[#This Row],[SITE CONTROL]]="Yes",20,10)*S1AMHTbl[[#This Row],[UNRESTRICTED % OF FUNDING]]</f>
        <v>0</v>
      </c>
      <c r="W59" s="26" cm="1">
        <f t="array" ref="W59">INDEX(CountyScoresTbl[Farmworker Need Points Awarded],ROW(S1AMHTbl[[#This Row],[COUNTY]])-2,1)*S1AMHTbl[[#This Row],[UNRESTRICTED % OF FUNDING]]</f>
        <v>0</v>
      </c>
      <c r="X59" s="124"/>
      <c r="Y59" s="161"/>
      <c r="Z59" s="161"/>
      <c r="AA59" s="74">
        <f t="shared" si="3"/>
        <v>0</v>
      </c>
      <c r="AB59" s="6">
        <f>IF(S1AMHTbl[[#This Row],[RURAL FUNDING REQUESTED]]=0,0,S1AMHTbl[[#This Row],[RURAL FUNDING REQUESTED]]/S1_AMH_RuralTotalRequested)</f>
        <v>0</v>
      </c>
      <c r="AC59" s="7">
        <f>IF(S1AMHTbl[[#This Row],[ALL UNITS IN A HIGH OR HIGHEST RESOURCE AREA]]="Yes",10*S1AMHTbl[[#This Row],[RURAL % OF FUNDING]],0)</f>
        <v>0</v>
      </c>
      <c r="AD59" s="7" cm="1">
        <f t="array" ref="AD59">INDEX(CountyScoresTbl[Community Need Total Points],ROW(S1AMHTbl[[#This Row],[COUNTY]])-2,1)*S1AMHTbl[[#This Row],[RURAL % OF FUNDING]]</f>
        <v>0</v>
      </c>
      <c r="AE59" s="7">
        <f>IF(S1AMHTbl[[#This Row],[SITE CONTROL]]="Yes",20,10)*S1AMHTbl[[#This Row],[RURAL % OF FUNDING]]</f>
        <v>0</v>
      </c>
      <c r="AF59" s="26" cm="1">
        <f t="array" ref="AF59">INDEX(CountyScoresTbl[Farmworker Need Points Awarded],ROW(S1AMHTbl[[#This Row],[COUNTY]])-2,1)*S1AMHTbl[[#This Row],[RURAL % OF FUNDING]]</f>
        <v>0</v>
      </c>
      <c r="AG59" s="399"/>
      <c r="AH59" s="7">
        <f>IF(S1AMHTbl[[#This Row],[INFILL SITE]]="Yes",5,3)*S1AMHTbl[[#This Row],[UNRESTRICTED % OF FUNDING]]</f>
        <v>0</v>
      </c>
      <c r="AI59" s="26">
        <f>IF(S1AMHTbl[[#This Row],[INFILL SITE]]="Yes",5,3)*S1AMHTbl[[#This Row],[RURAL % OF FUNDING]]</f>
        <v>0</v>
      </c>
    </row>
    <row r="60" spans="1:35" ht="15" thickBot="1" x14ac:dyDescent="0.4">
      <c r="A60" s="146"/>
      <c r="B60" s="143" t="s">
        <v>172</v>
      </c>
      <c r="C60" s="76" t="s">
        <v>513</v>
      </c>
      <c r="D60" s="221" t="str">
        <f>IF(SUM(S1AMHTbl[[#This Row],[UNRESTRICTED UNITS]])=0,"",S1AMHTbl[[#This Row],[UNRESTRICTED UNITS]])</f>
        <v/>
      </c>
      <c r="E60" s="145" t="str">
        <f>IF(S1AMHTbl[[#This Row],[UNRESTRICTED FUNDING REQUESTED]]=0,"",S1AMHTbl[[#This Row],[UNRESTRICTED FUNDING REQUESTED]]*
IF(S1_AMH_UnrestrictedTotalRequested&lt;=5000000,1,
5000000/S1_AMH_UnrestrictedTotalRequested))</f>
        <v/>
      </c>
      <c r="F60" s="14" t="str">
        <f>IFERROR(S1AMHTbl[[#This Row],[TOTAL $ REQUESTED]]/SUM(S1AMHTbl[TOTAL $ REQUESTED]),"")</f>
        <v/>
      </c>
      <c r="G60" s="76" t="s">
        <v>513</v>
      </c>
      <c r="H60" s="221" t="str">
        <f>IF(SUM(S1AMHTbl[[#This Row],[RURAL UNITS]])=0,"",S1AMHTbl[[#This Row],[RURAL UNITS]])</f>
        <v/>
      </c>
      <c r="I60" s="145" t="str">
        <f>IF(S1AMHTbl[[#This Row],[RURAL FUNDING REQUESTED]]=0,"",S1AMHTbl[[#This Row],[RURAL FUNDING REQUESTED]]*
IF(S1_AMH_RuralTotalRequested&lt;=(5000000-E$61),1,
(5000000-E$61)/S1_AMH_RuralTotalRequested))</f>
        <v/>
      </c>
      <c r="J60" s="14" t="str">
        <f>IFERROR(S1AMHTbl[[#This Row],[TOTAL $ REQUESTED2]]/SUM(S1AMHTbl[TOTAL $ REQUESTED2]),"")</f>
        <v/>
      </c>
      <c r="K60" s="76" t="s">
        <v>513</v>
      </c>
      <c r="L60" s="200"/>
      <c r="M60" s="147"/>
      <c r="N60" s="228"/>
      <c r="O60" s="146"/>
      <c r="P60" s="203"/>
      <c r="Q60" s="203"/>
      <c r="R60" s="145">
        <f t="shared" si="2"/>
        <v>0</v>
      </c>
      <c r="S60" s="14">
        <f>IF(S1AMHTbl[[#This Row],[UNRESTRICTED FUNDING REQUESTED]]=0,0,S1AMHTbl[[#This Row],[UNRESTRICTED FUNDING REQUESTED]]/S1_AMH_UnrestrictedTotalRequested)</f>
        <v>0</v>
      </c>
      <c r="T60" s="15">
        <f>IF(S1AMHTbl[[#This Row],[ALL UNITS IN A HIGH OR HIGHEST RESOURCE AREA]]="Yes",10*S1AMHTbl[[#This Row],[UNRESTRICTED % OF FUNDING]],0)</f>
        <v>0</v>
      </c>
      <c r="U60" s="15" cm="1">
        <f t="array" ref="U60">INDEX(CountyScoresTbl[Community Need Total Points],ROW(S1AMHTbl[[#This Row],[COUNTY]])-2,1)*S1AMHTbl[[#This Row],[UNRESTRICTED % OF FUNDING]]</f>
        <v>0</v>
      </c>
      <c r="V60" s="15">
        <f>IF(S1AMHTbl[[#This Row],[SITE CONTROL]]="Yes",20,10)*S1AMHTbl[[#This Row],[UNRESTRICTED % OF FUNDING]]</f>
        <v>0</v>
      </c>
      <c r="W60" s="258" cm="1">
        <f t="array" ref="W60">INDEX(CountyScoresTbl[Farmworker Need Points Awarded],ROW(S1AMHTbl[[#This Row],[COUNTY]])-2,1)*S1AMHTbl[[#This Row],[UNRESTRICTED % OF FUNDING]]</f>
        <v>0</v>
      </c>
      <c r="X60" s="146"/>
      <c r="Y60" s="203"/>
      <c r="Z60" s="203"/>
      <c r="AA60" s="145">
        <f t="shared" si="3"/>
        <v>0</v>
      </c>
      <c r="AB60" s="14">
        <f>IF(S1AMHTbl[[#This Row],[RURAL FUNDING REQUESTED]]=0,0,S1AMHTbl[[#This Row],[RURAL FUNDING REQUESTED]]/S1_AMH_RuralTotalRequested)</f>
        <v>0</v>
      </c>
      <c r="AC60" s="15">
        <f>IF(S1AMHTbl[[#This Row],[ALL UNITS IN A HIGH OR HIGHEST RESOURCE AREA]]="Yes",10*S1AMHTbl[[#This Row],[RURAL % OF FUNDING]],0)</f>
        <v>0</v>
      </c>
      <c r="AD60" s="15" cm="1">
        <f t="array" ref="AD60">INDEX(CountyScoresTbl[Community Need Total Points],ROW(S1AMHTbl[[#This Row],[COUNTY]])-2,1)*S1AMHTbl[[#This Row],[RURAL % OF FUNDING]]</f>
        <v>0</v>
      </c>
      <c r="AE60" s="15">
        <f>IF(S1AMHTbl[[#This Row],[SITE CONTROL]]="Yes",20,10)*S1AMHTbl[[#This Row],[RURAL % OF FUNDING]]</f>
        <v>0</v>
      </c>
      <c r="AF60" s="258" cm="1">
        <f t="array" ref="AF60">INDEX(CountyScoresTbl[Farmworker Need Points Awarded],ROW(S1AMHTbl[[#This Row],[COUNTY]])-2,1)*S1AMHTbl[[#This Row],[RURAL % OF FUNDING]]</f>
        <v>0</v>
      </c>
      <c r="AG60" s="400"/>
      <c r="AH60" s="7">
        <f>IF(S1AMHTbl[[#This Row],[INFILL SITE]]="Yes",5,3)*S1AMHTbl[[#This Row],[UNRESTRICTED % OF FUNDING]]</f>
        <v>0</v>
      </c>
      <c r="AI60" s="26">
        <f>IF(S1AMHTbl[[#This Row],[INFILL SITE]]="Yes",5,3)*S1AMHTbl[[#This Row],[RURAL % OF FUNDING]]</f>
        <v>0</v>
      </c>
    </row>
    <row r="61" spans="1:35" ht="15" thickBot="1" x14ac:dyDescent="0.4">
      <c r="A61" s="149"/>
      <c r="B61" s="300"/>
      <c r="C61" s="295"/>
      <c r="D61" s="301">
        <f>SUM(D$3:D$60)</f>
        <v>0</v>
      </c>
      <c r="E61" s="289">
        <f>SUM(E$3:E$60)</f>
        <v>0</v>
      </c>
      <c r="F61" s="318">
        <f>SUM(F$3:F$60)</f>
        <v>0</v>
      </c>
      <c r="G61" s="295"/>
      <c r="H61" s="302">
        <f>SUM(H$3:H$60)</f>
        <v>0</v>
      </c>
      <c r="I61" s="289">
        <f>SUM(I$3:I$60)</f>
        <v>0</v>
      </c>
      <c r="J61" s="318">
        <f>SUM(J$3:J$60)</f>
        <v>0</v>
      </c>
      <c r="K61" s="295"/>
      <c r="L61" s="296">
        <f>COUNTIF(L$3:L$60,"Yes")</f>
        <v>0</v>
      </c>
      <c r="M61" s="155">
        <f>COUNTIF(M$3:M$60,"Yes")</f>
        <v>0</v>
      </c>
      <c r="N61" s="303">
        <f>COUNTIF(N$3:N$60,"Yes")</f>
        <v>0</v>
      </c>
      <c r="O61" s="149">
        <f t="shared" ref="O61:Z61" si="4">SUM(O$3:O$60)</f>
        <v>0</v>
      </c>
      <c r="P61" s="304">
        <f t="shared" si="4"/>
        <v>0</v>
      </c>
      <c r="Q61" s="304">
        <f t="shared" si="4"/>
        <v>0</v>
      </c>
      <c r="R61" s="289">
        <f t="shared" si="4"/>
        <v>0</v>
      </c>
      <c r="S61" s="152">
        <f t="shared" si="4"/>
        <v>0</v>
      </c>
      <c r="T61" s="153">
        <f t="shared" si="4"/>
        <v>0</v>
      </c>
      <c r="U61" s="153">
        <f t="shared" si="4"/>
        <v>0</v>
      </c>
      <c r="V61" s="153">
        <f t="shared" si="4"/>
        <v>0</v>
      </c>
      <c r="W61" s="154">
        <f t="shared" si="4"/>
        <v>0</v>
      </c>
      <c r="X61" s="305">
        <f t="shared" si="4"/>
        <v>0</v>
      </c>
      <c r="Y61" s="304">
        <f t="shared" si="4"/>
        <v>0</v>
      </c>
      <c r="Z61" s="304">
        <f t="shared" si="4"/>
        <v>0</v>
      </c>
      <c r="AA61" s="289">
        <f t="shared" ref="AA61:AF61" si="5">SUM(AA$3:AA$60)</f>
        <v>0</v>
      </c>
      <c r="AB61" s="152">
        <f t="shared" si="5"/>
        <v>0</v>
      </c>
      <c r="AC61" s="153">
        <f t="shared" si="5"/>
        <v>0</v>
      </c>
      <c r="AD61" s="153">
        <f t="shared" si="5"/>
        <v>0</v>
      </c>
      <c r="AE61" s="153">
        <f t="shared" si="5"/>
        <v>0</v>
      </c>
      <c r="AF61" s="154">
        <f t="shared" si="5"/>
        <v>0</v>
      </c>
      <c r="AG61" s="398">
        <f>COUNTIF(AG$3:AG$60,"Yes")</f>
        <v>0</v>
      </c>
      <c r="AH61" s="153">
        <f>SUM(AH$3:AH$60)</f>
        <v>0</v>
      </c>
      <c r="AI61" s="406">
        <f>SUM(AI$3:AI$60)</f>
        <v>0</v>
      </c>
    </row>
  </sheetData>
  <sheetProtection formatCells="0" selectLockedCells="1"/>
  <dataConsolidate/>
  <mergeCells count="7">
    <mergeCell ref="AH1:AI1"/>
    <mergeCell ref="O1:W1"/>
    <mergeCell ref="X1:AF1"/>
    <mergeCell ref="A1:C1"/>
    <mergeCell ref="D1:G1"/>
    <mergeCell ref="H1:K1"/>
    <mergeCell ref="L1:N1"/>
  </mergeCells>
  <phoneticPr fontId="6" type="noConversion"/>
  <pageMargins left="0.7" right="0.7" top="0.75" bottom="0.75" header="0.3" footer="0.3"/>
  <pageSetup orientation="portrait"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
  <dimension ref="A1:D90"/>
  <sheetViews>
    <sheetView workbookViewId="0"/>
  </sheetViews>
  <sheetFormatPr defaultRowHeight="14.5" x14ac:dyDescent="0.35"/>
  <cols>
    <col min="1" max="1" width="39.1796875" bestFit="1" customWidth="1"/>
    <col min="2" max="2" width="40.1796875" style="78" bestFit="1" customWidth="1"/>
    <col min="3" max="3" width="29.7265625" style="79" bestFit="1" customWidth="1"/>
    <col min="4" max="4" width="57.54296875" style="91" customWidth="1"/>
    <col min="5" max="10" width="54.453125" customWidth="1"/>
  </cols>
  <sheetData>
    <row r="1" spans="1:4" x14ac:dyDescent="0.35">
      <c r="A1" s="378" t="s">
        <v>213</v>
      </c>
      <c r="B1" s="80" t="s">
        <v>214</v>
      </c>
      <c r="C1" s="460" t="s">
        <v>215</v>
      </c>
      <c r="D1" s="461" t="s">
        <v>216</v>
      </c>
    </row>
    <row r="2" spans="1:4" ht="312" x14ac:dyDescent="0.35">
      <c r="A2" s="83" t="s">
        <v>217</v>
      </c>
      <c r="B2" s="83" t="s">
        <v>218</v>
      </c>
      <c r="C2" s="84" t="s">
        <v>219</v>
      </c>
      <c r="D2" s="89" t="s">
        <v>220</v>
      </c>
    </row>
    <row r="3" spans="1:4" ht="169" x14ac:dyDescent="0.35">
      <c r="A3" s="83" t="s">
        <v>221</v>
      </c>
      <c r="B3" s="83" t="s">
        <v>222</v>
      </c>
      <c r="C3" s="84" t="s">
        <v>223</v>
      </c>
      <c r="D3" s="89" t="s">
        <v>224</v>
      </c>
    </row>
    <row r="4" spans="1:4" ht="195" x14ac:dyDescent="0.35">
      <c r="A4" s="83" t="s">
        <v>225</v>
      </c>
      <c r="B4" s="83" t="s">
        <v>226</v>
      </c>
      <c r="C4" s="84" t="s">
        <v>227</v>
      </c>
      <c r="D4" s="89" t="s">
        <v>228</v>
      </c>
    </row>
    <row r="5" spans="1:4" ht="221" x14ac:dyDescent="0.35">
      <c r="A5" s="81" t="s">
        <v>229</v>
      </c>
      <c r="B5" s="81" t="s">
        <v>230</v>
      </c>
      <c r="C5" s="82" t="s">
        <v>231</v>
      </c>
      <c r="D5" s="88" t="s">
        <v>232</v>
      </c>
    </row>
    <row r="6" spans="1:4" ht="221" x14ac:dyDescent="0.35">
      <c r="A6" s="81" t="s">
        <v>233</v>
      </c>
      <c r="B6" s="81" t="s">
        <v>234</v>
      </c>
      <c r="C6" s="82" t="s">
        <v>235</v>
      </c>
      <c r="D6" s="88" t="s">
        <v>236</v>
      </c>
    </row>
    <row r="7" spans="1:4" ht="312" x14ac:dyDescent="0.35">
      <c r="A7" s="81" t="s">
        <v>237</v>
      </c>
      <c r="B7" s="81" t="s">
        <v>238</v>
      </c>
      <c r="C7" s="82" t="s">
        <v>219</v>
      </c>
      <c r="D7" s="88" t="s">
        <v>220</v>
      </c>
    </row>
    <row r="8" spans="1:4" ht="208" x14ac:dyDescent="0.35">
      <c r="A8" s="81" t="s">
        <v>239</v>
      </c>
      <c r="B8" s="81" t="s">
        <v>240</v>
      </c>
      <c r="C8" s="82" t="s">
        <v>241</v>
      </c>
      <c r="D8" s="88" t="s">
        <v>242</v>
      </c>
    </row>
    <row r="9" spans="1:4" ht="260" x14ac:dyDescent="0.35">
      <c r="A9" s="81" t="s">
        <v>243</v>
      </c>
      <c r="B9" s="81" t="s">
        <v>244</v>
      </c>
      <c r="C9" s="82" t="s">
        <v>245</v>
      </c>
      <c r="D9" s="88" t="s">
        <v>246</v>
      </c>
    </row>
    <row r="10" spans="1:4" ht="195" x14ac:dyDescent="0.35">
      <c r="A10" s="81" t="s">
        <v>247</v>
      </c>
      <c r="B10" s="81" t="s">
        <v>248</v>
      </c>
      <c r="C10" s="82" t="s">
        <v>249</v>
      </c>
      <c r="D10" s="88" t="s">
        <v>250</v>
      </c>
    </row>
    <row r="11" spans="1:4" ht="221" x14ac:dyDescent="0.35">
      <c r="A11" s="81" t="s">
        <v>251</v>
      </c>
      <c r="B11" s="81" t="s">
        <v>252</v>
      </c>
      <c r="C11" s="82" t="s">
        <v>253</v>
      </c>
      <c r="D11" s="88" t="s">
        <v>254</v>
      </c>
    </row>
    <row r="12" spans="1:4" ht="208" x14ac:dyDescent="0.35">
      <c r="A12" s="81" t="s">
        <v>255</v>
      </c>
      <c r="B12" s="81" t="s">
        <v>256</v>
      </c>
      <c r="C12" s="82" t="s">
        <v>257</v>
      </c>
      <c r="D12" s="88" t="s">
        <v>258</v>
      </c>
    </row>
    <row r="13" spans="1:4" ht="182" x14ac:dyDescent="0.35">
      <c r="A13" s="81" t="s">
        <v>259</v>
      </c>
      <c r="B13" s="81" t="s">
        <v>260</v>
      </c>
      <c r="C13" s="82" t="s">
        <v>261</v>
      </c>
      <c r="D13" s="88" t="s">
        <v>262</v>
      </c>
    </row>
    <row r="14" spans="1:4" ht="260" x14ac:dyDescent="0.35">
      <c r="A14" s="81" t="s">
        <v>263</v>
      </c>
      <c r="B14" s="81" t="s">
        <v>264</v>
      </c>
      <c r="C14" s="82" t="s">
        <v>265</v>
      </c>
      <c r="D14" s="88" t="s">
        <v>266</v>
      </c>
    </row>
    <row r="15" spans="1:4" ht="221" x14ac:dyDescent="0.35">
      <c r="A15" s="81" t="s">
        <v>267</v>
      </c>
      <c r="B15" s="81" t="s">
        <v>268</v>
      </c>
      <c r="C15" s="82" t="s">
        <v>269</v>
      </c>
      <c r="D15" s="88" t="s">
        <v>270</v>
      </c>
    </row>
    <row r="16" spans="1:4" ht="312" x14ac:dyDescent="0.35">
      <c r="A16" s="85" t="s">
        <v>271</v>
      </c>
      <c r="B16" s="85" t="s">
        <v>272</v>
      </c>
      <c r="C16" s="559" t="s">
        <v>219</v>
      </c>
      <c r="D16" s="560" t="s">
        <v>220</v>
      </c>
    </row>
    <row r="17" spans="1:4" ht="364" x14ac:dyDescent="0.35">
      <c r="A17" s="447" t="s">
        <v>1612</v>
      </c>
      <c r="B17" s="447" t="s">
        <v>1611</v>
      </c>
      <c r="C17" s="559" t="s">
        <v>1607</v>
      </c>
      <c r="D17" s="560" t="s">
        <v>1614</v>
      </c>
    </row>
    <row r="18" spans="1:4" ht="299" x14ac:dyDescent="0.35">
      <c r="A18" s="85" t="s">
        <v>273</v>
      </c>
      <c r="B18" s="85" t="s">
        <v>274</v>
      </c>
      <c r="C18" s="559" t="s">
        <v>275</v>
      </c>
      <c r="D18" s="560" t="s">
        <v>1608</v>
      </c>
    </row>
    <row r="19" spans="1:4" ht="364" x14ac:dyDescent="0.35">
      <c r="A19" s="447" t="s">
        <v>1610</v>
      </c>
      <c r="B19" s="447" t="s">
        <v>1609</v>
      </c>
      <c r="C19" s="559" t="s">
        <v>1606</v>
      </c>
      <c r="D19" s="560" t="s">
        <v>1613</v>
      </c>
    </row>
    <row r="20" spans="1:4" ht="221" x14ac:dyDescent="0.35">
      <c r="A20" s="86" t="s">
        <v>195</v>
      </c>
      <c r="B20" s="86" t="s">
        <v>276</v>
      </c>
      <c r="C20" s="87" t="s">
        <v>277</v>
      </c>
      <c r="D20" s="90" t="s">
        <v>278</v>
      </c>
    </row>
    <row r="21" spans="1:4" ht="221" x14ac:dyDescent="0.35">
      <c r="A21" s="86" t="s">
        <v>195</v>
      </c>
      <c r="B21" s="86" t="s">
        <v>279</v>
      </c>
      <c r="C21" s="87" t="s">
        <v>280</v>
      </c>
      <c r="D21" s="90" t="s">
        <v>281</v>
      </c>
    </row>
    <row r="22" spans="1:4" ht="312" x14ac:dyDescent="0.35">
      <c r="A22" s="86" t="s">
        <v>195</v>
      </c>
      <c r="B22" s="86" t="s">
        <v>282</v>
      </c>
      <c r="C22" s="87" t="s">
        <v>283</v>
      </c>
      <c r="D22" s="90" t="s">
        <v>284</v>
      </c>
    </row>
    <row r="23" spans="1:4" ht="208" x14ac:dyDescent="0.35">
      <c r="A23" s="86" t="s">
        <v>195</v>
      </c>
      <c r="B23" s="86" t="s">
        <v>285</v>
      </c>
      <c r="C23" s="87" t="s">
        <v>286</v>
      </c>
      <c r="D23" s="90" t="s">
        <v>287</v>
      </c>
    </row>
    <row r="24" spans="1:4" ht="260" x14ac:dyDescent="0.35">
      <c r="A24" s="86" t="s">
        <v>195</v>
      </c>
      <c r="B24" s="86" t="s">
        <v>288</v>
      </c>
      <c r="C24" s="87" t="s">
        <v>289</v>
      </c>
      <c r="D24" s="90" t="s">
        <v>290</v>
      </c>
    </row>
    <row r="25" spans="1:4" ht="260" x14ac:dyDescent="0.35">
      <c r="A25" s="86" t="s">
        <v>195</v>
      </c>
      <c r="B25" s="86" t="s">
        <v>291</v>
      </c>
      <c r="C25" s="87" t="s">
        <v>292</v>
      </c>
      <c r="D25" s="90" t="s">
        <v>293</v>
      </c>
    </row>
    <row r="26" spans="1:4" ht="221" x14ac:dyDescent="0.35">
      <c r="A26" s="86" t="s">
        <v>195</v>
      </c>
      <c r="B26" s="86" t="s">
        <v>294</v>
      </c>
      <c r="C26" s="87" t="s">
        <v>295</v>
      </c>
      <c r="D26" s="90" t="s">
        <v>296</v>
      </c>
    </row>
    <row r="27" spans="1:4" ht="260" x14ac:dyDescent="0.35">
      <c r="A27" s="86" t="s">
        <v>195</v>
      </c>
      <c r="B27" s="86" t="s">
        <v>297</v>
      </c>
      <c r="C27" s="87" t="s">
        <v>298</v>
      </c>
      <c r="D27" s="90" t="s">
        <v>299</v>
      </c>
    </row>
    <row r="28" spans="1:4" ht="143" x14ac:dyDescent="0.35">
      <c r="A28" s="86" t="s">
        <v>195</v>
      </c>
      <c r="B28" s="86" t="s">
        <v>300</v>
      </c>
      <c r="C28" s="87" t="s">
        <v>301</v>
      </c>
      <c r="D28" s="90" t="s">
        <v>302</v>
      </c>
    </row>
    <row r="29" spans="1:4" s="92" customFormat="1" ht="169" x14ac:dyDescent="0.35">
      <c r="A29" s="86" t="s">
        <v>195</v>
      </c>
      <c r="B29" s="86" t="s">
        <v>303</v>
      </c>
      <c r="C29" s="87" t="s">
        <v>304</v>
      </c>
      <c r="D29" s="90" t="s">
        <v>305</v>
      </c>
    </row>
    <row r="30" spans="1:4" ht="221" x14ac:dyDescent="0.35">
      <c r="A30" s="93" t="s">
        <v>195</v>
      </c>
      <c r="B30" s="93" t="s">
        <v>306</v>
      </c>
      <c r="C30" s="94" t="s">
        <v>307</v>
      </c>
      <c r="D30" s="95" t="s">
        <v>308</v>
      </c>
    </row>
    <row r="31" spans="1:4" ht="169" x14ac:dyDescent="0.35">
      <c r="A31" s="93" t="s">
        <v>195</v>
      </c>
      <c r="B31" s="93" t="s">
        <v>309</v>
      </c>
      <c r="C31" s="94" t="s">
        <v>310</v>
      </c>
      <c r="D31" s="90" t="s">
        <v>311</v>
      </c>
    </row>
    <row r="32" spans="1:4" ht="130" x14ac:dyDescent="0.35">
      <c r="A32" s="86" t="s">
        <v>195</v>
      </c>
      <c r="B32" s="86" t="s">
        <v>312</v>
      </c>
      <c r="C32" s="87" t="s">
        <v>313</v>
      </c>
      <c r="D32" s="90" t="s">
        <v>314</v>
      </c>
    </row>
    <row r="33" spans="1:4" ht="143" x14ac:dyDescent="0.35">
      <c r="A33" s="86" t="s">
        <v>195</v>
      </c>
      <c r="B33" s="86" t="s">
        <v>315</v>
      </c>
      <c r="C33" s="87" t="s">
        <v>261</v>
      </c>
      <c r="D33" s="90" t="s">
        <v>316</v>
      </c>
    </row>
    <row r="34" spans="1:4" ht="169" x14ac:dyDescent="0.35">
      <c r="A34" s="86" t="s">
        <v>195</v>
      </c>
      <c r="B34" s="86" t="s">
        <v>317</v>
      </c>
      <c r="C34" s="87" t="s">
        <v>318</v>
      </c>
      <c r="D34" s="90" t="s">
        <v>319</v>
      </c>
    </row>
    <row r="35" spans="1:4" ht="273" x14ac:dyDescent="0.35">
      <c r="A35" s="83" t="s">
        <v>195</v>
      </c>
      <c r="B35" s="83" t="s">
        <v>320</v>
      </c>
      <c r="C35" s="84" t="s">
        <v>292</v>
      </c>
      <c r="D35" s="89" t="s">
        <v>321</v>
      </c>
    </row>
    <row r="36" spans="1:4" ht="143" x14ac:dyDescent="0.35">
      <c r="A36" s="83" t="s">
        <v>195</v>
      </c>
      <c r="B36" s="83" t="s">
        <v>322</v>
      </c>
      <c r="C36" s="84" t="s">
        <v>301</v>
      </c>
      <c r="D36" s="89" t="s">
        <v>323</v>
      </c>
    </row>
    <row r="37" spans="1:4" ht="260" x14ac:dyDescent="0.35">
      <c r="A37" s="83" t="s">
        <v>195</v>
      </c>
      <c r="B37" s="83" t="s">
        <v>324</v>
      </c>
      <c r="C37" s="84" t="s">
        <v>325</v>
      </c>
      <c r="D37" s="89" t="s">
        <v>326</v>
      </c>
    </row>
    <row r="38" spans="1:4" ht="143" x14ac:dyDescent="0.35">
      <c r="A38" s="83" t="s">
        <v>195</v>
      </c>
      <c r="B38" s="83" t="s">
        <v>327</v>
      </c>
      <c r="C38" s="84" t="s">
        <v>261</v>
      </c>
      <c r="D38" s="89" t="s">
        <v>316</v>
      </c>
    </row>
    <row r="39" spans="1:4" ht="169" x14ac:dyDescent="0.35">
      <c r="A39" s="83" t="s">
        <v>195</v>
      </c>
      <c r="B39" s="83" t="s">
        <v>328</v>
      </c>
      <c r="C39" s="84" t="s">
        <v>329</v>
      </c>
      <c r="D39" s="89" t="s">
        <v>897</v>
      </c>
    </row>
    <row r="40" spans="1:4" ht="104" x14ac:dyDescent="0.35">
      <c r="A40" s="83" t="s">
        <v>195</v>
      </c>
      <c r="B40" s="83" t="s">
        <v>330</v>
      </c>
      <c r="C40" s="84" t="s">
        <v>331</v>
      </c>
      <c r="D40" s="89" t="s">
        <v>332</v>
      </c>
    </row>
    <row r="41" spans="1:4" ht="91" x14ac:dyDescent="0.35">
      <c r="A41" s="83" t="s">
        <v>195</v>
      </c>
      <c r="B41" s="83" t="s">
        <v>333</v>
      </c>
      <c r="C41" s="84" t="s">
        <v>334</v>
      </c>
      <c r="D41" s="89" t="s">
        <v>335</v>
      </c>
    </row>
    <row r="42" spans="1:4" ht="104" x14ac:dyDescent="0.35">
      <c r="A42" s="83" t="s">
        <v>195</v>
      </c>
      <c r="B42" s="83" t="s">
        <v>336</v>
      </c>
      <c r="C42" s="84" t="s">
        <v>337</v>
      </c>
      <c r="D42" s="89" t="s">
        <v>338</v>
      </c>
    </row>
    <row r="43" spans="1:4" ht="104" x14ac:dyDescent="0.35">
      <c r="A43" s="83" t="s">
        <v>195</v>
      </c>
      <c r="B43" s="83" t="s">
        <v>339</v>
      </c>
      <c r="C43" s="84" t="s">
        <v>340</v>
      </c>
      <c r="D43" s="89" t="s">
        <v>341</v>
      </c>
    </row>
    <row r="44" spans="1:4" ht="221" x14ac:dyDescent="0.35">
      <c r="A44" s="83" t="s">
        <v>195</v>
      </c>
      <c r="B44" s="83" t="s">
        <v>342</v>
      </c>
      <c r="C44" s="84" t="s">
        <v>343</v>
      </c>
      <c r="D44" s="89" t="s">
        <v>344</v>
      </c>
    </row>
    <row r="45" spans="1:4" ht="221" x14ac:dyDescent="0.35">
      <c r="A45" s="83" t="s">
        <v>195</v>
      </c>
      <c r="B45" s="83" t="s">
        <v>345</v>
      </c>
      <c r="C45" s="84" t="s">
        <v>346</v>
      </c>
      <c r="D45" s="89" t="s">
        <v>347</v>
      </c>
    </row>
    <row r="46" spans="1:4" ht="195" x14ac:dyDescent="0.35">
      <c r="A46" s="83" t="s">
        <v>195</v>
      </c>
      <c r="B46" s="96" t="s">
        <v>348</v>
      </c>
      <c r="C46" s="84" t="s">
        <v>349</v>
      </c>
      <c r="D46" s="89" t="s">
        <v>350</v>
      </c>
    </row>
    <row r="47" spans="1:4" ht="208" x14ac:dyDescent="0.35">
      <c r="A47" s="83"/>
      <c r="B47" s="96" t="s">
        <v>351</v>
      </c>
      <c r="C47" s="84" t="s">
        <v>352</v>
      </c>
      <c r="D47" s="89" t="s">
        <v>353</v>
      </c>
    </row>
    <row r="48" spans="1:4" ht="221" x14ac:dyDescent="0.35">
      <c r="A48" s="83"/>
      <c r="B48" s="96" t="s">
        <v>354</v>
      </c>
      <c r="C48" s="84" t="s">
        <v>355</v>
      </c>
      <c r="D48" s="89" t="s">
        <v>356</v>
      </c>
    </row>
    <row r="49" spans="1:4" ht="221" x14ac:dyDescent="0.35">
      <c r="A49" s="83"/>
      <c r="B49" s="96" t="s">
        <v>357</v>
      </c>
      <c r="C49" s="84" t="s">
        <v>358</v>
      </c>
      <c r="D49" s="89" t="s">
        <v>359</v>
      </c>
    </row>
    <row r="50" spans="1:4" ht="312" x14ac:dyDescent="0.35">
      <c r="A50" s="83"/>
      <c r="B50" s="96" t="s">
        <v>360</v>
      </c>
      <c r="C50" s="84" t="s">
        <v>361</v>
      </c>
      <c r="D50" s="89" t="s">
        <v>362</v>
      </c>
    </row>
    <row r="51" spans="1:4" ht="208" x14ac:dyDescent="0.35">
      <c r="A51" s="83"/>
      <c r="B51" s="96" t="s">
        <v>363</v>
      </c>
      <c r="C51" s="84" t="s">
        <v>364</v>
      </c>
      <c r="D51" s="89" t="s">
        <v>365</v>
      </c>
    </row>
    <row r="52" spans="1:4" ht="182" x14ac:dyDescent="0.35">
      <c r="A52" s="83"/>
      <c r="B52" s="96" t="s">
        <v>366</v>
      </c>
      <c r="C52" s="84" t="s">
        <v>367</v>
      </c>
      <c r="D52" s="89" t="s">
        <v>368</v>
      </c>
    </row>
    <row r="53" spans="1:4" ht="221" x14ac:dyDescent="0.35">
      <c r="A53" s="83"/>
      <c r="B53" s="96" t="s">
        <v>369</v>
      </c>
      <c r="C53" s="84" t="s">
        <v>370</v>
      </c>
      <c r="D53" s="89" t="s">
        <v>371</v>
      </c>
    </row>
    <row r="54" spans="1:4" ht="260" x14ac:dyDescent="0.35">
      <c r="A54" s="83"/>
      <c r="B54" s="96" t="s">
        <v>372</v>
      </c>
      <c r="C54" s="84" t="s">
        <v>373</v>
      </c>
      <c r="D54" s="89" t="s">
        <v>374</v>
      </c>
    </row>
    <row r="55" spans="1:4" ht="130" x14ac:dyDescent="0.35">
      <c r="A55" s="83"/>
      <c r="B55" s="83" t="s">
        <v>375</v>
      </c>
      <c r="C55" s="84" t="s">
        <v>313</v>
      </c>
      <c r="D55" s="89" t="s">
        <v>376</v>
      </c>
    </row>
    <row r="56" spans="1:4" ht="182" x14ac:dyDescent="0.35">
      <c r="A56" s="83" t="s">
        <v>377</v>
      </c>
      <c r="B56" s="83"/>
      <c r="C56" s="84" t="s">
        <v>378</v>
      </c>
      <c r="D56" s="89" t="s">
        <v>898</v>
      </c>
    </row>
    <row r="57" spans="1:4" ht="117" x14ac:dyDescent="0.35">
      <c r="A57" s="83" t="s">
        <v>379</v>
      </c>
      <c r="B57" s="83"/>
      <c r="C57" s="84" t="s">
        <v>380</v>
      </c>
      <c r="D57" s="89" t="s">
        <v>381</v>
      </c>
    </row>
    <row r="58" spans="1:4" ht="91" x14ac:dyDescent="0.35">
      <c r="A58" s="83" t="s">
        <v>382</v>
      </c>
      <c r="B58" s="83" t="s">
        <v>195</v>
      </c>
      <c r="C58" s="84" t="s">
        <v>383</v>
      </c>
      <c r="D58" s="89" t="s">
        <v>384</v>
      </c>
    </row>
    <row r="59" spans="1:4" ht="104" x14ac:dyDescent="0.35">
      <c r="A59" s="83" t="s">
        <v>385</v>
      </c>
      <c r="B59" s="83" t="s">
        <v>195</v>
      </c>
      <c r="C59" s="84" t="s">
        <v>386</v>
      </c>
      <c r="D59" s="89" t="s">
        <v>387</v>
      </c>
    </row>
    <row r="60" spans="1:4" ht="104" x14ac:dyDescent="0.35">
      <c r="A60" s="83" t="s">
        <v>388</v>
      </c>
      <c r="B60" s="83"/>
      <c r="C60" s="84" t="s">
        <v>389</v>
      </c>
      <c r="D60" s="89" t="s">
        <v>390</v>
      </c>
    </row>
    <row r="61" spans="1:4" ht="221" x14ac:dyDescent="0.35">
      <c r="A61" s="83" t="s">
        <v>391</v>
      </c>
      <c r="B61" s="83"/>
      <c r="C61" s="84" t="s">
        <v>392</v>
      </c>
      <c r="D61" s="89" t="s">
        <v>393</v>
      </c>
    </row>
    <row r="62" spans="1:4" ht="221" x14ac:dyDescent="0.35">
      <c r="A62" s="83" t="s">
        <v>394</v>
      </c>
      <c r="B62" s="83"/>
      <c r="C62" s="84" t="s">
        <v>395</v>
      </c>
      <c r="D62" s="89" t="s">
        <v>396</v>
      </c>
    </row>
    <row r="63" spans="1:4" ht="195" x14ac:dyDescent="0.35">
      <c r="A63" s="96" t="s">
        <v>397</v>
      </c>
      <c r="B63" s="83"/>
      <c r="C63" s="84" t="s">
        <v>398</v>
      </c>
      <c r="D63" s="89" t="s">
        <v>399</v>
      </c>
    </row>
    <row r="64" spans="1:4" ht="221" x14ac:dyDescent="0.35">
      <c r="A64" s="81" t="s">
        <v>400</v>
      </c>
      <c r="B64" s="81"/>
      <c r="C64" s="82" t="s">
        <v>231</v>
      </c>
      <c r="D64" s="88" t="s">
        <v>232</v>
      </c>
    </row>
    <row r="65" spans="1:4" ht="221" x14ac:dyDescent="0.35">
      <c r="A65" s="81" t="s">
        <v>401</v>
      </c>
      <c r="B65" s="81"/>
      <c r="C65" s="82" t="s">
        <v>235</v>
      </c>
      <c r="D65" s="88" t="s">
        <v>236</v>
      </c>
    </row>
    <row r="66" spans="1:4" ht="312" x14ac:dyDescent="0.35">
      <c r="A66" s="81" t="s">
        <v>402</v>
      </c>
      <c r="B66" s="81"/>
      <c r="C66" s="82" t="s">
        <v>219</v>
      </c>
      <c r="D66" s="88" t="s">
        <v>220</v>
      </c>
    </row>
    <row r="67" spans="1:4" ht="208" x14ac:dyDescent="0.35">
      <c r="A67" s="81" t="s">
        <v>403</v>
      </c>
      <c r="B67" s="81"/>
      <c r="C67" s="82" t="s">
        <v>241</v>
      </c>
      <c r="D67" s="88" t="s">
        <v>242</v>
      </c>
    </row>
    <row r="68" spans="1:4" ht="377" x14ac:dyDescent="0.35">
      <c r="A68" s="81" t="s">
        <v>404</v>
      </c>
      <c r="B68" s="81" t="s">
        <v>405</v>
      </c>
      <c r="C68" s="82" t="s">
        <v>406</v>
      </c>
      <c r="D68" s="88" t="s">
        <v>407</v>
      </c>
    </row>
    <row r="69" spans="1:4" ht="260" x14ac:dyDescent="0.35">
      <c r="A69" s="81" t="s">
        <v>408</v>
      </c>
      <c r="B69" s="81"/>
      <c r="C69" s="82" t="s">
        <v>245</v>
      </c>
      <c r="D69" s="88" t="s">
        <v>246</v>
      </c>
    </row>
    <row r="70" spans="1:4" ht="221" x14ac:dyDescent="0.35">
      <c r="A70" s="81" t="s">
        <v>409</v>
      </c>
      <c r="B70" s="81"/>
      <c r="C70" s="82" t="s">
        <v>253</v>
      </c>
      <c r="D70" s="88" t="s">
        <v>254</v>
      </c>
    </row>
    <row r="71" spans="1:4" ht="182" x14ac:dyDescent="0.35">
      <c r="A71" s="81" t="s">
        <v>410</v>
      </c>
      <c r="B71" s="81" t="s">
        <v>411</v>
      </c>
      <c r="C71" s="82" t="s">
        <v>257</v>
      </c>
      <c r="D71" s="88" t="s">
        <v>262</v>
      </c>
    </row>
    <row r="72" spans="1:4" ht="208" x14ac:dyDescent="0.35">
      <c r="A72" s="81" t="s">
        <v>412</v>
      </c>
      <c r="B72" s="81"/>
      <c r="C72" s="82" t="s">
        <v>257</v>
      </c>
      <c r="D72" s="88" t="s">
        <v>258</v>
      </c>
    </row>
    <row r="73" spans="1:4" ht="260" x14ac:dyDescent="0.35">
      <c r="A73" s="81" t="s">
        <v>413</v>
      </c>
      <c r="B73" s="81"/>
      <c r="C73" s="82" t="s">
        <v>265</v>
      </c>
      <c r="D73" s="88" t="s">
        <v>266</v>
      </c>
    </row>
    <row r="74" spans="1:4" ht="221" x14ac:dyDescent="0.35">
      <c r="A74" s="81" t="s">
        <v>414</v>
      </c>
      <c r="B74" s="81" t="s">
        <v>415</v>
      </c>
      <c r="C74" s="82" t="s">
        <v>269</v>
      </c>
      <c r="D74" s="88" t="s">
        <v>270</v>
      </c>
    </row>
    <row r="75" spans="1:4" ht="247" x14ac:dyDescent="0.35">
      <c r="A75" s="83"/>
      <c r="B75" s="96" t="s">
        <v>416</v>
      </c>
      <c r="C75" s="84" t="s">
        <v>352</v>
      </c>
      <c r="D75" s="89" t="s">
        <v>417</v>
      </c>
    </row>
    <row r="76" spans="1:4" ht="221" x14ac:dyDescent="0.35">
      <c r="A76" s="83"/>
      <c r="B76" s="96" t="s">
        <v>418</v>
      </c>
      <c r="C76" s="84" t="s">
        <v>367</v>
      </c>
      <c r="D76" s="89" t="s">
        <v>419</v>
      </c>
    </row>
    <row r="77" spans="1:4" ht="208" x14ac:dyDescent="0.35">
      <c r="A77" s="83"/>
      <c r="B77" s="96" t="s">
        <v>420</v>
      </c>
      <c r="C77" s="84" t="s">
        <v>310</v>
      </c>
      <c r="D77" s="89" t="s">
        <v>421</v>
      </c>
    </row>
    <row r="78" spans="1:4" ht="260" x14ac:dyDescent="0.35">
      <c r="A78" s="83"/>
      <c r="B78" s="96" t="s">
        <v>422</v>
      </c>
      <c r="C78" s="84" t="s">
        <v>307</v>
      </c>
      <c r="D78" s="89" t="s">
        <v>423</v>
      </c>
    </row>
    <row r="79" spans="1:4" ht="208" x14ac:dyDescent="0.35">
      <c r="A79" s="83"/>
      <c r="B79" s="96" t="s">
        <v>424</v>
      </c>
      <c r="C79" s="84" t="s">
        <v>304</v>
      </c>
      <c r="D79" s="89" t="s">
        <v>425</v>
      </c>
    </row>
    <row r="80" spans="1:4" ht="208" x14ac:dyDescent="0.35">
      <c r="A80" s="83"/>
      <c r="B80" s="96" t="s">
        <v>426</v>
      </c>
      <c r="C80" s="84" t="s">
        <v>318</v>
      </c>
      <c r="D80" s="89" t="s">
        <v>427</v>
      </c>
    </row>
    <row r="81" spans="1:4" ht="195" x14ac:dyDescent="0.35">
      <c r="A81" s="81" t="s">
        <v>428</v>
      </c>
      <c r="B81" s="81"/>
      <c r="C81" s="82" t="s">
        <v>249</v>
      </c>
      <c r="D81" s="88" t="s">
        <v>250</v>
      </c>
    </row>
    <row r="82" spans="1:4" ht="247" x14ac:dyDescent="0.35">
      <c r="A82" s="81"/>
      <c r="B82" s="81" t="s">
        <v>429</v>
      </c>
      <c r="C82" s="82" t="s">
        <v>249</v>
      </c>
      <c r="D82" s="88" t="s">
        <v>430</v>
      </c>
    </row>
    <row r="83" spans="1:4" ht="273" x14ac:dyDescent="0.35">
      <c r="A83" s="81"/>
      <c r="B83" s="81" t="s">
        <v>431</v>
      </c>
      <c r="C83" s="82" t="s">
        <v>257</v>
      </c>
      <c r="D83" s="88" t="s">
        <v>432</v>
      </c>
    </row>
    <row r="84" spans="1:4" ht="260" x14ac:dyDescent="0.35">
      <c r="A84" s="81"/>
      <c r="B84" s="81" t="s">
        <v>433</v>
      </c>
      <c r="C84" s="82" t="s">
        <v>253</v>
      </c>
      <c r="D84" s="88" t="s">
        <v>434</v>
      </c>
    </row>
    <row r="85" spans="1:4" ht="273" x14ac:dyDescent="0.35">
      <c r="A85" s="81"/>
      <c r="B85" s="81" t="s">
        <v>435</v>
      </c>
      <c r="C85" s="82" t="s">
        <v>231</v>
      </c>
      <c r="D85" s="88" t="s">
        <v>436</v>
      </c>
    </row>
    <row r="86" spans="1:4" ht="364" x14ac:dyDescent="0.35">
      <c r="A86" s="81"/>
      <c r="B86" s="81" t="s">
        <v>437</v>
      </c>
      <c r="C86" s="82" t="s">
        <v>219</v>
      </c>
      <c r="D86" s="88" t="s">
        <v>438</v>
      </c>
    </row>
    <row r="87" spans="1:4" ht="273" x14ac:dyDescent="0.35">
      <c r="A87" s="81"/>
      <c r="B87" s="81" t="s">
        <v>439</v>
      </c>
      <c r="C87" s="82" t="s">
        <v>235</v>
      </c>
      <c r="D87" s="88" t="s">
        <v>440</v>
      </c>
    </row>
    <row r="88" spans="1:4" ht="260" x14ac:dyDescent="0.35">
      <c r="A88" s="81"/>
      <c r="B88" s="81" t="s">
        <v>441</v>
      </c>
      <c r="C88" s="82" t="s">
        <v>241</v>
      </c>
      <c r="D88" s="88" t="s">
        <v>442</v>
      </c>
    </row>
    <row r="89" spans="1:4" ht="273" x14ac:dyDescent="0.35">
      <c r="A89" s="81"/>
      <c r="B89" s="81" t="s">
        <v>443</v>
      </c>
      <c r="C89" s="82" t="s">
        <v>245</v>
      </c>
      <c r="D89" s="88" t="s">
        <v>444</v>
      </c>
    </row>
    <row r="90" spans="1:4" ht="273" x14ac:dyDescent="0.35">
      <c r="A90" s="81"/>
      <c r="B90" s="81" t="s">
        <v>445</v>
      </c>
      <c r="C90" s="82" t="s">
        <v>265</v>
      </c>
      <c r="D90" s="88" t="s">
        <v>446</v>
      </c>
    </row>
  </sheetData>
  <sheetProtection algorithmName="SHA-512" hashValue="kOVam+3XYHfDUZ0KlvZUKhCatB88wrxNiZtuO4DcWucoJhv+T7SmLCGgttNH4OfJu+4dOuNKuhBkaj6MXas0bg==" saltValue="r9hunB6dI8++pY/qK8iFZA==" spinCount="100000" sheet="1" objects="1" scenarios="1"/>
  <autoFilter ref="A1:D90" xr:uid="{00000000-0009-0000-0000-00000B000000}"/>
  <sortState xmlns:xlrd2="http://schemas.microsoft.com/office/spreadsheetml/2017/richdata2" ref="D105:D108">
    <sortCondition ref="D105:D108"/>
  </sortState>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dimension ref="A1:C59"/>
  <sheetViews>
    <sheetView topLeftCell="A9" workbookViewId="0">
      <selection activeCell="N36" sqref="N36"/>
    </sheetView>
  </sheetViews>
  <sheetFormatPr defaultColWidth="8.7265625" defaultRowHeight="14.5" x14ac:dyDescent="0.35"/>
  <cols>
    <col min="1" max="1" width="20.453125" bestFit="1" customWidth="1"/>
    <col min="2" max="2" width="13.81640625" bestFit="1" customWidth="1"/>
    <col min="3" max="3" width="8.1796875" bestFit="1" customWidth="1"/>
  </cols>
  <sheetData>
    <row r="1" spans="1:3" x14ac:dyDescent="0.35">
      <c r="A1" s="798" t="s">
        <v>1774</v>
      </c>
      <c r="B1" s="798" t="s">
        <v>1775</v>
      </c>
      <c r="C1" s="798" t="s">
        <v>1935</v>
      </c>
    </row>
    <row r="2" spans="1:3" x14ac:dyDescent="0.35">
      <c r="A2" s="378" t="s">
        <v>115</v>
      </c>
      <c r="B2" s="378" t="s">
        <v>1718</v>
      </c>
      <c r="C2" s="378">
        <v>94601</v>
      </c>
    </row>
    <row r="3" spans="1:3" x14ac:dyDescent="0.35">
      <c r="A3" s="378" t="s">
        <v>116</v>
      </c>
      <c r="B3" s="378" t="s">
        <v>1719</v>
      </c>
      <c r="C3" s="378">
        <v>96120</v>
      </c>
    </row>
    <row r="4" spans="1:3" x14ac:dyDescent="0.35">
      <c r="A4" s="378" t="s">
        <v>117</v>
      </c>
      <c r="B4" s="378" t="s">
        <v>1720</v>
      </c>
      <c r="C4" s="378">
        <v>95642</v>
      </c>
    </row>
    <row r="5" spans="1:3" x14ac:dyDescent="0.35">
      <c r="A5" s="378" t="s">
        <v>118</v>
      </c>
      <c r="B5" s="378" t="s">
        <v>1721</v>
      </c>
      <c r="C5" s="378">
        <v>95966</v>
      </c>
    </row>
    <row r="6" spans="1:3" x14ac:dyDescent="0.35">
      <c r="A6" s="378" t="s">
        <v>119</v>
      </c>
      <c r="B6" s="378" t="s">
        <v>1722</v>
      </c>
      <c r="C6" s="378">
        <v>95249</v>
      </c>
    </row>
    <row r="7" spans="1:3" x14ac:dyDescent="0.35">
      <c r="A7" s="378" t="s">
        <v>120</v>
      </c>
      <c r="B7" s="378" t="s">
        <v>1723</v>
      </c>
      <c r="C7" s="378">
        <v>95932</v>
      </c>
    </row>
    <row r="8" spans="1:3" x14ac:dyDescent="0.35">
      <c r="A8" s="378" t="s">
        <v>121</v>
      </c>
      <c r="B8" s="378" t="s">
        <v>1724</v>
      </c>
      <c r="C8" s="378">
        <v>94553</v>
      </c>
    </row>
    <row r="9" spans="1:3" x14ac:dyDescent="0.35">
      <c r="A9" s="378" t="s">
        <v>122</v>
      </c>
      <c r="B9" s="378" t="s">
        <v>1725</v>
      </c>
      <c r="C9" s="378">
        <v>95531</v>
      </c>
    </row>
    <row r="10" spans="1:3" x14ac:dyDescent="0.35">
      <c r="A10" s="378" t="s">
        <v>123</v>
      </c>
      <c r="B10" s="378" t="s">
        <v>1726</v>
      </c>
      <c r="C10" s="378">
        <v>95667</v>
      </c>
    </row>
    <row r="11" spans="1:3" x14ac:dyDescent="0.35">
      <c r="A11" s="378" t="s">
        <v>124</v>
      </c>
      <c r="B11" s="378" t="s">
        <v>1727</v>
      </c>
      <c r="C11" s="378">
        <v>93650</v>
      </c>
    </row>
    <row r="12" spans="1:3" x14ac:dyDescent="0.35">
      <c r="A12" s="378" t="s">
        <v>125</v>
      </c>
      <c r="B12" s="378" t="s">
        <v>1728</v>
      </c>
      <c r="C12" s="378">
        <v>95988</v>
      </c>
    </row>
    <row r="13" spans="1:3" x14ac:dyDescent="0.35">
      <c r="A13" s="378" t="s">
        <v>126</v>
      </c>
      <c r="B13" s="378" t="s">
        <v>1729</v>
      </c>
      <c r="C13" s="378">
        <v>95501</v>
      </c>
    </row>
    <row r="14" spans="1:3" x14ac:dyDescent="0.35">
      <c r="A14" s="378" t="s">
        <v>127</v>
      </c>
      <c r="B14" s="378" t="s">
        <v>1730</v>
      </c>
      <c r="C14" s="378">
        <v>92243</v>
      </c>
    </row>
    <row r="15" spans="1:3" x14ac:dyDescent="0.35">
      <c r="A15" s="378" t="s">
        <v>128</v>
      </c>
      <c r="B15" s="378" t="s">
        <v>1731</v>
      </c>
      <c r="C15" s="378">
        <v>93526</v>
      </c>
    </row>
    <row r="16" spans="1:3" x14ac:dyDescent="0.35">
      <c r="A16" s="378" t="s">
        <v>129</v>
      </c>
      <c r="B16" s="378" t="s">
        <v>1732</v>
      </c>
      <c r="C16" s="378">
        <v>93308</v>
      </c>
    </row>
    <row r="17" spans="1:3" x14ac:dyDescent="0.35">
      <c r="A17" s="378" t="s">
        <v>130</v>
      </c>
      <c r="B17" s="378" t="s">
        <v>1733</v>
      </c>
      <c r="C17" s="378">
        <v>93230</v>
      </c>
    </row>
    <row r="18" spans="1:3" x14ac:dyDescent="0.35">
      <c r="A18" s="378" t="s">
        <v>131</v>
      </c>
      <c r="B18" s="378" t="s">
        <v>1734</v>
      </c>
      <c r="C18" s="378">
        <v>95453</v>
      </c>
    </row>
    <row r="19" spans="1:3" x14ac:dyDescent="0.35">
      <c r="A19" s="378" t="s">
        <v>132</v>
      </c>
      <c r="B19" s="378" t="s">
        <v>1735</v>
      </c>
      <c r="C19" s="378">
        <v>96127</v>
      </c>
    </row>
    <row r="20" spans="1:3" x14ac:dyDescent="0.35">
      <c r="A20" s="378" t="s">
        <v>133</v>
      </c>
      <c r="B20" s="378" t="s">
        <v>1736</v>
      </c>
      <c r="C20" s="378">
        <v>90001</v>
      </c>
    </row>
    <row r="21" spans="1:3" x14ac:dyDescent="0.35">
      <c r="A21" s="378" t="s">
        <v>134</v>
      </c>
      <c r="B21" s="378" t="s">
        <v>1737</v>
      </c>
      <c r="C21" s="378">
        <v>93636</v>
      </c>
    </row>
    <row r="22" spans="1:3" x14ac:dyDescent="0.35">
      <c r="A22" s="378" t="s">
        <v>135</v>
      </c>
      <c r="B22" s="378" t="s">
        <v>1738</v>
      </c>
      <c r="C22" s="378">
        <v>94901</v>
      </c>
    </row>
    <row r="23" spans="1:3" x14ac:dyDescent="0.35">
      <c r="A23" s="378" t="s">
        <v>136</v>
      </c>
      <c r="B23" s="378" t="s">
        <v>1739</v>
      </c>
      <c r="C23" s="378">
        <v>95338</v>
      </c>
    </row>
    <row r="24" spans="1:3" x14ac:dyDescent="0.35">
      <c r="A24" s="378" t="s">
        <v>137</v>
      </c>
      <c r="B24" s="378" t="s">
        <v>1740</v>
      </c>
      <c r="C24" s="378">
        <v>95482</v>
      </c>
    </row>
    <row r="25" spans="1:3" x14ac:dyDescent="0.35">
      <c r="A25" s="378" t="s">
        <v>138</v>
      </c>
      <c r="B25" s="378" t="s">
        <v>1741</v>
      </c>
      <c r="C25" s="378">
        <v>95340</v>
      </c>
    </row>
    <row r="26" spans="1:3" x14ac:dyDescent="0.35">
      <c r="A26" s="378" t="s">
        <v>139</v>
      </c>
      <c r="B26" s="378" t="s">
        <v>1742</v>
      </c>
      <c r="C26" s="378">
        <v>96101</v>
      </c>
    </row>
    <row r="27" spans="1:3" x14ac:dyDescent="0.35">
      <c r="A27" s="378" t="s">
        <v>140</v>
      </c>
      <c r="B27" s="378" t="s">
        <v>1743</v>
      </c>
      <c r="C27" s="378">
        <v>93517</v>
      </c>
    </row>
    <row r="28" spans="1:3" x14ac:dyDescent="0.35">
      <c r="A28" s="378" t="s">
        <v>141</v>
      </c>
      <c r="B28" s="378" t="s">
        <v>1744</v>
      </c>
      <c r="C28" s="378">
        <v>93901</v>
      </c>
    </row>
    <row r="29" spans="1:3" x14ac:dyDescent="0.35">
      <c r="A29" s="378" t="s">
        <v>142</v>
      </c>
      <c r="B29" s="378" t="s">
        <v>1745</v>
      </c>
      <c r="C29" s="378">
        <v>94559</v>
      </c>
    </row>
    <row r="30" spans="1:3" x14ac:dyDescent="0.35">
      <c r="A30" s="378" t="s">
        <v>143</v>
      </c>
      <c r="B30" s="378" t="s">
        <v>1746</v>
      </c>
      <c r="C30" s="378">
        <v>95959</v>
      </c>
    </row>
    <row r="31" spans="1:3" x14ac:dyDescent="0.35">
      <c r="A31" s="378" t="s">
        <v>144</v>
      </c>
      <c r="B31" s="378" t="s">
        <v>1747</v>
      </c>
      <c r="C31" s="378">
        <v>92701</v>
      </c>
    </row>
    <row r="32" spans="1:3" x14ac:dyDescent="0.35">
      <c r="A32" s="378" t="s">
        <v>145</v>
      </c>
      <c r="B32" s="378" t="s">
        <v>1748</v>
      </c>
      <c r="C32" s="378">
        <v>95602</v>
      </c>
    </row>
    <row r="33" spans="1:3" x14ac:dyDescent="0.35">
      <c r="A33" s="378" t="s">
        <v>146</v>
      </c>
      <c r="B33" s="378" t="s">
        <v>1749</v>
      </c>
      <c r="C33" s="378">
        <v>95971</v>
      </c>
    </row>
    <row r="34" spans="1:3" x14ac:dyDescent="0.35">
      <c r="A34" s="378" t="s">
        <v>147</v>
      </c>
      <c r="B34" s="378" t="s">
        <v>1750</v>
      </c>
      <c r="C34" s="378">
        <v>92501</v>
      </c>
    </row>
    <row r="35" spans="1:3" x14ac:dyDescent="0.35">
      <c r="A35" s="378" t="s">
        <v>148</v>
      </c>
      <c r="B35" s="378" t="s">
        <v>1751</v>
      </c>
      <c r="C35" s="378">
        <v>95823</v>
      </c>
    </row>
    <row r="36" spans="1:3" x14ac:dyDescent="0.35">
      <c r="A36" s="378" t="s">
        <v>149</v>
      </c>
      <c r="B36" s="378" t="s">
        <v>1752</v>
      </c>
      <c r="C36" s="378">
        <v>95023</v>
      </c>
    </row>
    <row r="37" spans="1:3" x14ac:dyDescent="0.35">
      <c r="A37" s="378" t="s">
        <v>150</v>
      </c>
      <c r="B37" s="378" t="s">
        <v>1753</v>
      </c>
      <c r="C37" s="378">
        <v>92401</v>
      </c>
    </row>
    <row r="38" spans="1:3" x14ac:dyDescent="0.35">
      <c r="A38" s="378" t="s">
        <v>151</v>
      </c>
      <c r="B38" s="378" t="s">
        <v>1754</v>
      </c>
      <c r="C38" s="378">
        <v>92093</v>
      </c>
    </row>
    <row r="39" spans="1:3" x14ac:dyDescent="0.35">
      <c r="A39" s="378" t="s">
        <v>152</v>
      </c>
      <c r="B39" s="378" t="s">
        <v>152</v>
      </c>
      <c r="C39" s="378">
        <v>94102</v>
      </c>
    </row>
    <row r="40" spans="1:3" x14ac:dyDescent="0.35">
      <c r="A40" s="378" t="s">
        <v>153</v>
      </c>
      <c r="B40" s="378" t="s">
        <v>1755</v>
      </c>
      <c r="C40" s="378">
        <v>95202</v>
      </c>
    </row>
    <row r="41" spans="1:3" x14ac:dyDescent="0.35">
      <c r="A41" s="378" t="s">
        <v>154</v>
      </c>
      <c r="B41" s="378" t="s">
        <v>1756</v>
      </c>
      <c r="C41" s="378">
        <v>93401</v>
      </c>
    </row>
    <row r="42" spans="1:3" x14ac:dyDescent="0.35">
      <c r="A42" s="378" t="s">
        <v>155</v>
      </c>
      <c r="B42" s="378" t="s">
        <v>1757</v>
      </c>
      <c r="C42" s="378">
        <v>94063</v>
      </c>
    </row>
    <row r="43" spans="1:3" x14ac:dyDescent="0.35">
      <c r="A43" s="378" t="s">
        <v>156</v>
      </c>
      <c r="B43" s="378" t="s">
        <v>1758</v>
      </c>
      <c r="C43" s="378">
        <v>93101</v>
      </c>
    </row>
    <row r="44" spans="1:3" x14ac:dyDescent="0.35">
      <c r="A44" s="378" t="s">
        <v>157</v>
      </c>
      <c r="B44" s="378" t="s">
        <v>1759</v>
      </c>
      <c r="C44" s="378">
        <v>95129</v>
      </c>
    </row>
    <row r="45" spans="1:3" x14ac:dyDescent="0.35">
      <c r="A45" s="378" t="s">
        <v>158</v>
      </c>
      <c r="B45" s="378" t="s">
        <v>1760</v>
      </c>
      <c r="C45" s="378">
        <v>95064</v>
      </c>
    </row>
    <row r="46" spans="1:3" x14ac:dyDescent="0.35">
      <c r="A46" s="378" t="s">
        <v>159</v>
      </c>
      <c r="B46" s="378" t="s">
        <v>1761</v>
      </c>
      <c r="C46" s="378">
        <v>96001</v>
      </c>
    </row>
    <row r="47" spans="1:3" x14ac:dyDescent="0.35">
      <c r="A47" s="378" t="s">
        <v>160</v>
      </c>
      <c r="B47" s="378" t="s">
        <v>1762</v>
      </c>
      <c r="C47" s="378">
        <v>95936</v>
      </c>
    </row>
    <row r="48" spans="1:3" x14ac:dyDescent="0.35">
      <c r="A48" s="378" t="s">
        <v>161</v>
      </c>
      <c r="B48" s="378" t="s">
        <v>1763</v>
      </c>
      <c r="C48" s="378">
        <v>96097</v>
      </c>
    </row>
    <row r="49" spans="1:3" x14ac:dyDescent="0.35">
      <c r="A49" s="378" t="s">
        <v>162</v>
      </c>
      <c r="B49" s="378" t="s">
        <v>1617</v>
      </c>
      <c r="C49" s="378">
        <v>94534</v>
      </c>
    </row>
    <row r="50" spans="1:3" x14ac:dyDescent="0.35">
      <c r="A50" s="378" t="s">
        <v>163</v>
      </c>
      <c r="B50" s="378" t="s">
        <v>1764</v>
      </c>
      <c r="C50" s="378">
        <v>95401</v>
      </c>
    </row>
    <row r="51" spans="1:3" x14ac:dyDescent="0.35">
      <c r="A51" s="378" t="s">
        <v>164</v>
      </c>
      <c r="B51" s="378" t="s">
        <v>1765</v>
      </c>
      <c r="C51" s="378">
        <v>95350</v>
      </c>
    </row>
    <row r="52" spans="1:3" x14ac:dyDescent="0.35">
      <c r="A52" s="378" t="s">
        <v>165</v>
      </c>
      <c r="B52" s="378" t="s">
        <v>1766</v>
      </c>
      <c r="C52" s="378">
        <v>95993</v>
      </c>
    </row>
    <row r="53" spans="1:3" x14ac:dyDescent="0.35">
      <c r="A53" s="378" t="s">
        <v>166</v>
      </c>
      <c r="B53" s="378" t="s">
        <v>1767</v>
      </c>
      <c r="C53" s="378">
        <v>96080</v>
      </c>
    </row>
    <row r="54" spans="1:3" x14ac:dyDescent="0.35">
      <c r="A54" s="378" t="s">
        <v>167</v>
      </c>
      <c r="B54" s="378" t="s">
        <v>1768</v>
      </c>
      <c r="C54" s="378">
        <v>96093</v>
      </c>
    </row>
    <row r="55" spans="1:3" x14ac:dyDescent="0.35">
      <c r="A55" s="378" t="s">
        <v>168</v>
      </c>
      <c r="B55" s="378" t="s">
        <v>1769</v>
      </c>
      <c r="C55" s="378">
        <v>93277</v>
      </c>
    </row>
    <row r="56" spans="1:3" x14ac:dyDescent="0.35">
      <c r="A56" s="378" t="s">
        <v>169</v>
      </c>
      <c r="B56" s="378" t="s">
        <v>1770</v>
      </c>
      <c r="C56" s="378">
        <v>95370</v>
      </c>
    </row>
    <row r="57" spans="1:3" x14ac:dyDescent="0.35">
      <c r="A57" s="378" t="s">
        <v>170</v>
      </c>
      <c r="B57" s="378" t="s">
        <v>1771</v>
      </c>
      <c r="C57" s="378">
        <v>93004</v>
      </c>
    </row>
    <row r="58" spans="1:3" x14ac:dyDescent="0.35">
      <c r="A58" s="378" t="s">
        <v>171</v>
      </c>
      <c r="B58" s="378" t="s">
        <v>1772</v>
      </c>
      <c r="C58" s="378">
        <v>95695</v>
      </c>
    </row>
    <row r="59" spans="1:3" x14ac:dyDescent="0.35">
      <c r="A59" s="378" t="s">
        <v>172</v>
      </c>
      <c r="B59" s="378" t="s">
        <v>1773</v>
      </c>
      <c r="C59" s="378">
        <v>95901</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CHMAData"/>
  <dimension ref="A1:BR61"/>
  <sheetViews>
    <sheetView zoomScale="55" zoomScaleNormal="55" workbookViewId="0">
      <selection activeCell="AI3" sqref="AI3"/>
    </sheetView>
  </sheetViews>
  <sheetFormatPr defaultColWidth="5.54296875" defaultRowHeight="14.5" x14ac:dyDescent="0.35"/>
  <cols>
    <col min="1" max="2" width="22.54296875" customWidth="1"/>
    <col min="3" max="3" width="1.453125" customWidth="1"/>
    <col min="4" max="6" width="18.54296875" customWidth="1"/>
    <col min="7" max="7" width="1.453125" customWidth="1"/>
    <col min="8" max="10" width="18.54296875" customWidth="1"/>
    <col min="11" max="11" width="1.453125" customWidth="1"/>
    <col min="12" max="14" width="18.54296875" customWidth="1"/>
    <col min="15" max="15" width="1.453125" customWidth="1"/>
    <col min="16" max="18" width="18.54296875" customWidth="1"/>
    <col min="19" max="19" width="1.453125" customWidth="1"/>
    <col min="20" max="67" width="18.54296875" customWidth="1"/>
    <col min="68" max="70" width="18.81640625" customWidth="1"/>
  </cols>
  <sheetData>
    <row r="1" spans="1:70" ht="21.5" thickBot="1" x14ac:dyDescent="0.4">
      <c r="A1" s="1389" t="s">
        <v>505</v>
      </c>
      <c r="B1" s="1390"/>
      <c r="C1" s="1396"/>
      <c r="D1" s="1397" t="s">
        <v>506</v>
      </c>
      <c r="E1" s="1398"/>
      <c r="F1" s="1398"/>
      <c r="G1" s="1399"/>
      <c r="H1" s="1397" t="s">
        <v>507</v>
      </c>
      <c r="I1" s="1398"/>
      <c r="J1" s="1398"/>
      <c r="K1" s="1399"/>
      <c r="L1" s="1397" t="s">
        <v>508</v>
      </c>
      <c r="M1" s="1398"/>
      <c r="N1" s="1398"/>
      <c r="O1" s="1399"/>
      <c r="P1" s="1397" t="s">
        <v>509</v>
      </c>
      <c r="Q1" s="1398"/>
      <c r="R1" s="1398"/>
      <c r="S1" s="1399"/>
      <c r="T1" s="1397" t="s">
        <v>510</v>
      </c>
      <c r="U1" s="1398"/>
      <c r="V1" s="1398"/>
      <c r="W1" s="1399"/>
      <c r="X1" s="1389" t="s">
        <v>506</v>
      </c>
      <c r="Y1" s="1390"/>
      <c r="Z1" s="1390"/>
      <c r="AA1" s="1390"/>
      <c r="AB1" s="1390"/>
      <c r="AC1" s="1390"/>
      <c r="AD1" s="1390"/>
      <c r="AE1" s="1390"/>
      <c r="AF1" s="1390"/>
      <c r="AG1" s="1390"/>
      <c r="AH1" s="1390"/>
      <c r="AI1" s="1391" t="s">
        <v>507</v>
      </c>
      <c r="AJ1" s="1392"/>
      <c r="AK1" s="1392"/>
      <c r="AL1" s="1392"/>
      <c r="AM1" s="1392"/>
      <c r="AN1" s="1392"/>
      <c r="AO1" s="1392"/>
      <c r="AP1" s="1392"/>
      <c r="AQ1" s="1392"/>
      <c r="AR1" s="1392"/>
      <c r="AS1" s="1393"/>
      <c r="AT1" s="1394" t="s">
        <v>508</v>
      </c>
      <c r="AU1" s="1387"/>
      <c r="AV1" s="1387"/>
      <c r="AW1" s="1387"/>
      <c r="AX1" s="1387"/>
      <c r="AY1" s="1387"/>
      <c r="AZ1" s="1387"/>
      <c r="BA1" s="1387"/>
      <c r="BB1" s="1387"/>
      <c r="BC1" s="1387"/>
      <c r="BD1" s="1395"/>
      <c r="BE1" s="1386" t="s">
        <v>509</v>
      </c>
      <c r="BF1" s="1387"/>
      <c r="BG1" s="1387"/>
      <c r="BH1" s="1387"/>
      <c r="BI1" s="1387"/>
      <c r="BJ1" s="1387"/>
      <c r="BK1" s="1387"/>
      <c r="BL1" s="1387"/>
      <c r="BM1" s="1387"/>
      <c r="BN1" s="1387"/>
      <c r="BO1" s="1388"/>
      <c r="BP1" s="420"/>
      <c r="BQ1" s="421"/>
      <c r="BR1" s="727"/>
    </row>
    <row r="2" spans="1:70" s="662" customFormat="1" ht="58.5" thickBot="1" x14ac:dyDescent="0.4">
      <c r="A2" s="683" t="s">
        <v>511</v>
      </c>
      <c r="B2" s="140" t="s">
        <v>512</v>
      </c>
      <c r="C2" s="173" t="s">
        <v>513</v>
      </c>
      <c r="D2" s="683" t="s">
        <v>514</v>
      </c>
      <c r="E2" s="684" t="s">
        <v>515</v>
      </c>
      <c r="F2" s="685" t="s">
        <v>516</v>
      </c>
      <c r="G2" s="173" t="s">
        <v>517</v>
      </c>
      <c r="H2" s="683" t="s">
        <v>518</v>
      </c>
      <c r="I2" s="684" t="s">
        <v>519</v>
      </c>
      <c r="J2" s="685" t="s">
        <v>520</v>
      </c>
      <c r="K2" s="173" t="s">
        <v>521</v>
      </c>
      <c r="L2" s="683" t="s">
        <v>522</v>
      </c>
      <c r="M2" s="684" t="s">
        <v>523</v>
      </c>
      <c r="N2" s="685" t="s">
        <v>524</v>
      </c>
      <c r="O2" s="173" t="s">
        <v>525</v>
      </c>
      <c r="P2" s="683" t="s">
        <v>526</v>
      </c>
      <c r="Q2" s="684" t="s">
        <v>527</v>
      </c>
      <c r="R2" s="685" t="s">
        <v>528</v>
      </c>
      <c r="S2" s="686" t="s">
        <v>529</v>
      </c>
      <c r="T2" s="687" t="s">
        <v>530</v>
      </c>
      <c r="U2" s="140" t="s">
        <v>531</v>
      </c>
      <c r="V2" s="140" t="s">
        <v>532</v>
      </c>
      <c r="W2" s="140" t="s">
        <v>533</v>
      </c>
      <c r="X2" s="688" t="s">
        <v>534</v>
      </c>
      <c r="Y2" s="689" t="s">
        <v>535</v>
      </c>
      <c r="Z2" s="689" t="s">
        <v>536</v>
      </c>
      <c r="AA2" s="689" t="s">
        <v>537</v>
      </c>
      <c r="AB2" s="689" t="s">
        <v>538</v>
      </c>
      <c r="AC2" s="107" t="s">
        <v>539</v>
      </c>
      <c r="AD2" s="107" t="s">
        <v>540</v>
      </c>
      <c r="AE2" s="136" t="s">
        <v>541</v>
      </c>
      <c r="AF2" s="107" t="s">
        <v>542</v>
      </c>
      <c r="AG2" s="107" t="s">
        <v>543</v>
      </c>
      <c r="AH2" s="690" t="s">
        <v>544</v>
      </c>
      <c r="AI2" s="691" t="s">
        <v>545</v>
      </c>
      <c r="AJ2" s="692" t="s">
        <v>546</v>
      </c>
      <c r="AK2" s="692" t="s">
        <v>547</v>
      </c>
      <c r="AL2" s="692" t="s">
        <v>548</v>
      </c>
      <c r="AM2" s="692" t="s">
        <v>549</v>
      </c>
      <c r="AN2" s="23" t="s">
        <v>550</v>
      </c>
      <c r="AO2" s="23" t="s">
        <v>551</v>
      </c>
      <c r="AP2" s="5" t="s">
        <v>552</v>
      </c>
      <c r="AQ2" s="23" t="s">
        <v>553</v>
      </c>
      <c r="AR2" s="23" t="s">
        <v>554</v>
      </c>
      <c r="AS2" s="675" t="s">
        <v>555</v>
      </c>
      <c r="AT2" s="693" t="s">
        <v>556</v>
      </c>
      <c r="AU2" s="692" t="s">
        <v>557</v>
      </c>
      <c r="AV2" s="692" t="s">
        <v>558</v>
      </c>
      <c r="AW2" s="692" t="s">
        <v>559</v>
      </c>
      <c r="AX2" s="692" t="s">
        <v>560</v>
      </c>
      <c r="AY2" s="23" t="s">
        <v>561</v>
      </c>
      <c r="AZ2" s="23" t="s">
        <v>562</v>
      </c>
      <c r="BA2" s="665" t="s">
        <v>563</v>
      </c>
      <c r="BB2" s="665" t="s">
        <v>564</v>
      </c>
      <c r="BC2" s="665" t="s">
        <v>565</v>
      </c>
      <c r="BD2" s="666" t="s">
        <v>566</v>
      </c>
      <c r="BE2" s="691" t="s">
        <v>567</v>
      </c>
      <c r="BF2" s="692" t="s">
        <v>568</v>
      </c>
      <c r="BG2" s="692" t="s">
        <v>569</v>
      </c>
      <c r="BH2" s="692" t="s">
        <v>570</v>
      </c>
      <c r="BI2" s="692" t="s">
        <v>571</v>
      </c>
      <c r="BJ2" s="23" t="s">
        <v>572</v>
      </c>
      <c r="BK2" s="23" t="s">
        <v>573</v>
      </c>
      <c r="BL2" s="5" t="s">
        <v>574</v>
      </c>
      <c r="BM2" s="23" t="s">
        <v>575</v>
      </c>
      <c r="BN2" s="23" t="s">
        <v>576</v>
      </c>
      <c r="BO2" s="675" t="s">
        <v>577</v>
      </c>
      <c r="BP2" s="729" t="s">
        <v>578</v>
      </c>
      <c r="BQ2" s="402" t="s">
        <v>681</v>
      </c>
      <c r="BR2" s="728" t="s">
        <v>682</v>
      </c>
    </row>
    <row r="3" spans="1:70" s="662" customFormat="1" ht="14.15" customHeight="1" x14ac:dyDescent="0.35">
      <c r="A3" s="668" t="s">
        <v>504</v>
      </c>
      <c r="B3" s="37" t="s">
        <v>115</v>
      </c>
      <c r="C3" s="669" t="s">
        <v>513</v>
      </c>
      <c r="D3" s="111" t="str">
        <f>IF(SUM(CHMATbl[[#This Row],[UNRESTRICTED UNITS]])=0,"",CHMATbl[[#This Row],[UNRESTRICTED UNITS]])</f>
        <v/>
      </c>
      <c r="E3" s="293" t="str">
        <f xml:space="preserve">
IF(CHMATbl[[#This Row],[UNRESTRICTED FUNDING REQUESTED]]=0,"",
CHMATbl[[#This Row],[UNRESTRICTED FUNDING REQUESTED]]*
IF(CH_MA_UnrestrictedTotalRequested&lt;=5000000,1,
5000000/CH_MA_UnrestrictedTotalRequested)
)</f>
        <v/>
      </c>
      <c r="F3" s="112" t="str">
        <f>IFERROR(CHMATbl[[#This Row],[TOTAL $ REQUESTED]]/SUM(CHMATbl[TOTAL $ REQUESTED]),"")</f>
        <v/>
      </c>
      <c r="G3" s="669" t="s">
        <v>513</v>
      </c>
      <c r="H3" s="111" t="str">
        <f>IF(SUM(CHMATbl[[#This Row],[MANUFACTURED UNITS]])=0,"",CHMATbl[[#This Row],[MANUFACTURED UNITS]])</f>
        <v/>
      </c>
      <c r="I3" s="293" t="str">
        <f xml:space="preserve">
IF(CHMATbl[[#This Row],[MANUFACTURED FUNDING REQUESTED]]=0,"",
CHMATbl[[#This Row],[MANUFACTURED FUNDING REQUESTED]]*
IF(CH_MA_ManufacturedTotalRequested&lt;=(5000000-E$61),1,
(5000000-E$61)/CH_MA_ManufacturedTotalRequested)
)</f>
        <v/>
      </c>
      <c r="J3" s="112" t="str">
        <f>IFERROR(CHMATbl[[#This Row],[TOTAL $ REQUESTED2]]/SUM(CHMATbl[TOTAL $ REQUESTED2]),"")</f>
        <v/>
      </c>
      <c r="K3" s="669" t="s">
        <v>513</v>
      </c>
      <c r="L3" s="111" t="str">
        <f>IF(SUM(CHMATbl[[#This Row],[RURAL UNITS]])=0,"",CHMATbl[[#This Row],[RURAL UNITS]])</f>
        <v/>
      </c>
      <c r="M3" s="293" t="str">
        <f xml:space="preserve">
IF(CHMATbl[[#This Row],[RURAL FUNDING REQUESTED]]=0,"",
CHMATbl[[#This Row],[RURAL FUNDING REQUESTED]]*
IF(CH_MA_RuralTotalRequested&lt;=(5000000-E$61-I$61),1,
(5000000-E$61-I$61)/CH_MA_RuralTotalRequested)
)</f>
        <v/>
      </c>
      <c r="N3" s="112" t="str">
        <f>IFERROR(CHMATbl[[#This Row],[TOTAL $ REQUESTED3]]/SUM(CHMATbl[TOTAL $ REQUESTED3]),"")</f>
        <v/>
      </c>
      <c r="O3" s="669" t="s">
        <v>513</v>
      </c>
      <c r="P3" s="111" t="str">
        <f>IF(SUM(CHMATbl[[#This Row],[MANUFACTURED AND RURAL UNITS]])=0,"",CHMATbl[[#This Row],[MANUFACTURED AND RURAL UNITS]])</f>
        <v/>
      </c>
      <c r="Q3" s="293" t="str">
        <f xml:space="preserve">
IF(CHMATbl[[#This Row],[MANUFACTURED AND RURAL FUNDING REQUESTED]]=0,"",
CHMATbl[[#This Row],[MANUFACTURED AND RURAL FUNDING REQUESTED]]*
IF(CH_MA_MFDRuralTotalRequested&lt;=(5000000-E$61-I$61-M$61),1,
(5000000-E$61-I$61-M$61)/CH_MA_MFDRuralTotalRequested)
)</f>
        <v/>
      </c>
      <c r="R3" s="112" t="str">
        <f>IFERROR(CHMATbl[[#This Row],[TOTAL $ REQUESTED4]]/SUM(CHMATbl[TOTAL $ REQUESTED4]),"")</f>
        <v/>
      </c>
      <c r="S3" s="670" t="s">
        <v>503</v>
      </c>
      <c r="T3" s="734"/>
      <c r="U3" s="698"/>
      <c r="V3" s="698"/>
      <c r="W3" s="735"/>
      <c r="X3" s="700"/>
      <c r="Y3" s="701"/>
      <c r="Z3" s="701"/>
      <c r="AA3" s="701"/>
      <c r="AB3" s="701"/>
      <c r="AC3" s="98">
        <f t="shared" ref="AC3:AC60" si="0">SUM(Z3:AB3)</f>
        <v>0</v>
      </c>
      <c r="AD3" s="61">
        <f>IF(CHMATbl[[#This Row],[UNRESTRICTED FUNDING REQUESTED]]=0,0,CHMATbl[[#This Row],[UNRESTRICTED FUNDING REQUESTED]]/CH_MA_UnrestrictedTotalRequested)</f>
        <v>0</v>
      </c>
      <c r="AE3" s="695">
        <f xml:space="preserve">
IF(CHMATbl[[#This Row],[NEW CONSTRUCTION OR AQUIRE/REHAB]]&lt;&gt;"",
3+IF(CHMATbl[[#This Row],[INFILL SITE]]="Yes",2,0),0)
*CHMATbl[[#This Row],[% OF TOTAL UNRESTRICTED FUNDING]]</f>
        <v>0</v>
      </c>
      <c r="AF3" s="696">
        <f>IF(CHMATbl[[#This Row],[ALL UNITS IN A HIGH OR HIGHEST RESOURCE AREA]]="Yes",10*CHMATbl[[#This Row],[% OF TOTAL UNRESTRICTED FUNDING]],0)</f>
        <v>0</v>
      </c>
      <c r="AG3" s="696" cm="1">
        <f t="array" ref="AG3">INDEX(CountyScoresTbl[Community Need Total Points],ROW(CHMATbl[[#This Row],[COUNTY]])-2,1)*CHMATbl[[#This Row],[% OF TOTAL UNRESTRICTED FUNDING]]</f>
        <v>0</v>
      </c>
      <c r="AH3" s="697" cm="1">
        <f t="array" ref="AH3"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 s="702"/>
      <c r="AJ3" s="703"/>
      <c r="AK3" s="703"/>
      <c r="AL3" s="703"/>
      <c r="AM3" s="703"/>
      <c r="AN3" s="74">
        <f t="shared" ref="AN3:AN60" si="1">SUM(AK3:AM3)</f>
        <v>0</v>
      </c>
      <c r="AO3" s="6">
        <f>IF(CHMATbl[[#This Row],[MANUFACTURED FUNDING REQUESTED]]=0,0,CHMATbl[[#This Row],[MANUFACTURED FUNDING REQUESTED]]/CH_MA_ManufacturedTotalRequested)</f>
        <v>0</v>
      </c>
      <c r="AP3" s="671">
        <f>IF(
CHMATbl[[#This Row],[NEW CONSTRUCTION OR AQUIRE/REHAB]]&lt;&gt;"",
3+IF(CHMATbl[[#This Row],[INFILL SITE]]="Yes",2,0),0)
*CHMATbl[[#This Row],[% OF TOTAL MANUFACTURED FUNDING]]</f>
        <v>0</v>
      </c>
      <c r="AQ3" s="7">
        <f>IF(CHMATbl[[#This Row],[ALL UNITS IN A HIGH OR HIGHEST RESOURCE AREA]]="Yes",10*CHMATbl[[#This Row],[% OF TOTAL MANUFACTURED FUNDING]],0)</f>
        <v>0</v>
      </c>
      <c r="AR3" s="7" cm="1">
        <f t="array" ref="AR3">INDEX(CountyScoresTbl[Community Need Total Points],ROW(CHMATbl[[#This Row],[COUNTY]])-2,1)*CHMATbl[[#This Row],[% OF TOTAL MANUFACTURED FUNDING]]</f>
        <v>0</v>
      </c>
      <c r="AS3" s="8" cm="1">
        <f t="array" ref="AS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 s="705"/>
      <c r="AU3" s="703"/>
      <c r="AV3" s="703"/>
      <c r="AW3" s="703"/>
      <c r="AX3" s="703"/>
      <c r="AY3" s="74">
        <f t="shared" ref="AY3:AY60" si="2">SUM(AV3:AX3)</f>
        <v>0</v>
      </c>
      <c r="AZ3" s="6">
        <f>IF(CHMATbl[[#This Row],[RURAL FUNDING REQUESTED]]=0,0,CHMATbl[[#This Row],[RURAL FUNDING REQUESTED]]/CH_MA_RuralTotalRequested)</f>
        <v>0</v>
      </c>
      <c r="BA3" s="667">
        <f>IF(
CHMATbl[[#This Row],[NEW CONSTRUCTION OR AQUIRE/REHAB]]&lt;&gt;"",
3+IF(CHMATbl[[#This Row],[INFILL SITE]]="Yes",2,0),0)
*CHMATbl[[#This Row],[% OF TOTAL RURAL FUNDING]]</f>
        <v>0</v>
      </c>
      <c r="BB3" s="665">
        <f>IF(
CHMATbl[[#This Row],[ALL UNITS IN A HIGH OR HIGHEST RESOURCE AREA]]="Yes",
10*CHMATbl[[#This Row],[% OF TOTAL RURAL FUNDING]],
0)</f>
        <v>0</v>
      </c>
      <c r="BC3" s="665" cm="1">
        <f t="array" ref="BC3">INDEX(
CountyScoresTbl[Community Need Total Points],
ROW(CHMATbl[[#This Row],[COUNTY]])-2,1)*CHMATbl[[#This Row],[% OF TOTAL RURAL FUNDING]]</f>
        <v>0</v>
      </c>
      <c r="BD3" s="666" cm="1">
        <f t="array" ref="BD3"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 s="116"/>
      <c r="BF3" s="703"/>
      <c r="BG3" s="703"/>
      <c r="BH3" s="703"/>
      <c r="BI3" s="703"/>
      <c r="BJ3" s="74">
        <f t="shared" ref="BJ3:BJ60" si="3">SUM(BG3:BI3)</f>
        <v>0</v>
      </c>
      <c r="BK3" s="6">
        <f>IF(CHMATbl[[#This Row],[MANUFACTURED AND RURAL FUNDING REQUESTED]]=0,0,CHMATbl[[#This Row],[MANUFACTURED AND RURAL FUNDING REQUESTED]]/CH_MA_MFDRuralTotalRequested)</f>
        <v>0</v>
      </c>
      <c r="BL3" s="667">
        <f xml:space="preserve">
IF(CHMATbl[[#This Row],[NEW CONSTRUCTION OR AQUIRE/REHAB]]&lt;&gt;"",
3+IF(CHMATbl[[#This Row],[INFILL SITE]]="Yes",2,0),0)
*CHMATbl[[#This Row],[% OF TOTAL MANUFACTURED AND RURAL FUNDING]]</f>
        <v>0</v>
      </c>
      <c r="BM3" s="665">
        <f>IF(
CHMATbl[[#This Row],[ALL UNITS IN A HIGH OR HIGHEST RESOURCE AREA]]="Yes",
10*CHMATbl[[#This Row],[% OF TOTAL MANUFACTURED AND RURAL FUNDING]],
0)</f>
        <v>0</v>
      </c>
      <c r="BN3" s="665" cm="1">
        <f t="array" ref="BN3">INDEX(
CountyScoresTbl[Community Need Total Points],
ROW(CHMATbl[[#This Row],[COUNTY]])-2,1)*CHMATbl[[#This Row],[% OF TOTAL MANUFACTURED AND RURAL FUNDING]]</f>
        <v>0</v>
      </c>
      <c r="BO3" s="694" cm="1">
        <f t="array" ref="BO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 s="730" t="s">
        <v>504</v>
      </c>
      <c r="BQ3" s="672" t="s">
        <v>504</v>
      </c>
      <c r="BR3" s="673" t="s">
        <v>504</v>
      </c>
    </row>
    <row r="4" spans="1:70" s="662" customFormat="1" x14ac:dyDescent="0.35">
      <c r="A4" s="674"/>
      <c r="B4" s="5" t="s">
        <v>116</v>
      </c>
      <c r="C4" s="38" t="s">
        <v>513</v>
      </c>
      <c r="D4" s="113" t="str">
        <f>IF(SUM(CHMATbl[[#This Row],[UNRESTRICTED UNITS]])=0,"",CHMATbl[[#This Row],[UNRESTRICTED UNITS]])</f>
        <v/>
      </c>
      <c r="E4" s="74" t="str">
        <f xml:space="preserve">
IF(CHMATbl[[#This Row],[UNRESTRICTED FUNDING REQUESTED]]=0,"",
CHMATbl[[#This Row],[UNRESTRICTED FUNDING REQUESTED]]*
IF(CH_MA_UnrestrictedTotalRequested&lt;=5000000,1,
5000000/CH_MA_UnrestrictedTotalRequested)
)</f>
        <v/>
      </c>
      <c r="F4" s="6" t="str">
        <f>IFERROR(CHMATbl[[#This Row],[TOTAL $ REQUESTED]]/SUM(CHMATbl[TOTAL $ REQUESTED]),"")</f>
        <v/>
      </c>
      <c r="G4" s="38" t="s">
        <v>513</v>
      </c>
      <c r="H4" s="113" t="str">
        <f>IF(SUM(CHMATbl[[#This Row],[MANUFACTURED UNITS]])=0,"",CHMATbl[[#This Row],[MANUFACTURED UNITS]])</f>
        <v/>
      </c>
      <c r="I4" s="74" t="str">
        <f xml:space="preserve">
IF(CHMATbl[[#This Row],[MANUFACTURED FUNDING REQUESTED]]=0,"",
CHMATbl[[#This Row],[MANUFACTURED FUNDING REQUESTED]]*
IF(CH_MA_ManufacturedTotalRequested&lt;=(5000000-E$61),1,
(5000000-E$61)/CH_MA_ManufacturedTotalRequested)
)</f>
        <v/>
      </c>
      <c r="J4" s="6" t="str">
        <f>IFERROR(CHMATbl[[#This Row],[TOTAL $ REQUESTED2]]/SUM(CHMATbl[TOTAL $ REQUESTED2]),"")</f>
        <v/>
      </c>
      <c r="K4" s="38" t="s">
        <v>513</v>
      </c>
      <c r="L4" s="113" t="str">
        <f>IF(SUM(CHMATbl[[#This Row],[RURAL UNITS]])=0,"",CHMATbl[[#This Row],[RURAL UNITS]])</f>
        <v/>
      </c>
      <c r="M4" s="74" t="str">
        <f xml:space="preserve">
IF(CHMATbl[[#This Row],[RURAL FUNDING REQUESTED]]=0,"",
CHMATbl[[#This Row],[RURAL FUNDING REQUESTED]]*
IF(CH_MA_RuralTotalRequested&lt;=(5000000-E$61-I$61),1,
(5000000-E$61-I$61)/CH_MA_RuralTotalRequested)
)</f>
        <v/>
      </c>
      <c r="N4" s="6" t="str">
        <f>IFERROR(CHMATbl[[#This Row],[TOTAL $ REQUESTED3]]/SUM(CHMATbl[TOTAL $ REQUESTED3]),"")</f>
        <v/>
      </c>
      <c r="O4" s="38" t="s">
        <v>513</v>
      </c>
      <c r="P4" s="113" t="str">
        <f>IF(SUM(CHMATbl[[#This Row],[MANUFACTURED AND RURAL UNITS]])=0,"",CHMATbl[[#This Row],[MANUFACTURED AND RURAL UNITS]])</f>
        <v/>
      </c>
      <c r="Q4" s="74" t="str">
        <f xml:space="preserve">
IF(CHMATbl[[#This Row],[MANUFACTURED AND RURAL FUNDING REQUESTED]]=0,"",
CHMATbl[[#This Row],[MANUFACTURED AND RURAL FUNDING REQUESTED]]*
IF(CH_MA_MFDRuralTotalRequested&lt;=(5000000-E$61-I$61-M$61),1,
(5000000-E$61-I$61-M$61)/CH_MA_MFDRuralTotalRequested)
)</f>
        <v/>
      </c>
      <c r="R4" s="6" t="str">
        <f>IFERROR(CHMATbl[[#This Row],[TOTAL $ REQUESTED4]]/SUM(CHMATbl[TOTAL $ REQUESTED4]),"")</f>
        <v/>
      </c>
      <c r="S4" s="675" t="s">
        <v>504</v>
      </c>
      <c r="T4" s="736"/>
      <c r="U4" s="699"/>
      <c r="V4" s="699"/>
      <c r="W4" s="737"/>
      <c r="X4" s="702"/>
      <c r="Y4" s="703"/>
      <c r="Z4" s="703"/>
      <c r="AA4" s="703"/>
      <c r="AB4" s="703"/>
      <c r="AC4" s="98">
        <f t="shared" si="0"/>
        <v>0</v>
      </c>
      <c r="AD4" s="6">
        <f>IF(CHMATbl[[#This Row],[UNRESTRICTED FUNDING REQUESTED]]=0,0,CHMATbl[[#This Row],[UNRESTRICTED FUNDING REQUESTED]]/CH_MA_UnrestrictedTotalRequested)</f>
        <v>0</v>
      </c>
      <c r="AE4" s="667">
        <f xml:space="preserve">
IF(CHMATbl[[#This Row],[NEW CONSTRUCTION OR AQUIRE/REHAB]]&lt;&gt;"",
3+IF(CHMATbl[[#This Row],[INFILL SITE]]="Yes",2,0),0)
*CHMATbl[[#This Row],[% OF TOTAL UNRESTRICTED FUNDING]]</f>
        <v>0</v>
      </c>
      <c r="AF4" s="665">
        <f>IF(CHMATbl[[#This Row],[ALL UNITS IN A HIGH OR HIGHEST RESOURCE AREA]]="Yes",10*CHMATbl[[#This Row],[% OF TOTAL UNRESTRICTED FUNDING]],0)</f>
        <v>0</v>
      </c>
      <c r="AG4" s="665" cm="1">
        <f t="array" ref="AG4">INDEX(CountyScoresTbl[Community Need Total Points],ROW(CHMATbl[[#This Row],[COUNTY]])-2,1)*CHMATbl[[#This Row],[% OF TOTAL UNRESTRICTED FUNDING]]</f>
        <v>0</v>
      </c>
      <c r="AH4" s="666" cm="1">
        <f t="array" ref="AH4"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 s="702"/>
      <c r="AJ4" s="703"/>
      <c r="AK4" s="703"/>
      <c r="AL4" s="703"/>
      <c r="AM4" s="703"/>
      <c r="AN4" s="74">
        <f t="shared" si="1"/>
        <v>0</v>
      </c>
      <c r="AO4" s="6">
        <f>IF(CHMATbl[[#This Row],[MANUFACTURED FUNDING REQUESTED]]=0,0,CHMATbl[[#This Row],[MANUFACTURED FUNDING REQUESTED]]/CH_MA_ManufacturedTotalRequested)</f>
        <v>0</v>
      </c>
      <c r="AP4" s="671">
        <f>IF(
CHMATbl[[#This Row],[NEW CONSTRUCTION OR AQUIRE/REHAB]]&lt;&gt;"",
3+IF(CHMATbl[[#This Row],[INFILL SITE]]="Yes",2,0),0)
*CHMATbl[[#This Row],[% OF TOTAL MANUFACTURED FUNDING]]</f>
        <v>0</v>
      </c>
      <c r="AQ4" s="7">
        <f>IF(CHMATbl[[#This Row],[ALL UNITS IN A HIGH OR HIGHEST RESOURCE AREA]]="Yes",10*CHMATbl[[#This Row],[% OF TOTAL MANUFACTURED FUNDING]],0)</f>
        <v>0</v>
      </c>
      <c r="AR4" s="7" cm="1">
        <f t="array" ref="AR4">INDEX(CountyScoresTbl[Community Need Total Points],ROW(CHMATbl[[#This Row],[COUNTY]])-2,1)*CHMATbl[[#This Row],[% OF TOTAL MANUFACTURED FUNDING]]</f>
        <v>0</v>
      </c>
      <c r="AS4" s="8" cm="1">
        <f t="array" ref="AS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 s="705"/>
      <c r="AU4" s="703"/>
      <c r="AV4" s="703"/>
      <c r="AW4" s="703"/>
      <c r="AX4" s="703"/>
      <c r="AY4" s="74">
        <f t="shared" si="2"/>
        <v>0</v>
      </c>
      <c r="AZ4" s="6">
        <f>IF(CHMATbl[[#This Row],[RURAL FUNDING REQUESTED]]=0,0,CHMATbl[[#This Row],[RURAL FUNDING REQUESTED]]/CH_MA_RuralTotalRequested)</f>
        <v>0</v>
      </c>
      <c r="BA4" s="667">
        <f>IF(
CHMATbl[[#This Row],[NEW CONSTRUCTION OR AQUIRE/REHAB]]&lt;&gt;"",
3+IF(CHMATbl[[#This Row],[INFILL SITE]]="Yes",2,0),0)
*CHMATbl[[#This Row],[% OF TOTAL RURAL FUNDING]]</f>
        <v>0</v>
      </c>
      <c r="BB4" s="665">
        <f>IF(
CHMATbl[[#This Row],[ALL UNITS IN A HIGH OR HIGHEST RESOURCE AREA]]="Yes",
10*CHMATbl[[#This Row],[% OF TOTAL RURAL FUNDING]],
0)</f>
        <v>0</v>
      </c>
      <c r="BC4" s="665" cm="1">
        <f t="array" ref="BC4">INDEX(
CountyScoresTbl[Community Need Total Points],
ROW(CHMATbl[[#This Row],[COUNTY]])-2,1)*CHMATbl[[#This Row],[% OF TOTAL RURAL FUNDING]]</f>
        <v>0</v>
      </c>
      <c r="BD4" s="666" cm="1">
        <f t="array" ref="BD4"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 s="116"/>
      <c r="BF4" s="703"/>
      <c r="BG4" s="703"/>
      <c r="BH4" s="703"/>
      <c r="BI4" s="703"/>
      <c r="BJ4" s="74">
        <f t="shared" si="3"/>
        <v>0</v>
      </c>
      <c r="BK4" s="6">
        <f>IF(CHMATbl[[#This Row],[MANUFACTURED AND RURAL FUNDING REQUESTED]]=0,0,CHMATbl[[#This Row],[MANUFACTURED AND RURAL FUNDING REQUESTED]]/CH_MA_MFDRuralTotalRequested)</f>
        <v>0</v>
      </c>
      <c r="BL4" s="667">
        <f xml:space="preserve">
IF(CHMATbl[[#This Row],[NEW CONSTRUCTION OR AQUIRE/REHAB]]&lt;&gt;"",
3+IF(CHMATbl[[#This Row],[INFILL SITE]]="Yes",2,0),0)
*CHMATbl[[#This Row],[% OF TOTAL MANUFACTURED AND RURAL FUNDING]]</f>
        <v>0</v>
      </c>
      <c r="BM4" s="665">
        <f>IF(
CHMATbl[[#This Row],[ALL UNITS IN A HIGH OR HIGHEST RESOURCE AREA]]="Yes",
10*CHMATbl[[#This Row],[% OF TOTAL MANUFACTURED AND RURAL FUNDING]],
0)</f>
        <v>0</v>
      </c>
      <c r="BN4" s="665" cm="1">
        <f t="array" ref="BN4">INDEX(
CountyScoresTbl[Community Need Total Points],
ROW(CHMATbl[[#This Row],[COUNTY]])-2,1)*CHMATbl[[#This Row],[% OF TOTAL MANUFACTURED AND RURAL FUNDING]]</f>
        <v>0</v>
      </c>
      <c r="BO4" s="694" cm="1">
        <f t="array" ref="BO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 s="731"/>
      <c r="BQ4" s="676"/>
      <c r="BR4" s="677"/>
    </row>
    <row r="5" spans="1:70" s="662" customFormat="1" x14ac:dyDescent="0.35">
      <c r="A5" s="674"/>
      <c r="B5" s="5" t="s">
        <v>117</v>
      </c>
      <c r="C5" s="38" t="s">
        <v>513</v>
      </c>
      <c r="D5" s="113" t="str">
        <f>IF(SUM(CHMATbl[[#This Row],[UNRESTRICTED UNITS]])=0,"",CHMATbl[[#This Row],[UNRESTRICTED UNITS]])</f>
        <v/>
      </c>
      <c r="E5" s="74" t="str">
        <f xml:space="preserve">
IF(CHMATbl[[#This Row],[UNRESTRICTED FUNDING REQUESTED]]=0,"",
CHMATbl[[#This Row],[UNRESTRICTED FUNDING REQUESTED]]*
IF(CH_MA_UnrestrictedTotalRequested&lt;=5000000,1,
5000000/CH_MA_UnrestrictedTotalRequested)
)</f>
        <v/>
      </c>
      <c r="F5" s="6" t="str">
        <f>IFERROR(CHMATbl[[#This Row],[TOTAL $ REQUESTED]]/SUM(CHMATbl[TOTAL $ REQUESTED]),"")</f>
        <v/>
      </c>
      <c r="G5" s="38" t="s">
        <v>513</v>
      </c>
      <c r="H5" s="113" t="str">
        <f>IF(SUM(CHMATbl[[#This Row],[MANUFACTURED UNITS]])=0,"",CHMATbl[[#This Row],[MANUFACTURED UNITS]])</f>
        <v/>
      </c>
      <c r="I5" s="74" t="str">
        <f xml:space="preserve">
IF(CHMATbl[[#This Row],[MANUFACTURED FUNDING REQUESTED]]=0,"",
CHMATbl[[#This Row],[MANUFACTURED FUNDING REQUESTED]]*
IF(CH_MA_ManufacturedTotalRequested&lt;=(5000000-E$61),1,
(5000000-E$61)/CH_MA_ManufacturedTotalRequested)
)</f>
        <v/>
      </c>
      <c r="J5" s="6" t="str">
        <f>IFERROR(CHMATbl[[#This Row],[TOTAL $ REQUESTED2]]/SUM(CHMATbl[TOTAL $ REQUESTED2]),"")</f>
        <v/>
      </c>
      <c r="K5" s="38" t="s">
        <v>513</v>
      </c>
      <c r="L5" s="113" t="str">
        <f>IF(SUM(CHMATbl[[#This Row],[RURAL UNITS]])=0,"",CHMATbl[[#This Row],[RURAL UNITS]])</f>
        <v/>
      </c>
      <c r="M5" s="74" t="str">
        <f xml:space="preserve">
IF(CHMATbl[[#This Row],[RURAL FUNDING REQUESTED]]=0,"",
CHMATbl[[#This Row],[RURAL FUNDING REQUESTED]]*
IF(CH_MA_RuralTotalRequested&lt;=(5000000-E$61-I$61),1,
(5000000-E$61-I$61)/CH_MA_RuralTotalRequested)
)</f>
        <v/>
      </c>
      <c r="N5" s="6" t="str">
        <f>IFERROR(CHMATbl[[#This Row],[TOTAL $ REQUESTED3]]/SUM(CHMATbl[TOTAL $ REQUESTED3]),"")</f>
        <v/>
      </c>
      <c r="O5" s="38" t="s">
        <v>513</v>
      </c>
      <c r="P5" s="113" t="str">
        <f>IF(SUM(CHMATbl[[#This Row],[MANUFACTURED AND RURAL UNITS]])=0,"",CHMATbl[[#This Row],[MANUFACTURED AND RURAL UNITS]])</f>
        <v/>
      </c>
      <c r="Q5" s="74" t="str">
        <f xml:space="preserve">
IF(CHMATbl[[#This Row],[MANUFACTURED AND RURAL FUNDING REQUESTED]]=0,"",
CHMATbl[[#This Row],[MANUFACTURED AND RURAL FUNDING REQUESTED]]*
IF(CH_MA_MFDRuralTotalRequested&lt;=(5000000-E$61-I$61-M$61),1,
(5000000-E$61-I$61-M$61)/CH_MA_MFDRuralTotalRequested)
)</f>
        <v/>
      </c>
      <c r="R5" s="6" t="str">
        <f>IFERROR(CHMATbl[[#This Row],[TOTAL $ REQUESTED4]]/SUM(CHMATbl[TOTAL $ REQUESTED4]),"")</f>
        <v/>
      </c>
      <c r="S5" s="38" t="s">
        <v>513</v>
      </c>
      <c r="T5" s="736"/>
      <c r="U5" s="699"/>
      <c r="V5" s="699"/>
      <c r="W5" s="737"/>
      <c r="X5" s="702"/>
      <c r="Y5" s="703"/>
      <c r="Z5" s="703"/>
      <c r="AA5" s="703"/>
      <c r="AB5" s="703"/>
      <c r="AC5" s="98">
        <f t="shared" si="0"/>
        <v>0</v>
      </c>
      <c r="AD5" s="6">
        <f>IF(CHMATbl[[#This Row],[UNRESTRICTED FUNDING REQUESTED]]=0,0,CHMATbl[[#This Row],[UNRESTRICTED FUNDING REQUESTED]]/CH_MA_UnrestrictedTotalRequested)</f>
        <v>0</v>
      </c>
      <c r="AE5" s="667">
        <f xml:space="preserve">
IF(CHMATbl[[#This Row],[NEW CONSTRUCTION OR AQUIRE/REHAB]]&lt;&gt;"",
3+IF(CHMATbl[[#This Row],[INFILL SITE]]="Yes",2,0),0)
*CHMATbl[[#This Row],[% OF TOTAL UNRESTRICTED FUNDING]]</f>
        <v>0</v>
      </c>
      <c r="AF5" s="665">
        <f>IF(CHMATbl[[#This Row],[ALL UNITS IN A HIGH OR HIGHEST RESOURCE AREA]]="Yes",10*CHMATbl[[#This Row],[% OF TOTAL UNRESTRICTED FUNDING]],0)</f>
        <v>0</v>
      </c>
      <c r="AG5" s="665" cm="1">
        <f t="array" ref="AG5">INDEX(CountyScoresTbl[Community Need Total Points],ROW(CHMATbl[[#This Row],[COUNTY]])-2,1)*CHMATbl[[#This Row],[% OF TOTAL UNRESTRICTED FUNDING]]</f>
        <v>0</v>
      </c>
      <c r="AH5" s="666" cm="1">
        <f t="array" ref="AH5"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 s="702"/>
      <c r="AJ5" s="703"/>
      <c r="AK5" s="703"/>
      <c r="AL5" s="703"/>
      <c r="AM5" s="703"/>
      <c r="AN5" s="74">
        <f t="shared" si="1"/>
        <v>0</v>
      </c>
      <c r="AO5" s="6">
        <f>IF(CHMATbl[[#This Row],[MANUFACTURED FUNDING REQUESTED]]=0,0,CHMATbl[[#This Row],[MANUFACTURED FUNDING REQUESTED]]/CH_MA_ManufacturedTotalRequested)</f>
        <v>0</v>
      </c>
      <c r="AP5" s="671">
        <f>IF(
CHMATbl[[#This Row],[NEW CONSTRUCTION OR AQUIRE/REHAB]]&lt;&gt;"",
3+IF(CHMATbl[[#This Row],[INFILL SITE]]="Yes",2,0),0)
*CHMATbl[[#This Row],[% OF TOTAL MANUFACTURED FUNDING]]</f>
        <v>0</v>
      </c>
      <c r="AQ5" s="7">
        <f>IF(CHMATbl[[#This Row],[ALL UNITS IN A HIGH OR HIGHEST RESOURCE AREA]]="Yes",10*CHMATbl[[#This Row],[% OF TOTAL MANUFACTURED FUNDING]],0)</f>
        <v>0</v>
      </c>
      <c r="AR5" s="7" cm="1">
        <f t="array" ref="AR5">INDEX(CountyScoresTbl[Community Need Total Points],ROW(CHMATbl[[#This Row],[COUNTY]])-2,1)*CHMATbl[[#This Row],[% OF TOTAL MANUFACTURED FUNDING]]</f>
        <v>0</v>
      </c>
      <c r="AS5" s="8" cm="1">
        <f t="array" ref="AS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 s="705"/>
      <c r="AU5" s="703"/>
      <c r="AV5" s="703"/>
      <c r="AW5" s="703"/>
      <c r="AX5" s="703"/>
      <c r="AY5" s="74">
        <f t="shared" si="2"/>
        <v>0</v>
      </c>
      <c r="AZ5" s="6">
        <f>IF(CHMATbl[[#This Row],[RURAL FUNDING REQUESTED]]=0,0,CHMATbl[[#This Row],[RURAL FUNDING REQUESTED]]/CH_MA_RuralTotalRequested)</f>
        <v>0</v>
      </c>
      <c r="BA5" s="667">
        <f>IF(
CHMATbl[[#This Row],[NEW CONSTRUCTION OR AQUIRE/REHAB]]&lt;&gt;"",
3+IF(CHMATbl[[#This Row],[INFILL SITE]]="Yes",2,0),0)
*CHMATbl[[#This Row],[% OF TOTAL RURAL FUNDING]]</f>
        <v>0</v>
      </c>
      <c r="BB5" s="665">
        <f>IF(
CHMATbl[[#This Row],[ALL UNITS IN A HIGH OR HIGHEST RESOURCE AREA]]="Yes",
10*CHMATbl[[#This Row],[% OF TOTAL RURAL FUNDING]],
0)</f>
        <v>0</v>
      </c>
      <c r="BC5" s="665" cm="1">
        <f t="array" ref="BC5">INDEX(
CountyScoresTbl[Community Need Total Points],
ROW(CHMATbl[[#This Row],[COUNTY]])-2,1)*CHMATbl[[#This Row],[% OF TOTAL RURAL FUNDING]]</f>
        <v>0</v>
      </c>
      <c r="BD5" s="666" cm="1">
        <f t="array" ref="BD5"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 s="116"/>
      <c r="BF5" s="703"/>
      <c r="BG5" s="703"/>
      <c r="BH5" s="703"/>
      <c r="BI5" s="703"/>
      <c r="BJ5" s="74">
        <f t="shared" si="3"/>
        <v>0</v>
      </c>
      <c r="BK5" s="6">
        <f>IF(CHMATbl[[#This Row],[MANUFACTURED AND RURAL FUNDING REQUESTED]]=0,0,CHMATbl[[#This Row],[MANUFACTURED AND RURAL FUNDING REQUESTED]]/CH_MA_MFDRuralTotalRequested)</f>
        <v>0</v>
      </c>
      <c r="BL5" s="667">
        <f xml:space="preserve">
IF(CHMATbl[[#This Row],[NEW CONSTRUCTION OR AQUIRE/REHAB]]&lt;&gt;"",
3+IF(CHMATbl[[#This Row],[INFILL SITE]]="Yes",2,0),0)
*CHMATbl[[#This Row],[% OF TOTAL MANUFACTURED AND RURAL FUNDING]]</f>
        <v>0</v>
      </c>
      <c r="BM5" s="665">
        <f>IF(
CHMATbl[[#This Row],[ALL UNITS IN A HIGH OR HIGHEST RESOURCE AREA]]="Yes",
10*CHMATbl[[#This Row],[% OF TOTAL MANUFACTURED AND RURAL FUNDING]],
0)</f>
        <v>0</v>
      </c>
      <c r="BN5" s="665" cm="1">
        <f t="array" ref="BN5">INDEX(
CountyScoresTbl[Community Need Total Points],
ROW(CHMATbl[[#This Row],[COUNTY]])-2,1)*CHMATbl[[#This Row],[% OF TOTAL MANUFACTURED AND RURAL FUNDING]]</f>
        <v>0</v>
      </c>
      <c r="BO5" s="694" cm="1">
        <f t="array" ref="BO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 s="732"/>
      <c r="BQ5" s="564"/>
      <c r="BR5" s="678"/>
    </row>
    <row r="6" spans="1:70" s="662" customFormat="1" x14ac:dyDescent="0.35">
      <c r="A6" s="674"/>
      <c r="B6" s="5" t="s">
        <v>118</v>
      </c>
      <c r="C6" s="38" t="s">
        <v>513</v>
      </c>
      <c r="D6" s="113" t="str">
        <f>IF(SUM(CHMATbl[[#This Row],[UNRESTRICTED UNITS]])=0,"",CHMATbl[[#This Row],[UNRESTRICTED UNITS]])</f>
        <v/>
      </c>
      <c r="E6" s="74" t="str">
        <f xml:space="preserve">
IF(CHMATbl[[#This Row],[UNRESTRICTED FUNDING REQUESTED]]=0,"",
CHMATbl[[#This Row],[UNRESTRICTED FUNDING REQUESTED]]*
IF(CH_MA_UnrestrictedTotalRequested&lt;=5000000,1,
5000000/CH_MA_UnrestrictedTotalRequested)
)</f>
        <v/>
      </c>
      <c r="F6" s="6" t="str">
        <f>IFERROR(CHMATbl[[#This Row],[TOTAL $ REQUESTED]]/SUM(CHMATbl[TOTAL $ REQUESTED]),"")</f>
        <v/>
      </c>
      <c r="G6" s="38" t="s">
        <v>513</v>
      </c>
      <c r="H6" s="113" t="str">
        <f>IF(SUM(CHMATbl[[#This Row],[MANUFACTURED UNITS]])=0,"",CHMATbl[[#This Row],[MANUFACTURED UNITS]])</f>
        <v/>
      </c>
      <c r="I6" s="74" t="str">
        <f xml:space="preserve">
IF(CHMATbl[[#This Row],[MANUFACTURED FUNDING REQUESTED]]=0,"",
CHMATbl[[#This Row],[MANUFACTURED FUNDING REQUESTED]]*
IF(CH_MA_ManufacturedTotalRequested&lt;=(5000000-E$61),1,
(5000000-E$61)/CH_MA_ManufacturedTotalRequested)
)</f>
        <v/>
      </c>
      <c r="J6" s="6" t="str">
        <f>IFERROR(CHMATbl[[#This Row],[TOTAL $ REQUESTED2]]/SUM(CHMATbl[TOTAL $ REQUESTED2]),"")</f>
        <v/>
      </c>
      <c r="K6" s="38" t="s">
        <v>513</v>
      </c>
      <c r="L6" s="113" t="str">
        <f>IF(SUM(CHMATbl[[#This Row],[RURAL UNITS]])=0,"",CHMATbl[[#This Row],[RURAL UNITS]])</f>
        <v/>
      </c>
      <c r="M6" s="74" t="str">
        <f xml:space="preserve">
IF(CHMATbl[[#This Row],[RURAL FUNDING REQUESTED]]=0,"",
CHMATbl[[#This Row],[RURAL FUNDING REQUESTED]]*
IF(CH_MA_RuralTotalRequested&lt;=(5000000-E$61-I$61),1,
(5000000-E$61-I$61)/CH_MA_RuralTotalRequested)
)</f>
        <v/>
      </c>
      <c r="N6" s="6" t="str">
        <f>IFERROR(CHMATbl[[#This Row],[TOTAL $ REQUESTED3]]/SUM(CHMATbl[TOTAL $ REQUESTED3]),"")</f>
        <v/>
      </c>
      <c r="O6" s="38" t="s">
        <v>513</v>
      </c>
      <c r="P6" s="113" t="str">
        <f>IF(SUM(CHMATbl[[#This Row],[MANUFACTURED AND RURAL UNITS]])=0,"",CHMATbl[[#This Row],[MANUFACTURED AND RURAL UNITS]])</f>
        <v/>
      </c>
      <c r="Q6" s="74" t="str">
        <f xml:space="preserve">
IF(CHMATbl[[#This Row],[MANUFACTURED AND RURAL FUNDING REQUESTED]]=0,"",
CHMATbl[[#This Row],[MANUFACTURED AND RURAL FUNDING REQUESTED]]*
IF(CH_MA_MFDRuralTotalRequested&lt;=(5000000-E$61-I$61-M$61),1,
(5000000-E$61-I$61-M$61)/CH_MA_MFDRuralTotalRequested)
)</f>
        <v/>
      </c>
      <c r="R6" s="6" t="str">
        <f>IFERROR(CHMATbl[[#This Row],[TOTAL $ REQUESTED4]]/SUM(CHMATbl[TOTAL $ REQUESTED4]),"")</f>
        <v/>
      </c>
      <c r="S6" s="38" t="s">
        <v>513</v>
      </c>
      <c r="T6" s="736"/>
      <c r="U6" s="699"/>
      <c r="V6" s="699"/>
      <c r="W6" s="737"/>
      <c r="X6" s="702"/>
      <c r="Y6" s="703"/>
      <c r="Z6" s="703"/>
      <c r="AA6" s="703"/>
      <c r="AB6" s="703"/>
      <c r="AC6" s="98">
        <f t="shared" si="0"/>
        <v>0</v>
      </c>
      <c r="AD6" s="6">
        <f>IF(CHMATbl[[#This Row],[UNRESTRICTED FUNDING REQUESTED]]=0,0,CHMATbl[[#This Row],[UNRESTRICTED FUNDING REQUESTED]]/CH_MA_UnrestrictedTotalRequested)</f>
        <v>0</v>
      </c>
      <c r="AE6" s="667">
        <f xml:space="preserve">
IF(CHMATbl[[#This Row],[NEW CONSTRUCTION OR AQUIRE/REHAB]]&lt;&gt;"",
3+IF(CHMATbl[[#This Row],[INFILL SITE]]="Yes",2,0),0)
*CHMATbl[[#This Row],[% OF TOTAL UNRESTRICTED FUNDING]]</f>
        <v>0</v>
      </c>
      <c r="AF6" s="665">
        <f>IF(CHMATbl[[#This Row],[ALL UNITS IN A HIGH OR HIGHEST RESOURCE AREA]]="Yes",10*CHMATbl[[#This Row],[% OF TOTAL UNRESTRICTED FUNDING]],0)</f>
        <v>0</v>
      </c>
      <c r="AG6" s="665" cm="1">
        <f t="array" ref="AG6">INDEX(CountyScoresTbl[Community Need Total Points],ROW(CHMATbl[[#This Row],[COUNTY]])-2,1)*CHMATbl[[#This Row],[% OF TOTAL UNRESTRICTED FUNDING]]</f>
        <v>0</v>
      </c>
      <c r="AH6" s="666" cm="1">
        <f t="array" ref="AH6"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6" s="702"/>
      <c r="AJ6" s="703"/>
      <c r="AK6" s="703"/>
      <c r="AL6" s="703"/>
      <c r="AM6" s="703"/>
      <c r="AN6" s="74">
        <f t="shared" si="1"/>
        <v>0</v>
      </c>
      <c r="AO6" s="6">
        <f>IF(CHMATbl[[#This Row],[MANUFACTURED FUNDING REQUESTED]]=0,0,CHMATbl[[#This Row],[MANUFACTURED FUNDING REQUESTED]]/CH_MA_ManufacturedTotalRequested)</f>
        <v>0</v>
      </c>
      <c r="AP6" s="671">
        <f>IF(
CHMATbl[[#This Row],[NEW CONSTRUCTION OR AQUIRE/REHAB]]&lt;&gt;"",
3+IF(CHMATbl[[#This Row],[INFILL SITE]]="Yes",2,0),0)
*CHMATbl[[#This Row],[% OF TOTAL MANUFACTURED FUNDING]]</f>
        <v>0</v>
      </c>
      <c r="AQ6" s="7">
        <f>IF(CHMATbl[[#This Row],[ALL UNITS IN A HIGH OR HIGHEST RESOURCE AREA]]="Yes",10*CHMATbl[[#This Row],[% OF TOTAL MANUFACTURED FUNDING]],0)</f>
        <v>0</v>
      </c>
      <c r="AR6" s="7" cm="1">
        <f t="array" ref="AR6">INDEX(CountyScoresTbl[Community Need Total Points],ROW(CHMATbl[[#This Row],[COUNTY]])-2,1)*CHMATbl[[#This Row],[% OF TOTAL MANUFACTURED FUNDING]]</f>
        <v>0</v>
      </c>
      <c r="AS6" s="8" cm="1">
        <f t="array" ref="AS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6" s="705"/>
      <c r="AU6" s="703"/>
      <c r="AV6" s="703"/>
      <c r="AW6" s="703"/>
      <c r="AX6" s="703"/>
      <c r="AY6" s="74">
        <f t="shared" si="2"/>
        <v>0</v>
      </c>
      <c r="AZ6" s="6">
        <f>IF(CHMATbl[[#This Row],[RURAL FUNDING REQUESTED]]=0,0,CHMATbl[[#This Row],[RURAL FUNDING REQUESTED]]/CH_MA_RuralTotalRequested)</f>
        <v>0</v>
      </c>
      <c r="BA6" s="667">
        <f>IF(
CHMATbl[[#This Row],[NEW CONSTRUCTION OR AQUIRE/REHAB]]&lt;&gt;"",
3+IF(CHMATbl[[#This Row],[INFILL SITE]]="Yes",2,0),0)
*CHMATbl[[#This Row],[% OF TOTAL RURAL FUNDING]]</f>
        <v>0</v>
      </c>
      <c r="BB6" s="665">
        <f>IF(
CHMATbl[[#This Row],[ALL UNITS IN A HIGH OR HIGHEST RESOURCE AREA]]="Yes",
10*CHMATbl[[#This Row],[% OF TOTAL RURAL FUNDING]],
0)</f>
        <v>0</v>
      </c>
      <c r="BC6" s="665" cm="1">
        <f t="array" ref="BC6">INDEX(
CountyScoresTbl[Community Need Total Points],
ROW(CHMATbl[[#This Row],[COUNTY]])-2,1)*CHMATbl[[#This Row],[% OF TOTAL RURAL FUNDING]]</f>
        <v>0</v>
      </c>
      <c r="BD6" s="666" cm="1">
        <f t="array" ref="BD6"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6" s="116"/>
      <c r="BF6" s="703"/>
      <c r="BG6" s="703"/>
      <c r="BH6" s="703"/>
      <c r="BI6" s="703"/>
      <c r="BJ6" s="74">
        <f t="shared" si="3"/>
        <v>0</v>
      </c>
      <c r="BK6" s="6">
        <f>IF(CHMATbl[[#This Row],[MANUFACTURED AND RURAL FUNDING REQUESTED]]=0,0,CHMATbl[[#This Row],[MANUFACTURED AND RURAL FUNDING REQUESTED]]/CH_MA_MFDRuralTotalRequested)</f>
        <v>0</v>
      </c>
      <c r="BL6" s="667">
        <f xml:space="preserve">
IF(CHMATbl[[#This Row],[NEW CONSTRUCTION OR AQUIRE/REHAB]]&lt;&gt;"",
3+IF(CHMATbl[[#This Row],[INFILL SITE]]="Yes",2,0),0)
*CHMATbl[[#This Row],[% OF TOTAL MANUFACTURED AND RURAL FUNDING]]</f>
        <v>0</v>
      </c>
      <c r="BM6" s="665">
        <f>IF(
CHMATbl[[#This Row],[ALL UNITS IN A HIGH OR HIGHEST RESOURCE AREA]]="Yes",
10*CHMATbl[[#This Row],[% OF TOTAL MANUFACTURED AND RURAL FUNDING]],
0)</f>
        <v>0</v>
      </c>
      <c r="BN6" s="665" cm="1">
        <f t="array" ref="BN6">INDEX(
CountyScoresTbl[Community Need Total Points],
ROW(CHMATbl[[#This Row],[COUNTY]])-2,1)*CHMATbl[[#This Row],[% OF TOTAL MANUFACTURED AND RURAL FUNDING]]</f>
        <v>0</v>
      </c>
      <c r="BO6" s="694" cm="1">
        <f t="array" ref="BO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6" s="732"/>
      <c r="BQ6" s="564"/>
      <c r="BR6" s="678"/>
    </row>
    <row r="7" spans="1:70" s="662" customFormat="1" x14ac:dyDescent="0.35">
      <c r="A7" s="674"/>
      <c r="B7" s="5" t="s">
        <v>119</v>
      </c>
      <c r="C7" s="38" t="s">
        <v>513</v>
      </c>
      <c r="D7" s="113" t="str">
        <f>IF(SUM(CHMATbl[[#This Row],[UNRESTRICTED UNITS]])=0,"",CHMATbl[[#This Row],[UNRESTRICTED UNITS]])</f>
        <v/>
      </c>
      <c r="E7" s="74" t="str">
        <f xml:space="preserve">
IF(CHMATbl[[#This Row],[UNRESTRICTED FUNDING REQUESTED]]=0,"",
CHMATbl[[#This Row],[UNRESTRICTED FUNDING REQUESTED]]*
IF(CH_MA_UnrestrictedTotalRequested&lt;=5000000,1,
5000000/CH_MA_UnrestrictedTotalRequested)
)</f>
        <v/>
      </c>
      <c r="F7" s="6" t="str">
        <f>IFERROR(CHMATbl[[#This Row],[TOTAL $ REQUESTED]]/SUM(CHMATbl[TOTAL $ REQUESTED]),"")</f>
        <v/>
      </c>
      <c r="G7" s="38" t="s">
        <v>513</v>
      </c>
      <c r="H7" s="113" t="str">
        <f>IF(SUM(CHMATbl[[#This Row],[MANUFACTURED UNITS]])=0,"",CHMATbl[[#This Row],[MANUFACTURED UNITS]])</f>
        <v/>
      </c>
      <c r="I7" s="74" t="str">
        <f xml:space="preserve">
IF(CHMATbl[[#This Row],[MANUFACTURED FUNDING REQUESTED]]=0,"",
CHMATbl[[#This Row],[MANUFACTURED FUNDING REQUESTED]]*
IF(CH_MA_ManufacturedTotalRequested&lt;=(5000000-E$61),1,
(5000000-E$61)/CH_MA_ManufacturedTotalRequested)
)</f>
        <v/>
      </c>
      <c r="J7" s="6" t="str">
        <f>IFERROR(CHMATbl[[#This Row],[TOTAL $ REQUESTED2]]/SUM(CHMATbl[TOTAL $ REQUESTED2]),"")</f>
        <v/>
      </c>
      <c r="K7" s="38" t="s">
        <v>513</v>
      </c>
      <c r="L7" s="113" t="str">
        <f>IF(SUM(CHMATbl[[#This Row],[RURAL UNITS]])=0,"",CHMATbl[[#This Row],[RURAL UNITS]])</f>
        <v/>
      </c>
      <c r="M7" s="74" t="str">
        <f xml:space="preserve">
IF(CHMATbl[[#This Row],[RURAL FUNDING REQUESTED]]=0,"",
CHMATbl[[#This Row],[RURAL FUNDING REQUESTED]]*
IF(CH_MA_RuralTotalRequested&lt;=(5000000-E$61-I$61),1,
(5000000-E$61-I$61)/CH_MA_RuralTotalRequested)
)</f>
        <v/>
      </c>
      <c r="N7" s="6" t="str">
        <f>IFERROR(CHMATbl[[#This Row],[TOTAL $ REQUESTED3]]/SUM(CHMATbl[TOTAL $ REQUESTED3]),"")</f>
        <v/>
      </c>
      <c r="O7" s="38" t="s">
        <v>513</v>
      </c>
      <c r="P7" s="113" t="str">
        <f>IF(SUM(CHMATbl[[#This Row],[MANUFACTURED AND RURAL UNITS]])=0,"",CHMATbl[[#This Row],[MANUFACTURED AND RURAL UNITS]])</f>
        <v/>
      </c>
      <c r="Q7" s="74" t="str">
        <f xml:space="preserve">
IF(CHMATbl[[#This Row],[MANUFACTURED AND RURAL FUNDING REQUESTED]]=0,"",
CHMATbl[[#This Row],[MANUFACTURED AND RURAL FUNDING REQUESTED]]*
IF(CH_MA_MFDRuralTotalRequested&lt;=(5000000-E$61-I$61-M$61),1,
(5000000-E$61-I$61-M$61)/CH_MA_MFDRuralTotalRequested)
)</f>
        <v/>
      </c>
      <c r="R7" s="6" t="str">
        <f>IFERROR(CHMATbl[[#This Row],[TOTAL $ REQUESTED4]]/SUM(CHMATbl[TOTAL $ REQUESTED4]),"")</f>
        <v/>
      </c>
      <c r="S7" s="675" t="s">
        <v>504</v>
      </c>
      <c r="T7" s="736"/>
      <c r="U7" s="699"/>
      <c r="V7" s="699"/>
      <c r="W7" s="737"/>
      <c r="X7" s="704"/>
      <c r="Y7" s="703"/>
      <c r="Z7" s="703"/>
      <c r="AA7" s="703"/>
      <c r="AB7" s="703"/>
      <c r="AC7" s="98">
        <f t="shared" si="0"/>
        <v>0</v>
      </c>
      <c r="AD7" s="6">
        <f>IF(CHMATbl[[#This Row],[UNRESTRICTED FUNDING REQUESTED]]=0,0,CHMATbl[[#This Row],[UNRESTRICTED FUNDING REQUESTED]]/CH_MA_UnrestrictedTotalRequested)</f>
        <v>0</v>
      </c>
      <c r="AE7" s="667">
        <f xml:space="preserve">
IF(CHMATbl[[#This Row],[NEW CONSTRUCTION OR AQUIRE/REHAB]]&lt;&gt;"",
3+IF(CHMATbl[[#This Row],[INFILL SITE]]="Yes",2,0),0)
*CHMATbl[[#This Row],[% OF TOTAL UNRESTRICTED FUNDING]]</f>
        <v>0</v>
      </c>
      <c r="AF7" s="665">
        <f>IF(CHMATbl[[#This Row],[ALL UNITS IN A HIGH OR HIGHEST RESOURCE AREA]]="Yes",10*CHMATbl[[#This Row],[% OF TOTAL UNRESTRICTED FUNDING]],0)</f>
        <v>0</v>
      </c>
      <c r="AG7" s="665" cm="1">
        <f t="array" ref="AG7">INDEX(CountyScoresTbl[Community Need Total Points],ROW(CHMATbl[[#This Row],[COUNTY]])-2,1)*CHMATbl[[#This Row],[% OF TOTAL UNRESTRICTED FUNDING]]</f>
        <v>0</v>
      </c>
      <c r="AH7" s="666" cm="1">
        <f t="array" ref="AH7"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7" s="704"/>
      <c r="AJ7" s="703"/>
      <c r="AK7" s="703"/>
      <c r="AL7" s="703"/>
      <c r="AM7" s="703"/>
      <c r="AN7" s="74">
        <f t="shared" si="1"/>
        <v>0</v>
      </c>
      <c r="AO7" s="6">
        <f>IF(CHMATbl[[#This Row],[MANUFACTURED FUNDING REQUESTED]]=0,0,CHMATbl[[#This Row],[MANUFACTURED FUNDING REQUESTED]]/CH_MA_ManufacturedTotalRequested)</f>
        <v>0</v>
      </c>
      <c r="AP7" s="671">
        <f>IF(
CHMATbl[[#This Row],[NEW CONSTRUCTION OR AQUIRE/REHAB]]&lt;&gt;"",
3+IF(CHMATbl[[#This Row],[INFILL SITE]]="Yes",2,0),0)
*CHMATbl[[#This Row],[% OF TOTAL MANUFACTURED FUNDING]]</f>
        <v>0</v>
      </c>
      <c r="AQ7" s="7">
        <f>IF(CHMATbl[[#This Row],[ALL UNITS IN A HIGH OR HIGHEST RESOURCE AREA]]="Yes",10*CHMATbl[[#This Row],[% OF TOTAL MANUFACTURED FUNDING]],0)</f>
        <v>0</v>
      </c>
      <c r="AR7" s="7" cm="1">
        <f t="array" ref="AR7">INDEX(CountyScoresTbl[Community Need Total Points],ROW(CHMATbl[[#This Row],[COUNTY]])-2,1)*CHMATbl[[#This Row],[% OF TOTAL MANUFACTURED FUNDING]]</f>
        <v>0</v>
      </c>
      <c r="AS7" s="8" cm="1">
        <f t="array" ref="AS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7" s="705"/>
      <c r="AU7" s="703"/>
      <c r="AV7" s="703"/>
      <c r="AW7" s="703"/>
      <c r="AX7" s="703"/>
      <c r="AY7" s="74">
        <f t="shared" si="2"/>
        <v>0</v>
      </c>
      <c r="AZ7" s="6">
        <f>IF(CHMATbl[[#This Row],[RURAL FUNDING REQUESTED]]=0,0,CHMATbl[[#This Row],[RURAL FUNDING REQUESTED]]/CH_MA_RuralTotalRequested)</f>
        <v>0</v>
      </c>
      <c r="BA7" s="667">
        <f>IF(
CHMATbl[[#This Row],[NEW CONSTRUCTION OR AQUIRE/REHAB]]&lt;&gt;"",
3+IF(CHMATbl[[#This Row],[INFILL SITE]]="Yes",2,0),0)
*CHMATbl[[#This Row],[% OF TOTAL RURAL FUNDING]]</f>
        <v>0</v>
      </c>
      <c r="BB7" s="665">
        <f>IF(
CHMATbl[[#This Row],[ALL UNITS IN A HIGH OR HIGHEST RESOURCE AREA]]="Yes",
10*CHMATbl[[#This Row],[% OF TOTAL RURAL FUNDING]],
0)</f>
        <v>0</v>
      </c>
      <c r="BC7" s="665" cm="1">
        <f t="array" ref="BC7">INDEX(
CountyScoresTbl[Community Need Total Points],
ROW(CHMATbl[[#This Row],[COUNTY]])-2,1)*CHMATbl[[#This Row],[% OF TOTAL RURAL FUNDING]]</f>
        <v>0</v>
      </c>
      <c r="BD7" s="666" cm="1">
        <f t="array" ref="BD7"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7" s="116"/>
      <c r="BF7" s="703"/>
      <c r="BG7" s="703"/>
      <c r="BH7" s="703"/>
      <c r="BI7" s="703"/>
      <c r="BJ7" s="74">
        <f t="shared" si="3"/>
        <v>0</v>
      </c>
      <c r="BK7" s="6">
        <f>IF(CHMATbl[[#This Row],[MANUFACTURED AND RURAL FUNDING REQUESTED]]=0,0,CHMATbl[[#This Row],[MANUFACTURED AND RURAL FUNDING REQUESTED]]/CH_MA_MFDRuralTotalRequested)</f>
        <v>0</v>
      </c>
      <c r="BL7" s="667">
        <f xml:space="preserve">
IF(CHMATbl[[#This Row],[NEW CONSTRUCTION OR AQUIRE/REHAB]]&lt;&gt;"",
3+IF(CHMATbl[[#This Row],[INFILL SITE]]="Yes",2,0),0)
*CHMATbl[[#This Row],[% OF TOTAL MANUFACTURED AND RURAL FUNDING]]</f>
        <v>0</v>
      </c>
      <c r="BM7" s="665">
        <f>IF(
CHMATbl[[#This Row],[ALL UNITS IN A HIGH OR HIGHEST RESOURCE AREA]]="Yes",
10*CHMATbl[[#This Row],[% OF TOTAL MANUFACTURED AND RURAL FUNDING]],
0)</f>
        <v>0</v>
      </c>
      <c r="BN7" s="665" cm="1">
        <f t="array" ref="BN7">INDEX(
CountyScoresTbl[Community Need Total Points],
ROW(CHMATbl[[#This Row],[COUNTY]])-2,1)*CHMATbl[[#This Row],[% OF TOTAL MANUFACTURED AND RURAL FUNDING]]</f>
        <v>0</v>
      </c>
      <c r="BO7" s="694" cm="1">
        <f t="array" ref="BO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7" s="732"/>
      <c r="BQ7" s="564"/>
      <c r="BR7" s="678"/>
    </row>
    <row r="8" spans="1:70" s="662" customFormat="1" x14ac:dyDescent="0.35">
      <c r="A8" s="674"/>
      <c r="B8" s="5" t="s">
        <v>120</v>
      </c>
      <c r="C8" s="38" t="s">
        <v>513</v>
      </c>
      <c r="D8" s="113" t="str">
        <f>IF(SUM(CHMATbl[[#This Row],[UNRESTRICTED UNITS]])=0,"",CHMATbl[[#This Row],[UNRESTRICTED UNITS]])</f>
        <v/>
      </c>
      <c r="E8" s="74" t="str">
        <f xml:space="preserve">
IF(CHMATbl[[#This Row],[UNRESTRICTED FUNDING REQUESTED]]=0,"",
CHMATbl[[#This Row],[UNRESTRICTED FUNDING REQUESTED]]*
IF(CH_MA_UnrestrictedTotalRequested&lt;=5000000,1,
5000000/CH_MA_UnrestrictedTotalRequested)
)</f>
        <v/>
      </c>
      <c r="F8" s="6" t="str">
        <f>IFERROR(CHMATbl[[#This Row],[TOTAL $ REQUESTED]]/SUM(CHMATbl[TOTAL $ REQUESTED]),"")</f>
        <v/>
      </c>
      <c r="G8" s="38" t="s">
        <v>513</v>
      </c>
      <c r="H8" s="113" t="str">
        <f>IF(SUM(CHMATbl[[#This Row],[MANUFACTURED UNITS]])=0,"",CHMATbl[[#This Row],[MANUFACTURED UNITS]])</f>
        <v/>
      </c>
      <c r="I8" s="74" t="str">
        <f xml:space="preserve">
IF(CHMATbl[[#This Row],[MANUFACTURED FUNDING REQUESTED]]=0,"",
CHMATbl[[#This Row],[MANUFACTURED FUNDING REQUESTED]]*
IF(CH_MA_ManufacturedTotalRequested&lt;=(5000000-E$61),1,
(5000000-E$61)/CH_MA_ManufacturedTotalRequested)
)</f>
        <v/>
      </c>
      <c r="J8" s="6" t="str">
        <f>IFERROR(CHMATbl[[#This Row],[TOTAL $ REQUESTED2]]/SUM(CHMATbl[TOTAL $ REQUESTED2]),"")</f>
        <v/>
      </c>
      <c r="K8" s="38" t="s">
        <v>513</v>
      </c>
      <c r="L8" s="113" t="str">
        <f>IF(SUM(CHMATbl[[#This Row],[RURAL UNITS]])=0,"",CHMATbl[[#This Row],[RURAL UNITS]])</f>
        <v/>
      </c>
      <c r="M8" s="74" t="str">
        <f xml:space="preserve">
IF(CHMATbl[[#This Row],[RURAL FUNDING REQUESTED]]=0,"",
CHMATbl[[#This Row],[RURAL FUNDING REQUESTED]]*
IF(CH_MA_RuralTotalRequested&lt;=(5000000-E$61-I$61),1,
(5000000-E$61-I$61)/CH_MA_RuralTotalRequested)
)</f>
        <v/>
      </c>
      <c r="N8" s="6" t="str">
        <f>IFERROR(CHMATbl[[#This Row],[TOTAL $ REQUESTED3]]/SUM(CHMATbl[TOTAL $ REQUESTED3]),"")</f>
        <v/>
      </c>
      <c r="O8" s="38" t="s">
        <v>513</v>
      </c>
      <c r="P8" s="113" t="str">
        <f>IF(SUM(CHMATbl[[#This Row],[MANUFACTURED AND RURAL UNITS]])=0,"",CHMATbl[[#This Row],[MANUFACTURED AND RURAL UNITS]])</f>
        <v/>
      </c>
      <c r="Q8" s="74" t="str">
        <f xml:space="preserve">
IF(CHMATbl[[#This Row],[MANUFACTURED AND RURAL FUNDING REQUESTED]]=0,"",
CHMATbl[[#This Row],[MANUFACTURED AND RURAL FUNDING REQUESTED]]*
IF(CH_MA_MFDRuralTotalRequested&lt;=(5000000-E$61-I$61-M$61),1,
(5000000-E$61-I$61-M$61)/CH_MA_MFDRuralTotalRequested)
)</f>
        <v/>
      </c>
      <c r="R8" s="6" t="str">
        <f>IFERROR(CHMATbl[[#This Row],[TOTAL $ REQUESTED4]]/SUM(CHMATbl[TOTAL $ REQUESTED4]),"")</f>
        <v/>
      </c>
      <c r="S8" s="38" t="s">
        <v>513</v>
      </c>
      <c r="T8" s="736"/>
      <c r="U8" s="699"/>
      <c r="V8" s="699"/>
      <c r="W8" s="737"/>
      <c r="X8" s="702"/>
      <c r="Y8" s="703"/>
      <c r="Z8" s="703"/>
      <c r="AA8" s="703"/>
      <c r="AB8" s="703"/>
      <c r="AC8" s="98">
        <f t="shared" si="0"/>
        <v>0</v>
      </c>
      <c r="AD8" s="6">
        <f>IF(CHMATbl[[#This Row],[UNRESTRICTED FUNDING REQUESTED]]=0,0,CHMATbl[[#This Row],[UNRESTRICTED FUNDING REQUESTED]]/CH_MA_UnrestrictedTotalRequested)</f>
        <v>0</v>
      </c>
      <c r="AE8" s="667">
        <f xml:space="preserve">
IF(CHMATbl[[#This Row],[NEW CONSTRUCTION OR AQUIRE/REHAB]]&lt;&gt;"",
3+IF(CHMATbl[[#This Row],[INFILL SITE]]="Yes",2,0),0)
*CHMATbl[[#This Row],[% OF TOTAL UNRESTRICTED FUNDING]]</f>
        <v>0</v>
      </c>
      <c r="AF8" s="665">
        <f>IF(CHMATbl[[#This Row],[ALL UNITS IN A HIGH OR HIGHEST RESOURCE AREA]]="Yes",10*CHMATbl[[#This Row],[% OF TOTAL UNRESTRICTED FUNDING]],0)</f>
        <v>0</v>
      </c>
      <c r="AG8" s="665" cm="1">
        <f t="array" ref="AG8">INDEX(CountyScoresTbl[Community Need Total Points],ROW(CHMATbl[[#This Row],[COUNTY]])-2,1)*CHMATbl[[#This Row],[% OF TOTAL UNRESTRICTED FUNDING]]</f>
        <v>0</v>
      </c>
      <c r="AH8" s="666" cm="1">
        <f t="array" ref="AH8"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8" s="702"/>
      <c r="AJ8" s="703"/>
      <c r="AK8" s="703"/>
      <c r="AL8" s="703"/>
      <c r="AM8" s="703"/>
      <c r="AN8" s="74">
        <f t="shared" si="1"/>
        <v>0</v>
      </c>
      <c r="AO8" s="6">
        <f>IF(CHMATbl[[#This Row],[MANUFACTURED FUNDING REQUESTED]]=0,0,CHMATbl[[#This Row],[MANUFACTURED FUNDING REQUESTED]]/CH_MA_ManufacturedTotalRequested)</f>
        <v>0</v>
      </c>
      <c r="AP8" s="671">
        <f>IF(
CHMATbl[[#This Row],[NEW CONSTRUCTION OR AQUIRE/REHAB]]&lt;&gt;"",
3+IF(CHMATbl[[#This Row],[INFILL SITE]]="Yes",2,0),0)
*CHMATbl[[#This Row],[% OF TOTAL MANUFACTURED FUNDING]]</f>
        <v>0</v>
      </c>
      <c r="AQ8" s="7">
        <f>IF(CHMATbl[[#This Row],[ALL UNITS IN A HIGH OR HIGHEST RESOURCE AREA]]="Yes",10*CHMATbl[[#This Row],[% OF TOTAL MANUFACTURED FUNDING]],0)</f>
        <v>0</v>
      </c>
      <c r="AR8" s="7" cm="1">
        <f t="array" ref="AR8">INDEX(CountyScoresTbl[Community Need Total Points],ROW(CHMATbl[[#This Row],[COUNTY]])-2,1)*CHMATbl[[#This Row],[% OF TOTAL MANUFACTURED FUNDING]]</f>
        <v>0</v>
      </c>
      <c r="AS8" s="8" cm="1">
        <f t="array" ref="AS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8" s="705"/>
      <c r="AU8" s="703"/>
      <c r="AV8" s="703"/>
      <c r="AW8" s="703"/>
      <c r="AX8" s="703"/>
      <c r="AY8" s="74">
        <f t="shared" si="2"/>
        <v>0</v>
      </c>
      <c r="AZ8" s="6">
        <f>IF(CHMATbl[[#This Row],[RURAL FUNDING REQUESTED]]=0,0,CHMATbl[[#This Row],[RURAL FUNDING REQUESTED]]/CH_MA_RuralTotalRequested)</f>
        <v>0</v>
      </c>
      <c r="BA8" s="667">
        <f>IF(
CHMATbl[[#This Row],[NEW CONSTRUCTION OR AQUIRE/REHAB]]&lt;&gt;"",
3+IF(CHMATbl[[#This Row],[INFILL SITE]]="Yes",2,0),0)
*CHMATbl[[#This Row],[% OF TOTAL RURAL FUNDING]]</f>
        <v>0</v>
      </c>
      <c r="BB8" s="665">
        <f>IF(
CHMATbl[[#This Row],[ALL UNITS IN A HIGH OR HIGHEST RESOURCE AREA]]="Yes",
10*CHMATbl[[#This Row],[% OF TOTAL RURAL FUNDING]],
0)</f>
        <v>0</v>
      </c>
      <c r="BC8" s="665" cm="1">
        <f t="array" ref="BC8">INDEX(
CountyScoresTbl[Community Need Total Points],
ROW(CHMATbl[[#This Row],[COUNTY]])-2,1)*CHMATbl[[#This Row],[% OF TOTAL RURAL FUNDING]]</f>
        <v>0</v>
      </c>
      <c r="BD8" s="666" cm="1">
        <f t="array" ref="BD8"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8" s="116"/>
      <c r="BF8" s="703"/>
      <c r="BG8" s="703"/>
      <c r="BH8" s="703"/>
      <c r="BI8" s="703"/>
      <c r="BJ8" s="74">
        <f t="shared" si="3"/>
        <v>0</v>
      </c>
      <c r="BK8" s="6">
        <f>IF(CHMATbl[[#This Row],[MANUFACTURED AND RURAL FUNDING REQUESTED]]=0,0,CHMATbl[[#This Row],[MANUFACTURED AND RURAL FUNDING REQUESTED]]/CH_MA_MFDRuralTotalRequested)</f>
        <v>0</v>
      </c>
      <c r="BL8" s="667">
        <f xml:space="preserve">
IF(CHMATbl[[#This Row],[NEW CONSTRUCTION OR AQUIRE/REHAB]]&lt;&gt;"",
3+IF(CHMATbl[[#This Row],[INFILL SITE]]="Yes",2,0),0)
*CHMATbl[[#This Row],[% OF TOTAL MANUFACTURED AND RURAL FUNDING]]</f>
        <v>0</v>
      </c>
      <c r="BM8" s="665">
        <f>IF(
CHMATbl[[#This Row],[ALL UNITS IN A HIGH OR HIGHEST RESOURCE AREA]]="Yes",
10*CHMATbl[[#This Row],[% OF TOTAL MANUFACTURED AND RURAL FUNDING]],
0)</f>
        <v>0</v>
      </c>
      <c r="BN8" s="665" cm="1">
        <f t="array" ref="BN8">INDEX(
CountyScoresTbl[Community Need Total Points],
ROW(CHMATbl[[#This Row],[COUNTY]])-2,1)*CHMATbl[[#This Row],[% OF TOTAL MANUFACTURED AND RURAL FUNDING]]</f>
        <v>0</v>
      </c>
      <c r="BO8" s="694" cm="1">
        <f t="array" ref="BO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8" s="732"/>
      <c r="BQ8" s="564"/>
      <c r="BR8" s="678"/>
    </row>
    <row r="9" spans="1:70" s="662" customFormat="1" x14ac:dyDescent="0.35">
      <c r="A9" s="674" t="s">
        <v>504</v>
      </c>
      <c r="B9" s="5" t="s">
        <v>121</v>
      </c>
      <c r="C9" s="38" t="s">
        <v>513</v>
      </c>
      <c r="D9" s="113" t="str">
        <f>IF(SUM(CHMATbl[[#This Row],[UNRESTRICTED UNITS]])=0,"",CHMATbl[[#This Row],[UNRESTRICTED UNITS]])</f>
        <v/>
      </c>
      <c r="E9" s="74" t="str">
        <f xml:space="preserve">
IF(CHMATbl[[#This Row],[UNRESTRICTED FUNDING REQUESTED]]=0,"",
CHMATbl[[#This Row],[UNRESTRICTED FUNDING REQUESTED]]*
IF(CH_MA_UnrestrictedTotalRequested&lt;=5000000,1,
5000000/CH_MA_UnrestrictedTotalRequested)
)</f>
        <v/>
      </c>
      <c r="F9" s="6" t="str">
        <f>IFERROR(CHMATbl[[#This Row],[TOTAL $ REQUESTED]]/SUM(CHMATbl[TOTAL $ REQUESTED]),"")</f>
        <v/>
      </c>
      <c r="G9" s="38" t="s">
        <v>513</v>
      </c>
      <c r="H9" s="113" t="str">
        <f>IF(SUM(CHMATbl[[#This Row],[MANUFACTURED UNITS]])=0,"",CHMATbl[[#This Row],[MANUFACTURED UNITS]])</f>
        <v/>
      </c>
      <c r="I9" s="74" t="str">
        <f xml:space="preserve">
IF(CHMATbl[[#This Row],[MANUFACTURED FUNDING REQUESTED]]=0,"",
CHMATbl[[#This Row],[MANUFACTURED FUNDING REQUESTED]]*
IF(CH_MA_ManufacturedTotalRequested&lt;=(5000000-E$61),1,
(5000000-E$61)/CH_MA_ManufacturedTotalRequested)
)</f>
        <v/>
      </c>
      <c r="J9" s="6" t="str">
        <f>IFERROR(CHMATbl[[#This Row],[TOTAL $ REQUESTED2]]/SUM(CHMATbl[TOTAL $ REQUESTED2]),"")</f>
        <v/>
      </c>
      <c r="K9" s="38" t="s">
        <v>513</v>
      </c>
      <c r="L9" s="113" t="str">
        <f>IF(SUM(CHMATbl[[#This Row],[RURAL UNITS]])=0,"",CHMATbl[[#This Row],[RURAL UNITS]])</f>
        <v/>
      </c>
      <c r="M9" s="74" t="str">
        <f xml:space="preserve">
IF(CHMATbl[[#This Row],[RURAL FUNDING REQUESTED]]=0,"",
CHMATbl[[#This Row],[RURAL FUNDING REQUESTED]]*
IF(CH_MA_RuralTotalRequested&lt;=(5000000-E$61-I$61),1,
(5000000-E$61-I$61)/CH_MA_RuralTotalRequested)
)</f>
        <v/>
      </c>
      <c r="N9" s="6" t="str">
        <f>IFERROR(CHMATbl[[#This Row],[TOTAL $ REQUESTED3]]/SUM(CHMATbl[TOTAL $ REQUESTED3]),"")</f>
        <v/>
      </c>
      <c r="O9" s="38" t="s">
        <v>513</v>
      </c>
      <c r="P9" s="113" t="str">
        <f>IF(SUM(CHMATbl[[#This Row],[MANUFACTURED AND RURAL UNITS]])=0,"",CHMATbl[[#This Row],[MANUFACTURED AND RURAL UNITS]])</f>
        <v/>
      </c>
      <c r="Q9" s="74" t="str">
        <f xml:space="preserve">
IF(CHMATbl[[#This Row],[MANUFACTURED AND RURAL FUNDING REQUESTED]]=0,"",
CHMATbl[[#This Row],[MANUFACTURED AND RURAL FUNDING REQUESTED]]*
IF(CH_MA_MFDRuralTotalRequested&lt;=(5000000-E$61-I$61-M$61),1,
(5000000-E$61-I$61-M$61)/CH_MA_MFDRuralTotalRequested)
)</f>
        <v/>
      </c>
      <c r="R9" s="6" t="str">
        <f>IFERROR(CHMATbl[[#This Row],[TOTAL $ REQUESTED4]]/SUM(CHMATbl[TOTAL $ REQUESTED4]),"")</f>
        <v/>
      </c>
      <c r="S9" s="675" t="s">
        <v>504</v>
      </c>
      <c r="T9" s="736"/>
      <c r="U9" s="699"/>
      <c r="V9" s="699"/>
      <c r="W9" s="737"/>
      <c r="X9" s="704"/>
      <c r="Y9" s="703"/>
      <c r="Z9" s="703"/>
      <c r="AA9" s="703"/>
      <c r="AB9" s="703"/>
      <c r="AC9" s="98">
        <f t="shared" si="0"/>
        <v>0</v>
      </c>
      <c r="AD9" s="6">
        <f>IF(CHMATbl[[#This Row],[UNRESTRICTED FUNDING REQUESTED]]=0,0,CHMATbl[[#This Row],[UNRESTRICTED FUNDING REQUESTED]]/CH_MA_UnrestrictedTotalRequested)</f>
        <v>0</v>
      </c>
      <c r="AE9" s="667">
        <f xml:space="preserve">
IF(CHMATbl[[#This Row],[NEW CONSTRUCTION OR AQUIRE/REHAB]]&lt;&gt;"",
3+IF(CHMATbl[[#This Row],[INFILL SITE]]="Yes",2,0),0)
*CHMATbl[[#This Row],[% OF TOTAL UNRESTRICTED FUNDING]]</f>
        <v>0</v>
      </c>
      <c r="AF9" s="665">
        <f>IF(CHMATbl[[#This Row],[ALL UNITS IN A HIGH OR HIGHEST RESOURCE AREA]]="Yes",10*CHMATbl[[#This Row],[% OF TOTAL UNRESTRICTED FUNDING]],0)</f>
        <v>0</v>
      </c>
      <c r="AG9" s="665" cm="1">
        <f t="array" ref="AG9">INDEX(CountyScoresTbl[Community Need Total Points],ROW(CHMATbl[[#This Row],[COUNTY]])-2,1)*CHMATbl[[#This Row],[% OF TOTAL UNRESTRICTED FUNDING]]</f>
        <v>0</v>
      </c>
      <c r="AH9" s="666" cm="1">
        <f t="array" ref="AH9"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9" s="704"/>
      <c r="AJ9" s="703"/>
      <c r="AK9" s="703"/>
      <c r="AL9" s="703"/>
      <c r="AM9" s="703"/>
      <c r="AN9" s="74">
        <f t="shared" si="1"/>
        <v>0</v>
      </c>
      <c r="AO9" s="6">
        <f>IF(CHMATbl[[#This Row],[MANUFACTURED FUNDING REQUESTED]]=0,0,CHMATbl[[#This Row],[MANUFACTURED FUNDING REQUESTED]]/CH_MA_ManufacturedTotalRequested)</f>
        <v>0</v>
      </c>
      <c r="AP9" s="671">
        <f>IF(
CHMATbl[[#This Row],[NEW CONSTRUCTION OR AQUIRE/REHAB]]&lt;&gt;"",
3+IF(CHMATbl[[#This Row],[INFILL SITE]]="Yes",2,0),0)
*CHMATbl[[#This Row],[% OF TOTAL MANUFACTURED FUNDING]]</f>
        <v>0</v>
      </c>
      <c r="AQ9" s="7">
        <f>IF(CHMATbl[[#This Row],[ALL UNITS IN A HIGH OR HIGHEST RESOURCE AREA]]="Yes",10*CHMATbl[[#This Row],[% OF TOTAL MANUFACTURED FUNDING]],0)</f>
        <v>0</v>
      </c>
      <c r="AR9" s="7" cm="1">
        <f t="array" ref="AR9">INDEX(CountyScoresTbl[Community Need Total Points],ROW(CHMATbl[[#This Row],[COUNTY]])-2,1)*CHMATbl[[#This Row],[% OF TOTAL MANUFACTURED FUNDING]]</f>
        <v>0</v>
      </c>
      <c r="AS9" s="8" cm="1">
        <f t="array" ref="AS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9" s="705"/>
      <c r="AU9" s="703"/>
      <c r="AV9" s="703"/>
      <c r="AW9" s="703"/>
      <c r="AX9" s="703"/>
      <c r="AY9" s="74">
        <f t="shared" si="2"/>
        <v>0</v>
      </c>
      <c r="AZ9" s="6">
        <f>IF(CHMATbl[[#This Row],[RURAL FUNDING REQUESTED]]=0,0,CHMATbl[[#This Row],[RURAL FUNDING REQUESTED]]/CH_MA_RuralTotalRequested)</f>
        <v>0</v>
      </c>
      <c r="BA9" s="667">
        <f>IF(
CHMATbl[[#This Row],[NEW CONSTRUCTION OR AQUIRE/REHAB]]&lt;&gt;"",
3+IF(CHMATbl[[#This Row],[INFILL SITE]]="Yes",2,0),0)
*CHMATbl[[#This Row],[% OF TOTAL RURAL FUNDING]]</f>
        <v>0</v>
      </c>
      <c r="BB9" s="665">
        <f>IF(
CHMATbl[[#This Row],[ALL UNITS IN A HIGH OR HIGHEST RESOURCE AREA]]="Yes",
10*CHMATbl[[#This Row],[% OF TOTAL RURAL FUNDING]],
0)</f>
        <v>0</v>
      </c>
      <c r="BC9" s="665" cm="1">
        <f t="array" ref="BC9">INDEX(
CountyScoresTbl[Community Need Total Points],
ROW(CHMATbl[[#This Row],[COUNTY]])-2,1)*CHMATbl[[#This Row],[% OF TOTAL RURAL FUNDING]]</f>
        <v>0</v>
      </c>
      <c r="BD9" s="666" cm="1">
        <f t="array" ref="BD9"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9" s="116"/>
      <c r="BF9" s="703"/>
      <c r="BG9" s="703"/>
      <c r="BH9" s="703"/>
      <c r="BI9" s="703"/>
      <c r="BJ9" s="74">
        <f t="shared" si="3"/>
        <v>0</v>
      </c>
      <c r="BK9" s="6">
        <f>IF(CHMATbl[[#This Row],[MANUFACTURED AND RURAL FUNDING REQUESTED]]=0,0,CHMATbl[[#This Row],[MANUFACTURED AND RURAL FUNDING REQUESTED]]/CH_MA_MFDRuralTotalRequested)</f>
        <v>0</v>
      </c>
      <c r="BL9" s="667">
        <f xml:space="preserve">
IF(CHMATbl[[#This Row],[NEW CONSTRUCTION OR AQUIRE/REHAB]]&lt;&gt;"",
3+IF(CHMATbl[[#This Row],[INFILL SITE]]="Yes",2,0),0)
*CHMATbl[[#This Row],[% OF TOTAL MANUFACTURED AND RURAL FUNDING]]</f>
        <v>0</v>
      </c>
      <c r="BM9" s="665">
        <f>IF(
CHMATbl[[#This Row],[ALL UNITS IN A HIGH OR HIGHEST RESOURCE AREA]]="Yes",
10*CHMATbl[[#This Row],[% OF TOTAL MANUFACTURED AND RURAL FUNDING]],
0)</f>
        <v>0</v>
      </c>
      <c r="BN9" s="665" cm="1">
        <f t="array" ref="BN9">INDEX(
CountyScoresTbl[Community Need Total Points],
ROW(CHMATbl[[#This Row],[COUNTY]])-2,1)*CHMATbl[[#This Row],[% OF TOTAL MANUFACTURED AND RURAL FUNDING]]</f>
        <v>0</v>
      </c>
      <c r="BO9" s="694" cm="1">
        <f t="array" ref="BO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9" s="732"/>
      <c r="BQ9" s="564"/>
      <c r="BR9" s="678"/>
    </row>
    <row r="10" spans="1:70" s="662" customFormat="1" x14ac:dyDescent="0.35">
      <c r="A10" s="679"/>
      <c r="B10" s="5" t="s">
        <v>122</v>
      </c>
      <c r="C10" s="38" t="s">
        <v>513</v>
      </c>
      <c r="D10" s="113" t="str">
        <f>IF(SUM(CHMATbl[[#This Row],[UNRESTRICTED UNITS]])=0,"",CHMATbl[[#This Row],[UNRESTRICTED UNITS]])</f>
        <v/>
      </c>
      <c r="E10" s="74" t="str">
        <f xml:space="preserve">
IF(CHMATbl[[#This Row],[UNRESTRICTED FUNDING REQUESTED]]=0,"",
CHMATbl[[#This Row],[UNRESTRICTED FUNDING REQUESTED]]*
IF(CH_MA_UnrestrictedTotalRequested&lt;=5000000,1,
5000000/CH_MA_UnrestrictedTotalRequested)
)</f>
        <v/>
      </c>
      <c r="F10" s="6" t="str">
        <f>IFERROR(CHMATbl[[#This Row],[TOTAL $ REQUESTED]]/SUM(CHMATbl[TOTAL $ REQUESTED]),"")</f>
        <v/>
      </c>
      <c r="G10" s="38" t="s">
        <v>513</v>
      </c>
      <c r="H10" s="113" t="str">
        <f>IF(SUM(CHMATbl[[#This Row],[MANUFACTURED UNITS]])=0,"",CHMATbl[[#This Row],[MANUFACTURED UNITS]])</f>
        <v/>
      </c>
      <c r="I10" s="74" t="str">
        <f xml:space="preserve">
IF(CHMATbl[[#This Row],[MANUFACTURED FUNDING REQUESTED]]=0,"",
CHMATbl[[#This Row],[MANUFACTURED FUNDING REQUESTED]]*
IF(CH_MA_ManufacturedTotalRequested&lt;=(5000000-E$61),1,
(5000000-E$61)/CH_MA_ManufacturedTotalRequested)
)</f>
        <v/>
      </c>
      <c r="J10" s="6" t="str">
        <f>IFERROR(CHMATbl[[#This Row],[TOTAL $ REQUESTED2]]/SUM(CHMATbl[TOTAL $ REQUESTED2]),"")</f>
        <v/>
      </c>
      <c r="K10" s="38" t="s">
        <v>513</v>
      </c>
      <c r="L10" s="113" t="str">
        <f>IF(SUM(CHMATbl[[#This Row],[RURAL UNITS]])=0,"",CHMATbl[[#This Row],[RURAL UNITS]])</f>
        <v/>
      </c>
      <c r="M10" s="74" t="str">
        <f xml:space="preserve">
IF(CHMATbl[[#This Row],[RURAL FUNDING REQUESTED]]=0,"",
CHMATbl[[#This Row],[RURAL FUNDING REQUESTED]]*
IF(CH_MA_RuralTotalRequested&lt;=(5000000-E$61-I$61),1,
(5000000-E$61-I$61)/CH_MA_RuralTotalRequested)
)</f>
        <v/>
      </c>
      <c r="N10" s="6" t="str">
        <f>IFERROR(CHMATbl[[#This Row],[TOTAL $ REQUESTED3]]/SUM(CHMATbl[TOTAL $ REQUESTED3]),"")</f>
        <v/>
      </c>
      <c r="O10" s="38" t="s">
        <v>513</v>
      </c>
      <c r="P10" s="113" t="str">
        <f>IF(SUM(CHMATbl[[#This Row],[MANUFACTURED AND RURAL UNITS]])=0,"",CHMATbl[[#This Row],[MANUFACTURED AND RURAL UNITS]])</f>
        <v/>
      </c>
      <c r="Q10" s="74" t="str">
        <f xml:space="preserve">
IF(CHMATbl[[#This Row],[MANUFACTURED AND RURAL FUNDING REQUESTED]]=0,"",
CHMATbl[[#This Row],[MANUFACTURED AND RURAL FUNDING REQUESTED]]*
IF(CH_MA_MFDRuralTotalRequested&lt;=(5000000-E$61-I$61-M$61),1,
(5000000-E$61-I$61-M$61)/CH_MA_MFDRuralTotalRequested)
)</f>
        <v/>
      </c>
      <c r="R10" s="6" t="str">
        <f>IFERROR(CHMATbl[[#This Row],[TOTAL $ REQUESTED4]]/SUM(CHMATbl[TOTAL $ REQUESTED4]),"")</f>
        <v/>
      </c>
      <c r="S10" s="38" t="s">
        <v>513</v>
      </c>
      <c r="T10" s="736"/>
      <c r="U10" s="699"/>
      <c r="V10" s="699"/>
      <c r="W10" s="737"/>
      <c r="X10" s="116"/>
      <c r="Y10" s="703"/>
      <c r="Z10" s="703"/>
      <c r="AA10" s="703"/>
      <c r="AB10" s="703"/>
      <c r="AC10" s="98">
        <f t="shared" si="0"/>
        <v>0</v>
      </c>
      <c r="AD10" s="6">
        <f>IF(CHMATbl[[#This Row],[UNRESTRICTED FUNDING REQUESTED]]=0,0,CHMATbl[[#This Row],[UNRESTRICTED FUNDING REQUESTED]]/CH_MA_UnrestrictedTotalRequested)</f>
        <v>0</v>
      </c>
      <c r="AE10" s="667">
        <f xml:space="preserve">
IF(CHMATbl[[#This Row],[NEW CONSTRUCTION OR AQUIRE/REHAB]]&lt;&gt;"",
3+IF(CHMATbl[[#This Row],[INFILL SITE]]="Yes",2,0),0)
*CHMATbl[[#This Row],[% OF TOTAL UNRESTRICTED FUNDING]]</f>
        <v>0</v>
      </c>
      <c r="AF10" s="665">
        <f>IF(CHMATbl[[#This Row],[ALL UNITS IN A HIGH OR HIGHEST RESOURCE AREA]]="Yes",10*CHMATbl[[#This Row],[% OF TOTAL UNRESTRICTED FUNDING]],0)</f>
        <v>0</v>
      </c>
      <c r="AG10" s="665" cm="1">
        <f t="array" ref="AG10">INDEX(CountyScoresTbl[Community Need Total Points],ROW(CHMATbl[[#This Row],[COUNTY]])-2,1)*CHMATbl[[#This Row],[% OF TOTAL UNRESTRICTED FUNDING]]</f>
        <v>0</v>
      </c>
      <c r="AH10" s="666" cm="1">
        <f t="array" ref="AH10"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0" s="116"/>
      <c r="AJ10" s="703"/>
      <c r="AK10" s="703"/>
      <c r="AL10" s="703"/>
      <c r="AM10" s="703"/>
      <c r="AN10" s="74">
        <f t="shared" si="1"/>
        <v>0</v>
      </c>
      <c r="AO10" s="6">
        <f>IF(CHMATbl[[#This Row],[MANUFACTURED FUNDING REQUESTED]]=0,0,CHMATbl[[#This Row],[MANUFACTURED FUNDING REQUESTED]]/CH_MA_ManufacturedTotalRequested)</f>
        <v>0</v>
      </c>
      <c r="AP10" s="671">
        <f>IF(
CHMATbl[[#This Row],[NEW CONSTRUCTION OR AQUIRE/REHAB]]&lt;&gt;"",
3+IF(CHMATbl[[#This Row],[INFILL SITE]]="Yes",2,0),0)
*CHMATbl[[#This Row],[% OF TOTAL MANUFACTURED FUNDING]]</f>
        <v>0</v>
      </c>
      <c r="AQ10" s="7">
        <f>IF(CHMATbl[[#This Row],[ALL UNITS IN A HIGH OR HIGHEST RESOURCE AREA]]="Yes",10*CHMATbl[[#This Row],[% OF TOTAL MANUFACTURED FUNDING]],0)</f>
        <v>0</v>
      </c>
      <c r="AR10" s="7" cm="1">
        <f t="array" ref="AR10">INDEX(CountyScoresTbl[Community Need Total Points],ROW(CHMATbl[[#This Row],[COUNTY]])-2,1)*CHMATbl[[#This Row],[% OF TOTAL MANUFACTURED FUNDING]]</f>
        <v>0</v>
      </c>
      <c r="AS10" s="8" cm="1">
        <f t="array" ref="AS1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0" s="705"/>
      <c r="AU10" s="703"/>
      <c r="AV10" s="703"/>
      <c r="AW10" s="703"/>
      <c r="AX10" s="703"/>
      <c r="AY10" s="74">
        <f t="shared" si="2"/>
        <v>0</v>
      </c>
      <c r="AZ10" s="6">
        <f>IF(CHMATbl[[#This Row],[RURAL FUNDING REQUESTED]]=0,0,CHMATbl[[#This Row],[RURAL FUNDING REQUESTED]]/CH_MA_RuralTotalRequested)</f>
        <v>0</v>
      </c>
      <c r="BA10" s="667">
        <f>IF(
CHMATbl[[#This Row],[NEW CONSTRUCTION OR AQUIRE/REHAB]]&lt;&gt;"",
3+IF(CHMATbl[[#This Row],[INFILL SITE]]="Yes",2,0),0)
*CHMATbl[[#This Row],[% OF TOTAL RURAL FUNDING]]</f>
        <v>0</v>
      </c>
      <c r="BB10" s="665">
        <f>IF(
CHMATbl[[#This Row],[ALL UNITS IN A HIGH OR HIGHEST RESOURCE AREA]]="Yes",
10*CHMATbl[[#This Row],[% OF TOTAL RURAL FUNDING]],
0)</f>
        <v>0</v>
      </c>
      <c r="BC10" s="665" cm="1">
        <f t="array" ref="BC10">INDEX(
CountyScoresTbl[Community Need Total Points],
ROW(CHMATbl[[#This Row],[COUNTY]])-2,1)*CHMATbl[[#This Row],[% OF TOTAL RURAL FUNDING]]</f>
        <v>0</v>
      </c>
      <c r="BD10" s="666" cm="1">
        <f t="array" ref="BD10"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0" s="116"/>
      <c r="BF10" s="703"/>
      <c r="BG10" s="703"/>
      <c r="BH10" s="703"/>
      <c r="BI10" s="703"/>
      <c r="BJ10" s="74">
        <f t="shared" si="3"/>
        <v>0</v>
      </c>
      <c r="BK10" s="6">
        <f>IF(CHMATbl[[#This Row],[MANUFACTURED AND RURAL FUNDING REQUESTED]]=0,0,CHMATbl[[#This Row],[MANUFACTURED AND RURAL FUNDING REQUESTED]]/CH_MA_MFDRuralTotalRequested)</f>
        <v>0</v>
      </c>
      <c r="BL10" s="667">
        <f xml:space="preserve">
IF(CHMATbl[[#This Row],[NEW CONSTRUCTION OR AQUIRE/REHAB]]&lt;&gt;"",
3+IF(CHMATbl[[#This Row],[INFILL SITE]]="Yes",2,0),0)
*CHMATbl[[#This Row],[% OF TOTAL MANUFACTURED AND RURAL FUNDING]]</f>
        <v>0</v>
      </c>
      <c r="BM10" s="665">
        <f>IF(
CHMATbl[[#This Row],[ALL UNITS IN A HIGH OR HIGHEST RESOURCE AREA]]="Yes",
10*CHMATbl[[#This Row],[% OF TOTAL MANUFACTURED AND RURAL FUNDING]],
0)</f>
        <v>0</v>
      </c>
      <c r="BN10" s="665" cm="1">
        <f t="array" ref="BN10">INDEX(
CountyScoresTbl[Community Need Total Points],
ROW(CHMATbl[[#This Row],[COUNTY]])-2,1)*CHMATbl[[#This Row],[% OF TOTAL MANUFACTURED AND RURAL FUNDING]]</f>
        <v>0</v>
      </c>
      <c r="BO10" s="694" cm="1">
        <f t="array" ref="BO1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0" s="732"/>
      <c r="BQ10" s="564"/>
      <c r="BR10" s="678"/>
    </row>
    <row r="11" spans="1:70" s="662" customFormat="1" x14ac:dyDescent="0.35">
      <c r="A11" s="674"/>
      <c r="B11" s="5" t="s">
        <v>123</v>
      </c>
      <c r="C11" s="38" t="s">
        <v>513</v>
      </c>
      <c r="D11" s="113" t="str">
        <f>IF(SUM(CHMATbl[[#This Row],[UNRESTRICTED UNITS]])=0,"",CHMATbl[[#This Row],[UNRESTRICTED UNITS]])</f>
        <v/>
      </c>
      <c r="E11" s="74" t="str">
        <f xml:space="preserve">
IF(CHMATbl[[#This Row],[UNRESTRICTED FUNDING REQUESTED]]=0,"",
CHMATbl[[#This Row],[UNRESTRICTED FUNDING REQUESTED]]*
IF(CH_MA_UnrestrictedTotalRequested&lt;=5000000,1,
5000000/CH_MA_UnrestrictedTotalRequested)
)</f>
        <v/>
      </c>
      <c r="F11" s="6" t="str">
        <f>IFERROR(CHMATbl[[#This Row],[TOTAL $ REQUESTED]]/SUM(CHMATbl[TOTAL $ REQUESTED]),"")</f>
        <v/>
      </c>
      <c r="G11" s="38" t="s">
        <v>513</v>
      </c>
      <c r="H11" s="113" t="str">
        <f>IF(SUM(CHMATbl[[#This Row],[MANUFACTURED UNITS]])=0,"",CHMATbl[[#This Row],[MANUFACTURED UNITS]])</f>
        <v/>
      </c>
      <c r="I11" s="74" t="str">
        <f xml:space="preserve">
IF(CHMATbl[[#This Row],[MANUFACTURED FUNDING REQUESTED]]=0,"",
CHMATbl[[#This Row],[MANUFACTURED FUNDING REQUESTED]]*
IF(CH_MA_ManufacturedTotalRequested&lt;=(5000000-E$61),1,
(5000000-E$61)/CH_MA_ManufacturedTotalRequested)
)</f>
        <v/>
      </c>
      <c r="J11" s="6" t="str">
        <f>IFERROR(CHMATbl[[#This Row],[TOTAL $ REQUESTED2]]/SUM(CHMATbl[TOTAL $ REQUESTED2]),"")</f>
        <v/>
      </c>
      <c r="K11" s="38" t="s">
        <v>513</v>
      </c>
      <c r="L11" s="113" t="str">
        <f>IF(SUM(CHMATbl[[#This Row],[RURAL UNITS]])=0,"",CHMATbl[[#This Row],[RURAL UNITS]])</f>
        <v/>
      </c>
      <c r="M11" s="74" t="str">
        <f xml:space="preserve">
IF(CHMATbl[[#This Row],[RURAL FUNDING REQUESTED]]=0,"",
CHMATbl[[#This Row],[RURAL FUNDING REQUESTED]]*
IF(CH_MA_RuralTotalRequested&lt;=(5000000-E$61-I$61),1,
(5000000-E$61-I$61)/CH_MA_RuralTotalRequested)
)</f>
        <v/>
      </c>
      <c r="N11" s="6" t="str">
        <f>IFERROR(CHMATbl[[#This Row],[TOTAL $ REQUESTED3]]/SUM(CHMATbl[TOTAL $ REQUESTED3]),"")</f>
        <v/>
      </c>
      <c r="O11" s="38" t="s">
        <v>513</v>
      </c>
      <c r="P11" s="113" t="str">
        <f>IF(SUM(CHMATbl[[#This Row],[MANUFACTURED AND RURAL UNITS]])=0,"",CHMATbl[[#This Row],[MANUFACTURED AND RURAL UNITS]])</f>
        <v/>
      </c>
      <c r="Q11" s="74" t="str">
        <f xml:space="preserve">
IF(CHMATbl[[#This Row],[MANUFACTURED AND RURAL FUNDING REQUESTED]]=0,"",
CHMATbl[[#This Row],[MANUFACTURED AND RURAL FUNDING REQUESTED]]*
IF(CH_MA_MFDRuralTotalRequested&lt;=(5000000-E$61-I$61-M$61),1,
(5000000-E$61-I$61-M$61)/CH_MA_MFDRuralTotalRequested)
)</f>
        <v/>
      </c>
      <c r="R11" s="6" t="str">
        <f>IFERROR(CHMATbl[[#This Row],[TOTAL $ REQUESTED4]]/SUM(CHMATbl[TOTAL $ REQUESTED4]),"")</f>
        <v/>
      </c>
      <c r="S11" s="675" t="s">
        <v>504</v>
      </c>
      <c r="T11" s="736"/>
      <c r="U11" s="699"/>
      <c r="V11" s="699"/>
      <c r="W11" s="737"/>
      <c r="X11" s="702"/>
      <c r="Y11" s="703"/>
      <c r="Z11" s="703"/>
      <c r="AA11" s="703"/>
      <c r="AB11" s="703"/>
      <c r="AC11" s="98">
        <f t="shared" si="0"/>
        <v>0</v>
      </c>
      <c r="AD11" s="6">
        <f>IF(CHMATbl[[#This Row],[UNRESTRICTED FUNDING REQUESTED]]=0,0,CHMATbl[[#This Row],[UNRESTRICTED FUNDING REQUESTED]]/CH_MA_UnrestrictedTotalRequested)</f>
        <v>0</v>
      </c>
      <c r="AE11" s="667">
        <f xml:space="preserve">
IF(CHMATbl[[#This Row],[NEW CONSTRUCTION OR AQUIRE/REHAB]]&lt;&gt;"",
3+IF(CHMATbl[[#This Row],[INFILL SITE]]="Yes",2,0),0)
*CHMATbl[[#This Row],[% OF TOTAL UNRESTRICTED FUNDING]]</f>
        <v>0</v>
      </c>
      <c r="AF11" s="665">
        <f>IF(CHMATbl[[#This Row],[ALL UNITS IN A HIGH OR HIGHEST RESOURCE AREA]]="Yes",10*CHMATbl[[#This Row],[% OF TOTAL UNRESTRICTED FUNDING]],0)</f>
        <v>0</v>
      </c>
      <c r="AG11" s="665" cm="1">
        <f t="array" ref="AG11">INDEX(CountyScoresTbl[Community Need Total Points],ROW(CHMATbl[[#This Row],[COUNTY]])-2,1)*CHMATbl[[#This Row],[% OF TOTAL UNRESTRICTED FUNDING]]</f>
        <v>0</v>
      </c>
      <c r="AH11" s="666" cm="1">
        <f t="array" ref="AH11"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1" s="702"/>
      <c r="AJ11" s="703"/>
      <c r="AK11" s="703"/>
      <c r="AL11" s="703"/>
      <c r="AM11" s="703"/>
      <c r="AN11" s="74">
        <f t="shared" si="1"/>
        <v>0</v>
      </c>
      <c r="AO11" s="6">
        <f>IF(CHMATbl[[#This Row],[MANUFACTURED FUNDING REQUESTED]]=0,0,CHMATbl[[#This Row],[MANUFACTURED FUNDING REQUESTED]]/CH_MA_ManufacturedTotalRequested)</f>
        <v>0</v>
      </c>
      <c r="AP11" s="671">
        <f>IF(
CHMATbl[[#This Row],[NEW CONSTRUCTION OR AQUIRE/REHAB]]&lt;&gt;"",
3+IF(CHMATbl[[#This Row],[INFILL SITE]]="Yes",2,0),0)
*CHMATbl[[#This Row],[% OF TOTAL MANUFACTURED FUNDING]]</f>
        <v>0</v>
      </c>
      <c r="AQ11" s="7">
        <f>IF(CHMATbl[[#This Row],[ALL UNITS IN A HIGH OR HIGHEST RESOURCE AREA]]="Yes",10*CHMATbl[[#This Row],[% OF TOTAL MANUFACTURED FUNDING]],0)</f>
        <v>0</v>
      </c>
      <c r="AR11" s="7" cm="1">
        <f t="array" ref="AR11">INDEX(CountyScoresTbl[Community Need Total Points],ROW(CHMATbl[[#This Row],[COUNTY]])-2,1)*CHMATbl[[#This Row],[% OF TOTAL MANUFACTURED FUNDING]]</f>
        <v>0</v>
      </c>
      <c r="AS11" s="8" cm="1">
        <f t="array" ref="AS1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1" s="705"/>
      <c r="AU11" s="703"/>
      <c r="AV11" s="703"/>
      <c r="AW11" s="703"/>
      <c r="AX11" s="703"/>
      <c r="AY11" s="74">
        <f t="shared" si="2"/>
        <v>0</v>
      </c>
      <c r="AZ11" s="6">
        <f>IF(CHMATbl[[#This Row],[RURAL FUNDING REQUESTED]]=0,0,CHMATbl[[#This Row],[RURAL FUNDING REQUESTED]]/CH_MA_RuralTotalRequested)</f>
        <v>0</v>
      </c>
      <c r="BA11" s="667">
        <f>IF(
CHMATbl[[#This Row],[NEW CONSTRUCTION OR AQUIRE/REHAB]]&lt;&gt;"",
3+IF(CHMATbl[[#This Row],[INFILL SITE]]="Yes",2,0),0)
*CHMATbl[[#This Row],[% OF TOTAL RURAL FUNDING]]</f>
        <v>0</v>
      </c>
      <c r="BB11" s="665">
        <f>IF(
CHMATbl[[#This Row],[ALL UNITS IN A HIGH OR HIGHEST RESOURCE AREA]]="Yes",
10*CHMATbl[[#This Row],[% OF TOTAL RURAL FUNDING]],
0)</f>
        <v>0</v>
      </c>
      <c r="BC11" s="665" cm="1">
        <f t="array" ref="BC11">INDEX(
CountyScoresTbl[Community Need Total Points],
ROW(CHMATbl[[#This Row],[COUNTY]])-2,1)*CHMATbl[[#This Row],[% OF TOTAL RURAL FUNDING]]</f>
        <v>0</v>
      </c>
      <c r="BD11" s="666" cm="1">
        <f t="array" ref="BD11"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1" s="116"/>
      <c r="BF11" s="703"/>
      <c r="BG11" s="703"/>
      <c r="BH11" s="703"/>
      <c r="BI11" s="703"/>
      <c r="BJ11" s="74">
        <f t="shared" si="3"/>
        <v>0</v>
      </c>
      <c r="BK11" s="6">
        <f>IF(CHMATbl[[#This Row],[MANUFACTURED AND RURAL FUNDING REQUESTED]]=0,0,CHMATbl[[#This Row],[MANUFACTURED AND RURAL FUNDING REQUESTED]]/CH_MA_MFDRuralTotalRequested)</f>
        <v>0</v>
      </c>
      <c r="BL11" s="667">
        <f xml:space="preserve">
IF(CHMATbl[[#This Row],[NEW CONSTRUCTION OR AQUIRE/REHAB]]&lt;&gt;"",
3+IF(CHMATbl[[#This Row],[INFILL SITE]]="Yes",2,0),0)
*CHMATbl[[#This Row],[% OF TOTAL MANUFACTURED AND RURAL FUNDING]]</f>
        <v>0</v>
      </c>
      <c r="BM11" s="665">
        <f>IF(
CHMATbl[[#This Row],[ALL UNITS IN A HIGH OR HIGHEST RESOURCE AREA]]="Yes",
10*CHMATbl[[#This Row],[% OF TOTAL MANUFACTURED AND RURAL FUNDING]],
0)</f>
        <v>0</v>
      </c>
      <c r="BN11" s="665" cm="1">
        <f t="array" ref="BN11">INDEX(
CountyScoresTbl[Community Need Total Points],
ROW(CHMATbl[[#This Row],[COUNTY]])-2,1)*CHMATbl[[#This Row],[% OF TOTAL MANUFACTURED AND RURAL FUNDING]]</f>
        <v>0</v>
      </c>
      <c r="BO11" s="694" cm="1">
        <f t="array" ref="BO1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1" s="732"/>
      <c r="BQ11" s="564"/>
      <c r="BR11" s="678"/>
    </row>
    <row r="12" spans="1:70" s="662" customFormat="1" x14ac:dyDescent="0.35">
      <c r="A12" s="679"/>
      <c r="B12" s="5" t="s">
        <v>124</v>
      </c>
      <c r="C12" s="38" t="s">
        <v>513</v>
      </c>
      <c r="D12" s="113" t="str">
        <f>IF(SUM(CHMATbl[[#This Row],[UNRESTRICTED UNITS]])=0,"",CHMATbl[[#This Row],[UNRESTRICTED UNITS]])</f>
        <v/>
      </c>
      <c r="E12" s="74" t="str">
        <f xml:space="preserve">
IF(CHMATbl[[#This Row],[UNRESTRICTED FUNDING REQUESTED]]=0,"",
CHMATbl[[#This Row],[UNRESTRICTED FUNDING REQUESTED]]*
IF(CH_MA_UnrestrictedTotalRequested&lt;=5000000,1,
5000000/CH_MA_UnrestrictedTotalRequested)
)</f>
        <v/>
      </c>
      <c r="F12" s="6" t="str">
        <f>IFERROR(CHMATbl[[#This Row],[TOTAL $ REQUESTED]]/SUM(CHMATbl[TOTAL $ REQUESTED]),"")</f>
        <v/>
      </c>
      <c r="G12" s="38" t="s">
        <v>513</v>
      </c>
      <c r="H12" s="113" t="str">
        <f>IF(SUM(CHMATbl[[#This Row],[MANUFACTURED UNITS]])=0,"",CHMATbl[[#This Row],[MANUFACTURED UNITS]])</f>
        <v/>
      </c>
      <c r="I12" s="74" t="str">
        <f xml:space="preserve">
IF(CHMATbl[[#This Row],[MANUFACTURED FUNDING REQUESTED]]=0,"",
CHMATbl[[#This Row],[MANUFACTURED FUNDING REQUESTED]]*
IF(CH_MA_ManufacturedTotalRequested&lt;=(5000000-E$61),1,
(5000000-E$61)/CH_MA_ManufacturedTotalRequested)
)</f>
        <v/>
      </c>
      <c r="J12" s="6" t="str">
        <f>IFERROR(CHMATbl[[#This Row],[TOTAL $ REQUESTED2]]/SUM(CHMATbl[TOTAL $ REQUESTED2]),"")</f>
        <v/>
      </c>
      <c r="K12" s="38" t="s">
        <v>513</v>
      </c>
      <c r="L12" s="113" t="str">
        <f>IF(SUM(CHMATbl[[#This Row],[RURAL UNITS]])=0,"",CHMATbl[[#This Row],[RURAL UNITS]])</f>
        <v/>
      </c>
      <c r="M12" s="74" t="str">
        <f xml:space="preserve">
IF(CHMATbl[[#This Row],[RURAL FUNDING REQUESTED]]=0,"",
CHMATbl[[#This Row],[RURAL FUNDING REQUESTED]]*
IF(CH_MA_RuralTotalRequested&lt;=(5000000-E$61-I$61),1,
(5000000-E$61-I$61)/CH_MA_RuralTotalRequested)
)</f>
        <v/>
      </c>
      <c r="N12" s="6" t="str">
        <f>IFERROR(CHMATbl[[#This Row],[TOTAL $ REQUESTED3]]/SUM(CHMATbl[TOTAL $ REQUESTED3]),"")</f>
        <v/>
      </c>
      <c r="O12" s="38" t="s">
        <v>513</v>
      </c>
      <c r="P12" s="113" t="str">
        <f>IF(SUM(CHMATbl[[#This Row],[MANUFACTURED AND RURAL UNITS]])=0,"",CHMATbl[[#This Row],[MANUFACTURED AND RURAL UNITS]])</f>
        <v/>
      </c>
      <c r="Q12" s="74" t="str">
        <f xml:space="preserve">
IF(CHMATbl[[#This Row],[MANUFACTURED AND RURAL FUNDING REQUESTED]]=0,"",
CHMATbl[[#This Row],[MANUFACTURED AND RURAL FUNDING REQUESTED]]*
IF(CH_MA_MFDRuralTotalRequested&lt;=(5000000-E$61-I$61-M$61),1,
(5000000-E$61-I$61-M$61)/CH_MA_MFDRuralTotalRequested)
)</f>
        <v/>
      </c>
      <c r="R12" s="6" t="str">
        <f>IFERROR(CHMATbl[[#This Row],[TOTAL $ REQUESTED4]]/SUM(CHMATbl[TOTAL $ REQUESTED4]),"")</f>
        <v/>
      </c>
      <c r="S12" s="38" t="s">
        <v>513</v>
      </c>
      <c r="T12" s="736"/>
      <c r="U12" s="699"/>
      <c r="V12" s="699"/>
      <c r="W12" s="737"/>
      <c r="X12" s="116"/>
      <c r="Y12" s="703"/>
      <c r="Z12" s="703"/>
      <c r="AA12" s="703"/>
      <c r="AB12" s="703"/>
      <c r="AC12" s="98">
        <f t="shared" si="0"/>
        <v>0</v>
      </c>
      <c r="AD12" s="6">
        <f>IF(CHMATbl[[#This Row],[UNRESTRICTED FUNDING REQUESTED]]=0,0,CHMATbl[[#This Row],[UNRESTRICTED FUNDING REQUESTED]]/CH_MA_UnrestrictedTotalRequested)</f>
        <v>0</v>
      </c>
      <c r="AE12" s="667">
        <f xml:space="preserve">
IF(CHMATbl[[#This Row],[NEW CONSTRUCTION OR AQUIRE/REHAB]]&lt;&gt;"",
3+IF(CHMATbl[[#This Row],[INFILL SITE]]="Yes",2,0),0)
*CHMATbl[[#This Row],[% OF TOTAL UNRESTRICTED FUNDING]]</f>
        <v>0</v>
      </c>
      <c r="AF12" s="665">
        <f>IF(CHMATbl[[#This Row],[ALL UNITS IN A HIGH OR HIGHEST RESOURCE AREA]]="Yes",10*CHMATbl[[#This Row],[% OF TOTAL UNRESTRICTED FUNDING]],0)</f>
        <v>0</v>
      </c>
      <c r="AG12" s="665" cm="1">
        <f t="array" ref="AG12">INDEX(CountyScoresTbl[Community Need Total Points],ROW(CHMATbl[[#This Row],[COUNTY]])-2,1)*CHMATbl[[#This Row],[% OF TOTAL UNRESTRICTED FUNDING]]</f>
        <v>0</v>
      </c>
      <c r="AH12" s="666" cm="1">
        <f t="array" ref="AH12"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2" s="116"/>
      <c r="AJ12" s="703"/>
      <c r="AK12" s="703"/>
      <c r="AL12" s="703"/>
      <c r="AM12" s="703"/>
      <c r="AN12" s="74">
        <f t="shared" si="1"/>
        <v>0</v>
      </c>
      <c r="AO12" s="6">
        <f>IF(CHMATbl[[#This Row],[MANUFACTURED FUNDING REQUESTED]]=0,0,CHMATbl[[#This Row],[MANUFACTURED FUNDING REQUESTED]]/CH_MA_ManufacturedTotalRequested)</f>
        <v>0</v>
      </c>
      <c r="AP12" s="671">
        <f>IF(
CHMATbl[[#This Row],[NEW CONSTRUCTION OR AQUIRE/REHAB]]&lt;&gt;"",
3+IF(CHMATbl[[#This Row],[INFILL SITE]]="Yes",2,0),0)
*CHMATbl[[#This Row],[% OF TOTAL MANUFACTURED FUNDING]]</f>
        <v>0</v>
      </c>
      <c r="AQ12" s="7">
        <f>IF(CHMATbl[[#This Row],[ALL UNITS IN A HIGH OR HIGHEST RESOURCE AREA]]="Yes",10*CHMATbl[[#This Row],[% OF TOTAL MANUFACTURED FUNDING]],0)</f>
        <v>0</v>
      </c>
      <c r="AR12" s="7" cm="1">
        <f t="array" ref="AR12">INDEX(CountyScoresTbl[Community Need Total Points],ROW(CHMATbl[[#This Row],[COUNTY]])-2,1)*CHMATbl[[#This Row],[% OF TOTAL MANUFACTURED FUNDING]]</f>
        <v>0</v>
      </c>
      <c r="AS12" s="8" cm="1">
        <f t="array" ref="AS1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2" s="705"/>
      <c r="AU12" s="703"/>
      <c r="AV12" s="703"/>
      <c r="AW12" s="703"/>
      <c r="AX12" s="703"/>
      <c r="AY12" s="74">
        <f t="shared" si="2"/>
        <v>0</v>
      </c>
      <c r="AZ12" s="6">
        <f>IF(CHMATbl[[#This Row],[RURAL FUNDING REQUESTED]]=0,0,CHMATbl[[#This Row],[RURAL FUNDING REQUESTED]]/CH_MA_RuralTotalRequested)</f>
        <v>0</v>
      </c>
      <c r="BA12" s="667">
        <f>IF(
CHMATbl[[#This Row],[NEW CONSTRUCTION OR AQUIRE/REHAB]]&lt;&gt;"",
3+IF(CHMATbl[[#This Row],[INFILL SITE]]="Yes",2,0),0)
*CHMATbl[[#This Row],[% OF TOTAL RURAL FUNDING]]</f>
        <v>0</v>
      </c>
      <c r="BB12" s="665">
        <f>IF(
CHMATbl[[#This Row],[ALL UNITS IN A HIGH OR HIGHEST RESOURCE AREA]]="Yes",
10*CHMATbl[[#This Row],[% OF TOTAL RURAL FUNDING]],
0)</f>
        <v>0</v>
      </c>
      <c r="BC12" s="665" cm="1">
        <f t="array" ref="BC12">INDEX(
CountyScoresTbl[Community Need Total Points],
ROW(CHMATbl[[#This Row],[COUNTY]])-2,1)*CHMATbl[[#This Row],[% OF TOTAL RURAL FUNDING]]</f>
        <v>0</v>
      </c>
      <c r="BD12" s="666" cm="1">
        <f t="array" ref="BD12"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2" s="116"/>
      <c r="BF12" s="703"/>
      <c r="BG12" s="703"/>
      <c r="BH12" s="703"/>
      <c r="BI12" s="703"/>
      <c r="BJ12" s="74">
        <f t="shared" si="3"/>
        <v>0</v>
      </c>
      <c r="BK12" s="6">
        <f>IF(CHMATbl[[#This Row],[MANUFACTURED AND RURAL FUNDING REQUESTED]]=0,0,CHMATbl[[#This Row],[MANUFACTURED AND RURAL FUNDING REQUESTED]]/CH_MA_MFDRuralTotalRequested)</f>
        <v>0</v>
      </c>
      <c r="BL12" s="667">
        <f xml:space="preserve">
IF(CHMATbl[[#This Row],[NEW CONSTRUCTION OR AQUIRE/REHAB]]&lt;&gt;"",
3+IF(CHMATbl[[#This Row],[INFILL SITE]]="Yes",2,0),0)
*CHMATbl[[#This Row],[% OF TOTAL MANUFACTURED AND RURAL FUNDING]]</f>
        <v>0</v>
      </c>
      <c r="BM12" s="665">
        <f>IF(
CHMATbl[[#This Row],[ALL UNITS IN A HIGH OR HIGHEST RESOURCE AREA]]="Yes",
10*CHMATbl[[#This Row],[% OF TOTAL MANUFACTURED AND RURAL FUNDING]],
0)</f>
        <v>0</v>
      </c>
      <c r="BN12" s="665" cm="1">
        <f t="array" ref="BN12">INDEX(
CountyScoresTbl[Community Need Total Points],
ROW(CHMATbl[[#This Row],[COUNTY]])-2,1)*CHMATbl[[#This Row],[% OF TOTAL MANUFACTURED AND RURAL FUNDING]]</f>
        <v>0</v>
      </c>
      <c r="BO12" s="694" cm="1">
        <f t="array" ref="BO1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2" s="732"/>
      <c r="BQ12" s="564"/>
      <c r="BR12" s="678"/>
    </row>
    <row r="13" spans="1:70" s="662" customFormat="1" x14ac:dyDescent="0.35">
      <c r="A13" s="679"/>
      <c r="B13" s="5" t="s">
        <v>125</v>
      </c>
      <c r="C13" s="38" t="s">
        <v>513</v>
      </c>
      <c r="D13" s="113" t="str">
        <f>IF(SUM(CHMATbl[[#This Row],[UNRESTRICTED UNITS]])=0,"",CHMATbl[[#This Row],[UNRESTRICTED UNITS]])</f>
        <v/>
      </c>
      <c r="E13" s="74" t="str">
        <f xml:space="preserve">
IF(CHMATbl[[#This Row],[UNRESTRICTED FUNDING REQUESTED]]=0,"",
CHMATbl[[#This Row],[UNRESTRICTED FUNDING REQUESTED]]*
IF(CH_MA_UnrestrictedTotalRequested&lt;=5000000,1,
5000000/CH_MA_UnrestrictedTotalRequested)
)</f>
        <v/>
      </c>
      <c r="F13" s="6" t="str">
        <f>IFERROR(CHMATbl[[#This Row],[TOTAL $ REQUESTED]]/SUM(CHMATbl[TOTAL $ REQUESTED]),"")</f>
        <v/>
      </c>
      <c r="G13" s="38" t="s">
        <v>513</v>
      </c>
      <c r="H13" s="113" t="str">
        <f>IF(SUM(CHMATbl[[#This Row],[MANUFACTURED UNITS]])=0,"",CHMATbl[[#This Row],[MANUFACTURED UNITS]])</f>
        <v/>
      </c>
      <c r="I13" s="74" t="str">
        <f xml:space="preserve">
IF(CHMATbl[[#This Row],[MANUFACTURED FUNDING REQUESTED]]=0,"",
CHMATbl[[#This Row],[MANUFACTURED FUNDING REQUESTED]]*
IF(CH_MA_ManufacturedTotalRequested&lt;=(5000000-E$61),1,
(5000000-E$61)/CH_MA_ManufacturedTotalRequested)
)</f>
        <v/>
      </c>
      <c r="J13" s="6" t="str">
        <f>IFERROR(CHMATbl[[#This Row],[TOTAL $ REQUESTED2]]/SUM(CHMATbl[TOTAL $ REQUESTED2]),"")</f>
        <v/>
      </c>
      <c r="K13" s="38" t="s">
        <v>513</v>
      </c>
      <c r="L13" s="113" t="str">
        <f>IF(SUM(CHMATbl[[#This Row],[RURAL UNITS]])=0,"",CHMATbl[[#This Row],[RURAL UNITS]])</f>
        <v/>
      </c>
      <c r="M13" s="74" t="str">
        <f xml:space="preserve">
IF(CHMATbl[[#This Row],[RURAL FUNDING REQUESTED]]=0,"",
CHMATbl[[#This Row],[RURAL FUNDING REQUESTED]]*
IF(CH_MA_RuralTotalRequested&lt;=(5000000-E$61-I$61),1,
(5000000-E$61-I$61)/CH_MA_RuralTotalRequested)
)</f>
        <v/>
      </c>
      <c r="N13" s="6" t="str">
        <f>IFERROR(CHMATbl[[#This Row],[TOTAL $ REQUESTED3]]/SUM(CHMATbl[TOTAL $ REQUESTED3]),"")</f>
        <v/>
      </c>
      <c r="O13" s="38" t="s">
        <v>513</v>
      </c>
      <c r="P13" s="113" t="str">
        <f>IF(SUM(CHMATbl[[#This Row],[MANUFACTURED AND RURAL UNITS]])=0,"",CHMATbl[[#This Row],[MANUFACTURED AND RURAL UNITS]])</f>
        <v/>
      </c>
      <c r="Q13" s="74" t="str">
        <f xml:space="preserve">
IF(CHMATbl[[#This Row],[MANUFACTURED AND RURAL FUNDING REQUESTED]]=0,"",
CHMATbl[[#This Row],[MANUFACTURED AND RURAL FUNDING REQUESTED]]*
IF(CH_MA_MFDRuralTotalRequested&lt;=(5000000-E$61-I$61-M$61),1,
(5000000-E$61-I$61-M$61)/CH_MA_MFDRuralTotalRequested)
)</f>
        <v/>
      </c>
      <c r="R13" s="6" t="str">
        <f>IFERROR(CHMATbl[[#This Row],[TOTAL $ REQUESTED4]]/SUM(CHMATbl[TOTAL $ REQUESTED4]),"")</f>
        <v/>
      </c>
      <c r="S13" s="38" t="s">
        <v>513</v>
      </c>
      <c r="T13" s="736"/>
      <c r="U13" s="699"/>
      <c r="V13" s="699"/>
      <c r="W13" s="737"/>
      <c r="X13" s="116"/>
      <c r="Y13" s="703"/>
      <c r="Z13" s="703"/>
      <c r="AA13" s="703"/>
      <c r="AB13" s="703"/>
      <c r="AC13" s="98">
        <f t="shared" si="0"/>
        <v>0</v>
      </c>
      <c r="AD13" s="6">
        <f>IF(CHMATbl[[#This Row],[UNRESTRICTED FUNDING REQUESTED]]=0,0,CHMATbl[[#This Row],[UNRESTRICTED FUNDING REQUESTED]]/CH_MA_UnrestrictedTotalRequested)</f>
        <v>0</v>
      </c>
      <c r="AE13" s="667">
        <f xml:space="preserve">
IF(CHMATbl[[#This Row],[NEW CONSTRUCTION OR AQUIRE/REHAB]]&lt;&gt;"",
3+IF(CHMATbl[[#This Row],[INFILL SITE]]="Yes",2,0),0)
*CHMATbl[[#This Row],[% OF TOTAL UNRESTRICTED FUNDING]]</f>
        <v>0</v>
      </c>
      <c r="AF13" s="665">
        <f>IF(CHMATbl[[#This Row],[ALL UNITS IN A HIGH OR HIGHEST RESOURCE AREA]]="Yes",10*CHMATbl[[#This Row],[% OF TOTAL UNRESTRICTED FUNDING]],0)</f>
        <v>0</v>
      </c>
      <c r="AG13" s="665" cm="1">
        <f t="array" ref="AG13">INDEX(CountyScoresTbl[Community Need Total Points],ROW(CHMATbl[[#This Row],[COUNTY]])-2,1)*CHMATbl[[#This Row],[% OF TOTAL UNRESTRICTED FUNDING]]</f>
        <v>0</v>
      </c>
      <c r="AH13" s="666" cm="1">
        <f t="array" ref="AH13"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3" s="116"/>
      <c r="AJ13" s="703"/>
      <c r="AK13" s="703"/>
      <c r="AL13" s="703"/>
      <c r="AM13" s="703"/>
      <c r="AN13" s="74">
        <f t="shared" si="1"/>
        <v>0</v>
      </c>
      <c r="AO13" s="6">
        <f>IF(CHMATbl[[#This Row],[MANUFACTURED FUNDING REQUESTED]]=0,0,CHMATbl[[#This Row],[MANUFACTURED FUNDING REQUESTED]]/CH_MA_ManufacturedTotalRequested)</f>
        <v>0</v>
      </c>
      <c r="AP13" s="671">
        <f>IF(
CHMATbl[[#This Row],[NEW CONSTRUCTION OR AQUIRE/REHAB]]&lt;&gt;"",
3+IF(CHMATbl[[#This Row],[INFILL SITE]]="Yes",2,0),0)
*CHMATbl[[#This Row],[% OF TOTAL MANUFACTURED FUNDING]]</f>
        <v>0</v>
      </c>
      <c r="AQ13" s="7">
        <f>IF(CHMATbl[[#This Row],[ALL UNITS IN A HIGH OR HIGHEST RESOURCE AREA]]="Yes",10*CHMATbl[[#This Row],[% OF TOTAL MANUFACTURED FUNDING]],0)</f>
        <v>0</v>
      </c>
      <c r="AR13" s="7" cm="1">
        <f t="array" ref="AR13">INDEX(CountyScoresTbl[Community Need Total Points],ROW(CHMATbl[[#This Row],[COUNTY]])-2,1)*CHMATbl[[#This Row],[% OF TOTAL MANUFACTURED FUNDING]]</f>
        <v>0</v>
      </c>
      <c r="AS13" s="8" cm="1">
        <f t="array" ref="AS1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3" s="705"/>
      <c r="AU13" s="703"/>
      <c r="AV13" s="703"/>
      <c r="AW13" s="703"/>
      <c r="AX13" s="703"/>
      <c r="AY13" s="74">
        <f t="shared" si="2"/>
        <v>0</v>
      </c>
      <c r="AZ13" s="6">
        <f>IF(CHMATbl[[#This Row],[RURAL FUNDING REQUESTED]]=0,0,CHMATbl[[#This Row],[RURAL FUNDING REQUESTED]]/CH_MA_RuralTotalRequested)</f>
        <v>0</v>
      </c>
      <c r="BA13" s="667">
        <f>IF(
CHMATbl[[#This Row],[NEW CONSTRUCTION OR AQUIRE/REHAB]]&lt;&gt;"",
3+IF(CHMATbl[[#This Row],[INFILL SITE]]="Yes",2,0),0)
*CHMATbl[[#This Row],[% OF TOTAL RURAL FUNDING]]</f>
        <v>0</v>
      </c>
      <c r="BB13" s="665">
        <f>IF(
CHMATbl[[#This Row],[ALL UNITS IN A HIGH OR HIGHEST RESOURCE AREA]]="Yes",
10*CHMATbl[[#This Row],[% OF TOTAL RURAL FUNDING]],
0)</f>
        <v>0</v>
      </c>
      <c r="BC13" s="665" cm="1">
        <f t="array" ref="BC13">INDEX(
CountyScoresTbl[Community Need Total Points],
ROW(CHMATbl[[#This Row],[COUNTY]])-2,1)*CHMATbl[[#This Row],[% OF TOTAL RURAL FUNDING]]</f>
        <v>0</v>
      </c>
      <c r="BD13" s="666" cm="1">
        <f t="array" ref="BD13"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3" s="116"/>
      <c r="BF13" s="703"/>
      <c r="BG13" s="703"/>
      <c r="BH13" s="703"/>
      <c r="BI13" s="703"/>
      <c r="BJ13" s="74">
        <f t="shared" si="3"/>
        <v>0</v>
      </c>
      <c r="BK13" s="6">
        <f>IF(CHMATbl[[#This Row],[MANUFACTURED AND RURAL FUNDING REQUESTED]]=0,0,CHMATbl[[#This Row],[MANUFACTURED AND RURAL FUNDING REQUESTED]]/CH_MA_MFDRuralTotalRequested)</f>
        <v>0</v>
      </c>
      <c r="BL13" s="667">
        <f xml:space="preserve">
IF(CHMATbl[[#This Row],[NEW CONSTRUCTION OR AQUIRE/REHAB]]&lt;&gt;"",
3+IF(CHMATbl[[#This Row],[INFILL SITE]]="Yes",2,0),0)
*CHMATbl[[#This Row],[% OF TOTAL MANUFACTURED AND RURAL FUNDING]]</f>
        <v>0</v>
      </c>
      <c r="BM13" s="665">
        <f>IF(
CHMATbl[[#This Row],[ALL UNITS IN A HIGH OR HIGHEST RESOURCE AREA]]="Yes",
10*CHMATbl[[#This Row],[% OF TOTAL MANUFACTURED AND RURAL FUNDING]],
0)</f>
        <v>0</v>
      </c>
      <c r="BN13" s="665" cm="1">
        <f t="array" ref="BN13">INDEX(
CountyScoresTbl[Community Need Total Points],
ROW(CHMATbl[[#This Row],[COUNTY]])-2,1)*CHMATbl[[#This Row],[% OF TOTAL MANUFACTURED AND RURAL FUNDING]]</f>
        <v>0</v>
      </c>
      <c r="BO13" s="694" cm="1">
        <f t="array" ref="BO1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3" s="732"/>
      <c r="BQ13" s="564"/>
      <c r="BR13" s="678"/>
    </row>
    <row r="14" spans="1:70" s="662" customFormat="1" x14ac:dyDescent="0.35">
      <c r="A14" s="674" t="s">
        <v>504</v>
      </c>
      <c r="B14" s="5" t="s">
        <v>126</v>
      </c>
      <c r="C14" s="38" t="s">
        <v>513</v>
      </c>
      <c r="D14" s="113" t="str">
        <f>IF(SUM(CHMATbl[[#This Row],[UNRESTRICTED UNITS]])=0,"",CHMATbl[[#This Row],[UNRESTRICTED UNITS]])</f>
        <v/>
      </c>
      <c r="E14" s="74" t="str">
        <f xml:space="preserve">
IF(CHMATbl[[#This Row],[UNRESTRICTED FUNDING REQUESTED]]=0,"",
CHMATbl[[#This Row],[UNRESTRICTED FUNDING REQUESTED]]*
IF(CH_MA_UnrestrictedTotalRequested&lt;=5000000,1,
5000000/CH_MA_UnrestrictedTotalRequested)
)</f>
        <v/>
      </c>
      <c r="F14" s="6" t="str">
        <f>IFERROR(CHMATbl[[#This Row],[TOTAL $ REQUESTED]]/SUM(CHMATbl[TOTAL $ REQUESTED]),"")</f>
        <v/>
      </c>
      <c r="G14" s="38" t="s">
        <v>513</v>
      </c>
      <c r="H14" s="113" t="str">
        <f>IF(SUM(CHMATbl[[#This Row],[MANUFACTURED UNITS]])=0,"",CHMATbl[[#This Row],[MANUFACTURED UNITS]])</f>
        <v/>
      </c>
      <c r="I14" s="74" t="str">
        <f xml:space="preserve">
IF(CHMATbl[[#This Row],[MANUFACTURED FUNDING REQUESTED]]=0,"",
CHMATbl[[#This Row],[MANUFACTURED FUNDING REQUESTED]]*
IF(CH_MA_ManufacturedTotalRequested&lt;=(5000000-E$61),1,
(5000000-E$61)/CH_MA_ManufacturedTotalRequested)
)</f>
        <v/>
      </c>
      <c r="J14" s="6" t="str">
        <f>IFERROR(CHMATbl[[#This Row],[TOTAL $ REQUESTED2]]/SUM(CHMATbl[TOTAL $ REQUESTED2]),"")</f>
        <v/>
      </c>
      <c r="K14" s="38" t="s">
        <v>513</v>
      </c>
      <c r="L14" s="113" t="str">
        <f>IF(SUM(CHMATbl[[#This Row],[RURAL UNITS]])=0,"",CHMATbl[[#This Row],[RURAL UNITS]])</f>
        <v/>
      </c>
      <c r="M14" s="74" t="str">
        <f xml:space="preserve">
IF(CHMATbl[[#This Row],[RURAL FUNDING REQUESTED]]=0,"",
CHMATbl[[#This Row],[RURAL FUNDING REQUESTED]]*
IF(CH_MA_RuralTotalRequested&lt;=(5000000-E$61-I$61),1,
(5000000-E$61-I$61)/CH_MA_RuralTotalRequested)
)</f>
        <v/>
      </c>
      <c r="N14" s="6" t="str">
        <f>IFERROR(CHMATbl[[#This Row],[TOTAL $ REQUESTED3]]/SUM(CHMATbl[TOTAL $ REQUESTED3]),"")</f>
        <v/>
      </c>
      <c r="O14" s="38" t="s">
        <v>513</v>
      </c>
      <c r="P14" s="113" t="str">
        <f>IF(SUM(CHMATbl[[#This Row],[MANUFACTURED AND RURAL UNITS]])=0,"",CHMATbl[[#This Row],[MANUFACTURED AND RURAL UNITS]])</f>
        <v/>
      </c>
      <c r="Q14" s="74" t="str">
        <f xml:space="preserve">
IF(CHMATbl[[#This Row],[MANUFACTURED AND RURAL FUNDING REQUESTED]]=0,"",
CHMATbl[[#This Row],[MANUFACTURED AND RURAL FUNDING REQUESTED]]*
IF(CH_MA_MFDRuralTotalRequested&lt;=(5000000-E$61-I$61-M$61),1,
(5000000-E$61-I$61-M$61)/CH_MA_MFDRuralTotalRequested)
)</f>
        <v/>
      </c>
      <c r="R14" s="6" t="str">
        <f>IFERROR(CHMATbl[[#This Row],[TOTAL $ REQUESTED4]]/SUM(CHMATbl[TOTAL $ REQUESTED4]),"")</f>
        <v/>
      </c>
      <c r="S14" s="38" t="s">
        <v>513</v>
      </c>
      <c r="T14" s="736"/>
      <c r="U14" s="699"/>
      <c r="V14" s="699"/>
      <c r="W14" s="737"/>
      <c r="X14" s="702"/>
      <c r="Y14" s="703"/>
      <c r="Z14" s="703"/>
      <c r="AA14" s="703"/>
      <c r="AB14" s="703"/>
      <c r="AC14" s="98">
        <f t="shared" si="0"/>
        <v>0</v>
      </c>
      <c r="AD14" s="6">
        <f>IF(CHMATbl[[#This Row],[UNRESTRICTED FUNDING REQUESTED]]=0,0,CHMATbl[[#This Row],[UNRESTRICTED FUNDING REQUESTED]]/CH_MA_UnrestrictedTotalRequested)</f>
        <v>0</v>
      </c>
      <c r="AE14" s="667">
        <f xml:space="preserve">
IF(CHMATbl[[#This Row],[NEW CONSTRUCTION OR AQUIRE/REHAB]]&lt;&gt;"",
3+IF(CHMATbl[[#This Row],[INFILL SITE]]="Yes",2,0),0)
*CHMATbl[[#This Row],[% OF TOTAL UNRESTRICTED FUNDING]]</f>
        <v>0</v>
      </c>
      <c r="AF14" s="665">
        <f>IF(CHMATbl[[#This Row],[ALL UNITS IN A HIGH OR HIGHEST RESOURCE AREA]]="Yes",10*CHMATbl[[#This Row],[% OF TOTAL UNRESTRICTED FUNDING]],0)</f>
        <v>0</v>
      </c>
      <c r="AG14" s="665" cm="1">
        <f t="array" ref="AG14">INDEX(CountyScoresTbl[Community Need Total Points],ROW(CHMATbl[[#This Row],[COUNTY]])-2,1)*CHMATbl[[#This Row],[% OF TOTAL UNRESTRICTED FUNDING]]</f>
        <v>0</v>
      </c>
      <c r="AH14" s="666" cm="1">
        <f t="array" ref="AH14"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4" s="702"/>
      <c r="AJ14" s="703"/>
      <c r="AK14" s="703"/>
      <c r="AL14" s="703"/>
      <c r="AM14" s="703"/>
      <c r="AN14" s="74">
        <f t="shared" si="1"/>
        <v>0</v>
      </c>
      <c r="AO14" s="6">
        <f>IF(CHMATbl[[#This Row],[MANUFACTURED FUNDING REQUESTED]]=0,0,CHMATbl[[#This Row],[MANUFACTURED FUNDING REQUESTED]]/CH_MA_ManufacturedTotalRequested)</f>
        <v>0</v>
      </c>
      <c r="AP14" s="671">
        <f>IF(
CHMATbl[[#This Row],[NEW CONSTRUCTION OR AQUIRE/REHAB]]&lt;&gt;"",
3+IF(CHMATbl[[#This Row],[INFILL SITE]]="Yes",2,0),0)
*CHMATbl[[#This Row],[% OF TOTAL MANUFACTURED FUNDING]]</f>
        <v>0</v>
      </c>
      <c r="AQ14" s="7">
        <f>IF(CHMATbl[[#This Row],[ALL UNITS IN A HIGH OR HIGHEST RESOURCE AREA]]="Yes",10*CHMATbl[[#This Row],[% OF TOTAL MANUFACTURED FUNDING]],0)</f>
        <v>0</v>
      </c>
      <c r="AR14" s="7" cm="1">
        <f t="array" ref="AR14">INDEX(CountyScoresTbl[Community Need Total Points],ROW(CHMATbl[[#This Row],[COUNTY]])-2,1)*CHMATbl[[#This Row],[% OF TOTAL MANUFACTURED FUNDING]]</f>
        <v>0</v>
      </c>
      <c r="AS14" s="8" cm="1">
        <f t="array" ref="AS1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4" s="705"/>
      <c r="AU14" s="703"/>
      <c r="AV14" s="703"/>
      <c r="AW14" s="703"/>
      <c r="AX14" s="703"/>
      <c r="AY14" s="74">
        <f t="shared" si="2"/>
        <v>0</v>
      </c>
      <c r="AZ14" s="6">
        <f>IF(CHMATbl[[#This Row],[RURAL FUNDING REQUESTED]]=0,0,CHMATbl[[#This Row],[RURAL FUNDING REQUESTED]]/CH_MA_RuralTotalRequested)</f>
        <v>0</v>
      </c>
      <c r="BA14" s="667">
        <f>IF(
CHMATbl[[#This Row],[NEW CONSTRUCTION OR AQUIRE/REHAB]]&lt;&gt;"",
3+IF(CHMATbl[[#This Row],[INFILL SITE]]="Yes",2,0),0)
*CHMATbl[[#This Row],[% OF TOTAL RURAL FUNDING]]</f>
        <v>0</v>
      </c>
      <c r="BB14" s="665">
        <f>IF(
CHMATbl[[#This Row],[ALL UNITS IN A HIGH OR HIGHEST RESOURCE AREA]]="Yes",
10*CHMATbl[[#This Row],[% OF TOTAL RURAL FUNDING]],
0)</f>
        <v>0</v>
      </c>
      <c r="BC14" s="665" cm="1">
        <f t="array" ref="BC14">INDEX(
CountyScoresTbl[Community Need Total Points],
ROW(CHMATbl[[#This Row],[COUNTY]])-2,1)*CHMATbl[[#This Row],[% OF TOTAL RURAL FUNDING]]</f>
        <v>0</v>
      </c>
      <c r="BD14" s="666" cm="1">
        <f t="array" ref="BD14"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4" s="116"/>
      <c r="BF14" s="703"/>
      <c r="BG14" s="703"/>
      <c r="BH14" s="703"/>
      <c r="BI14" s="703"/>
      <c r="BJ14" s="74">
        <f t="shared" si="3"/>
        <v>0</v>
      </c>
      <c r="BK14" s="6">
        <f>IF(CHMATbl[[#This Row],[MANUFACTURED AND RURAL FUNDING REQUESTED]]=0,0,CHMATbl[[#This Row],[MANUFACTURED AND RURAL FUNDING REQUESTED]]/CH_MA_MFDRuralTotalRequested)</f>
        <v>0</v>
      </c>
      <c r="BL14" s="667">
        <f xml:space="preserve">
IF(CHMATbl[[#This Row],[NEW CONSTRUCTION OR AQUIRE/REHAB]]&lt;&gt;"",
3+IF(CHMATbl[[#This Row],[INFILL SITE]]="Yes",2,0),0)
*CHMATbl[[#This Row],[% OF TOTAL MANUFACTURED AND RURAL FUNDING]]</f>
        <v>0</v>
      </c>
      <c r="BM14" s="665">
        <f>IF(
CHMATbl[[#This Row],[ALL UNITS IN A HIGH OR HIGHEST RESOURCE AREA]]="Yes",
10*CHMATbl[[#This Row],[% OF TOTAL MANUFACTURED AND RURAL FUNDING]],
0)</f>
        <v>0</v>
      </c>
      <c r="BN14" s="665" cm="1">
        <f t="array" ref="BN14">INDEX(
CountyScoresTbl[Community Need Total Points],
ROW(CHMATbl[[#This Row],[COUNTY]])-2,1)*CHMATbl[[#This Row],[% OF TOTAL MANUFACTURED AND RURAL FUNDING]]</f>
        <v>0</v>
      </c>
      <c r="BO14" s="694" cm="1">
        <f t="array" ref="BO1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4" s="732"/>
      <c r="BQ14" s="564"/>
      <c r="BR14" s="678"/>
    </row>
    <row r="15" spans="1:70" s="662" customFormat="1" x14ac:dyDescent="0.35">
      <c r="A15" s="674"/>
      <c r="B15" s="5" t="s">
        <v>127</v>
      </c>
      <c r="C15" s="38" t="s">
        <v>513</v>
      </c>
      <c r="D15" s="113" t="str">
        <f>IF(SUM(CHMATbl[[#This Row],[UNRESTRICTED UNITS]])=0,"",CHMATbl[[#This Row],[UNRESTRICTED UNITS]])</f>
        <v/>
      </c>
      <c r="E15" s="74" t="str">
        <f xml:space="preserve">
IF(CHMATbl[[#This Row],[UNRESTRICTED FUNDING REQUESTED]]=0,"",
CHMATbl[[#This Row],[UNRESTRICTED FUNDING REQUESTED]]*
IF(CH_MA_UnrestrictedTotalRequested&lt;=5000000,1,
5000000/CH_MA_UnrestrictedTotalRequested)
)</f>
        <v/>
      </c>
      <c r="F15" s="6" t="str">
        <f>IFERROR(CHMATbl[[#This Row],[TOTAL $ REQUESTED]]/SUM(CHMATbl[TOTAL $ REQUESTED]),"")</f>
        <v/>
      </c>
      <c r="G15" s="38" t="s">
        <v>513</v>
      </c>
      <c r="H15" s="113" t="str">
        <f>IF(SUM(CHMATbl[[#This Row],[MANUFACTURED UNITS]])=0,"",CHMATbl[[#This Row],[MANUFACTURED UNITS]])</f>
        <v/>
      </c>
      <c r="I15" s="74" t="str">
        <f xml:space="preserve">
IF(CHMATbl[[#This Row],[MANUFACTURED FUNDING REQUESTED]]=0,"",
CHMATbl[[#This Row],[MANUFACTURED FUNDING REQUESTED]]*
IF(CH_MA_ManufacturedTotalRequested&lt;=(5000000-E$61),1,
(5000000-E$61)/CH_MA_ManufacturedTotalRequested)
)</f>
        <v/>
      </c>
      <c r="J15" s="6" t="str">
        <f>IFERROR(CHMATbl[[#This Row],[TOTAL $ REQUESTED2]]/SUM(CHMATbl[TOTAL $ REQUESTED2]),"")</f>
        <v/>
      </c>
      <c r="K15" s="38" t="s">
        <v>513</v>
      </c>
      <c r="L15" s="113" t="str">
        <f>IF(SUM(CHMATbl[[#This Row],[RURAL UNITS]])=0,"",CHMATbl[[#This Row],[RURAL UNITS]])</f>
        <v/>
      </c>
      <c r="M15" s="74" t="str">
        <f xml:space="preserve">
IF(CHMATbl[[#This Row],[RURAL FUNDING REQUESTED]]=0,"",
CHMATbl[[#This Row],[RURAL FUNDING REQUESTED]]*
IF(CH_MA_RuralTotalRequested&lt;=(5000000-E$61-I$61),1,
(5000000-E$61-I$61)/CH_MA_RuralTotalRequested)
)</f>
        <v/>
      </c>
      <c r="N15" s="6" t="str">
        <f>IFERROR(CHMATbl[[#This Row],[TOTAL $ REQUESTED3]]/SUM(CHMATbl[TOTAL $ REQUESTED3]),"")</f>
        <v/>
      </c>
      <c r="O15" s="38" t="s">
        <v>513</v>
      </c>
      <c r="P15" s="113" t="str">
        <f>IF(SUM(CHMATbl[[#This Row],[MANUFACTURED AND RURAL UNITS]])=0,"",CHMATbl[[#This Row],[MANUFACTURED AND RURAL UNITS]])</f>
        <v/>
      </c>
      <c r="Q15" s="74" t="str">
        <f xml:space="preserve">
IF(CHMATbl[[#This Row],[MANUFACTURED AND RURAL FUNDING REQUESTED]]=0,"",
CHMATbl[[#This Row],[MANUFACTURED AND RURAL FUNDING REQUESTED]]*
IF(CH_MA_MFDRuralTotalRequested&lt;=(5000000-E$61-I$61-M$61),1,
(5000000-E$61-I$61-M$61)/CH_MA_MFDRuralTotalRequested)
)</f>
        <v/>
      </c>
      <c r="R15" s="6" t="str">
        <f>IFERROR(CHMATbl[[#This Row],[TOTAL $ REQUESTED4]]/SUM(CHMATbl[TOTAL $ REQUESTED4]),"")</f>
        <v/>
      </c>
      <c r="S15" s="675" t="s">
        <v>504</v>
      </c>
      <c r="T15" s="736"/>
      <c r="U15" s="699"/>
      <c r="V15" s="699"/>
      <c r="W15" s="737"/>
      <c r="X15" s="704"/>
      <c r="Y15" s="703"/>
      <c r="Z15" s="703"/>
      <c r="AA15" s="703"/>
      <c r="AB15" s="703"/>
      <c r="AC15" s="98">
        <f t="shared" si="0"/>
        <v>0</v>
      </c>
      <c r="AD15" s="6">
        <f>IF(CHMATbl[[#This Row],[UNRESTRICTED FUNDING REQUESTED]]=0,0,CHMATbl[[#This Row],[UNRESTRICTED FUNDING REQUESTED]]/CH_MA_UnrestrictedTotalRequested)</f>
        <v>0</v>
      </c>
      <c r="AE15" s="667">
        <f xml:space="preserve">
IF(CHMATbl[[#This Row],[NEW CONSTRUCTION OR AQUIRE/REHAB]]&lt;&gt;"",
3+IF(CHMATbl[[#This Row],[INFILL SITE]]="Yes",2,0),0)
*CHMATbl[[#This Row],[% OF TOTAL UNRESTRICTED FUNDING]]</f>
        <v>0</v>
      </c>
      <c r="AF15" s="665">
        <f>IF(CHMATbl[[#This Row],[ALL UNITS IN A HIGH OR HIGHEST RESOURCE AREA]]="Yes",10*CHMATbl[[#This Row],[% OF TOTAL UNRESTRICTED FUNDING]],0)</f>
        <v>0</v>
      </c>
      <c r="AG15" s="665" cm="1">
        <f t="array" ref="AG15">INDEX(CountyScoresTbl[Community Need Total Points],ROW(CHMATbl[[#This Row],[COUNTY]])-2,1)*CHMATbl[[#This Row],[% OF TOTAL UNRESTRICTED FUNDING]]</f>
        <v>0</v>
      </c>
      <c r="AH15" s="666" cm="1">
        <f t="array" ref="AH15"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5" s="704"/>
      <c r="AJ15" s="703"/>
      <c r="AK15" s="703"/>
      <c r="AL15" s="703"/>
      <c r="AM15" s="703"/>
      <c r="AN15" s="74">
        <f t="shared" si="1"/>
        <v>0</v>
      </c>
      <c r="AO15" s="6">
        <f>IF(CHMATbl[[#This Row],[MANUFACTURED FUNDING REQUESTED]]=0,0,CHMATbl[[#This Row],[MANUFACTURED FUNDING REQUESTED]]/CH_MA_ManufacturedTotalRequested)</f>
        <v>0</v>
      </c>
      <c r="AP15" s="671">
        <f>IF(
CHMATbl[[#This Row],[NEW CONSTRUCTION OR AQUIRE/REHAB]]&lt;&gt;"",
3+IF(CHMATbl[[#This Row],[INFILL SITE]]="Yes",2,0),0)
*CHMATbl[[#This Row],[% OF TOTAL MANUFACTURED FUNDING]]</f>
        <v>0</v>
      </c>
      <c r="AQ15" s="7">
        <f>IF(CHMATbl[[#This Row],[ALL UNITS IN A HIGH OR HIGHEST RESOURCE AREA]]="Yes",10*CHMATbl[[#This Row],[% OF TOTAL MANUFACTURED FUNDING]],0)</f>
        <v>0</v>
      </c>
      <c r="AR15" s="7" cm="1">
        <f t="array" ref="AR15">INDEX(CountyScoresTbl[Community Need Total Points],ROW(CHMATbl[[#This Row],[COUNTY]])-2,1)*CHMATbl[[#This Row],[% OF TOTAL MANUFACTURED FUNDING]]</f>
        <v>0</v>
      </c>
      <c r="AS15" s="8" cm="1">
        <f t="array" ref="AS1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5" s="705"/>
      <c r="AU15" s="703"/>
      <c r="AV15" s="703"/>
      <c r="AW15" s="703"/>
      <c r="AX15" s="703"/>
      <c r="AY15" s="74">
        <f t="shared" si="2"/>
        <v>0</v>
      </c>
      <c r="AZ15" s="6">
        <f>IF(CHMATbl[[#This Row],[RURAL FUNDING REQUESTED]]=0,0,CHMATbl[[#This Row],[RURAL FUNDING REQUESTED]]/CH_MA_RuralTotalRequested)</f>
        <v>0</v>
      </c>
      <c r="BA15" s="667">
        <f>IF(
CHMATbl[[#This Row],[NEW CONSTRUCTION OR AQUIRE/REHAB]]&lt;&gt;"",
3+IF(CHMATbl[[#This Row],[INFILL SITE]]="Yes",2,0),0)
*CHMATbl[[#This Row],[% OF TOTAL RURAL FUNDING]]</f>
        <v>0</v>
      </c>
      <c r="BB15" s="665">
        <f>IF(
CHMATbl[[#This Row],[ALL UNITS IN A HIGH OR HIGHEST RESOURCE AREA]]="Yes",
10*CHMATbl[[#This Row],[% OF TOTAL RURAL FUNDING]],
0)</f>
        <v>0</v>
      </c>
      <c r="BC15" s="665" cm="1">
        <f t="array" ref="BC15">INDEX(
CountyScoresTbl[Community Need Total Points],
ROW(CHMATbl[[#This Row],[COUNTY]])-2,1)*CHMATbl[[#This Row],[% OF TOTAL RURAL FUNDING]]</f>
        <v>0</v>
      </c>
      <c r="BD15" s="666" cm="1">
        <f t="array" ref="BD15"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5" s="116"/>
      <c r="BF15" s="703"/>
      <c r="BG15" s="703"/>
      <c r="BH15" s="703"/>
      <c r="BI15" s="703"/>
      <c r="BJ15" s="74">
        <f t="shared" si="3"/>
        <v>0</v>
      </c>
      <c r="BK15" s="6">
        <f>IF(CHMATbl[[#This Row],[MANUFACTURED AND RURAL FUNDING REQUESTED]]=0,0,CHMATbl[[#This Row],[MANUFACTURED AND RURAL FUNDING REQUESTED]]/CH_MA_MFDRuralTotalRequested)</f>
        <v>0</v>
      </c>
      <c r="BL15" s="667">
        <f xml:space="preserve">
IF(CHMATbl[[#This Row],[NEW CONSTRUCTION OR AQUIRE/REHAB]]&lt;&gt;"",
3+IF(CHMATbl[[#This Row],[INFILL SITE]]="Yes",2,0),0)
*CHMATbl[[#This Row],[% OF TOTAL MANUFACTURED AND RURAL FUNDING]]</f>
        <v>0</v>
      </c>
      <c r="BM15" s="665">
        <f>IF(
CHMATbl[[#This Row],[ALL UNITS IN A HIGH OR HIGHEST RESOURCE AREA]]="Yes",
10*CHMATbl[[#This Row],[% OF TOTAL MANUFACTURED AND RURAL FUNDING]],
0)</f>
        <v>0</v>
      </c>
      <c r="BN15" s="665" cm="1">
        <f t="array" ref="BN15">INDEX(
CountyScoresTbl[Community Need Total Points],
ROW(CHMATbl[[#This Row],[COUNTY]])-2,1)*CHMATbl[[#This Row],[% OF TOTAL MANUFACTURED AND RURAL FUNDING]]</f>
        <v>0</v>
      </c>
      <c r="BO15" s="694" cm="1">
        <f t="array" ref="BO1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5" s="732"/>
      <c r="BQ15" s="564"/>
      <c r="BR15" s="678"/>
    </row>
    <row r="16" spans="1:70" s="662" customFormat="1" x14ac:dyDescent="0.35">
      <c r="A16" s="679"/>
      <c r="B16" s="5" t="s">
        <v>128</v>
      </c>
      <c r="C16" s="38" t="s">
        <v>513</v>
      </c>
      <c r="D16" s="113" t="str">
        <f>IF(SUM(CHMATbl[[#This Row],[UNRESTRICTED UNITS]])=0,"",CHMATbl[[#This Row],[UNRESTRICTED UNITS]])</f>
        <v/>
      </c>
      <c r="E16" s="74" t="str">
        <f xml:space="preserve">
IF(CHMATbl[[#This Row],[UNRESTRICTED FUNDING REQUESTED]]=0,"",
CHMATbl[[#This Row],[UNRESTRICTED FUNDING REQUESTED]]*
IF(CH_MA_UnrestrictedTotalRequested&lt;=5000000,1,
5000000/CH_MA_UnrestrictedTotalRequested)
)</f>
        <v/>
      </c>
      <c r="F16" s="6" t="str">
        <f>IFERROR(CHMATbl[[#This Row],[TOTAL $ REQUESTED]]/SUM(CHMATbl[TOTAL $ REQUESTED]),"")</f>
        <v/>
      </c>
      <c r="G16" s="38" t="s">
        <v>513</v>
      </c>
      <c r="H16" s="113" t="str">
        <f>IF(SUM(CHMATbl[[#This Row],[MANUFACTURED UNITS]])=0,"",CHMATbl[[#This Row],[MANUFACTURED UNITS]])</f>
        <v/>
      </c>
      <c r="I16" s="74" t="str">
        <f xml:space="preserve">
IF(CHMATbl[[#This Row],[MANUFACTURED FUNDING REQUESTED]]=0,"",
CHMATbl[[#This Row],[MANUFACTURED FUNDING REQUESTED]]*
IF(CH_MA_ManufacturedTotalRequested&lt;=(5000000-E$61),1,
(5000000-E$61)/CH_MA_ManufacturedTotalRequested)
)</f>
        <v/>
      </c>
      <c r="J16" s="6" t="str">
        <f>IFERROR(CHMATbl[[#This Row],[TOTAL $ REQUESTED2]]/SUM(CHMATbl[TOTAL $ REQUESTED2]),"")</f>
        <v/>
      </c>
      <c r="K16" s="38" t="s">
        <v>513</v>
      </c>
      <c r="L16" s="113" t="str">
        <f>IF(SUM(CHMATbl[[#This Row],[RURAL UNITS]])=0,"",CHMATbl[[#This Row],[RURAL UNITS]])</f>
        <v/>
      </c>
      <c r="M16" s="74" t="str">
        <f xml:space="preserve">
IF(CHMATbl[[#This Row],[RURAL FUNDING REQUESTED]]=0,"",
CHMATbl[[#This Row],[RURAL FUNDING REQUESTED]]*
IF(CH_MA_RuralTotalRequested&lt;=(5000000-E$61-I$61),1,
(5000000-E$61-I$61)/CH_MA_RuralTotalRequested)
)</f>
        <v/>
      </c>
      <c r="N16" s="6" t="str">
        <f>IFERROR(CHMATbl[[#This Row],[TOTAL $ REQUESTED3]]/SUM(CHMATbl[TOTAL $ REQUESTED3]),"")</f>
        <v/>
      </c>
      <c r="O16" s="38" t="s">
        <v>513</v>
      </c>
      <c r="P16" s="113" t="str">
        <f>IF(SUM(CHMATbl[[#This Row],[MANUFACTURED AND RURAL UNITS]])=0,"",CHMATbl[[#This Row],[MANUFACTURED AND RURAL UNITS]])</f>
        <v/>
      </c>
      <c r="Q16" s="74" t="str">
        <f xml:space="preserve">
IF(CHMATbl[[#This Row],[MANUFACTURED AND RURAL FUNDING REQUESTED]]=0,"",
CHMATbl[[#This Row],[MANUFACTURED AND RURAL FUNDING REQUESTED]]*
IF(CH_MA_MFDRuralTotalRequested&lt;=(5000000-E$61-I$61-M$61),1,
(5000000-E$61-I$61-M$61)/CH_MA_MFDRuralTotalRequested)
)</f>
        <v/>
      </c>
      <c r="R16" s="6" t="str">
        <f>IFERROR(CHMATbl[[#This Row],[TOTAL $ REQUESTED4]]/SUM(CHMATbl[TOTAL $ REQUESTED4]),"")</f>
        <v/>
      </c>
      <c r="S16" s="38" t="s">
        <v>513</v>
      </c>
      <c r="T16" s="736"/>
      <c r="U16" s="699"/>
      <c r="V16" s="699"/>
      <c r="W16" s="737"/>
      <c r="X16" s="116"/>
      <c r="Y16" s="703"/>
      <c r="Z16" s="703"/>
      <c r="AA16" s="703"/>
      <c r="AB16" s="703"/>
      <c r="AC16" s="98">
        <f t="shared" si="0"/>
        <v>0</v>
      </c>
      <c r="AD16" s="6">
        <f>IF(CHMATbl[[#This Row],[UNRESTRICTED FUNDING REQUESTED]]=0,0,CHMATbl[[#This Row],[UNRESTRICTED FUNDING REQUESTED]]/CH_MA_UnrestrictedTotalRequested)</f>
        <v>0</v>
      </c>
      <c r="AE16" s="667">
        <f xml:space="preserve">
IF(CHMATbl[[#This Row],[NEW CONSTRUCTION OR AQUIRE/REHAB]]&lt;&gt;"",
3+IF(CHMATbl[[#This Row],[INFILL SITE]]="Yes",2,0),0)
*CHMATbl[[#This Row],[% OF TOTAL UNRESTRICTED FUNDING]]</f>
        <v>0</v>
      </c>
      <c r="AF16" s="665">
        <f>IF(CHMATbl[[#This Row],[ALL UNITS IN A HIGH OR HIGHEST RESOURCE AREA]]="Yes",10*CHMATbl[[#This Row],[% OF TOTAL UNRESTRICTED FUNDING]],0)</f>
        <v>0</v>
      </c>
      <c r="AG16" s="665" cm="1">
        <f t="array" ref="AG16">INDEX(CountyScoresTbl[Community Need Total Points],ROW(CHMATbl[[#This Row],[COUNTY]])-2,1)*CHMATbl[[#This Row],[% OF TOTAL UNRESTRICTED FUNDING]]</f>
        <v>0</v>
      </c>
      <c r="AH16" s="666" cm="1">
        <f t="array" ref="AH16"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6" s="116"/>
      <c r="AJ16" s="703"/>
      <c r="AK16" s="703"/>
      <c r="AL16" s="703"/>
      <c r="AM16" s="703"/>
      <c r="AN16" s="74">
        <f t="shared" si="1"/>
        <v>0</v>
      </c>
      <c r="AO16" s="6">
        <f>IF(CHMATbl[[#This Row],[MANUFACTURED FUNDING REQUESTED]]=0,0,CHMATbl[[#This Row],[MANUFACTURED FUNDING REQUESTED]]/CH_MA_ManufacturedTotalRequested)</f>
        <v>0</v>
      </c>
      <c r="AP16" s="671">
        <f>IF(
CHMATbl[[#This Row],[NEW CONSTRUCTION OR AQUIRE/REHAB]]&lt;&gt;"",
3+IF(CHMATbl[[#This Row],[INFILL SITE]]="Yes",2,0),0)
*CHMATbl[[#This Row],[% OF TOTAL MANUFACTURED FUNDING]]</f>
        <v>0</v>
      </c>
      <c r="AQ16" s="7">
        <f>IF(CHMATbl[[#This Row],[ALL UNITS IN A HIGH OR HIGHEST RESOURCE AREA]]="Yes",10*CHMATbl[[#This Row],[% OF TOTAL MANUFACTURED FUNDING]],0)</f>
        <v>0</v>
      </c>
      <c r="AR16" s="7" cm="1">
        <f t="array" ref="AR16">INDEX(CountyScoresTbl[Community Need Total Points],ROW(CHMATbl[[#This Row],[COUNTY]])-2,1)*CHMATbl[[#This Row],[% OF TOTAL MANUFACTURED FUNDING]]</f>
        <v>0</v>
      </c>
      <c r="AS16" s="8" cm="1">
        <f t="array" ref="AS1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6" s="705"/>
      <c r="AU16" s="703"/>
      <c r="AV16" s="703"/>
      <c r="AW16" s="703"/>
      <c r="AX16" s="703"/>
      <c r="AY16" s="74">
        <f t="shared" si="2"/>
        <v>0</v>
      </c>
      <c r="AZ16" s="6">
        <f>IF(CHMATbl[[#This Row],[RURAL FUNDING REQUESTED]]=0,0,CHMATbl[[#This Row],[RURAL FUNDING REQUESTED]]/CH_MA_RuralTotalRequested)</f>
        <v>0</v>
      </c>
      <c r="BA16" s="667">
        <f>IF(
CHMATbl[[#This Row],[NEW CONSTRUCTION OR AQUIRE/REHAB]]&lt;&gt;"",
3+IF(CHMATbl[[#This Row],[INFILL SITE]]="Yes",2,0),0)
*CHMATbl[[#This Row],[% OF TOTAL RURAL FUNDING]]</f>
        <v>0</v>
      </c>
      <c r="BB16" s="665">
        <f>IF(
CHMATbl[[#This Row],[ALL UNITS IN A HIGH OR HIGHEST RESOURCE AREA]]="Yes",
10*CHMATbl[[#This Row],[% OF TOTAL RURAL FUNDING]],
0)</f>
        <v>0</v>
      </c>
      <c r="BC16" s="665" cm="1">
        <f t="array" ref="BC16">INDEX(
CountyScoresTbl[Community Need Total Points],
ROW(CHMATbl[[#This Row],[COUNTY]])-2,1)*CHMATbl[[#This Row],[% OF TOTAL RURAL FUNDING]]</f>
        <v>0</v>
      </c>
      <c r="BD16" s="666" cm="1">
        <f t="array" ref="BD16"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6" s="116"/>
      <c r="BF16" s="703"/>
      <c r="BG16" s="703"/>
      <c r="BH16" s="703"/>
      <c r="BI16" s="703"/>
      <c r="BJ16" s="74">
        <f t="shared" si="3"/>
        <v>0</v>
      </c>
      <c r="BK16" s="6">
        <f>IF(CHMATbl[[#This Row],[MANUFACTURED AND RURAL FUNDING REQUESTED]]=0,0,CHMATbl[[#This Row],[MANUFACTURED AND RURAL FUNDING REQUESTED]]/CH_MA_MFDRuralTotalRequested)</f>
        <v>0</v>
      </c>
      <c r="BL16" s="667">
        <f xml:space="preserve">
IF(CHMATbl[[#This Row],[NEW CONSTRUCTION OR AQUIRE/REHAB]]&lt;&gt;"",
3+IF(CHMATbl[[#This Row],[INFILL SITE]]="Yes",2,0),0)
*CHMATbl[[#This Row],[% OF TOTAL MANUFACTURED AND RURAL FUNDING]]</f>
        <v>0</v>
      </c>
      <c r="BM16" s="665">
        <f>IF(
CHMATbl[[#This Row],[ALL UNITS IN A HIGH OR HIGHEST RESOURCE AREA]]="Yes",
10*CHMATbl[[#This Row],[% OF TOTAL MANUFACTURED AND RURAL FUNDING]],
0)</f>
        <v>0</v>
      </c>
      <c r="BN16" s="665" cm="1">
        <f t="array" ref="BN16">INDEX(
CountyScoresTbl[Community Need Total Points],
ROW(CHMATbl[[#This Row],[COUNTY]])-2,1)*CHMATbl[[#This Row],[% OF TOTAL MANUFACTURED AND RURAL FUNDING]]</f>
        <v>0</v>
      </c>
      <c r="BO16" s="694" cm="1">
        <f t="array" ref="BO1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6" s="732"/>
      <c r="BQ16" s="564"/>
      <c r="BR16" s="678"/>
    </row>
    <row r="17" spans="1:70" s="662" customFormat="1" x14ac:dyDescent="0.35">
      <c r="A17" s="674" t="s">
        <v>504</v>
      </c>
      <c r="B17" s="5" t="s">
        <v>129</v>
      </c>
      <c r="C17" s="38" t="s">
        <v>513</v>
      </c>
      <c r="D17" s="113" t="str">
        <f>IF(SUM(CHMATbl[[#This Row],[UNRESTRICTED UNITS]])=0,"",CHMATbl[[#This Row],[UNRESTRICTED UNITS]])</f>
        <v/>
      </c>
      <c r="E17" s="74" t="str">
        <f xml:space="preserve">
IF(CHMATbl[[#This Row],[UNRESTRICTED FUNDING REQUESTED]]=0,"",
CHMATbl[[#This Row],[UNRESTRICTED FUNDING REQUESTED]]*
IF(CH_MA_UnrestrictedTotalRequested&lt;=5000000,1,
5000000/CH_MA_UnrestrictedTotalRequested)
)</f>
        <v/>
      </c>
      <c r="F17" s="6" t="str">
        <f>IFERROR(CHMATbl[[#This Row],[TOTAL $ REQUESTED]]/SUM(CHMATbl[TOTAL $ REQUESTED]),"")</f>
        <v/>
      </c>
      <c r="G17" s="38" t="s">
        <v>513</v>
      </c>
      <c r="H17" s="113" t="str">
        <f>IF(SUM(CHMATbl[[#This Row],[MANUFACTURED UNITS]])=0,"",CHMATbl[[#This Row],[MANUFACTURED UNITS]])</f>
        <v/>
      </c>
      <c r="I17" s="74" t="str">
        <f xml:space="preserve">
IF(CHMATbl[[#This Row],[MANUFACTURED FUNDING REQUESTED]]=0,"",
CHMATbl[[#This Row],[MANUFACTURED FUNDING REQUESTED]]*
IF(CH_MA_ManufacturedTotalRequested&lt;=(5000000-E$61),1,
(5000000-E$61)/CH_MA_ManufacturedTotalRequested)
)</f>
        <v/>
      </c>
      <c r="J17" s="6" t="str">
        <f>IFERROR(CHMATbl[[#This Row],[TOTAL $ REQUESTED2]]/SUM(CHMATbl[TOTAL $ REQUESTED2]),"")</f>
        <v/>
      </c>
      <c r="K17" s="38" t="s">
        <v>513</v>
      </c>
      <c r="L17" s="113" t="str">
        <f>IF(SUM(CHMATbl[[#This Row],[RURAL UNITS]])=0,"",CHMATbl[[#This Row],[RURAL UNITS]])</f>
        <v/>
      </c>
      <c r="M17" s="74" t="str">
        <f xml:space="preserve">
IF(CHMATbl[[#This Row],[RURAL FUNDING REQUESTED]]=0,"",
CHMATbl[[#This Row],[RURAL FUNDING REQUESTED]]*
IF(CH_MA_RuralTotalRequested&lt;=(5000000-E$61-I$61),1,
(5000000-E$61-I$61)/CH_MA_RuralTotalRequested)
)</f>
        <v/>
      </c>
      <c r="N17" s="6" t="str">
        <f>IFERROR(CHMATbl[[#This Row],[TOTAL $ REQUESTED3]]/SUM(CHMATbl[TOTAL $ REQUESTED3]),"")</f>
        <v/>
      </c>
      <c r="O17" s="38" t="s">
        <v>513</v>
      </c>
      <c r="P17" s="113" t="str">
        <f>IF(SUM(CHMATbl[[#This Row],[MANUFACTURED AND RURAL UNITS]])=0,"",CHMATbl[[#This Row],[MANUFACTURED AND RURAL UNITS]])</f>
        <v/>
      </c>
      <c r="Q17" s="74" t="str">
        <f xml:space="preserve">
IF(CHMATbl[[#This Row],[MANUFACTURED AND RURAL FUNDING REQUESTED]]=0,"",
CHMATbl[[#This Row],[MANUFACTURED AND RURAL FUNDING REQUESTED]]*
IF(CH_MA_MFDRuralTotalRequested&lt;=(5000000-E$61-I$61-M$61),1,
(5000000-E$61-I$61-M$61)/CH_MA_MFDRuralTotalRequested)
)</f>
        <v/>
      </c>
      <c r="R17" s="6" t="str">
        <f>IFERROR(CHMATbl[[#This Row],[TOTAL $ REQUESTED4]]/SUM(CHMATbl[TOTAL $ REQUESTED4]),"")</f>
        <v/>
      </c>
      <c r="S17" s="675" t="s">
        <v>504</v>
      </c>
      <c r="T17" s="736"/>
      <c r="U17" s="699"/>
      <c r="V17" s="699"/>
      <c r="W17" s="737"/>
      <c r="X17" s="704"/>
      <c r="Y17" s="703"/>
      <c r="Z17" s="703"/>
      <c r="AA17" s="703"/>
      <c r="AB17" s="703"/>
      <c r="AC17" s="98">
        <f t="shared" si="0"/>
        <v>0</v>
      </c>
      <c r="AD17" s="6">
        <f>IF(CHMATbl[[#This Row],[UNRESTRICTED FUNDING REQUESTED]]=0,0,CHMATbl[[#This Row],[UNRESTRICTED FUNDING REQUESTED]]/CH_MA_UnrestrictedTotalRequested)</f>
        <v>0</v>
      </c>
      <c r="AE17" s="667">
        <f xml:space="preserve">
IF(CHMATbl[[#This Row],[NEW CONSTRUCTION OR AQUIRE/REHAB]]&lt;&gt;"",
3+IF(CHMATbl[[#This Row],[INFILL SITE]]="Yes",2,0),0)
*CHMATbl[[#This Row],[% OF TOTAL UNRESTRICTED FUNDING]]</f>
        <v>0</v>
      </c>
      <c r="AF17" s="665">
        <f>IF(CHMATbl[[#This Row],[ALL UNITS IN A HIGH OR HIGHEST RESOURCE AREA]]="Yes",10*CHMATbl[[#This Row],[% OF TOTAL UNRESTRICTED FUNDING]],0)</f>
        <v>0</v>
      </c>
      <c r="AG17" s="665" cm="1">
        <f t="array" ref="AG17">INDEX(CountyScoresTbl[Community Need Total Points],ROW(CHMATbl[[#This Row],[COUNTY]])-2,1)*CHMATbl[[#This Row],[% OF TOTAL UNRESTRICTED FUNDING]]</f>
        <v>0</v>
      </c>
      <c r="AH17" s="666" cm="1">
        <f t="array" ref="AH17"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7" s="704"/>
      <c r="AJ17" s="703"/>
      <c r="AK17" s="703"/>
      <c r="AL17" s="703"/>
      <c r="AM17" s="703"/>
      <c r="AN17" s="74">
        <f t="shared" si="1"/>
        <v>0</v>
      </c>
      <c r="AO17" s="6">
        <f>IF(CHMATbl[[#This Row],[MANUFACTURED FUNDING REQUESTED]]=0,0,CHMATbl[[#This Row],[MANUFACTURED FUNDING REQUESTED]]/CH_MA_ManufacturedTotalRequested)</f>
        <v>0</v>
      </c>
      <c r="AP17" s="671">
        <f>IF(
CHMATbl[[#This Row],[NEW CONSTRUCTION OR AQUIRE/REHAB]]&lt;&gt;"",
3+IF(CHMATbl[[#This Row],[INFILL SITE]]="Yes",2,0),0)
*CHMATbl[[#This Row],[% OF TOTAL MANUFACTURED FUNDING]]</f>
        <v>0</v>
      </c>
      <c r="AQ17" s="7">
        <f>IF(CHMATbl[[#This Row],[ALL UNITS IN A HIGH OR HIGHEST RESOURCE AREA]]="Yes",10*CHMATbl[[#This Row],[% OF TOTAL MANUFACTURED FUNDING]],0)</f>
        <v>0</v>
      </c>
      <c r="AR17" s="7" cm="1">
        <f t="array" ref="AR17">INDEX(CountyScoresTbl[Community Need Total Points],ROW(CHMATbl[[#This Row],[COUNTY]])-2,1)*CHMATbl[[#This Row],[% OF TOTAL MANUFACTURED FUNDING]]</f>
        <v>0</v>
      </c>
      <c r="AS17" s="8" cm="1">
        <f t="array" ref="AS1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7" s="705"/>
      <c r="AU17" s="703"/>
      <c r="AV17" s="703"/>
      <c r="AW17" s="703"/>
      <c r="AX17" s="703"/>
      <c r="AY17" s="74">
        <f t="shared" si="2"/>
        <v>0</v>
      </c>
      <c r="AZ17" s="6">
        <f>IF(CHMATbl[[#This Row],[RURAL FUNDING REQUESTED]]=0,0,CHMATbl[[#This Row],[RURAL FUNDING REQUESTED]]/CH_MA_RuralTotalRequested)</f>
        <v>0</v>
      </c>
      <c r="BA17" s="667">
        <f>IF(
CHMATbl[[#This Row],[NEW CONSTRUCTION OR AQUIRE/REHAB]]&lt;&gt;"",
3+IF(CHMATbl[[#This Row],[INFILL SITE]]="Yes",2,0),0)
*CHMATbl[[#This Row],[% OF TOTAL RURAL FUNDING]]</f>
        <v>0</v>
      </c>
      <c r="BB17" s="665">
        <f>IF(
CHMATbl[[#This Row],[ALL UNITS IN A HIGH OR HIGHEST RESOURCE AREA]]="Yes",
10*CHMATbl[[#This Row],[% OF TOTAL RURAL FUNDING]],
0)</f>
        <v>0</v>
      </c>
      <c r="BC17" s="665" cm="1">
        <f t="array" ref="BC17">INDEX(
CountyScoresTbl[Community Need Total Points],
ROW(CHMATbl[[#This Row],[COUNTY]])-2,1)*CHMATbl[[#This Row],[% OF TOTAL RURAL FUNDING]]</f>
        <v>0</v>
      </c>
      <c r="BD17" s="666" cm="1">
        <f t="array" ref="BD17"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7" s="116"/>
      <c r="BF17" s="703"/>
      <c r="BG17" s="703"/>
      <c r="BH17" s="703"/>
      <c r="BI17" s="703"/>
      <c r="BJ17" s="74">
        <f t="shared" si="3"/>
        <v>0</v>
      </c>
      <c r="BK17" s="6">
        <f>IF(CHMATbl[[#This Row],[MANUFACTURED AND RURAL FUNDING REQUESTED]]=0,0,CHMATbl[[#This Row],[MANUFACTURED AND RURAL FUNDING REQUESTED]]/CH_MA_MFDRuralTotalRequested)</f>
        <v>0</v>
      </c>
      <c r="BL17" s="667">
        <f xml:space="preserve">
IF(CHMATbl[[#This Row],[NEW CONSTRUCTION OR AQUIRE/REHAB]]&lt;&gt;"",
3+IF(CHMATbl[[#This Row],[INFILL SITE]]="Yes",2,0),0)
*CHMATbl[[#This Row],[% OF TOTAL MANUFACTURED AND RURAL FUNDING]]</f>
        <v>0</v>
      </c>
      <c r="BM17" s="665">
        <f>IF(
CHMATbl[[#This Row],[ALL UNITS IN A HIGH OR HIGHEST RESOURCE AREA]]="Yes",
10*CHMATbl[[#This Row],[% OF TOTAL MANUFACTURED AND RURAL FUNDING]],
0)</f>
        <v>0</v>
      </c>
      <c r="BN17" s="665" cm="1">
        <f t="array" ref="BN17">INDEX(
CountyScoresTbl[Community Need Total Points],
ROW(CHMATbl[[#This Row],[COUNTY]])-2,1)*CHMATbl[[#This Row],[% OF TOTAL MANUFACTURED AND RURAL FUNDING]]</f>
        <v>0</v>
      </c>
      <c r="BO17" s="694" cm="1">
        <f t="array" ref="BO1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7" s="732"/>
      <c r="BQ17" s="564"/>
      <c r="BR17" s="678"/>
    </row>
    <row r="18" spans="1:70" s="662" customFormat="1" x14ac:dyDescent="0.35">
      <c r="A18" s="679"/>
      <c r="B18" s="5" t="s">
        <v>130</v>
      </c>
      <c r="C18" s="38" t="s">
        <v>513</v>
      </c>
      <c r="D18" s="113" t="str">
        <f>IF(SUM(CHMATbl[[#This Row],[UNRESTRICTED UNITS]])=0,"",CHMATbl[[#This Row],[UNRESTRICTED UNITS]])</f>
        <v/>
      </c>
      <c r="E18" s="74" t="str">
        <f xml:space="preserve">
IF(CHMATbl[[#This Row],[UNRESTRICTED FUNDING REQUESTED]]=0,"",
CHMATbl[[#This Row],[UNRESTRICTED FUNDING REQUESTED]]*
IF(CH_MA_UnrestrictedTotalRequested&lt;=5000000,1,
5000000/CH_MA_UnrestrictedTotalRequested)
)</f>
        <v/>
      </c>
      <c r="F18" s="6" t="str">
        <f>IFERROR(CHMATbl[[#This Row],[TOTAL $ REQUESTED]]/SUM(CHMATbl[TOTAL $ REQUESTED]),"")</f>
        <v/>
      </c>
      <c r="G18" s="38" t="s">
        <v>513</v>
      </c>
      <c r="H18" s="113" t="str">
        <f>IF(SUM(CHMATbl[[#This Row],[MANUFACTURED UNITS]])=0,"",CHMATbl[[#This Row],[MANUFACTURED UNITS]])</f>
        <v/>
      </c>
      <c r="I18" s="74" t="str">
        <f xml:space="preserve">
IF(CHMATbl[[#This Row],[MANUFACTURED FUNDING REQUESTED]]=0,"",
CHMATbl[[#This Row],[MANUFACTURED FUNDING REQUESTED]]*
IF(CH_MA_ManufacturedTotalRequested&lt;=(5000000-E$61),1,
(5000000-E$61)/CH_MA_ManufacturedTotalRequested)
)</f>
        <v/>
      </c>
      <c r="J18" s="6" t="str">
        <f>IFERROR(CHMATbl[[#This Row],[TOTAL $ REQUESTED2]]/SUM(CHMATbl[TOTAL $ REQUESTED2]),"")</f>
        <v/>
      </c>
      <c r="K18" s="38" t="s">
        <v>513</v>
      </c>
      <c r="L18" s="113" t="str">
        <f>IF(SUM(CHMATbl[[#This Row],[RURAL UNITS]])=0,"",CHMATbl[[#This Row],[RURAL UNITS]])</f>
        <v/>
      </c>
      <c r="M18" s="74" t="str">
        <f xml:space="preserve">
IF(CHMATbl[[#This Row],[RURAL FUNDING REQUESTED]]=0,"",
CHMATbl[[#This Row],[RURAL FUNDING REQUESTED]]*
IF(CH_MA_RuralTotalRequested&lt;=(5000000-E$61-I$61),1,
(5000000-E$61-I$61)/CH_MA_RuralTotalRequested)
)</f>
        <v/>
      </c>
      <c r="N18" s="6" t="str">
        <f>IFERROR(CHMATbl[[#This Row],[TOTAL $ REQUESTED3]]/SUM(CHMATbl[TOTAL $ REQUESTED3]),"")</f>
        <v/>
      </c>
      <c r="O18" s="38" t="s">
        <v>513</v>
      </c>
      <c r="P18" s="113" t="str">
        <f>IF(SUM(CHMATbl[[#This Row],[MANUFACTURED AND RURAL UNITS]])=0,"",CHMATbl[[#This Row],[MANUFACTURED AND RURAL UNITS]])</f>
        <v/>
      </c>
      <c r="Q18" s="74" t="str">
        <f xml:space="preserve">
IF(CHMATbl[[#This Row],[MANUFACTURED AND RURAL FUNDING REQUESTED]]=0,"",
CHMATbl[[#This Row],[MANUFACTURED AND RURAL FUNDING REQUESTED]]*
IF(CH_MA_MFDRuralTotalRequested&lt;=(5000000-E$61-I$61-M$61),1,
(5000000-E$61-I$61-M$61)/CH_MA_MFDRuralTotalRequested)
)</f>
        <v/>
      </c>
      <c r="R18" s="6" t="str">
        <f>IFERROR(CHMATbl[[#This Row],[TOTAL $ REQUESTED4]]/SUM(CHMATbl[TOTAL $ REQUESTED4]),"")</f>
        <v/>
      </c>
      <c r="S18" s="38" t="s">
        <v>513</v>
      </c>
      <c r="T18" s="736"/>
      <c r="U18" s="699"/>
      <c r="V18" s="699"/>
      <c r="W18" s="737"/>
      <c r="X18" s="116"/>
      <c r="Y18" s="703"/>
      <c r="Z18" s="703"/>
      <c r="AA18" s="703"/>
      <c r="AB18" s="703"/>
      <c r="AC18" s="98">
        <f t="shared" si="0"/>
        <v>0</v>
      </c>
      <c r="AD18" s="6">
        <f>IF(CHMATbl[[#This Row],[UNRESTRICTED FUNDING REQUESTED]]=0,0,CHMATbl[[#This Row],[UNRESTRICTED FUNDING REQUESTED]]/CH_MA_UnrestrictedTotalRequested)</f>
        <v>0</v>
      </c>
      <c r="AE18" s="667">
        <f xml:space="preserve">
IF(CHMATbl[[#This Row],[NEW CONSTRUCTION OR AQUIRE/REHAB]]&lt;&gt;"",
3+IF(CHMATbl[[#This Row],[INFILL SITE]]="Yes",2,0),0)
*CHMATbl[[#This Row],[% OF TOTAL UNRESTRICTED FUNDING]]</f>
        <v>0</v>
      </c>
      <c r="AF18" s="665">
        <f>IF(CHMATbl[[#This Row],[ALL UNITS IN A HIGH OR HIGHEST RESOURCE AREA]]="Yes",10*CHMATbl[[#This Row],[% OF TOTAL UNRESTRICTED FUNDING]],0)</f>
        <v>0</v>
      </c>
      <c r="AG18" s="665" cm="1">
        <f t="array" ref="AG18">INDEX(CountyScoresTbl[Community Need Total Points],ROW(CHMATbl[[#This Row],[COUNTY]])-2,1)*CHMATbl[[#This Row],[% OF TOTAL UNRESTRICTED FUNDING]]</f>
        <v>0</v>
      </c>
      <c r="AH18" s="666" cm="1">
        <f t="array" ref="AH18"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8" s="116"/>
      <c r="AJ18" s="703"/>
      <c r="AK18" s="703"/>
      <c r="AL18" s="703"/>
      <c r="AM18" s="703"/>
      <c r="AN18" s="74">
        <f t="shared" si="1"/>
        <v>0</v>
      </c>
      <c r="AO18" s="6">
        <f>IF(CHMATbl[[#This Row],[MANUFACTURED FUNDING REQUESTED]]=0,0,CHMATbl[[#This Row],[MANUFACTURED FUNDING REQUESTED]]/CH_MA_ManufacturedTotalRequested)</f>
        <v>0</v>
      </c>
      <c r="AP18" s="671">
        <f>IF(
CHMATbl[[#This Row],[NEW CONSTRUCTION OR AQUIRE/REHAB]]&lt;&gt;"",
3+IF(CHMATbl[[#This Row],[INFILL SITE]]="Yes",2,0),0)
*CHMATbl[[#This Row],[% OF TOTAL MANUFACTURED FUNDING]]</f>
        <v>0</v>
      </c>
      <c r="AQ18" s="7">
        <f>IF(CHMATbl[[#This Row],[ALL UNITS IN A HIGH OR HIGHEST RESOURCE AREA]]="Yes",10*CHMATbl[[#This Row],[% OF TOTAL MANUFACTURED FUNDING]],0)</f>
        <v>0</v>
      </c>
      <c r="AR18" s="7" cm="1">
        <f t="array" ref="AR18">INDEX(CountyScoresTbl[Community Need Total Points],ROW(CHMATbl[[#This Row],[COUNTY]])-2,1)*CHMATbl[[#This Row],[% OF TOTAL MANUFACTURED FUNDING]]</f>
        <v>0</v>
      </c>
      <c r="AS18" s="8" cm="1">
        <f t="array" ref="AS1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8" s="705"/>
      <c r="AU18" s="703"/>
      <c r="AV18" s="703"/>
      <c r="AW18" s="703"/>
      <c r="AX18" s="703"/>
      <c r="AY18" s="74">
        <f t="shared" si="2"/>
        <v>0</v>
      </c>
      <c r="AZ18" s="6">
        <f>IF(CHMATbl[[#This Row],[RURAL FUNDING REQUESTED]]=0,0,CHMATbl[[#This Row],[RURAL FUNDING REQUESTED]]/CH_MA_RuralTotalRequested)</f>
        <v>0</v>
      </c>
      <c r="BA18" s="667">
        <f>IF(
CHMATbl[[#This Row],[NEW CONSTRUCTION OR AQUIRE/REHAB]]&lt;&gt;"",
3+IF(CHMATbl[[#This Row],[INFILL SITE]]="Yes",2,0),0)
*CHMATbl[[#This Row],[% OF TOTAL RURAL FUNDING]]</f>
        <v>0</v>
      </c>
      <c r="BB18" s="665">
        <f>IF(
CHMATbl[[#This Row],[ALL UNITS IN A HIGH OR HIGHEST RESOURCE AREA]]="Yes",
10*CHMATbl[[#This Row],[% OF TOTAL RURAL FUNDING]],
0)</f>
        <v>0</v>
      </c>
      <c r="BC18" s="665" cm="1">
        <f t="array" ref="BC18">INDEX(
CountyScoresTbl[Community Need Total Points],
ROW(CHMATbl[[#This Row],[COUNTY]])-2,1)*CHMATbl[[#This Row],[% OF TOTAL RURAL FUNDING]]</f>
        <v>0</v>
      </c>
      <c r="BD18" s="666" cm="1">
        <f t="array" ref="BD18"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8" s="116"/>
      <c r="BF18" s="703"/>
      <c r="BG18" s="703"/>
      <c r="BH18" s="703"/>
      <c r="BI18" s="703"/>
      <c r="BJ18" s="74">
        <f t="shared" si="3"/>
        <v>0</v>
      </c>
      <c r="BK18" s="6">
        <f>IF(CHMATbl[[#This Row],[MANUFACTURED AND RURAL FUNDING REQUESTED]]=0,0,CHMATbl[[#This Row],[MANUFACTURED AND RURAL FUNDING REQUESTED]]/CH_MA_MFDRuralTotalRequested)</f>
        <v>0</v>
      </c>
      <c r="BL18" s="667">
        <f xml:space="preserve">
IF(CHMATbl[[#This Row],[NEW CONSTRUCTION OR AQUIRE/REHAB]]&lt;&gt;"",
3+IF(CHMATbl[[#This Row],[INFILL SITE]]="Yes",2,0),0)
*CHMATbl[[#This Row],[% OF TOTAL MANUFACTURED AND RURAL FUNDING]]</f>
        <v>0</v>
      </c>
      <c r="BM18" s="665">
        <f>IF(
CHMATbl[[#This Row],[ALL UNITS IN A HIGH OR HIGHEST RESOURCE AREA]]="Yes",
10*CHMATbl[[#This Row],[% OF TOTAL MANUFACTURED AND RURAL FUNDING]],
0)</f>
        <v>0</v>
      </c>
      <c r="BN18" s="665" cm="1">
        <f t="array" ref="BN18">INDEX(
CountyScoresTbl[Community Need Total Points],
ROW(CHMATbl[[#This Row],[COUNTY]])-2,1)*CHMATbl[[#This Row],[% OF TOTAL MANUFACTURED AND RURAL FUNDING]]</f>
        <v>0</v>
      </c>
      <c r="BO18" s="694" cm="1">
        <f t="array" ref="BO1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8" s="732"/>
      <c r="BQ18" s="564"/>
      <c r="BR18" s="678"/>
    </row>
    <row r="19" spans="1:70" s="662" customFormat="1" x14ac:dyDescent="0.35">
      <c r="A19" s="674" t="s">
        <v>504</v>
      </c>
      <c r="B19" s="5" t="s">
        <v>131</v>
      </c>
      <c r="C19" s="38" t="s">
        <v>513</v>
      </c>
      <c r="D19" s="113" t="str">
        <f>IF(SUM(CHMATbl[[#This Row],[UNRESTRICTED UNITS]])=0,"",CHMATbl[[#This Row],[UNRESTRICTED UNITS]])</f>
        <v/>
      </c>
      <c r="E19" s="74" t="str">
        <f xml:space="preserve">
IF(CHMATbl[[#This Row],[UNRESTRICTED FUNDING REQUESTED]]=0,"",
CHMATbl[[#This Row],[UNRESTRICTED FUNDING REQUESTED]]*
IF(CH_MA_UnrestrictedTotalRequested&lt;=5000000,1,
5000000/CH_MA_UnrestrictedTotalRequested)
)</f>
        <v/>
      </c>
      <c r="F19" s="6" t="str">
        <f>IFERROR(CHMATbl[[#This Row],[TOTAL $ REQUESTED]]/SUM(CHMATbl[TOTAL $ REQUESTED]),"")</f>
        <v/>
      </c>
      <c r="G19" s="38" t="s">
        <v>513</v>
      </c>
      <c r="H19" s="113" t="str">
        <f>IF(SUM(CHMATbl[[#This Row],[MANUFACTURED UNITS]])=0,"",CHMATbl[[#This Row],[MANUFACTURED UNITS]])</f>
        <v/>
      </c>
      <c r="I19" s="74" t="str">
        <f xml:space="preserve">
IF(CHMATbl[[#This Row],[MANUFACTURED FUNDING REQUESTED]]=0,"",
CHMATbl[[#This Row],[MANUFACTURED FUNDING REQUESTED]]*
IF(CH_MA_ManufacturedTotalRequested&lt;=(5000000-E$61),1,
(5000000-E$61)/CH_MA_ManufacturedTotalRequested)
)</f>
        <v/>
      </c>
      <c r="J19" s="6" t="str">
        <f>IFERROR(CHMATbl[[#This Row],[TOTAL $ REQUESTED2]]/SUM(CHMATbl[TOTAL $ REQUESTED2]),"")</f>
        <v/>
      </c>
      <c r="K19" s="38" t="s">
        <v>513</v>
      </c>
      <c r="L19" s="113" t="str">
        <f>IF(SUM(CHMATbl[[#This Row],[RURAL UNITS]])=0,"",CHMATbl[[#This Row],[RURAL UNITS]])</f>
        <v/>
      </c>
      <c r="M19" s="74" t="str">
        <f xml:space="preserve">
IF(CHMATbl[[#This Row],[RURAL FUNDING REQUESTED]]=0,"",
CHMATbl[[#This Row],[RURAL FUNDING REQUESTED]]*
IF(CH_MA_RuralTotalRequested&lt;=(5000000-E$61-I$61),1,
(5000000-E$61-I$61)/CH_MA_RuralTotalRequested)
)</f>
        <v/>
      </c>
      <c r="N19" s="6" t="str">
        <f>IFERROR(CHMATbl[[#This Row],[TOTAL $ REQUESTED3]]/SUM(CHMATbl[TOTAL $ REQUESTED3]),"")</f>
        <v/>
      </c>
      <c r="O19" s="38" t="s">
        <v>513</v>
      </c>
      <c r="P19" s="113" t="str">
        <f>IF(SUM(CHMATbl[[#This Row],[MANUFACTURED AND RURAL UNITS]])=0,"",CHMATbl[[#This Row],[MANUFACTURED AND RURAL UNITS]])</f>
        <v/>
      </c>
      <c r="Q19" s="74" t="str">
        <f xml:space="preserve">
IF(CHMATbl[[#This Row],[MANUFACTURED AND RURAL FUNDING REQUESTED]]=0,"",
CHMATbl[[#This Row],[MANUFACTURED AND RURAL FUNDING REQUESTED]]*
IF(CH_MA_MFDRuralTotalRequested&lt;=(5000000-E$61-I$61-M$61),1,
(5000000-E$61-I$61-M$61)/CH_MA_MFDRuralTotalRequested)
)</f>
        <v/>
      </c>
      <c r="R19" s="6" t="str">
        <f>IFERROR(CHMATbl[[#This Row],[TOTAL $ REQUESTED4]]/SUM(CHMATbl[TOTAL $ REQUESTED4]),"")</f>
        <v/>
      </c>
      <c r="S19" s="38" t="s">
        <v>513</v>
      </c>
      <c r="T19" s="736"/>
      <c r="U19" s="699"/>
      <c r="V19" s="699"/>
      <c r="W19" s="737"/>
      <c r="X19" s="702"/>
      <c r="Y19" s="703"/>
      <c r="Z19" s="703"/>
      <c r="AA19" s="703"/>
      <c r="AB19" s="703"/>
      <c r="AC19" s="98">
        <f t="shared" si="0"/>
        <v>0</v>
      </c>
      <c r="AD19" s="6">
        <f>IF(CHMATbl[[#This Row],[UNRESTRICTED FUNDING REQUESTED]]=0,0,CHMATbl[[#This Row],[UNRESTRICTED FUNDING REQUESTED]]/CH_MA_UnrestrictedTotalRequested)</f>
        <v>0</v>
      </c>
      <c r="AE19" s="667">
        <f xml:space="preserve">
IF(CHMATbl[[#This Row],[NEW CONSTRUCTION OR AQUIRE/REHAB]]&lt;&gt;"",
3+IF(CHMATbl[[#This Row],[INFILL SITE]]="Yes",2,0),0)
*CHMATbl[[#This Row],[% OF TOTAL UNRESTRICTED FUNDING]]</f>
        <v>0</v>
      </c>
      <c r="AF19" s="665">
        <f>IF(CHMATbl[[#This Row],[ALL UNITS IN A HIGH OR HIGHEST RESOURCE AREA]]="Yes",10*CHMATbl[[#This Row],[% OF TOTAL UNRESTRICTED FUNDING]],0)</f>
        <v>0</v>
      </c>
      <c r="AG19" s="665" cm="1">
        <f t="array" ref="AG19">INDEX(CountyScoresTbl[Community Need Total Points],ROW(CHMATbl[[#This Row],[COUNTY]])-2,1)*CHMATbl[[#This Row],[% OF TOTAL UNRESTRICTED FUNDING]]</f>
        <v>0</v>
      </c>
      <c r="AH19" s="666" cm="1">
        <f t="array" ref="AH19"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19" s="702"/>
      <c r="AJ19" s="703"/>
      <c r="AK19" s="703"/>
      <c r="AL19" s="703"/>
      <c r="AM19" s="703"/>
      <c r="AN19" s="74">
        <f t="shared" si="1"/>
        <v>0</v>
      </c>
      <c r="AO19" s="6">
        <f>IF(CHMATbl[[#This Row],[MANUFACTURED FUNDING REQUESTED]]=0,0,CHMATbl[[#This Row],[MANUFACTURED FUNDING REQUESTED]]/CH_MA_ManufacturedTotalRequested)</f>
        <v>0</v>
      </c>
      <c r="AP19" s="671">
        <f>IF(
CHMATbl[[#This Row],[NEW CONSTRUCTION OR AQUIRE/REHAB]]&lt;&gt;"",
3+IF(CHMATbl[[#This Row],[INFILL SITE]]="Yes",2,0),0)
*CHMATbl[[#This Row],[% OF TOTAL MANUFACTURED FUNDING]]</f>
        <v>0</v>
      </c>
      <c r="AQ19" s="7">
        <f>IF(CHMATbl[[#This Row],[ALL UNITS IN A HIGH OR HIGHEST RESOURCE AREA]]="Yes",10*CHMATbl[[#This Row],[% OF TOTAL MANUFACTURED FUNDING]],0)</f>
        <v>0</v>
      </c>
      <c r="AR19" s="7" cm="1">
        <f t="array" ref="AR19">INDEX(CountyScoresTbl[Community Need Total Points],ROW(CHMATbl[[#This Row],[COUNTY]])-2,1)*CHMATbl[[#This Row],[% OF TOTAL MANUFACTURED FUNDING]]</f>
        <v>0</v>
      </c>
      <c r="AS19" s="8" cm="1">
        <f t="array" ref="AS1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19" s="705"/>
      <c r="AU19" s="703"/>
      <c r="AV19" s="703"/>
      <c r="AW19" s="703"/>
      <c r="AX19" s="703"/>
      <c r="AY19" s="74">
        <f t="shared" si="2"/>
        <v>0</v>
      </c>
      <c r="AZ19" s="6">
        <f>IF(CHMATbl[[#This Row],[RURAL FUNDING REQUESTED]]=0,0,CHMATbl[[#This Row],[RURAL FUNDING REQUESTED]]/CH_MA_RuralTotalRequested)</f>
        <v>0</v>
      </c>
      <c r="BA19" s="667">
        <f>IF(
CHMATbl[[#This Row],[NEW CONSTRUCTION OR AQUIRE/REHAB]]&lt;&gt;"",
3+IF(CHMATbl[[#This Row],[INFILL SITE]]="Yes",2,0),0)
*CHMATbl[[#This Row],[% OF TOTAL RURAL FUNDING]]</f>
        <v>0</v>
      </c>
      <c r="BB19" s="665">
        <f>IF(
CHMATbl[[#This Row],[ALL UNITS IN A HIGH OR HIGHEST RESOURCE AREA]]="Yes",
10*CHMATbl[[#This Row],[% OF TOTAL RURAL FUNDING]],
0)</f>
        <v>0</v>
      </c>
      <c r="BC19" s="665" cm="1">
        <f t="array" ref="BC19">INDEX(
CountyScoresTbl[Community Need Total Points],
ROW(CHMATbl[[#This Row],[COUNTY]])-2,1)*CHMATbl[[#This Row],[% OF TOTAL RURAL FUNDING]]</f>
        <v>0</v>
      </c>
      <c r="BD19" s="666" cm="1">
        <f t="array" ref="BD19"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19" s="116"/>
      <c r="BF19" s="703"/>
      <c r="BG19" s="703"/>
      <c r="BH19" s="703"/>
      <c r="BI19" s="703"/>
      <c r="BJ19" s="74">
        <f t="shared" si="3"/>
        <v>0</v>
      </c>
      <c r="BK19" s="6">
        <f>IF(CHMATbl[[#This Row],[MANUFACTURED AND RURAL FUNDING REQUESTED]]=0,0,CHMATbl[[#This Row],[MANUFACTURED AND RURAL FUNDING REQUESTED]]/CH_MA_MFDRuralTotalRequested)</f>
        <v>0</v>
      </c>
      <c r="BL19" s="667">
        <f xml:space="preserve">
IF(CHMATbl[[#This Row],[NEW CONSTRUCTION OR AQUIRE/REHAB]]&lt;&gt;"",
3+IF(CHMATbl[[#This Row],[INFILL SITE]]="Yes",2,0),0)
*CHMATbl[[#This Row],[% OF TOTAL MANUFACTURED AND RURAL FUNDING]]</f>
        <v>0</v>
      </c>
      <c r="BM19" s="665">
        <f>IF(
CHMATbl[[#This Row],[ALL UNITS IN A HIGH OR HIGHEST RESOURCE AREA]]="Yes",
10*CHMATbl[[#This Row],[% OF TOTAL MANUFACTURED AND RURAL FUNDING]],
0)</f>
        <v>0</v>
      </c>
      <c r="BN19" s="665" cm="1">
        <f t="array" ref="BN19">INDEX(
CountyScoresTbl[Community Need Total Points],
ROW(CHMATbl[[#This Row],[COUNTY]])-2,1)*CHMATbl[[#This Row],[% OF TOTAL MANUFACTURED AND RURAL FUNDING]]</f>
        <v>0</v>
      </c>
      <c r="BO19" s="694" cm="1">
        <f t="array" ref="BO1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19" s="732"/>
      <c r="BQ19" s="564"/>
      <c r="BR19" s="678"/>
    </row>
    <row r="20" spans="1:70" s="662" customFormat="1" x14ac:dyDescent="0.35">
      <c r="A20" s="679"/>
      <c r="B20" s="5" t="s">
        <v>132</v>
      </c>
      <c r="C20" s="38" t="s">
        <v>513</v>
      </c>
      <c r="D20" s="113" t="str">
        <f>IF(SUM(CHMATbl[[#This Row],[UNRESTRICTED UNITS]])=0,"",CHMATbl[[#This Row],[UNRESTRICTED UNITS]])</f>
        <v/>
      </c>
      <c r="E20" s="74" t="str">
        <f xml:space="preserve">
IF(CHMATbl[[#This Row],[UNRESTRICTED FUNDING REQUESTED]]=0,"",
CHMATbl[[#This Row],[UNRESTRICTED FUNDING REQUESTED]]*
IF(CH_MA_UnrestrictedTotalRequested&lt;=5000000,1,
5000000/CH_MA_UnrestrictedTotalRequested)
)</f>
        <v/>
      </c>
      <c r="F20" s="6" t="str">
        <f>IFERROR(CHMATbl[[#This Row],[TOTAL $ REQUESTED]]/SUM(CHMATbl[TOTAL $ REQUESTED]),"")</f>
        <v/>
      </c>
      <c r="G20" s="38" t="s">
        <v>513</v>
      </c>
      <c r="H20" s="113" t="str">
        <f>IF(SUM(CHMATbl[[#This Row],[MANUFACTURED UNITS]])=0,"",CHMATbl[[#This Row],[MANUFACTURED UNITS]])</f>
        <v/>
      </c>
      <c r="I20" s="74" t="str">
        <f xml:space="preserve">
IF(CHMATbl[[#This Row],[MANUFACTURED FUNDING REQUESTED]]=0,"",
CHMATbl[[#This Row],[MANUFACTURED FUNDING REQUESTED]]*
IF(CH_MA_ManufacturedTotalRequested&lt;=(5000000-E$61),1,
(5000000-E$61)/CH_MA_ManufacturedTotalRequested)
)</f>
        <v/>
      </c>
      <c r="J20" s="6" t="str">
        <f>IFERROR(CHMATbl[[#This Row],[TOTAL $ REQUESTED2]]/SUM(CHMATbl[TOTAL $ REQUESTED2]),"")</f>
        <v/>
      </c>
      <c r="K20" s="38" t="s">
        <v>513</v>
      </c>
      <c r="L20" s="113" t="str">
        <f>IF(SUM(CHMATbl[[#This Row],[RURAL UNITS]])=0,"",CHMATbl[[#This Row],[RURAL UNITS]])</f>
        <v/>
      </c>
      <c r="M20" s="74" t="str">
        <f xml:space="preserve">
IF(CHMATbl[[#This Row],[RURAL FUNDING REQUESTED]]=0,"",
CHMATbl[[#This Row],[RURAL FUNDING REQUESTED]]*
IF(CH_MA_RuralTotalRequested&lt;=(5000000-E$61-I$61),1,
(5000000-E$61-I$61)/CH_MA_RuralTotalRequested)
)</f>
        <v/>
      </c>
      <c r="N20" s="6" t="str">
        <f>IFERROR(CHMATbl[[#This Row],[TOTAL $ REQUESTED3]]/SUM(CHMATbl[TOTAL $ REQUESTED3]),"")</f>
        <v/>
      </c>
      <c r="O20" s="38" t="s">
        <v>513</v>
      </c>
      <c r="P20" s="113" t="str">
        <f>IF(SUM(CHMATbl[[#This Row],[MANUFACTURED AND RURAL UNITS]])=0,"",CHMATbl[[#This Row],[MANUFACTURED AND RURAL UNITS]])</f>
        <v/>
      </c>
      <c r="Q20" s="74" t="str">
        <f xml:space="preserve">
IF(CHMATbl[[#This Row],[MANUFACTURED AND RURAL FUNDING REQUESTED]]=0,"",
CHMATbl[[#This Row],[MANUFACTURED AND RURAL FUNDING REQUESTED]]*
IF(CH_MA_MFDRuralTotalRequested&lt;=(5000000-E$61-I$61-M$61),1,
(5000000-E$61-I$61-M$61)/CH_MA_MFDRuralTotalRequested)
)</f>
        <v/>
      </c>
      <c r="R20" s="6" t="str">
        <f>IFERROR(CHMATbl[[#This Row],[TOTAL $ REQUESTED4]]/SUM(CHMATbl[TOTAL $ REQUESTED4]),"")</f>
        <v/>
      </c>
      <c r="S20" s="38" t="s">
        <v>513</v>
      </c>
      <c r="T20" s="736"/>
      <c r="U20" s="699"/>
      <c r="V20" s="699"/>
      <c r="W20" s="737"/>
      <c r="X20" s="116"/>
      <c r="Y20" s="703"/>
      <c r="Z20" s="703"/>
      <c r="AA20" s="703"/>
      <c r="AB20" s="703"/>
      <c r="AC20" s="98">
        <f t="shared" si="0"/>
        <v>0</v>
      </c>
      <c r="AD20" s="6">
        <f>IF(CHMATbl[[#This Row],[UNRESTRICTED FUNDING REQUESTED]]=0,0,CHMATbl[[#This Row],[UNRESTRICTED FUNDING REQUESTED]]/CH_MA_UnrestrictedTotalRequested)</f>
        <v>0</v>
      </c>
      <c r="AE20" s="667">
        <f xml:space="preserve">
IF(CHMATbl[[#This Row],[NEW CONSTRUCTION OR AQUIRE/REHAB]]&lt;&gt;"",
3+IF(CHMATbl[[#This Row],[INFILL SITE]]="Yes",2,0),0)
*CHMATbl[[#This Row],[% OF TOTAL UNRESTRICTED FUNDING]]</f>
        <v>0</v>
      </c>
      <c r="AF20" s="665">
        <f>IF(CHMATbl[[#This Row],[ALL UNITS IN A HIGH OR HIGHEST RESOURCE AREA]]="Yes",10*CHMATbl[[#This Row],[% OF TOTAL UNRESTRICTED FUNDING]],0)</f>
        <v>0</v>
      </c>
      <c r="AG20" s="665" cm="1">
        <f t="array" ref="AG20">INDEX(CountyScoresTbl[Community Need Total Points],ROW(CHMATbl[[#This Row],[COUNTY]])-2,1)*CHMATbl[[#This Row],[% OF TOTAL UNRESTRICTED FUNDING]]</f>
        <v>0</v>
      </c>
      <c r="AH20" s="666" cm="1">
        <f t="array" ref="AH20"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0" s="116"/>
      <c r="AJ20" s="703"/>
      <c r="AK20" s="703"/>
      <c r="AL20" s="703"/>
      <c r="AM20" s="703"/>
      <c r="AN20" s="74">
        <f t="shared" si="1"/>
        <v>0</v>
      </c>
      <c r="AO20" s="6">
        <f>IF(CHMATbl[[#This Row],[MANUFACTURED FUNDING REQUESTED]]=0,0,CHMATbl[[#This Row],[MANUFACTURED FUNDING REQUESTED]]/CH_MA_ManufacturedTotalRequested)</f>
        <v>0</v>
      </c>
      <c r="AP20" s="671">
        <f>IF(
CHMATbl[[#This Row],[NEW CONSTRUCTION OR AQUIRE/REHAB]]&lt;&gt;"",
3+IF(CHMATbl[[#This Row],[INFILL SITE]]="Yes",2,0),0)
*CHMATbl[[#This Row],[% OF TOTAL MANUFACTURED FUNDING]]</f>
        <v>0</v>
      </c>
      <c r="AQ20" s="7">
        <f>IF(CHMATbl[[#This Row],[ALL UNITS IN A HIGH OR HIGHEST RESOURCE AREA]]="Yes",10*CHMATbl[[#This Row],[% OF TOTAL MANUFACTURED FUNDING]],0)</f>
        <v>0</v>
      </c>
      <c r="AR20" s="7" cm="1">
        <f t="array" ref="AR20">INDEX(CountyScoresTbl[Community Need Total Points],ROW(CHMATbl[[#This Row],[COUNTY]])-2,1)*CHMATbl[[#This Row],[% OF TOTAL MANUFACTURED FUNDING]]</f>
        <v>0</v>
      </c>
      <c r="AS20" s="8" cm="1">
        <f t="array" ref="AS2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0" s="705"/>
      <c r="AU20" s="703"/>
      <c r="AV20" s="703"/>
      <c r="AW20" s="703"/>
      <c r="AX20" s="703"/>
      <c r="AY20" s="74">
        <f t="shared" si="2"/>
        <v>0</v>
      </c>
      <c r="AZ20" s="6">
        <f>IF(CHMATbl[[#This Row],[RURAL FUNDING REQUESTED]]=0,0,CHMATbl[[#This Row],[RURAL FUNDING REQUESTED]]/CH_MA_RuralTotalRequested)</f>
        <v>0</v>
      </c>
      <c r="BA20" s="667">
        <f>IF(
CHMATbl[[#This Row],[NEW CONSTRUCTION OR AQUIRE/REHAB]]&lt;&gt;"",
3+IF(CHMATbl[[#This Row],[INFILL SITE]]="Yes",2,0),0)
*CHMATbl[[#This Row],[% OF TOTAL RURAL FUNDING]]</f>
        <v>0</v>
      </c>
      <c r="BB20" s="665">
        <f>IF(
CHMATbl[[#This Row],[ALL UNITS IN A HIGH OR HIGHEST RESOURCE AREA]]="Yes",
10*CHMATbl[[#This Row],[% OF TOTAL RURAL FUNDING]],
0)</f>
        <v>0</v>
      </c>
      <c r="BC20" s="665" cm="1">
        <f t="array" ref="BC20">INDEX(
CountyScoresTbl[Community Need Total Points],
ROW(CHMATbl[[#This Row],[COUNTY]])-2,1)*CHMATbl[[#This Row],[% OF TOTAL RURAL FUNDING]]</f>
        <v>0</v>
      </c>
      <c r="BD20" s="666" cm="1">
        <f t="array" ref="BD20"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0" s="116"/>
      <c r="BF20" s="703"/>
      <c r="BG20" s="703"/>
      <c r="BH20" s="703"/>
      <c r="BI20" s="703"/>
      <c r="BJ20" s="74">
        <f t="shared" si="3"/>
        <v>0</v>
      </c>
      <c r="BK20" s="6">
        <f>IF(CHMATbl[[#This Row],[MANUFACTURED AND RURAL FUNDING REQUESTED]]=0,0,CHMATbl[[#This Row],[MANUFACTURED AND RURAL FUNDING REQUESTED]]/CH_MA_MFDRuralTotalRequested)</f>
        <v>0</v>
      </c>
      <c r="BL20" s="667">
        <f xml:space="preserve">
IF(CHMATbl[[#This Row],[NEW CONSTRUCTION OR AQUIRE/REHAB]]&lt;&gt;"",
3+IF(CHMATbl[[#This Row],[INFILL SITE]]="Yes",2,0),0)
*CHMATbl[[#This Row],[% OF TOTAL MANUFACTURED AND RURAL FUNDING]]</f>
        <v>0</v>
      </c>
      <c r="BM20" s="665">
        <f>IF(
CHMATbl[[#This Row],[ALL UNITS IN A HIGH OR HIGHEST RESOURCE AREA]]="Yes",
10*CHMATbl[[#This Row],[% OF TOTAL MANUFACTURED AND RURAL FUNDING]],
0)</f>
        <v>0</v>
      </c>
      <c r="BN20" s="665" cm="1">
        <f t="array" ref="BN20">INDEX(
CountyScoresTbl[Community Need Total Points],
ROW(CHMATbl[[#This Row],[COUNTY]])-2,1)*CHMATbl[[#This Row],[% OF TOTAL MANUFACTURED AND RURAL FUNDING]]</f>
        <v>0</v>
      </c>
      <c r="BO20" s="694" cm="1">
        <f t="array" ref="BO2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0" s="732"/>
      <c r="BQ20" s="564"/>
      <c r="BR20" s="678"/>
    </row>
    <row r="21" spans="1:70" s="662" customFormat="1" x14ac:dyDescent="0.35">
      <c r="A21" s="674" t="s">
        <v>504</v>
      </c>
      <c r="B21" s="5" t="s">
        <v>133</v>
      </c>
      <c r="C21" s="38" t="s">
        <v>513</v>
      </c>
      <c r="D21" s="113" t="str">
        <f>IF(SUM(CHMATbl[[#This Row],[UNRESTRICTED UNITS]])=0,"",CHMATbl[[#This Row],[UNRESTRICTED UNITS]])</f>
        <v/>
      </c>
      <c r="E21" s="74" t="str">
        <f xml:space="preserve">
IF(CHMATbl[[#This Row],[UNRESTRICTED FUNDING REQUESTED]]=0,"",
CHMATbl[[#This Row],[UNRESTRICTED FUNDING REQUESTED]]*
IF(CH_MA_UnrestrictedTotalRequested&lt;=5000000,1,
5000000/CH_MA_UnrestrictedTotalRequested)
)</f>
        <v/>
      </c>
      <c r="F21" s="6" t="str">
        <f>IFERROR(CHMATbl[[#This Row],[TOTAL $ REQUESTED]]/SUM(CHMATbl[TOTAL $ REQUESTED]),"")</f>
        <v/>
      </c>
      <c r="G21" s="38" t="s">
        <v>513</v>
      </c>
      <c r="H21" s="113" t="str">
        <f>IF(SUM(CHMATbl[[#This Row],[MANUFACTURED UNITS]])=0,"",CHMATbl[[#This Row],[MANUFACTURED UNITS]])</f>
        <v/>
      </c>
      <c r="I21" s="74" t="str">
        <f xml:space="preserve">
IF(CHMATbl[[#This Row],[MANUFACTURED FUNDING REQUESTED]]=0,"",
CHMATbl[[#This Row],[MANUFACTURED FUNDING REQUESTED]]*
IF(CH_MA_ManufacturedTotalRequested&lt;=(5000000-E$61),1,
(5000000-E$61)/CH_MA_ManufacturedTotalRequested)
)</f>
        <v/>
      </c>
      <c r="J21" s="6" t="str">
        <f>IFERROR(CHMATbl[[#This Row],[TOTAL $ REQUESTED2]]/SUM(CHMATbl[TOTAL $ REQUESTED2]),"")</f>
        <v/>
      </c>
      <c r="K21" s="38" t="s">
        <v>513</v>
      </c>
      <c r="L21" s="113" t="str">
        <f>IF(SUM(CHMATbl[[#This Row],[RURAL UNITS]])=0,"",CHMATbl[[#This Row],[RURAL UNITS]])</f>
        <v/>
      </c>
      <c r="M21" s="74" t="str">
        <f xml:space="preserve">
IF(CHMATbl[[#This Row],[RURAL FUNDING REQUESTED]]=0,"",
CHMATbl[[#This Row],[RURAL FUNDING REQUESTED]]*
IF(CH_MA_RuralTotalRequested&lt;=(5000000-E$61-I$61),1,
(5000000-E$61-I$61)/CH_MA_RuralTotalRequested)
)</f>
        <v/>
      </c>
      <c r="N21" s="6" t="str">
        <f>IFERROR(CHMATbl[[#This Row],[TOTAL $ REQUESTED3]]/SUM(CHMATbl[TOTAL $ REQUESTED3]),"")</f>
        <v/>
      </c>
      <c r="O21" s="38" t="s">
        <v>513</v>
      </c>
      <c r="P21" s="113" t="str">
        <f>IF(SUM(CHMATbl[[#This Row],[MANUFACTURED AND RURAL UNITS]])=0,"",CHMATbl[[#This Row],[MANUFACTURED AND RURAL UNITS]])</f>
        <v/>
      </c>
      <c r="Q21" s="74" t="str">
        <f xml:space="preserve">
IF(CHMATbl[[#This Row],[MANUFACTURED AND RURAL FUNDING REQUESTED]]=0,"",
CHMATbl[[#This Row],[MANUFACTURED AND RURAL FUNDING REQUESTED]]*
IF(CH_MA_MFDRuralTotalRequested&lt;=(5000000-E$61-I$61-M$61),1,
(5000000-E$61-I$61-M$61)/CH_MA_MFDRuralTotalRequested)
)</f>
        <v/>
      </c>
      <c r="R21" s="6" t="str">
        <f>IFERROR(CHMATbl[[#This Row],[TOTAL $ REQUESTED4]]/SUM(CHMATbl[TOTAL $ REQUESTED4]),"")</f>
        <v/>
      </c>
      <c r="S21" s="38" t="s">
        <v>513</v>
      </c>
      <c r="T21" s="736"/>
      <c r="U21" s="699"/>
      <c r="V21" s="699"/>
      <c r="W21" s="737"/>
      <c r="X21" s="702"/>
      <c r="Y21" s="703"/>
      <c r="Z21" s="703"/>
      <c r="AA21" s="703"/>
      <c r="AB21" s="703"/>
      <c r="AC21" s="98">
        <f t="shared" si="0"/>
        <v>0</v>
      </c>
      <c r="AD21" s="6">
        <f>IF(CHMATbl[[#This Row],[UNRESTRICTED FUNDING REQUESTED]]=0,0,CHMATbl[[#This Row],[UNRESTRICTED FUNDING REQUESTED]]/CH_MA_UnrestrictedTotalRequested)</f>
        <v>0</v>
      </c>
      <c r="AE21" s="667">
        <f xml:space="preserve">
IF(CHMATbl[[#This Row],[NEW CONSTRUCTION OR AQUIRE/REHAB]]&lt;&gt;"",
3+IF(CHMATbl[[#This Row],[INFILL SITE]]="Yes",2,0),0)
*CHMATbl[[#This Row],[% OF TOTAL UNRESTRICTED FUNDING]]</f>
        <v>0</v>
      </c>
      <c r="AF21" s="665">
        <f>IF(CHMATbl[[#This Row],[ALL UNITS IN A HIGH OR HIGHEST RESOURCE AREA]]="Yes",10*CHMATbl[[#This Row],[% OF TOTAL UNRESTRICTED FUNDING]],0)</f>
        <v>0</v>
      </c>
      <c r="AG21" s="665" cm="1">
        <f t="array" ref="AG21">INDEX(CountyScoresTbl[Community Need Total Points],ROW(CHMATbl[[#This Row],[COUNTY]])-2,1)*CHMATbl[[#This Row],[% OF TOTAL UNRESTRICTED FUNDING]]</f>
        <v>0</v>
      </c>
      <c r="AH21" s="666" cm="1">
        <f t="array" ref="AH21"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1" s="702"/>
      <c r="AJ21" s="703"/>
      <c r="AK21" s="703"/>
      <c r="AL21" s="703"/>
      <c r="AM21" s="703"/>
      <c r="AN21" s="74">
        <f t="shared" si="1"/>
        <v>0</v>
      </c>
      <c r="AO21" s="6">
        <f>IF(CHMATbl[[#This Row],[MANUFACTURED FUNDING REQUESTED]]=0,0,CHMATbl[[#This Row],[MANUFACTURED FUNDING REQUESTED]]/CH_MA_ManufacturedTotalRequested)</f>
        <v>0</v>
      </c>
      <c r="AP21" s="671">
        <f>IF(
CHMATbl[[#This Row],[NEW CONSTRUCTION OR AQUIRE/REHAB]]&lt;&gt;"",
3+IF(CHMATbl[[#This Row],[INFILL SITE]]="Yes",2,0),0)
*CHMATbl[[#This Row],[% OF TOTAL MANUFACTURED FUNDING]]</f>
        <v>0</v>
      </c>
      <c r="AQ21" s="7">
        <f>IF(CHMATbl[[#This Row],[ALL UNITS IN A HIGH OR HIGHEST RESOURCE AREA]]="Yes",10*CHMATbl[[#This Row],[% OF TOTAL MANUFACTURED FUNDING]],0)</f>
        <v>0</v>
      </c>
      <c r="AR21" s="7" cm="1">
        <f t="array" ref="AR21">INDEX(CountyScoresTbl[Community Need Total Points],ROW(CHMATbl[[#This Row],[COUNTY]])-2,1)*CHMATbl[[#This Row],[% OF TOTAL MANUFACTURED FUNDING]]</f>
        <v>0</v>
      </c>
      <c r="AS21" s="8" cm="1">
        <f t="array" ref="AS2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1" s="705"/>
      <c r="AU21" s="703"/>
      <c r="AV21" s="703"/>
      <c r="AW21" s="703"/>
      <c r="AX21" s="703"/>
      <c r="AY21" s="74">
        <f t="shared" si="2"/>
        <v>0</v>
      </c>
      <c r="AZ21" s="6">
        <f>IF(CHMATbl[[#This Row],[RURAL FUNDING REQUESTED]]=0,0,CHMATbl[[#This Row],[RURAL FUNDING REQUESTED]]/CH_MA_RuralTotalRequested)</f>
        <v>0</v>
      </c>
      <c r="BA21" s="667">
        <f>IF(
CHMATbl[[#This Row],[NEW CONSTRUCTION OR AQUIRE/REHAB]]&lt;&gt;"",
3+IF(CHMATbl[[#This Row],[INFILL SITE]]="Yes",2,0),0)
*CHMATbl[[#This Row],[% OF TOTAL RURAL FUNDING]]</f>
        <v>0</v>
      </c>
      <c r="BB21" s="665">
        <f>IF(
CHMATbl[[#This Row],[ALL UNITS IN A HIGH OR HIGHEST RESOURCE AREA]]="Yes",
10*CHMATbl[[#This Row],[% OF TOTAL RURAL FUNDING]],
0)</f>
        <v>0</v>
      </c>
      <c r="BC21" s="665" cm="1">
        <f t="array" ref="BC21">INDEX(
CountyScoresTbl[Community Need Total Points],
ROW(CHMATbl[[#This Row],[COUNTY]])-2,1)*CHMATbl[[#This Row],[% OF TOTAL RURAL FUNDING]]</f>
        <v>0</v>
      </c>
      <c r="BD21" s="666" cm="1">
        <f t="array" ref="BD21"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1" s="116"/>
      <c r="BF21" s="703"/>
      <c r="BG21" s="703"/>
      <c r="BH21" s="703"/>
      <c r="BI21" s="703"/>
      <c r="BJ21" s="74">
        <f t="shared" si="3"/>
        <v>0</v>
      </c>
      <c r="BK21" s="6">
        <f>IF(CHMATbl[[#This Row],[MANUFACTURED AND RURAL FUNDING REQUESTED]]=0,0,CHMATbl[[#This Row],[MANUFACTURED AND RURAL FUNDING REQUESTED]]/CH_MA_MFDRuralTotalRequested)</f>
        <v>0</v>
      </c>
      <c r="BL21" s="667">
        <f xml:space="preserve">
IF(CHMATbl[[#This Row],[NEW CONSTRUCTION OR AQUIRE/REHAB]]&lt;&gt;"",
3+IF(CHMATbl[[#This Row],[INFILL SITE]]="Yes",2,0),0)
*CHMATbl[[#This Row],[% OF TOTAL MANUFACTURED AND RURAL FUNDING]]</f>
        <v>0</v>
      </c>
      <c r="BM21" s="665">
        <f>IF(
CHMATbl[[#This Row],[ALL UNITS IN A HIGH OR HIGHEST RESOURCE AREA]]="Yes",
10*CHMATbl[[#This Row],[% OF TOTAL MANUFACTURED AND RURAL FUNDING]],
0)</f>
        <v>0</v>
      </c>
      <c r="BN21" s="665" cm="1">
        <f t="array" ref="BN21">INDEX(
CountyScoresTbl[Community Need Total Points],
ROW(CHMATbl[[#This Row],[COUNTY]])-2,1)*CHMATbl[[#This Row],[% OF TOTAL MANUFACTURED AND RURAL FUNDING]]</f>
        <v>0</v>
      </c>
      <c r="BO21" s="694" cm="1">
        <f t="array" ref="BO2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1" s="731" t="s">
        <v>504</v>
      </c>
      <c r="BQ21" s="676" t="s">
        <v>504</v>
      </c>
      <c r="BR21" s="677" t="s">
        <v>504</v>
      </c>
    </row>
    <row r="22" spans="1:70" s="662" customFormat="1" x14ac:dyDescent="0.35">
      <c r="A22" s="674" t="s">
        <v>504</v>
      </c>
      <c r="B22" s="5" t="s">
        <v>134</v>
      </c>
      <c r="C22" s="38" t="s">
        <v>513</v>
      </c>
      <c r="D22" s="113" t="str">
        <f>IF(SUM(CHMATbl[[#This Row],[UNRESTRICTED UNITS]])=0,"",CHMATbl[[#This Row],[UNRESTRICTED UNITS]])</f>
        <v/>
      </c>
      <c r="E22" s="74" t="str">
        <f xml:space="preserve">
IF(CHMATbl[[#This Row],[UNRESTRICTED FUNDING REQUESTED]]=0,"",
CHMATbl[[#This Row],[UNRESTRICTED FUNDING REQUESTED]]*
IF(CH_MA_UnrestrictedTotalRequested&lt;=5000000,1,
5000000/CH_MA_UnrestrictedTotalRequested)
)</f>
        <v/>
      </c>
      <c r="F22" s="6" t="str">
        <f>IFERROR(CHMATbl[[#This Row],[TOTAL $ REQUESTED]]/SUM(CHMATbl[TOTAL $ REQUESTED]),"")</f>
        <v/>
      </c>
      <c r="G22" s="38" t="s">
        <v>513</v>
      </c>
      <c r="H22" s="113" t="str">
        <f>IF(SUM(CHMATbl[[#This Row],[MANUFACTURED UNITS]])=0,"",CHMATbl[[#This Row],[MANUFACTURED UNITS]])</f>
        <v/>
      </c>
      <c r="I22" s="74" t="str">
        <f xml:space="preserve">
IF(CHMATbl[[#This Row],[MANUFACTURED FUNDING REQUESTED]]=0,"",
CHMATbl[[#This Row],[MANUFACTURED FUNDING REQUESTED]]*
IF(CH_MA_ManufacturedTotalRequested&lt;=(5000000-E$61),1,
(5000000-E$61)/CH_MA_ManufacturedTotalRequested)
)</f>
        <v/>
      </c>
      <c r="J22" s="6" t="str">
        <f>IFERROR(CHMATbl[[#This Row],[TOTAL $ REQUESTED2]]/SUM(CHMATbl[TOTAL $ REQUESTED2]),"")</f>
        <v/>
      </c>
      <c r="K22" s="38" t="s">
        <v>513</v>
      </c>
      <c r="L22" s="113" t="str">
        <f>IF(SUM(CHMATbl[[#This Row],[RURAL UNITS]])=0,"",CHMATbl[[#This Row],[RURAL UNITS]])</f>
        <v/>
      </c>
      <c r="M22" s="74" t="str">
        <f xml:space="preserve">
IF(CHMATbl[[#This Row],[RURAL FUNDING REQUESTED]]=0,"",
CHMATbl[[#This Row],[RURAL FUNDING REQUESTED]]*
IF(CH_MA_RuralTotalRequested&lt;=(5000000-E$61-I$61),1,
(5000000-E$61-I$61)/CH_MA_RuralTotalRequested)
)</f>
        <v/>
      </c>
      <c r="N22" s="6" t="str">
        <f>IFERROR(CHMATbl[[#This Row],[TOTAL $ REQUESTED3]]/SUM(CHMATbl[TOTAL $ REQUESTED3]),"")</f>
        <v/>
      </c>
      <c r="O22" s="38" t="s">
        <v>513</v>
      </c>
      <c r="P22" s="113" t="str">
        <f>IF(SUM(CHMATbl[[#This Row],[MANUFACTURED AND RURAL UNITS]])=0,"",CHMATbl[[#This Row],[MANUFACTURED AND RURAL UNITS]])</f>
        <v/>
      </c>
      <c r="Q22" s="74" t="str">
        <f xml:space="preserve">
IF(CHMATbl[[#This Row],[MANUFACTURED AND RURAL FUNDING REQUESTED]]=0,"",
CHMATbl[[#This Row],[MANUFACTURED AND RURAL FUNDING REQUESTED]]*
IF(CH_MA_MFDRuralTotalRequested&lt;=(5000000-E$61-I$61-M$61),1,
(5000000-E$61-I$61-M$61)/CH_MA_MFDRuralTotalRequested)
)</f>
        <v/>
      </c>
      <c r="R22" s="6" t="str">
        <f>IFERROR(CHMATbl[[#This Row],[TOTAL $ REQUESTED4]]/SUM(CHMATbl[TOTAL $ REQUESTED4]),"")</f>
        <v/>
      </c>
      <c r="S22" s="38" t="s">
        <v>513</v>
      </c>
      <c r="T22" s="736"/>
      <c r="U22" s="699"/>
      <c r="V22" s="699"/>
      <c r="W22" s="737"/>
      <c r="X22" s="702"/>
      <c r="Y22" s="703"/>
      <c r="Z22" s="703"/>
      <c r="AA22" s="703"/>
      <c r="AB22" s="703"/>
      <c r="AC22" s="98">
        <f t="shared" si="0"/>
        <v>0</v>
      </c>
      <c r="AD22" s="6">
        <f>IF(CHMATbl[[#This Row],[UNRESTRICTED FUNDING REQUESTED]]=0,0,CHMATbl[[#This Row],[UNRESTRICTED FUNDING REQUESTED]]/CH_MA_UnrestrictedTotalRequested)</f>
        <v>0</v>
      </c>
      <c r="AE22" s="667">
        <f xml:space="preserve">
IF(CHMATbl[[#This Row],[NEW CONSTRUCTION OR AQUIRE/REHAB]]&lt;&gt;"",
3+IF(CHMATbl[[#This Row],[INFILL SITE]]="Yes",2,0),0)
*CHMATbl[[#This Row],[% OF TOTAL UNRESTRICTED FUNDING]]</f>
        <v>0</v>
      </c>
      <c r="AF22" s="665">
        <f>IF(CHMATbl[[#This Row],[ALL UNITS IN A HIGH OR HIGHEST RESOURCE AREA]]="Yes",10*CHMATbl[[#This Row],[% OF TOTAL UNRESTRICTED FUNDING]],0)</f>
        <v>0</v>
      </c>
      <c r="AG22" s="665" cm="1">
        <f t="array" ref="AG22">INDEX(CountyScoresTbl[Community Need Total Points],ROW(CHMATbl[[#This Row],[COUNTY]])-2,1)*CHMATbl[[#This Row],[% OF TOTAL UNRESTRICTED FUNDING]]</f>
        <v>0</v>
      </c>
      <c r="AH22" s="666" cm="1">
        <f t="array" ref="AH22"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2" s="702"/>
      <c r="AJ22" s="703"/>
      <c r="AK22" s="703"/>
      <c r="AL22" s="703"/>
      <c r="AM22" s="703"/>
      <c r="AN22" s="74">
        <f t="shared" si="1"/>
        <v>0</v>
      </c>
      <c r="AO22" s="6">
        <f>IF(CHMATbl[[#This Row],[MANUFACTURED FUNDING REQUESTED]]=0,0,CHMATbl[[#This Row],[MANUFACTURED FUNDING REQUESTED]]/CH_MA_ManufacturedTotalRequested)</f>
        <v>0</v>
      </c>
      <c r="AP22" s="671">
        <f>IF(
CHMATbl[[#This Row],[NEW CONSTRUCTION OR AQUIRE/REHAB]]&lt;&gt;"",
3+IF(CHMATbl[[#This Row],[INFILL SITE]]="Yes",2,0),0)
*CHMATbl[[#This Row],[% OF TOTAL MANUFACTURED FUNDING]]</f>
        <v>0</v>
      </c>
      <c r="AQ22" s="7">
        <f>IF(CHMATbl[[#This Row],[ALL UNITS IN A HIGH OR HIGHEST RESOURCE AREA]]="Yes",10*CHMATbl[[#This Row],[% OF TOTAL MANUFACTURED FUNDING]],0)</f>
        <v>0</v>
      </c>
      <c r="AR22" s="7" cm="1">
        <f t="array" ref="AR22">INDEX(CountyScoresTbl[Community Need Total Points],ROW(CHMATbl[[#This Row],[COUNTY]])-2,1)*CHMATbl[[#This Row],[% OF TOTAL MANUFACTURED FUNDING]]</f>
        <v>0</v>
      </c>
      <c r="AS22" s="8" cm="1">
        <f t="array" ref="AS2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2" s="705"/>
      <c r="AU22" s="703"/>
      <c r="AV22" s="703"/>
      <c r="AW22" s="703"/>
      <c r="AX22" s="703"/>
      <c r="AY22" s="74">
        <f t="shared" si="2"/>
        <v>0</v>
      </c>
      <c r="AZ22" s="6">
        <f>IF(CHMATbl[[#This Row],[RURAL FUNDING REQUESTED]]=0,0,CHMATbl[[#This Row],[RURAL FUNDING REQUESTED]]/CH_MA_RuralTotalRequested)</f>
        <v>0</v>
      </c>
      <c r="BA22" s="667">
        <f>IF(
CHMATbl[[#This Row],[NEW CONSTRUCTION OR AQUIRE/REHAB]]&lt;&gt;"",
3+IF(CHMATbl[[#This Row],[INFILL SITE]]="Yes",2,0),0)
*CHMATbl[[#This Row],[% OF TOTAL RURAL FUNDING]]</f>
        <v>0</v>
      </c>
      <c r="BB22" s="665">
        <f>IF(
CHMATbl[[#This Row],[ALL UNITS IN A HIGH OR HIGHEST RESOURCE AREA]]="Yes",
10*CHMATbl[[#This Row],[% OF TOTAL RURAL FUNDING]],
0)</f>
        <v>0</v>
      </c>
      <c r="BC22" s="665" cm="1">
        <f t="array" ref="BC22">INDEX(
CountyScoresTbl[Community Need Total Points],
ROW(CHMATbl[[#This Row],[COUNTY]])-2,1)*CHMATbl[[#This Row],[% OF TOTAL RURAL FUNDING]]</f>
        <v>0</v>
      </c>
      <c r="BD22" s="666" cm="1">
        <f t="array" ref="BD22"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2" s="116"/>
      <c r="BF22" s="703"/>
      <c r="BG22" s="703"/>
      <c r="BH22" s="703"/>
      <c r="BI22" s="703"/>
      <c r="BJ22" s="74">
        <f t="shared" si="3"/>
        <v>0</v>
      </c>
      <c r="BK22" s="6">
        <f>IF(CHMATbl[[#This Row],[MANUFACTURED AND RURAL FUNDING REQUESTED]]=0,0,CHMATbl[[#This Row],[MANUFACTURED AND RURAL FUNDING REQUESTED]]/CH_MA_MFDRuralTotalRequested)</f>
        <v>0</v>
      </c>
      <c r="BL22" s="667">
        <f xml:space="preserve">
IF(CHMATbl[[#This Row],[NEW CONSTRUCTION OR AQUIRE/REHAB]]&lt;&gt;"",
3+IF(CHMATbl[[#This Row],[INFILL SITE]]="Yes",2,0),0)
*CHMATbl[[#This Row],[% OF TOTAL MANUFACTURED AND RURAL FUNDING]]</f>
        <v>0</v>
      </c>
      <c r="BM22" s="665">
        <f>IF(
CHMATbl[[#This Row],[ALL UNITS IN A HIGH OR HIGHEST RESOURCE AREA]]="Yes",
10*CHMATbl[[#This Row],[% OF TOTAL MANUFACTURED AND RURAL FUNDING]],
0)</f>
        <v>0</v>
      </c>
      <c r="BN22" s="665" cm="1">
        <f t="array" ref="BN22">INDEX(
CountyScoresTbl[Community Need Total Points],
ROW(CHMATbl[[#This Row],[COUNTY]])-2,1)*CHMATbl[[#This Row],[% OF TOTAL MANUFACTURED AND RURAL FUNDING]]</f>
        <v>0</v>
      </c>
      <c r="BO22" s="694" cm="1">
        <f t="array" ref="BO2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2" s="731" t="s">
        <v>504</v>
      </c>
      <c r="BQ22" s="676" t="s">
        <v>504</v>
      </c>
      <c r="BR22" s="677" t="s">
        <v>504</v>
      </c>
    </row>
    <row r="23" spans="1:70" s="662" customFormat="1" x14ac:dyDescent="0.35">
      <c r="A23" s="679"/>
      <c r="B23" s="5" t="s">
        <v>135</v>
      </c>
      <c r="C23" s="38" t="s">
        <v>513</v>
      </c>
      <c r="D23" s="113" t="str">
        <f>IF(SUM(CHMATbl[[#This Row],[UNRESTRICTED UNITS]])=0,"",CHMATbl[[#This Row],[UNRESTRICTED UNITS]])</f>
        <v/>
      </c>
      <c r="E23" s="74" t="str">
        <f xml:space="preserve">
IF(CHMATbl[[#This Row],[UNRESTRICTED FUNDING REQUESTED]]=0,"",
CHMATbl[[#This Row],[UNRESTRICTED FUNDING REQUESTED]]*
IF(CH_MA_UnrestrictedTotalRequested&lt;=5000000,1,
5000000/CH_MA_UnrestrictedTotalRequested)
)</f>
        <v/>
      </c>
      <c r="F23" s="6" t="str">
        <f>IFERROR(CHMATbl[[#This Row],[TOTAL $ REQUESTED]]/SUM(CHMATbl[TOTAL $ REQUESTED]),"")</f>
        <v/>
      </c>
      <c r="G23" s="38" t="s">
        <v>513</v>
      </c>
      <c r="H23" s="113" t="str">
        <f>IF(SUM(CHMATbl[[#This Row],[MANUFACTURED UNITS]])=0,"",CHMATbl[[#This Row],[MANUFACTURED UNITS]])</f>
        <v/>
      </c>
      <c r="I23" s="74" t="str">
        <f xml:space="preserve">
IF(CHMATbl[[#This Row],[MANUFACTURED FUNDING REQUESTED]]=0,"",
CHMATbl[[#This Row],[MANUFACTURED FUNDING REQUESTED]]*
IF(CH_MA_ManufacturedTotalRequested&lt;=(5000000-E$61),1,
(5000000-E$61)/CH_MA_ManufacturedTotalRequested)
)</f>
        <v/>
      </c>
      <c r="J23" s="6" t="str">
        <f>IFERROR(CHMATbl[[#This Row],[TOTAL $ REQUESTED2]]/SUM(CHMATbl[TOTAL $ REQUESTED2]),"")</f>
        <v/>
      </c>
      <c r="K23" s="38" t="s">
        <v>513</v>
      </c>
      <c r="L23" s="113" t="str">
        <f>IF(SUM(CHMATbl[[#This Row],[RURAL UNITS]])=0,"",CHMATbl[[#This Row],[RURAL UNITS]])</f>
        <v/>
      </c>
      <c r="M23" s="74" t="str">
        <f xml:space="preserve">
IF(CHMATbl[[#This Row],[RURAL FUNDING REQUESTED]]=0,"",
CHMATbl[[#This Row],[RURAL FUNDING REQUESTED]]*
IF(CH_MA_RuralTotalRequested&lt;=(5000000-E$61-I$61),1,
(5000000-E$61-I$61)/CH_MA_RuralTotalRequested)
)</f>
        <v/>
      </c>
      <c r="N23" s="6" t="str">
        <f>IFERROR(CHMATbl[[#This Row],[TOTAL $ REQUESTED3]]/SUM(CHMATbl[TOTAL $ REQUESTED3]),"")</f>
        <v/>
      </c>
      <c r="O23" s="38" t="s">
        <v>513</v>
      </c>
      <c r="P23" s="113" t="str">
        <f>IF(SUM(CHMATbl[[#This Row],[MANUFACTURED AND RURAL UNITS]])=0,"",CHMATbl[[#This Row],[MANUFACTURED AND RURAL UNITS]])</f>
        <v/>
      </c>
      <c r="Q23" s="74" t="str">
        <f xml:space="preserve">
IF(CHMATbl[[#This Row],[MANUFACTURED AND RURAL FUNDING REQUESTED]]=0,"",
CHMATbl[[#This Row],[MANUFACTURED AND RURAL FUNDING REQUESTED]]*
IF(CH_MA_MFDRuralTotalRequested&lt;=(5000000-E$61-I$61-M$61),1,
(5000000-E$61-I$61-M$61)/CH_MA_MFDRuralTotalRequested)
)</f>
        <v/>
      </c>
      <c r="R23" s="6" t="str">
        <f>IFERROR(CHMATbl[[#This Row],[TOTAL $ REQUESTED4]]/SUM(CHMATbl[TOTAL $ REQUESTED4]),"")</f>
        <v/>
      </c>
      <c r="S23" s="38" t="s">
        <v>513</v>
      </c>
      <c r="T23" s="736"/>
      <c r="U23" s="699"/>
      <c r="V23" s="699"/>
      <c r="W23" s="737"/>
      <c r="X23" s="116"/>
      <c r="Y23" s="703"/>
      <c r="Z23" s="703"/>
      <c r="AA23" s="703"/>
      <c r="AB23" s="703"/>
      <c r="AC23" s="98">
        <f t="shared" si="0"/>
        <v>0</v>
      </c>
      <c r="AD23" s="6">
        <f>IF(CHMATbl[[#This Row],[UNRESTRICTED FUNDING REQUESTED]]=0,0,CHMATbl[[#This Row],[UNRESTRICTED FUNDING REQUESTED]]/CH_MA_UnrestrictedTotalRequested)</f>
        <v>0</v>
      </c>
      <c r="AE23" s="667">
        <f xml:space="preserve">
IF(CHMATbl[[#This Row],[NEW CONSTRUCTION OR AQUIRE/REHAB]]&lt;&gt;"",
3+IF(CHMATbl[[#This Row],[INFILL SITE]]="Yes",2,0),0)
*CHMATbl[[#This Row],[% OF TOTAL UNRESTRICTED FUNDING]]</f>
        <v>0</v>
      </c>
      <c r="AF23" s="665">
        <f>IF(CHMATbl[[#This Row],[ALL UNITS IN A HIGH OR HIGHEST RESOURCE AREA]]="Yes",10*CHMATbl[[#This Row],[% OF TOTAL UNRESTRICTED FUNDING]],0)</f>
        <v>0</v>
      </c>
      <c r="AG23" s="665" cm="1">
        <f t="array" ref="AG23">INDEX(CountyScoresTbl[Community Need Total Points],ROW(CHMATbl[[#This Row],[COUNTY]])-2,1)*CHMATbl[[#This Row],[% OF TOTAL UNRESTRICTED FUNDING]]</f>
        <v>0</v>
      </c>
      <c r="AH23" s="666" cm="1">
        <f t="array" ref="AH23"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3" s="116"/>
      <c r="AJ23" s="703"/>
      <c r="AK23" s="703"/>
      <c r="AL23" s="703"/>
      <c r="AM23" s="703"/>
      <c r="AN23" s="74">
        <f t="shared" si="1"/>
        <v>0</v>
      </c>
      <c r="AO23" s="6">
        <f>IF(CHMATbl[[#This Row],[MANUFACTURED FUNDING REQUESTED]]=0,0,CHMATbl[[#This Row],[MANUFACTURED FUNDING REQUESTED]]/CH_MA_ManufacturedTotalRequested)</f>
        <v>0</v>
      </c>
      <c r="AP23" s="671">
        <f>IF(
CHMATbl[[#This Row],[NEW CONSTRUCTION OR AQUIRE/REHAB]]&lt;&gt;"",
3+IF(CHMATbl[[#This Row],[INFILL SITE]]="Yes",2,0),0)
*CHMATbl[[#This Row],[% OF TOTAL MANUFACTURED FUNDING]]</f>
        <v>0</v>
      </c>
      <c r="AQ23" s="7">
        <f>IF(CHMATbl[[#This Row],[ALL UNITS IN A HIGH OR HIGHEST RESOURCE AREA]]="Yes",10*CHMATbl[[#This Row],[% OF TOTAL MANUFACTURED FUNDING]],0)</f>
        <v>0</v>
      </c>
      <c r="AR23" s="7" cm="1">
        <f t="array" ref="AR23">INDEX(CountyScoresTbl[Community Need Total Points],ROW(CHMATbl[[#This Row],[COUNTY]])-2,1)*CHMATbl[[#This Row],[% OF TOTAL MANUFACTURED FUNDING]]</f>
        <v>0</v>
      </c>
      <c r="AS23" s="8" cm="1">
        <f t="array" ref="AS2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3" s="705"/>
      <c r="AU23" s="703"/>
      <c r="AV23" s="703"/>
      <c r="AW23" s="703"/>
      <c r="AX23" s="703"/>
      <c r="AY23" s="74">
        <f t="shared" si="2"/>
        <v>0</v>
      </c>
      <c r="AZ23" s="6">
        <f>IF(CHMATbl[[#This Row],[RURAL FUNDING REQUESTED]]=0,0,CHMATbl[[#This Row],[RURAL FUNDING REQUESTED]]/CH_MA_RuralTotalRequested)</f>
        <v>0</v>
      </c>
      <c r="BA23" s="667">
        <f>IF(
CHMATbl[[#This Row],[NEW CONSTRUCTION OR AQUIRE/REHAB]]&lt;&gt;"",
3+IF(CHMATbl[[#This Row],[INFILL SITE]]="Yes",2,0),0)
*CHMATbl[[#This Row],[% OF TOTAL RURAL FUNDING]]</f>
        <v>0</v>
      </c>
      <c r="BB23" s="665">
        <f>IF(
CHMATbl[[#This Row],[ALL UNITS IN A HIGH OR HIGHEST RESOURCE AREA]]="Yes",
10*CHMATbl[[#This Row],[% OF TOTAL RURAL FUNDING]],
0)</f>
        <v>0</v>
      </c>
      <c r="BC23" s="665" cm="1">
        <f t="array" ref="BC23">INDEX(
CountyScoresTbl[Community Need Total Points],
ROW(CHMATbl[[#This Row],[COUNTY]])-2,1)*CHMATbl[[#This Row],[% OF TOTAL RURAL FUNDING]]</f>
        <v>0</v>
      </c>
      <c r="BD23" s="666" cm="1">
        <f t="array" ref="BD23"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3" s="116"/>
      <c r="BF23" s="703"/>
      <c r="BG23" s="703"/>
      <c r="BH23" s="703"/>
      <c r="BI23" s="703"/>
      <c r="BJ23" s="74">
        <f t="shared" si="3"/>
        <v>0</v>
      </c>
      <c r="BK23" s="6">
        <f>IF(CHMATbl[[#This Row],[MANUFACTURED AND RURAL FUNDING REQUESTED]]=0,0,CHMATbl[[#This Row],[MANUFACTURED AND RURAL FUNDING REQUESTED]]/CH_MA_MFDRuralTotalRequested)</f>
        <v>0</v>
      </c>
      <c r="BL23" s="667">
        <f xml:space="preserve">
IF(CHMATbl[[#This Row],[NEW CONSTRUCTION OR AQUIRE/REHAB]]&lt;&gt;"",
3+IF(CHMATbl[[#This Row],[INFILL SITE]]="Yes",2,0),0)
*CHMATbl[[#This Row],[% OF TOTAL MANUFACTURED AND RURAL FUNDING]]</f>
        <v>0</v>
      </c>
      <c r="BM23" s="665">
        <f>IF(
CHMATbl[[#This Row],[ALL UNITS IN A HIGH OR HIGHEST RESOURCE AREA]]="Yes",
10*CHMATbl[[#This Row],[% OF TOTAL MANUFACTURED AND RURAL FUNDING]],
0)</f>
        <v>0</v>
      </c>
      <c r="BN23" s="665" cm="1">
        <f t="array" ref="BN23">INDEX(
CountyScoresTbl[Community Need Total Points],
ROW(CHMATbl[[#This Row],[COUNTY]])-2,1)*CHMATbl[[#This Row],[% OF TOTAL MANUFACTURED AND RURAL FUNDING]]</f>
        <v>0</v>
      </c>
      <c r="BO23" s="694" cm="1">
        <f t="array" ref="BO2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3" s="732"/>
      <c r="BQ23" s="564"/>
      <c r="BR23" s="678"/>
    </row>
    <row r="24" spans="1:70" s="662" customFormat="1" x14ac:dyDescent="0.35">
      <c r="A24" s="674"/>
      <c r="B24" s="5" t="s">
        <v>136</v>
      </c>
      <c r="C24" s="38" t="s">
        <v>513</v>
      </c>
      <c r="D24" s="113" t="str">
        <f>IF(SUM(CHMATbl[[#This Row],[UNRESTRICTED UNITS]])=0,"",CHMATbl[[#This Row],[UNRESTRICTED UNITS]])</f>
        <v/>
      </c>
      <c r="E24" s="74" t="str">
        <f xml:space="preserve">
IF(CHMATbl[[#This Row],[UNRESTRICTED FUNDING REQUESTED]]=0,"",
CHMATbl[[#This Row],[UNRESTRICTED FUNDING REQUESTED]]*
IF(CH_MA_UnrestrictedTotalRequested&lt;=5000000,1,
5000000/CH_MA_UnrestrictedTotalRequested)
)</f>
        <v/>
      </c>
      <c r="F24" s="6" t="str">
        <f>IFERROR(CHMATbl[[#This Row],[TOTAL $ REQUESTED]]/SUM(CHMATbl[TOTAL $ REQUESTED]),"")</f>
        <v/>
      </c>
      <c r="G24" s="38" t="s">
        <v>513</v>
      </c>
      <c r="H24" s="113" t="str">
        <f>IF(SUM(CHMATbl[[#This Row],[MANUFACTURED UNITS]])=0,"",CHMATbl[[#This Row],[MANUFACTURED UNITS]])</f>
        <v/>
      </c>
      <c r="I24" s="74" t="str">
        <f xml:space="preserve">
IF(CHMATbl[[#This Row],[MANUFACTURED FUNDING REQUESTED]]=0,"",
CHMATbl[[#This Row],[MANUFACTURED FUNDING REQUESTED]]*
IF(CH_MA_ManufacturedTotalRequested&lt;=(5000000-E$61),1,
(5000000-E$61)/CH_MA_ManufacturedTotalRequested)
)</f>
        <v/>
      </c>
      <c r="J24" s="6" t="str">
        <f>IFERROR(CHMATbl[[#This Row],[TOTAL $ REQUESTED2]]/SUM(CHMATbl[TOTAL $ REQUESTED2]),"")</f>
        <v/>
      </c>
      <c r="K24" s="38" t="s">
        <v>513</v>
      </c>
      <c r="L24" s="113" t="str">
        <f>IF(SUM(CHMATbl[[#This Row],[RURAL UNITS]])=0,"",CHMATbl[[#This Row],[RURAL UNITS]])</f>
        <v/>
      </c>
      <c r="M24" s="74" t="str">
        <f xml:space="preserve">
IF(CHMATbl[[#This Row],[RURAL FUNDING REQUESTED]]=0,"",
CHMATbl[[#This Row],[RURAL FUNDING REQUESTED]]*
IF(CH_MA_RuralTotalRequested&lt;=(5000000-E$61-I$61),1,
(5000000-E$61-I$61)/CH_MA_RuralTotalRequested)
)</f>
        <v/>
      </c>
      <c r="N24" s="6" t="str">
        <f>IFERROR(CHMATbl[[#This Row],[TOTAL $ REQUESTED3]]/SUM(CHMATbl[TOTAL $ REQUESTED3]),"")</f>
        <v/>
      </c>
      <c r="O24" s="38" t="s">
        <v>513</v>
      </c>
      <c r="P24" s="113" t="str">
        <f>IF(SUM(CHMATbl[[#This Row],[MANUFACTURED AND RURAL UNITS]])=0,"",CHMATbl[[#This Row],[MANUFACTURED AND RURAL UNITS]])</f>
        <v/>
      </c>
      <c r="Q24" s="74" t="str">
        <f xml:space="preserve">
IF(CHMATbl[[#This Row],[MANUFACTURED AND RURAL FUNDING REQUESTED]]=0,"",
CHMATbl[[#This Row],[MANUFACTURED AND RURAL FUNDING REQUESTED]]*
IF(CH_MA_MFDRuralTotalRequested&lt;=(5000000-E$61-I$61-M$61),1,
(5000000-E$61-I$61-M$61)/CH_MA_MFDRuralTotalRequested)
)</f>
        <v/>
      </c>
      <c r="R24" s="6" t="str">
        <f>IFERROR(CHMATbl[[#This Row],[TOTAL $ REQUESTED4]]/SUM(CHMATbl[TOTAL $ REQUESTED4]),"")</f>
        <v/>
      </c>
      <c r="S24" s="38" t="s">
        <v>513</v>
      </c>
      <c r="T24" s="736"/>
      <c r="U24" s="699"/>
      <c r="V24" s="699"/>
      <c r="W24" s="737"/>
      <c r="X24" s="702"/>
      <c r="Y24" s="703"/>
      <c r="Z24" s="703"/>
      <c r="AA24" s="703"/>
      <c r="AB24" s="703"/>
      <c r="AC24" s="98">
        <f t="shared" si="0"/>
        <v>0</v>
      </c>
      <c r="AD24" s="6">
        <f>IF(CHMATbl[[#This Row],[UNRESTRICTED FUNDING REQUESTED]]=0,0,CHMATbl[[#This Row],[UNRESTRICTED FUNDING REQUESTED]]/CH_MA_UnrestrictedTotalRequested)</f>
        <v>0</v>
      </c>
      <c r="AE24" s="667">
        <f xml:space="preserve">
IF(CHMATbl[[#This Row],[NEW CONSTRUCTION OR AQUIRE/REHAB]]&lt;&gt;"",
3+IF(CHMATbl[[#This Row],[INFILL SITE]]="Yes",2,0),0)
*CHMATbl[[#This Row],[% OF TOTAL UNRESTRICTED FUNDING]]</f>
        <v>0</v>
      </c>
      <c r="AF24" s="665">
        <f>IF(CHMATbl[[#This Row],[ALL UNITS IN A HIGH OR HIGHEST RESOURCE AREA]]="Yes",10*CHMATbl[[#This Row],[% OF TOTAL UNRESTRICTED FUNDING]],0)</f>
        <v>0</v>
      </c>
      <c r="AG24" s="665" cm="1">
        <f t="array" ref="AG24">INDEX(CountyScoresTbl[Community Need Total Points],ROW(CHMATbl[[#This Row],[COUNTY]])-2,1)*CHMATbl[[#This Row],[% OF TOTAL UNRESTRICTED FUNDING]]</f>
        <v>0</v>
      </c>
      <c r="AH24" s="666" cm="1">
        <f t="array" ref="AH24"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4" s="702"/>
      <c r="AJ24" s="703"/>
      <c r="AK24" s="703"/>
      <c r="AL24" s="703"/>
      <c r="AM24" s="703"/>
      <c r="AN24" s="74">
        <f t="shared" si="1"/>
        <v>0</v>
      </c>
      <c r="AO24" s="6">
        <f>IF(CHMATbl[[#This Row],[MANUFACTURED FUNDING REQUESTED]]=0,0,CHMATbl[[#This Row],[MANUFACTURED FUNDING REQUESTED]]/CH_MA_ManufacturedTotalRequested)</f>
        <v>0</v>
      </c>
      <c r="AP24" s="671">
        <f>IF(
CHMATbl[[#This Row],[NEW CONSTRUCTION OR AQUIRE/REHAB]]&lt;&gt;"",
3+IF(CHMATbl[[#This Row],[INFILL SITE]]="Yes",2,0),0)
*CHMATbl[[#This Row],[% OF TOTAL MANUFACTURED FUNDING]]</f>
        <v>0</v>
      </c>
      <c r="AQ24" s="7">
        <f>IF(CHMATbl[[#This Row],[ALL UNITS IN A HIGH OR HIGHEST RESOURCE AREA]]="Yes",10*CHMATbl[[#This Row],[% OF TOTAL MANUFACTURED FUNDING]],0)</f>
        <v>0</v>
      </c>
      <c r="AR24" s="7" cm="1">
        <f t="array" ref="AR24">INDEX(CountyScoresTbl[Community Need Total Points],ROW(CHMATbl[[#This Row],[COUNTY]])-2,1)*CHMATbl[[#This Row],[% OF TOTAL MANUFACTURED FUNDING]]</f>
        <v>0</v>
      </c>
      <c r="AS24" s="8" cm="1">
        <f t="array" ref="AS2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4" s="705"/>
      <c r="AU24" s="703"/>
      <c r="AV24" s="703"/>
      <c r="AW24" s="703"/>
      <c r="AX24" s="703"/>
      <c r="AY24" s="74">
        <f t="shared" si="2"/>
        <v>0</v>
      </c>
      <c r="AZ24" s="6">
        <f>IF(CHMATbl[[#This Row],[RURAL FUNDING REQUESTED]]=0,0,CHMATbl[[#This Row],[RURAL FUNDING REQUESTED]]/CH_MA_RuralTotalRequested)</f>
        <v>0</v>
      </c>
      <c r="BA24" s="667">
        <f>IF(
CHMATbl[[#This Row],[NEW CONSTRUCTION OR AQUIRE/REHAB]]&lt;&gt;"",
3+IF(CHMATbl[[#This Row],[INFILL SITE]]="Yes",2,0),0)
*CHMATbl[[#This Row],[% OF TOTAL RURAL FUNDING]]</f>
        <v>0</v>
      </c>
      <c r="BB24" s="665">
        <f>IF(
CHMATbl[[#This Row],[ALL UNITS IN A HIGH OR HIGHEST RESOURCE AREA]]="Yes",
10*CHMATbl[[#This Row],[% OF TOTAL RURAL FUNDING]],
0)</f>
        <v>0</v>
      </c>
      <c r="BC24" s="665" cm="1">
        <f t="array" ref="BC24">INDEX(
CountyScoresTbl[Community Need Total Points],
ROW(CHMATbl[[#This Row],[COUNTY]])-2,1)*CHMATbl[[#This Row],[% OF TOTAL RURAL FUNDING]]</f>
        <v>0</v>
      </c>
      <c r="BD24" s="666" cm="1">
        <f t="array" ref="BD24"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4" s="116"/>
      <c r="BF24" s="703"/>
      <c r="BG24" s="703"/>
      <c r="BH24" s="703"/>
      <c r="BI24" s="703"/>
      <c r="BJ24" s="74">
        <f t="shared" si="3"/>
        <v>0</v>
      </c>
      <c r="BK24" s="6">
        <f>IF(CHMATbl[[#This Row],[MANUFACTURED AND RURAL FUNDING REQUESTED]]=0,0,CHMATbl[[#This Row],[MANUFACTURED AND RURAL FUNDING REQUESTED]]/CH_MA_MFDRuralTotalRequested)</f>
        <v>0</v>
      </c>
      <c r="BL24" s="667">
        <f xml:space="preserve">
IF(CHMATbl[[#This Row],[NEW CONSTRUCTION OR AQUIRE/REHAB]]&lt;&gt;"",
3+IF(CHMATbl[[#This Row],[INFILL SITE]]="Yes",2,0),0)
*CHMATbl[[#This Row],[% OF TOTAL MANUFACTURED AND RURAL FUNDING]]</f>
        <v>0</v>
      </c>
      <c r="BM24" s="665">
        <f>IF(
CHMATbl[[#This Row],[ALL UNITS IN A HIGH OR HIGHEST RESOURCE AREA]]="Yes",
10*CHMATbl[[#This Row],[% OF TOTAL MANUFACTURED AND RURAL FUNDING]],
0)</f>
        <v>0</v>
      </c>
      <c r="BN24" s="665" cm="1">
        <f t="array" ref="BN24">INDEX(
CountyScoresTbl[Community Need Total Points],
ROW(CHMATbl[[#This Row],[COUNTY]])-2,1)*CHMATbl[[#This Row],[% OF TOTAL MANUFACTURED AND RURAL FUNDING]]</f>
        <v>0</v>
      </c>
      <c r="BO24" s="694" cm="1">
        <f t="array" ref="BO2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4" s="732"/>
      <c r="BQ24" s="564"/>
      <c r="BR24" s="678"/>
    </row>
    <row r="25" spans="1:70" s="662" customFormat="1" x14ac:dyDescent="0.35">
      <c r="A25" s="679"/>
      <c r="B25" s="5" t="s">
        <v>137</v>
      </c>
      <c r="C25" s="38" t="s">
        <v>513</v>
      </c>
      <c r="D25" s="113" t="str">
        <f>IF(SUM(CHMATbl[[#This Row],[UNRESTRICTED UNITS]])=0,"",CHMATbl[[#This Row],[UNRESTRICTED UNITS]])</f>
        <v/>
      </c>
      <c r="E25" s="74" t="str">
        <f xml:space="preserve">
IF(CHMATbl[[#This Row],[UNRESTRICTED FUNDING REQUESTED]]=0,"",
CHMATbl[[#This Row],[UNRESTRICTED FUNDING REQUESTED]]*
IF(CH_MA_UnrestrictedTotalRequested&lt;=5000000,1,
5000000/CH_MA_UnrestrictedTotalRequested)
)</f>
        <v/>
      </c>
      <c r="F25" s="6" t="str">
        <f>IFERROR(CHMATbl[[#This Row],[TOTAL $ REQUESTED]]/SUM(CHMATbl[TOTAL $ REQUESTED]),"")</f>
        <v/>
      </c>
      <c r="G25" s="38" t="s">
        <v>513</v>
      </c>
      <c r="H25" s="113" t="str">
        <f>IF(SUM(CHMATbl[[#This Row],[MANUFACTURED UNITS]])=0,"",CHMATbl[[#This Row],[MANUFACTURED UNITS]])</f>
        <v/>
      </c>
      <c r="I25" s="74" t="str">
        <f xml:space="preserve">
IF(CHMATbl[[#This Row],[MANUFACTURED FUNDING REQUESTED]]=0,"",
CHMATbl[[#This Row],[MANUFACTURED FUNDING REQUESTED]]*
IF(CH_MA_ManufacturedTotalRequested&lt;=(5000000-E$61),1,
(5000000-E$61)/CH_MA_ManufacturedTotalRequested)
)</f>
        <v/>
      </c>
      <c r="J25" s="6" t="str">
        <f>IFERROR(CHMATbl[[#This Row],[TOTAL $ REQUESTED2]]/SUM(CHMATbl[TOTAL $ REQUESTED2]),"")</f>
        <v/>
      </c>
      <c r="K25" s="38" t="s">
        <v>513</v>
      </c>
      <c r="L25" s="113" t="str">
        <f>IF(SUM(CHMATbl[[#This Row],[RURAL UNITS]])=0,"",CHMATbl[[#This Row],[RURAL UNITS]])</f>
        <v/>
      </c>
      <c r="M25" s="74" t="str">
        <f xml:space="preserve">
IF(CHMATbl[[#This Row],[RURAL FUNDING REQUESTED]]=0,"",
CHMATbl[[#This Row],[RURAL FUNDING REQUESTED]]*
IF(CH_MA_RuralTotalRequested&lt;=(5000000-E$61-I$61),1,
(5000000-E$61-I$61)/CH_MA_RuralTotalRequested)
)</f>
        <v/>
      </c>
      <c r="N25" s="6" t="str">
        <f>IFERROR(CHMATbl[[#This Row],[TOTAL $ REQUESTED3]]/SUM(CHMATbl[TOTAL $ REQUESTED3]),"")</f>
        <v/>
      </c>
      <c r="O25" s="38" t="s">
        <v>513</v>
      </c>
      <c r="P25" s="113" t="str">
        <f>IF(SUM(CHMATbl[[#This Row],[MANUFACTURED AND RURAL UNITS]])=0,"",CHMATbl[[#This Row],[MANUFACTURED AND RURAL UNITS]])</f>
        <v/>
      </c>
      <c r="Q25" s="74" t="str">
        <f xml:space="preserve">
IF(CHMATbl[[#This Row],[MANUFACTURED AND RURAL FUNDING REQUESTED]]=0,"",
CHMATbl[[#This Row],[MANUFACTURED AND RURAL FUNDING REQUESTED]]*
IF(CH_MA_MFDRuralTotalRequested&lt;=(5000000-E$61-I$61-M$61),1,
(5000000-E$61-I$61-M$61)/CH_MA_MFDRuralTotalRequested)
)</f>
        <v/>
      </c>
      <c r="R25" s="6" t="str">
        <f>IFERROR(CHMATbl[[#This Row],[TOTAL $ REQUESTED4]]/SUM(CHMATbl[TOTAL $ REQUESTED4]),"")</f>
        <v/>
      </c>
      <c r="S25" s="38" t="s">
        <v>513</v>
      </c>
      <c r="T25" s="736"/>
      <c r="U25" s="699"/>
      <c r="V25" s="699"/>
      <c r="W25" s="737"/>
      <c r="X25" s="116"/>
      <c r="Y25" s="703"/>
      <c r="Z25" s="703"/>
      <c r="AA25" s="703"/>
      <c r="AB25" s="703"/>
      <c r="AC25" s="98">
        <f t="shared" si="0"/>
        <v>0</v>
      </c>
      <c r="AD25" s="6">
        <f>IF(CHMATbl[[#This Row],[UNRESTRICTED FUNDING REQUESTED]]=0,0,CHMATbl[[#This Row],[UNRESTRICTED FUNDING REQUESTED]]/CH_MA_UnrestrictedTotalRequested)</f>
        <v>0</v>
      </c>
      <c r="AE25" s="667">
        <f xml:space="preserve">
IF(CHMATbl[[#This Row],[NEW CONSTRUCTION OR AQUIRE/REHAB]]&lt;&gt;"",
3+IF(CHMATbl[[#This Row],[INFILL SITE]]="Yes",2,0),0)
*CHMATbl[[#This Row],[% OF TOTAL UNRESTRICTED FUNDING]]</f>
        <v>0</v>
      </c>
      <c r="AF25" s="665">
        <f>IF(CHMATbl[[#This Row],[ALL UNITS IN A HIGH OR HIGHEST RESOURCE AREA]]="Yes",10*CHMATbl[[#This Row],[% OF TOTAL UNRESTRICTED FUNDING]],0)</f>
        <v>0</v>
      </c>
      <c r="AG25" s="665" cm="1">
        <f t="array" ref="AG25">INDEX(CountyScoresTbl[Community Need Total Points],ROW(CHMATbl[[#This Row],[COUNTY]])-2,1)*CHMATbl[[#This Row],[% OF TOTAL UNRESTRICTED FUNDING]]</f>
        <v>0</v>
      </c>
      <c r="AH25" s="666" cm="1">
        <f t="array" ref="AH25"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5" s="116"/>
      <c r="AJ25" s="703"/>
      <c r="AK25" s="703"/>
      <c r="AL25" s="703"/>
      <c r="AM25" s="703"/>
      <c r="AN25" s="74">
        <f t="shared" si="1"/>
        <v>0</v>
      </c>
      <c r="AO25" s="6">
        <f>IF(CHMATbl[[#This Row],[MANUFACTURED FUNDING REQUESTED]]=0,0,CHMATbl[[#This Row],[MANUFACTURED FUNDING REQUESTED]]/CH_MA_ManufacturedTotalRequested)</f>
        <v>0</v>
      </c>
      <c r="AP25" s="671">
        <f>IF(
CHMATbl[[#This Row],[NEW CONSTRUCTION OR AQUIRE/REHAB]]&lt;&gt;"",
3+IF(CHMATbl[[#This Row],[INFILL SITE]]="Yes",2,0),0)
*CHMATbl[[#This Row],[% OF TOTAL MANUFACTURED FUNDING]]</f>
        <v>0</v>
      </c>
      <c r="AQ25" s="7">
        <f>IF(CHMATbl[[#This Row],[ALL UNITS IN A HIGH OR HIGHEST RESOURCE AREA]]="Yes",10*CHMATbl[[#This Row],[% OF TOTAL MANUFACTURED FUNDING]],0)</f>
        <v>0</v>
      </c>
      <c r="AR25" s="7" cm="1">
        <f t="array" ref="AR25">INDEX(CountyScoresTbl[Community Need Total Points],ROW(CHMATbl[[#This Row],[COUNTY]])-2,1)*CHMATbl[[#This Row],[% OF TOTAL MANUFACTURED FUNDING]]</f>
        <v>0</v>
      </c>
      <c r="AS25" s="8" cm="1">
        <f t="array" ref="AS2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5" s="705"/>
      <c r="AU25" s="703"/>
      <c r="AV25" s="703"/>
      <c r="AW25" s="703"/>
      <c r="AX25" s="703"/>
      <c r="AY25" s="74">
        <f t="shared" si="2"/>
        <v>0</v>
      </c>
      <c r="AZ25" s="6">
        <f>IF(CHMATbl[[#This Row],[RURAL FUNDING REQUESTED]]=0,0,CHMATbl[[#This Row],[RURAL FUNDING REQUESTED]]/CH_MA_RuralTotalRequested)</f>
        <v>0</v>
      </c>
      <c r="BA25" s="667">
        <f>IF(
CHMATbl[[#This Row],[NEW CONSTRUCTION OR AQUIRE/REHAB]]&lt;&gt;"",
3+IF(CHMATbl[[#This Row],[INFILL SITE]]="Yes",2,0),0)
*CHMATbl[[#This Row],[% OF TOTAL RURAL FUNDING]]</f>
        <v>0</v>
      </c>
      <c r="BB25" s="665">
        <f>IF(
CHMATbl[[#This Row],[ALL UNITS IN A HIGH OR HIGHEST RESOURCE AREA]]="Yes",
10*CHMATbl[[#This Row],[% OF TOTAL RURAL FUNDING]],
0)</f>
        <v>0</v>
      </c>
      <c r="BC25" s="665" cm="1">
        <f t="array" ref="BC25">INDEX(
CountyScoresTbl[Community Need Total Points],
ROW(CHMATbl[[#This Row],[COUNTY]])-2,1)*CHMATbl[[#This Row],[% OF TOTAL RURAL FUNDING]]</f>
        <v>0</v>
      </c>
      <c r="BD25" s="666" cm="1">
        <f t="array" ref="BD25"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5" s="116"/>
      <c r="BF25" s="703"/>
      <c r="BG25" s="703"/>
      <c r="BH25" s="703"/>
      <c r="BI25" s="703"/>
      <c r="BJ25" s="74">
        <f t="shared" si="3"/>
        <v>0</v>
      </c>
      <c r="BK25" s="6">
        <f>IF(CHMATbl[[#This Row],[MANUFACTURED AND RURAL FUNDING REQUESTED]]=0,0,CHMATbl[[#This Row],[MANUFACTURED AND RURAL FUNDING REQUESTED]]/CH_MA_MFDRuralTotalRequested)</f>
        <v>0</v>
      </c>
      <c r="BL25" s="667">
        <f xml:space="preserve">
IF(CHMATbl[[#This Row],[NEW CONSTRUCTION OR AQUIRE/REHAB]]&lt;&gt;"",
3+IF(CHMATbl[[#This Row],[INFILL SITE]]="Yes",2,0),0)
*CHMATbl[[#This Row],[% OF TOTAL MANUFACTURED AND RURAL FUNDING]]</f>
        <v>0</v>
      </c>
      <c r="BM25" s="665">
        <f>IF(
CHMATbl[[#This Row],[ALL UNITS IN A HIGH OR HIGHEST RESOURCE AREA]]="Yes",
10*CHMATbl[[#This Row],[% OF TOTAL MANUFACTURED AND RURAL FUNDING]],
0)</f>
        <v>0</v>
      </c>
      <c r="BN25" s="665" cm="1">
        <f t="array" ref="BN25">INDEX(
CountyScoresTbl[Community Need Total Points],
ROW(CHMATbl[[#This Row],[COUNTY]])-2,1)*CHMATbl[[#This Row],[% OF TOTAL MANUFACTURED AND RURAL FUNDING]]</f>
        <v>0</v>
      </c>
      <c r="BO25" s="694" cm="1">
        <f t="array" ref="BO2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5" s="732"/>
      <c r="BQ25" s="564"/>
      <c r="BR25" s="678"/>
    </row>
    <row r="26" spans="1:70" s="662" customFormat="1" x14ac:dyDescent="0.35">
      <c r="A26" s="674" t="s">
        <v>504</v>
      </c>
      <c r="B26" s="5" t="s">
        <v>138</v>
      </c>
      <c r="C26" s="38" t="s">
        <v>513</v>
      </c>
      <c r="D26" s="113" t="str">
        <f>IF(SUM(CHMATbl[[#This Row],[UNRESTRICTED UNITS]])=0,"",CHMATbl[[#This Row],[UNRESTRICTED UNITS]])</f>
        <v/>
      </c>
      <c r="E26" s="74" t="str">
        <f xml:space="preserve">
IF(CHMATbl[[#This Row],[UNRESTRICTED FUNDING REQUESTED]]=0,"",
CHMATbl[[#This Row],[UNRESTRICTED FUNDING REQUESTED]]*
IF(CH_MA_UnrestrictedTotalRequested&lt;=5000000,1,
5000000/CH_MA_UnrestrictedTotalRequested)
)</f>
        <v/>
      </c>
      <c r="F26" s="6" t="str">
        <f>IFERROR(CHMATbl[[#This Row],[TOTAL $ REQUESTED]]/SUM(CHMATbl[TOTAL $ REQUESTED]),"")</f>
        <v/>
      </c>
      <c r="G26" s="38" t="s">
        <v>513</v>
      </c>
      <c r="H26" s="113" t="str">
        <f>IF(SUM(CHMATbl[[#This Row],[MANUFACTURED UNITS]])=0,"",CHMATbl[[#This Row],[MANUFACTURED UNITS]])</f>
        <v/>
      </c>
      <c r="I26" s="74" t="str">
        <f xml:space="preserve">
IF(CHMATbl[[#This Row],[MANUFACTURED FUNDING REQUESTED]]=0,"",
CHMATbl[[#This Row],[MANUFACTURED FUNDING REQUESTED]]*
IF(CH_MA_ManufacturedTotalRequested&lt;=(5000000-E$61),1,
(5000000-E$61)/CH_MA_ManufacturedTotalRequested)
)</f>
        <v/>
      </c>
      <c r="J26" s="6" t="str">
        <f>IFERROR(CHMATbl[[#This Row],[TOTAL $ REQUESTED2]]/SUM(CHMATbl[TOTAL $ REQUESTED2]),"")</f>
        <v/>
      </c>
      <c r="K26" s="38" t="s">
        <v>513</v>
      </c>
      <c r="L26" s="113" t="str">
        <f>IF(SUM(CHMATbl[[#This Row],[RURAL UNITS]])=0,"",CHMATbl[[#This Row],[RURAL UNITS]])</f>
        <v/>
      </c>
      <c r="M26" s="74" t="str">
        <f xml:space="preserve">
IF(CHMATbl[[#This Row],[RURAL FUNDING REQUESTED]]=0,"",
CHMATbl[[#This Row],[RURAL FUNDING REQUESTED]]*
IF(CH_MA_RuralTotalRequested&lt;=(5000000-E$61-I$61),1,
(5000000-E$61-I$61)/CH_MA_RuralTotalRequested)
)</f>
        <v/>
      </c>
      <c r="N26" s="6" t="str">
        <f>IFERROR(CHMATbl[[#This Row],[TOTAL $ REQUESTED3]]/SUM(CHMATbl[TOTAL $ REQUESTED3]),"")</f>
        <v/>
      </c>
      <c r="O26" s="38" t="s">
        <v>513</v>
      </c>
      <c r="P26" s="113" t="str">
        <f>IF(SUM(CHMATbl[[#This Row],[MANUFACTURED AND RURAL UNITS]])=0,"",CHMATbl[[#This Row],[MANUFACTURED AND RURAL UNITS]])</f>
        <v/>
      </c>
      <c r="Q26" s="74" t="str">
        <f xml:space="preserve">
IF(CHMATbl[[#This Row],[MANUFACTURED AND RURAL FUNDING REQUESTED]]=0,"",
CHMATbl[[#This Row],[MANUFACTURED AND RURAL FUNDING REQUESTED]]*
IF(CH_MA_MFDRuralTotalRequested&lt;=(5000000-E$61-I$61-M$61),1,
(5000000-E$61-I$61-M$61)/CH_MA_MFDRuralTotalRequested)
)</f>
        <v/>
      </c>
      <c r="R26" s="6" t="str">
        <f>IFERROR(CHMATbl[[#This Row],[TOTAL $ REQUESTED4]]/SUM(CHMATbl[TOTAL $ REQUESTED4]),"")</f>
        <v/>
      </c>
      <c r="S26" s="38" t="s">
        <v>513</v>
      </c>
      <c r="T26" s="736"/>
      <c r="U26" s="699"/>
      <c r="V26" s="699"/>
      <c r="W26" s="737"/>
      <c r="X26" s="702"/>
      <c r="Y26" s="703"/>
      <c r="Z26" s="703"/>
      <c r="AA26" s="703"/>
      <c r="AB26" s="703"/>
      <c r="AC26" s="98">
        <f t="shared" si="0"/>
        <v>0</v>
      </c>
      <c r="AD26" s="6">
        <f>IF(CHMATbl[[#This Row],[UNRESTRICTED FUNDING REQUESTED]]=0,0,CHMATbl[[#This Row],[UNRESTRICTED FUNDING REQUESTED]]/CH_MA_UnrestrictedTotalRequested)</f>
        <v>0</v>
      </c>
      <c r="AE26" s="667">
        <f xml:space="preserve">
IF(CHMATbl[[#This Row],[NEW CONSTRUCTION OR AQUIRE/REHAB]]&lt;&gt;"",
3+IF(CHMATbl[[#This Row],[INFILL SITE]]="Yes",2,0),0)
*CHMATbl[[#This Row],[% OF TOTAL UNRESTRICTED FUNDING]]</f>
        <v>0</v>
      </c>
      <c r="AF26" s="665">
        <f>IF(CHMATbl[[#This Row],[ALL UNITS IN A HIGH OR HIGHEST RESOURCE AREA]]="Yes",10*CHMATbl[[#This Row],[% OF TOTAL UNRESTRICTED FUNDING]],0)</f>
        <v>0</v>
      </c>
      <c r="AG26" s="665" cm="1">
        <f t="array" ref="AG26">INDEX(CountyScoresTbl[Community Need Total Points],ROW(CHMATbl[[#This Row],[COUNTY]])-2,1)*CHMATbl[[#This Row],[% OF TOTAL UNRESTRICTED FUNDING]]</f>
        <v>0</v>
      </c>
      <c r="AH26" s="666" cm="1">
        <f t="array" ref="AH26"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6" s="702"/>
      <c r="AJ26" s="703"/>
      <c r="AK26" s="703"/>
      <c r="AL26" s="703"/>
      <c r="AM26" s="703"/>
      <c r="AN26" s="74">
        <f t="shared" si="1"/>
        <v>0</v>
      </c>
      <c r="AO26" s="6">
        <f>IF(CHMATbl[[#This Row],[MANUFACTURED FUNDING REQUESTED]]=0,0,CHMATbl[[#This Row],[MANUFACTURED FUNDING REQUESTED]]/CH_MA_ManufacturedTotalRequested)</f>
        <v>0</v>
      </c>
      <c r="AP26" s="671">
        <f>IF(
CHMATbl[[#This Row],[NEW CONSTRUCTION OR AQUIRE/REHAB]]&lt;&gt;"",
3+IF(CHMATbl[[#This Row],[INFILL SITE]]="Yes",2,0),0)
*CHMATbl[[#This Row],[% OF TOTAL MANUFACTURED FUNDING]]</f>
        <v>0</v>
      </c>
      <c r="AQ26" s="7">
        <f>IF(CHMATbl[[#This Row],[ALL UNITS IN A HIGH OR HIGHEST RESOURCE AREA]]="Yes",10*CHMATbl[[#This Row],[% OF TOTAL MANUFACTURED FUNDING]],0)</f>
        <v>0</v>
      </c>
      <c r="AR26" s="7" cm="1">
        <f t="array" ref="AR26">INDEX(CountyScoresTbl[Community Need Total Points],ROW(CHMATbl[[#This Row],[COUNTY]])-2,1)*CHMATbl[[#This Row],[% OF TOTAL MANUFACTURED FUNDING]]</f>
        <v>0</v>
      </c>
      <c r="AS26" s="8" cm="1">
        <f t="array" ref="AS2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6" s="705"/>
      <c r="AU26" s="703"/>
      <c r="AV26" s="703"/>
      <c r="AW26" s="703"/>
      <c r="AX26" s="703"/>
      <c r="AY26" s="74">
        <f t="shared" si="2"/>
        <v>0</v>
      </c>
      <c r="AZ26" s="6">
        <f>IF(CHMATbl[[#This Row],[RURAL FUNDING REQUESTED]]=0,0,CHMATbl[[#This Row],[RURAL FUNDING REQUESTED]]/CH_MA_RuralTotalRequested)</f>
        <v>0</v>
      </c>
      <c r="BA26" s="667">
        <f>IF(
CHMATbl[[#This Row],[NEW CONSTRUCTION OR AQUIRE/REHAB]]&lt;&gt;"",
3+IF(CHMATbl[[#This Row],[INFILL SITE]]="Yes",2,0),0)
*CHMATbl[[#This Row],[% OF TOTAL RURAL FUNDING]]</f>
        <v>0</v>
      </c>
      <c r="BB26" s="665">
        <f>IF(
CHMATbl[[#This Row],[ALL UNITS IN A HIGH OR HIGHEST RESOURCE AREA]]="Yes",
10*CHMATbl[[#This Row],[% OF TOTAL RURAL FUNDING]],
0)</f>
        <v>0</v>
      </c>
      <c r="BC26" s="665" cm="1">
        <f t="array" ref="BC26">INDEX(
CountyScoresTbl[Community Need Total Points],
ROW(CHMATbl[[#This Row],[COUNTY]])-2,1)*CHMATbl[[#This Row],[% OF TOTAL RURAL FUNDING]]</f>
        <v>0</v>
      </c>
      <c r="BD26" s="666" cm="1">
        <f t="array" ref="BD26"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6" s="116"/>
      <c r="BF26" s="703"/>
      <c r="BG26" s="703"/>
      <c r="BH26" s="703"/>
      <c r="BI26" s="703"/>
      <c r="BJ26" s="74">
        <f t="shared" si="3"/>
        <v>0</v>
      </c>
      <c r="BK26" s="6">
        <f>IF(CHMATbl[[#This Row],[MANUFACTURED AND RURAL FUNDING REQUESTED]]=0,0,CHMATbl[[#This Row],[MANUFACTURED AND RURAL FUNDING REQUESTED]]/CH_MA_MFDRuralTotalRequested)</f>
        <v>0</v>
      </c>
      <c r="BL26" s="667">
        <f xml:space="preserve">
IF(CHMATbl[[#This Row],[NEW CONSTRUCTION OR AQUIRE/REHAB]]&lt;&gt;"",
3+IF(CHMATbl[[#This Row],[INFILL SITE]]="Yes",2,0),0)
*CHMATbl[[#This Row],[% OF TOTAL MANUFACTURED AND RURAL FUNDING]]</f>
        <v>0</v>
      </c>
      <c r="BM26" s="665">
        <f>IF(
CHMATbl[[#This Row],[ALL UNITS IN A HIGH OR HIGHEST RESOURCE AREA]]="Yes",
10*CHMATbl[[#This Row],[% OF TOTAL MANUFACTURED AND RURAL FUNDING]],
0)</f>
        <v>0</v>
      </c>
      <c r="BN26" s="665" cm="1">
        <f t="array" ref="BN26">INDEX(
CountyScoresTbl[Community Need Total Points],
ROW(CHMATbl[[#This Row],[COUNTY]])-2,1)*CHMATbl[[#This Row],[% OF TOTAL MANUFACTURED AND RURAL FUNDING]]</f>
        <v>0</v>
      </c>
      <c r="BO26" s="694" cm="1">
        <f t="array" ref="BO2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6" s="732"/>
      <c r="BQ26" s="564"/>
      <c r="BR26" s="678"/>
    </row>
    <row r="27" spans="1:70" s="662" customFormat="1" x14ac:dyDescent="0.35">
      <c r="A27" s="674"/>
      <c r="B27" s="5" t="s">
        <v>139</v>
      </c>
      <c r="C27" s="38" t="s">
        <v>513</v>
      </c>
      <c r="D27" s="113" t="str">
        <f>IF(SUM(CHMATbl[[#This Row],[UNRESTRICTED UNITS]])=0,"",CHMATbl[[#This Row],[UNRESTRICTED UNITS]])</f>
        <v/>
      </c>
      <c r="E27" s="74" t="str">
        <f xml:space="preserve">
IF(CHMATbl[[#This Row],[UNRESTRICTED FUNDING REQUESTED]]=0,"",
CHMATbl[[#This Row],[UNRESTRICTED FUNDING REQUESTED]]*
IF(CH_MA_UnrestrictedTotalRequested&lt;=5000000,1,
5000000/CH_MA_UnrestrictedTotalRequested)
)</f>
        <v/>
      </c>
      <c r="F27" s="6" t="str">
        <f>IFERROR(CHMATbl[[#This Row],[TOTAL $ REQUESTED]]/SUM(CHMATbl[TOTAL $ REQUESTED]),"")</f>
        <v/>
      </c>
      <c r="G27" s="38" t="s">
        <v>513</v>
      </c>
      <c r="H27" s="113" t="str">
        <f>IF(SUM(CHMATbl[[#This Row],[MANUFACTURED UNITS]])=0,"",CHMATbl[[#This Row],[MANUFACTURED UNITS]])</f>
        <v/>
      </c>
      <c r="I27" s="74" t="str">
        <f xml:space="preserve">
IF(CHMATbl[[#This Row],[MANUFACTURED FUNDING REQUESTED]]=0,"",
CHMATbl[[#This Row],[MANUFACTURED FUNDING REQUESTED]]*
IF(CH_MA_ManufacturedTotalRequested&lt;=(5000000-E$61),1,
(5000000-E$61)/CH_MA_ManufacturedTotalRequested)
)</f>
        <v/>
      </c>
      <c r="J27" s="6" t="str">
        <f>IFERROR(CHMATbl[[#This Row],[TOTAL $ REQUESTED2]]/SUM(CHMATbl[TOTAL $ REQUESTED2]),"")</f>
        <v/>
      </c>
      <c r="K27" s="38" t="s">
        <v>513</v>
      </c>
      <c r="L27" s="113" t="str">
        <f>IF(SUM(CHMATbl[[#This Row],[RURAL UNITS]])=0,"",CHMATbl[[#This Row],[RURAL UNITS]])</f>
        <v/>
      </c>
      <c r="M27" s="74" t="str">
        <f xml:space="preserve">
IF(CHMATbl[[#This Row],[RURAL FUNDING REQUESTED]]=0,"",
CHMATbl[[#This Row],[RURAL FUNDING REQUESTED]]*
IF(CH_MA_RuralTotalRequested&lt;=(5000000-E$61-I$61),1,
(5000000-E$61-I$61)/CH_MA_RuralTotalRequested)
)</f>
        <v/>
      </c>
      <c r="N27" s="6" t="str">
        <f>IFERROR(CHMATbl[[#This Row],[TOTAL $ REQUESTED3]]/SUM(CHMATbl[TOTAL $ REQUESTED3]),"")</f>
        <v/>
      </c>
      <c r="O27" s="38" t="s">
        <v>513</v>
      </c>
      <c r="P27" s="113" t="str">
        <f>IF(SUM(CHMATbl[[#This Row],[MANUFACTURED AND RURAL UNITS]])=0,"",CHMATbl[[#This Row],[MANUFACTURED AND RURAL UNITS]])</f>
        <v/>
      </c>
      <c r="Q27" s="74" t="str">
        <f xml:space="preserve">
IF(CHMATbl[[#This Row],[MANUFACTURED AND RURAL FUNDING REQUESTED]]=0,"",
CHMATbl[[#This Row],[MANUFACTURED AND RURAL FUNDING REQUESTED]]*
IF(CH_MA_MFDRuralTotalRequested&lt;=(5000000-E$61-I$61-M$61),1,
(5000000-E$61-I$61-M$61)/CH_MA_MFDRuralTotalRequested)
)</f>
        <v/>
      </c>
      <c r="R27" s="6" t="str">
        <f>IFERROR(CHMATbl[[#This Row],[TOTAL $ REQUESTED4]]/SUM(CHMATbl[TOTAL $ REQUESTED4]),"")</f>
        <v/>
      </c>
      <c r="S27" s="38" t="s">
        <v>513</v>
      </c>
      <c r="T27" s="736"/>
      <c r="U27" s="699"/>
      <c r="V27" s="699"/>
      <c r="W27" s="737"/>
      <c r="X27" s="702"/>
      <c r="Y27" s="703"/>
      <c r="Z27" s="703"/>
      <c r="AA27" s="703"/>
      <c r="AB27" s="703"/>
      <c r="AC27" s="98">
        <f t="shared" si="0"/>
        <v>0</v>
      </c>
      <c r="AD27" s="6">
        <f>IF(CHMATbl[[#This Row],[UNRESTRICTED FUNDING REQUESTED]]=0,0,CHMATbl[[#This Row],[UNRESTRICTED FUNDING REQUESTED]]/CH_MA_UnrestrictedTotalRequested)</f>
        <v>0</v>
      </c>
      <c r="AE27" s="667">
        <f xml:space="preserve">
IF(CHMATbl[[#This Row],[NEW CONSTRUCTION OR AQUIRE/REHAB]]&lt;&gt;"",
3+IF(CHMATbl[[#This Row],[INFILL SITE]]="Yes",2,0),0)
*CHMATbl[[#This Row],[% OF TOTAL UNRESTRICTED FUNDING]]</f>
        <v>0</v>
      </c>
      <c r="AF27" s="665">
        <f>IF(CHMATbl[[#This Row],[ALL UNITS IN A HIGH OR HIGHEST RESOURCE AREA]]="Yes",10*CHMATbl[[#This Row],[% OF TOTAL UNRESTRICTED FUNDING]],0)</f>
        <v>0</v>
      </c>
      <c r="AG27" s="665" cm="1">
        <f t="array" ref="AG27">INDEX(CountyScoresTbl[Community Need Total Points],ROW(CHMATbl[[#This Row],[COUNTY]])-2,1)*CHMATbl[[#This Row],[% OF TOTAL UNRESTRICTED FUNDING]]</f>
        <v>0</v>
      </c>
      <c r="AH27" s="666" cm="1">
        <f t="array" ref="AH27"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7" s="702"/>
      <c r="AJ27" s="703"/>
      <c r="AK27" s="703"/>
      <c r="AL27" s="703"/>
      <c r="AM27" s="703"/>
      <c r="AN27" s="74">
        <f t="shared" si="1"/>
        <v>0</v>
      </c>
      <c r="AO27" s="6">
        <f>IF(CHMATbl[[#This Row],[MANUFACTURED FUNDING REQUESTED]]=0,0,CHMATbl[[#This Row],[MANUFACTURED FUNDING REQUESTED]]/CH_MA_ManufacturedTotalRequested)</f>
        <v>0</v>
      </c>
      <c r="AP27" s="671">
        <f>IF(
CHMATbl[[#This Row],[NEW CONSTRUCTION OR AQUIRE/REHAB]]&lt;&gt;"",
3+IF(CHMATbl[[#This Row],[INFILL SITE]]="Yes",2,0),0)
*CHMATbl[[#This Row],[% OF TOTAL MANUFACTURED FUNDING]]</f>
        <v>0</v>
      </c>
      <c r="AQ27" s="7">
        <f>IF(CHMATbl[[#This Row],[ALL UNITS IN A HIGH OR HIGHEST RESOURCE AREA]]="Yes",10*CHMATbl[[#This Row],[% OF TOTAL MANUFACTURED FUNDING]],0)</f>
        <v>0</v>
      </c>
      <c r="AR27" s="7" cm="1">
        <f t="array" ref="AR27">INDEX(CountyScoresTbl[Community Need Total Points],ROW(CHMATbl[[#This Row],[COUNTY]])-2,1)*CHMATbl[[#This Row],[% OF TOTAL MANUFACTURED FUNDING]]</f>
        <v>0</v>
      </c>
      <c r="AS27" s="8" cm="1">
        <f t="array" ref="AS2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7" s="705"/>
      <c r="AU27" s="703"/>
      <c r="AV27" s="703"/>
      <c r="AW27" s="703"/>
      <c r="AX27" s="703"/>
      <c r="AY27" s="74">
        <f t="shared" si="2"/>
        <v>0</v>
      </c>
      <c r="AZ27" s="6">
        <f>IF(CHMATbl[[#This Row],[RURAL FUNDING REQUESTED]]=0,0,CHMATbl[[#This Row],[RURAL FUNDING REQUESTED]]/CH_MA_RuralTotalRequested)</f>
        <v>0</v>
      </c>
      <c r="BA27" s="667">
        <f>IF(
CHMATbl[[#This Row],[NEW CONSTRUCTION OR AQUIRE/REHAB]]&lt;&gt;"",
3+IF(CHMATbl[[#This Row],[INFILL SITE]]="Yes",2,0),0)
*CHMATbl[[#This Row],[% OF TOTAL RURAL FUNDING]]</f>
        <v>0</v>
      </c>
      <c r="BB27" s="665">
        <f>IF(
CHMATbl[[#This Row],[ALL UNITS IN A HIGH OR HIGHEST RESOURCE AREA]]="Yes",
10*CHMATbl[[#This Row],[% OF TOTAL RURAL FUNDING]],
0)</f>
        <v>0</v>
      </c>
      <c r="BC27" s="665" cm="1">
        <f t="array" ref="BC27">INDEX(
CountyScoresTbl[Community Need Total Points],
ROW(CHMATbl[[#This Row],[COUNTY]])-2,1)*CHMATbl[[#This Row],[% OF TOTAL RURAL FUNDING]]</f>
        <v>0</v>
      </c>
      <c r="BD27" s="666" cm="1">
        <f t="array" ref="BD27"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7" s="116"/>
      <c r="BF27" s="703"/>
      <c r="BG27" s="703"/>
      <c r="BH27" s="703"/>
      <c r="BI27" s="703"/>
      <c r="BJ27" s="74">
        <f t="shared" si="3"/>
        <v>0</v>
      </c>
      <c r="BK27" s="6">
        <f>IF(CHMATbl[[#This Row],[MANUFACTURED AND RURAL FUNDING REQUESTED]]=0,0,CHMATbl[[#This Row],[MANUFACTURED AND RURAL FUNDING REQUESTED]]/CH_MA_MFDRuralTotalRequested)</f>
        <v>0</v>
      </c>
      <c r="BL27" s="667">
        <f xml:space="preserve">
IF(CHMATbl[[#This Row],[NEW CONSTRUCTION OR AQUIRE/REHAB]]&lt;&gt;"",
3+IF(CHMATbl[[#This Row],[INFILL SITE]]="Yes",2,0),0)
*CHMATbl[[#This Row],[% OF TOTAL MANUFACTURED AND RURAL FUNDING]]</f>
        <v>0</v>
      </c>
      <c r="BM27" s="665">
        <f>IF(
CHMATbl[[#This Row],[ALL UNITS IN A HIGH OR HIGHEST RESOURCE AREA]]="Yes",
10*CHMATbl[[#This Row],[% OF TOTAL MANUFACTURED AND RURAL FUNDING]],
0)</f>
        <v>0</v>
      </c>
      <c r="BN27" s="665" cm="1">
        <f t="array" ref="BN27">INDEX(
CountyScoresTbl[Community Need Total Points],
ROW(CHMATbl[[#This Row],[COUNTY]])-2,1)*CHMATbl[[#This Row],[% OF TOTAL MANUFACTURED AND RURAL FUNDING]]</f>
        <v>0</v>
      </c>
      <c r="BO27" s="694" cm="1">
        <f t="array" ref="BO2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7" s="732"/>
      <c r="BQ27" s="564"/>
      <c r="BR27" s="678"/>
    </row>
    <row r="28" spans="1:70" s="662" customFormat="1" x14ac:dyDescent="0.35">
      <c r="A28" s="679"/>
      <c r="B28" s="5" t="s">
        <v>140</v>
      </c>
      <c r="C28" s="38" t="s">
        <v>513</v>
      </c>
      <c r="D28" s="113" t="str">
        <f>IF(SUM(CHMATbl[[#This Row],[UNRESTRICTED UNITS]])=0,"",CHMATbl[[#This Row],[UNRESTRICTED UNITS]])</f>
        <v/>
      </c>
      <c r="E28" s="74" t="str">
        <f xml:space="preserve">
IF(CHMATbl[[#This Row],[UNRESTRICTED FUNDING REQUESTED]]=0,"",
CHMATbl[[#This Row],[UNRESTRICTED FUNDING REQUESTED]]*
IF(CH_MA_UnrestrictedTotalRequested&lt;=5000000,1,
5000000/CH_MA_UnrestrictedTotalRequested)
)</f>
        <v/>
      </c>
      <c r="F28" s="6" t="str">
        <f>IFERROR(CHMATbl[[#This Row],[TOTAL $ REQUESTED]]/SUM(CHMATbl[TOTAL $ REQUESTED]),"")</f>
        <v/>
      </c>
      <c r="G28" s="38" t="s">
        <v>513</v>
      </c>
      <c r="H28" s="113" t="str">
        <f>IF(SUM(CHMATbl[[#This Row],[MANUFACTURED UNITS]])=0,"",CHMATbl[[#This Row],[MANUFACTURED UNITS]])</f>
        <v/>
      </c>
      <c r="I28" s="74" t="str">
        <f xml:space="preserve">
IF(CHMATbl[[#This Row],[MANUFACTURED FUNDING REQUESTED]]=0,"",
CHMATbl[[#This Row],[MANUFACTURED FUNDING REQUESTED]]*
IF(CH_MA_ManufacturedTotalRequested&lt;=(5000000-E$61),1,
(5000000-E$61)/CH_MA_ManufacturedTotalRequested)
)</f>
        <v/>
      </c>
      <c r="J28" s="6" t="str">
        <f>IFERROR(CHMATbl[[#This Row],[TOTAL $ REQUESTED2]]/SUM(CHMATbl[TOTAL $ REQUESTED2]),"")</f>
        <v/>
      </c>
      <c r="K28" s="38" t="s">
        <v>513</v>
      </c>
      <c r="L28" s="113" t="str">
        <f>IF(SUM(CHMATbl[[#This Row],[RURAL UNITS]])=0,"",CHMATbl[[#This Row],[RURAL UNITS]])</f>
        <v/>
      </c>
      <c r="M28" s="74" t="str">
        <f xml:space="preserve">
IF(CHMATbl[[#This Row],[RURAL FUNDING REQUESTED]]=0,"",
CHMATbl[[#This Row],[RURAL FUNDING REQUESTED]]*
IF(CH_MA_RuralTotalRequested&lt;=(5000000-E$61-I$61),1,
(5000000-E$61-I$61)/CH_MA_RuralTotalRequested)
)</f>
        <v/>
      </c>
      <c r="N28" s="6" t="str">
        <f>IFERROR(CHMATbl[[#This Row],[TOTAL $ REQUESTED3]]/SUM(CHMATbl[TOTAL $ REQUESTED3]),"")</f>
        <v/>
      </c>
      <c r="O28" s="38" t="s">
        <v>513</v>
      </c>
      <c r="P28" s="113" t="str">
        <f>IF(SUM(CHMATbl[[#This Row],[MANUFACTURED AND RURAL UNITS]])=0,"",CHMATbl[[#This Row],[MANUFACTURED AND RURAL UNITS]])</f>
        <v/>
      </c>
      <c r="Q28" s="74" t="str">
        <f xml:space="preserve">
IF(CHMATbl[[#This Row],[MANUFACTURED AND RURAL FUNDING REQUESTED]]=0,"",
CHMATbl[[#This Row],[MANUFACTURED AND RURAL FUNDING REQUESTED]]*
IF(CH_MA_MFDRuralTotalRequested&lt;=(5000000-E$61-I$61-M$61),1,
(5000000-E$61-I$61-M$61)/CH_MA_MFDRuralTotalRequested)
)</f>
        <v/>
      </c>
      <c r="R28" s="6" t="str">
        <f>IFERROR(CHMATbl[[#This Row],[TOTAL $ REQUESTED4]]/SUM(CHMATbl[TOTAL $ REQUESTED4]),"")</f>
        <v/>
      </c>
      <c r="S28" s="38" t="s">
        <v>513</v>
      </c>
      <c r="T28" s="736"/>
      <c r="U28" s="699"/>
      <c r="V28" s="699"/>
      <c r="W28" s="737"/>
      <c r="X28" s="116"/>
      <c r="Y28" s="703"/>
      <c r="Z28" s="703"/>
      <c r="AA28" s="703"/>
      <c r="AB28" s="703"/>
      <c r="AC28" s="98">
        <f t="shared" si="0"/>
        <v>0</v>
      </c>
      <c r="AD28" s="6">
        <f>IF(CHMATbl[[#This Row],[UNRESTRICTED FUNDING REQUESTED]]=0,0,CHMATbl[[#This Row],[UNRESTRICTED FUNDING REQUESTED]]/CH_MA_UnrestrictedTotalRequested)</f>
        <v>0</v>
      </c>
      <c r="AE28" s="667">
        <f xml:space="preserve">
IF(CHMATbl[[#This Row],[NEW CONSTRUCTION OR AQUIRE/REHAB]]&lt;&gt;"",
3+IF(CHMATbl[[#This Row],[INFILL SITE]]="Yes",2,0),0)
*CHMATbl[[#This Row],[% OF TOTAL UNRESTRICTED FUNDING]]</f>
        <v>0</v>
      </c>
      <c r="AF28" s="665">
        <f>IF(CHMATbl[[#This Row],[ALL UNITS IN A HIGH OR HIGHEST RESOURCE AREA]]="Yes",10*CHMATbl[[#This Row],[% OF TOTAL UNRESTRICTED FUNDING]],0)</f>
        <v>0</v>
      </c>
      <c r="AG28" s="665" cm="1">
        <f t="array" ref="AG28">INDEX(CountyScoresTbl[Community Need Total Points],ROW(CHMATbl[[#This Row],[COUNTY]])-2,1)*CHMATbl[[#This Row],[% OF TOTAL UNRESTRICTED FUNDING]]</f>
        <v>0</v>
      </c>
      <c r="AH28" s="666" cm="1">
        <f t="array" ref="AH28"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8" s="116"/>
      <c r="AJ28" s="703"/>
      <c r="AK28" s="703"/>
      <c r="AL28" s="703"/>
      <c r="AM28" s="703"/>
      <c r="AN28" s="74">
        <f t="shared" si="1"/>
        <v>0</v>
      </c>
      <c r="AO28" s="6">
        <f>IF(CHMATbl[[#This Row],[MANUFACTURED FUNDING REQUESTED]]=0,0,CHMATbl[[#This Row],[MANUFACTURED FUNDING REQUESTED]]/CH_MA_ManufacturedTotalRequested)</f>
        <v>0</v>
      </c>
      <c r="AP28" s="671">
        <f>IF(
CHMATbl[[#This Row],[NEW CONSTRUCTION OR AQUIRE/REHAB]]&lt;&gt;"",
3+IF(CHMATbl[[#This Row],[INFILL SITE]]="Yes",2,0),0)
*CHMATbl[[#This Row],[% OF TOTAL MANUFACTURED FUNDING]]</f>
        <v>0</v>
      </c>
      <c r="AQ28" s="7">
        <f>IF(CHMATbl[[#This Row],[ALL UNITS IN A HIGH OR HIGHEST RESOURCE AREA]]="Yes",10*CHMATbl[[#This Row],[% OF TOTAL MANUFACTURED FUNDING]],0)</f>
        <v>0</v>
      </c>
      <c r="AR28" s="7" cm="1">
        <f t="array" ref="AR28">INDEX(CountyScoresTbl[Community Need Total Points],ROW(CHMATbl[[#This Row],[COUNTY]])-2,1)*CHMATbl[[#This Row],[% OF TOTAL MANUFACTURED FUNDING]]</f>
        <v>0</v>
      </c>
      <c r="AS28" s="8" cm="1">
        <f t="array" ref="AS2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8" s="705"/>
      <c r="AU28" s="703"/>
      <c r="AV28" s="703"/>
      <c r="AW28" s="703"/>
      <c r="AX28" s="703"/>
      <c r="AY28" s="74">
        <f t="shared" si="2"/>
        <v>0</v>
      </c>
      <c r="AZ28" s="6">
        <f>IF(CHMATbl[[#This Row],[RURAL FUNDING REQUESTED]]=0,0,CHMATbl[[#This Row],[RURAL FUNDING REQUESTED]]/CH_MA_RuralTotalRequested)</f>
        <v>0</v>
      </c>
      <c r="BA28" s="667">
        <f>IF(
CHMATbl[[#This Row],[NEW CONSTRUCTION OR AQUIRE/REHAB]]&lt;&gt;"",
3+IF(CHMATbl[[#This Row],[INFILL SITE]]="Yes",2,0),0)
*CHMATbl[[#This Row],[% OF TOTAL RURAL FUNDING]]</f>
        <v>0</v>
      </c>
      <c r="BB28" s="665">
        <f>IF(
CHMATbl[[#This Row],[ALL UNITS IN A HIGH OR HIGHEST RESOURCE AREA]]="Yes",
10*CHMATbl[[#This Row],[% OF TOTAL RURAL FUNDING]],
0)</f>
        <v>0</v>
      </c>
      <c r="BC28" s="665" cm="1">
        <f t="array" ref="BC28">INDEX(
CountyScoresTbl[Community Need Total Points],
ROW(CHMATbl[[#This Row],[COUNTY]])-2,1)*CHMATbl[[#This Row],[% OF TOTAL RURAL FUNDING]]</f>
        <v>0</v>
      </c>
      <c r="BD28" s="666" cm="1">
        <f t="array" ref="BD28"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8" s="116"/>
      <c r="BF28" s="703"/>
      <c r="BG28" s="703"/>
      <c r="BH28" s="703"/>
      <c r="BI28" s="703"/>
      <c r="BJ28" s="74">
        <f t="shared" si="3"/>
        <v>0</v>
      </c>
      <c r="BK28" s="6">
        <f>IF(CHMATbl[[#This Row],[MANUFACTURED AND RURAL FUNDING REQUESTED]]=0,0,CHMATbl[[#This Row],[MANUFACTURED AND RURAL FUNDING REQUESTED]]/CH_MA_MFDRuralTotalRequested)</f>
        <v>0</v>
      </c>
      <c r="BL28" s="667">
        <f xml:space="preserve">
IF(CHMATbl[[#This Row],[NEW CONSTRUCTION OR AQUIRE/REHAB]]&lt;&gt;"",
3+IF(CHMATbl[[#This Row],[INFILL SITE]]="Yes",2,0),0)
*CHMATbl[[#This Row],[% OF TOTAL MANUFACTURED AND RURAL FUNDING]]</f>
        <v>0</v>
      </c>
      <c r="BM28" s="665">
        <f>IF(
CHMATbl[[#This Row],[ALL UNITS IN A HIGH OR HIGHEST RESOURCE AREA]]="Yes",
10*CHMATbl[[#This Row],[% OF TOTAL MANUFACTURED AND RURAL FUNDING]],
0)</f>
        <v>0</v>
      </c>
      <c r="BN28" s="665" cm="1">
        <f t="array" ref="BN28">INDEX(
CountyScoresTbl[Community Need Total Points],
ROW(CHMATbl[[#This Row],[COUNTY]])-2,1)*CHMATbl[[#This Row],[% OF TOTAL MANUFACTURED AND RURAL FUNDING]]</f>
        <v>0</v>
      </c>
      <c r="BO28" s="694" cm="1">
        <f t="array" ref="BO2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8" s="732"/>
      <c r="BQ28" s="564"/>
      <c r="BR28" s="678"/>
    </row>
    <row r="29" spans="1:70" s="662" customFormat="1" x14ac:dyDescent="0.35">
      <c r="A29" s="674"/>
      <c r="B29" s="5" t="s">
        <v>141</v>
      </c>
      <c r="C29" s="38" t="s">
        <v>513</v>
      </c>
      <c r="D29" s="113" t="str">
        <f>IF(SUM(CHMATbl[[#This Row],[UNRESTRICTED UNITS]])=0,"",CHMATbl[[#This Row],[UNRESTRICTED UNITS]])</f>
        <v/>
      </c>
      <c r="E29" s="74" t="str">
        <f xml:space="preserve">
IF(CHMATbl[[#This Row],[UNRESTRICTED FUNDING REQUESTED]]=0,"",
CHMATbl[[#This Row],[UNRESTRICTED FUNDING REQUESTED]]*
IF(CH_MA_UnrestrictedTotalRequested&lt;=5000000,1,
5000000/CH_MA_UnrestrictedTotalRequested)
)</f>
        <v/>
      </c>
      <c r="F29" s="6" t="str">
        <f>IFERROR(CHMATbl[[#This Row],[TOTAL $ REQUESTED]]/SUM(CHMATbl[TOTAL $ REQUESTED]),"")</f>
        <v/>
      </c>
      <c r="G29" s="38" t="s">
        <v>513</v>
      </c>
      <c r="H29" s="113" t="str">
        <f>IF(SUM(CHMATbl[[#This Row],[MANUFACTURED UNITS]])=0,"",CHMATbl[[#This Row],[MANUFACTURED UNITS]])</f>
        <v/>
      </c>
      <c r="I29" s="74" t="str">
        <f xml:space="preserve">
IF(CHMATbl[[#This Row],[MANUFACTURED FUNDING REQUESTED]]=0,"",
CHMATbl[[#This Row],[MANUFACTURED FUNDING REQUESTED]]*
IF(CH_MA_ManufacturedTotalRequested&lt;=(5000000-E$61),1,
(5000000-E$61)/CH_MA_ManufacturedTotalRequested)
)</f>
        <v/>
      </c>
      <c r="J29" s="6" t="str">
        <f>IFERROR(CHMATbl[[#This Row],[TOTAL $ REQUESTED2]]/SUM(CHMATbl[TOTAL $ REQUESTED2]),"")</f>
        <v/>
      </c>
      <c r="K29" s="38" t="s">
        <v>513</v>
      </c>
      <c r="L29" s="113" t="str">
        <f>IF(SUM(CHMATbl[[#This Row],[RURAL UNITS]])=0,"",CHMATbl[[#This Row],[RURAL UNITS]])</f>
        <v/>
      </c>
      <c r="M29" s="74" t="str">
        <f xml:space="preserve">
IF(CHMATbl[[#This Row],[RURAL FUNDING REQUESTED]]=0,"",
CHMATbl[[#This Row],[RURAL FUNDING REQUESTED]]*
IF(CH_MA_RuralTotalRequested&lt;=(5000000-E$61-I$61),1,
(5000000-E$61-I$61)/CH_MA_RuralTotalRequested)
)</f>
        <v/>
      </c>
      <c r="N29" s="6" t="str">
        <f>IFERROR(CHMATbl[[#This Row],[TOTAL $ REQUESTED3]]/SUM(CHMATbl[TOTAL $ REQUESTED3]),"")</f>
        <v/>
      </c>
      <c r="O29" s="38" t="s">
        <v>513</v>
      </c>
      <c r="P29" s="113" t="str">
        <f>IF(SUM(CHMATbl[[#This Row],[MANUFACTURED AND RURAL UNITS]])=0,"",CHMATbl[[#This Row],[MANUFACTURED AND RURAL UNITS]])</f>
        <v/>
      </c>
      <c r="Q29" s="74" t="str">
        <f xml:space="preserve">
IF(CHMATbl[[#This Row],[MANUFACTURED AND RURAL FUNDING REQUESTED]]=0,"",
CHMATbl[[#This Row],[MANUFACTURED AND RURAL FUNDING REQUESTED]]*
IF(CH_MA_MFDRuralTotalRequested&lt;=(5000000-E$61-I$61-M$61),1,
(5000000-E$61-I$61-M$61)/CH_MA_MFDRuralTotalRequested)
)</f>
        <v/>
      </c>
      <c r="R29" s="6" t="str">
        <f>IFERROR(CHMATbl[[#This Row],[TOTAL $ REQUESTED4]]/SUM(CHMATbl[TOTAL $ REQUESTED4]),"")</f>
        <v/>
      </c>
      <c r="S29" s="38" t="s">
        <v>513</v>
      </c>
      <c r="T29" s="736"/>
      <c r="U29" s="699"/>
      <c r="V29" s="699"/>
      <c r="W29" s="737"/>
      <c r="X29" s="702"/>
      <c r="Y29" s="703"/>
      <c r="Z29" s="703"/>
      <c r="AA29" s="703"/>
      <c r="AB29" s="703"/>
      <c r="AC29" s="98">
        <f t="shared" si="0"/>
        <v>0</v>
      </c>
      <c r="AD29" s="6">
        <f>IF(CHMATbl[[#This Row],[UNRESTRICTED FUNDING REQUESTED]]=0,0,CHMATbl[[#This Row],[UNRESTRICTED FUNDING REQUESTED]]/CH_MA_UnrestrictedTotalRequested)</f>
        <v>0</v>
      </c>
      <c r="AE29" s="667">
        <f xml:space="preserve">
IF(CHMATbl[[#This Row],[NEW CONSTRUCTION OR AQUIRE/REHAB]]&lt;&gt;"",
3+IF(CHMATbl[[#This Row],[INFILL SITE]]="Yes",2,0),0)
*CHMATbl[[#This Row],[% OF TOTAL UNRESTRICTED FUNDING]]</f>
        <v>0</v>
      </c>
      <c r="AF29" s="665">
        <f>IF(CHMATbl[[#This Row],[ALL UNITS IN A HIGH OR HIGHEST RESOURCE AREA]]="Yes",10*CHMATbl[[#This Row],[% OF TOTAL UNRESTRICTED FUNDING]],0)</f>
        <v>0</v>
      </c>
      <c r="AG29" s="665" cm="1">
        <f t="array" ref="AG29">INDEX(CountyScoresTbl[Community Need Total Points],ROW(CHMATbl[[#This Row],[COUNTY]])-2,1)*CHMATbl[[#This Row],[% OF TOTAL UNRESTRICTED FUNDING]]</f>
        <v>0</v>
      </c>
      <c r="AH29" s="666" cm="1">
        <f t="array" ref="AH29"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29" s="702"/>
      <c r="AJ29" s="703"/>
      <c r="AK29" s="703"/>
      <c r="AL29" s="703"/>
      <c r="AM29" s="703"/>
      <c r="AN29" s="74">
        <f t="shared" si="1"/>
        <v>0</v>
      </c>
      <c r="AO29" s="6">
        <f>IF(CHMATbl[[#This Row],[MANUFACTURED FUNDING REQUESTED]]=0,0,CHMATbl[[#This Row],[MANUFACTURED FUNDING REQUESTED]]/CH_MA_ManufacturedTotalRequested)</f>
        <v>0</v>
      </c>
      <c r="AP29" s="671">
        <f>IF(
CHMATbl[[#This Row],[NEW CONSTRUCTION OR AQUIRE/REHAB]]&lt;&gt;"",
3+IF(CHMATbl[[#This Row],[INFILL SITE]]="Yes",2,0),0)
*CHMATbl[[#This Row],[% OF TOTAL MANUFACTURED FUNDING]]</f>
        <v>0</v>
      </c>
      <c r="AQ29" s="7">
        <f>IF(CHMATbl[[#This Row],[ALL UNITS IN A HIGH OR HIGHEST RESOURCE AREA]]="Yes",10*CHMATbl[[#This Row],[% OF TOTAL MANUFACTURED FUNDING]],0)</f>
        <v>0</v>
      </c>
      <c r="AR29" s="7" cm="1">
        <f t="array" ref="AR29">INDEX(CountyScoresTbl[Community Need Total Points],ROW(CHMATbl[[#This Row],[COUNTY]])-2,1)*CHMATbl[[#This Row],[% OF TOTAL MANUFACTURED FUNDING]]</f>
        <v>0</v>
      </c>
      <c r="AS29" s="8" cm="1">
        <f t="array" ref="AS2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29" s="705"/>
      <c r="AU29" s="703"/>
      <c r="AV29" s="703"/>
      <c r="AW29" s="703"/>
      <c r="AX29" s="703"/>
      <c r="AY29" s="74">
        <f t="shared" si="2"/>
        <v>0</v>
      </c>
      <c r="AZ29" s="6">
        <f>IF(CHMATbl[[#This Row],[RURAL FUNDING REQUESTED]]=0,0,CHMATbl[[#This Row],[RURAL FUNDING REQUESTED]]/CH_MA_RuralTotalRequested)</f>
        <v>0</v>
      </c>
      <c r="BA29" s="667">
        <f>IF(
CHMATbl[[#This Row],[NEW CONSTRUCTION OR AQUIRE/REHAB]]&lt;&gt;"",
3+IF(CHMATbl[[#This Row],[INFILL SITE]]="Yes",2,0),0)
*CHMATbl[[#This Row],[% OF TOTAL RURAL FUNDING]]</f>
        <v>0</v>
      </c>
      <c r="BB29" s="665">
        <f>IF(
CHMATbl[[#This Row],[ALL UNITS IN A HIGH OR HIGHEST RESOURCE AREA]]="Yes",
10*CHMATbl[[#This Row],[% OF TOTAL RURAL FUNDING]],
0)</f>
        <v>0</v>
      </c>
      <c r="BC29" s="665" cm="1">
        <f t="array" ref="BC29">INDEX(
CountyScoresTbl[Community Need Total Points],
ROW(CHMATbl[[#This Row],[COUNTY]])-2,1)*CHMATbl[[#This Row],[% OF TOTAL RURAL FUNDING]]</f>
        <v>0</v>
      </c>
      <c r="BD29" s="666" cm="1">
        <f t="array" ref="BD29"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29" s="116"/>
      <c r="BF29" s="703"/>
      <c r="BG29" s="703"/>
      <c r="BH29" s="703"/>
      <c r="BI29" s="703"/>
      <c r="BJ29" s="74">
        <f t="shared" si="3"/>
        <v>0</v>
      </c>
      <c r="BK29" s="6">
        <f>IF(CHMATbl[[#This Row],[MANUFACTURED AND RURAL FUNDING REQUESTED]]=0,0,CHMATbl[[#This Row],[MANUFACTURED AND RURAL FUNDING REQUESTED]]/CH_MA_MFDRuralTotalRequested)</f>
        <v>0</v>
      </c>
      <c r="BL29" s="667">
        <f xml:space="preserve">
IF(CHMATbl[[#This Row],[NEW CONSTRUCTION OR AQUIRE/REHAB]]&lt;&gt;"",
3+IF(CHMATbl[[#This Row],[INFILL SITE]]="Yes",2,0),0)
*CHMATbl[[#This Row],[% OF TOTAL MANUFACTURED AND RURAL FUNDING]]</f>
        <v>0</v>
      </c>
      <c r="BM29" s="665">
        <f>IF(
CHMATbl[[#This Row],[ALL UNITS IN A HIGH OR HIGHEST RESOURCE AREA]]="Yes",
10*CHMATbl[[#This Row],[% OF TOTAL MANUFACTURED AND RURAL FUNDING]],
0)</f>
        <v>0</v>
      </c>
      <c r="BN29" s="665" cm="1">
        <f t="array" ref="BN29">INDEX(
CountyScoresTbl[Community Need Total Points],
ROW(CHMATbl[[#This Row],[COUNTY]])-2,1)*CHMATbl[[#This Row],[% OF TOTAL MANUFACTURED AND RURAL FUNDING]]</f>
        <v>0</v>
      </c>
      <c r="BO29" s="694" cm="1">
        <f t="array" ref="BO2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29" s="731"/>
      <c r="BQ29" s="676"/>
      <c r="BR29" s="677"/>
    </row>
    <row r="30" spans="1:70" s="662" customFormat="1" x14ac:dyDescent="0.35">
      <c r="A30" s="674" t="s">
        <v>504</v>
      </c>
      <c r="B30" s="5" t="s">
        <v>142</v>
      </c>
      <c r="C30" s="38" t="s">
        <v>513</v>
      </c>
      <c r="D30" s="113" t="str">
        <f>IF(SUM(CHMATbl[[#This Row],[UNRESTRICTED UNITS]])=0,"",CHMATbl[[#This Row],[UNRESTRICTED UNITS]])</f>
        <v/>
      </c>
      <c r="E30" s="74" t="str">
        <f xml:space="preserve">
IF(CHMATbl[[#This Row],[UNRESTRICTED FUNDING REQUESTED]]=0,"",
CHMATbl[[#This Row],[UNRESTRICTED FUNDING REQUESTED]]*
IF(CH_MA_UnrestrictedTotalRequested&lt;=5000000,1,
5000000/CH_MA_UnrestrictedTotalRequested)
)</f>
        <v/>
      </c>
      <c r="F30" s="6" t="str">
        <f>IFERROR(CHMATbl[[#This Row],[TOTAL $ REQUESTED]]/SUM(CHMATbl[TOTAL $ REQUESTED]),"")</f>
        <v/>
      </c>
      <c r="G30" s="38" t="s">
        <v>513</v>
      </c>
      <c r="H30" s="113" t="str">
        <f>IF(SUM(CHMATbl[[#This Row],[MANUFACTURED UNITS]])=0,"",CHMATbl[[#This Row],[MANUFACTURED UNITS]])</f>
        <v/>
      </c>
      <c r="I30" s="74" t="str">
        <f xml:space="preserve">
IF(CHMATbl[[#This Row],[MANUFACTURED FUNDING REQUESTED]]=0,"",
CHMATbl[[#This Row],[MANUFACTURED FUNDING REQUESTED]]*
IF(CH_MA_ManufacturedTotalRequested&lt;=(5000000-E$61),1,
(5000000-E$61)/CH_MA_ManufacturedTotalRequested)
)</f>
        <v/>
      </c>
      <c r="J30" s="6" t="str">
        <f>IFERROR(CHMATbl[[#This Row],[TOTAL $ REQUESTED2]]/SUM(CHMATbl[TOTAL $ REQUESTED2]),"")</f>
        <v/>
      </c>
      <c r="K30" s="38" t="s">
        <v>513</v>
      </c>
      <c r="L30" s="113" t="str">
        <f>IF(SUM(CHMATbl[[#This Row],[RURAL UNITS]])=0,"",CHMATbl[[#This Row],[RURAL UNITS]])</f>
        <v/>
      </c>
      <c r="M30" s="74" t="str">
        <f xml:space="preserve">
IF(CHMATbl[[#This Row],[RURAL FUNDING REQUESTED]]=0,"",
CHMATbl[[#This Row],[RURAL FUNDING REQUESTED]]*
IF(CH_MA_RuralTotalRequested&lt;=(5000000-E$61-I$61),1,
(5000000-E$61-I$61)/CH_MA_RuralTotalRequested)
)</f>
        <v/>
      </c>
      <c r="N30" s="6" t="str">
        <f>IFERROR(CHMATbl[[#This Row],[TOTAL $ REQUESTED3]]/SUM(CHMATbl[TOTAL $ REQUESTED3]),"")</f>
        <v/>
      </c>
      <c r="O30" s="38" t="s">
        <v>513</v>
      </c>
      <c r="P30" s="113" t="str">
        <f>IF(SUM(CHMATbl[[#This Row],[MANUFACTURED AND RURAL UNITS]])=0,"",CHMATbl[[#This Row],[MANUFACTURED AND RURAL UNITS]])</f>
        <v/>
      </c>
      <c r="Q30" s="74" t="str">
        <f xml:space="preserve">
IF(CHMATbl[[#This Row],[MANUFACTURED AND RURAL FUNDING REQUESTED]]=0,"",
CHMATbl[[#This Row],[MANUFACTURED AND RURAL FUNDING REQUESTED]]*
IF(CH_MA_MFDRuralTotalRequested&lt;=(5000000-E$61-I$61-M$61),1,
(5000000-E$61-I$61-M$61)/CH_MA_MFDRuralTotalRequested)
)</f>
        <v/>
      </c>
      <c r="R30" s="6" t="str">
        <f>IFERROR(CHMATbl[[#This Row],[TOTAL $ REQUESTED4]]/SUM(CHMATbl[TOTAL $ REQUESTED4]),"")</f>
        <v/>
      </c>
      <c r="S30" s="38" t="s">
        <v>513</v>
      </c>
      <c r="T30" s="736"/>
      <c r="U30" s="699"/>
      <c r="V30" s="699"/>
      <c r="W30" s="737"/>
      <c r="X30" s="702"/>
      <c r="Y30" s="703"/>
      <c r="Z30" s="703"/>
      <c r="AA30" s="703"/>
      <c r="AB30" s="703"/>
      <c r="AC30" s="98">
        <f t="shared" si="0"/>
        <v>0</v>
      </c>
      <c r="AD30" s="6">
        <f>IF(CHMATbl[[#This Row],[UNRESTRICTED FUNDING REQUESTED]]=0,0,CHMATbl[[#This Row],[UNRESTRICTED FUNDING REQUESTED]]/CH_MA_UnrestrictedTotalRequested)</f>
        <v>0</v>
      </c>
      <c r="AE30" s="667">
        <f xml:space="preserve">
IF(CHMATbl[[#This Row],[NEW CONSTRUCTION OR AQUIRE/REHAB]]&lt;&gt;"",
3+IF(CHMATbl[[#This Row],[INFILL SITE]]="Yes",2,0),0)
*CHMATbl[[#This Row],[% OF TOTAL UNRESTRICTED FUNDING]]</f>
        <v>0</v>
      </c>
      <c r="AF30" s="665">
        <f>IF(CHMATbl[[#This Row],[ALL UNITS IN A HIGH OR HIGHEST RESOURCE AREA]]="Yes",10*CHMATbl[[#This Row],[% OF TOTAL UNRESTRICTED FUNDING]],0)</f>
        <v>0</v>
      </c>
      <c r="AG30" s="665" cm="1">
        <f t="array" ref="AG30">INDEX(CountyScoresTbl[Community Need Total Points],ROW(CHMATbl[[#This Row],[COUNTY]])-2,1)*CHMATbl[[#This Row],[% OF TOTAL UNRESTRICTED FUNDING]]</f>
        <v>0</v>
      </c>
      <c r="AH30" s="666" cm="1">
        <f t="array" ref="AH30"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0" s="702"/>
      <c r="AJ30" s="703"/>
      <c r="AK30" s="703"/>
      <c r="AL30" s="703"/>
      <c r="AM30" s="703"/>
      <c r="AN30" s="74">
        <f t="shared" si="1"/>
        <v>0</v>
      </c>
      <c r="AO30" s="6">
        <f>IF(CHMATbl[[#This Row],[MANUFACTURED FUNDING REQUESTED]]=0,0,CHMATbl[[#This Row],[MANUFACTURED FUNDING REQUESTED]]/CH_MA_ManufacturedTotalRequested)</f>
        <v>0</v>
      </c>
      <c r="AP30" s="671">
        <f>IF(
CHMATbl[[#This Row],[NEW CONSTRUCTION OR AQUIRE/REHAB]]&lt;&gt;"",
3+IF(CHMATbl[[#This Row],[INFILL SITE]]="Yes",2,0),0)
*CHMATbl[[#This Row],[% OF TOTAL MANUFACTURED FUNDING]]</f>
        <v>0</v>
      </c>
      <c r="AQ30" s="7">
        <f>IF(CHMATbl[[#This Row],[ALL UNITS IN A HIGH OR HIGHEST RESOURCE AREA]]="Yes",10*CHMATbl[[#This Row],[% OF TOTAL MANUFACTURED FUNDING]],0)</f>
        <v>0</v>
      </c>
      <c r="AR30" s="7" cm="1">
        <f t="array" ref="AR30">INDEX(CountyScoresTbl[Community Need Total Points],ROW(CHMATbl[[#This Row],[COUNTY]])-2,1)*CHMATbl[[#This Row],[% OF TOTAL MANUFACTURED FUNDING]]</f>
        <v>0</v>
      </c>
      <c r="AS30" s="8" cm="1">
        <f t="array" ref="AS3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0" s="705"/>
      <c r="AU30" s="703"/>
      <c r="AV30" s="703"/>
      <c r="AW30" s="703"/>
      <c r="AX30" s="703"/>
      <c r="AY30" s="74">
        <f t="shared" si="2"/>
        <v>0</v>
      </c>
      <c r="AZ30" s="6">
        <f>IF(CHMATbl[[#This Row],[RURAL FUNDING REQUESTED]]=0,0,CHMATbl[[#This Row],[RURAL FUNDING REQUESTED]]/CH_MA_RuralTotalRequested)</f>
        <v>0</v>
      </c>
      <c r="BA30" s="667">
        <f>IF(
CHMATbl[[#This Row],[NEW CONSTRUCTION OR AQUIRE/REHAB]]&lt;&gt;"",
3+IF(CHMATbl[[#This Row],[INFILL SITE]]="Yes",2,0),0)
*CHMATbl[[#This Row],[% OF TOTAL RURAL FUNDING]]</f>
        <v>0</v>
      </c>
      <c r="BB30" s="665">
        <f>IF(
CHMATbl[[#This Row],[ALL UNITS IN A HIGH OR HIGHEST RESOURCE AREA]]="Yes",
10*CHMATbl[[#This Row],[% OF TOTAL RURAL FUNDING]],
0)</f>
        <v>0</v>
      </c>
      <c r="BC30" s="665" cm="1">
        <f t="array" ref="BC30">INDEX(
CountyScoresTbl[Community Need Total Points],
ROW(CHMATbl[[#This Row],[COUNTY]])-2,1)*CHMATbl[[#This Row],[% OF TOTAL RURAL FUNDING]]</f>
        <v>0</v>
      </c>
      <c r="BD30" s="666" cm="1">
        <f t="array" ref="BD30"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0" s="116"/>
      <c r="BF30" s="703"/>
      <c r="BG30" s="703"/>
      <c r="BH30" s="703"/>
      <c r="BI30" s="703"/>
      <c r="BJ30" s="74">
        <f t="shared" si="3"/>
        <v>0</v>
      </c>
      <c r="BK30" s="6">
        <f>IF(CHMATbl[[#This Row],[MANUFACTURED AND RURAL FUNDING REQUESTED]]=0,0,CHMATbl[[#This Row],[MANUFACTURED AND RURAL FUNDING REQUESTED]]/CH_MA_MFDRuralTotalRequested)</f>
        <v>0</v>
      </c>
      <c r="BL30" s="667">
        <f xml:space="preserve">
IF(CHMATbl[[#This Row],[NEW CONSTRUCTION OR AQUIRE/REHAB]]&lt;&gt;"",
3+IF(CHMATbl[[#This Row],[INFILL SITE]]="Yes",2,0),0)
*CHMATbl[[#This Row],[% OF TOTAL MANUFACTURED AND RURAL FUNDING]]</f>
        <v>0</v>
      </c>
      <c r="BM30" s="665">
        <f>IF(
CHMATbl[[#This Row],[ALL UNITS IN A HIGH OR HIGHEST RESOURCE AREA]]="Yes",
10*CHMATbl[[#This Row],[% OF TOTAL MANUFACTURED AND RURAL FUNDING]],
0)</f>
        <v>0</v>
      </c>
      <c r="BN30" s="665" cm="1">
        <f t="array" ref="BN30">INDEX(
CountyScoresTbl[Community Need Total Points],
ROW(CHMATbl[[#This Row],[COUNTY]])-2,1)*CHMATbl[[#This Row],[% OF TOTAL MANUFACTURED AND RURAL FUNDING]]</f>
        <v>0</v>
      </c>
      <c r="BO30" s="694" cm="1">
        <f t="array" ref="BO3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0" s="732"/>
      <c r="BQ30" s="564"/>
      <c r="BR30" s="678"/>
    </row>
    <row r="31" spans="1:70" s="662" customFormat="1" x14ac:dyDescent="0.35">
      <c r="A31" s="679"/>
      <c r="B31" s="5" t="s">
        <v>143</v>
      </c>
      <c r="C31" s="38" t="s">
        <v>513</v>
      </c>
      <c r="D31" s="113" t="str">
        <f>IF(SUM(CHMATbl[[#This Row],[UNRESTRICTED UNITS]])=0,"",CHMATbl[[#This Row],[UNRESTRICTED UNITS]])</f>
        <v/>
      </c>
      <c r="E31" s="74" t="str">
        <f xml:space="preserve">
IF(CHMATbl[[#This Row],[UNRESTRICTED FUNDING REQUESTED]]=0,"",
CHMATbl[[#This Row],[UNRESTRICTED FUNDING REQUESTED]]*
IF(CH_MA_UnrestrictedTotalRequested&lt;=5000000,1,
5000000/CH_MA_UnrestrictedTotalRequested)
)</f>
        <v/>
      </c>
      <c r="F31" s="6" t="str">
        <f>IFERROR(CHMATbl[[#This Row],[TOTAL $ REQUESTED]]/SUM(CHMATbl[TOTAL $ REQUESTED]),"")</f>
        <v/>
      </c>
      <c r="G31" s="38" t="s">
        <v>513</v>
      </c>
      <c r="H31" s="113" t="str">
        <f>IF(SUM(CHMATbl[[#This Row],[MANUFACTURED UNITS]])=0,"",CHMATbl[[#This Row],[MANUFACTURED UNITS]])</f>
        <v/>
      </c>
      <c r="I31" s="74" t="str">
        <f xml:space="preserve">
IF(CHMATbl[[#This Row],[MANUFACTURED FUNDING REQUESTED]]=0,"",
CHMATbl[[#This Row],[MANUFACTURED FUNDING REQUESTED]]*
IF(CH_MA_ManufacturedTotalRequested&lt;=(5000000-E$61),1,
(5000000-E$61)/CH_MA_ManufacturedTotalRequested)
)</f>
        <v/>
      </c>
      <c r="J31" s="6" t="str">
        <f>IFERROR(CHMATbl[[#This Row],[TOTAL $ REQUESTED2]]/SUM(CHMATbl[TOTAL $ REQUESTED2]),"")</f>
        <v/>
      </c>
      <c r="K31" s="38" t="s">
        <v>513</v>
      </c>
      <c r="L31" s="113" t="str">
        <f>IF(SUM(CHMATbl[[#This Row],[RURAL UNITS]])=0,"",CHMATbl[[#This Row],[RURAL UNITS]])</f>
        <v/>
      </c>
      <c r="M31" s="74" t="str">
        <f xml:space="preserve">
IF(CHMATbl[[#This Row],[RURAL FUNDING REQUESTED]]=0,"",
CHMATbl[[#This Row],[RURAL FUNDING REQUESTED]]*
IF(CH_MA_RuralTotalRequested&lt;=(5000000-E$61-I$61),1,
(5000000-E$61-I$61)/CH_MA_RuralTotalRequested)
)</f>
        <v/>
      </c>
      <c r="N31" s="6" t="str">
        <f>IFERROR(CHMATbl[[#This Row],[TOTAL $ REQUESTED3]]/SUM(CHMATbl[TOTAL $ REQUESTED3]),"")</f>
        <v/>
      </c>
      <c r="O31" s="38" t="s">
        <v>513</v>
      </c>
      <c r="P31" s="113" t="str">
        <f>IF(SUM(CHMATbl[[#This Row],[MANUFACTURED AND RURAL UNITS]])=0,"",CHMATbl[[#This Row],[MANUFACTURED AND RURAL UNITS]])</f>
        <v/>
      </c>
      <c r="Q31" s="74" t="str">
        <f xml:space="preserve">
IF(CHMATbl[[#This Row],[MANUFACTURED AND RURAL FUNDING REQUESTED]]=0,"",
CHMATbl[[#This Row],[MANUFACTURED AND RURAL FUNDING REQUESTED]]*
IF(CH_MA_MFDRuralTotalRequested&lt;=(5000000-E$61-I$61-M$61),1,
(5000000-E$61-I$61-M$61)/CH_MA_MFDRuralTotalRequested)
)</f>
        <v/>
      </c>
      <c r="R31" s="6" t="str">
        <f>IFERROR(CHMATbl[[#This Row],[TOTAL $ REQUESTED4]]/SUM(CHMATbl[TOTAL $ REQUESTED4]),"")</f>
        <v/>
      </c>
      <c r="S31" s="38" t="s">
        <v>513</v>
      </c>
      <c r="T31" s="736"/>
      <c r="U31" s="699"/>
      <c r="V31" s="699"/>
      <c r="W31" s="737"/>
      <c r="X31" s="116"/>
      <c r="Y31" s="703"/>
      <c r="Z31" s="703"/>
      <c r="AA31" s="703"/>
      <c r="AB31" s="703"/>
      <c r="AC31" s="98">
        <f t="shared" si="0"/>
        <v>0</v>
      </c>
      <c r="AD31" s="6">
        <f>IF(CHMATbl[[#This Row],[UNRESTRICTED FUNDING REQUESTED]]=0,0,CHMATbl[[#This Row],[UNRESTRICTED FUNDING REQUESTED]]/CH_MA_UnrestrictedTotalRequested)</f>
        <v>0</v>
      </c>
      <c r="AE31" s="667">
        <f xml:space="preserve">
IF(CHMATbl[[#This Row],[NEW CONSTRUCTION OR AQUIRE/REHAB]]&lt;&gt;"",
3+IF(CHMATbl[[#This Row],[INFILL SITE]]="Yes",2,0),0)
*CHMATbl[[#This Row],[% OF TOTAL UNRESTRICTED FUNDING]]</f>
        <v>0</v>
      </c>
      <c r="AF31" s="665">
        <f>IF(CHMATbl[[#This Row],[ALL UNITS IN A HIGH OR HIGHEST RESOURCE AREA]]="Yes",10*CHMATbl[[#This Row],[% OF TOTAL UNRESTRICTED FUNDING]],0)</f>
        <v>0</v>
      </c>
      <c r="AG31" s="665" cm="1">
        <f t="array" ref="AG31">INDEX(CountyScoresTbl[Community Need Total Points],ROW(CHMATbl[[#This Row],[COUNTY]])-2,1)*CHMATbl[[#This Row],[% OF TOTAL UNRESTRICTED FUNDING]]</f>
        <v>0</v>
      </c>
      <c r="AH31" s="666" cm="1">
        <f t="array" ref="AH31"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1" s="116"/>
      <c r="AJ31" s="703"/>
      <c r="AK31" s="703"/>
      <c r="AL31" s="703"/>
      <c r="AM31" s="703"/>
      <c r="AN31" s="74">
        <f t="shared" si="1"/>
        <v>0</v>
      </c>
      <c r="AO31" s="6">
        <f>IF(CHMATbl[[#This Row],[MANUFACTURED FUNDING REQUESTED]]=0,0,CHMATbl[[#This Row],[MANUFACTURED FUNDING REQUESTED]]/CH_MA_ManufacturedTotalRequested)</f>
        <v>0</v>
      </c>
      <c r="AP31" s="671">
        <f>IF(
CHMATbl[[#This Row],[NEW CONSTRUCTION OR AQUIRE/REHAB]]&lt;&gt;"",
3+IF(CHMATbl[[#This Row],[INFILL SITE]]="Yes",2,0),0)
*CHMATbl[[#This Row],[% OF TOTAL MANUFACTURED FUNDING]]</f>
        <v>0</v>
      </c>
      <c r="AQ31" s="7">
        <f>IF(CHMATbl[[#This Row],[ALL UNITS IN A HIGH OR HIGHEST RESOURCE AREA]]="Yes",10*CHMATbl[[#This Row],[% OF TOTAL MANUFACTURED FUNDING]],0)</f>
        <v>0</v>
      </c>
      <c r="AR31" s="7" cm="1">
        <f t="array" ref="AR31">INDEX(CountyScoresTbl[Community Need Total Points],ROW(CHMATbl[[#This Row],[COUNTY]])-2,1)*CHMATbl[[#This Row],[% OF TOTAL MANUFACTURED FUNDING]]</f>
        <v>0</v>
      </c>
      <c r="AS31" s="8" cm="1">
        <f t="array" ref="AS3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1" s="705"/>
      <c r="AU31" s="703"/>
      <c r="AV31" s="703"/>
      <c r="AW31" s="703"/>
      <c r="AX31" s="703"/>
      <c r="AY31" s="74">
        <f t="shared" si="2"/>
        <v>0</v>
      </c>
      <c r="AZ31" s="6">
        <f>IF(CHMATbl[[#This Row],[RURAL FUNDING REQUESTED]]=0,0,CHMATbl[[#This Row],[RURAL FUNDING REQUESTED]]/CH_MA_RuralTotalRequested)</f>
        <v>0</v>
      </c>
      <c r="BA31" s="667">
        <f>IF(
CHMATbl[[#This Row],[NEW CONSTRUCTION OR AQUIRE/REHAB]]&lt;&gt;"",
3+IF(CHMATbl[[#This Row],[INFILL SITE]]="Yes",2,0),0)
*CHMATbl[[#This Row],[% OF TOTAL RURAL FUNDING]]</f>
        <v>0</v>
      </c>
      <c r="BB31" s="665">
        <f>IF(
CHMATbl[[#This Row],[ALL UNITS IN A HIGH OR HIGHEST RESOURCE AREA]]="Yes",
10*CHMATbl[[#This Row],[% OF TOTAL RURAL FUNDING]],
0)</f>
        <v>0</v>
      </c>
      <c r="BC31" s="665" cm="1">
        <f t="array" ref="BC31">INDEX(
CountyScoresTbl[Community Need Total Points],
ROW(CHMATbl[[#This Row],[COUNTY]])-2,1)*CHMATbl[[#This Row],[% OF TOTAL RURAL FUNDING]]</f>
        <v>0</v>
      </c>
      <c r="BD31" s="666" cm="1">
        <f t="array" ref="BD31"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1" s="116"/>
      <c r="BF31" s="703"/>
      <c r="BG31" s="703"/>
      <c r="BH31" s="703"/>
      <c r="BI31" s="703"/>
      <c r="BJ31" s="74">
        <f t="shared" si="3"/>
        <v>0</v>
      </c>
      <c r="BK31" s="6">
        <f>IF(CHMATbl[[#This Row],[MANUFACTURED AND RURAL FUNDING REQUESTED]]=0,0,CHMATbl[[#This Row],[MANUFACTURED AND RURAL FUNDING REQUESTED]]/CH_MA_MFDRuralTotalRequested)</f>
        <v>0</v>
      </c>
      <c r="BL31" s="667">
        <f xml:space="preserve">
IF(CHMATbl[[#This Row],[NEW CONSTRUCTION OR AQUIRE/REHAB]]&lt;&gt;"",
3+IF(CHMATbl[[#This Row],[INFILL SITE]]="Yes",2,0),0)
*CHMATbl[[#This Row],[% OF TOTAL MANUFACTURED AND RURAL FUNDING]]</f>
        <v>0</v>
      </c>
      <c r="BM31" s="665">
        <f>IF(
CHMATbl[[#This Row],[ALL UNITS IN A HIGH OR HIGHEST RESOURCE AREA]]="Yes",
10*CHMATbl[[#This Row],[% OF TOTAL MANUFACTURED AND RURAL FUNDING]],
0)</f>
        <v>0</v>
      </c>
      <c r="BN31" s="665" cm="1">
        <f t="array" ref="BN31">INDEX(
CountyScoresTbl[Community Need Total Points],
ROW(CHMATbl[[#This Row],[COUNTY]])-2,1)*CHMATbl[[#This Row],[% OF TOTAL MANUFACTURED AND RURAL FUNDING]]</f>
        <v>0</v>
      </c>
      <c r="BO31" s="694" cm="1">
        <f t="array" ref="BO3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1" s="732"/>
      <c r="BQ31" s="564"/>
      <c r="BR31" s="678"/>
    </row>
    <row r="32" spans="1:70" s="662" customFormat="1" x14ac:dyDescent="0.35">
      <c r="A32" s="674" t="s">
        <v>504</v>
      </c>
      <c r="B32" s="5" t="s">
        <v>144</v>
      </c>
      <c r="C32" s="38" t="s">
        <v>513</v>
      </c>
      <c r="D32" s="113" t="str">
        <f>IF(SUM(CHMATbl[[#This Row],[UNRESTRICTED UNITS]])=0,"",CHMATbl[[#This Row],[UNRESTRICTED UNITS]])</f>
        <v/>
      </c>
      <c r="E32" s="74" t="str">
        <f xml:space="preserve">
IF(CHMATbl[[#This Row],[UNRESTRICTED FUNDING REQUESTED]]=0,"",
CHMATbl[[#This Row],[UNRESTRICTED FUNDING REQUESTED]]*
IF(CH_MA_UnrestrictedTotalRequested&lt;=5000000,1,
5000000/CH_MA_UnrestrictedTotalRequested)
)</f>
        <v/>
      </c>
      <c r="F32" s="6" t="str">
        <f>IFERROR(CHMATbl[[#This Row],[TOTAL $ REQUESTED]]/SUM(CHMATbl[TOTAL $ REQUESTED]),"")</f>
        <v/>
      </c>
      <c r="G32" s="38" t="s">
        <v>513</v>
      </c>
      <c r="H32" s="113" t="str">
        <f>IF(SUM(CHMATbl[[#This Row],[MANUFACTURED UNITS]])=0,"",CHMATbl[[#This Row],[MANUFACTURED UNITS]])</f>
        <v/>
      </c>
      <c r="I32" s="74" t="str">
        <f xml:space="preserve">
IF(CHMATbl[[#This Row],[MANUFACTURED FUNDING REQUESTED]]=0,"",
CHMATbl[[#This Row],[MANUFACTURED FUNDING REQUESTED]]*
IF(CH_MA_ManufacturedTotalRequested&lt;=(5000000-E$61),1,
(5000000-E$61)/CH_MA_ManufacturedTotalRequested)
)</f>
        <v/>
      </c>
      <c r="J32" s="6" t="str">
        <f>IFERROR(CHMATbl[[#This Row],[TOTAL $ REQUESTED2]]/SUM(CHMATbl[TOTAL $ REQUESTED2]),"")</f>
        <v/>
      </c>
      <c r="K32" s="38" t="s">
        <v>513</v>
      </c>
      <c r="L32" s="113" t="str">
        <f>IF(SUM(CHMATbl[[#This Row],[RURAL UNITS]])=0,"",CHMATbl[[#This Row],[RURAL UNITS]])</f>
        <v/>
      </c>
      <c r="M32" s="74" t="str">
        <f xml:space="preserve">
IF(CHMATbl[[#This Row],[RURAL FUNDING REQUESTED]]=0,"",
CHMATbl[[#This Row],[RURAL FUNDING REQUESTED]]*
IF(CH_MA_RuralTotalRequested&lt;=(5000000-E$61-I$61),1,
(5000000-E$61-I$61)/CH_MA_RuralTotalRequested)
)</f>
        <v/>
      </c>
      <c r="N32" s="6" t="str">
        <f>IFERROR(CHMATbl[[#This Row],[TOTAL $ REQUESTED3]]/SUM(CHMATbl[TOTAL $ REQUESTED3]),"")</f>
        <v/>
      </c>
      <c r="O32" s="38" t="s">
        <v>513</v>
      </c>
      <c r="P32" s="113" t="str">
        <f>IF(SUM(CHMATbl[[#This Row],[MANUFACTURED AND RURAL UNITS]])=0,"",CHMATbl[[#This Row],[MANUFACTURED AND RURAL UNITS]])</f>
        <v/>
      </c>
      <c r="Q32" s="74" t="str">
        <f xml:space="preserve">
IF(CHMATbl[[#This Row],[MANUFACTURED AND RURAL FUNDING REQUESTED]]=0,"",
CHMATbl[[#This Row],[MANUFACTURED AND RURAL FUNDING REQUESTED]]*
IF(CH_MA_MFDRuralTotalRequested&lt;=(5000000-E$61-I$61-M$61),1,
(5000000-E$61-I$61-M$61)/CH_MA_MFDRuralTotalRequested)
)</f>
        <v/>
      </c>
      <c r="R32" s="6" t="str">
        <f>IFERROR(CHMATbl[[#This Row],[TOTAL $ REQUESTED4]]/SUM(CHMATbl[TOTAL $ REQUESTED4]),"")</f>
        <v/>
      </c>
      <c r="S32" s="38" t="s">
        <v>513</v>
      </c>
      <c r="T32" s="736"/>
      <c r="U32" s="699"/>
      <c r="V32" s="699"/>
      <c r="W32" s="737"/>
      <c r="X32" s="702"/>
      <c r="Y32" s="703"/>
      <c r="Z32" s="703"/>
      <c r="AA32" s="703"/>
      <c r="AB32" s="703"/>
      <c r="AC32" s="98">
        <f t="shared" si="0"/>
        <v>0</v>
      </c>
      <c r="AD32" s="6">
        <f>IF(CHMATbl[[#This Row],[UNRESTRICTED FUNDING REQUESTED]]=0,0,CHMATbl[[#This Row],[UNRESTRICTED FUNDING REQUESTED]]/CH_MA_UnrestrictedTotalRequested)</f>
        <v>0</v>
      </c>
      <c r="AE32" s="667">
        <f xml:space="preserve">
IF(CHMATbl[[#This Row],[NEW CONSTRUCTION OR AQUIRE/REHAB]]&lt;&gt;"",
3+IF(CHMATbl[[#This Row],[INFILL SITE]]="Yes",2,0),0)
*CHMATbl[[#This Row],[% OF TOTAL UNRESTRICTED FUNDING]]</f>
        <v>0</v>
      </c>
      <c r="AF32" s="665">
        <f>IF(CHMATbl[[#This Row],[ALL UNITS IN A HIGH OR HIGHEST RESOURCE AREA]]="Yes",10*CHMATbl[[#This Row],[% OF TOTAL UNRESTRICTED FUNDING]],0)</f>
        <v>0</v>
      </c>
      <c r="AG32" s="665" cm="1">
        <f t="array" ref="AG32">INDEX(CountyScoresTbl[Community Need Total Points],ROW(CHMATbl[[#This Row],[COUNTY]])-2,1)*CHMATbl[[#This Row],[% OF TOTAL UNRESTRICTED FUNDING]]</f>
        <v>0</v>
      </c>
      <c r="AH32" s="666" cm="1">
        <f t="array" ref="AH32"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2" s="702"/>
      <c r="AJ32" s="703"/>
      <c r="AK32" s="703"/>
      <c r="AL32" s="703"/>
      <c r="AM32" s="703"/>
      <c r="AN32" s="74">
        <f t="shared" si="1"/>
        <v>0</v>
      </c>
      <c r="AO32" s="6">
        <f>IF(CHMATbl[[#This Row],[MANUFACTURED FUNDING REQUESTED]]=0,0,CHMATbl[[#This Row],[MANUFACTURED FUNDING REQUESTED]]/CH_MA_ManufacturedTotalRequested)</f>
        <v>0</v>
      </c>
      <c r="AP32" s="671">
        <f>IF(
CHMATbl[[#This Row],[NEW CONSTRUCTION OR AQUIRE/REHAB]]&lt;&gt;"",
3+IF(CHMATbl[[#This Row],[INFILL SITE]]="Yes",2,0),0)
*CHMATbl[[#This Row],[% OF TOTAL MANUFACTURED FUNDING]]</f>
        <v>0</v>
      </c>
      <c r="AQ32" s="7">
        <f>IF(CHMATbl[[#This Row],[ALL UNITS IN A HIGH OR HIGHEST RESOURCE AREA]]="Yes",10*CHMATbl[[#This Row],[% OF TOTAL MANUFACTURED FUNDING]],0)</f>
        <v>0</v>
      </c>
      <c r="AR32" s="7" cm="1">
        <f t="array" ref="AR32">INDEX(CountyScoresTbl[Community Need Total Points],ROW(CHMATbl[[#This Row],[COUNTY]])-2,1)*CHMATbl[[#This Row],[% OF TOTAL MANUFACTURED FUNDING]]</f>
        <v>0</v>
      </c>
      <c r="AS32" s="8" cm="1">
        <f t="array" ref="AS3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2" s="705"/>
      <c r="AU32" s="703"/>
      <c r="AV32" s="703"/>
      <c r="AW32" s="703"/>
      <c r="AX32" s="703"/>
      <c r="AY32" s="74">
        <f t="shared" si="2"/>
        <v>0</v>
      </c>
      <c r="AZ32" s="6">
        <f>IF(CHMATbl[[#This Row],[RURAL FUNDING REQUESTED]]=0,0,CHMATbl[[#This Row],[RURAL FUNDING REQUESTED]]/CH_MA_RuralTotalRequested)</f>
        <v>0</v>
      </c>
      <c r="BA32" s="667">
        <f>IF(
CHMATbl[[#This Row],[NEW CONSTRUCTION OR AQUIRE/REHAB]]&lt;&gt;"",
3+IF(CHMATbl[[#This Row],[INFILL SITE]]="Yes",2,0),0)
*CHMATbl[[#This Row],[% OF TOTAL RURAL FUNDING]]</f>
        <v>0</v>
      </c>
      <c r="BB32" s="665">
        <f>IF(
CHMATbl[[#This Row],[ALL UNITS IN A HIGH OR HIGHEST RESOURCE AREA]]="Yes",
10*CHMATbl[[#This Row],[% OF TOTAL RURAL FUNDING]],
0)</f>
        <v>0</v>
      </c>
      <c r="BC32" s="665" cm="1">
        <f t="array" ref="BC32">INDEX(
CountyScoresTbl[Community Need Total Points],
ROW(CHMATbl[[#This Row],[COUNTY]])-2,1)*CHMATbl[[#This Row],[% OF TOTAL RURAL FUNDING]]</f>
        <v>0</v>
      </c>
      <c r="BD32" s="666" cm="1">
        <f t="array" ref="BD32"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2" s="116"/>
      <c r="BF32" s="703"/>
      <c r="BG32" s="703"/>
      <c r="BH32" s="703"/>
      <c r="BI32" s="703"/>
      <c r="BJ32" s="74">
        <f t="shared" si="3"/>
        <v>0</v>
      </c>
      <c r="BK32" s="6">
        <f>IF(CHMATbl[[#This Row],[MANUFACTURED AND RURAL FUNDING REQUESTED]]=0,0,CHMATbl[[#This Row],[MANUFACTURED AND RURAL FUNDING REQUESTED]]/CH_MA_MFDRuralTotalRequested)</f>
        <v>0</v>
      </c>
      <c r="BL32" s="667">
        <f xml:space="preserve">
IF(CHMATbl[[#This Row],[NEW CONSTRUCTION OR AQUIRE/REHAB]]&lt;&gt;"",
3+IF(CHMATbl[[#This Row],[INFILL SITE]]="Yes",2,0),0)
*CHMATbl[[#This Row],[% OF TOTAL MANUFACTURED AND RURAL FUNDING]]</f>
        <v>0</v>
      </c>
      <c r="BM32" s="665">
        <f>IF(
CHMATbl[[#This Row],[ALL UNITS IN A HIGH OR HIGHEST RESOURCE AREA]]="Yes",
10*CHMATbl[[#This Row],[% OF TOTAL MANUFACTURED AND RURAL FUNDING]],
0)</f>
        <v>0</v>
      </c>
      <c r="BN32" s="665" cm="1">
        <f t="array" ref="BN32">INDEX(
CountyScoresTbl[Community Need Total Points],
ROW(CHMATbl[[#This Row],[COUNTY]])-2,1)*CHMATbl[[#This Row],[% OF TOTAL MANUFACTURED AND RURAL FUNDING]]</f>
        <v>0</v>
      </c>
      <c r="BO32" s="694" cm="1">
        <f t="array" ref="BO3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2" s="732"/>
      <c r="BQ32" s="564"/>
      <c r="BR32" s="678"/>
    </row>
    <row r="33" spans="1:70" s="662" customFormat="1" x14ac:dyDescent="0.35">
      <c r="A33" s="674"/>
      <c r="B33" s="5" t="s">
        <v>145</v>
      </c>
      <c r="C33" s="38" t="s">
        <v>513</v>
      </c>
      <c r="D33" s="113" t="str">
        <f>IF(SUM(CHMATbl[[#This Row],[UNRESTRICTED UNITS]])=0,"",CHMATbl[[#This Row],[UNRESTRICTED UNITS]])</f>
        <v/>
      </c>
      <c r="E33" s="74" t="str">
        <f xml:space="preserve">
IF(CHMATbl[[#This Row],[UNRESTRICTED FUNDING REQUESTED]]=0,"",
CHMATbl[[#This Row],[UNRESTRICTED FUNDING REQUESTED]]*
IF(CH_MA_UnrestrictedTotalRequested&lt;=5000000,1,
5000000/CH_MA_UnrestrictedTotalRequested)
)</f>
        <v/>
      </c>
      <c r="F33" s="6" t="str">
        <f>IFERROR(CHMATbl[[#This Row],[TOTAL $ REQUESTED]]/SUM(CHMATbl[TOTAL $ REQUESTED]),"")</f>
        <v/>
      </c>
      <c r="G33" s="38" t="s">
        <v>513</v>
      </c>
      <c r="H33" s="113" t="str">
        <f>IF(SUM(CHMATbl[[#This Row],[MANUFACTURED UNITS]])=0,"",CHMATbl[[#This Row],[MANUFACTURED UNITS]])</f>
        <v/>
      </c>
      <c r="I33" s="74" t="str">
        <f xml:space="preserve">
IF(CHMATbl[[#This Row],[MANUFACTURED FUNDING REQUESTED]]=0,"",
CHMATbl[[#This Row],[MANUFACTURED FUNDING REQUESTED]]*
IF(CH_MA_ManufacturedTotalRequested&lt;=(5000000-E$61),1,
(5000000-E$61)/CH_MA_ManufacturedTotalRequested)
)</f>
        <v/>
      </c>
      <c r="J33" s="6" t="str">
        <f>IFERROR(CHMATbl[[#This Row],[TOTAL $ REQUESTED2]]/SUM(CHMATbl[TOTAL $ REQUESTED2]),"")</f>
        <v/>
      </c>
      <c r="K33" s="38" t="s">
        <v>513</v>
      </c>
      <c r="L33" s="113" t="str">
        <f>IF(SUM(CHMATbl[[#This Row],[RURAL UNITS]])=0,"",CHMATbl[[#This Row],[RURAL UNITS]])</f>
        <v/>
      </c>
      <c r="M33" s="74" t="str">
        <f xml:space="preserve">
IF(CHMATbl[[#This Row],[RURAL FUNDING REQUESTED]]=0,"",
CHMATbl[[#This Row],[RURAL FUNDING REQUESTED]]*
IF(CH_MA_RuralTotalRequested&lt;=(5000000-E$61-I$61),1,
(5000000-E$61-I$61)/CH_MA_RuralTotalRequested)
)</f>
        <v/>
      </c>
      <c r="N33" s="6" t="str">
        <f>IFERROR(CHMATbl[[#This Row],[TOTAL $ REQUESTED3]]/SUM(CHMATbl[TOTAL $ REQUESTED3]),"")</f>
        <v/>
      </c>
      <c r="O33" s="38" t="s">
        <v>513</v>
      </c>
      <c r="P33" s="113" t="str">
        <f>IF(SUM(CHMATbl[[#This Row],[MANUFACTURED AND RURAL UNITS]])=0,"",CHMATbl[[#This Row],[MANUFACTURED AND RURAL UNITS]])</f>
        <v/>
      </c>
      <c r="Q33" s="74" t="str">
        <f xml:space="preserve">
IF(CHMATbl[[#This Row],[MANUFACTURED AND RURAL FUNDING REQUESTED]]=0,"",
CHMATbl[[#This Row],[MANUFACTURED AND RURAL FUNDING REQUESTED]]*
IF(CH_MA_MFDRuralTotalRequested&lt;=(5000000-E$61-I$61-M$61),1,
(5000000-E$61-I$61-M$61)/CH_MA_MFDRuralTotalRequested)
)</f>
        <v/>
      </c>
      <c r="R33" s="6" t="str">
        <f>IFERROR(CHMATbl[[#This Row],[TOTAL $ REQUESTED4]]/SUM(CHMATbl[TOTAL $ REQUESTED4]),"")</f>
        <v/>
      </c>
      <c r="S33" s="38" t="s">
        <v>513</v>
      </c>
      <c r="T33" s="736"/>
      <c r="U33" s="699"/>
      <c r="V33" s="699"/>
      <c r="W33" s="737"/>
      <c r="X33" s="702"/>
      <c r="Y33" s="703"/>
      <c r="Z33" s="703"/>
      <c r="AA33" s="703"/>
      <c r="AB33" s="703"/>
      <c r="AC33" s="98">
        <f t="shared" si="0"/>
        <v>0</v>
      </c>
      <c r="AD33" s="6">
        <f>IF(CHMATbl[[#This Row],[UNRESTRICTED FUNDING REQUESTED]]=0,0,CHMATbl[[#This Row],[UNRESTRICTED FUNDING REQUESTED]]/CH_MA_UnrestrictedTotalRequested)</f>
        <v>0</v>
      </c>
      <c r="AE33" s="667">
        <f xml:space="preserve">
IF(CHMATbl[[#This Row],[NEW CONSTRUCTION OR AQUIRE/REHAB]]&lt;&gt;"",
3+IF(CHMATbl[[#This Row],[INFILL SITE]]="Yes",2,0),0)
*CHMATbl[[#This Row],[% OF TOTAL UNRESTRICTED FUNDING]]</f>
        <v>0</v>
      </c>
      <c r="AF33" s="665">
        <f>IF(CHMATbl[[#This Row],[ALL UNITS IN A HIGH OR HIGHEST RESOURCE AREA]]="Yes",10*CHMATbl[[#This Row],[% OF TOTAL UNRESTRICTED FUNDING]],0)</f>
        <v>0</v>
      </c>
      <c r="AG33" s="665" cm="1">
        <f t="array" ref="AG33">INDEX(CountyScoresTbl[Community Need Total Points],ROW(CHMATbl[[#This Row],[COUNTY]])-2,1)*CHMATbl[[#This Row],[% OF TOTAL UNRESTRICTED FUNDING]]</f>
        <v>0</v>
      </c>
      <c r="AH33" s="666" cm="1">
        <f t="array" ref="AH33"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3" s="702"/>
      <c r="AJ33" s="703"/>
      <c r="AK33" s="703"/>
      <c r="AL33" s="703"/>
      <c r="AM33" s="703"/>
      <c r="AN33" s="74">
        <f t="shared" si="1"/>
        <v>0</v>
      </c>
      <c r="AO33" s="6">
        <f>IF(CHMATbl[[#This Row],[MANUFACTURED FUNDING REQUESTED]]=0,0,CHMATbl[[#This Row],[MANUFACTURED FUNDING REQUESTED]]/CH_MA_ManufacturedTotalRequested)</f>
        <v>0</v>
      </c>
      <c r="AP33" s="671">
        <f>IF(
CHMATbl[[#This Row],[NEW CONSTRUCTION OR AQUIRE/REHAB]]&lt;&gt;"",
3+IF(CHMATbl[[#This Row],[INFILL SITE]]="Yes",2,0),0)
*CHMATbl[[#This Row],[% OF TOTAL MANUFACTURED FUNDING]]</f>
        <v>0</v>
      </c>
      <c r="AQ33" s="7">
        <f>IF(CHMATbl[[#This Row],[ALL UNITS IN A HIGH OR HIGHEST RESOURCE AREA]]="Yes",10*CHMATbl[[#This Row],[% OF TOTAL MANUFACTURED FUNDING]],0)</f>
        <v>0</v>
      </c>
      <c r="AR33" s="7" cm="1">
        <f t="array" ref="AR33">INDEX(CountyScoresTbl[Community Need Total Points],ROW(CHMATbl[[#This Row],[COUNTY]])-2,1)*CHMATbl[[#This Row],[% OF TOTAL MANUFACTURED FUNDING]]</f>
        <v>0</v>
      </c>
      <c r="AS33" s="8" cm="1">
        <f t="array" ref="AS3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3" s="705"/>
      <c r="AU33" s="703"/>
      <c r="AV33" s="703"/>
      <c r="AW33" s="703"/>
      <c r="AX33" s="703"/>
      <c r="AY33" s="74">
        <f t="shared" si="2"/>
        <v>0</v>
      </c>
      <c r="AZ33" s="6">
        <f>IF(CHMATbl[[#This Row],[RURAL FUNDING REQUESTED]]=0,0,CHMATbl[[#This Row],[RURAL FUNDING REQUESTED]]/CH_MA_RuralTotalRequested)</f>
        <v>0</v>
      </c>
      <c r="BA33" s="667">
        <f>IF(
CHMATbl[[#This Row],[NEW CONSTRUCTION OR AQUIRE/REHAB]]&lt;&gt;"",
3+IF(CHMATbl[[#This Row],[INFILL SITE]]="Yes",2,0),0)
*CHMATbl[[#This Row],[% OF TOTAL RURAL FUNDING]]</f>
        <v>0</v>
      </c>
      <c r="BB33" s="665">
        <f>IF(
CHMATbl[[#This Row],[ALL UNITS IN A HIGH OR HIGHEST RESOURCE AREA]]="Yes",
10*CHMATbl[[#This Row],[% OF TOTAL RURAL FUNDING]],
0)</f>
        <v>0</v>
      </c>
      <c r="BC33" s="665" cm="1">
        <f t="array" ref="BC33">INDEX(
CountyScoresTbl[Community Need Total Points],
ROW(CHMATbl[[#This Row],[COUNTY]])-2,1)*CHMATbl[[#This Row],[% OF TOTAL RURAL FUNDING]]</f>
        <v>0</v>
      </c>
      <c r="BD33" s="666" cm="1">
        <f t="array" ref="BD33"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3" s="116"/>
      <c r="BF33" s="703"/>
      <c r="BG33" s="703"/>
      <c r="BH33" s="703"/>
      <c r="BI33" s="703"/>
      <c r="BJ33" s="74">
        <f t="shared" si="3"/>
        <v>0</v>
      </c>
      <c r="BK33" s="6">
        <f>IF(CHMATbl[[#This Row],[MANUFACTURED AND RURAL FUNDING REQUESTED]]=0,0,CHMATbl[[#This Row],[MANUFACTURED AND RURAL FUNDING REQUESTED]]/CH_MA_MFDRuralTotalRequested)</f>
        <v>0</v>
      </c>
      <c r="BL33" s="667">
        <f xml:space="preserve">
IF(CHMATbl[[#This Row],[NEW CONSTRUCTION OR AQUIRE/REHAB]]&lt;&gt;"",
3+IF(CHMATbl[[#This Row],[INFILL SITE]]="Yes",2,0),0)
*CHMATbl[[#This Row],[% OF TOTAL MANUFACTURED AND RURAL FUNDING]]</f>
        <v>0</v>
      </c>
      <c r="BM33" s="665">
        <f>IF(
CHMATbl[[#This Row],[ALL UNITS IN A HIGH OR HIGHEST RESOURCE AREA]]="Yes",
10*CHMATbl[[#This Row],[% OF TOTAL MANUFACTURED AND RURAL FUNDING]],
0)</f>
        <v>0</v>
      </c>
      <c r="BN33" s="665" cm="1">
        <f t="array" ref="BN33">INDEX(
CountyScoresTbl[Community Need Total Points],
ROW(CHMATbl[[#This Row],[COUNTY]])-2,1)*CHMATbl[[#This Row],[% OF TOTAL MANUFACTURED AND RURAL FUNDING]]</f>
        <v>0</v>
      </c>
      <c r="BO33" s="694" cm="1">
        <f t="array" ref="BO3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3" s="732"/>
      <c r="BQ33" s="564"/>
      <c r="BR33" s="678"/>
    </row>
    <row r="34" spans="1:70" s="662" customFormat="1" x14ac:dyDescent="0.35">
      <c r="A34" s="679"/>
      <c r="B34" s="5" t="s">
        <v>146</v>
      </c>
      <c r="C34" s="38" t="s">
        <v>513</v>
      </c>
      <c r="D34" s="113" t="str">
        <f>IF(SUM(CHMATbl[[#This Row],[UNRESTRICTED UNITS]])=0,"",CHMATbl[[#This Row],[UNRESTRICTED UNITS]])</f>
        <v/>
      </c>
      <c r="E34" s="74" t="str">
        <f xml:space="preserve">
IF(CHMATbl[[#This Row],[UNRESTRICTED FUNDING REQUESTED]]=0,"",
CHMATbl[[#This Row],[UNRESTRICTED FUNDING REQUESTED]]*
IF(CH_MA_UnrestrictedTotalRequested&lt;=5000000,1,
5000000/CH_MA_UnrestrictedTotalRequested)
)</f>
        <v/>
      </c>
      <c r="F34" s="6" t="str">
        <f>IFERROR(CHMATbl[[#This Row],[TOTAL $ REQUESTED]]/SUM(CHMATbl[TOTAL $ REQUESTED]),"")</f>
        <v/>
      </c>
      <c r="G34" s="38" t="s">
        <v>513</v>
      </c>
      <c r="H34" s="113" t="str">
        <f>IF(SUM(CHMATbl[[#This Row],[MANUFACTURED UNITS]])=0,"",CHMATbl[[#This Row],[MANUFACTURED UNITS]])</f>
        <v/>
      </c>
      <c r="I34" s="74" t="str">
        <f xml:space="preserve">
IF(CHMATbl[[#This Row],[MANUFACTURED FUNDING REQUESTED]]=0,"",
CHMATbl[[#This Row],[MANUFACTURED FUNDING REQUESTED]]*
IF(CH_MA_ManufacturedTotalRequested&lt;=(5000000-E$61),1,
(5000000-E$61)/CH_MA_ManufacturedTotalRequested)
)</f>
        <v/>
      </c>
      <c r="J34" s="6" t="str">
        <f>IFERROR(CHMATbl[[#This Row],[TOTAL $ REQUESTED2]]/SUM(CHMATbl[TOTAL $ REQUESTED2]),"")</f>
        <v/>
      </c>
      <c r="K34" s="38" t="s">
        <v>513</v>
      </c>
      <c r="L34" s="113" t="str">
        <f>IF(SUM(CHMATbl[[#This Row],[RURAL UNITS]])=0,"",CHMATbl[[#This Row],[RURAL UNITS]])</f>
        <v/>
      </c>
      <c r="M34" s="74" t="str">
        <f xml:space="preserve">
IF(CHMATbl[[#This Row],[RURAL FUNDING REQUESTED]]=0,"",
CHMATbl[[#This Row],[RURAL FUNDING REQUESTED]]*
IF(CH_MA_RuralTotalRequested&lt;=(5000000-E$61-I$61),1,
(5000000-E$61-I$61)/CH_MA_RuralTotalRequested)
)</f>
        <v/>
      </c>
      <c r="N34" s="6" t="str">
        <f>IFERROR(CHMATbl[[#This Row],[TOTAL $ REQUESTED3]]/SUM(CHMATbl[TOTAL $ REQUESTED3]),"")</f>
        <v/>
      </c>
      <c r="O34" s="38" t="s">
        <v>513</v>
      </c>
      <c r="P34" s="113" t="str">
        <f>IF(SUM(CHMATbl[[#This Row],[MANUFACTURED AND RURAL UNITS]])=0,"",CHMATbl[[#This Row],[MANUFACTURED AND RURAL UNITS]])</f>
        <v/>
      </c>
      <c r="Q34" s="74" t="str">
        <f xml:space="preserve">
IF(CHMATbl[[#This Row],[MANUFACTURED AND RURAL FUNDING REQUESTED]]=0,"",
CHMATbl[[#This Row],[MANUFACTURED AND RURAL FUNDING REQUESTED]]*
IF(CH_MA_MFDRuralTotalRequested&lt;=(5000000-E$61-I$61-M$61),1,
(5000000-E$61-I$61-M$61)/CH_MA_MFDRuralTotalRequested)
)</f>
        <v/>
      </c>
      <c r="R34" s="6" t="str">
        <f>IFERROR(CHMATbl[[#This Row],[TOTAL $ REQUESTED4]]/SUM(CHMATbl[TOTAL $ REQUESTED4]),"")</f>
        <v/>
      </c>
      <c r="S34" s="38" t="s">
        <v>513</v>
      </c>
      <c r="T34" s="736"/>
      <c r="U34" s="699"/>
      <c r="V34" s="699"/>
      <c r="W34" s="737"/>
      <c r="X34" s="116"/>
      <c r="Y34" s="703"/>
      <c r="Z34" s="703"/>
      <c r="AA34" s="703"/>
      <c r="AB34" s="703"/>
      <c r="AC34" s="98">
        <f t="shared" si="0"/>
        <v>0</v>
      </c>
      <c r="AD34" s="6">
        <f>IF(CHMATbl[[#This Row],[UNRESTRICTED FUNDING REQUESTED]]=0,0,CHMATbl[[#This Row],[UNRESTRICTED FUNDING REQUESTED]]/CH_MA_UnrestrictedTotalRequested)</f>
        <v>0</v>
      </c>
      <c r="AE34" s="667">
        <f xml:space="preserve">
IF(CHMATbl[[#This Row],[NEW CONSTRUCTION OR AQUIRE/REHAB]]&lt;&gt;"",
3+IF(CHMATbl[[#This Row],[INFILL SITE]]="Yes",2,0),0)
*CHMATbl[[#This Row],[% OF TOTAL UNRESTRICTED FUNDING]]</f>
        <v>0</v>
      </c>
      <c r="AF34" s="665">
        <f>IF(CHMATbl[[#This Row],[ALL UNITS IN A HIGH OR HIGHEST RESOURCE AREA]]="Yes",10*CHMATbl[[#This Row],[% OF TOTAL UNRESTRICTED FUNDING]],0)</f>
        <v>0</v>
      </c>
      <c r="AG34" s="665" cm="1">
        <f t="array" ref="AG34">INDEX(CountyScoresTbl[Community Need Total Points],ROW(CHMATbl[[#This Row],[COUNTY]])-2,1)*CHMATbl[[#This Row],[% OF TOTAL UNRESTRICTED FUNDING]]</f>
        <v>0</v>
      </c>
      <c r="AH34" s="666" cm="1">
        <f t="array" ref="AH34"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4" s="116"/>
      <c r="AJ34" s="703"/>
      <c r="AK34" s="703"/>
      <c r="AL34" s="703"/>
      <c r="AM34" s="703"/>
      <c r="AN34" s="74">
        <f t="shared" si="1"/>
        <v>0</v>
      </c>
      <c r="AO34" s="6">
        <f>IF(CHMATbl[[#This Row],[MANUFACTURED FUNDING REQUESTED]]=0,0,CHMATbl[[#This Row],[MANUFACTURED FUNDING REQUESTED]]/CH_MA_ManufacturedTotalRequested)</f>
        <v>0</v>
      </c>
      <c r="AP34" s="671">
        <f>IF(
CHMATbl[[#This Row],[NEW CONSTRUCTION OR AQUIRE/REHAB]]&lt;&gt;"",
3+IF(CHMATbl[[#This Row],[INFILL SITE]]="Yes",2,0),0)
*CHMATbl[[#This Row],[% OF TOTAL MANUFACTURED FUNDING]]</f>
        <v>0</v>
      </c>
      <c r="AQ34" s="7">
        <f>IF(CHMATbl[[#This Row],[ALL UNITS IN A HIGH OR HIGHEST RESOURCE AREA]]="Yes",10*CHMATbl[[#This Row],[% OF TOTAL MANUFACTURED FUNDING]],0)</f>
        <v>0</v>
      </c>
      <c r="AR34" s="7" cm="1">
        <f t="array" ref="AR34">INDEX(CountyScoresTbl[Community Need Total Points],ROW(CHMATbl[[#This Row],[COUNTY]])-2,1)*CHMATbl[[#This Row],[% OF TOTAL MANUFACTURED FUNDING]]</f>
        <v>0</v>
      </c>
      <c r="AS34" s="8" cm="1">
        <f t="array" ref="AS3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4" s="705"/>
      <c r="AU34" s="703"/>
      <c r="AV34" s="703"/>
      <c r="AW34" s="703"/>
      <c r="AX34" s="703"/>
      <c r="AY34" s="74">
        <f t="shared" si="2"/>
        <v>0</v>
      </c>
      <c r="AZ34" s="6">
        <f>IF(CHMATbl[[#This Row],[RURAL FUNDING REQUESTED]]=0,0,CHMATbl[[#This Row],[RURAL FUNDING REQUESTED]]/CH_MA_RuralTotalRequested)</f>
        <v>0</v>
      </c>
      <c r="BA34" s="667">
        <f>IF(
CHMATbl[[#This Row],[NEW CONSTRUCTION OR AQUIRE/REHAB]]&lt;&gt;"",
3+IF(CHMATbl[[#This Row],[INFILL SITE]]="Yes",2,0),0)
*CHMATbl[[#This Row],[% OF TOTAL RURAL FUNDING]]</f>
        <v>0</v>
      </c>
      <c r="BB34" s="665">
        <f>IF(
CHMATbl[[#This Row],[ALL UNITS IN A HIGH OR HIGHEST RESOURCE AREA]]="Yes",
10*CHMATbl[[#This Row],[% OF TOTAL RURAL FUNDING]],
0)</f>
        <v>0</v>
      </c>
      <c r="BC34" s="665" cm="1">
        <f t="array" ref="BC34">INDEX(
CountyScoresTbl[Community Need Total Points],
ROW(CHMATbl[[#This Row],[COUNTY]])-2,1)*CHMATbl[[#This Row],[% OF TOTAL RURAL FUNDING]]</f>
        <v>0</v>
      </c>
      <c r="BD34" s="666" cm="1">
        <f t="array" ref="BD34"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4" s="116"/>
      <c r="BF34" s="703"/>
      <c r="BG34" s="703"/>
      <c r="BH34" s="703"/>
      <c r="BI34" s="703"/>
      <c r="BJ34" s="74">
        <f t="shared" si="3"/>
        <v>0</v>
      </c>
      <c r="BK34" s="6">
        <f>IF(CHMATbl[[#This Row],[MANUFACTURED AND RURAL FUNDING REQUESTED]]=0,0,CHMATbl[[#This Row],[MANUFACTURED AND RURAL FUNDING REQUESTED]]/CH_MA_MFDRuralTotalRequested)</f>
        <v>0</v>
      </c>
      <c r="BL34" s="667">
        <f xml:space="preserve">
IF(CHMATbl[[#This Row],[NEW CONSTRUCTION OR AQUIRE/REHAB]]&lt;&gt;"",
3+IF(CHMATbl[[#This Row],[INFILL SITE]]="Yes",2,0),0)
*CHMATbl[[#This Row],[% OF TOTAL MANUFACTURED AND RURAL FUNDING]]</f>
        <v>0</v>
      </c>
      <c r="BM34" s="665">
        <f>IF(
CHMATbl[[#This Row],[ALL UNITS IN A HIGH OR HIGHEST RESOURCE AREA]]="Yes",
10*CHMATbl[[#This Row],[% OF TOTAL MANUFACTURED AND RURAL FUNDING]],
0)</f>
        <v>0</v>
      </c>
      <c r="BN34" s="665" cm="1">
        <f t="array" ref="BN34">INDEX(
CountyScoresTbl[Community Need Total Points],
ROW(CHMATbl[[#This Row],[COUNTY]])-2,1)*CHMATbl[[#This Row],[% OF TOTAL MANUFACTURED AND RURAL FUNDING]]</f>
        <v>0</v>
      </c>
      <c r="BO34" s="694" cm="1">
        <f t="array" ref="BO3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4" s="732"/>
      <c r="BQ34" s="564"/>
      <c r="BR34" s="678"/>
    </row>
    <row r="35" spans="1:70" s="662" customFormat="1" x14ac:dyDescent="0.35">
      <c r="A35" s="674" t="s">
        <v>504</v>
      </c>
      <c r="B35" s="5" t="s">
        <v>147</v>
      </c>
      <c r="C35" s="38" t="s">
        <v>513</v>
      </c>
      <c r="D35" s="113" t="str">
        <f>IF(SUM(CHMATbl[[#This Row],[UNRESTRICTED UNITS]])=0,"",CHMATbl[[#This Row],[UNRESTRICTED UNITS]])</f>
        <v/>
      </c>
      <c r="E35" s="74" t="str">
        <f xml:space="preserve">
IF(CHMATbl[[#This Row],[UNRESTRICTED FUNDING REQUESTED]]=0,"",
CHMATbl[[#This Row],[UNRESTRICTED FUNDING REQUESTED]]*
IF(CH_MA_UnrestrictedTotalRequested&lt;=5000000,1,
5000000/CH_MA_UnrestrictedTotalRequested)
)</f>
        <v/>
      </c>
      <c r="F35" s="6" t="str">
        <f>IFERROR(CHMATbl[[#This Row],[TOTAL $ REQUESTED]]/SUM(CHMATbl[TOTAL $ REQUESTED]),"")</f>
        <v/>
      </c>
      <c r="G35" s="38" t="s">
        <v>513</v>
      </c>
      <c r="H35" s="113" t="str">
        <f>IF(SUM(CHMATbl[[#This Row],[MANUFACTURED UNITS]])=0,"",CHMATbl[[#This Row],[MANUFACTURED UNITS]])</f>
        <v/>
      </c>
      <c r="I35" s="74" t="str">
        <f xml:space="preserve">
IF(CHMATbl[[#This Row],[MANUFACTURED FUNDING REQUESTED]]=0,"",
CHMATbl[[#This Row],[MANUFACTURED FUNDING REQUESTED]]*
IF(CH_MA_ManufacturedTotalRequested&lt;=(5000000-E$61),1,
(5000000-E$61)/CH_MA_ManufacturedTotalRequested)
)</f>
        <v/>
      </c>
      <c r="J35" s="6" t="str">
        <f>IFERROR(CHMATbl[[#This Row],[TOTAL $ REQUESTED2]]/SUM(CHMATbl[TOTAL $ REQUESTED2]),"")</f>
        <v/>
      </c>
      <c r="K35" s="38" t="s">
        <v>513</v>
      </c>
      <c r="L35" s="113" t="str">
        <f>IF(SUM(CHMATbl[[#This Row],[RURAL UNITS]])=0,"",CHMATbl[[#This Row],[RURAL UNITS]])</f>
        <v/>
      </c>
      <c r="M35" s="74" t="str">
        <f xml:space="preserve">
IF(CHMATbl[[#This Row],[RURAL FUNDING REQUESTED]]=0,"",
CHMATbl[[#This Row],[RURAL FUNDING REQUESTED]]*
IF(CH_MA_RuralTotalRequested&lt;=(5000000-E$61-I$61),1,
(5000000-E$61-I$61)/CH_MA_RuralTotalRequested)
)</f>
        <v/>
      </c>
      <c r="N35" s="6" t="str">
        <f>IFERROR(CHMATbl[[#This Row],[TOTAL $ REQUESTED3]]/SUM(CHMATbl[TOTAL $ REQUESTED3]),"")</f>
        <v/>
      </c>
      <c r="O35" s="38" t="s">
        <v>513</v>
      </c>
      <c r="P35" s="113" t="str">
        <f>IF(SUM(CHMATbl[[#This Row],[MANUFACTURED AND RURAL UNITS]])=0,"",CHMATbl[[#This Row],[MANUFACTURED AND RURAL UNITS]])</f>
        <v/>
      </c>
      <c r="Q35" s="74" t="str">
        <f xml:space="preserve">
IF(CHMATbl[[#This Row],[MANUFACTURED AND RURAL FUNDING REQUESTED]]=0,"",
CHMATbl[[#This Row],[MANUFACTURED AND RURAL FUNDING REQUESTED]]*
IF(CH_MA_MFDRuralTotalRequested&lt;=(5000000-E$61-I$61-M$61),1,
(5000000-E$61-I$61-M$61)/CH_MA_MFDRuralTotalRequested)
)</f>
        <v/>
      </c>
      <c r="R35" s="6" t="str">
        <f>IFERROR(CHMATbl[[#This Row],[TOTAL $ REQUESTED4]]/SUM(CHMATbl[TOTAL $ REQUESTED4]),"")</f>
        <v/>
      </c>
      <c r="S35" s="38" t="s">
        <v>513</v>
      </c>
      <c r="T35" s="736"/>
      <c r="U35" s="699"/>
      <c r="V35" s="699"/>
      <c r="W35" s="737"/>
      <c r="X35" s="702"/>
      <c r="Y35" s="703"/>
      <c r="Z35" s="703"/>
      <c r="AA35" s="703"/>
      <c r="AB35" s="703"/>
      <c r="AC35" s="98">
        <f t="shared" si="0"/>
        <v>0</v>
      </c>
      <c r="AD35" s="6">
        <f>IF(CHMATbl[[#This Row],[UNRESTRICTED FUNDING REQUESTED]]=0,0,CHMATbl[[#This Row],[UNRESTRICTED FUNDING REQUESTED]]/CH_MA_UnrestrictedTotalRequested)</f>
        <v>0</v>
      </c>
      <c r="AE35" s="667">
        <f xml:space="preserve">
IF(CHMATbl[[#This Row],[NEW CONSTRUCTION OR AQUIRE/REHAB]]&lt;&gt;"",
3+IF(CHMATbl[[#This Row],[INFILL SITE]]="Yes",2,0),0)
*CHMATbl[[#This Row],[% OF TOTAL UNRESTRICTED FUNDING]]</f>
        <v>0</v>
      </c>
      <c r="AF35" s="665">
        <f>IF(CHMATbl[[#This Row],[ALL UNITS IN A HIGH OR HIGHEST RESOURCE AREA]]="Yes",10*CHMATbl[[#This Row],[% OF TOTAL UNRESTRICTED FUNDING]],0)</f>
        <v>0</v>
      </c>
      <c r="AG35" s="665" cm="1">
        <f t="array" ref="AG35">INDEX(CountyScoresTbl[Community Need Total Points],ROW(CHMATbl[[#This Row],[COUNTY]])-2,1)*CHMATbl[[#This Row],[% OF TOTAL UNRESTRICTED FUNDING]]</f>
        <v>0</v>
      </c>
      <c r="AH35" s="666" cm="1">
        <f t="array" ref="AH35"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5" s="702"/>
      <c r="AJ35" s="703"/>
      <c r="AK35" s="703"/>
      <c r="AL35" s="703"/>
      <c r="AM35" s="703"/>
      <c r="AN35" s="74">
        <f t="shared" si="1"/>
        <v>0</v>
      </c>
      <c r="AO35" s="6">
        <f>IF(CHMATbl[[#This Row],[MANUFACTURED FUNDING REQUESTED]]=0,0,CHMATbl[[#This Row],[MANUFACTURED FUNDING REQUESTED]]/CH_MA_ManufacturedTotalRequested)</f>
        <v>0</v>
      </c>
      <c r="AP35" s="671">
        <f>IF(
CHMATbl[[#This Row],[NEW CONSTRUCTION OR AQUIRE/REHAB]]&lt;&gt;"",
3+IF(CHMATbl[[#This Row],[INFILL SITE]]="Yes",2,0),0)
*CHMATbl[[#This Row],[% OF TOTAL MANUFACTURED FUNDING]]</f>
        <v>0</v>
      </c>
      <c r="AQ35" s="7">
        <f>IF(CHMATbl[[#This Row],[ALL UNITS IN A HIGH OR HIGHEST RESOURCE AREA]]="Yes",10*CHMATbl[[#This Row],[% OF TOTAL MANUFACTURED FUNDING]],0)</f>
        <v>0</v>
      </c>
      <c r="AR35" s="7" cm="1">
        <f t="array" ref="AR35">INDEX(CountyScoresTbl[Community Need Total Points],ROW(CHMATbl[[#This Row],[COUNTY]])-2,1)*CHMATbl[[#This Row],[% OF TOTAL MANUFACTURED FUNDING]]</f>
        <v>0</v>
      </c>
      <c r="AS35" s="8" cm="1">
        <f t="array" ref="AS3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5" s="705"/>
      <c r="AU35" s="703"/>
      <c r="AV35" s="703"/>
      <c r="AW35" s="703"/>
      <c r="AX35" s="703"/>
      <c r="AY35" s="74">
        <f t="shared" si="2"/>
        <v>0</v>
      </c>
      <c r="AZ35" s="6">
        <f>IF(CHMATbl[[#This Row],[RURAL FUNDING REQUESTED]]=0,0,CHMATbl[[#This Row],[RURAL FUNDING REQUESTED]]/CH_MA_RuralTotalRequested)</f>
        <v>0</v>
      </c>
      <c r="BA35" s="667">
        <f>IF(
CHMATbl[[#This Row],[NEW CONSTRUCTION OR AQUIRE/REHAB]]&lt;&gt;"",
3+IF(CHMATbl[[#This Row],[INFILL SITE]]="Yes",2,0),0)
*CHMATbl[[#This Row],[% OF TOTAL RURAL FUNDING]]</f>
        <v>0</v>
      </c>
      <c r="BB35" s="665">
        <f>IF(
CHMATbl[[#This Row],[ALL UNITS IN A HIGH OR HIGHEST RESOURCE AREA]]="Yes",
10*CHMATbl[[#This Row],[% OF TOTAL RURAL FUNDING]],
0)</f>
        <v>0</v>
      </c>
      <c r="BC35" s="665" cm="1">
        <f t="array" ref="BC35">INDEX(
CountyScoresTbl[Community Need Total Points],
ROW(CHMATbl[[#This Row],[COUNTY]])-2,1)*CHMATbl[[#This Row],[% OF TOTAL RURAL FUNDING]]</f>
        <v>0</v>
      </c>
      <c r="BD35" s="666" cm="1">
        <f t="array" ref="BD35"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5" s="116"/>
      <c r="BF35" s="703"/>
      <c r="BG35" s="703"/>
      <c r="BH35" s="703"/>
      <c r="BI35" s="703"/>
      <c r="BJ35" s="74">
        <f t="shared" si="3"/>
        <v>0</v>
      </c>
      <c r="BK35" s="6">
        <f>IF(CHMATbl[[#This Row],[MANUFACTURED AND RURAL FUNDING REQUESTED]]=0,0,CHMATbl[[#This Row],[MANUFACTURED AND RURAL FUNDING REQUESTED]]/CH_MA_MFDRuralTotalRequested)</f>
        <v>0</v>
      </c>
      <c r="BL35" s="667">
        <f xml:space="preserve">
IF(CHMATbl[[#This Row],[NEW CONSTRUCTION OR AQUIRE/REHAB]]&lt;&gt;"",
3+IF(CHMATbl[[#This Row],[INFILL SITE]]="Yes",2,0),0)
*CHMATbl[[#This Row],[% OF TOTAL MANUFACTURED AND RURAL FUNDING]]</f>
        <v>0</v>
      </c>
      <c r="BM35" s="665">
        <f>IF(
CHMATbl[[#This Row],[ALL UNITS IN A HIGH OR HIGHEST RESOURCE AREA]]="Yes",
10*CHMATbl[[#This Row],[% OF TOTAL MANUFACTURED AND RURAL FUNDING]],
0)</f>
        <v>0</v>
      </c>
      <c r="BN35" s="665" cm="1">
        <f t="array" ref="BN35">INDEX(
CountyScoresTbl[Community Need Total Points],
ROW(CHMATbl[[#This Row],[COUNTY]])-2,1)*CHMATbl[[#This Row],[% OF TOTAL MANUFACTURED AND RURAL FUNDING]]</f>
        <v>0</v>
      </c>
      <c r="BO35" s="694" cm="1">
        <f t="array" ref="BO3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5" s="731" t="s">
        <v>504</v>
      </c>
      <c r="BQ35" s="676" t="s">
        <v>504</v>
      </c>
      <c r="BR35" s="677" t="s">
        <v>504</v>
      </c>
    </row>
    <row r="36" spans="1:70" s="662" customFormat="1" x14ac:dyDescent="0.35">
      <c r="A36" s="679"/>
      <c r="B36" s="5" t="s">
        <v>148</v>
      </c>
      <c r="C36" s="38" t="s">
        <v>513</v>
      </c>
      <c r="D36" s="113" t="str">
        <f>IF(SUM(CHMATbl[[#This Row],[UNRESTRICTED UNITS]])=0,"",CHMATbl[[#This Row],[UNRESTRICTED UNITS]])</f>
        <v/>
      </c>
      <c r="E36" s="74" t="str">
        <f xml:space="preserve">
IF(CHMATbl[[#This Row],[UNRESTRICTED FUNDING REQUESTED]]=0,"",
CHMATbl[[#This Row],[UNRESTRICTED FUNDING REQUESTED]]*
IF(CH_MA_UnrestrictedTotalRequested&lt;=5000000,1,
5000000/CH_MA_UnrestrictedTotalRequested)
)</f>
        <v/>
      </c>
      <c r="F36" s="6" t="str">
        <f>IFERROR(CHMATbl[[#This Row],[TOTAL $ REQUESTED]]/SUM(CHMATbl[TOTAL $ REQUESTED]),"")</f>
        <v/>
      </c>
      <c r="G36" s="38" t="s">
        <v>513</v>
      </c>
      <c r="H36" s="113" t="str">
        <f>IF(SUM(CHMATbl[[#This Row],[MANUFACTURED UNITS]])=0,"",CHMATbl[[#This Row],[MANUFACTURED UNITS]])</f>
        <v/>
      </c>
      <c r="I36" s="74" t="str">
        <f xml:space="preserve">
IF(CHMATbl[[#This Row],[MANUFACTURED FUNDING REQUESTED]]=0,"",
CHMATbl[[#This Row],[MANUFACTURED FUNDING REQUESTED]]*
IF(CH_MA_ManufacturedTotalRequested&lt;=(5000000-E$61),1,
(5000000-E$61)/CH_MA_ManufacturedTotalRequested)
)</f>
        <v/>
      </c>
      <c r="J36" s="6" t="str">
        <f>IFERROR(CHMATbl[[#This Row],[TOTAL $ REQUESTED2]]/SUM(CHMATbl[TOTAL $ REQUESTED2]),"")</f>
        <v/>
      </c>
      <c r="K36" s="38" t="s">
        <v>513</v>
      </c>
      <c r="L36" s="113" t="str">
        <f>IF(SUM(CHMATbl[[#This Row],[RURAL UNITS]])=0,"",CHMATbl[[#This Row],[RURAL UNITS]])</f>
        <v/>
      </c>
      <c r="M36" s="74" t="str">
        <f xml:space="preserve">
IF(CHMATbl[[#This Row],[RURAL FUNDING REQUESTED]]=0,"",
CHMATbl[[#This Row],[RURAL FUNDING REQUESTED]]*
IF(CH_MA_RuralTotalRequested&lt;=(5000000-E$61-I$61),1,
(5000000-E$61-I$61)/CH_MA_RuralTotalRequested)
)</f>
        <v/>
      </c>
      <c r="N36" s="6" t="str">
        <f>IFERROR(CHMATbl[[#This Row],[TOTAL $ REQUESTED3]]/SUM(CHMATbl[TOTAL $ REQUESTED3]),"")</f>
        <v/>
      </c>
      <c r="O36" s="38" t="s">
        <v>513</v>
      </c>
      <c r="P36" s="113" t="str">
        <f>IF(SUM(CHMATbl[[#This Row],[MANUFACTURED AND RURAL UNITS]])=0,"",CHMATbl[[#This Row],[MANUFACTURED AND RURAL UNITS]])</f>
        <v/>
      </c>
      <c r="Q36" s="74" t="str">
        <f xml:space="preserve">
IF(CHMATbl[[#This Row],[MANUFACTURED AND RURAL FUNDING REQUESTED]]=0,"",
CHMATbl[[#This Row],[MANUFACTURED AND RURAL FUNDING REQUESTED]]*
IF(CH_MA_MFDRuralTotalRequested&lt;=(5000000-E$61-I$61-M$61),1,
(5000000-E$61-I$61-M$61)/CH_MA_MFDRuralTotalRequested)
)</f>
        <v/>
      </c>
      <c r="R36" s="6" t="str">
        <f>IFERROR(CHMATbl[[#This Row],[TOTAL $ REQUESTED4]]/SUM(CHMATbl[TOTAL $ REQUESTED4]),"")</f>
        <v/>
      </c>
      <c r="S36" s="38" t="s">
        <v>513</v>
      </c>
      <c r="T36" s="736"/>
      <c r="U36" s="699"/>
      <c r="V36" s="699"/>
      <c r="W36" s="737"/>
      <c r="X36" s="116"/>
      <c r="Y36" s="703"/>
      <c r="Z36" s="703"/>
      <c r="AA36" s="703"/>
      <c r="AB36" s="703"/>
      <c r="AC36" s="98">
        <f t="shared" si="0"/>
        <v>0</v>
      </c>
      <c r="AD36" s="6">
        <f>IF(CHMATbl[[#This Row],[UNRESTRICTED FUNDING REQUESTED]]=0,0,CHMATbl[[#This Row],[UNRESTRICTED FUNDING REQUESTED]]/CH_MA_UnrestrictedTotalRequested)</f>
        <v>0</v>
      </c>
      <c r="AE36" s="667">
        <f xml:space="preserve">
IF(CHMATbl[[#This Row],[NEW CONSTRUCTION OR AQUIRE/REHAB]]&lt;&gt;"",
3+IF(CHMATbl[[#This Row],[INFILL SITE]]="Yes",2,0),0)
*CHMATbl[[#This Row],[% OF TOTAL UNRESTRICTED FUNDING]]</f>
        <v>0</v>
      </c>
      <c r="AF36" s="665">
        <f>IF(CHMATbl[[#This Row],[ALL UNITS IN A HIGH OR HIGHEST RESOURCE AREA]]="Yes",10*CHMATbl[[#This Row],[% OF TOTAL UNRESTRICTED FUNDING]],0)</f>
        <v>0</v>
      </c>
      <c r="AG36" s="665" cm="1">
        <f t="array" ref="AG36">INDEX(CountyScoresTbl[Community Need Total Points],ROW(CHMATbl[[#This Row],[COUNTY]])-2,1)*CHMATbl[[#This Row],[% OF TOTAL UNRESTRICTED FUNDING]]</f>
        <v>0</v>
      </c>
      <c r="AH36" s="666" cm="1">
        <f t="array" ref="AH36"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6" s="116"/>
      <c r="AJ36" s="703"/>
      <c r="AK36" s="703"/>
      <c r="AL36" s="703"/>
      <c r="AM36" s="703"/>
      <c r="AN36" s="74">
        <f t="shared" si="1"/>
        <v>0</v>
      </c>
      <c r="AO36" s="6">
        <f>IF(CHMATbl[[#This Row],[MANUFACTURED FUNDING REQUESTED]]=0,0,CHMATbl[[#This Row],[MANUFACTURED FUNDING REQUESTED]]/CH_MA_ManufacturedTotalRequested)</f>
        <v>0</v>
      </c>
      <c r="AP36" s="671">
        <f>IF(
CHMATbl[[#This Row],[NEW CONSTRUCTION OR AQUIRE/REHAB]]&lt;&gt;"",
3+IF(CHMATbl[[#This Row],[INFILL SITE]]="Yes",2,0),0)
*CHMATbl[[#This Row],[% OF TOTAL MANUFACTURED FUNDING]]</f>
        <v>0</v>
      </c>
      <c r="AQ36" s="7">
        <f>IF(CHMATbl[[#This Row],[ALL UNITS IN A HIGH OR HIGHEST RESOURCE AREA]]="Yes",10*CHMATbl[[#This Row],[% OF TOTAL MANUFACTURED FUNDING]],0)</f>
        <v>0</v>
      </c>
      <c r="AR36" s="7" cm="1">
        <f t="array" ref="AR36">INDEX(CountyScoresTbl[Community Need Total Points],ROW(CHMATbl[[#This Row],[COUNTY]])-2,1)*CHMATbl[[#This Row],[% OF TOTAL MANUFACTURED FUNDING]]</f>
        <v>0</v>
      </c>
      <c r="AS36" s="8" cm="1">
        <f t="array" ref="AS3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6" s="705"/>
      <c r="AU36" s="703"/>
      <c r="AV36" s="703"/>
      <c r="AW36" s="703"/>
      <c r="AX36" s="703"/>
      <c r="AY36" s="74">
        <f t="shared" si="2"/>
        <v>0</v>
      </c>
      <c r="AZ36" s="6">
        <f>IF(CHMATbl[[#This Row],[RURAL FUNDING REQUESTED]]=0,0,CHMATbl[[#This Row],[RURAL FUNDING REQUESTED]]/CH_MA_RuralTotalRequested)</f>
        <v>0</v>
      </c>
      <c r="BA36" s="667">
        <f>IF(
CHMATbl[[#This Row],[NEW CONSTRUCTION OR AQUIRE/REHAB]]&lt;&gt;"",
3+IF(CHMATbl[[#This Row],[INFILL SITE]]="Yes",2,0),0)
*CHMATbl[[#This Row],[% OF TOTAL RURAL FUNDING]]</f>
        <v>0</v>
      </c>
      <c r="BB36" s="665">
        <f>IF(
CHMATbl[[#This Row],[ALL UNITS IN A HIGH OR HIGHEST RESOURCE AREA]]="Yes",
10*CHMATbl[[#This Row],[% OF TOTAL RURAL FUNDING]],
0)</f>
        <v>0</v>
      </c>
      <c r="BC36" s="665" cm="1">
        <f t="array" ref="BC36">INDEX(
CountyScoresTbl[Community Need Total Points],
ROW(CHMATbl[[#This Row],[COUNTY]])-2,1)*CHMATbl[[#This Row],[% OF TOTAL RURAL FUNDING]]</f>
        <v>0</v>
      </c>
      <c r="BD36" s="666" cm="1">
        <f t="array" ref="BD36"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6" s="116"/>
      <c r="BF36" s="703"/>
      <c r="BG36" s="703"/>
      <c r="BH36" s="703"/>
      <c r="BI36" s="703"/>
      <c r="BJ36" s="74">
        <f t="shared" si="3"/>
        <v>0</v>
      </c>
      <c r="BK36" s="6">
        <f>IF(CHMATbl[[#This Row],[MANUFACTURED AND RURAL FUNDING REQUESTED]]=0,0,CHMATbl[[#This Row],[MANUFACTURED AND RURAL FUNDING REQUESTED]]/CH_MA_MFDRuralTotalRequested)</f>
        <v>0</v>
      </c>
      <c r="BL36" s="667">
        <f xml:space="preserve">
IF(CHMATbl[[#This Row],[NEW CONSTRUCTION OR AQUIRE/REHAB]]&lt;&gt;"",
3+IF(CHMATbl[[#This Row],[INFILL SITE]]="Yes",2,0),0)
*CHMATbl[[#This Row],[% OF TOTAL MANUFACTURED AND RURAL FUNDING]]</f>
        <v>0</v>
      </c>
      <c r="BM36" s="665">
        <f>IF(
CHMATbl[[#This Row],[ALL UNITS IN A HIGH OR HIGHEST RESOURCE AREA]]="Yes",
10*CHMATbl[[#This Row],[% OF TOTAL MANUFACTURED AND RURAL FUNDING]],
0)</f>
        <v>0</v>
      </c>
      <c r="BN36" s="665" cm="1">
        <f t="array" ref="BN36">INDEX(
CountyScoresTbl[Community Need Total Points],
ROW(CHMATbl[[#This Row],[COUNTY]])-2,1)*CHMATbl[[#This Row],[% OF TOTAL MANUFACTURED AND RURAL FUNDING]]</f>
        <v>0</v>
      </c>
      <c r="BO36" s="694" cm="1">
        <f t="array" ref="BO3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6" s="732"/>
      <c r="BQ36" s="564"/>
      <c r="BR36" s="678"/>
    </row>
    <row r="37" spans="1:70" s="662" customFormat="1" x14ac:dyDescent="0.35">
      <c r="A37" s="674"/>
      <c r="B37" s="5" t="s">
        <v>149</v>
      </c>
      <c r="C37" s="38" t="s">
        <v>513</v>
      </c>
      <c r="D37" s="113" t="str">
        <f>IF(SUM(CHMATbl[[#This Row],[UNRESTRICTED UNITS]])=0,"",CHMATbl[[#This Row],[UNRESTRICTED UNITS]])</f>
        <v/>
      </c>
      <c r="E37" s="74" t="str">
        <f xml:space="preserve">
IF(CHMATbl[[#This Row],[UNRESTRICTED FUNDING REQUESTED]]=0,"",
CHMATbl[[#This Row],[UNRESTRICTED FUNDING REQUESTED]]*
IF(CH_MA_UnrestrictedTotalRequested&lt;=5000000,1,
5000000/CH_MA_UnrestrictedTotalRequested)
)</f>
        <v/>
      </c>
      <c r="F37" s="6" t="str">
        <f>IFERROR(CHMATbl[[#This Row],[TOTAL $ REQUESTED]]/SUM(CHMATbl[TOTAL $ REQUESTED]),"")</f>
        <v/>
      </c>
      <c r="G37" s="38" t="s">
        <v>513</v>
      </c>
      <c r="H37" s="113" t="str">
        <f>IF(SUM(CHMATbl[[#This Row],[MANUFACTURED UNITS]])=0,"",CHMATbl[[#This Row],[MANUFACTURED UNITS]])</f>
        <v/>
      </c>
      <c r="I37" s="74" t="str">
        <f xml:space="preserve">
IF(CHMATbl[[#This Row],[MANUFACTURED FUNDING REQUESTED]]=0,"",
CHMATbl[[#This Row],[MANUFACTURED FUNDING REQUESTED]]*
IF(CH_MA_ManufacturedTotalRequested&lt;=(5000000-E$61),1,
(5000000-E$61)/CH_MA_ManufacturedTotalRequested)
)</f>
        <v/>
      </c>
      <c r="J37" s="6" t="str">
        <f>IFERROR(CHMATbl[[#This Row],[TOTAL $ REQUESTED2]]/SUM(CHMATbl[TOTAL $ REQUESTED2]),"")</f>
        <v/>
      </c>
      <c r="K37" s="38" t="s">
        <v>513</v>
      </c>
      <c r="L37" s="113" t="str">
        <f>IF(SUM(CHMATbl[[#This Row],[RURAL UNITS]])=0,"",CHMATbl[[#This Row],[RURAL UNITS]])</f>
        <v/>
      </c>
      <c r="M37" s="74" t="str">
        <f xml:space="preserve">
IF(CHMATbl[[#This Row],[RURAL FUNDING REQUESTED]]=0,"",
CHMATbl[[#This Row],[RURAL FUNDING REQUESTED]]*
IF(CH_MA_RuralTotalRequested&lt;=(5000000-E$61-I$61),1,
(5000000-E$61-I$61)/CH_MA_RuralTotalRequested)
)</f>
        <v/>
      </c>
      <c r="N37" s="6" t="str">
        <f>IFERROR(CHMATbl[[#This Row],[TOTAL $ REQUESTED3]]/SUM(CHMATbl[TOTAL $ REQUESTED3]),"")</f>
        <v/>
      </c>
      <c r="O37" s="38" t="s">
        <v>513</v>
      </c>
      <c r="P37" s="113" t="str">
        <f>IF(SUM(CHMATbl[[#This Row],[MANUFACTURED AND RURAL UNITS]])=0,"",CHMATbl[[#This Row],[MANUFACTURED AND RURAL UNITS]])</f>
        <v/>
      </c>
      <c r="Q37" s="74" t="str">
        <f xml:space="preserve">
IF(CHMATbl[[#This Row],[MANUFACTURED AND RURAL FUNDING REQUESTED]]=0,"",
CHMATbl[[#This Row],[MANUFACTURED AND RURAL FUNDING REQUESTED]]*
IF(CH_MA_MFDRuralTotalRequested&lt;=(5000000-E$61-I$61-M$61),1,
(5000000-E$61-I$61-M$61)/CH_MA_MFDRuralTotalRequested)
)</f>
        <v/>
      </c>
      <c r="R37" s="6" t="str">
        <f>IFERROR(CHMATbl[[#This Row],[TOTAL $ REQUESTED4]]/SUM(CHMATbl[TOTAL $ REQUESTED4]),"")</f>
        <v/>
      </c>
      <c r="S37" s="38" t="s">
        <v>513</v>
      </c>
      <c r="T37" s="800"/>
      <c r="U37" s="801"/>
      <c r="V37" s="801"/>
      <c r="W37" s="803"/>
      <c r="X37" s="702"/>
      <c r="Y37" s="703"/>
      <c r="Z37" s="703"/>
      <c r="AA37" s="703"/>
      <c r="AB37" s="703"/>
      <c r="AC37" s="98">
        <f t="shared" si="0"/>
        <v>0</v>
      </c>
      <c r="AD37" s="6">
        <f>IF(CHMATbl[[#This Row],[UNRESTRICTED FUNDING REQUESTED]]=0,0,CHMATbl[[#This Row],[UNRESTRICTED FUNDING REQUESTED]]/CH_MA_UnrestrictedTotalRequested)</f>
        <v>0</v>
      </c>
      <c r="AE37" s="667">
        <f xml:space="preserve">
IF(CHMATbl[[#This Row],[NEW CONSTRUCTION OR AQUIRE/REHAB]]&lt;&gt;"",
3+IF(CHMATbl[[#This Row],[INFILL SITE]]="Yes",2,0),0)
*CHMATbl[[#This Row],[% OF TOTAL UNRESTRICTED FUNDING]]</f>
        <v>0</v>
      </c>
      <c r="AF37" s="665">
        <f>IF(CHMATbl[[#This Row],[ALL UNITS IN A HIGH OR HIGHEST RESOURCE AREA]]="Yes",10*CHMATbl[[#This Row],[% OF TOTAL UNRESTRICTED FUNDING]],0)</f>
        <v>0</v>
      </c>
      <c r="AG37" s="665" cm="1">
        <f t="array" ref="AG37">INDEX(CountyScoresTbl[Community Need Total Points],ROW(CHMATbl[[#This Row],[COUNTY]])-2,1)*CHMATbl[[#This Row],[% OF TOTAL UNRESTRICTED FUNDING]]</f>
        <v>0</v>
      </c>
      <c r="AH37" s="666" cm="1">
        <f t="array" ref="AH37"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7" s="702"/>
      <c r="AJ37" s="703"/>
      <c r="AK37" s="703"/>
      <c r="AL37" s="703"/>
      <c r="AM37" s="703"/>
      <c r="AN37" s="74">
        <f t="shared" si="1"/>
        <v>0</v>
      </c>
      <c r="AO37" s="6">
        <f>IF(CHMATbl[[#This Row],[MANUFACTURED FUNDING REQUESTED]]=0,0,CHMATbl[[#This Row],[MANUFACTURED FUNDING REQUESTED]]/CH_MA_ManufacturedTotalRequested)</f>
        <v>0</v>
      </c>
      <c r="AP37" s="671">
        <f>IF(
CHMATbl[[#This Row],[NEW CONSTRUCTION OR AQUIRE/REHAB]]&lt;&gt;"",
3+IF(CHMATbl[[#This Row],[INFILL SITE]]="Yes",2,0),0)
*CHMATbl[[#This Row],[% OF TOTAL MANUFACTURED FUNDING]]</f>
        <v>0</v>
      </c>
      <c r="AQ37" s="7">
        <f>IF(CHMATbl[[#This Row],[ALL UNITS IN A HIGH OR HIGHEST RESOURCE AREA]]="Yes",10*CHMATbl[[#This Row],[% OF TOTAL MANUFACTURED FUNDING]],0)</f>
        <v>0</v>
      </c>
      <c r="AR37" s="7" cm="1">
        <f t="array" ref="AR37">INDEX(CountyScoresTbl[Community Need Total Points],ROW(CHMATbl[[#This Row],[COUNTY]])-2,1)*CHMATbl[[#This Row],[% OF TOTAL MANUFACTURED FUNDING]]</f>
        <v>0</v>
      </c>
      <c r="AS37" s="8" cm="1">
        <f t="array" ref="AS3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7" s="802"/>
      <c r="AU37" s="703"/>
      <c r="AV37" s="703"/>
      <c r="AW37" s="703"/>
      <c r="AX37" s="703"/>
      <c r="AY37" s="74">
        <f t="shared" si="2"/>
        <v>0</v>
      </c>
      <c r="AZ37" s="6">
        <f>IF(CHMATbl[[#This Row],[RURAL FUNDING REQUESTED]]=0,0,CHMATbl[[#This Row],[RURAL FUNDING REQUESTED]]/CH_MA_RuralTotalRequested)</f>
        <v>0</v>
      </c>
      <c r="BA37" s="667">
        <f>IF(
CHMATbl[[#This Row],[NEW CONSTRUCTION OR AQUIRE/REHAB]]&lt;&gt;"",
3+IF(CHMATbl[[#This Row],[INFILL SITE]]="Yes",2,0),0)
*CHMATbl[[#This Row],[% OF TOTAL RURAL FUNDING]]</f>
        <v>0</v>
      </c>
      <c r="BB37" s="665">
        <f>IF(
CHMATbl[[#This Row],[ALL UNITS IN A HIGH OR HIGHEST RESOURCE AREA]]="Yes",
10*CHMATbl[[#This Row],[% OF TOTAL RURAL FUNDING]],
0)</f>
        <v>0</v>
      </c>
      <c r="BC37" s="665" cm="1">
        <f t="array" ref="BC37">INDEX(
CountyScoresTbl[Community Need Total Points],
ROW(CHMATbl[[#This Row],[COUNTY]])-2,1)*CHMATbl[[#This Row],[% OF TOTAL RURAL FUNDING]]</f>
        <v>0</v>
      </c>
      <c r="BD37" s="666" cm="1">
        <f t="array" ref="BD37"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7" s="702"/>
      <c r="BF37" s="703"/>
      <c r="BG37" s="703"/>
      <c r="BH37" s="703"/>
      <c r="BI37" s="703"/>
      <c r="BJ37" s="74">
        <f t="shared" si="3"/>
        <v>0</v>
      </c>
      <c r="BK37" s="6">
        <f>IF(CHMATbl[[#This Row],[MANUFACTURED AND RURAL FUNDING REQUESTED]]=0,0,CHMATbl[[#This Row],[MANUFACTURED AND RURAL FUNDING REQUESTED]]/CH_MA_MFDRuralTotalRequested)</f>
        <v>0</v>
      </c>
      <c r="BL37" s="667">
        <f xml:space="preserve">
IF(CHMATbl[[#This Row],[NEW CONSTRUCTION OR AQUIRE/REHAB]]&lt;&gt;"",
3+IF(CHMATbl[[#This Row],[INFILL SITE]]="Yes",2,0),0)
*CHMATbl[[#This Row],[% OF TOTAL MANUFACTURED AND RURAL FUNDING]]</f>
        <v>0</v>
      </c>
      <c r="BM37" s="665">
        <f>IF(
CHMATbl[[#This Row],[ALL UNITS IN A HIGH OR HIGHEST RESOURCE AREA]]="Yes",
10*CHMATbl[[#This Row],[% OF TOTAL MANUFACTURED AND RURAL FUNDING]],
0)</f>
        <v>0</v>
      </c>
      <c r="BN37" s="665" cm="1">
        <f t="array" ref="BN37">INDEX(
CountyScoresTbl[Community Need Total Points],
ROW(CHMATbl[[#This Row],[COUNTY]])-2,1)*CHMATbl[[#This Row],[% OF TOTAL MANUFACTURED AND RURAL FUNDING]]</f>
        <v>0</v>
      </c>
      <c r="BO37" s="694" cm="1">
        <f t="array" ref="BO3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7" s="731"/>
      <c r="BQ37" s="676"/>
      <c r="BR37" s="677"/>
    </row>
    <row r="38" spans="1:70" s="662" customFormat="1" x14ac:dyDescent="0.35">
      <c r="A38" s="679"/>
      <c r="B38" s="5" t="s">
        <v>150</v>
      </c>
      <c r="C38" s="38" t="s">
        <v>513</v>
      </c>
      <c r="D38" s="113" t="str">
        <f>IF(SUM(CHMATbl[[#This Row],[UNRESTRICTED UNITS]])=0,"",CHMATbl[[#This Row],[UNRESTRICTED UNITS]])</f>
        <v/>
      </c>
      <c r="E38" s="74" t="str">
        <f xml:space="preserve">
IF(CHMATbl[[#This Row],[UNRESTRICTED FUNDING REQUESTED]]=0,"",
CHMATbl[[#This Row],[UNRESTRICTED FUNDING REQUESTED]]*
IF(CH_MA_UnrestrictedTotalRequested&lt;=5000000,1,
5000000/CH_MA_UnrestrictedTotalRequested)
)</f>
        <v/>
      </c>
      <c r="F38" s="6" t="str">
        <f>IFERROR(CHMATbl[[#This Row],[TOTAL $ REQUESTED]]/SUM(CHMATbl[TOTAL $ REQUESTED]),"")</f>
        <v/>
      </c>
      <c r="G38" s="38" t="s">
        <v>513</v>
      </c>
      <c r="H38" s="113" t="str">
        <f>IF(SUM(CHMATbl[[#This Row],[MANUFACTURED UNITS]])=0,"",CHMATbl[[#This Row],[MANUFACTURED UNITS]])</f>
        <v/>
      </c>
      <c r="I38" s="74" t="str">
        <f xml:space="preserve">
IF(CHMATbl[[#This Row],[MANUFACTURED FUNDING REQUESTED]]=0,"",
CHMATbl[[#This Row],[MANUFACTURED FUNDING REQUESTED]]*
IF(CH_MA_ManufacturedTotalRequested&lt;=(5000000-E$61),1,
(5000000-E$61)/CH_MA_ManufacturedTotalRequested)
)</f>
        <v/>
      </c>
      <c r="J38" s="6" t="str">
        <f>IFERROR(CHMATbl[[#This Row],[TOTAL $ REQUESTED2]]/SUM(CHMATbl[TOTAL $ REQUESTED2]),"")</f>
        <v/>
      </c>
      <c r="K38" s="38" t="s">
        <v>513</v>
      </c>
      <c r="L38" s="113" t="str">
        <f>IF(SUM(CHMATbl[[#This Row],[RURAL UNITS]])=0,"",CHMATbl[[#This Row],[RURAL UNITS]])</f>
        <v/>
      </c>
      <c r="M38" s="74" t="str">
        <f xml:space="preserve">
IF(CHMATbl[[#This Row],[RURAL FUNDING REQUESTED]]=0,"",
CHMATbl[[#This Row],[RURAL FUNDING REQUESTED]]*
IF(CH_MA_RuralTotalRequested&lt;=(5000000-E$61-I$61),1,
(5000000-E$61-I$61)/CH_MA_RuralTotalRequested)
)</f>
        <v/>
      </c>
      <c r="N38" s="6" t="str">
        <f>IFERROR(CHMATbl[[#This Row],[TOTAL $ REQUESTED3]]/SUM(CHMATbl[TOTAL $ REQUESTED3]),"")</f>
        <v/>
      </c>
      <c r="O38" s="38" t="s">
        <v>513</v>
      </c>
      <c r="P38" s="113" t="str">
        <f>IF(SUM(CHMATbl[[#This Row],[MANUFACTURED AND RURAL UNITS]])=0,"",CHMATbl[[#This Row],[MANUFACTURED AND RURAL UNITS]])</f>
        <v/>
      </c>
      <c r="Q38" s="74" t="str">
        <f xml:space="preserve">
IF(CHMATbl[[#This Row],[MANUFACTURED AND RURAL FUNDING REQUESTED]]=0,"",
CHMATbl[[#This Row],[MANUFACTURED AND RURAL FUNDING REQUESTED]]*
IF(CH_MA_MFDRuralTotalRequested&lt;=(5000000-E$61-I$61-M$61),1,
(5000000-E$61-I$61-M$61)/CH_MA_MFDRuralTotalRequested)
)</f>
        <v/>
      </c>
      <c r="R38" s="6" t="str">
        <f>IFERROR(CHMATbl[[#This Row],[TOTAL $ REQUESTED4]]/SUM(CHMATbl[TOTAL $ REQUESTED4]),"")</f>
        <v/>
      </c>
      <c r="S38" s="38" t="s">
        <v>513</v>
      </c>
      <c r="T38" s="736"/>
      <c r="U38" s="699"/>
      <c r="V38" s="699"/>
      <c r="W38" s="737"/>
      <c r="X38" s="116"/>
      <c r="Y38" s="703"/>
      <c r="Z38" s="703"/>
      <c r="AA38" s="703"/>
      <c r="AB38" s="703"/>
      <c r="AC38" s="98">
        <f t="shared" si="0"/>
        <v>0</v>
      </c>
      <c r="AD38" s="6">
        <f>IF(CHMATbl[[#This Row],[UNRESTRICTED FUNDING REQUESTED]]=0,0,CHMATbl[[#This Row],[UNRESTRICTED FUNDING REQUESTED]]/CH_MA_UnrestrictedTotalRequested)</f>
        <v>0</v>
      </c>
      <c r="AE38" s="667">
        <f xml:space="preserve">
IF(CHMATbl[[#This Row],[NEW CONSTRUCTION OR AQUIRE/REHAB]]&lt;&gt;"",
3+IF(CHMATbl[[#This Row],[INFILL SITE]]="Yes",2,0),0)
*CHMATbl[[#This Row],[% OF TOTAL UNRESTRICTED FUNDING]]</f>
        <v>0</v>
      </c>
      <c r="AF38" s="665">
        <f>IF(CHMATbl[[#This Row],[ALL UNITS IN A HIGH OR HIGHEST RESOURCE AREA]]="Yes",10*CHMATbl[[#This Row],[% OF TOTAL UNRESTRICTED FUNDING]],0)</f>
        <v>0</v>
      </c>
      <c r="AG38" s="665" cm="1">
        <f t="array" ref="AG38">INDEX(CountyScoresTbl[Community Need Total Points],ROW(CHMATbl[[#This Row],[COUNTY]])-2,1)*CHMATbl[[#This Row],[% OF TOTAL UNRESTRICTED FUNDING]]</f>
        <v>0</v>
      </c>
      <c r="AH38" s="666" cm="1">
        <f t="array" ref="AH38"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8" s="116"/>
      <c r="AJ38" s="703"/>
      <c r="AK38" s="703"/>
      <c r="AL38" s="703"/>
      <c r="AM38" s="703"/>
      <c r="AN38" s="74">
        <f t="shared" si="1"/>
        <v>0</v>
      </c>
      <c r="AO38" s="6">
        <f>IF(CHMATbl[[#This Row],[MANUFACTURED FUNDING REQUESTED]]=0,0,CHMATbl[[#This Row],[MANUFACTURED FUNDING REQUESTED]]/CH_MA_ManufacturedTotalRequested)</f>
        <v>0</v>
      </c>
      <c r="AP38" s="671">
        <f>IF(
CHMATbl[[#This Row],[NEW CONSTRUCTION OR AQUIRE/REHAB]]&lt;&gt;"",
3+IF(CHMATbl[[#This Row],[INFILL SITE]]="Yes",2,0),0)
*CHMATbl[[#This Row],[% OF TOTAL MANUFACTURED FUNDING]]</f>
        <v>0</v>
      </c>
      <c r="AQ38" s="7">
        <f>IF(CHMATbl[[#This Row],[ALL UNITS IN A HIGH OR HIGHEST RESOURCE AREA]]="Yes",10*CHMATbl[[#This Row],[% OF TOTAL MANUFACTURED FUNDING]],0)</f>
        <v>0</v>
      </c>
      <c r="AR38" s="7" cm="1">
        <f t="array" ref="AR38">INDEX(CountyScoresTbl[Community Need Total Points],ROW(CHMATbl[[#This Row],[COUNTY]])-2,1)*CHMATbl[[#This Row],[% OF TOTAL MANUFACTURED FUNDING]]</f>
        <v>0</v>
      </c>
      <c r="AS38" s="8" cm="1">
        <f t="array" ref="AS3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8" s="705"/>
      <c r="AU38" s="703"/>
      <c r="AV38" s="703"/>
      <c r="AW38" s="703"/>
      <c r="AX38" s="703"/>
      <c r="AY38" s="74">
        <f t="shared" si="2"/>
        <v>0</v>
      </c>
      <c r="AZ38" s="6">
        <f>IF(CHMATbl[[#This Row],[RURAL FUNDING REQUESTED]]=0,0,CHMATbl[[#This Row],[RURAL FUNDING REQUESTED]]/CH_MA_RuralTotalRequested)</f>
        <v>0</v>
      </c>
      <c r="BA38" s="667">
        <f>IF(
CHMATbl[[#This Row],[NEW CONSTRUCTION OR AQUIRE/REHAB]]&lt;&gt;"",
3+IF(CHMATbl[[#This Row],[INFILL SITE]]="Yes",2,0),0)
*CHMATbl[[#This Row],[% OF TOTAL RURAL FUNDING]]</f>
        <v>0</v>
      </c>
      <c r="BB38" s="665">
        <f>IF(
CHMATbl[[#This Row],[ALL UNITS IN A HIGH OR HIGHEST RESOURCE AREA]]="Yes",
10*CHMATbl[[#This Row],[% OF TOTAL RURAL FUNDING]],
0)</f>
        <v>0</v>
      </c>
      <c r="BC38" s="665" cm="1">
        <f t="array" ref="BC38">INDEX(
CountyScoresTbl[Community Need Total Points],
ROW(CHMATbl[[#This Row],[COUNTY]])-2,1)*CHMATbl[[#This Row],[% OF TOTAL RURAL FUNDING]]</f>
        <v>0</v>
      </c>
      <c r="BD38" s="666" cm="1">
        <f t="array" ref="BD38"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8" s="116"/>
      <c r="BF38" s="703"/>
      <c r="BG38" s="703"/>
      <c r="BH38" s="703"/>
      <c r="BI38" s="703"/>
      <c r="BJ38" s="74">
        <f t="shared" si="3"/>
        <v>0</v>
      </c>
      <c r="BK38" s="6">
        <f>IF(CHMATbl[[#This Row],[MANUFACTURED AND RURAL FUNDING REQUESTED]]=0,0,CHMATbl[[#This Row],[MANUFACTURED AND RURAL FUNDING REQUESTED]]/CH_MA_MFDRuralTotalRequested)</f>
        <v>0</v>
      </c>
      <c r="BL38" s="667">
        <f xml:space="preserve">
IF(CHMATbl[[#This Row],[NEW CONSTRUCTION OR AQUIRE/REHAB]]&lt;&gt;"",
3+IF(CHMATbl[[#This Row],[INFILL SITE]]="Yes",2,0),0)
*CHMATbl[[#This Row],[% OF TOTAL MANUFACTURED AND RURAL FUNDING]]</f>
        <v>0</v>
      </c>
      <c r="BM38" s="665">
        <f>IF(
CHMATbl[[#This Row],[ALL UNITS IN A HIGH OR HIGHEST RESOURCE AREA]]="Yes",
10*CHMATbl[[#This Row],[% OF TOTAL MANUFACTURED AND RURAL FUNDING]],
0)</f>
        <v>0</v>
      </c>
      <c r="BN38" s="665" cm="1">
        <f t="array" ref="BN38">INDEX(
CountyScoresTbl[Community Need Total Points],
ROW(CHMATbl[[#This Row],[COUNTY]])-2,1)*CHMATbl[[#This Row],[% OF TOTAL MANUFACTURED AND RURAL FUNDING]]</f>
        <v>0</v>
      </c>
      <c r="BO38" s="694" cm="1">
        <f t="array" ref="BO3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8" s="732"/>
      <c r="BQ38" s="564"/>
      <c r="BR38" s="678"/>
    </row>
    <row r="39" spans="1:70" s="662" customFormat="1" x14ac:dyDescent="0.35">
      <c r="A39" s="679"/>
      <c r="B39" s="5" t="s">
        <v>151</v>
      </c>
      <c r="C39" s="38" t="s">
        <v>513</v>
      </c>
      <c r="D39" s="113" t="str">
        <f>IF(SUM(CHMATbl[[#This Row],[UNRESTRICTED UNITS]])=0,"",CHMATbl[[#This Row],[UNRESTRICTED UNITS]])</f>
        <v/>
      </c>
      <c r="E39" s="74" t="str">
        <f xml:space="preserve">
IF(CHMATbl[[#This Row],[UNRESTRICTED FUNDING REQUESTED]]=0,"",
CHMATbl[[#This Row],[UNRESTRICTED FUNDING REQUESTED]]*
IF(CH_MA_UnrestrictedTotalRequested&lt;=5000000,1,
5000000/CH_MA_UnrestrictedTotalRequested)
)</f>
        <v/>
      </c>
      <c r="F39" s="6" t="str">
        <f>IFERROR(CHMATbl[[#This Row],[TOTAL $ REQUESTED]]/SUM(CHMATbl[TOTAL $ REQUESTED]),"")</f>
        <v/>
      </c>
      <c r="G39" s="38" t="s">
        <v>513</v>
      </c>
      <c r="H39" s="113" t="str">
        <f>IF(SUM(CHMATbl[[#This Row],[MANUFACTURED UNITS]])=0,"",CHMATbl[[#This Row],[MANUFACTURED UNITS]])</f>
        <v/>
      </c>
      <c r="I39" s="74" t="str">
        <f xml:space="preserve">
IF(CHMATbl[[#This Row],[MANUFACTURED FUNDING REQUESTED]]=0,"",
CHMATbl[[#This Row],[MANUFACTURED FUNDING REQUESTED]]*
IF(CH_MA_ManufacturedTotalRequested&lt;=(5000000-E$61),1,
(5000000-E$61)/CH_MA_ManufacturedTotalRequested)
)</f>
        <v/>
      </c>
      <c r="J39" s="6" t="str">
        <f>IFERROR(CHMATbl[[#This Row],[TOTAL $ REQUESTED2]]/SUM(CHMATbl[TOTAL $ REQUESTED2]),"")</f>
        <v/>
      </c>
      <c r="K39" s="38" t="s">
        <v>513</v>
      </c>
      <c r="L39" s="113" t="str">
        <f>IF(SUM(CHMATbl[[#This Row],[RURAL UNITS]])=0,"",CHMATbl[[#This Row],[RURAL UNITS]])</f>
        <v/>
      </c>
      <c r="M39" s="74" t="str">
        <f xml:space="preserve">
IF(CHMATbl[[#This Row],[RURAL FUNDING REQUESTED]]=0,"",
CHMATbl[[#This Row],[RURAL FUNDING REQUESTED]]*
IF(CH_MA_RuralTotalRequested&lt;=(5000000-E$61-I$61),1,
(5000000-E$61-I$61)/CH_MA_RuralTotalRequested)
)</f>
        <v/>
      </c>
      <c r="N39" s="6" t="str">
        <f>IFERROR(CHMATbl[[#This Row],[TOTAL $ REQUESTED3]]/SUM(CHMATbl[TOTAL $ REQUESTED3]),"")</f>
        <v/>
      </c>
      <c r="O39" s="38" t="s">
        <v>513</v>
      </c>
      <c r="P39" s="113" t="str">
        <f>IF(SUM(CHMATbl[[#This Row],[MANUFACTURED AND RURAL UNITS]])=0,"",CHMATbl[[#This Row],[MANUFACTURED AND RURAL UNITS]])</f>
        <v/>
      </c>
      <c r="Q39" s="74" t="str">
        <f xml:space="preserve">
IF(CHMATbl[[#This Row],[MANUFACTURED AND RURAL FUNDING REQUESTED]]=0,"",
CHMATbl[[#This Row],[MANUFACTURED AND RURAL FUNDING REQUESTED]]*
IF(CH_MA_MFDRuralTotalRequested&lt;=(5000000-E$61-I$61-M$61),1,
(5000000-E$61-I$61-M$61)/CH_MA_MFDRuralTotalRequested)
)</f>
        <v/>
      </c>
      <c r="R39" s="6" t="str">
        <f>IFERROR(CHMATbl[[#This Row],[TOTAL $ REQUESTED4]]/SUM(CHMATbl[TOTAL $ REQUESTED4]),"")</f>
        <v/>
      </c>
      <c r="S39" s="38" t="s">
        <v>513</v>
      </c>
      <c r="T39" s="736"/>
      <c r="U39" s="699"/>
      <c r="V39" s="699"/>
      <c r="W39" s="737"/>
      <c r="X39" s="116"/>
      <c r="Y39" s="703"/>
      <c r="Z39" s="703"/>
      <c r="AA39" s="703"/>
      <c r="AB39" s="703"/>
      <c r="AC39" s="98">
        <f t="shared" si="0"/>
        <v>0</v>
      </c>
      <c r="AD39" s="6">
        <f>IF(CHMATbl[[#This Row],[UNRESTRICTED FUNDING REQUESTED]]=0,0,CHMATbl[[#This Row],[UNRESTRICTED FUNDING REQUESTED]]/CH_MA_UnrestrictedTotalRequested)</f>
        <v>0</v>
      </c>
      <c r="AE39" s="667">
        <f xml:space="preserve">
IF(CHMATbl[[#This Row],[NEW CONSTRUCTION OR AQUIRE/REHAB]]&lt;&gt;"",
3+IF(CHMATbl[[#This Row],[INFILL SITE]]="Yes",2,0),0)
*CHMATbl[[#This Row],[% OF TOTAL UNRESTRICTED FUNDING]]</f>
        <v>0</v>
      </c>
      <c r="AF39" s="665">
        <f>IF(CHMATbl[[#This Row],[ALL UNITS IN A HIGH OR HIGHEST RESOURCE AREA]]="Yes",10*CHMATbl[[#This Row],[% OF TOTAL UNRESTRICTED FUNDING]],0)</f>
        <v>0</v>
      </c>
      <c r="AG39" s="665" cm="1">
        <f t="array" ref="AG39">INDEX(CountyScoresTbl[Community Need Total Points],ROW(CHMATbl[[#This Row],[COUNTY]])-2,1)*CHMATbl[[#This Row],[% OF TOTAL UNRESTRICTED FUNDING]]</f>
        <v>0</v>
      </c>
      <c r="AH39" s="666" cm="1">
        <f t="array" ref="AH39"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39" s="116"/>
      <c r="AJ39" s="703"/>
      <c r="AK39" s="703"/>
      <c r="AL39" s="703"/>
      <c r="AM39" s="703"/>
      <c r="AN39" s="74">
        <f t="shared" si="1"/>
        <v>0</v>
      </c>
      <c r="AO39" s="6">
        <f>IF(CHMATbl[[#This Row],[MANUFACTURED FUNDING REQUESTED]]=0,0,CHMATbl[[#This Row],[MANUFACTURED FUNDING REQUESTED]]/CH_MA_ManufacturedTotalRequested)</f>
        <v>0</v>
      </c>
      <c r="AP39" s="671">
        <f>IF(
CHMATbl[[#This Row],[NEW CONSTRUCTION OR AQUIRE/REHAB]]&lt;&gt;"",
3+IF(CHMATbl[[#This Row],[INFILL SITE]]="Yes",2,0),0)
*CHMATbl[[#This Row],[% OF TOTAL MANUFACTURED FUNDING]]</f>
        <v>0</v>
      </c>
      <c r="AQ39" s="7">
        <f>IF(CHMATbl[[#This Row],[ALL UNITS IN A HIGH OR HIGHEST RESOURCE AREA]]="Yes",10*CHMATbl[[#This Row],[% OF TOTAL MANUFACTURED FUNDING]],0)</f>
        <v>0</v>
      </c>
      <c r="AR39" s="7" cm="1">
        <f t="array" ref="AR39">INDEX(CountyScoresTbl[Community Need Total Points],ROW(CHMATbl[[#This Row],[COUNTY]])-2,1)*CHMATbl[[#This Row],[% OF TOTAL MANUFACTURED FUNDING]]</f>
        <v>0</v>
      </c>
      <c r="AS39" s="8" cm="1">
        <f t="array" ref="AS3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39" s="705"/>
      <c r="AU39" s="703"/>
      <c r="AV39" s="703"/>
      <c r="AW39" s="703"/>
      <c r="AX39" s="703"/>
      <c r="AY39" s="74">
        <f t="shared" si="2"/>
        <v>0</v>
      </c>
      <c r="AZ39" s="6">
        <f>IF(CHMATbl[[#This Row],[RURAL FUNDING REQUESTED]]=0,0,CHMATbl[[#This Row],[RURAL FUNDING REQUESTED]]/CH_MA_RuralTotalRequested)</f>
        <v>0</v>
      </c>
      <c r="BA39" s="667">
        <f>IF(
CHMATbl[[#This Row],[NEW CONSTRUCTION OR AQUIRE/REHAB]]&lt;&gt;"",
3+IF(CHMATbl[[#This Row],[INFILL SITE]]="Yes",2,0),0)
*CHMATbl[[#This Row],[% OF TOTAL RURAL FUNDING]]</f>
        <v>0</v>
      </c>
      <c r="BB39" s="665">
        <f>IF(
CHMATbl[[#This Row],[ALL UNITS IN A HIGH OR HIGHEST RESOURCE AREA]]="Yes",
10*CHMATbl[[#This Row],[% OF TOTAL RURAL FUNDING]],
0)</f>
        <v>0</v>
      </c>
      <c r="BC39" s="665" cm="1">
        <f t="array" ref="BC39">INDEX(
CountyScoresTbl[Community Need Total Points],
ROW(CHMATbl[[#This Row],[COUNTY]])-2,1)*CHMATbl[[#This Row],[% OF TOTAL RURAL FUNDING]]</f>
        <v>0</v>
      </c>
      <c r="BD39" s="666" cm="1">
        <f t="array" ref="BD39"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39" s="116"/>
      <c r="BF39" s="703"/>
      <c r="BG39" s="703"/>
      <c r="BH39" s="703"/>
      <c r="BI39" s="703"/>
      <c r="BJ39" s="74">
        <f t="shared" si="3"/>
        <v>0</v>
      </c>
      <c r="BK39" s="6">
        <f>IF(CHMATbl[[#This Row],[MANUFACTURED AND RURAL FUNDING REQUESTED]]=0,0,CHMATbl[[#This Row],[MANUFACTURED AND RURAL FUNDING REQUESTED]]/CH_MA_MFDRuralTotalRequested)</f>
        <v>0</v>
      </c>
      <c r="BL39" s="667">
        <f xml:space="preserve">
IF(CHMATbl[[#This Row],[NEW CONSTRUCTION OR AQUIRE/REHAB]]&lt;&gt;"",
3+IF(CHMATbl[[#This Row],[INFILL SITE]]="Yes",2,0),0)
*CHMATbl[[#This Row],[% OF TOTAL MANUFACTURED AND RURAL FUNDING]]</f>
        <v>0</v>
      </c>
      <c r="BM39" s="665">
        <f>IF(
CHMATbl[[#This Row],[ALL UNITS IN A HIGH OR HIGHEST RESOURCE AREA]]="Yes",
10*CHMATbl[[#This Row],[% OF TOTAL MANUFACTURED AND RURAL FUNDING]],
0)</f>
        <v>0</v>
      </c>
      <c r="BN39" s="665" cm="1">
        <f t="array" ref="BN39">INDEX(
CountyScoresTbl[Community Need Total Points],
ROW(CHMATbl[[#This Row],[COUNTY]])-2,1)*CHMATbl[[#This Row],[% OF TOTAL MANUFACTURED AND RURAL FUNDING]]</f>
        <v>0</v>
      </c>
      <c r="BO39" s="694" cm="1">
        <f t="array" ref="BO3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39" s="732"/>
      <c r="BQ39" s="564"/>
      <c r="BR39" s="678"/>
    </row>
    <row r="40" spans="1:70" s="662" customFormat="1" x14ac:dyDescent="0.35">
      <c r="A40" s="679"/>
      <c r="B40" s="5" t="s">
        <v>152</v>
      </c>
      <c r="C40" s="38" t="s">
        <v>513</v>
      </c>
      <c r="D40" s="113" t="str">
        <f>IF(SUM(CHMATbl[[#This Row],[UNRESTRICTED UNITS]])=0,"",CHMATbl[[#This Row],[UNRESTRICTED UNITS]])</f>
        <v/>
      </c>
      <c r="E40" s="74" t="str">
        <f xml:space="preserve">
IF(CHMATbl[[#This Row],[UNRESTRICTED FUNDING REQUESTED]]=0,"",
CHMATbl[[#This Row],[UNRESTRICTED FUNDING REQUESTED]]*
IF(CH_MA_UnrestrictedTotalRequested&lt;=5000000,1,
5000000/CH_MA_UnrestrictedTotalRequested)
)</f>
        <v/>
      </c>
      <c r="F40" s="6" t="str">
        <f>IFERROR(CHMATbl[[#This Row],[TOTAL $ REQUESTED]]/SUM(CHMATbl[TOTAL $ REQUESTED]),"")</f>
        <v/>
      </c>
      <c r="G40" s="38" t="s">
        <v>513</v>
      </c>
      <c r="H40" s="113" t="str">
        <f>IF(SUM(CHMATbl[[#This Row],[MANUFACTURED UNITS]])=0,"",CHMATbl[[#This Row],[MANUFACTURED UNITS]])</f>
        <v/>
      </c>
      <c r="I40" s="74" t="str">
        <f xml:space="preserve">
IF(CHMATbl[[#This Row],[MANUFACTURED FUNDING REQUESTED]]=0,"",
CHMATbl[[#This Row],[MANUFACTURED FUNDING REQUESTED]]*
IF(CH_MA_ManufacturedTotalRequested&lt;=(5000000-E$61),1,
(5000000-E$61)/CH_MA_ManufacturedTotalRequested)
)</f>
        <v/>
      </c>
      <c r="J40" s="6" t="str">
        <f>IFERROR(CHMATbl[[#This Row],[TOTAL $ REQUESTED2]]/SUM(CHMATbl[TOTAL $ REQUESTED2]),"")</f>
        <v/>
      </c>
      <c r="K40" s="38" t="s">
        <v>513</v>
      </c>
      <c r="L40" s="113" t="str">
        <f>IF(SUM(CHMATbl[[#This Row],[RURAL UNITS]])=0,"",CHMATbl[[#This Row],[RURAL UNITS]])</f>
        <v/>
      </c>
      <c r="M40" s="74" t="str">
        <f xml:space="preserve">
IF(CHMATbl[[#This Row],[RURAL FUNDING REQUESTED]]=0,"",
CHMATbl[[#This Row],[RURAL FUNDING REQUESTED]]*
IF(CH_MA_RuralTotalRequested&lt;=(5000000-E$61-I$61),1,
(5000000-E$61-I$61)/CH_MA_RuralTotalRequested)
)</f>
        <v/>
      </c>
      <c r="N40" s="6" t="str">
        <f>IFERROR(CHMATbl[[#This Row],[TOTAL $ REQUESTED3]]/SUM(CHMATbl[TOTAL $ REQUESTED3]),"")</f>
        <v/>
      </c>
      <c r="O40" s="38" t="s">
        <v>513</v>
      </c>
      <c r="P40" s="113" t="str">
        <f>IF(SUM(CHMATbl[[#This Row],[MANUFACTURED AND RURAL UNITS]])=0,"",CHMATbl[[#This Row],[MANUFACTURED AND RURAL UNITS]])</f>
        <v/>
      </c>
      <c r="Q40" s="74" t="str">
        <f xml:space="preserve">
IF(CHMATbl[[#This Row],[MANUFACTURED AND RURAL FUNDING REQUESTED]]=0,"",
CHMATbl[[#This Row],[MANUFACTURED AND RURAL FUNDING REQUESTED]]*
IF(CH_MA_MFDRuralTotalRequested&lt;=(5000000-E$61-I$61-M$61),1,
(5000000-E$61-I$61-M$61)/CH_MA_MFDRuralTotalRequested)
)</f>
        <v/>
      </c>
      <c r="R40" s="6" t="str">
        <f>IFERROR(CHMATbl[[#This Row],[TOTAL $ REQUESTED4]]/SUM(CHMATbl[TOTAL $ REQUESTED4]),"")</f>
        <v/>
      </c>
      <c r="S40" s="38" t="s">
        <v>513</v>
      </c>
      <c r="T40" s="736"/>
      <c r="U40" s="699"/>
      <c r="V40" s="699"/>
      <c r="W40" s="737"/>
      <c r="X40" s="116"/>
      <c r="Y40" s="703"/>
      <c r="Z40" s="703"/>
      <c r="AA40" s="703"/>
      <c r="AB40" s="703"/>
      <c r="AC40" s="98">
        <f t="shared" si="0"/>
        <v>0</v>
      </c>
      <c r="AD40" s="6">
        <f>IF(CHMATbl[[#This Row],[UNRESTRICTED FUNDING REQUESTED]]=0,0,CHMATbl[[#This Row],[UNRESTRICTED FUNDING REQUESTED]]/CH_MA_UnrestrictedTotalRequested)</f>
        <v>0</v>
      </c>
      <c r="AE40" s="667">
        <f xml:space="preserve">
IF(CHMATbl[[#This Row],[NEW CONSTRUCTION OR AQUIRE/REHAB]]&lt;&gt;"",
3+IF(CHMATbl[[#This Row],[INFILL SITE]]="Yes",2,0),0)
*CHMATbl[[#This Row],[% OF TOTAL UNRESTRICTED FUNDING]]</f>
        <v>0</v>
      </c>
      <c r="AF40" s="665">
        <f>IF(CHMATbl[[#This Row],[ALL UNITS IN A HIGH OR HIGHEST RESOURCE AREA]]="Yes",10*CHMATbl[[#This Row],[% OF TOTAL UNRESTRICTED FUNDING]],0)</f>
        <v>0</v>
      </c>
      <c r="AG40" s="665" cm="1">
        <f t="array" ref="AG40">INDEX(CountyScoresTbl[Community Need Total Points],ROW(CHMATbl[[#This Row],[COUNTY]])-2,1)*CHMATbl[[#This Row],[% OF TOTAL UNRESTRICTED FUNDING]]</f>
        <v>0</v>
      </c>
      <c r="AH40" s="666" cm="1">
        <f t="array" ref="AH40"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0" s="116"/>
      <c r="AJ40" s="703"/>
      <c r="AK40" s="703"/>
      <c r="AL40" s="703"/>
      <c r="AM40" s="703"/>
      <c r="AN40" s="74">
        <f t="shared" si="1"/>
        <v>0</v>
      </c>
      <c r="AO40" s="6">
        <f>IF(CHMATbl[[#This Row],[MANUFACTURED FUNDING REQUESTED]]=0,0,CHMATbl[[#This Row],[MANUFACTURED FUNDING REQUESTED]]/CH_MA_ManufacturedTotalRequested)</f>
        <v>0</v>
      </c>
      <c r="AP40" s="671">
        <f>IF(
CHMATbl[[#This Row],[NEW CONSTRUCTION OR AQUIRE/REHAB]]&lt;&gt;"",
3+IF(CHMATbl[[#This Row],[INFILL SITE]]="Yes",2,0),0)
*CHMATbl[[#This Row],[% OF TOTAL MANUFACTURED FUNDING]]</f>
        <v>0</v>
      </c>
      <c r="AQ40" s="7">
        <f>IF(CHMATbl[[#This Row],[ALL UNITS IN A HIGH OR HIGHEST RESOURCE AREA]]="Yes",10*CHMATbl[[#This Row],[% OF TOTAL MANUFACTURED FUNDING]],0)</f>
        <v>0</v>
      </c>
      <c r="AR40" s="7" cm="1">
        <f t="array" ref="AR40">INDEX(CountyScoresTbl[Community Need Total Points],ROW(CHMATbl[[#This Row],[COUNTY]])-2,1)*CHMATbl[[#This Row],[% OF TOTAL MANUFACTURED FUNDING]]</f>
        <v>0</v>
      </c>
      <c r="AS40" s="8" cm="1">
        <f t="array" ref="AS4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0" s="705"/>
      <c r="AU40" s="703"/>
      <c r="AV40" s="703"/>
      <c r="AW40" s="703"/>
      <c r="AX40" s="703"/>
      <c r="AY40" s="74">
        <f t="shared" si="2"/>
        <v>0</v>
      </c>
      <c r="AZ40" s="6">
        <f>IF(CHMATbl[[#This Row],[RURAL FUNDING REQUESTED]]=0,0,CHMATbl[[#This Row],[RURAL FUNDING REQUESTED]]/CH_MA_RuralTotalRequested)</f>
        <v>0</v>
      </c>
      <c r="BA40" s="667">
        <f>IF(
CHMATbl[[#This Row],[NEW CONSTRUCTION OR AQUIRE/REHAB]]&lt;&gt;"",
3+IF(CHMATbl[[#This Row],[INFILL SITE]]="Yes",2,0),0)
*CHMATbl[[#This Row],[% OF TOTAL RURAL FUNDING]]</f>
        <v>0</v>
      </c>
      <c r="BB40" s="665">
        <f>IF(
CHMATbl[[#This Row],[ALL UNITS IN A HIGH OR HIGHEST RESOURCE AREA]]="Yes",
10*CHMATbl[[#This Row],[% OF TOTAL RURAL FUNDING]],
0)</f>
        <v>0</v>
      </c>
      <c r="BC40" s="665" cm="1">
        <f t="array" ref="BC40">INDEX(
CountyScoresTbl[Community Need Total Points],
ROW(CHMATbl[[#This Row],[COUNTY]])-2,1)*CHMATbl[[#This Row],[% OF TOTAL RURAL FUNDING]]</f>
        <v>0</v>
      </c>
      <c r="BD40" s="666" cm="1">
        <f t="array" ref="BD40"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0" s="116"/>
      <c r="BF40" s="703"/>
      <c r="BG40" s="703"/>
      <c r="BH40" s="703"/>
      <c r="BI40" s="703"/>
      <c r="BJ40" s="74">
        <f t="shared" si="3"/>
        <v>0</v>
      </c>
      <c r="BK40" s="6">
        <f>IF(CHMATbl[[#This Row],[MANUFACTURED AND RURAL FUNDING REQUESTED]]=0,0,CHMATbl[[#This Row],[MANUFACTURED AND RURAL FUNDING REQUESTED]]/CH_MA_MFDRuralTotalRequested)</f>
        <v>0</v>
      </c>
      <c r="BL40" s="667">
        <f xml:space="preserve">
IF(CHMATbl[[#This Row],[NEW CONSTRUCTION OR AQUIRE/REHAB]]&lt;&gt;"",
3+IF(CHMATbl[[#This Row],[INFILL SITE]]="Yes",2,0),0)
*CHMATbl[[#This Row],[% OF TOTAL MANUFACTURED AND RURAL FUNDING]]</f>
        <v>0</v>
      </c>
      <c r="BM40" s="665">
        <f>IF(
CHMATbl[[#This Row],[ALL UNITS IN A HIGH OR HIGHEST RESOURCE AREA]]="Yes",
10*CHMATbl[[#This Row],[% OF TOTAL MANUFACTURED AND RURAL FUNDING]],
0)</f>
        <v>0</v>
      </c>
      <c r="BN40" s="665" cm="1">
        <f t="array" ref="BN40">INDEX(
CountyScoresTbl[Community Need Total Points],
ROW(CHMATbl[[#This Row],[COUNTY]])-2,1)*CHMATbl[[#This Row],[% OF TOTAL MANUFACTURED AND RURAL FUNDING]]</f>
        <v>0</v>
      </c>
      <c r="BO40" s="694" cm="1">
        <f t="array" ref="BO4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0" s="732"/>
      <c r="BQ40" s="564"/>
      <c r="BR40" s="678"/>
    </row>
    <row r="41" spans="1:70" s="662" customFormat="1" x14ac:dyDescent="0.35">
      <c r="A41" s="679"/>
      <c r="B41" s="5" t="s">
        <v>153</v>
      </c>
      <c r="C41" s="38" t="s">
        <v>513</v>
      </c>
      <c r="D41" s="113" t="str">
        <f>IF(SUM(CHMATbl[[#This Row],[UNRESTRICTED UNITS]])=0,"",CHMATbl[[#This Row],[UNRESTRICTED UNITS]])</f>
        <v/>
      </c>
      <c r="E41" s="74" t="str">
        <f xml:space="preserve">
IF(CHMATbl[[#This Row],[UNRESTRICTED FUNDING REQUESTED]]=0,"",
CHMATbl[[#This Row],[UNRESTRICTED FUNDING REQUESTED]]*
IF(CH_MA_UnrestrictedTotalRequested&lt;=5000000,1,
5000000/CH_MA_UnrestrictedTotalRequested)
)</f>
        <v/>
      </c>
      <c r="F41" s="6" t="str">
        <f>IFERROR(CHMATbl[[#This Row],[TOTAL $ REQUESTED]]/SUM(CHMATbl[TOTAL $ REQUESTED]),"")</f>
        <v/>
      </c>
      <c r="G41" s="38" t="s">
        <v>513</v>
      </c>
      <c r="H41" s="113" t="str">
        <f>IF(SUM(CHMATbl[[#This Row],[MANUFACTURED UNITS]])=0,"",CHMATbl[[#This Row],[MANUFACTURED UNITS]])</f>
        <v/>
      </c>
      <c r="I41" s="74" t="str">
        <f xml:space="preserve">
IF(CHMATbl[[#This Row],[MANUFACTURED FUNDING REQUESTED]]=0,"",
CHMATbl[[#This Row],[MANUFACTURED FUNDING REQUESTED]]*
IF(CH_MA_ManufacturedTotalRequested&lt;=(5000000-E$61),1,
(5000000-E$61)/CH_MA_ManufacturedTotalRequested)
)</f>
        <v/>
      </c>
      <c r="J41" s="6" t="str">
        <f>IFERROR(CHMATbl[[#This Row],[TOTAL $ REQUESTED2]]/SUM(CHMATbl[TOTAL $ REQUESTED2]),"")</f>
        <v/>
      </c>
      <c r="K41" s="38" t="s">
        <v>513</v>
      </c>
      <c r="L41" s="113" t="str">
        <f>IF(SUM(CHMATbl[[#This Row],[RURAL UNITS]])=0,"",CHMATbl[[#This Row],[RURAL UNITS]])</f>
        <v/>
      </c>
      <c r="M41" s="74" t="str">
        <f xml:space="preserve">
IF(CHMATbl[[#This Row],[RURAL FUNDING REQUESTED]]=0,"",
CHMATbl[[#This Row],[RURAL FUNDING REQUESTED]]*
IF(CH_MA_RuralTotalRequested&lt;=(5000000-E$61-I$61),1,
(5000000-E$61-I$61)/CH_MA_RuralTotalRequested)
)</f>
        <v/>
      </c>
      <c r="N41" s="6" t="str">
        <f>IFERROR(CHMATbl[[#This Row],[TOTAL $ REQUESTED3]]/SUM(CHMATbl[TOTAL $ REQUESTED3]),"")</f>
        <v/>
      </c>
      <c r="O41" s="38" t="s">
        <v>513</v>
      </c>
      <c r="P41" s="113" t="str">
        <f>IF(SUM(CHMATbl[[#This Row],[MANUFACTURED AND RURAL UNITS]])=0,"",CHMATbl[[#This Row],[MANUFACTURED AND RURAL UNITS]])</f>
        <v/>
      </c>
      <c r="Q41" s="74" t="str">
        <f xml:space="preserve">
IF(CHMATbl[[#This Row],[MANUFACTURED AND RURAL FUNDING REQUESTED]]=0,"",
CHMATbl[[#This Row],[MANUFACTURED AND RURAL FUNDING REQUESTED]]*
IF(CH_MA_MFDRuralTotalRequested&lt;=(5000000-E$61-I$61-M$61),1,
(5000000-E$61-I$61-M$61)/CH_MA_MFDRuralTotalRequested)
)</f>
        <v/>
      </c>
      <c r="R41" s="6" t="str">
        <f>IFERROR(CHMATbl[[#This Row],[TOTAL $ REQUESTED4]]/SUM(CHMATbl[TOTAL $ REQUESTED4]),"")</f>
        <v/>
      </c>
      <c r="S41" s="38" t="s">
        <v>513</v>
      </c>
      <c r="T41" s="736"/>
      <c r="U41" s="699"/>
      <c r="V41" s="699"/>
      <c r="W41" s="737"/>
      <c r="X41" s="116"/>
      <c r="Y41" s="703"/>
      <c r="Z41" s="703"/>
      <c r="AA41" s="703"/>
      <c r="AB41" s="703"/>
      <c r="AC41" s="98">
        <f t="shared" si="0"/>
        <v>0</v>
      </c>
      <c r="AD41" s="6">
        <f>IF(CHMATbl[[#This Row],[UNRESTRICTED FUNDING REQUESTED]]=0,0,CHMATbl[[#This Row],[UNRESTRICTED FUNDING REQUESTED]]/CH_MA_UnrestrictedTotalRequested)</f>
        <v>0</v>
      </c>
      <c r="AE41" s="667">
        <f xml:space="preserve">
IF(CHMATbl[[#This Row],[NEW CONSTRUCTION OR AQUIRE/REHAB]]&lt;&gt;"",
3+IF(CHMATbl[[#This Row],[INFILL SITE]]="Yes",2,0),0)
*CHMATbl[[#This Row],[% OF TOTAL UNRESTRICTED FUNDING]]</f>
        <v>0</v>
      </c>
      <c r="AF41" s="665">
        <f>IF(CHMATbl[[#This Row],[ALL UNITS IN A HIGH OR HIGHEST RESOURCE AREA]]="Yes",10*CHMATbl[[#This Row],[% OF TOTAL UNRESTRICTED FUNDING]],0)</f>
        <v>0</v>
      </c>
      <c r="AG41" s="665" cm="1">
        <f t="array" ref="AG41">INDEX(CountyScoresTbl[Community Need Total Points],ROW(CHMATbl[[#This Row],[COUNTY]])-2,1)*CHMATbl[[#This Row],[% OF TOTAL UNRESTRICTED FUNDING]]</f>
        <v>0</v>
      </c>
      <c r="AH41" s="666" cm="1">
        <f t="array" ref="AH41"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1" s="116"/>
      <c r="AJ41" s="703"/>
      <c r="AK41" s="703"/>
      <c r="AL41" s="703"/>
      <c r="AM41" s="703"/>
      <c r="AN41" s="74">
        <f t="shared" si="1"/>
        <v>0</v>
      </c>
      <c r="AO41" s="6">
        <f>IF(CHMATbl[[#This Row],[MANUFACTURED FUNDING REQUESTED]]=0,0,CHMATbl[[#This Row],[MANUFACTURED FUNDING REQUESTED]]/CH_MA_ManufacturedTotalRequested)</f>
        <v>0</v>
      </c>
      <c r="AP41" s="671">
        <f>IF(
CHMATbl[[#This Row],[NEW CONSTRUCTION OR AQUIRE/REHAB]]&lt;&gt;"",
3+IF(CHMATbl[[#This Row],[INFILL SITE]]="Yes",2,0),0)
*CHMATbl[[#This Row],[% OF TOTAL MANUFACTURED FUNDING]]</f>
        <v>0</v>
      </c>
      <c r="AQ41" s="7">
        <f>IF(CHMATbl[[#This Row],[ALL UNITS IN A HIGH OR HIGHEST RESOURCE AREA]]="Yes",10*CHMATbl[[#This Row],[% OF TOTAL MANUFACTURED FUNDING]],0)</f>
        <v>0</v>
      </c>
      <c r="AR41" s="7" cm="1">
        <f t="array" ref="AR41">INDEX(CountyScoresTbl[Community Need Total Points],ROW(CHMATbl[[#This Row],[COUNTY]])-2,1)*CHMATbl[[#This Row],[% OF TOTAL MANUFACTURED FUNDING]]</f>
        <v>0</v>
      </c>
      <c r="AS41" s="8" cm="1">
        <f t="array" ref="AS4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1" s="705"/>
      <c r="AU41" s="703"/>
      <c r="AV41" s="703"/>
      <c r="AW41" s="703"/>
      <c r="AX41" s="703"/>
      <c r="AY41" s="74">
        <f t="shared" si="2"/>
        <v>0</v>
      </c>
      <c r="AZ41" s="6">
        <f>IF(CHMATbl[[#This Row],[RURAL FUNDING REQUESTED]]=0,0,CHMATbl[[#This Row],[RURAL FUNDING REQUESTED]]/CH_MA_RuralTotalRequested)</f>
        <v>0</v>
      </c>
      <c r="BA41" s="667">
        <f>IF(
CHMATbl[[#This Row],[NEW CONSTRUCTION OR AQUIRE/REHAB]]&lt;&gt;"",
3+IF(CHMATbl[[#This Row],[INFILL SITE]]="Yes",2,0),0)
*CHMATbl[[#This Row],[% OF TOTAL RURAL FUNDING]]</f>
        <v>0</v>
      </c>
      <c r="BB41" s="665">
        <f>IF(
CHMATbl[[#This Row],[ALL UNITS IN A HIGH OR HIGHEST RESOURCE AREA]]="Yes",
10*CHMATbl[[#This Row],[% OF TOTAL RURAL FUNDING]],
0)</f>
        <v>0</v>
      </c>
      <c r="BC41" s="665" cm="1">
        <f t="array" ref="BC41">INDEX(
CountyScoresTbl[Community Need Total Points],
ROW(CHMATbl[[#This Row],[COUNTY]])-2,1)*CHMATbl[[#This Row],[% OF TOTAL RURAL FUNDING]]</f>
        <v>0</v>
      </c>
      <c r="BD41" s="666" cm="1">
        <f t="array" ref="BD41"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1" s="116"/>
      <c r="BF41" s="703"/>
      <c r="BG41" s="703"/>
      <c r="BH41" s="703"/>
      <c r="BI41" s="703"/>
      <c r="BJ41" s="74">
        <f t="shared" si="3"/>
        <v>0</v>
      </c>
      <c r="BK41" s="6">
        <f>IF(CHMATbl[[#This Row],[MANUFACTURED AND RURAL FUNDING REQUESTED]]=0,0,CHMATbl[[#This Row],[MANUFACTURED AND RURAL FUNDING REQUESTED]]/CH_MA_MFDRuralTotalRequested)</f>
        <v>0</v>
      </c>
      <c r="BL41" s="667">
        <f xml:space="preserve">
IF(CHMATbl[[#This Row],[NEW CONSTRUCTION OR AQUIRE/REHAB]]&lt;&gt;"",
3+IF(CHMATbl[[#This Row],[INFILL SITE]]="Yes",2,0),0)
*CHMATbl[[#This Row],[% OF TOTAL MANUFACTURED AND RURAL FUNDING]]</f>
        <v>0</v>
      </c>
      <c r="BM41" s="665">
        <f>IF(
CHMATbl[[#This Row],[ALL UNITS IN A HIGH OR HIGHEST RESOURCE AREA]]="Yes",
10*CHMATbl[[#This Row],[% OF TOTAL MANUFACTURED AND RURAL FUNDING]],
0)</f>
        <v>0</v>
      </c>
      <c r="BN41" s="665" cm="1">
        <f t="array" ref="BN41">INDEX(
CountyScoresTbl[Community Need Total Points],
ROW(CHMATbl[[#This Row],[COUNTY]])-2,1)*CHMATbl[[#This Row],[% OF TOTAL MANUFACTURED AND RURAL FUNDING]]</f>
        <v>0</v>
      </c>
      <c r="BO41" s="694" cm="1">
        <f t="array" ref="BO4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1" s="732"/>
      <c r="BQ41" s="564"/>
      <c r="BR41" s="678"/>
    </row>
    <row r="42" spans="1:70" s="662" customFormat="1" x14ac:dyDescent="0.35">
      <c r="A42" s="679"/>
      <c r="B42" s="5" t="s">
        <v>154</v>
      </c>
      <c r="C42" s="38" t="s">
        <v>513</v>
      </c>
      <c r="D42" s="113" t="str">
        <f>IF(SUM(CHMATbl[[#This Row],[UNRESTRICTED UNITS]])=0,"",CHMATbl[[#This Row],[UNRESTRICTED UNITS]])</f>
        <v/>
      </c>
      <c r="E42" s="74" t="str">
        <f xml:space="preserve">
IF(CHMATbl[[#This Row],[UNRESTRICTED FUNDING REQUESTED]]=0,"",
CHMATbl[[#This Row],[UNRESTRICTED FUNDING REQUESTED]]*
IF(CH_MA_UnrestrictedTotalRequested&lt;=5000000,1,
5000000/CH_MA_UnrestrictedTotalRequested)
)</f>
        <v/>
      </c>
      <c r="F42" s="6" t="str">
        <f>IFERROR(CHMATbl[[#This Row],[TOTAL $ REQUESTED]]/SUM(CHMATbl[TOTAL $ REQUESTED]),"")</f>
        <v/>
      </c>
      <c r="G42" s="38" t="s">
        <v>513</v>
      </c>
      <c r="H42" s="113" t="str">
        <f>IF(SUM(CHMATbl[[#This Row],[MANUFACTURED UNITS]])=0,"",CHMATbl[[#This Row],[MANUFACTURED UNITS]])</f>
        <v/>
      </c>
      <c r="I42" s="74" t="str">
        <f xml:space="preserve">
IF(CHMATbl[[#This Row],[MANUFACTURED FUNDING REQUESTED]]=0,"",
CHMATbl[[#This Row],[MANUFACTURED FUNDING REQUESTED]]*
IF(CH_MA_ManufacturedTotalRequested&lt;=(5000000-E$61),1,
(5000000-E$61)/CH_MA_ManufacturedTotalRequested)
)</f>
        <v/>
      </c>
      <c r="J42" s="6" t="str">
        <f>IFERROR(CHMATbl[[#This Row],[TOTAL $ REQUESTED2]]/SUM(CHMATbl[TOTAL $ REQUESTED2]),"")</f>
        <v/>
      </c>
      <c r="K42" s="38" t="s">
        <v>513</v>
      </c>
      <c r="L42" s="113" t="str">
        <f>IF(SUM(CHMATbl[[#This Row],[RURAL UNITS]])=0,"",CHMATbl[[#This Row],[RURAL UNITS]])</f>
        <v/>
      </c>
      <c r="M42" s="74" t="str">
        <f xml:space="preserve">
IF(CHMATbl[[#This Row],[RURAL FUNDING REQUESTED]]=0,"",
CHMATbl[[#This Row],[RURAL FUNDING REQUESTED]]*
IF(CH_MA_RuralTotalRequested&lt;=(5000000-E$61-I$61),1,
(5000000-E$61-I$61)/CH_MA_RuralTotalRequested)
)</f>
        <v/>
      </c>
      <c r="N42" s="6" t="str">
        <f>IFERROR(CHMATbl[[#This Row],[TOTAL $ REQUESTED3]]/SUM(CHMATbl[TOTAL $ REQUESTED3]),"")</f>
        <v/>
      </c>
      <c r="O42" s="38" t="s">
        <v>513</v>
      </c>
      <c r="P42" s="113" t="str">
        <f>IF(SUM(CHMATbl[[#This Row],[MANUFACTURED AND RURAL UNITS]])=0,"",CHMATbl[[#This Row],[MANUFACTURED AND RURAL UNITS]])</f>
        <v/>
      </c>
      <c r="Q42" s="74" t="str">
        <f xml:space="preserve">
IF(CHMATbl[[#This Row],[MANUFACTURED AND RURAL FUNDING REQUESTED]]=0,"",
CHMATbl[[#This Row],[MANUFACTURED AND RURAL FUNDING REQUESTED]]*
IF(CH_MA_MFDRuralTotalRequested&lt;=(5000000-E$61-I$61-M$61),1,
(5000000-E$61-I$61-M$61)/CH_MA_MFDRuralTotalRequested)
)</f>
        <v/>
      </c>
      <c r="R42" s="6" t="str">
        <f>IFERROR(CHMATbl[[#This Row],[TOTAL $ REQUESTED4]]/SUM(CHMATbl[TOTAL $ REQUESTED4]),"")</f>
        <v/>
      </c>
      <c r="S42" s="38" t="s">
        <v>513</v>
      </c>
      <c r="T42" s="736"/>
      <c r="U42" s="699"/>
      <c r="V42" s="699"/>
      <c r="W42" s="737"/>
      <c r="X42" s="116"/>
      <c r="Y42" s="703"/>
      <c r="Z42" s="703"/>
      <c r="AA42" s="703"/>
      <c r="AB42" s="703"/>
      <c r="AC42" s="98">
        <f t="shared" si="0"/>
        <v>0</v>
      </c>
      <c r="AD42" s="6">
        <f>IF(CHMATbl[[#This Row],[UNRESTRICTED FUNDING REQUESTED]]=0,0,CHMATbl[[#This Row],[UNRESTRICTED FUNDING REQUESTED]]/CH_MA_UnrestrictedTotalRequested)</f>
        <v>0</v>
      </c>
      <c r="AE42" s="667">
        <f xml:space="preserve">
IF(CHMATbl[[#This Row],[NEW CONSTRUCTION OR AQUIRE/REHAB]]&lt;&gt;"",
3+IF(CHMATbl[[#This Row],[INFILL SITE]]="Yes",2,0),0)
*CHMATbl[[#This Row],[% OF TOTAL UNRESTRICTED FUNDING]]</f>
        <v>0</v>
      </c>
      <c r="AF42" s="665">
        <f>IF(CHMATbl[[#This Row],[ALL UNITS IN A HIGH OR HIGHEST RESOURCE AREA]]="Yes",10*CHMATbl[[#This Row],[% OF TOTAL UNRESTRICTED FUNDING]],0)</f>
        <v>0</v>
      </c>
      <c r="AG42" s="665" cm="1">
        <f t="array" ref="AG42">INDEX(CountyScoresTbl[Community Need Total Points],ROW(CHMATbl[[#This Row],[COUNTY]])-2,1)*CHMATbl[[#This Row],[% OF TOTAL UNRESTRICTED FUNDING]]</f>
        <v>0</v>
      </c>
      <c r="AH42" s="666" cm="1">
        <f t="array" ref="AH42"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2" s="116"/>
      <c r="AJ42" s="703"/>
      <c r="AK42" s="703"/>
      <c r="AL42" s="703"/>
      <c r="AM42" s="703"/>
      <c r="AN42" s="74">
        <f t="shared" si="1"/>
        <v>0</v>
      </c>
      <c r="AO42" s="6">
        <f>IF(CHMATbl[[#This Row],[MANUFACTURED FUNDING REQUESTED]]=0,0,CHMATbl[[#This Row],[MANUFACTURED FUNDING REQUESTED]]/CH_MA_ManufacturedTotalRequested)</f>
        <v>0</v>
      </c>
      <c r="AP42" s="671">
        <f>IF(
CHMATbl[[#This Row],[NEW CONSTRUCTION OR AQUIRE/REHAB]]&lt;&gt;"",
3+IF(CHMATbl[[#This Row],[INFILL SITE]]="Yes",2,0),0)
*CHMATbl[[#This Row],[% OF TOTAL MANUFACTURED FUNDING]]</f>
        <v>0</v>
      </c>
      <c r="AQ42" s="7">
        <f>IF(CHMATbl[[#This Row],[ALL UNITS IN A HIGH OR HIGHEST RESOURCE AREA]]="Yes",10*CHMATbl[[#This Row],[% OF TOTAL MANUFACTURED FUNDING]],0)</f>
        <v>0</v>
      </c>
      <c r="AR42" s="7" cm="1">
        <f t="array" ref="AR42">INDEX(CountyScoresTbl[Community Need Total Points],ROW(CHMATbl[[#This Row],[COUNTY]])-2,1)*CHMATbl[[#This Row],[% OF TOTAL MANUFACTURED FUNDING]]</f>
        <v>0</v>
      </c>
      <c r="AS42" s="8" cm="1">
        <f t="array" ref="AS4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2" s="705"/>
      <c r="AU42" s="703"/>
      <c r="AV42" s="703"/>
      <c r="AW42" s="703"/>
      <c r="AX42" s="703"/>
      <c r="AY42" s="74">
        <f t="shared" si="2"/>
        <v>0</v>
      </c>
      <c r="AZ42" s="6">
        <f>IF(CHMATbl[[#This Row],[RURAL FUNDING REQUESTED]]=0,0,CHMATbl[[#This Row],[RURAL FUNDING REQUESTED]]/CH_MA_RuralTotalRequested)</f>
        <v>0</v>
      </c>
      <c r="BA42" s="667">
        <f>IF(
CHMATbl[[#This Row],[NEW CONSTRUCTION OR AQUIRE/REHAB]]&lt;&gt;"",
3+IF(CHMATbl[[#This Row],[INFILL SITE]]="Yes",2,0),0)
*CHMATbl[[#This Row],[% OF TOTAL RURAL FUNDING]]</f>
        <v>0</v>
      </c>
      <c r="BB42" s="665">
        <f>IF(
CHMATbl[[#This Row],[ALL UNITS IN A HIGH OR HIGHEST RESOURCE AREA]]="Yes",
10*CHMATbl[[#This Row],[% OF TOTAL RURAL FUNDING]],
0)</f>
        <v>0</v>
      </c>
      <c r="BC42" s="665" cm="1">
        <f t="array" ref="BC42">INDEX(
CountyScoresTbl[Community Need Total Points],
ROW(CHMATbl[[#This Row],[COUNTY]])-2,1)*CHMATbl[[#This Row],[% OF TOTAL RURAL FUNDING]]</f>
        <v>0</v>
      </c>
      <c r="BD42" s="666" cm="1">
        <f t="array" ref="BD42"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2" s="116"/>
      <c r="BF42" s="703"/>
      <c r="BG42" s="703"/>
      <c r="BH42" s="703"/>
      <c r="BI42" s="703"/>
      <c r="BJ42" s="74">
        <f t="shared" si="3"/>
        <v>0</v>
      </c>
      <c r="BK42" s="6">
        <f>IF(CHMATbl[[#This Row],[MANUFACTURED AND RURAL FUNDING REQUESTED]]=0,0,CHMATbl[[#This Row],[MANUFACTURED AND RURAL FUNDING REQUESTED]]/CH_MA_MFDRuralTotalRequested)</f>
        <v>0</v>
      </c>
      <c r="BL42" s="667">
        <f xml:space="preserve">
IF(CHMATbl[[#This Row],[NEW CONSTRUCTION OR AQUIRE/REHAB]]&lt;&gt;"",
3+IF(CHMATbl[[#This Row],[INFILL SITE]]="Yes",2,0),0)
*CHMATbl[[#This Row],[% OF TOTAL MANUFACTURED AND RURAL FUNDING]]</f>
        <v>0</v>
      </c>
      <c r="BM42" s="665">
        <f>IF(
CHMATbl[[#This Row],[ALL UNITS IN A HIGH OR HIGHEST RESOURCE AREA]]="Yes",
10*CHMATbl[[#This Row],[% OF TOTAL MANUFACTURED AND RURAL FUNDING]],
0)</f>
        <v>0</v>
      </c>
      <c r="BN42" s="665" cm="1">
        <f t="array" ref="BN42">INDEX(
CountyScoresTbl[Community Need Total Points],
ROW(CHMATbl[[#This Row],[COUNTY]])-2,1)*CHMATbl[[#This Row],[% OF TOTAL MANUFACTURED AND RURAL FUNDING]]</f>
        <v>0</v>
      </c>
      <c r="BO42" s="694" cm="1">
        <f t="array" ref="BO4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2" s="732"/>
      <c r="BQ42" s="564"/>
      <c r="BR42" s="678"/>
    </row>
    <row r="43" spans="1:70" s="662" customFormat="1" x14ac:dyDescent="0.35">
      <c r="A43" s="679"/>
      <c r="B43" s="5" t="s">
        <v>155</v>
      </c>
      <c r="C43" s="38" t="s">
        <v>513</v>
      </c>
      <c r="D43" s="113" t="str">
        <f>IF(SUM(CHMATbl[[#This Row],[UNRESTRICTED UNITS]])=0,"",CHMATbl[[#This Row],[UNRESTRICTED UNITS]])</f>
        <v/>
      </c>
      <c r="E43" s="74" t="str">
        <f xml:space="preserve">
IF(CHMATbl[[#This Row],[UNRESTRICTED FUNDING REQUESTED]]=0,"",
CHMATbl[[#This Row],[UNRESTRICTED FUNDING REQUESTED]]*
IF(CH_MA_UnrestrictedTotalRequested&lt;=5000000,1,
5000000/CH_MA_UnrestrictedTotalRequested)
)</f>
        <v/>
      </c>
      <c r="F43" s="6" t="str">
        <f>IFERROR(CHMATbl[[#This Row],[TOTAL $ REQUESTED]]/SUM(CHMATbl[TOTAL $ REQUESTED]),"")</f>
        <v/>
      </c>
      <c r="G43" s="38" t="s">
        <v>513</v>
      </c>
      <c r="H43" s="113" t="str">
        <f>IF(SUM(CHMATbl[[#This Row],[MANUFACTURED UNITS]])=0,"",CHMATbl[[#This Row],[MANUFACTURED UNITS]])</f>
        <v/>
      </c>
      <c r="I43" s="74" t="str">
        <f xml:space="preserve">
IF(CHMATbl[[#This Row],[MANUFACTURED FUNDING REQUESTED]]=0,"",
CHMATbl[[#This Row],[MANUFACTURED FUNDING REQUESTED]]*
IF(CH_MA_ManufacturedTotalRequested&lt;=(5000000-E$61),1,
(5000000-E$61)/CH_MA_ManufacturedTotalRequested)
)</f>
        <v/>
      </c>
      <c r="J43" s="6" t="str">
        <f>IFERROR(CHMATbl[[#This Row],[TOTAL $ REQUESTED2]]/SUM(CHMATbl[TOTAL $ REQUESTED2]),"")</f>
        <v/>
      </c>
      <c r="K43" s="38" t="s">
        <v>513</v>
      </c>
      <c r="L43" s="113" t="str">
        <f>IF(SUM(CHMATbl[[#This Row],[RURAL UNITS]])=0,"",CHMATbl[[#This Row],[RURAL UNITS]])</f>
        <v/>
      </c>
      <c r="M43" s="74" t="str">
        <f xml:space="preserve">
IF(CHMATbl[[#This Row],[RURAL FUNDING REQUESTED]]=0,"",
CHMATbl[[#This Row],[RURAL FUNDING REQUESTED]]*
IF(CH_MA_RuralTotalRequested&lt;=(5000000-E$61-I$61),1,
(5000000-E$61-I$61)/CH_MA_RuralTotalRequested)
)</f>
        <v/>
      </c>
      <c r="N43" s="6" t="str">
        <f>IFERROR(CHMATbl[[#This Row],[TOTAL $ REQUESTED3]]/SUM(CHMATbl[TOTAL $ REQUESTED3]),"")</f>
        <v/>
      </c>
      <c r="O43" s="38" t="s">
        <v>513</v>
      </c>
      <c r="P43" s="113" t="str">
        <f>IF(SUM(CHMATbl[[#This Row],[MANUFACTURED AND RURAL UNITS]])=0,"",CHMATbl[[#This Row],[MANUFACTURED AND RURAL UNITS]])</f>
        <v/>
      </c>
      <c r="Q43" s="74" t="str">
        <f xml:space="preserve">
IF(CHMATbl[[#This Row],[MANUFACTURED AND RURAL FUNDING REQUESTED]]=0,"",
CHMATbl[[#This Row],[MANUFACTURED AND RURAL FUNDING REQUESTED]]*
IF(CH_MA_MFDRuralTotalRequested&lt;=(5000000-E$61-I$61-M$61),1,
(5000000-E$61-I$61-M$61)/CH_MA_MFDRuralTotalRequested)
)</f>
        <v/>
      </c>
      <c r="R43" s="6" t="str">
        <f>IFERROR(CHMATbl[[#This Row],[TOTAL $ REQUESTED4]]/SUM(CHMATbl[TOTAL $ REQUESTED4]),"")</f>
        <v/>
      </c>
      <c r="S43" s="38" t="s">
        <v>513</v>
      </c>
      <c r="T43" s="736"/>
      <c r="U43" s="699"/>
      <c r="V43" s="699"/>
      <c r="W43" s="737"/>
      <c r="X43" s="116"/>
      <c r="Y43" s="703"/>
      <c r="Z43" s="703"/>
      <c r="AA43" s="703"/>
      <c r="AB43" s="703"/>
      <c r="AC43" s="98">
        <f t="shared" si="0"/>
        <v>0</v>
      </c>
      <c r="AD43" s="6">
        <f>IF(CHMATbl[[#This Row],[UNRESTRICTED FUNDING REQUESTED]]=0,0,CHMATbl[[#This Row],[UNRESTRICTED FUNDING REQUESTED]]/CH_MA_UnrestrictedTotalRequested)</f>
        <v>0</v>
      </c>
      <c r="AE43" s="667">
        <f xml:space="preserve">
IF(CHMATbl[[#This Row],[NEW CONSTRUCTION OR AQUIRE/REHAB]]&lt;&gt;"",
3+IF(CHMATbl[[#This Row],[INFILL SITE]]="Yes",2,0),0)
*CHMATbl[[#This Row],[% OF TOTAL UNRESTRICTED FUNDING]]</f>
        <v>0</v>
      </c>
      <c r="AF43" s="665">
        <f>IF(CHMATbl[[#This Row],[ALL UNITS IN A HIGH OR HIGHEST RESOURCE AREA]]="Yes",10*CHMATbl[[#This Row],[% OF TOTAL UNRESTRICTED FUNDING]],0)</f>
        <v>0</v>
      </c>
      <c r="AG43" s="665" cm="1">
        <f t="array" ref="AG43">INDEX(CountyScoresTbl[Community Need Total Points],ROW(CHMATbl[[#This Row],[COUNTY]])-2,1)*CHMATbl[[#This Row],[% OF TOTAL UNRESTRICTED FUNDING]]</f>
        <v>0</v>
      </c>
      <c r="AH43" s="666" cm="1">
        <f t="array" ref="AH43"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3" s="116"/>
      <c r="AJ43" s="703"/>
      <c r="AK43" s="703"/>
      <c r="AL43" s="703"/>
      <c r="AM43" s="703"/>
      <c r="AN43" s="74">
        <f t="shared" si="1"/>
        <v>0</v>
      </c>
      <c r="AO43" s="6">
        <f>IF(CHMATbl[[#This Row],[MANUFACTURED FUNDING REQUESTED]]=0,0,CHMATbl[[#This Row],[MANUFACTURED FUNDING REQUESTED]]/CH_MA_ManufacturedTotalRequested)</f>
        <v>0</v>
      </c>
      <c r="AP43" s="671">
        <f>IF(
CHMATbl[[#This Row],[NEW CONSTRUCTION OR AQUIRE/REHAB]]&lt;&gt;"",
3+IF(CHMATbl[[#This Row],[INFILL SITE]]="Yes",2,0),0)
*CHMATbl[[#This Row],[% OF TOTAL MANUFACTURED FUNDING]]</f>
        <v>0</v>
      </c>
      <c r="AQ43" s="7">
        <f>IF(CHMATbl[[#This Row],[ALL UNITS IN A HIGH OR HIGHEST RESOURCE AREA]]="Yes",10*CHMATbl[[#This Row],[% OF TOTAL MANUFACTURED FUNDING]],0)</f>
        <v>0</v>
      </c>
      <c r="AR43" s="7" cm="1">
        <f t="array" ref="AR43">INDEX(CountyScoresTbl[Community Need Total Points],ROW(CHMATbl[[#This Row],[COUNTY]])-2,1)*CHMATbl[[#This Row],[% OF TOTAL MANUFACTURED FUNDING]]</f>
        <v>0</v>
      </c>
      <c r="AS43" s="8" cm="1">
        <f t="array" ref="AS4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3" s="705"/>
      <c r="AU43" s="703"/>
      <c r="AV43" s="703"/>
      <c r="AW43" s="703"/>
      <c r="AX43" s="703"/>
      <c r="AY43" s="74">
        <f t="shared" si="2"/>
        <v>0</v>
      </c>
      <c r="AZ43" s="6">
        <f>IF(CHMATbl[[#This Row],[RURAL FUNDING REQUESTED]]=0,0,CHMATbl[[#This Row],[RURAL FUNDING REQUESTED]]/CH_MA_RuralTotalRequested)</f>
        <v>0</v>
      </c>
      <c r="BA43" s="667">
        <f>IF(
CHMATbl[[#This Row],[NEW CONSTRUCTION OR AQUIRE/REHAB]]&lt;&gt;"",
3+IF(CHMATbl[[#This Row],[INFILL SITE]]="Yes",2,0),0)
*CHMATbl[[#This Row],[% OF TOTAL RURAL FUNDING]]</f>
        <v>0</v>
      </c>
      <c r="BB43" s="665">
        <f>IF(
CHMATbl[[#This Row],[ALL UNITS IN A HIGH OR HIGHEST RESOURCE AREA]]="Yes",
10*CHMATbl[[#This Row],[% OF TOTAL RURAL FUNDING]],
0)</f>
        <v>0</v>
      </c>
      <c r="BC43" s="665" cm="1">
        <f t="array" ref="BC43">INDEX(
CountyScoresTbl[Community Need Total Points],
ROW(CHMATbl[[#This Row],[COUNTY]])-2,1)*CHMATbl[[#This Row],[% OF TOTAL RURAL FUNDING]]</f>
        <v>0</v>
      </c>
      <c r="BD43" s="666" cm="1">
        <f t="array" ref="BD43"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3" s="116"/>
      <c r="BF43" s="703"/>
      <c r="BG43" s="703"/>
      <c r="BH43" s="703"/>
      <c r="BI43" s="703"/>
      <c r="BJ43" s="74">
        <f t="shared" si="3"/>
        <v>0</v>
      </c>
      <c r="BK43" s="6">
        <f>IF(CHMATbl[[#This Row],[MANUFACTURED AND RURAL FUNDING REQUESTED]]=0,0,CHMATbl[[#This Row],[MANUFACTURED AND RURAL FUNDING REQUESTED]]/CH_MA_MFDRuralTotalRequested)</f>
        <v>0</v>
      </c>
      <c r="BL43" s="667">
        <f xml:space="preserve">
IF(CHMATbl[[#This Row],[NEW CONSTRUCTION OR AQUIRE/REHAB]]&lt;&gt;"",
3+IF(CHMATbl[[#This Row],[INFILL SITE]]="Yes",2,0),0)
*CHMATbl[[#This Row],[% OF TOTAL MANUFACTURED AND RURAL FUNDING]]</f>
        <v>0</v>
      </c>
      <c r="BM43" s="665">
        <f>IF(
CHMATbl[[#This Row],[ALL UNITS IN A HIGH OR HIGHEST RESOURCE AREA]]="Yes",
10*CHMATbl[[#This Row],[% OF TOTAL MANUFACTURED AND RURAL FUNDING]],
0)</f>
        <v>0</v>
      </c>
      <c r="BN43" s="665" cm="1">
        <f t="array" ref="BN43">INDEX(
CountyScoresTbl[Community Need Total Points],
ROW(CHMATbl[[#This Row],[COUNTY]])-2,1)*CHMATbl[[#This Row],[% OF TOTAL MANUFACTURED AND RURAL FUNDING]]</f>
        <v>0</v>
      </c>
      <c r="BO43" s="694" cm="1">
        <f t="array" ref="BO4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3" s="732"/>
      <c r="BQ43" s="564"/>
      <c r="BR43" s="678"/>
    </row>
    <row r="44" spans="1:70" s="662" customFormat="1" x14ac:dyDescent="0.35">
      <c r="A44" s="674" t="s">
        <v>504</v>
      </c>
      <c r="B44" s="5" t="s">
        <v>156</v>
      </c>
      <c r="C44" s="38" t="s">
        <v>513</v>
      </c>
      <c r="D44" s="113" t="str">
        <f>IF(SUM(CHMATbl[[#This Row],[UNRESTRICTED UNITS]])=0,"",CHMATbl[[#This Row],[UNRESTRICTED UNITS]])</f>
        <v/>
      </c>
      <c r="E44" s="74" t="str">
        <f xml:space="preserve">
IF(CHMATbl[[#This Row],[UNRESTRICTED FUNDING REQUESTED]]=0,"",
CHMATbl[[#This Row],[UNRESTRICTED FUNDING REQUESTED]]*
IF(CH_MA_UnrestrictedTotalRequested&lt;=5000000,1,
5000000/CH_MA_UnrestrictedTotalRequested)
)</f>
        <v/>
      </c>
      <c r="F44" s="6" t="str">
        <f>IFERROR(CHMATbl[[#This Row],[TOTAL $ REQUESTED]]/SUM(CHMATbl[TOTAL $ REQUESTED]),"")</f>
        <v/>
      </c>
      <c r="G44" s="38" t="s">
        <v>513</v>
      </c>
      <c r="H44" s="113" t="str">
        <f>IF(SUM(CHMATbl[[#This Row],[MANUFACTURED UNITS]])=0,"",CHMATbl[[#This Row],[MANUFACTURED UNITS]])</f>
        <v/>
      </c>
      <c r="I44" s="74" t="str">
        <f xml:space="preserve">
IF(CHMATbl[[#This Row],[MANUFACTURED FUNDING REQUESTED]]=0,"",
CHMATbl[[#This Row],[MANUFACTURED FUNDING REQUESTED]]*
IF(CH_MA_ManufacturedTotalRequested&lt;=(5000000-E$61),1,
(5000000-E$61)/CH_MA_ManufacturedTotalRequested)
)</f>
        <v/>
      </c>
      <c r="J44" s="6" t="str">
        <f>IFERROR(CHMATbl[[#This Row],[TOTAL $ REQUESTED2]]/SUM(CHMATbl[TOTAL $ REQUESTED2]),"")</f>
        <v/>
      </c>
      <c r="K44" s="38" t="s">
        <v>513</v>
      </c>
      <c r="L44" s="113" t="str">
        <f>IF(SUM(CHMATbl[[#This Row],[RURAL UNITS]])=0,"",CHMATbl[[#This Row],[RURAL UNITS]])</f>
        <v/>
      </c>
      <c r="M44" s="74" t="str">
        <f xml:space="preserve">
IF(CHMATbl[[#This Row],[RURAL FUNDING REQUESTED]]=0,"",
CHMATbl[[#This Row],[RURAL FUNDING REQUESTED]]*
IF(CH_MA_RuralTotalRequested&lt;=(5000000-E$61-I$61),1,
(5000000-E$61-I$61)/CH_MA_RuralTotalRequested)
)</f>
        <v/>
      </c>
      <c r="N44" s="6" t="str">
        <f>IFERROR(CHMATbl[[#This Row],[TOTAL $ REQUESTED3]]/SUM(CHMATbl[TOTAL $ REQUESTED3]),"")</f>
        <v/>
      </c>
      <c r="O44" s="38" t="s">
        <v>513</v>
      </c>
      <c r="P44" s="113" t="str">
        <f>IF(SUM(CHMATbl[[#This Row],[MANUFACTURED AND RURAL UNITS]])=0,"",CHMATbl[[#This Row],[MANUFACTURED AND RURAL UNITS]])</f>
        <v/>
      </c>
      <c r="Q44" s="74" t="str">
        <f xml:space="preserve">
IF(CHMATbl[[#This Row],[MANUFACTURED AND RURAL FUNDING REQUESTED]]=0,"",
CHMATbl[[#This Row],[MANUFACTURED AND RURAL FUNDING REQUESTED]]*
IF(CH_MA_MFDRuralTotalRequested&lt;=(5000000-E$61-I$61-M$61),1,
(5000000-E$61-I$61-M$61)/CH_MA_MFDRuralTotalRequested)
)</f>
        <v/>
      </c>
      <c r="R44" s="6" t="str">
        <f>IFERROR(CHMATbl[[#This Row],[TOTAL $ REQUESTED4]]/SUM(CHMATbl[TOTAL $ REQUESTED4]),"")</f>
        <v/>
      </c>
      <c r="S44" s="38" t="s">
        <v>513</v>
      </c>
      <c r="T44" s="736"/>
      <c r="U44" s="699"/>
      <c r="V44" s="699"/>
      <c r="W44" s="737"/>
      <c r="X44" s="702"/>
      <c r="Y44" s="703"/>
      <c r="Z44" s="703"/>
      <c r="AA44" s="703"/>
      <c r="AB44" s="703"/>
      <c r="AC44" s="98">
        <f t="shared" si="0"/>
        <v>0</v>
      </c>
      <c r="AD44" s="6">
        <f>IF(CHMATbl[[#This Row],[UNRESTRICTED FUNDING REQUESTED]]=0,0,CHMATbl[[#This Row],[UNRESTRICTED FUNDING REQUESTED]]/CH_MA_UnrestrictedTotalRequested)</f>
        <v>0</v>
      </c>
      <c r="AE44" s="667">
        <f xml:space="preserve">
IF(CHMATbl[[#This Row],[NEW CONSTRUCTION OR AQUIRE/REHAB]]&lt;&gt;"",
3+IF(CHMATbl[[#This Row],[INFILL SITE]]="Yes",2,0),0)
*CHMATbl[[#This Row],[% OF TOTAL UNRESTRICTED FUNDING]]</f>
        <v>0</v>
      </c>
      <c r="AF44" s="665">
        <f>IF(CHMATbl[[#This Row],[ALL UNITS IN A HIGH OR HIGHEST RESOURCE AREA]]="Yes",10*CHMATbl[[#This Row],[% OF TOTAL UNRESTRICTED FUNDING]],0)</f>
        <v>0</v>
      </c>
      <c r="AG44" s="665" cm="1">
        <f t="array" ref="AG44">INDEX(CountyScoresTbl[Community Need Total Points],ROW(CHMATbl[[#This Row],[COUNTY]])-2,1)*CHMATbl[[#This Row],[% OF TOTAL UNRESTRICTED FUNDING]]</f>
        <v>0</v>
      </c>
      <c r="AH44" s="666" cm="1">
        <f t="array" ref="AH44"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4" s="702"/>
      <c r="AJ44" s="703"/>
      <c r="AK44" s="703"/>
      <c r="AL44" s="703"/>
      <c r="AM44" s="703"/>
      <c r="AN44" s="74">
        <f t="shared" si="1"/>
        <v>0</v>
      </c>
      <c r="AO44" s="6">
        <f>IF(CHMATbl[[#This Row],[MANUFACTURED FUNDING REQUESTED]]=0,0,CHMATbl[[#This Row],[MANUFACTURED FUNDING REQUESTED]]/CH_MA_ManufacturedTotalRequested)</f>
        <v>0</v>
      </c>
      <c r="AP44" s="671">
        <f>IF(
CHMATbl[[#This Row],[NEW CONSTRUCTION OR AQUIRE/REHAB]]&lt;&gt;"",
3+IF(CHMATbl[[#This Row],[INFILL SITE]]="Yes",2,0),0)
*CHMATbl[[#This Row],[% OF TOTAL MANUFACTURED FUNDING]]</f>
        <v>0</v>
      </c>
      <c r="AQ44" s="7">
        <f>IF(CHMATbl[[#This Row],[ALL UNITS IN A HIGH OR HIGHEST RESOURCE AREA]]="Yes",10*CHMATbl[[#This Row],[% OF TOTAL MANUFACTURED FUNDING]],0)</f>
        <v>0</v>
      </c>
      <c r="AR44" s="7" cm="1">
        <f t="array" ref="AR44">INDEX(CountyScoresTbl[Community Need Total Points],ROW(CHMATbl[[#This Row],[COUNTY]])-2,1)*CHMATbl[[#This Row],[% OF TOTAL MANUFACTURED FUNDING]]</f>
        <v>0</v>
      </c>
      <c r="AS44" s="8" cm="1">
        <f t="array" ref="AS4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4" s="705"/>
      <c r="AU44" s="703"/>
      <c r="AV44" s="703"/>
      <c r="AW44" s="703"/>
      <c r="AX44" s="703"/>
      <c r="AY44" s="74">
        <f t="shared" si="2"/>
        <v>0</v>
      </c>
      <c r="AZ44" s="6">
        <f>IF(CHMATbl[[#This Row],[RURAL FUNDING REQUESTED]]=0,0,CHMATbl[[#This Row],[RURAL FUNDING REQUESTED]]/CH_MA_RuralTotalRequested)</f>
        <v>0</v>
      </c>
      <c r="BA44" s="667">
        <f>IF(
CHMATbl[[#This Row],[NEW CONSTRUCTION OR AQUIRE/REHAB]]&lt;&gt;"",
3+IF(CHMATbl[[#This Row],[INFILL SITE]]="Yes",2,0),0)
*CHMATbl[[#This Row],[% OF TOTAL RURAL FUNDING]]</f>
        <v>0</v>
      </c>
      <c r="BB44" s="665">
        <f>IF(
CHMATbl[[#This Row],[ALL UNITS IN A HIGH OR HIGHEST RESOURCE AREA]]="Yes",
10*CHMATbl[[#This Row],[% OF TOTAL RURAL FUNDING]],
0)</f>
        <v>0</v>
      </c>
      <c r="BC44" s="665" cm="1">
        <f t="array" ref="BC44">INDEX(
CountyScoresTbl[Community Need Total Points],
ROW(CHMATbl[[#This Row],[COUNTY]])-2,1)*CHMATbl[[#This Row],[% OF TOTAL RURAL FUNDING]]</f>
        <v>0</v>
      </c>
      <c r="BD44" s="666" cm="1">
        <f t="array" ref="BD44"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4" s="116"/>
      <c r="BF44" s="703"/>
      <c r="BG44" s="703"/>
      <c r="BH44" s="703"/>
      <c r="BI44" s="703"/>
      <c r="BJ44" s="74">
        <f t="shared" si="3"/>
        <v>0</v>
      </c>
      <c r="BK44" s="6">
        <f>IF(CHMATbl[[#This Row],[MANUFACTURED AND RURAL FUNDING REQUESTED]]=0,0,CHMATbl[[#This Row],[MANUFACTURED AND RURAL FUNDING REQUESTED]]/CH_MA_MFDRuralTotalRequested)</f>
        <v>0</v>
      </c>
      <c r="BL44" s="667">
        <f xml:space="preserve">
IF(CHMATbl[[#This Row],[NEW CONSTRUCTION OR AQUIRE/REHAB]]&lt;&gt;"",
3+IF(CHMATbl[[#This Row],[INFILL SITE]]="Yes",2,0),0)
*CHMATbl[[#This Row],[% OF TOTAL MANUFACTURED AND RURAL FUNDING]]</f>
        <v>0</v>
      </c>
      <c r="BM44" s="665">
        <f>IF(
CHMATbl[[#This Row],[ALL UNITS IN A HIGH OR HIGHEST RESOURCE AREA]]="Yes",
10*CHMATbl[[#This Row],[% OF TOTAL MANUFACTURED AND RURAL FUNDING]],
0)</f>
        <v>0</v>
      </c>
      <c r="BN44" s="665" cm="1">
        <f t="array" ref="BN44">INDEX(
CountyScoresTbl[Community Need Total Points],
ROW(CHMATbl[[#This Row],[COUNTY]])-2,1)*CHMATbl[[#This Row],[% OF TOTAL MANUFACTURED AND RURAL FUNDING]]</f>
        <v>0</v>
      </c>
      <c r="BO44" s="694" cm="1">
        <f t="array" ref="BO4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4" s="731"/>
      <c r="BQ44" s="676"/>
      <c r="BR44" s="677"/>
    </row>
    <row r="45" spans="1:70" s="662" customFormat="1" x14ac:dyDescent="0.35">
      <c r="A45" s="679"/>
      <c r="B45" s="5" t="s">
        <v>157</v>
      </c>
      <c r="C45" s="38" t="s">
        <v>513</v>
      </c>
      <c r="D45" s="113" t="str">
        <f>IF(SUM(CHMATbl[[#This Row],[UNRESTRICTED UNITS]])=0,"",CHMATbl[[#This Row],[UNRESTRICTED UNITS]])</f>
        <v/>
      </c>
      <c r="E45" s="74" t="str">
        <f xml:space="preserve">
IF(CHMATbl[[#This Row],[UNRESTRICTED FUNDING REQUESTED]]=0,"",
CHMATbl[[#This Row],[UNRESTRICTED FUNDING REQUESTED]]*
IF(CH_MA_UnrestrictedTotalRequested&lt;=5000000,1,
5000000/CH_MA_UnrestrictedTotalRequested)
)</f>
        <v/>
      </c>
      <c r="F45" s="6" t="str">
        <f>IFERROR(CHMATbl[[#This Row],[TOTAL $ REQUESTED]]/SUM(CHMATbl[TOTAL $ REQUESTED]),"")</f>
        <v/>
      </c>
      <c r="G45" s="38" t="s">
        <v>513</v>
      </c>
      <c r="H45" s="113" t="str">
        <f>IF(SUM(CHMATbl[[#This Row],[MANUFACTURED UNITS]])=0,"",CHMATbl[[#This Row],[MANUFACTURED UNITS]])</f>
        <v/>
      </c>
      <c r="I45" s="74" t="str">
        <f xml:space="preserve">
IF(CHMATbl[[#This Row],[MANUFACTURED FUNDING REQUESTED]]=0,"",
CHMATbl[[#This Row],[MANUFACTURED FUNDING REQUESTED]]*
IF(CH_MA_ManufacturedTotalRequested&lt;=(5000000-E$61),1,
(5000000-E$61)/CH_MA_ManufacturedTotalRequested)
)</f>
        <v/>
      </c>
      <c r="J45" s="6" t="str">
        <f>IFERROR(CHMATbl[[#This Row],[TOTAL $ REQUESTED2]]/SUM(CHMATbl[TOTAL $ REQUESTED2]),"")</f>
        <v/>
      </c>
      <c r="K45" s="38" t="s">
        <v>513</v>
      </c>
      <c r="L45" s="113" t="str">
        <f>IF(SUM(CHMATbl[[#This Row],[RURAL UNITS]])=0,"",CHMATbl[[#This Row],[RURAL UNITS]])</f>
        <v/>
      </c>
      <c r="M45" s="74" t="str">
        <f xml:space="preserve">
IF(CHMATbl[[#This Row],[RURAL FUNDING REQUESTED]]=0,"",
CHMATbl[[#This Row],[RURAL FUNDING REQUESTED]]*
IF(CH_MA_RuralTotalRequested&lt;=(5000000-E$61-I$61),1,
(5000000-E$61-I$61)/CH_MA_RuralTotalRequested)
)</f>
        <v/>
      </c>
      <c r="N45" s="6" t="str">
        <f>IFERROR(CHMATbl[[#This Row],[TOTAL $ REQUESTED3]]/SUM(CHMATbl[TOTAL $ REQUESTED3]),"")</f>
        <v/>
      </c>
      <c r="O45" s="38" t="s">
        <v>513</v>
      </c>
      <c r="P45" s="113" t="str">
        <f>IF(SUM(CHMATbl[[#This Row],[MANUFACTURED AND RURAL UNITS]])=0,"",CHMATbl[[#This Row],[MANUFACTURED AND RURAL UNITS]])</f>
        <v/>
      </c>
      <c r="Q45" s="74" t="str">
        <f xml:space="preserve">
IF(CHMATbl[[#This Row],[MANUFACTURED AND RURAL FUNDING REQUESTED]]=0,"",
CHMATbl[[#This Row],[MANUFACTURED AND RURAL FUNDING REQUESTED]]*
IF(CH_MA_MFDRuralTotalRequested&lt;=(5000000-E$61-I$61-M$61),1,
(5000000-E$61-I$61-M$61)/CH_MA_MFDRuralTotalRequested)
)</f>
        <v/>
      </c>
      <c r="R45" s="6" t="str">
        <f>IFERROR(CHMATbl[[#This Row],[TOTAL $ REQUESTED4]]/SUM(CHMATbl[TOTAL $ REQUESTED4]),"")</f>
        <v/>
      </c>
      <c r="S45" s="38" t="s">
        <v>513</v>
      </c>
      <c r="T45" s="736"/>
      <c r="U45" s="699"/>
      <c r="V45" s="699"/>
      <c r="W45" s="737"/>
      <c r="X45" s="116"/>
      <c r="Y45" s="703"/>
      <c r="Z45" s="703"/>
      <c r="AA45" s="703"/>
      <c r="AB45" s="703"/>
      <c r="AC45" s="98">
        <f t="shared" si="0"/>
        <v>0</v>
      </c>
      <c r="AD45" s="6">
        <f>IF(CHMATbl[[#This Row],[UNRESTRICTED FUNDING REQUESTED]]=0,0,CHMATbl[[#This Row],[UNRESTRICTED FUNDING REQUESTED]]/CH_MA_UnrestrictedTotalRequested)</f>
        <v>0</v>
      </c>
      <c r="AE45" s="667">
        <f xml:space="preserve">
IF(CHMATbl[[#This Row],[NEW CONSTRUCTION OR AQUIRE/REHAB]]&lt;&gt;"",
3+IF(CHMATbl[[#This Row],[INFILL SITE]]="Yes",2,0),0)
*CHMATbl[[#This Row],[% OF TOTAL UNRESTRICTED FUNDING]]</f>
        <v>0</v>
      </c>
      <c r="AF45" s="665">
        <f>IF(CHMATbl[[#This Row],[ALL UNITS IN A HIGH OR HIGHEST RESOURCE AREA]]="Yes",10*CHMATbl[[#This Row],[% OF TOTAL UNRESTRICTED FUNDING]],0)</f>
        <v>0</v>
      </c>
      <c r="AG45" s="665" cm="1">
        <f t="array" ref="AG45">INDEX(CountyScoresTbl[Community Need Total Points],ROW(CHMATbl[[#This Row],[COUNTY]])-2,1)*CHMATbl[[#This Row],[% OF TOTAL UNRESTRICTED FUNDING]]</f>
        <v>0</v>
      </c>
      <c r="AH45" s="666" cm="1">
        <f t="array" ref="AH45"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5" s="116"/>
      <c r="AJ45" s="703"/>
      <c r="AK45" s="703"/>
      <c r="AL45" s="703"/>
      <c r="AM45" s="703"/>
      <c r="AN45" s="74">
        <f t="shared" si="1"/>
        <v>0</v>
      </c>
      <c r="AO45" s="6">
        <f>IF(CHMATbl[[#This Row],[MANUFACTURED FUNDING REQUESTED]]=0,0,CHMATbl[[#This Row],[MANUFACTURED FUNDING REQUESTED]]/CH_MA_ManufacturedTotalRequested)</f>
        <v>0</v>
      </c>
      <c r="AP45" s="671">
        <f>IF(
CHMATbl[[#This Row],[NEW CONSTRUCTION OR AQUIRE/REHAB]]&lt;&gt;"",
3+IF(CHMATbl[[#This Row],[INFILL SITE]]="Yes",2,0),0)
*CHMATbl[[#This Row],[% OF TOTAL MANUFACTURED FUNDING]]</f>
        <v>0</v>
      </c>
      <c r="AQ45" s="7">
        <f>IF(CHMATbl[[#This Row],[ALL UNITS IN A HIGH OR HIGHEST RESOURCE AREA]]="Yes",10*CHMATbl[[#This Row],[% OF TOTAL MANUFACTURED FUNDING]],0)</f>
        <v>0</v>
      </c>
      <c r="AR45" s="7" cm="1">
        <f t="array" ref="AR45">INDEX(CountyScoresTbl[Community Need Total Points],ROW(CHMATbl[[#This Row],[COUNTY]])-2,1)*CHMATbl[[#This Row],[% OF TOTAL MANUFACTURED FUNDING]]</f>
        <v>0</v>
      </c>
      <c r="AS45" s="8" cm="1">
        <f t="array" ref="AS4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5" s="705"/>
      <c r="AU45" s="703"/>
      <c r="AV45" s="703"/>
      <c r="AW45" s="703"/>
      <c r="AX45" s="703"/>
      <c r="AY45" s="74">
        <f t="shared" si="2"/>
        <v>0</v>
      </c>
      <c r="AZ45" s="6">
        <f>IF(CHMATbl[[#This Row],[RURAL FUNDING REQUESTED]]=0,0,CHMATbl[[#This Row],[RURAL FUNDING REQUESTED]]/CH_MA_RuralTotalRequested)</f>
        <v>0</v>
      </c>
      <c r="BA45" s="667">
        <f>IF(
CHMATbl[[#This Row],[NEW CONSTRUCTION OR AQUIRE/REHAB]]&lt;&gt;"",
3+IF(CHMATbl[[#This Row],[INFILL SITE]]="Yes",2,0),0)
*CHMATbl[[#This Row],[% OF TOTAL RURAL FUNDING]]</f>
        <v>0</v>
      </c>
      <c r="BB45" s="665">
        <f>IF(
CHMATbl[[#This Row],[ALL UNITS IN A HIGH OR HIGHEST RESOURCE AREA]]="Yes",
10*CHMATbl[[#This Row],[% OF TOTAL RURAL FUNDING]],
0)</f>
        <v>0</v>
      </c>
      <c r="BC45" s="665" cm="1">
        <f t="array" ref="BC45">INDEX(
CountyScoresTbl[Community Need Total Points],
ROW(CHMATbl[[#This Row],[COUNTY]])-2,1)*CHMATbl[[#This Row],[% OF TOTAL RURAL FUNDING]]</f>
        <v>0</v>
      </c>
      <c r="BD45" s="666" cm="1">
        <f t="array" ref="BD45"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5" s="116"/>
      <c r="BF45" s="703"/>
      <c r="BG45" s="703"/>
      <c r="BH45" s="703"/>
      <c r="BI45" s="703"/>
      <c r="BJ45" s="74">
        <f t="shared" si="3"/>
        <v>0</v>
      </c>
      <c r="BK45" s="6">
        <f>IF(CHMATbl[[#This Row],[MANUFACTURED AND RURAL FUNDING REQUESTED]]=0,0,CHMATbl[[#This Row],[MANUFACTURED AND RURAL FUNDING REQUESTED]]/CH_MA_MFDRuralTotalRequested)</f>
        <v>0</v>
      </c>
      <c r="BL45" s="667">
        <f xml:space="preserve">
IF(CHMATbl[[#This Row],[NEW CONSTRUCTION OR AQUIRE/REHAB]]&lt;&gt;"",
3+IF(CHMATbl[[#This Row],[INFILL SITE]]="Yes",2,0),0)
*CHMATbl[[#This Row],[% OF TOTAL MANUFACTURED AND RURAL FUNDING]]</f>
        <v>0</v>
      </c>
      <c r="BM45" s="665">
        <f>IF(
CHMATbl[[#This Row],[ALL UNITS IN A HIGH OR HIGHEST RESOURCE AREA]]="Yes",
10*CHMATbl[[#This Row],[% OF TOTAL MANUFACTURED AND RURAL FUNDING]],
0)</f>
        <v>0</v>
      </c>
      <c r="BN45" s="665" cm="1">
        <f t="array" ref="BN45">INDEX(
CountyScoresTbl[Community Need Total Points],
ROW(CHMATbl[[#This Row],[COUNTY]])-2,1)*CHMATbl[[#This Row],[% OF TOTAL MANUFACTURED AND RURAL FUNDING]]</f>
        <v>0</v>
      </c>
      <c r="BO45" s="694" cm="1">
        <f t="array" ref="BO4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5" s="732"/>
      <c r="BQ45" s="564"/>
      <c r="BR45" s="678"/>
    </row>
    <row r="46" spans="1:70" s="662" customFormat="1" x14ac:dyDescent="0.35">
      <c r="A46" s="679"/>
      <c r="B46" s="5" t="s">
        <v>158</v>
      </c>
      <c r="C46" s="38" t="s">
        <v>513</v>
      </c>
      <c r="D46" s="113" t="str">
        <f>IF(SUM(CHMATbl[[#This Row],[UNRESTRICTED UNITS]])=0,"",CHMATbl[[#This Row],[UNRESTRICTED UNITS]])</f>
        <v/>
      </c>
      <c r="E46" s="74" t="str">
        <f xml:space="preserve">
IF(CHMATbl[[#This Row],[UNRESTRICTED FUNDING REQUESTED]]=0,"",
CHMATbl[[#This Row],[UNRESTRICTED FUNDING REQUESTED]]*
IF(CH_MA_UnrestrictedTotalRequested&lt;=5000000,1,
5000000/CH_MA_UnrestrictedTotalRequested)
)</f>
        <v/>
      </c>
      <c r="F46" s="6" t="str">
        <f>IFERROR(CHMATbl[[#This Row],[TOTAL $ REQUESTED]]/SUM(CHMATbl[TOTAL $ REQUESTED]),"")</f>
        <v/>
      </c>
      <c r="G46" s="38" t="s">
        <v>513</v>
      </c>
      <c r="H46" s="113" t="str">
        <f>IF(SUM(CHMATbl[[#This Row],[MANUFACTURED UNITS]])=0,"",CHMATbl[[#This Row],[MANUFACTURED UNITS]])</f>
        <v/>
      </c>
      <c r="I46" s="74" t="str">
        <f xml:space="preserve">
IF(CHMATbl[[#This Row],[MANUFACTURED FUNDING REQUESTED]]=0,"",
CHMATbl[[#This Row],[MANUFACTURED FUNDING REQUESTED]]*
IF(CH_MA_ManufacturedTotalRequested&lt;=(5000000-E$61),1,
(5000000-E$61)/CH_MA_ManufacturedTotalRequested)
)</f>
        <v/>
      </c>
      <c r="J46" s="6" t="str">
        <f>IFERROR(CHMATbl[[#This Row],[TOTAL $ REQUESTED2]]/SUM(CHMATbl[TOTAL $ REQUESTED2]),"")</f>
        <v/>
      </c>
      <c r="K46" s="38" t="s">
        <v>513</v>
      </c>
      <c r="L46" s="113" t="str">
        <f>IF(SUM(CHMATbl[[#This Row],[RURAL UNITS]])=0,"",CHMATbl[[#This Row],[RURAL UNITS]])</f>
        <v/>
      </c>
      <c r="M46" s="74" t="str">
        <f xml:space="preserve">
IF(CHMATbl[[#This Row],[RURAL FUNDING REQUESTED]]=0,"",
CHMATbl[[#This Row],[RURAL FUNDING REQUESTED]]*
IF(CH_MA_RuralTotalRequested&lt;=(5000000-E$61-I$61),1,
(5000000-E$61-I$61)/CH_MA_RuralTotalRequested)
)</f>
        <v/>
      </c>
      <c r="N46" s="6" t="str">
        <f>IFERROR(CHMATbl[[#This Row],[TOTAL $ REQUESTED3]]/SUM(CHMATbl[TOTAL $ REQUESTED3]),"")</f>
        <v/>
      </c>
      <c r="O46" s="38" t="s">
        <v>513</v>
      </c>
      <c r="P46" s="113" t="str">
        <f>IF(SUM(CHMATbl[[#This Row],[MANUFACTURED AND RURAL UNITS]])=0,"",CHMATbl[[#This Row],[MANUFACTURED AND RURAL UNITS]])</f>
        <v/>
      </c>
      <c r="Q46" s="74" t="str">
        <f xml:space="preserve">
IF(CHMATbl[[#This Row],[MANUFACTURED AND RURAL FUNDING REQUESTED]]=0,"",
CHMATbl[[#This Row],[MANUFACTURED AND RURAL FUNDING REQUESTED]]*
IF(CH_MA_MFDRuralTotalRequested&lt;=(5000000-E$61-I$61-M$61),1,
(5000000-E$61-I$61-M$61)/CH_MA_MFDRuralTotalRequested)
)</f>
        <v/>
      </c>
      <c r="R46" s="6" t="str">
        <f>IFERROR(CHMATbl[[#This Row],[TOTAL $ REQUESTED4]]/SUM(CHMATbl[TOTAL $ REQUESTED4]),"")</f>
        <v/>
      </c>
      <c r="S46" s="38" t="s">
        <v>513</v>
      </c>
      <c r="T46" s="736"/>
      <c r="U46" s="699"/>
      <c r="V46" s="699"/>
      <c r="W46" s="737"/>
      <c r="X46" s="116"/>
      <c r="Y46" s="703"/>
      <c r="Z46" s="703"/>
      <c r="AA46" s="703"/>
      <c r="AB46" s="703"/>
      <c r="AC46" s="98">
        <f t="shared" si="0"/>
        <v>0</v>
      </c>
      <c r="AD46" s="6">
        <f>IF(CHMATbl[[#This Row],[UNRESTRICTED FUNDING REQUESTED]]=0,0,CHMATbl[[#This Row],[UNRESTRICTED FUNDING REQUESTED]]/CH_MA_UnrestrictedTotalRequested)</f>
        <v>0</v>
      </c>
      <c r="AE46" s="667">
        <f xml:space="preserve">
IF(CHMATbl[[#This Row],[NEW CONSTRUCTION OR AQUIRE/REHAB]]&lt;&gt;"",
3+IF(CHMATbl[[#This Row],[INFILL SITE]]="Yes",2,0),0)
*CHMATbl[[#This Row],[% OF TOTAL UNRESTRICTED FUNDING]]</f>
        <v>0</v>
      </c>
      <c r="AF46" s="665">
        <f>IF(CHMATbl[[#This Row],[ALL UNITS IN A HIGH OR HIGHEST RESOURCE AREA]]="Yes",10*CHMATbl[[#This Row],[% OF TOTAL UNRESTRICTED FUNDING]],0)</f>
        <v>0</v>
      </c>
      <c r="AG46" s="665" cm="1">
        <f t="array" ref="AG46">INDEX(CountyScoresTbl[Community Need Total Points],ROW(CHMATbl[[#This Row],[COUNTY]])-2,1)*CHMATbl[[#This Row],[% OF TOTAL UNRESTRICTED FUNDING]]</f>
        <v>0</v>
      </c>
      <c r="AH46" s="666" cm="1">
        <f t="array" ref="AH46"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6" s="116"/>
      <c r="AJ46" s="703"/>
      <c r="AK46" s="703"/>
      <c r="AL46" s="703"/>
      <c r="AM46" s="703"/>
      <c r="AN46" s="74">
        <f t="shared" si="1"/>
        <v>0</v>
      </c>
      <c r="AO46" s="6">
        <f>IF(CHMATbl[[#This Row],[MANUFACTURED FUNDING REQUESTED]]=0,0,CHMATbl[[#This Row],[MANUFACTURED FUNDING REQUESTED]]/CH_MA_ManufacturedTotalRequested)</f>
        <v>0</v>
      </c>
      <c r="AP46" s="671">
        <f>IF(
CHMATbl[[#This Row],[NEW CONSTRUCTION OR AQUIRE/REHAB]]&lt;&gt;"",
3+IF(CHMATbl[[#This Row],[INFILL SITE]]="Yes",2,0),0)
*CHMATbl[[#This Row],[% OF TOTAL MANUFACTURED FUNDING]]</f>
        <v>0</v>
      </c>
      <c r="AQ46" s="7">
        <f>IF(CHMATbl[[#This Row],[ALL UNITS IN A HIGH OR HIGHEST RESOURCE AREA]]="Yes",10*CHMATbl[[#This Row],[% OF TOTAL MANUFACTURED FUNDING]],0)</f>
        <v>0</v>
      </c>
      <c r="AR46" s="7" cm="1">
        <f t="array" ref="AR46">INDEX(CountyScoresTbl[Community Need Total Points],ROW(CHMATbl[[#This Row],[COUNTY]])-2,1)*CHMATbl[[#This Row],[% OF TOTAL MANUFACTURED FUNDING]]</f>
        <v>0</v>
      </c>
      <c r="AS46" s="8" cm="1">
        <f t="array" ref="AS4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6" s="705"/>
      <c r="AU46" s="703"/>
      <c r="AV46" s="703"/>
      <c r="AW46" s="703"/>
      <c r="AX46" s="703"/>
      <c r="AY46" s="74">
        <f t="shared" si="2"/>
        <v>0</v>
      </c>
      <c r="AZ46" s="6">
        <f>IF(CHMATbl[[#This Row],[RURAL FUNDING REQUESTED]]=0,0,CHMATbl[[#This Row],[RURAL FUNDING REQUESTED]]/CH_MA_RuralTotalRequested)</f>
        <v>0</v>
      </c>
      <c r="BA46" s="667">
        <f>IF(
CHMATbl[[#This Row],[NEW CONSTRUCTION OR AQUIRE/REHAB]]&lt;&gt;"",
3+IF(CHMATbl[[#This Row],[INFILL SITE]]="Yes",2,0),0)
*CHMATbl[[#This Row],[% OF TOTAL RURAL FUNDING]]</f>
        <v>0</v>
      </c>
      <c r="BB46" s="665">
        <f>IF(
CHMATbl[[#This Row],[ALL UNITS IN A HIGH OR HIGHEST RESOURCE AREA]]="Yes",
10*CHMATbl[[#This Row],[% OF TOTAL RURAL FUNDING]],
0)</f>
        <v>0</v>
      </c>
      <c r="BC46" s="665" cm="1">
        <f t="array" ref="BC46">INDEX(
CountyScoresTbl[Community Need Total Points],
ROW(CHMATbl[[#This Row],[COUNTY]])-2,1)*CHMATbl[[#This Row],[% OF TOTAL RURAL FUNDING]]</f>
        <v>0</v>
      </c>
      <c r="BD46" s="666" cm="1">
        <f t="array" ref="BD46"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6" s="116"/>
      <c r="BF46" s="703"/>
      <c r="BG46" s="703"/>
      <c r="BH46" s="703"/>
      <c r="BI46" s="703"/>
      <c r="BJ46" s="74">
        <f t="shared" si="3"/>
        <v>0</v>
      </c>
      <c r="BK46" s="6">
        <f>IF(CHMATbl[[#This Row],[MANUFACTURED AND RURAL FUNDING REQUESTED]]=0,0,CHMATbl[[#This Row],[MANUFACTURED AND RURAL FUNDING REQUESTED]]/CH_MA_MFDRuralTotalRequested)</f>
        <v>0</v>
      </c>
      <c r="BL46" s="667">
        <f xml:space="preserve">
IF(CHMATbl[[#This Row],[NEW CONSTRUCTION OR AQUIRE/REHAB]]&lt;&gt;"",
3+IF(CHMATbl[[#This Row],[INFILL SITE]]="Yes",2,0),0)
*CHMATbl[[#This Row],[% OF TOTAL MANUFACTURED AND RURAL FUNDING]]</f>
        <v>0</v>
      </c>
      <c r="BM46" s="665">
        <f>IF(
CHMATbl[[#This Row],[ALL UNITS IN A HIGH OR HIGHEST RESOURCE AREA]]="Yes",
10*CHMATbl[[#This Row],[% OF TOTAL MANUFACTURED AND RURAL FUNDING]],
0)</f>
        <v>0</v>
      </c>
      <c r="BN46" s="665" cm="1">
        <f t="array" ref="BN46">INDEX(
CountyScoresTbl[Community Need Total Points],
ROW(CHMATbl[[#This Row],[COUNTY]])-2,1)*CHMATbl[[#This Row],[% OF TOTAL MANUFACTURED AND RURAL FUNDING]]</f>
        <v>0</v>
      </c>
      <c r="BO46" s="694" cm="1">
        <f t="array" ref="BO4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6" s="732"/>
      <c r="BQ46" s="564"/>
      <c r="BR46" s="678"/>
    </row>
    <row r="47" spans="1:70" s="662" customFormat="1" x14ac:dyDescent="0.35">
      <c r="A47" s="679"/>
      <c r="B47" s="5" t="s">
        <v>159</v>
      </c>
      <c r="C47" s="38" t="s">
        <v>513</v>
      </c>
      <c r="D47" s="113" t="str">
        <f>IF(SUM(CHMATbl[[#This Row],[UNRESTRICTED UNITS]])=0,"",CHMATbl[[#This Row],[UNRESTRICTED UNITS]])</f>
        <v/>
      </c>
      <c r="E47" s="74" t="str">
        <f xml:space="preserve">
IF(CHMATbl[[#This Row],[UNRESTRICTED FUNDING REQUESTED]]=0,"",
CHMATbl[[#This Row],[UNRESTRICTED FUNDING REQUESTED]]*
IF(CH_MA_UnrestrictedTotalRequested&lt;=5000000,1,
5000000/CH_MA_UnrestrictedTotalRequested)
)</f>
        <v/>
      </c>
      <c r="F47" s="6" t="str">
        <f>IFERROR(CHMATbl[[#This Row],[TOTAL $ REQUESTED]]/SUM(CHMATbl[TOTAL $ REQUESTED]),"")</f>
        <v/>
      </c>
      <c r="G47" s="38" t="s">
        <v>513</v>
      </c>
      <c r="H47" s="113" t="str">
        <f>IF(SUM(CHMATbl[[#This Row],[MANUFACTURED UNITS]])=0,"",CHMATbl[[#This Row],[MANUFACTURED UNITS]])</f>
        <v/>
      </c>
      <c r="I47" s="74" t="str">
        <f xml:space="preserve">
IF(CHMATbl[[#This Row],[MANUFACTURED FUNDING REQUESTED]]=0,"",
CHMATbl[[#This Row],[MANUFACTURED FUNDING REQUESTED]]*
IF(CH_MA_ManufacturedTotalRequested&lt;=(5000000-E$61),1,
(5000000-E$61)/CH_MA_ManufacturedTotalRequested)
)</f>
        <v/>
      </c>
      <c r="J47" s="6" t="str">
        <f>IFERROR(CHMATbl[[#This Row],[TOTAL $ REQUESTED2]]/SUM(CHMATbl[TOTAL $ REQUESTED2]),"")</f>
        <v/>
      </c>
      <c r="K47" s="38" t="s">
        <v>513</v>
      </c>
      <c r="L47" s="113" t="str">
        <f>IF(SUM(CHMATbl[[#This Row],[RURAL UNITS]])=0,"",CHMATbl[[#This Row],[RURAL UNITS]])</f>
        <v/>
      </c>
      <c r="M47" s="74" t="str">
        <f xml:space="preserve">
IF(CHMATbl[[#This Row],[RURAL FUNDING REQUESTED]]=0,"",
CHMATbl[[#This Row],[RURAL FUNDING REQUESTED]]*
IF(CH_MA_RuralTotalRequested&lt;=(5000000-E$61-I$61),1,
(5000000-E$61-I$61)/CH_MA_RuralTotalRequested)
)</f>
        <v/>
      </c>
      <c r="N47" s="6" t="str">
        <f>IFERROR(CHMATbl[[#This Row],[TOTAL $ REQUESTED3]]/SUM(CHMATbl[TOTAL $ REQUESTED3]),"")</f>
        <v/>
      </c>
      <c r="O47" s="38" t="s">
        <v>513</v>
      </c>
      <c r="P47" s="113" t="str">
        <f>IF(SUM(CHMATbl[[#This Row],[MANUFACTURED AND RURAL UNITS]])=0,"",CHMATbl[[#This Row],[MANUFACTURED AND RURAL UNITS]])</f>
        <v/>
      </c>
      <c r="Q47" s="74" t="str">
        <f xml:space="preserve">
IF(CHMATbl[[#This Row],[MANUFACTURED AND RURAL FUNDING REQUESTED]]=0,"",
CHMATbl[[#This Row],[MANUFACTURED AND RURAL FUNDING REQUESTED]]*
IF(CH_MA_MFDRuralTotalRequested&lt;=(5000000-E$61-I$61-M$61),1,
(5000000-E$61-I$61-M$61)/CH_MA_MFDRuralTotalRequested)
)</f>
        <v/>
      </c>
      <c r="R47" s="6" t="str">
        <f>IFERROR(CHMATbl[[#This Row],[TOTAL $ REQUESTED4]]/SUM(CHMATbl[TOTAL $ REQUESTED4]),"")</f>
        <v/>
      </c>
      <c r="S47" s="38" t="s">
        <v>513</v>
      </c>
      <c r="T47" s="736"/>
      <c r="U47" s="699"/>
      <c r="V47" s="699"/>
      <c r="W47" s="737"/>
      <c r="X47" s="116"/>
      <c r="Y47" s="703"/>
      <c r="Z47" s="703"/>
      <c r="AA47" s="703"/>
      <c r="AB47" s="703"/>
      <c r="AC47" s="98">
        <f t="shared" si="0"/>
        <v>0</v>
      </c>
      <c r="AD47" s="6">
        <f>IF(CHMATbl[[#This Row],[UNRESTRICTED FUNDING REQUESTED]]=0,0,CHMATbl[[#This Row],[UNRESTRICTED FUNDING REQUESTED]]/CH_MA_UnrestrictedTotalRequested)</f>
        <v>0</v>
      </c>
      <c r="AE47" s="667">
        <f xml:space="preserve">
IF(CHMATbl[[#This Row],[NEW CONSTRUCTION OR AQUIRE/REHAB]]&lt;&gt;"",
3+IF(CHMATbl[[#This Row],[INFILL SITE]]="Yes",2,0),0)
*CHMATbl[[#This Row],[% OF TOTAL UNRESTRICTED FUNDING]]</f>
        <v>0</v>
      </c>
      <c r="AF47" s="665">
        <f>IF(CHMATbl[[#This Row],[ALL UNITS IN A HIGH OR HIGHEST RESOURCE AREA]]="Yes",10*CHMATbl[[#This Row],[% OF TOTAL UNRESTRICTED FUNDING]],0)</f>
        <v>0</v>
      </c>
      <c r="AG47" s="665" cm="1">
        <f t="array" ref="AG47">INDEX(CountyScoresTbl[Community Need Total Points],ROW(CHMATbl[[#This Row],[COUNTY]])-2,1)*CHMATbl[[#This Row],[% OF TOTAL UNRESTRICTED FUNDING]]</f>
        <v>0</v>
      </c>
      <c r="AH47" s="666" cm="1">
        <f t="array" ref="AH47"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7" s="116"/>
      <c r="AJ47" s="703"/>
      <c r="AK47" s="703"/>
      <c r="AL47" s="703"/>
      <c r="AM47" s="703"/>
      <c r="AN47" s="74">
        <f t="shared" si="1"/>
        <v>0</v>
      </c>
      <c r="AO47" s="6">
        <f>IF(CHMATbl[[#This Row],[MANUFACTURED FUNDING REQUESTED]]=0,0,CHMATbl[[#This Row],[MANUFACTURED FUNDING REQUESTED]]/CH_MA_ManufacturedTotalRequested)</f>
        <v>0</v>
      </c>
      <c r="AP47" s="671">
        <f>IF(
CHMATbl[[#This Row],[NEW CONSTRUCTION OR AQUIRE/REHAB]]&lt;&gt;"",
3+IF(CHMATbl[[#This Row],[INFILL SITE]]="Yes",2,0),0)
*CHMATbl[[#This Row],[% OF TOTAL MANUFACTURED FUNDING]]</f>
        <v>0</v>
      </c>
      <c r="AQ47" s="7">
        <f>IF(CHMATbl[[#This Row],[ALL UNITS IN A HIGH OR HIGHEST RESOURCE AREA]]="Yes",10*CHMATbl[[#This Row],[% OF TOTAL MANUFACTURED FUNDING]],0)</f>
        <v>0</v>
      </c>
      <c r="AR47" s="7" cm="1">
        <f t="array" ref="AR47">INDEX(CountyScoresTbl[Community Need Total Points],ROW(CHMATbl[[#This Row],[COUNTY]])-2,1)*CHMATbl[[#This Row],[% OF TOTAL MANUFACTURED FUNDING]]</f>
        <v>0</v>
      </c>
      <c r="AS47" s="8" cm="1">
        <f t="array" ref="AS4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7" s="705"/>
      <c r="AU47" s="703"/>
      <c r="AV47" s="703"/>
      <c r="AW47" s="703"/>
      <c r="AX47" s="703"/>
      <c r="AY47" s="74">
        <f t="shared" si="2"/>
        <v>0</v>
      </c>
      <c r="AZ47" s="6">
        <f>IF(CHMATbl[[#This Row],[RURAL FUNDING REQUESTED]]=0,0,CHMATbl[[#This Row],[RURAL FUNDING REQUESTED]]/CH_MA_RuralTotalRequested)</f>
        <v>0</v>
      </c>
      <c r="BA47" s="667">
        <f>IF(
CHMATbl[[#This Row],[NEW CONSTRUCTION OR AQUIRE/REHAB]]&lt;&gt;"",
3+IF(CHMATbl[[#This Row],[INFILL SITE]]="Yes",2,0),0)
*CHMATbl[[#This Row],[% OF TOTAL RURAL FUNDING]]</f>
        <v>0</v>
      </c>
      <c r="BB47" s="665">
        <f>IF(
CHMATbl[[#This Row],[ALL UNITS IN A HIGH OR HIGHEST RESOURCE AREA]]="Yes",
10*CHMATbl[[#This Row],[% OF TOTAL RURAL FUNDING]],
0)</f>
        <v>0</v>
      </c>
      <c r="BC47" s="665" cm="1">
        <f t="array" ref="BC47">INDEX(
CountyScoresTbl[Community Need Total Points],
ROW(CHMATbl[[#This Row],[COUNTY]])-2,1)*CHMATbl[[#This Row],[% OF TOTAL RURAL FUNDING]]</f>
        <v>0</v>
      </c>
      <c r="BD47" s="666" cm="1">
        <f t="array" ref="BD47"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7" s="116"/>
      <c r="BF47" s="703"/>
      <c r="BG47" s="703"/>
      <c r="BH47" s="703"/>
      <c r="BI47" s="703"/>
      <c r="BJ47" s="74">
        <f t="shared" si="3"/>
        <v>0</v>
      </c>
      <c r="BK47" s="6">
        <f>IF(CHMATbl[[#This Row],[MANUFACTURED AND RURAL FUNDING REQUESTED]]=0,0,CHMATbl[[#This Row],[MANUFACTURED AND RURAL FUNDING REQUESTED]]/CH_MA_MFDRuralTotalRequested)</f>
        <v>0</v>
      </c>
      <c r="BL47" s="667">
        <f xml:space="preserve">
IF(CHMATbl[[#This Row],[NEW CONSTRUCTION OR AQUIRE/REHAB]]&lt;&gt;"",
3+IF(CHMATbl[[#This Row],[INFILL SITE]]="Yes",2,0),0)
*CHMATbl[[#This Row],[% OF TOTAL MANUFACTURED AND RURAL FUNDING]]</f>
        <v>0</v>
      </c>
      <c r="BM47" s="665">
        <f>IF(
CHMATbl[[#This Row],[ALL UNITS IN A HIGH OR HIGHEST RESOURCE AREA]]="Yes",
10*CHMATbl[[#This Row],[% OF TOTAL MANUFACTURED AND RURAL FUNDING]],
0)</f>
        <v>0</v>
      </c>
      <c r="BN47" s="665" cm="1">
        <f t="array" ref="BN47">INDEX(
CountyScoresTbl[Community Need Total Points],
ROW(CHMATbl[[#This Row],[COUNTY]])-2,1)*CHMATbl[[#This Row],[% OF TOTAL MANUFACTURED AND RURAL FUNDING]]</f>
        <v>0</v>
      </c>
      <c r="BO47" s="694" cm="1">
        <f t="array" ref="BO4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7" s="732"/>
      <c r="BQ47" s="564"/>
      <c r="BR47" s="678"/>
    </row>
    <row r="48" spans="1:70" s="662" customFormat="1" x14ac:dyDescent="0.35">
      <c r="A48" s="679"/>
      <c r="B48" s="5" t="s">
        <v>160</v>
      </c>
      <c r="C48" s="38" t="s">
        <v>513</v>
      </c>
      <c r="D48" s="113" t="str">
        <f>IF(SUM(CHMATbl[[#This Row],[UNRESTRICTED UNITS]])=0,"",CHMATbl[[#This Row],[UNRESTRICTED UNITS]])</f>
        <v/>
      </c>
      <c r="E48" s="74" t="str">
        <f xml:space="preserve">
IF(CHMATbl[[#This Row],[UNRESTRICTED FUNDING REQUESTED]]=0,"",
CHMATbl[[#This Row],[UNRESTRICTED FUNDING REQUESTED]]*
IF(CH_MA_UnrestrictedTotalRequested&lt;=5000000,1,
5000000/CH_MA_UnrestrictedTotalRequested)
)</f>
        <v/>
      </c>
      <c r="F48" s="6" t="str">
        <f>IFERROR(CHMATbl[[#This Row],[TOTAL $ REQUESTED]]/SUM(CHMATbl[TOTAL $ REQUESTED]),"")</f>
        <v/>
      </c>
      <c r="G48" s="38" t="s">
        <v>513</v>
      </c>
      <c r="H48" s="113" t="str">
        <f>IF(SUM(CHMATbl[[#This Row],[MANUFACTURED UNITS]])=0,"",CHMATbl[[#This Row],[MANUFACTURED UNITS]])</f>
        <v/>
      </c>
      <c r="I48" s="74" t="str">
        <f xml:space="preserve">
IF(CHMATbl[[#This Row],[MANUFACTURED FUNDING REQUESTED]]=0,"",
CHMATbl[[#This Row],[MANUFACTURED FUNDING REQUESTED]]*
IF(CH_MA_ManufacturedTotalRequested&lt;=(5000000-E$61),1,
(5000000-E$61)/CH_MA_ManufacturedTotalRequested)
)</f>
        <v/>
      </c>
      <c r="J48" s="6" t="str">
        <f>IFERROR(CHMATbl[[#This Row],[TOTAL $ REQUESTED2]]/SUM(CHMATbl[TOTAL $ REQUESTED2]),"")</f>
        <v/>
      </c>
      <c r="K48" s="38" t="s">
        <v>513</v>
      </c>
      <c r="L48" s="113" t="str">
        <f>IF(SUM(CHMATbl[[#This Row],[RURAL UNITS]])=0,"",CHMATbl[[#This Row],[RURAL UNITS]])</f>
        <v/>
      </c>
      <c r="M48" s="74" t="str">
        <f xml:space="preserve">
IF(CHMATbl[[#This Row],[RURAL FUNDING REQUESTED]]=0,"",
CHMATbl[[#This Row],[RURAL FUNDING REQUESTED]]*
IF(CH_MA_RuralTotalRequested&lt;=(5000000-E$61-I$61),1,
(5000000-E$61-I$61)/CH_MA_RuralTotalRequested)
)</f>
        <v/>
      </c>
      <c r="N48" s="6" t="str">
        <f>IFERROR(CHMATbl[[#This Row],[TOTAL $ REQUESTED3]]/SUM(CHMATbl[TOTAL $ REQUESTED3]),"")</f>
        <v/>
      </c>
      <c r="O48" s="38" t="s">
        <v>513</v>
      </c>
      <c r="P48" s="113" t="str">
        <f>IF(SUM(CHMATbl[[#This Row],[MANUFACTURED AND RURAL UNITS]])=0,"",CHMATbl[[#This Row],[MANUFACTURED AND RURAL UNITS]])</f>
        <v/>
      </c>
      <c r="Q48" s="74" t="str">
        <f xml:space="preserve">
IF(CHMATbl[[#This Row],[MANUFACTURED AND RURAL FUNDING REQUESTED]]=0,"",
CHMATbl[[#This Row],[MANUFACTURED AND RURAL FUNDING REQUESTED]]*
IF(CH_MA_MFDRuralTotalRequested&lt;=(5000000-E$61-I$61-M$61),1,
(5000000-E$61-I$61-M$61)/CH_MA_MFDRuralTotalRequested)
)</f>
        <v/>
      </c>
      <c r="R48" s="6" t="str">
        <f>IFERROR(CHMATbl[[#This Row],[TOTAL $ REQUESTED4]]/SUM(CHMATbl[TOTAL $ REQUESTED4]),"")</f>
        <v/>
      </c>
      <c r="S48" s="38" t="s">
        <v>513</v>
      </c>
      <c r="T48" s="736"/>
      <c r="U48" s="699"/>
      <c r="V48" s="699"/>
      <c r="W48" s="737"/>
      <c r="X48" s="116"/>
      <c r="Y48" s="703"/>
      <c r="Z48" s="703"/>
      <c r="AA48" s="703"/>
      <c r="AB48" s="703"/>
      <c r="AC48" s="98">
        <f t="shared" si="0"/>
        <v>0</v>
      </c>
      <c r="AD48" s="6">
        <f>IF(CHMATbl[[#This Row],[UNRESTRICTED FUNDING REQUESTED]]=0,0,CHMATbl[[#This Row],[UNRESTRICTED FUNDING REQUESTED]]/CH_MA_UnrestrictedTotalRequested)</f>
        <v>0</v>
      </c>
      <c r="AE48" s="667">
        <f xml:space="preserve">
IF(CHMATbl[[#This Row],[NEW CONSTRUCTION OR AQUIRE/REHAB]]&lt;&gt;"",
3+IF(CHMATbl[[#This Row],[INFILL SITE]]="Yes",2,0),0)
*CHMATbl[[#This Row],[% OF TOTAL UNRESTRICTED FUNDING]]</f>
        <v>0</v>
      </c>
      <c r="AF48" s="665">
        <f>IF(CHMATbl[[#This Row],[ALL UNITS IN A HIGH OR HIGHEST RESOURCE AREA]]="Yes",10*CHMATbl[[#This Row],[% OF TOTAL UNRESTRICTED FUNDING]],0)</f>
        <v>0</v>
      </c>
      <c r="AG48" s="665" cm="1">
        <f t="array" ref="AG48">INDEX(CountyScoresTbl[Community Need Total Points],ROW(CHMATbl[[#This Row],[COUNTY]])-2,1)*CHMATbl[[#This Row],[% OF TOTAL UNRESTRICTED FUNDING]]</f>
        <v>0</v>
      </c>
      <c r="AH48" s="666" cm="1">
        <f t="array" ref="AH48"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8" s="116"/>
      <c r="AJ48" s="703"/>
      <c r="AK48" s="703"/>
      <c r="AL48" s="703"/>
      <c r="AM48" s="703"/>
      <c r="AN48" s="74">
        <f t="shared" si="1"/>
        <v>0</v>
      </c>
      <c r="AO48" s="6">
        <f>IF(CHMATbl[[#This Row],[MANUFACTURED FUNDING REQUESTED]]=0,0,CHMATbl[[#This Row],[MANUFACTURED FUNDING REQUESTED]]/CH_MA_ManufacturedTotalRequested)</f>
        <v>0</v>
      </c>
      <c r="AP48" s="671">
        <f>IF(
CHMATbl[[#This Row],[NEW CONSTRUCTION OR AQUIRE/REHAB]]&lt;&gt;"",
3+IF(CHMATbl[[#This Row],[INFILL SITE]]="Yes",2,0),0)
*CHMATbl[[#This Row],[% OF TOTAL MANUFACTURED FUNDING]]</f>
        <v>0</v>
      </c>
      <c r="AQ48" s="7">
        <f>IF(CHMATbl[[#This Row],[ALL UNITS IN A HIGH OR HIGHEST RESOURCE AREA]]="Yes",10*CHMATbl[[#This Row],[% OF TOTAL MANUFACTURED FUNDING]],0)</f>
        <v>0</v>
      </c>
      <c r="AR48" s="7" cm="1">
        <f t="array" ref="AR48">INDEX(CountyScoresTbl[Community Need Total Points],ROW(CHMATbl[[#This Row],[COUNTY]])-2,1)*CHMATbl[[#This Row],[% OF TOTAL MANUFACTURED FUNDING]]</f>
        <v>0</v>
      </c>
      <c r="AS48" s="8" cm="1">
        <f t="array" ref="AS4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8" s="705"/>
      <c r="AU48" s="703"/>
      <c r="AV48" s="703"/>
      <c r="AW48" s="703"/>
      <c r="AX48" s="703"/>
      <c r="AY48" s="74">
        <f t="shared" si="2"/>
        <v>0</v>
      </c>
      <c r="AZ48" s="6">
        <f>IF(CHMATbl[[#This Row],[RURAL FUNDING REQUESTED]]=0,0,CHMATbl[[#This Row],[RURAL FUNDING REQUESTED]]/CH_MA_RuralTotalRequested)</f>
        <v>0</v>
      </c>
      <c r="BA48" s="667">
        <f>IF(
CHMATbl[[#This Row],[NEW CONSTRUCTION OR AQUIRE/REHAB]]&lt;&gt;"",
3+IF(CHMATbl[[#This Row],[INFILL SITE]]="Yes",2,0),0)
*CHMATbl[[#This Row],[% OF TOTAL RURAL FUNDING]]</f>
        <v>0</v>
      </c>
      <c r="BB48" s="665">
        <f>IF(
CHMATbl[[#This Row],[ALL UNITS IN A HIGH OR HIGHEST RESOURCE AREA]]="Yes",
10*CHMATbl[[#This Row],[% OF TOTAL RURAL FUNDING]],
0)</f>
        <v>0</v>
      </c>
      <c r="BC48" s="665" cm="1">
        <f t="array" ref="BC48">INDEX(
CountyScoresTbl[Community Need Total Points],
ROW(CHMATbl[[#This Row],[COUNTY]])-2,1)*CHMATbl[[#This Row],[% OF TOTAL RURAL FUNDING]]</f>
        <v>0</v>
      </c>
      <c r="BD48" s="666" cm="1">
        <f t="array" ref="BD48"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8" s="116"/>
      <c r="BF48" s="703"/>
      <c r="BG48" s="703"/>
      <c r="BH48" s="703"/>
      <c r="BI48" s="703"/>
      <c r="BJ48" s="74">
        <f t="shared" si="3"/>
        <v>0</v>
      </c>
      <c r="BK48" s="6">
        <f>IF(CHMATbl[[#This Row],[MANUFACTURED AND RURAL FUNDING REQUESTED]]=0,0,CHMATbl[[#This Row],[MANUFACTURED AND RURAL FUNDING REQUESTED]]/CH_MA_MFDRuralTotalRequested)</f>
        <v>0</v>
      </c>
      <c r="BL48" s="667">
        <f xml:space="preserve">
IF(CHMATbl[[#This Row],[NEW CONSTRUCTION OR AQUIRE/REHAB]]&lt;&gt;"",
3+IF(CHMATbl[[#This Row],[INFILL SITE]]="Yes",2,0),0)
*CHMATbl[[#This Row],[% OF TOTAL MANUFACTURED AND RURAL FUNDING]]</f>
        <v>0</v>
      </c>
      <c r="BM48" s="665">
        <f>IF(
CHMATbl[[#This Row],[ALL UNITS IN A HIGH OR HIGHEST RESOURCE AREA]]="Yes",
10*CHMATbl[[#This Row],[% OF TOTAL MANUFACTURED AND RURAL FUNDING]],
0)</f>
        <v>0</v>
      </c>
      <c r="BN48" s="665" cm="1">
        <f t="array" ref="BN48">INDEX(
CountyScoresTbl[Community Need Total Points],
ROW(CHMATbl[[#This Row],[COUNTY]])-2,1)*CHMATbl[[#This Row],[% OF TOTAL MANUFACTURED AND RURAL FUNDING]]</f>
        <v>0</v>
      </c>
      <c r="BO48" s="694" cm="1">
        <f t="array" ref="BO4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8" s="732"/>
      <c r="BQ48" s="564"/>
      <c r="BR48" s="678"/>
    </row>
    <row r="49" spans="1:70" s="662" customFormat="1" x14ac:dyDescent="0.35">
      <c r="A49" s="679"/>
      <c r="B49" s="5" t="s">
        <v>161</v>
      </c>
      <c r="C49" s="38" t="s">
        <v>513</v>
      </c>
      <c r="D49" s="113" t="str">
        <f>IF(SUM(CHMATbl[[#This Row],[UNRESTRICTED UNITS]])=0,"",CHMATbl[[#This Row],[UNRESTRICTED UNITS]])</f>
        <v/>
      </c>
      <c r="E49" s="74" t="str">
        <f xml:space="preserve">
IF(CHMATbl[[#This Row],[UNRESTRICTED FUNDING REQUESTED]]=0,"",
CHMATbl[[#This Row],[UNRESTRICTED FUNDING REQUESTED]]*
IF(CH_MA_UnrestrictedTotalRequested&lt;=5000000,1,
5000000/CH_MA_UnrestrictedTotalRequested)
)</f>
        <v/>
      </c>
      <c r="F49" s="6" t="str">
        <f>IFERROR(CHMATbl[[#This Row],[TOTAL $ REQUESTED]]/SUM(CHMATbl[TOTAL $ REQUESTED]),"")</f>
        <v/>
      </c>
      <c r="G49" s="38" t="s">
        <v>513</v>
      </c>
      <c r="H49" s="113" t="str">
        <f>IF(SUM(CHMATbl[[#This Row],[MANUFACTURED UNITS]])=0,"",CHMATbl[[#This Row],[MANUFACTURED UNITS]])</f>
        <v/>
      </c>
      <c r="I49" s="74" t="str">
        <f xml:space="preserve">
IF(CHMATbl[[#This Row],[MANUFACTURED FUNDING REQUESTED]]=0,"",
CHMATbl[[#This Row],[MANUFACTURED FUNDING REQUESTED]]*
IF(CH_MA_ManufacturedTotalRequested&lt;=(5000000-E$61),1,
(5000000-E$61)/CH_MA_ManufacturedTotalRequested)
)</f>
        <v/>
      </c>
      <c r="J49" s="6" t="str">
        <f>IFERROR(CHMATbl[[#This Row],[TOTAL $ REQUESTED2]]/SUM(CHMATbl[TOTAL $ REQUESTED2]),"")</f>
        <v/>
      </c>
      <c r="K49" s="38" t="s">
        <v>513</v>
      </c>
      <c r="L49" s="113" t="str">
        <f>IF(SUM(CHMATbl[[#This Row],[RURAL UNITS]])=0,"",CHMATbl[[#This Row],[RURAL UNITS]])</f>
        <v/>
      </c>
      <c r="M49" s="74" t="str">
        <f xml:space="preserve">
IF(CHMATbl[[#This Row],[RURAL FUNDING REQUESTED]]=0,"",
CHMATbl[[#This Row],[RURAL FUNDING REQUESTED]]*
IF(CH_MA_RuralTotalRequested&lt;=(5000000-E$61-I$61),1,
(5000000-E$61-I$61)/CH_MA_RuralTotalRequested)
)</f>
        <v/>
      </c>
      <c r="N49" s="6" t="str">
        <f>IFERROR(CHMATbl[[#This Row],[TOTAL $ REQUESTED3]]/SUM(CHMATbl[TOTAL $ REQUESTED3]),"")</f>
        <v/>
      </c>
      <c r="O49" s="38" t="s">
        <v>513</v>
      </c>
      <c r="P49" s="113" t="str">
        <f>IF(SUM(CHMATbl[[#This Row],[MANUFACTURED AND RURAL UNITS]])=0,"",CHMATbl[[#This Row],[MANUFACTURED AND RURAL UNITS]])</f>
        <v/>
      </c>
      <c r="Q49" s="74" t="str">
        <f xml:space="preserve">
IF(CHMATbl[[#This Row],[MANUFACTURED AND RURAL FUNDING REQUESTED]]=0,"",
CHMATbl[[#This Row],[MANUFACTURED AND RURAL FUNDING REQUESTED]]*
IF(CH_MA_MFDRuralTotalRequested&lt;=(5000000-E$61-I$61-M$61),1,
(5000000-E$61-I$61-M$61)/CH_MA_MFDRuralTotalRequested)
)</f>
        <v/>
      </c>
      <c r="R49" s="6" t="str">
        <f>IFERROR(CHMATbl[[#This Row],[TOTAL $ REQUESTED4]]/SUM(CHMATbl[TOTAL $ REQUESTED4]),"")</f>
        <v/>
      </c>
      <c r="S49" s="38" t="s">
        <v>513</v>
      </c>
      <c r="T49" s="736"/>
      <c r="U49" s="699"/>
      <c r="V49" s="699"/>
      <c r="W49" s="737"/>
      <c r="X49" s="116"/>
      <c r="Y49" s="703"/>
      <c r="Z49" s="703"/>
      <c r="AA49" s="703"/>
      <c r="AB49" s="703"/>
      <c r="AC49" s="98">
        <f t="shared" si="0"/>
        <v>0</v>
      </c>
      <c r="AD49" s="6">
        <f>IF(CHMATbl[[#This Row],[UNRESTRICTED FUNDING REQUESTED]]=0,0,CHMATbl[[#This Row],[UNRESTRICTED FUNDING REQUESTED]]/CH_MA_UnrestrictedTotalRequested)</f>
        <v>0</v>
      </c>
      <c r="AE49" s="667">
        <f xml:space="preserve">
IF(CHMATbl[[#This Row],[NEW CONSTRUCTION OR AQUIRE/REHAB]]&lt;&gt;"",
3+IF(CHMATbl[[#This Row],[INFILL SITE]]="Yes",2,0),0)
*CHMATbl[[#This Row],[% OF TOTAL UNRESTRICTED FUNDING]]</f>
        <v>0</v>
      </c>
      <c r="AF49" s="665">
        <f>IF(CHMATbl[[#This Row],[ALL UNITS IN A HIGH OR HIGHEST RESOURCE AREA]]="Yes",10*CHMATbl[[#This Row],[% OF TOTAL UNRESTRICTED FUNDING]],0)</f>
        <v>0</v>
      </c>
      <c r="AG49" s="665" cm="1">
        <f t="array" ref="AG49">INDEX(CountyScoresTbl[Community Need Total Points],ROW(CHMATbl[[#This Row],[COUNTY]])-2,1)*CHMATbl[[#This Row],[% OF TOTAL UNRESTRICTED FUNDING]]</f>
        <v>0</v>
      </c>
      <c r="AH49" s="666" cm="1">
        <f t="array" ref="AH49"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49" s="116"/>
      <c r="AJ49" s="703"/>
      <c r="AK49" s="703"/>
      <c r="AL49" s="703"/>
      <c r="AM49" s="703"/>
      <c r="AN49" s="74">
        <f t="shared" si="1"/>
        <v>0</v>
      </c>
      <c r="AO49" s="6">
        <f>IF(CHMATbl[[#This Row],[MANUFACTURED FUNDING REQUESTED]]=0,0,CHMATbl[[#This Row],[MANUFACTURED FUNDING REQUESTED]]/CH_MA_ManufacturedTotalRequested)</f>
        <v>0</v>
      </c>
      <c r="AP49" s="671">
        <f>IF(
CHMATbl[[#This Row],[NEW CONSTRUCTION OR AQUIRE/REHAB]]&lt;&gt;"",
3+IF(CHMATbl[[#This Row],[INFILL SITE]]="Yes",2,0),0)
*CHMATbl[[#This Row],[% OF TOTAL MANUFACTURED FUNDING]]</f>
        <v>0</v>
      </c>
      <c r="AQ49" s="7">
        <f>IF(CHMATbl[[#This Row],[ALL UNITS IN A HIGH OR HIGHEST RESOURCE AREA]]="Yes",10*CHMATbl[[#This Row],[% OF TOTAL MANUFACTURED FUNDING]],0)</f>
        <v>0</v>
      </c>
      <c r="AR49" s="7" cm="1">
        <f t="array" ref="AR49">INDEX(CountyScoresTbl[Community Need Total Points],ROW(CHMATbl[[#This Row],[COUNTY]])-2,1)*CHMATbl[[#This Row],[% OF TOTAL MANUFACTURED FUNDING]]</f>
        <v>0</v>
      </c>
      <c r="AS49" s="8" cm="1">
        <f t="array" ref="AS4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49" s="705"/>
      <c r="AU49" s="703"/>
      <c r="AV49" s="703"/>
      <c r="AW49" s="703"/>
      <c r="AX49" s="703"/>
      <c r="AY49" s="74">
        <f t="shared" si="2"/>
        <v>0</v>
      </c>
      <c r="AZ49" s="6">
        <f>IF(CHMATbl[[#This Row],[RURAL FUNDING REQUESTED]]=0,0,CHMATbl[[#This Row],[RURAL FUNDING REQUESTED]]/CH_MA_RuralTotalRequested)</f>
        <v>0</v>
      </c>
      <c r="BA49" s="667">
        <f>IF(
CHMATbl[[#This Row],[NEW CONSTRUCTION OR AQUIRE/REHAB]]&lt;&gt;"",
3+IF(CHMATbl[[#This Row],[INFILL SITE]]="Yes",2,0),0)
*CHMATbl[[#This Row],[% OF TOTAL RURAL FUNDING]]</f>
        <v>0</v>
      </c>
      <c r="BB49" s="665">
        <f>IF(
CHMATbl[[#This Row],[ALL UNITS IN A HIGH OR HIGHEST RESOURCE AREA]]="Yes",
10*CHMATbl[[#This Row],[% OF TOTAL RURAL FUNDING]],
0)</f>
        <v>0</v>
      </c>
      <c r="BC49" s="665" cm="1">
        <f t="array" ref="BC49">INDEX(
CountyScoresTbl[Community Need Total Points],
ROW(CHMATbl[[#This Row],[COUNTY]])-2,1)*CHMATbl[[#This Row],[% OF TOTAL RURAL FUNDING]]</f>
        <v>0</v>
      </c>
      <c r="BD49" s="666" cm="1">
        <f t="array" ref="BD49"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49" s="116"/>
      <c r="BF49" s="703"/>
      <c r="BG49" s="703"/>
      <c r="BH49" s="703"/>
      <c r="BI49" s="703"/>
      <c r="BJ49" s="74">
        <f t="shared" si="3"/>
        <v>0</v>
      </c>
      <c r="BK49" s="6">
        <f>IF(CHMATbl[[#This Row],[MANUFACTURED AND RURAL FUNDING REQUESTED]]=0,0,CHMATbl[[#This Row],[MANUFACTURED AND RURAL FUNDING REQUESTED]]/CH_MA_MFDRuralTotalRequested)</f>
        <v>0</v>
      </c>
      <c r="BL49" s="667">
        <f xml:space="preserve">
IF(CHMATbl[[#This Row],[NEW CONSTRUCTION OR AQUIRE/REHAB]]&lt;&gt;"",
3+IF(CHMATbl[[#This Row],[INFILL SITE]]="Yes",2,0),0)
*CHMATbl[[#This Row],[% OF TOTAL MANUFACTURED AND RURAL FUNDING]]</f>
        <v>0</v>
      </c>
      <c r="BM49" s="665">
        <f>IF(
CHMATbl[[#This Row],[ALL UNITS IN A HIGH OR HIGHEST RESOURCE AREA]]="Yes",
10*CHMATbl[[#This Row],[% OF TOTAL MANUFACTURED AND RURAL FUNDING]],
0)</f>
        <v>0</v>
      </c>
      <c r="BN49" s="665" cm="1">
        <f t="array" ref="BN49">INDEX(
CountyScoresTbl[Community Need Total Points],
ROW(CHMATbl[[#This Row],[COUNTY]])-2,1)*CHMATbl[[#This Row],[% OF TOTAL MANUFACTURED AND RURAL FUNDING]]</f>
        <v>0</v>
      </c>
      <c r="BO49" s="694" cm="1">
        <f t="array" ref="BO4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49" s="732"/>
      <c r="BQ49" s="564"/>
      <c r="BR49" s="678"/>
    </row>
    <row r="50" spans="1:70" s="662" customFormat="1" x14ac:dyDescent="0.35">
      <c r="A50" s="679"/>
      <c r="B50" s="5" t="s">
        <v>162</v>
      </c>
      <c r="C50" s="38" t="s">
        <v>513</v>
      </c>
      <c r="D50" s="113" t="str">
        <f>IF(SUM(CHMATbl[[#This Row],[UNRESTRICTED UNITS]])=0,"",CHMATbl[[#This Row],[UNRESTRICTED UNITS]])</f>
        <v/>
      </c>
      <c r="E50" s="74" t="str">
        <f xml:space="preserve">
IF(CHMATbl[[#This Row],[UNRESTRICTED FUNDING REQUESTED]]=0,"",
CHMATbl[[#This Row],[UNRESTRICTED FUNDING REQUESTED]]*
IF(CH_MA_UnrestrictedTotalRequested&lt;=5000000,1,
5000000/CH_MA_UnrestrictedTotalRequested)
)</f>
        <v/>
      </c>
      <c r="F50" s="6" t="str">
        <f>IFERROR(CHMATbl[[#This Row],[TOTAL $ REQUESTED]]/SUM(CHMATbl[TOTAL $ REQUESTED]),"")</f>
        <v/>
      </c>
      <c r="G50" s="38" t="s">
        <v>513</v>
      </c>
      <c r="H50" s="113" t="str">
        <f>IF(SUM(CHMATbl[[#This Row],[MANUFACTURED UNITS]])=0,"",CHMATbl[[#This Row],[MANUFACTURED UNITS]])</f>
        <v/>
      </c>
      <c r="I50" s="74" t="str">
        <f xml:space="preserve">
IF(CHMATbl[[#This Row],[MANUFACTURED FUNDING REQUESTED]]=0,"",
CHMATbl[[#This Row],[MANUFACTURED FUNDING REQUESTED]]*
IF(CH_MA_ManufacturedTotalRequested&lt;=(5000000-E$61),1,
(5000000-E$61)/CH_MA_ManufacturedTotalRequested)
)</f>
        <v/>
      </c>
      <c r="J50" s="6" t="str">
        <f>IFERROR(CHMATbl[[#This Row],[TOTAL $ REQUESTED2]]/SUM(CHMATbl[TOTAL $ REQUESTED2]),"")</f>
        <v/>
      </c>
      <c r="K50" s="38" t="s">
        <v>513</v>
      </c>
      <c r="L50" s="113" t="str">
        <f>IF(SUM(CHMATbl[[#This Row],[RURAL UNITS]])=0,"",CHMATbl[[#This Row],[RURAL UNITS]])</f>
        <v/>
      </c>
      <c r="M50" s="74" t="str">
        <f xml:space="preserve">
IF(CHMATbl[[#This Row],[RURAL FUNDING REQUESTED]]=0,"",
CHMATbl[[#This Row],[RURAL FUNDING REQUESTED]]*
IF(CH_MA_RuralTotalRequested&lt;=(5000000-E$61-I$61),1,
(5000000-E$61-I$61)/CH_MA_RuralTotalRequested)
)</f>
        <v/>
      </c>
      <c r="N50" s="6" t="str">
        <f>IFERROR(CHMATbl[[#This Row],[TOTAL $ REQUESTED3]]/SUM(CHMATbl[TOTAL $ REQUESTED3]),"")</f>
        <v/>
      </c>
      <c r="O50" s="38" t="s">
        <v>513</v>
      </c>
      <c r="P50" s="113" t="str">
        <f>IF(SUM(CHMATbl[[#This Row],[MANUFACTURED AND RURAL UNITS]])=0,"",CHMATbl[[#This Row],[MANUFACTURED AND RURAL UNITS]])</f>
        <v/>
      </c>
      <c r="Q50" s="74" t="str">
        <f xml:space="preserve">
IF(CHMATbl[[#This Row],[MANUFACTURED AND RURAL FUNDING REQUESTED]]=0,"",
CHMATbl[[#This Row],[MANUFACTURED AND RURAL FUNDING REQUESTED]]*
IF(CH_MA_MFDRuralTotalRequested&lt;=(5000000-E$61-I$61-M$61),1,
(5000000-E$61-I$61-M$61)/CH_MA_MFDRuralTotalRequested)
)</f>
        <v/>
      </c>
      <c r="R50" s="6" t="str">
        <f>IFERROR(CHMATbl[[#This Row],[TOTAL $ REQUESTED4]]/SUM(CHMATbl[TOTAL $ REQUESTED4]),"")</f>
        <v/>
      </c>
      <c r="S50" s="38" t="s">
        <v>513</v>
      </c>
      <c r="T50" s="736"/>
      <c r="U50" s="699"/>
      <c r="V50" s="699"/>
      <c r="W50" s="737"/>
      <c r="X50" s="116"/>
      <c r="Y50" s="703"/>
      <c r="Z50" s="703"/>
      <c r="AA50" s="703"/>
      <c r="AB50" s="703"/>
      <c r="AC50" s="98">
        <f t="shared" si="0"/>
        <v>0</v>
      </c>
      <c r="AD50" s="6">
        <f>IF(CHMATbl[[#This Row],[UNRESTRICTED FUNDING REQUESTED]]=0,0,CHMATbl[[#This Row],[UNRESTRICTED FUNDING REQUESTED]]/CH_MA_UnrestrictedTotalRequested)</f>
        <v>0</v>
      </c>
      <c r="AE50" s="667">
        <f xml:space="preserve">
IF(CHMATbl[[#This Row],[NEW CONSTRUCTION OR AQUIRE/REHAB]]&lt;&gt;"",
3+IF(CHMATbl[[#This Row],[INFILL SITE]]="Yes",2,0),0)
*CHMATbl[[#This Row],[% OF TOTAL UNRESTRICTED FUNDING]]</f>
        <v>0</v>
      </c>
      <c r="AF50" s="665">
        <f>IF(CHMATbl[[#This Row],[ALL UNITS IN A HIGH OR HIGHEST RESOURCE AREA]]="Yes",10*CHMATbl[[#This Row],[% OF TOTAL UNRESTRICTED FUNDING]],0)</f>
        <v>0</v>
      </c>
      <c r="AG50" s="665" cm="1">
        <f t="array" ref="AG50">INDEX(CountyScoresTbl[Community Need Total Points],ROW(CHMATbl[[#This Row],[COUNTY]])-2,1)*CHMATbl[[#This Row],[% OF TOTAL UNRESTRICTED FUNDING]]</f>
        <v>0</v>
      </c>
      <c r="AH50" s="666" cm="1">
        <f t="array" ref="AH50"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0" s="116"/>
      <c r="AJ50" s="703"/>
      <c r="AK50" s="703"/>
      <c r="AL50" s="703"/>
      <c r="AM50" s="703"/>
      <c r="AN50" s="74">
        <f t="shared" si="1"/>
        <v>0</v>
      </c>
      <c r="AO50" s="6">
        <f>IF(CHMATbl[[#This Row],[MANUFACTURED FUNDING REQUESTED]]=0,0,CHMATbl[[#This Row],[MANUFACTURED FUNDING REQUESTED]]/CH_MA_ManufacturedTotalRequested)</f>
        <v>0</v>
      </c>
      <c r="AP50" s="671">
        <f>IF(
CHMATbl[[#This Row],[NEW CONSTRUCTION OR AQUIRE/REHAB]]&lt;&gt;"",
3+IF(CHMATbl[[#This Row],[INFILL SITE]]="Yes",2,0),0)
*CHMATbl[[#This Row],[% OF TOTAL MANUFACTURED FUNDING]]</f>
        <v>0</v>
      </c>
      <c r="AQ50" s="7">
        <f>IF(CHMATbl[[#This Row],[ALL UNITS IN A HIGH OR HIGHEST RESOURCE AREA]]="Yes",10*CHMATbl[[#This Row],[% OF TOTAL MANUFACTURED FUNDING]],0)</f>
        <v>0</v>
      </c>
      <c r="AR50" s="7" cm="1">
        <f t="array" ref="AR50">INDEX(CountyScoresTbl[Community Need Total Points],ROW(CHMATbl[[#This Row],[COUNTY]])-2,1)*CHMATbl[[#This Row],[% OF TOTAL MANUFACTURED FUNDING]]</f>
        <v>0</v>
      </c>
      <c r="AS50" s="8" cm="1">
        <f t="array" ref="AS5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0" s="705"/>
      <c r="AU50" s="703"/>
      <c r="AV50" s="703"/>
      <c r="AW50" s="703"/>
      <c r="AX50" s="703"/>
      <c r="AY50" s="74">
        <f t="shared" si="2"/>
        <v>0</v>
      </c>
      <c r="AZ50" s="6">
        <f>IF(CHMATbl[[#This Row],[RURAL FUNDING REQUESTED]]=0,0,CHMATbl[[#This Row],[RURAL FUNDING REQUESTED]]/CH_MA_RuralTotalRequested)</f>
        <v>0</v>
      </c>
      <c r="BA50" s="667">
        <f>IF(
CHMATbl[[#This Row],[NEW CONSTRUCTION OR AQUIRE/REHAB]]&lt;&gt;"",
3+IF(CHMATbl[[#This Row],[INFILL SITE]]="Yes",2,0),0)
*CHMATbl[[#This Row],[% OF TOTAL RURAL FUNDING]]</f>
        <v>0</v>
      </c>
      <c r="BB50" s="665">
        <f>IF(
CHMATbl[[#This Row],[ALL UNITS IN A HIGH OR HIGHEST RESOURCE AREA]]="Yes",
10*CHMATbl[[#This Row],[% OF TOTAL RURAL FUNDING]],
0)</f>
        <v>0</v>
      </c>
      <c r="BC50" s="665" cm="1">
        <f t="array" ref="BC50">INDEX(
CountyScoresTbl[Community Need Total Points],
ROW(CHMATbl[[#This Row],[COUNTY]])-2,1)*CHMATbl[[#This Row],[% OF TOTAL RURAL FUNDING]]</f>
        <v>0</v>
      </c>
      <c r="BD50" s="666" cm="1">
        <f t="array" ref="BD50"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0" s="116"/>
      <c r="BF50" s="703"/>
      <c r="BG50" s="703"/>
      <c r="BH50" s="703"/>
      <c r="BI50" s="703"/>
      <c r="BJ50" s="74">
        <f t="shared" si="3"/>
        <v>0</v>
      </c>
      <c r="BK50" s="6">
        <f>IF(CHMATbl[[#This Row],[MANUFACTURED AND RURAL FUNDING REQUESTED]]=0,0,CHMATbl[[#This Row],[MANUFACTURED AND RURAL FUNDING REQUESTED]]/CH_MA_MFDRuralTotalRequested)</f>
        <v>0</v>
      </c>
      <c r="BL50" s="667">
        <f xml:space="preserve">
IF(CHMATbl[[#This Row],[NEW CONSTRUCTION OR AQUIRE/REHAB]]&lt;&gt;"",
3+IF(CHMATbl[[#This Row],[INFILL SITE]]="Yes",2,0),0)
*CHMATbl[[#This Row],[% OF TOTAL MANUFACTURED AND RURAL FUNDING]]</f>
        <v>0</v>
      </c>
      <c r="BM50" s="665">
        <f>IF(
CHMATbl[[#This Row],[ALL UNITS IN A HIGH OR HIGHEST RESOURCE AREA]]="Yes",
10*CHMATbl[[#This Row],[% OF TOTAL MANUFACTURED AND RURAL FUNDING]],
0)</f>
        <v>0</v>
      </c>
      <c r="BN50" s="665" cm="1">
        <f t="array" ref="BN50">INDEX(
CountyScoresTbl[Community Need Total Points],
ROW(CHMATbl[[#This Row],[COUNTY]])-2,1)*CHMATbl[[#This Row],[% OF TOTAL MANUFACTURED AND RURAL FUNDING]]</f>
        <v>0</v>
      </c>
      <c r="BO50" s="694" cm="1">
        <f t="array" ref="BO5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0" s="732"/>
      <c r="BQ50" s="564"/>
      <c r="BR50" s="678"/>
    </row>
    <row r="51" spans="1:70" s="662" customFormat="1" x14ac:dyDescent="0.35">
      <c r="A51" s="679"/>
      <c r="B51" s="5" t="s">
        <v>163</v>
      </c>
      <c r="C51" s="38" t="s">
        <v>513</v>
      </c>
      <c r="D51" s="113" t="str">
        <f>IF(SUM(CHMATbl[[#This Row],[UNRESTRICTED UNITS]])=0,"",CHMATbl[[#This Row],[UNRESTRICTED UNITS]])</f>
        <v/>
      </c>
      <c r="E51" s="74" t="str">
        <f xml:space="preserve">
IF(CHMATbl[[#This Row],[UNRESTRICTED FUNDING REQUESTED]]=0,"",
CHMATbl[[#This Row],[UNRESTRICTED FUNDING REQUESTED]]*
IF(CH_MA_UnrestrictedTotalRequested&lt;=5000000,1,
5000000/CH_MA_UnrestrictedTotalRequested)
)</f>
        <v/>
      </c>
      <c r="F51" s="6" t="str">
        <f>IFERROR(CHMATbl[[#This Row],[TOTAL $ REQUESTED]]/SUM(CHMATbl[TOTAL $ REQUESTED]),"")</f>
        <v/>
      </c>
      <c r="G51" s="38" t="s">
        <v>513</v>
      </c>
      <c r="H51" s="113" t="str">
        <f>IF(SUM(CHMATbl[[#This Row],[MANUFACTURED UNITS]])=0,"",CHMATbl[[#This Row],[MANUFACTURED UNITS]])</f>
        <v/>
      </c>
      <c r="I51" s="74" t="str">
        <f xml:space="preserve">
IF(CHMATbl[[#This Row],[MANUFACTURED FUNDING REQUESTED]]=0,"",
CHMATbl[[#This Row],[MANUFACTURED FUNDING REQUESTED]]*
IF(CH_MA_ManufacturedTotalRequested&lt;=(5000000-E$61),1,
(5000000-E$61)/CH_MA_ManufacturedTotalRequested)
)</f>
        <v/>
      </c>
      <c r="J51" s="6" t="str">
        <f>IFERROR(CHMATbl[[#This Row],[TOTAL $ REQUESTED2]]/SUM(CHMATbl[TOTAL $ REQUESTED2]),"")</f>
        <v/>
      </c>
      <c r="K51" s="38" t="s">
        <v>513</v>
      </c>
      <c r="L51" s="113" t="str">
        <f>IF(SUM(CHMATbl[[#This Row],[RURAL UNITS]])=0,"",CHMATbl[[#This Row],[RURAL UNITS]])</f>
        <v/>
      </c>
      <c r="M51" s="74" t="str">
        <f xml:space="preserve">
IF(CHMATbl[[#This Row],[RURAL FUNDING REQUESTED]]=0,"",
CHMATbl[[#This Row],[RURAL FUNDING REQUESTED]]*
IF(CH_MA_RuralTotalRequested&lt;=(5000000-E$61-I$61),1,
(5000000-E$61-I$61)/CH_MA_RuralTotalRequested)
)</f>
        <v/>
      </c>
      <c r="N51" s="6" t="str">
        <f>IFERROR(CHMATbl[[#This Row],[TOTAL $ REQUESTED3]]/SUM(CHMATbl[TOTAL $ REQUESTED3]),"")</f>
        <v/>
      </c>
      <c r="O51" s="38" t="s">
        <v>513</v>
      </c>
      <c r="P51" s="113" t="str">
        <f>IF(SUM(CHMATbl[[#This Row],[MANUFACTURED AND RURAL UNITS]])=0,"",CHMATbl[[#This Row],[MANUFACTURED AND RURAL UNITS]])</f>
        <v/>
      </c>
      <c r="Q51" s="74" t="str">
        <f xml:space="preserve">
IF(CHMATbl[[#This Row],[MANUFACTURED AND RURAL FUNDING REQUESTED]]=0,"",
CHMATbl[[#This Row],[MANUFACTURED AND RURAL FUNDING REQUESTED]]*
IF(CH_MA_MFDRuralTotalRequested&lt;=(5000000-E$61-I$61-M$61),1,
(5000000-E$61-I$61-M$61)/CH_MA_MFDRuralTotalRequested)
)</f>
        <v/>
      </c>
      <c r="R51" s="6" t="str">
        <f>IFERROR(CHMATbl[[#This Row],[TOTAL $ REQUESTED4]]/SUM(CHMATbl[TOTAL $ REQUESTED4]),"")</f>
        <v/>
      </c>
      <c r="S51" s="38" t="s">
        <v>513</v>
      </c>
      <c r="T51" s="736"/>
      <c r="U51" s="699"/>
      <c r="V51" s="699"/>
      <c r="W51" s="737"/>
      <c r="X51" s="116"/>
      <c r="Y51" s="703"/>
      <c r="Z51" s="703"/>
      <c r="AA51" s="703"/>
      <c r="AB51" s="703"/>
      <c r="AC51" s="98">
        <f t="shared" si="0"/>
        <v>0</v>
      </c>
      <c r="AD51" s="6">
        <f>IF(CHMATbl[[#This Row],[UNRESTRICTED FUNDING REQUESTED]]=0,0,CHMATbl[[#This Row],[UNRESTRICTED FUNDING REQUESTED]]/CH_MA_UnrestrictedTotalRequested)</f>
        <v>0</v>
      </c>
      <c r="AE51" s="667">
        <f xml:space="preserve">
IF(CHMATbl[[#This Row],[NEW CONSTRUCTION OR AQUIRE/REHAB]]&lt;&gt;"",
3+IF(CHMATbl[[#This Row],[INFILL SITE]]="Yes",2,0),0)
*CHMATbl[[#This Row],[% OF TOTAL UNRESTRICTED FUNDING]]</f>
        <v>0</v>
      </c>
      <c r="AF51" s="665">
        <f>IF(CHMATbl[[#This Row],[ALL UNITS IN A HIGH OR HIGHEST RESOURCE AREA]]="Yes",10*CHMATbl[[#This Row],[% OF TOTAL UNRESTRICTED FUNDING]],0)</f>
        <v>0</v>
      </c>
      <c r="AG51" s="665" cm="1">
        <f t="array" ref="AG51">INDEX(CountyScoresTbl[Community Need Total Points],ROW(CHMATbl[[#This Row],[COUNTY]])-2,1)*CHMATbl[[#This Row],[% OF TOTAL UNRESTRICTED FUNDING]]</f>
        <v>0</v>
      </c>
      <c r="AH51" s="666" cm="1">
        <f t="array" ref="AH51"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1" s="116"/>
      <c r="AJ51" s="703"/>
      <c r="AK51" s="703"/>
      <c r="AL51" s="703"/>
      <c r="AM51" s="703"/>
      <c r="AN51" s="74">
        <f t="shared" si="1"/>
        <v>0</v>
      </c>
      <c r="AO51" s="6">
        <f>IF(CHMATbl[[#This Row],[MANUFACTURED FUNDING REQUESTED]]=0,0,CHMATbl[[#This Row],[MANUFACTURED FUNDING REQUESTED]]/CH_MA_ManufacturedTotalRequested)</f>
        <v>0</v>
      </c>
      <c r="AP51" s="671">
        <f>IF(
CHMATbl[[#This Row],[NEW CONSTRUCTION OR AQUIRE/REHAB]]&lt;&gt;"",
3+IF(CHMATbl[[#This Row],[INFILL SITE]]="Yes",2,0),0)
*CHMATbl[[#This Row],[% OF TOTAL MANUFACTURED FUNDING]]</f>
        <v>0</v>
      </c>
      <c r="AQ51" s="7">
        <f>IF(CHMATbl[[#This Row],[ALL UNITS IN A HIGH OR HIGHEST RESOURCE AREA]]="Yes",10*CHMATbl[[#This Row],[% OF TOTAL MANUFACTURED FUNDING]],0)</f>
        <v>0</v>
      </c>
      <c r="AR51" s="7" cm="1">
        <f t="array" ref="AR51">INDEX(CountyScoresTbl[Community Need Total Points],ROW(CHMATbl[[#This Row],[COUNTY]])-2,1)*CHMATbl[[#This Row],[% OF TOTAL MANUFACTURED FUNDING]]</f>
        <v>0</v>
      </c>
      <c r="AS51" s="8" cm="1">
        <f t="array" ref="AS5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1" s="705"/>
      <c r="AU51" s="703"/>
      <c r="AV51" s="703"/>
      <c r="AW51" s="703"/>
      <c r="AX51" s="703"/>
      <c r="AY51" s="74">
        <f t="shared" si="2"/>
        <v>0</v>
      </c>
      <c r="AZ51" s="6">
        <f>IF(CHMATbl[[#This Row],[RURAL FUNDING REQUESTED]]=0,0,CHMATbl[[#This Row],[RURAL FUNDING REQUESTED]]/CH_MA_RuralTotalRequested)</f>
        <v>0</v>
      </c>
      <c r="BA51" s="667">
        <f>IF(
CHMATbl[[#This Row],[NEW CONSTRUCTION OR AQUIRE/REHAB]]&lt;&gt;"",
3+IF(CHMATbl[[#This Row],[INFILL SITE]]="Yes",2,0),0)
*CHMATbl[[#This Row],[% OF TOTAL RURAL FUNDING]]</f>
        <v>0</v>
      </c>
      <c r="BB51" s="665">
        <f>IF(
CHMATbl[[#This Row],[ALL UNITS IN A HIGH OR HIGHEST RESOURCE AREA]]="Yes",
10*CHMATbl[[#This Row],[% OF TOTAL RURAL FUNDING]],
0)</f>
        <v>0</v>
      </c>
      <c r="BC51" s="665" cm="1">
        <f t="array" ref="BC51">INDEX(
CountyScoresTbl[Community Need Total Points],
ROW(CHMATbl[[#This Row],[COUNTY]])-2,1)*CHMATbl[[#This Row],[% OF TOTAL RURAL FUNDING]]</f>
        <v>0</v>
      </c>
      <c r="BD51" s="666" cm="1">
        <f t="array" ref="BD51"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1" s="116"/>
      <c r="BF51" s="703"/>
      <c r="BG51" s="703"/>
      <c r="BH51" s="703"/>
      <c r="BI51" s="703"/>
      <c r="BJ51" s="74">
        <f t="shared" si="3"/>
        <v>0</v>
      </c>
      <c r="BK51" s="6">
        <f>IF(CHMATbl[[#This Row],[MANUFACTURED AND RURAL FUNDING REQUESTED]]=0,0,CHMATbl[[#This Row],[MANUFACTURED AND RURAL FUNDING REQUESTED]]/CH_MA_MFDRuralTotalRequested)</f>
        <v>0</v>
      </c>
      <c r="BL51" s="667">
        <f xml:space="preserve">
IF(CHMATbl[[#This Row],[NEW CONSTRUCTION OR AQUIRE/REHAB]]&lt;&gt;"",
3+IF(CHMATbl[[#This Row],[INFILL SITE]]="Yes",2,0),0)
*CHMATbl[[#This Row],[% OF TOTAL MANUFACTURED AND RURAL FUNDING]]</f>
        <v>0</v>
      </c>
      <c r="BM51" s="665">
        <f>IF(
CHMATbl[[#This Row],[ALL UNITS IN A HIGH OR HIGHEST RESOURCE AREA]]="Yes",
10*CHMATbl[[#This Row],[% OF TOTAL MANUFACTURED AND RURAL FUNDING]],
0)</f>
        <v>0</v>
      </c>
      <c r="BN51" s="665" cm="1">
        <f t="array" ref="BN51">INDEX(
CountyScoresTbl[Community Need Total Points],
ROW(CHMATbl[[#This Row],[COUNTY]])-2,1)*CHMATbl[[#This Row],[% OF TOTAL MANUFACTURED AND RURAL FUNDING]]</f>
        <v>0</v>
      </c>
      <c r="BO51" s="694" cm="1">
        <f t="array" ref="BO51"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1" s="732"/>
      <c r="BQ51" s="564"/>
      <c r="BR51" s="678"/>
    </row>
    <row r="52" spans="1:70" s="662" customFormat="1" x14ac:dyDescent="0.35">
      <c r="A52" s="679"/>
      <c r="B52" s="5" t="s">
        <v>164</v>
      </c>
      <c r="C52" s="38" t="s">
        <v>513</v>
      </c>
      <c r="D52" s="113" t="str">
        <f>IF(SUM(CHMATbl[[#This Row],[UNRESTRICTED UNITS]])=0,"",CHMATbl[[#This Row],[UNRESTRICTED UNITS]])</f>
        <v/>
      </c>
      <c r="E52" s="74" t="str">
        <f xml:space="preserve">
IF(CHMATbl[[#This Row],[UNRESTRICTED FUNDING REQUESTED]]=0,"",
CHMATbl[[#This Row],[UNRESTRICTED FUNDING REQUESTED]]*
IF(CH_MA_UnrestrictedTotalRequested&lt;=5000000,1,
5000000/CH_MA_UnrestrictedTotalRequested)
)</f>
        <v/>
      </c>
      <c r="F52" s="6" t="str">
        <f>IFERROR(CHMATbl[[#This Row],[TOTAL $ REQUESTED]]/SUM(CHMATbl[TOTAL $ REQUESTED]),"")</f>
        <v/>
      </c>
      <c r="G52" s="38" t="s">
        <v>513</v>
      </c>
      <c r="H52" s="113" t="str">
        <f>IF(SUM(CHMATbl[[#This Row],[MANUFACTURED UNITS]])=0,"",CHMATbl[[#This Row],[MANUFACTURED UNITS]])</f>
        <v/>
      </c>
      <c r="I52" s="74" t="str">
        <f xml:space="preserve">
IF(CHMATbl[[#This Row],[MANUFACTURED FUNDING REQUESTED]]=0,"",
CHMATbl[[#This Row],[MANUFACTURED FUNDING REQUESTED]]*
IF(CH_MA_ManufacturedTotalRequested&lt;=(5000000-E$61),1,
(5000000-E$61)/CH_MA_ManufacturedTotalRequested)
)</f>
        <v/>
      </c>
      <c r="J52" s="6" t="str">
        <f>IFERROR(CHMATbl[[#This Row],[TOTAL $ REQUESTED2]]/SUM(CHMATbl[TOTAL $ REQUESTED2]),"")</f>
        <v/>
      </c>
      <c r="K52" s="38" t="s">
        <v>513</v>
      </c>
      <c r="L52" s="113" t="str">
        <f>IF(SUM(CHMATbl[[#This Row],[RURAL UNITS]])=0,"",CHMATbl[[#This Row],[RURAL UNITS]])</f>
        <v/>
      </c>
      <c r="M52" s="74" t="str">
        <f xml:space="preserve">
IF(CHMATbl[[#This Row],[RURAL FUNDING REQUESTED]]=0,"",
CHMATbl[[#This Row],[RURAL FUNDING REQUESTED]]*
IF(CH_MA_RuralTotalRequested&lt;=(5000000-E$61-I$61),1,
(5000000-E$61-I$61)/CH_MA_RuralTotalRequested)
)</f>
        <v/>
      </c>
      <c r="N52" s="6" t="str">
        <f>IFERROR(CHMATbl[[#This Row],[TOTAL $ REQUESTED3]]/SUM(CHMATbl[TOTAL $ REQUESTED3]),"")</f>
        <v/>
      </c>
      <c r="O52" s="38" t="s">
        <v>513</v>
      </c>
      <c r="P52" s="113" t="str">
        <f>IF(SUM(CHMATbl[[#This Row],[MANUFACTURED AND RURAL UNITS]])=0,"",CHMATbl[[#This Row],[MANUFACTURED AND RURAL UNITS]])</f>
        <v/>
      </c>
      <c r="Q52" s="74" t="str">
        <f xml:space="preserve">
IF(CHMATbl[[#This Row],[MANUFACTURED AND RURAL FUNDING REQUESTED]]=0,"",
CHMATbl[[#This Row],[MANUFACTURED AND RURAL FUNDING REQUESTED]]*
IF(CH_MA_MFDRuralTotalRequested&lt;=(5000000-E$61-I$61-M$61),1,
(5000000-E$61-I$61-M$61)/CH_MA_MFDRuralTotalRequested)
)</f>
        <v/>
      </c>
      <c r="R52" s="6" t="str">
        <f>IFERROR(CHMATbl[[#This Row],[TOTAL $ REQUESTED4]]/SUM(CHMATbl[TOTAL $ REQUESTED4]),"")</f>
        <v/>
      </c>
      <c r="S52" s="38" t="s">
        <v>513</v>
      </c>
      <c r="T52" s="736"/>
      <c r="U52" s="699"/>
      <c r="V52" s="699"/>
      <c r="W52" s="737"/>
      <c r="X52" s="116"/>
      <c r="Y52" s="703"/>
      <c r="Z52" s="703"/>
      <c r="AA52" s="703"/>
      <c r="AB52" s="703"/>
      <c r="AC52" s="98">
        <f t="shared" si="0"/>
        <v>0</v>
      </c>
      <c r="AD52" s="6">
        <f>IF(CHMATbl[[#This Row],[UNRESTRICTED FUNDING REQUESTED]]=0,0,CHMATbl[[#This Row],[UNRESTRICTED FUNDING REQUESTED]]/CH_MA_UnrestrictedTotalRequested)</f>
        <v>0</v>
      </c>
      <c r="AE52" s="667">
        <f xml:space="preserve">
IF(CHMATbl[[#This Row],[NEW CONSTRUCTION OR AQUIRE/REHAB]]&lt;&gt;"",
3+IF(CHMATbl[[#This Row],[INFILL SITE]]="Yes",2,0),0)
*CHMATbl[[#This Row],[% OF TOTAL UNRESTRICTED FUNDING]]</f>
        <v>0</v>
      </c>
      <c r="AF52" s="665">
        <f>IF(CHMATbl[[#This Row],[ALL UNITS IN A HIGH OR HIGHEST RESOURCE AREA]]="Yes",10*CHMATbl[[#This Row],[% OF TOTAL UNRESTRICTED FUNDING]],0)</f>
        <v>0</v>
      </c>
      <c r="AG52" s="665" cm="1">
        <f t="array" ref="AG52">INDEX(CountyScoresTbl[Community Need Total Points],ROW(CHMATbl[[#This Row],[COUNTY]])-2,1)*CHMATbl[[#This Row],[% OF TOTAL UNRESTRICTED FUNDING]]</f>
        <v>0</v>
      </c>
      <c r="AH52" s="666" cm="1">
        <f t="array" ref="AH52"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2" s="116"/>
      <c r="AJ52" s="703"/>
      <c r="AK52" s="703"/>
      <c r="AL52" s="703"/>
      <c r="AM52" s="703"/>
      <c r="AN52" s="74">
        <f t="shared" si="1"/>
        <v>0</v>
      </c>
      <c r="AO52" s="6">
        <f>IF(CHMATbl[[#This Row],[MANUFACTURED FUNDING REQUESTED]]=0,0,CHMATbl[[#This Row],[MANUFACTURED FUNDING REQUESTED]]/CH_MA_ManufacturedTotalRequested)</f>
        <v>0</v>
      </c>
      <c r="AP52" s="671">
        <f>IF(
CHMATbl[[#This Row],[NEW CONSTRUCTION OR AQUIRE/REHAB]]&lt;&gt;"",
3+IF(CHMATbl[[#This Row],[INFILL SITE]]="Yes",2,0),0)
*CHMATbl[[#This Row],[% OF TOTAL MANUFACTURED FUNDING]]</f>
        <v>0</v>
      </c>
      <c r="AQ52" s="7">
        <f>IF(CHMATbl[[#This Row],[ALL UNITS IN A HIGH OR HIGHEST RESOURCE AREA]]="Yes",10*CHMATbl[[#This Row],[% OF TOTAL MANUFACTURED FUNDING]],0)</f>
        <v>0</v>
      </c>
      <c r="AR52" s="7" cm="1">
        <f t="array" ref="AR52">INDEX(CountyScoresTbl[Community Need Total Points],ROW(CHMATbl[[#This Row],[COUNTY]])-2,1)*CHMATbl[[#This Row],[% OF TOTAL MANUFACTURED FUNDING]]</f>
        <v>0</v>
      </c>
      <c r="AS52" s="8" cm="1">
        <f t="array" ref="AS5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2" s="705"/>
      <c r="AU52" s="703"/>
      <c r="AV52" s="703"/>
      <c r="AW52" s="703"/>
      <c r="AX52" s="703"/>
      <c r="AY52" s="74">
        <f t="shared" si="2"/>
        <v>0</v>
      </c>
      <c r="AZ52" s="6">
        <f>IF(CHMATbl[[#This Row],[RURAL FUNDING REQUESTED]]=0,0,CHMATbl[[#This Row],[RURAL FUNDING REQUESTED]]/CH_MA_RuralTotalRequested)</f>
        <v>0</v>
      </c>
      <c r="BA52" s="667">
        <f>IF(
CHMATbl[[#This Row],[NEW CONSTRUCTION OR AQUIRE/REHAB]]&lt;&gt;"",
3+IF(CHMATbl[[#This Row],[INFILL SITE]]="Yes",2,0),0)
*CHMATbl[[#This Row],[% OF TOTAL RURAL FUNDING]]</f>
        <v>0</v>
      </c>
      <c r="BB52" s="665">
        <f>IF(
CHMATbl[[#This Row],[ALL UNITS IN A HIGH OR HIGHEST RESOURCE AREA]]="Yes",
10*CHMATbl[[#This Row],[% OF TOTAL RURAL FUNDING]],
0)</f>
        <v>0</v>
      </c>
      <c r="BC52" s="665" cm="1">
        <f t="array" ref="BC52">INDEX(
CountyScoresTbl[Community Need Total Points],
ROW(CHMATbl[[#This Row],[COUNTY]])-2,1)*CHMATbl[[#This Row],[% OF TOTAL RURAL FUNDING]]</f>
        <v>0</v>
      </c>
      <c r="BD52" s="666" cm="1">
        <f t="array" ref="BD52"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2" s="116"/>
      <c r="BF52" s="703"/>
      <c r="BG52" s="703"/>
      <c r="BH52" s="703"/>
      <c r="BI52" s="703"/>
      <c r="BJ52" s="74">
        <f t="shared" si="3"/>
        <v>0</v>
      </c>
      <c r="BK52" s="6">
        <f>IF(CHMATbl[[#This Row],[MANUFACTURED AND RURAL FUNDING REQUESTED]]=0,0,CHMATbl[[#This Row],[MANUFACTURED AND RURAL FUNDING REQUESTED]]/CH_MA_MFDRuralTotalRequested)</f>
        <v>0</v>
      </c>
      <c r="BL52" s="667">
        <f xml:space="preserve">
IF(CHMATbl[[#This Row],[NEW CONSTRUCTION OR AQUIRE/REHAB]]&lt;&gt;"",
3+IF(CHMATbl[[#This Row],[INFILL SITE]]="Yes",2,0),0)
*CHMATbl[[#This Row],[% OF TOTAL MANUFACTURED AND RURAL FUNDING]]</f>
        <v>0</v>
      </c>
      <c r="BM52" s="665">
        <f>IF(
CHMATbl[[#This Row],[ALL UNITS IN A HIGH OR HIGHEST RESOURCE AREA]]="Yes",
10*CHMATbl[[#This Row],[% OF TOTAL MANUFACTURED AND RURAL FUNDING]],
0)</f>
        <v>0</v>
      </c>
      <c r="BN52" s="665" cm="1">
        <f t="array" ref="BN52">INDEX(
CountyScoresTbl[Community Need Total Points],
ROW(CHMATbl[[#This Row],[COUNTY]])-2,1)*CHMATbl[[#This Row],[% OF TOTAL MANUFACTURED AND RURAL FUNDING]]</f>
        <v>0</v>
      </c>
      <c r="BO52" s="694" cm="1">
        <f t="array" ref="BO52"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2" s="732"/>
      <c r="BQ52" s="564"/>
      <c r="BR52" s="678"/>
    </row>
    <row r="53" spans="1:70" s="662" customFormat="1" x14ac:dyDescent="0.35">
      <c r="A53" s="679"/>
      <c r="B53" s="5" t="s">
        <v>165</v>
      </c>
      <c r="C53" s="38" t="s">
        <v>513</v>
      </c>
      <c r="D53" s="113" t="str">
        <f>IF(SUM(CHMATbl[[#This Row],[UNRESTRICTED UNITS]])=0,"",CHMATbl[[#This Row],[UNRESTRICTED UNITS]])</f>
        <v/>
      </c>
      <c r="E53" s="74" t="str">
        <f xml:space="preserve">
IF(CHMATbl[[#This Row],[UNRESTRICTED FUNDING REQUESTED]]=0,"",
CHMATbl[[#This Row],[UNRESTRICTED FUNDING REQUESTED]]*
IF(CH_MA_UnrestrictedTotalRequested&lt;=5000000,1,
5000000/CH_MA_UnrestrictedTotalRequested)
)</f>
        <v/>
      </c>
      <c r="F53" s="6" t="str">
        <f>IFERROR(CHMATbl[[#This Row],[TOTAL $ REQUESTED]]/SUM(CHMATbl[TOTAL $ REQUESTED]),"")</f>
        <v/>
      </c>
      <c r="G53" s="38" t="s">
        <v>513</v>
      </c>
      <c r="H53" s="113" t="str">
        <f>IF(SUM(CHMATbl[[#This Row],[MANUFACTURED UNITS]])=0,"",CHMATbl[[#This Row],[MANUFACTURED UNITS]])</f>
        <v/>
      </c>
      <c r="I53" s="74" t="str">
        <f xml:space="preserve">
IF(CHMATbl[[#This Row],[MANUFACTURED FUNDING REQUESTED]]=0,"",
CHMATbl[[#This Row],[MANUFACTURED FUNDING REQUESTED]]*
IF(CH_MA_ManufacturedTotalRequested&lt;=(5000000-E$61),1,
(5000000-E$61)/CH_MA_ManufacturedTotalRequested)
)</f>
        <v/>
      </c>
      <c r="J53" s="6" t="str">
        <f>IFERROR(CHMATbl[[#This Row],[TOTAL $ REQUESTED2]]/SUM(CHMATbl[TOTAL $ REQUESTED2]),"")</f>
        <v/>
      </c>
      <c r="K53" s="38" t="s">
        <v>513</v>
      </c>
      <c r="L53" s="113" t="str">
        <f>IF(SUM(CHMATbl[[#This Row],[RURAL UNITS]])=0,"",CHMATbl[[#This Row],[RURAL UNITS]])</f>
        <v/>
      </c>
      <c r="M53" s="74" t="str">
        <f xml:space="preserve">
IF(CHMATbl[[#This Row],[RURAL FUNDING REQUESTED]]=0,"",
CHMATbl[[#This Row],[RURAL FUNDING REQUESTED]]*
IF(CH_MA_RuralTotalRequested&lt;=(5000000-E$61-I$61),1,
(5000000-E$61-I$61)/CH_MA_RuralTotalRequested)
)</f>
        <v/>
      </c>
      <c r="N53" s="6" t="str">
        <f>IFERROR(CHMATbl[[#This Row],[TOTAL $ REQUESTED3]]/SUM(CHMATbl[TOTAL $ REQUESTED3]),"")</f>
        <v/>
      </c>
      <c r="O53" s="38" t="s">
        <v>513</v>
      </c>
      <c r="P53" s="113" t="str">
        <f>IF(SUM(CHMATbl[[#This Row],[MANUFACTURED AND RURAL UNITS]])=0,"",CHMATbl[[#This Row],[MANUFACTURED AND RURAL UNITS]])</f>
        <v/>
      </c>
      <c r="Q53" s="74" t="str">
        <f xml:space="preserve">
IF(CHMATbl[[#This Row],[MANUFACTURED AND RURAL FUNDING REQUESTED]]=0,"",
CHMATbl[[#This Row],[MANUFACTURED AND RURAL FUNDING REQUESTED]]*
IF(CH_MA_MFDRuralTotalRequested&lt;=(5000000-E$61-I$61-M$61),1,
(5000000-E$61-I$61-M$61)/CH_MA_MFDRuralTotalRequested)
)</f>
        <v/>
      </c>
      <c r="R53" s="6" t="str">
        <f>IFERROR(CHMATbl[[#This Row],[TOTAL $ REQUESTED4]]/SUM(CHMATbl[TOTAL $ REQUESTED4]),"")</f>
        <v/>
      </c>
      <c r="S53" s="38" t="s">
        <v>513</v>
      </c>
      <c r="T53" s="736"/>
      <c r="U53" s="699"/>
      <c r="V53" s="699"/>
      <c r="W53" s="737"/>
      <c r="X53" s="116"/>
      <c r="Y53" s="703"/>
      <c r="Z53" s="703"/>
      <c r="AA53" s="703"/>
      <c r="AB53" s="703"/>
      <c r="AC53" s="98">
        <f t="shared" si="0"/>
        <v>0</v>
      </c>
      <c r="AD53" s="6">
        <f>IF(CHMATbl[[#This Row],[UNRESTRICTED FUNDING REQUESTED]]=0,0,CHMATbl[[#This Row],[UNRESTRICTED FUNDING REQUESTED]]/CH_MA_UnrestrictedTotalRequested)</f>
        <v>0</v>
      </c>
      <c r="AE53" s="667">
        <f xml:space="preserve">
IF(CHMATbl[[#This Row],[NEW CONSTRUCTION OR AQUIRE/REHAB]]&lt;&gt;"",
3+IF(CHMATbl[[#This Row],[INFILL SITE]]="Yes",2,0),0)
*CHMATbl[[#This Row],[% OF TOTAL UNRESTRICTED FUNDING]]</f>
        <v>0</v>
      </c>
      <c r="AF53" s="665">
        <f>IF(CHMATbl[[#This Row],[ALL UNITS IN A HIGH OR HIGHEST RESOURCE AREA]]="Yes",10*CHMATbl[[#This Row],[% OF TOTAL UNRESTRICTED FUNDING]],0)</f>
        <v>0</v>
      </c>
      <c r="AG53" s="665" cm="1">
        <f t="array" ref="AG53">INDEX(CountyScoresTbl[Community Need Total Points],ROW(CHMATbl[[#This Row],[COUNTY]])-2,1)*CHMATbl[[#This Row],[% OF TOTAL UNRESTRICTED FUNDING]]</f>
        <v>0</v>
      </c>
      <c r="AH53" s="666" cm="1">
        <f t="array" ref="AH53"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3" s="116"/>
      <c r="AJ53" s="703"/>
      <c r="AK53" s="703"/>
      <c r="AL53" s="703"/>
      <c r="AM53" s="703"/>
      <c r="AN53" s="74">
        <f t="shared" si="1"/>
        <v>0</v>
      </c>
      <c r="AO53" s="6">
        <f>IF(CHMATbl[[#This Row],[MANUFACTURED FUNDING REQUESTED]]=0,0,CHMATbl[[#This Row],[MANUFACTURED FUNDING REQUESTED]]/CH_MA_ManufacturedTotalRequested)</f>
        <v>0</v>
      </c>
      <c r="AP53" s="671">
        <f>IF(
CHMATbl[[#This Row],[NEW CONSTRUCTION OR AQUIRE/REHAB]]&lt;&gt;"",
3+IF(CHMATbl[[#This Row],[INFILL SITE]]="Yes",2,0),0)
*CHMATbl[[#This Row],[% OF TOTAL MANUFACTURED FUNDING]]</f>
        <v>0</v>
      </c>
      <c r="AQ53" s="7">
        <f>IF(CHMATbl[[#This Row],[ALL UNITS IN A HIGH OR HIGHEST RESOURCE AREA]]="Yes",10*CHMATbl[[#This Row],[% OF TOTAL MANUFACTURED FUNDING]],0)</f>
        <v>0</v>
      </c>
      <c r="AR53" s="7" cm="1">
        <f t="array" ref="AR53">INDEX(CountyScoresTbl[Community Need Total Points],ROW(CHMATbl[[#This Row],[COUNTY]])-2,1)*CHMATbl[[#This Row],[% OF TOTAL MANUFACTURED FUNDING]]</f>
        <v>0</v>
      </c>
      <c r="AS53" s="8" cm="1">
        <f t="array" ref="AS5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3" s="705"/>
      <c r="AU53" s="703"/>
      <c r="AV53" s="703"/>
      <c r="AW53" s="703"/>
      <c r="AX53" s="703"/>
      <c r="AY53" s="74">
        <f t="shared" si="2"/>
        <v>0</v>
      </c>
      <c r="AZ53" s="6">
        <f>IF(CHMATbl[[#This Row],[RURAL FUNDING REQUESTED]]=0,0,CHMATbl[[#This Row],[RURAL FUNDING REQUESTED]]/CH_MA_RuralTotalRequested)</f>
        <v>0</v>
      </c>
      <c r="BA53" s="667">
        <f>IF(
CHMATbl[[#This Row],[NEW CONSTRUCTION OR AQUIRE/REHAB]]&lt;&gt;"",
3+IF(CHMATbl[[#This Row],[INFILL SITE]]="Yes",2,0),0)
*CHMATbl[[#This Row],[% OF TOTAL RURAL FUNDING]]</f>
        <v>0</v>
      </c>
      <c r="BB53" s="665">
        <f>IF(
CHMATbl[[#This Row],[ALL UNITS IN A HIGH OR HIGHEST RESOURCE AREA]]="Yes",
10*CHMATbl[[#This Row],[% OF TOTAL RURAL FUNDING]],
0)</f>
        <v>0</v>
      </c>
      <c r="BC53" s="665" cm="1">
        <f t="array" ref="BC53">INDEX(
CountyScoresTbl[Community Need Total Points],
ROW(CHMATbl[[#This Row],[COUNTY]])-2,1)*CHMATbl[[#This Row],[% OF TOTAL RURAL FUNDING]]</f>
        <v>0</v>
      </c>
      <c r="BD53" s="666" cm="1">
        <f t="array" ref="BD53"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3" s="116"/>
      <c r="BF53" s="703"/>
      <c r="BG53" s="703"/>
      <c r="BH53" s="703"/>
      <c r="BI53" s="703"/>
      <c r="BJ53" s="74">
        <f t="shared" si="3"/>
        <v>0</v>
      </c>
      <c r="BK53" s="6">
        <f>IF(CHMATbl[[#This Row],[MANUFACTURED AND RURAL FUNDING REQUESTED]]=0,0,CHMATbl[[#This Row],[MANUFACTURED AND RURAL FUNDING REQUESTED]]/CH_MA_MFDRuralTotalRequested)</f>
        <v>0</v>
      </c>
      <c r="BL53" s="667">
        <f xml:space="preserve">
IF(CHMATbl[[#This Row],[NEW CONSTRUCTION OR AQUIRE/REHAB]]&lt;&gt;"",
3+IF(CHMATbl[[#This Row],[INFILL SITE]]="Yes",2,0),0)
*CHMATbl[[#This Row],[% OF TOTAL MANUFACTURED AND RURAL FUNDING]]</f>
        <v>0</v>
      </c>
      <c r="BM53" s="665">
        <f>IF(
CHMATbl[[#This Row],[ALL UNITS IN A HIGH OR HIGHEST RESOURCE AREA]]="Yes",
10*CHMATbl[[#This Row],[% OF TOTAL MANUFACTURED AND RURAL FUNDING]],
0)</f>
        <v>0</v>
      </c>
      <c r="BN53" s="665" cm="1">
        <f t="array" ref="BN53">INDEX(
CountyScoresTbl[Community Need Total Points],
ROW(CHMATbl[[#This Row],[COUNTY]])-2,1)*CHMATbl[[#This Row],[% OF TOTAL MANUFACTURED AND RURAL FUNDING]]</f>
        <v>0</v>
      </c>
      <c r="BO53" s="694" cm="1">
        <f t="array" ref="BO53"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3" s="732"/>
      <c r="BQ53" s="564"/>
      <c r="BR53" s="678"/>
    </row>
    <row r="54" spans="1:70" s="662" customFormat="1" x14ac:dyDescent="0.35">
      <c r="A54" s="679"/>
      <c r="B54" s="5" t="s">
        <v>166</v>
      </c>
      <c r="C54" s="38" t="s">
        <v>513</v>
      </c>
      <c r="D54" s="113" t="str">
        <f>IF(SUM(CHMATbl[[#This Row],[UNRESTRICTED UNITS]])=0,"",CHMATbl[[#This Row],[UNRESTRICTED UNITS]])</f>
        <v/>
      </c>
      <c r="E54" s="74" t="str">
        <f xml:space="preserve">
IF(CHMATbl[[#This Row],[UNRESTRICTED FUNDING REQUESTED]]=0,"",
CHMATbl[[#This Row],[UNRESTRICTED FUNDING REQUESTED]]*
IF(CH_MA_UnrestrictedTotalRequested&lt;=5000000,1,
5000000/CH_MA_UnrestrictedTotalRequested)
)</f>
        <v/>
      </c>
      <c r="F54" s="6" t="str">
        <f>IFERROR(CHMATbl[[#This Row],[TOTAL $ REQUESTED]]/SUM(CHMATbl[TOTAL $ REQUESTED]),"")</f>
        <v/>
      </c>
      <c r="G54" s="38" t="s">
        <v>513</v>
      </c>
      <c r="H54" s="113" t="str">
        <f>IF(SUM(CHMATbl[[#This Row],[MANUFACTURED UNITS]])=0,"",CHMATbl[[#This Row],[MANUFACTURED UNITS]])</f>
        <v/>
      </c>
      <c r="I54" s="74" t="str">
        <f xml:space="preserve">
IF(CHMATbl[[#This Row],[MANUFACTURED FUNDING REQUESTED]]=0,"",
CHMATbl[[#This Row],[MANUFACTURED FUNDING REQUESTED]]*
IF(CH_MA_ManufacturedTotalRequested&lt;=(5000000-E$61),1,
(5000000-E$61)/CH_MA_ManufacturedTotalRequested)
)</f>
        <v/>
      </c>
      <c r="J54" s="6" t="str">
        <f>IFERROR(CHMATbl[[#This Row],[TOTAL $ REQUESTED2]]/SUM(CHMATbl[TOTAL $ REQUESTED2]),"")</f>
        <v/>
      </c>
      <c r="K54" s="38" t="s">
        <v>513</v>
      </c>
      <c r="L54" s="113" t="str">
        <f>IF(SUM(CHMATbl[[#This Row],[RURAL UNITS]])=0,"",CHMATbl[[#This Row],[RURAL UNITS]])</f>
        <v/>
      </c>
      <c r="M54" s="74" t="str">
        <f xml:space="preserve">
IF(CHMATbl[[#This Row],[RURAL FUNDING REQUESTED]]=0,"",
CHMATbl[[#This Row],[RURAL FUNDING REQUESTED]]*
IF(CH_MA_RuralTotalRequested&lt;=(5000000-E$61-I$61),1,
(5000000-E$61-I$61)/CH_MA_RuralTotalRequested)
)</f>
        <v/>
      </c>
      <c r="N54" s="6" t="str">
        <f>IFERROR(CHMATbl[[#This Row],[TOTAL $ REQUESTED3]]/SUM(CHMATbl[TOTAL $ REQUESTED3]),"")</f>
        <v/>
      </c>
      <c r="O54" s="38" t="s">
        <v>513</v>
      </c>
      <c r="P54" s="113" t="str">
        <f>IF(SUM(CHMATbl[[#This Row],[MANUFACTURED AND RURAL UNITS]])=0,"",CHMATbl[[#This Row],[MANUFACTURED AND RURAL UNITS]])</f>
        <v/>
      </c>
      <c r="Q54" s="74" t="str">
        <f xml:space="preserve">
IF(CHMATbl[[#This Row],[MANUFACTURED AND RURAL FUNDING REQUESTED]]=0,"",
CHMATbl[[#This Row],[MANUFACTURED AND RURAL FUNDING REQUESTED]]*
IF(CH_MA_MFDRuralTotalRequested&lt;=(5000000-E$61-I$61-M$61),1,
(5000000-E$61-I$61-M$61)/CH_MA_MFDRuralTotalRequested)
)</f>
        <v/>
      </c>
      <c r="R54" s="6" t="str">
        <f>IFERROR(CHMATbl[[#This Row],[TOTAL $ REQUESTED4]]/SUM(CHMATbl[TOTAL $ REQUESTED4]),"")</f>
        <v/>
      </c>
      <c r="S54" s="38" t="s">
        <v>513</v>
      </c>
      <c r="T54" s="736"/>
      <c r="U54" s="699"/>
      <c r="V54" s="699"/>
      <c r="W54" s="737"/>
      <c r="X54" s="116"/>
      <c r="Y54" s="703"/>
      <c r="Z54" s="703"/>
      <c r="AA54" s="703"/>
      <c r="AB54" s="703"/>
      <c r="AC54" s="98">
        <f t="shared" si="0"/>
        <v>0</v>
      </c>
      <c r="AD54" s="6">
        <f>IF(CHMATbl[[#This Row],[UNRESTRICTED FUNDING REQUESTED]]=0,0,CHMATbl[[#This Row],[UNRESTRICTED FUNDING REQUESTED]]/CH_MA_UnrestrictedTotalRequested)</f>
        <v>0</v>
      </c>
      <c r="AE54" s="667">
        <f xml:space="preserve">
IF(CHMATbl[[#This Row],[NEW CONSTRUCTION OR AQUIRE/REHAB]]&lt;&gt;"",
3+IF(CHMATbl[[#This Row],[INFILL SITE]]="Yes",2,0),0)
*CHMATbl[[#This Row],[% OF TOTAL UNRESTRICTED FUNDING]]</f>
        <v>0</v>
      </c>
      <c r="AF54" s="665">
        <f>IF(CHMATbl[[#This Row],[ALL UNITS IN A HIGH OR HIGHEST RESOURCE AREA]]="Yes",10*CHMATbl[[#This Row],[% OF TOTAL UNRESTRICTED FUNDING]],0)</f>
        <v>0</v>
      </c>
      <c r="AG54" s="665" cm="1">
        <f t="array" ref="AG54">INDEX(CountyScoresTbl[Community Need Total Points],ROW(CHMATbl[[#This Row],[COUNTY]])-2,1)*CHMATbl[[#This Row],[% OF TOTAL UNRESTRICTED FUNDING]]</f>
        <v>0</v>
      </c>
      <c r="AH54" s="666" cm="1">
        <f t="array" ref="AH54"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4" s="116"/>
      <c r="AJ54" s="703"/>
      <c r="AK54" s="703"/>
      <c r="AL54" s="703"/>
      <c r="AM54" s="703"/>
      <c r="AN54" s="74">
        <f t="shared" si="1"/>
        <v>0</v>
      </c>
      <c r="AO54" s="6">
        <f>IF(CHMATbl[[#This Row],[MANUFACTURED FUNDING REQUESTED]]=0,0,CHMATbl[[#This Row],[MANUFACTURED FUNDING REQUESTED]]/CH_MA_ManufacturedTotalRequested)</f>
        <v>0</v>
      </c>
      <c r="AP54" s="671">
        <f>IF(
CHMATbl[[#This Row],[NEW CONSTRUCTION OR AQUIRE/REHAB]]&lt;&gt;"",
3+IF(CHMATbl[[#This Row],[INFILL SITE]]="Yes",2,0),0)
*CHMATbl[[#This Row],[% OF TOTAL MANUFACTURED FUNDING]]</f>
        <v>0</v>
      </c>
      <c r="AQ54" s="7">
        <f>IF(CHMATbl[[#This Row],[ALL UNITS IN A HIGH OR HIGHEST RESOURCE AREA]]="Yes",10*CHMATbl[[#This Row],[% OF TOTAL MANUFACTURED FUNDING]],0)</f>
        <v>0</v>
      </c>
      <c r="AR54" s="7" cm="1">
        <f t="array" ref="AR54">INDEX(CountyScoresTbl[Community Need Total Points],ROW(CHMATbl[[#This Row],[COUNTY]])-2,1)*CHMATbl[[#This Row],[% OF TOTAL MANUFACTURED FUNDING]]</f>
        <v>0</v>
      </c>
      <c r="AS54" s="8" cm="1">
        <f t="array" ref="AS5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4" s="705"/>
      <c r="AU54" s="703"/>
      <c r="AV54" s="703"/>
      <c r="AW54" s="703"/>
      <c r="AX54" s="703"/>
      <c r="AY54" s="74">
        <f t="shared" si="2"/>
        <v>0</v>
      </c>
      <c r="AZ54" s="6">
        <f>IF(CHMATbl[[#This Row],[RURAL FUNDING REQUESTED]]=0,0,CHMATbl[[#This Row],[RURAL FUNDING REQUESTED]]/CH_MA_RuralTotalRequested)</f>
        <v>0</v>
      </c>
      <c r="BA54" s="667">
        <f>IF(
CHMATbl[[#This Row],[NEW CONSTRUCTION OR AQUIRE/REHAB]]&lt;&gt;"",
3+IF(CHMATbl[[#This Row],[INFILL SITE]]="Yes",2,0),0)
*CHMATbl[[#This Row],[% OF TOTAL RURAL FUNDING]]</f>
        <v>0</v>
      </c>
      <c r="BB54" s="665">
        <f>IF(
CHMATbl[[#This Row],[ALL UNITS IN A HIGH OR HIGHEST RESOURCE AREA]]="Yes",
10*CHMATbl[[#This Row],[% OF TOTAL RURAL FUNDING]],
0)</f>
        <v>0</v>
      </c>
      <c r="BC54" s="665" cm="1">
        <f t="array" ref="BC54">INDEX(
CountyScoresTbl[Community Need Total Points],
ROW(CHMATbl[[#This Row],[COUNTY]])-2,1)*CHMATbl[[#This Row],[% OF TOTAL RURAL FUNDING]]</f>
        <v>0</v>
      </c>
      <c r="BD54" s="666" cm="1">
        <f t="array" ref="BD54"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4" s="116"/>
      <c r="BF54" s="703"/>
      <c r="BG54" s="703"/>
      <c r="BH54" s="703"/>
      <c r="BI54" s="703"/>
      <c r="BJ54" s="74">
        <f t="shared" si="3"/>
        <v>0</v>
      </c>
      <c r="BK54" s="6">
        <f>IF(CHMATbl[[#This Row],[MANUFACTURED AND RURAL FUNDING REQUESTED]]=0,0,CHMATbl[[#This Row],[MANUFACTURED AND RURAL FUNDING REQUESTED]]/CH_MA_MFDRuralTotalRequested)</f>
        <v>0</v>
      </c>
      <c r="BL54" s="667">
        <f xml:space="preserve">
IF(CHMATbl[[#This Row],[NEW CONSTRUCTION OR AQUIRE/REHAB]]&lt;&gt;"",
3+IF(CHMATbl[[#This Row],[INFILL SITE]]="Yes",2,0),0)
*CHMATbl[[#This Row],[% OF TOTAL MANUFACTURED AND RURAL FUNDING]]</f>
        <v>0</v>
      </c>
      <c r="BM54" s="665">
        <f>IF(
CHMATbl[[#This Row],[ALL UNITS IN A HIGH OR HIGHEST RESOURCE AREA]]="Yes",
10*CHMATbl[[#This Row],[% OF TOTAL MANUFACTURED AND RURAL FUNDING]],
0)</f>
        <v>0</v>
      </c>
      <c r="BN54" s="665" cm="1">
        <f t="array" ref="BN54">INDEX(
CountyScoresTbl[Community Need Total Points],
ROW(CHMATbl[[#This Row],[COUNTY]])-2,1)*CHMATbl[[#This Row],[% OF TOTAL MANUFACTURED AND RURAL FUNDING]]</f>
        <v>0</v>
      </c>
      <c r="BO54" s="694" cm="1">
        <f t="array" ref="BO54"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4" s="732"/>
      <c r="BQ54" s="564"/>
      <c r="BR54" s="678"/>
    </row>
    <row r="55" spans="1:70" s="662" customFormat="1" x14ac:dyDescent="0.35">
      <c r="A55" s="679"/>
      <c r="B55" s="5" t="s">
        <v>167</v>
      </c>
      <c r="C55" s="38" t="s">
        <v>513</v>
      </c>
      <c r="D55" s="113" t="str">
        <f>IF(SUM(CHMATbl[[#This Row],[UNRESTRICTED UNITS]])=0,"",CHMATbl[[#This Row],[UNRESTRICTED UNITS]])</f>
        <v/>
      </c>
      <c r="E55" s="74" t="str">
        <f xml:space="preserve">
IF(CHMATbl[[#This Row],[UNRESTRICTED FUNDING REQUESTED]]=0,"",
CHMATbl[[#This Row],[UNRESTRICTED FUNDING REQUESTED]]*
IF(CH_MA_UnrestrictedTotalRequested&lt;=5000000,1,
5000000/CH_MA_UnrestrictedTotalRequested)
)</f>
        <v/>
      </c>
      <c r="F55" s="6" t="str">
        <f>IFERROR(CHMATbl[[#This Row],[TOTAL $ REQUESTED]]/SUM(CHMATbl[TOTAL $ REQUESTED]),"")</f>
        <v/>
      </c>
      <c r="G55" s="38" t="s">
        <v>513</v>
      </c>
      <c r="H55" s="113" t="str">
        <f>IF(SUM(CHMATbl[[#This Row],[MANUFACTURED UNITS]])=0,"",CHMATbl[[#This Row],[MANUFACTURED UNITS]])</f>
        <v/>
      </c>
      <c r="I55" s="74" t="str">
        <f xml:space="preserve">
IF(CHMATbl[[#This Row],[MANUFACTURED FUNDING REQUESTED]]=0,"",
CHMATbl[[#This Row],[MANUFACTURED FUNDING REQUESTED]]*
IF(CH_MA_ManufacturedTotalRequested&lt;=(5000000-E$61),1,
(5000000-E$61)/CH_MA_ManufacturedTotalRequested)
)</f>
        <v/>
      </c>
      <c r="J55" s="6" t="str">
        <f>IFERROR(CHMATbl[[#This Row],[TOTAL $ REQUESTED2]]/SUM(CHMATbl[TOTAL $ REQUESTED2]),"")</f>
        <v/>
      </c>
      <c r="K55" s="38" t="s">
        <v>513</v>
      </c>
      <c r="L55" s="113" t="str">
        <f>IF(SUM(CHMATbl[[#This Row],[RURAL UNITS]])=0,"",CHMATbl[[#This Row],[RURAL UNITS]])</f>
        <v/>
      </c>
      <c r="M55" s="74" t="str">
        <f xml:space="preserve">
IF(CHMATbl[[#This Row],[RURAL FUNDING REQUESTED]]=0,"",
CHMATbl[[#This Row],[RURAL FUNDING REQUESTED]]*
IF(CH_MA_RuralTotalRequested&lt;=(5000000-E$61-I$61),1,
(5000000-E$61-I$61)/CH_MA_RuralTotalRequested)
)</f>
        <v/>
      </c>
      <c r="N55" s="6" t="str">
        <f>IFERROR(CHMATbl[[#This Row],[TOTAL $ REQUESTED3]]/SUM(CHMATbl[TOTAL $ REQUESTED3]),"")</f>
        <v/>
      </c>
      <c r="O55" s="38" t="s">
        <v>513</v>
      </c>
      <c r="P55" s="113" t="str">
        <f>IF(SUM(CHMATbl[[#This Row],[MANUFACTURED AND RURAL UNITS]])=0,"",CHMATbl[[#This Row],[MANUFACTURED AND RURAL UNITS]])</f>
        <v/>
      </c>
      <c r="Q55" s="74" t="str">
        <f xml:space="preserve">
IF(CHMATbl[[#This Row],[MANUFACTURED AND RURAL FUNDING REQUESTED]]=0,"",
CHMATbl[[#This Row],[MANUFACTURED AND RURAL FUNDING REQUESTED]]*
IF(CH_MA_MFDRuralTotalRequested&lt;=(5000000-E$61-I$61-M$61),1,
(5000000-E$61-I$61-M$61)/CH_MA_MFDRuralTotalRequested)
)</f>
        <v/>
      </c>
      <c r="R55" s="6" t="str">
        <f>IFERROR(CHMATbl[[#This Row],[TOTAL $ REQUESTED4]]/SUM(CHMATbl[TOTAL $ REQUESTED4]),"")</f>
        <v/>
      </c>
      <c r="S55" s="38" t="s">
        <v>513</v>
      </c>
      <c r="T55" s="736"/>
      <c r="U55" s="699"/>
      <c r="V55" s="699"/>
      <c r="W55" s="737"/>
      <c r="X55" s="116"/>
      <c r="Y55" s="703"/>
      <c r="Z55" s="703"/>
      <c r="AA55" s="703"/>
      <c r="AB55" s="703"/>
      <c r="AC55" s="98">
        <f t="shared" si="0"/>
        <v>0</v>
      </c>
      <c r="AD55" s="6">
        <f>IF(CHMATbl[[#This Row],[UNRESTRICTED FUNDING REQUESTED]]=0,0,CHMATbl[[#This Row],[UNRESTRICTED FUNDING REQUESTED]]/CH_MA_UnrestrictedTotalRequested)</f>
        <v>0</v>
      </c>
      <c r="AE55" s="667">
        <f xml:space="preserve">
IF(CHMATbl[[#This Row],[NEW CONSTRUCTION OR AQUIRE/REHAB]]&lt;&gt;"",
3+IF(CHMATbl[[#This Row],[INFILL SITE]]="Yes",2,0),0)
*CHMATbl[[#This Row],[% OF TOTAL UNRESTRICTED FUNDING]]</f>
        <v>0</v>
      </c>
      <c r="AF55" s="665">
        <f>IF(CHMATbl[[#This Row],[ALL UNITS IN A HIGH OR HIGHEST RESOURCE AREA]]="Yes",10*CHMATbl[[#This Row],[% OF TOTAL UNRESTRICTED FUNDING]],0)</f>
        <v>0</v>
      </c>
      <c r="AG55" s="665" cm="1">
        <f t="array" ref="AG55">INDEX(CountyScoresTbl[Community Need Total Points],ROW(CHMATbl[[#This Row],[COUNTY]])-2,1)*CHMATbl[[#This Row],[% OF TOTAL UNRESTRICTED FUNDING]]</f>
        <v>0</v>
      </c>
      <c r="AH55" s="666" cm="1">
        <f t="array" ref="AH55"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5" s="116"/>
      <c r="AJ55" s="703"/>
      <c r="AK55" s="703"/>
      <c r="AL55" s="703"/>
      <c r="AM55" s="703"/>
      <c r="AN55" s="74">
        <f t="shared" si="1"/>
        <v>0</v>
      </c>
      <c r="AO55" s="6">
        <f>IF(CHMATbl[[#This Row],[MANUFACTURED FUNDING REQUESTED]]=0,0,CHMATbl[[#This Row],[MANUFACTURED FUNDING REQUESTED]]/CH_MA_ManufacturedTotalRequested)</f>
        <v>0</v>
      </c>
      <c r="AP55" s="671">
        <f>IF(
CHMATbl[[#This Row],[NEW CONSTRUCTION OR AQUIRE/REHAB]]&lt;&gt;"",
3+IF(CHMATbl[[#This Row],[INFILL SITE]]="Yes",2,0),0)
*CHMATbl[[#This Row],[% OF TOTAL MANUFACTURED FUNDING]]</f>
        <v>0</v>
      </c>
      <c r="AQ55" s="7">
        <f>IF(CHMATbl[[#This Row],[ALL UNITS IN A HIGH OR HIGHEST RESOURCE AREA]]="Yes",10*CHMATbl[[#This Row],[% OF TOTAL MANUFACTURED FUNDING]],0)</f>
        <v>0</v>
      </c>
      <c r="AR55" s="7" cm="1">
        <f t="array" ref="AR55">INDEX(CountyScoresTbl[Community Need Total Points],ROW(CHMATbl[[#This Row],[COUNTY]])-2,1)*CHMATbl[[#This Row],[% OF TOTAL MANUFACTURED FUNDING]]</f>
        <v>0</v>
      </c>
      <c r="AS55" s="8" cm="1">
        <f t="array" ref="AS5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5" s="705"/>
      <c r="AU55" s="703"/>
      <c r="AV55" s="703"/>
      <c r="AW55" s="703"/>
      <c r="AX55" s="703"/>
      <c r="AY55" s="74">
        <f t="shared" si="2"/>
        <v>0</v>
      </c>
      <c r="AZ55" s="6">
        <f>IF(CHMATbl[[#This Row],[RURAL FUNDING REQUESTED]]=0,0,CHMATbl[[#This Row],[RURAL FUNDING REQUESTED]]/CH_MA_RuralTotalRequested)</f>
        <v>0</v>
      </c>
      <c r="BA55" s="667">
        <f>IF(
CHMATbl[[#This Row],[NEW CONSTRUCTION OR AQUIRE/REHAB]]&lt;&gt;"",
3+IF(CHMATbl[[#This Row],[INFILL SITE]]="Yes",2,0),0)
*CHMATbl[[#This Row],[% OF TOTAL RURAL FUNDING]]</f>
        <v>0</v>
      </c>
      <c r="BB55" s="665">
        <f>IF(
CHMATbl[[#This Row],[ALL UNITS IN A HIGH OR HIGHEST RESOURCE AREA]]="Yes",
10*CHMATbl[[#This Row],[% OF TOTAL RURAL FUNDING]],
0)</f>
        <v>0</v>
      </c>
      <c r="BC55" s="665" cm="1">
        <f t="array" ref="BC55">INDEX(
CountyScoresTbl[Community Need Total Points],
ROW(CHMATbl[[#This Row],[COUNTY]])-2,1)*CHMATbl[[#This Row],[% OF TOTAL RURAL FUNDING]]</f>
        <v>0</v>
      </c>
      <c r="BD55" s="666" cm="1">
        <f t="array" ref="BD55"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5" s="116"/>
      <c r="BF55" s="703"/>
      <c r="BG55" s="703"/>
      <c r="BH55" s="703"/>
      <c r="BI55" s="703"/>
      <c r="BJ55" s="74">
        <f t="shared" si="3"/>
        <v>0</v>
      </c>
      <c r="BK55" s="6">
        <f>IF(CHMATbl[[#This Row],[MANUFACTURED AND RURAL FUNDING REQUESTED]]=0,0,CHMATbl[[#This Row],[MANUFACTURED AND RURAL FUNDING REQUESTED]]/CH_MA_MFDRuralTotalRequested)</f>
        <v>0</v>
      </c>
      <c r="BL55" s="667">
        <f xml:space="preserve">
IF(CHMATbl[[#This Row],[NEW CONSTRUCTION OR AQUIRE/REHAB]]&lt;&gt;"",
3+IF(CHMATbl[[#This Row],[INFILL SITE]]="Yes",2,0),0)
*CHMATbl[[#This Row],[% OF TOTAL MANUFACTURED AND RURAL FUNDING]]</f>
        <v>0</v>
      </c>
      <c r="BM55" s="665">
        <f>IF(
CHMATbl[[#This Row],[ALL UNITS IN A HIGH OR HIGHEST RESOURCE AREA]]="Yes",
10*CHMATbl[[#This Row],[% OF TOTAL MANUFACTURED AND RURAL FUNDING]],
0)</f>
        <v>0</v>
      </c>
      <c r="BN55" s="665" cm="1">
        <f t="array" ref="BN55">INDEX(
CountyScoresTbl[Community Need Total Points],
ROW(CHMATbl[[#This Row],[COUNTY]])-2,1)*CHMATbl[[#This Row],[% OF TOTAL MANUFACTURED AND RURAL FUNDING]]</f>
        <v>0</v>
      </c>
      <c r="BO55" s="694" cm="1">
        <f t="array" ref="BO55"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5" s="732"/>
      <c r="BQ55" s="564"/>
      <c r="BR55" s="678"/>
    </row>
    <row r="56" spans="1:70" s="662" customFormat="1" x14ac:dyDescent="0.35">
      <c r="A56" s="679"/>
      <c r="B56" s="5" t="s">
        <v>168</v>
      </c>
      <c r="C56" s="38" t="s">
        <v>513</v>
      </c>
      <c r="D56" s="113" t="str">
        <f>IF(SUM(CHMATbl[[#This Row],[UNRESTRICTED UNITS]])=0,"",CHMATbl[[#This Row],[UNRESTRICTED UNITS]])</f>
        <v/>
      </c>
      <c r="E56" s="74" t="str">
        <f xml:space="preserve">
IF(CHMATbl[[#This Row],[UNRESTRICTED FUNDING REQUESTED]]=0,"",
CHMATbl[[#This Row],[UNRESTRICTED FUNDING REQUESTED]]*
IF(CH_MA_UnrestrictedTotalRequested&lt;=5000000,1,
5000000/CH_MA_UnrestrictedTotalRequested)
)</f>
        <v/>
      </c>
      <c r="F56" s="6" t="str">
        <f>IFERROR(CHMATbl[[#This Row],[TOTAL $ REQUESTED]]/SUM(CHMATbl[TOTAL $ REQUESTED]),"")</f>
        <v/>
      </c>
      <c r="G56" s="38" t="s">
        <v>513</v>
      </c>
      <c r="H56" s="113" t="str">
        <f>IF(SUM(CHMATbl[[#This Row],[MANUFACTURED UNITS]])=0,"",CHMATbl[[#This Row],[MANUFACTURED UNITS]])</f>
        <v/>
      </c>
      <c r="I56" s="74" t="str">
        <f xml:space="preserve">
IF(CHMATbl[[#This Row],[MANUFACTURED FUNDING REQUESTED]]=0,"",
CHMATbl[[#This Row],[MANUFACTURED FUNDING REQUESTED]]*
IF(CH_MA_ManufacturedTotalRequested&lt;=(5000000-E$61),1,
(5000000-E$61)/CH_MA_ManufacturedTotalRequested)
)</f>
        <v/>
      </c>
      <c r="J56" s="6" t="str">
        <f>IFERROR(CHMATbl[[#This Row],[TOTAL $ REQUESTED2]]/SUM(CHMATbl[TOTAL $ REQUESTED2]),"")</f>
        <v/>
      </c>
      <c r="K56" s="38" t="s">
        <v>513</v>
      </c>
      <c r="L56" s="113" t="str">
        <f>IF(SUM(CHMATbl[[#This Row],[RURAL UNITS]])=0,"",CHMATbl[[#This Row],[RURAL UNITS]])</f>
        <v/>
      </c>
      <c r="M56" s="74" t="str">
        <f xml:space="preserve">
IF(CHMATbl[[#This Row],[RURAL FUNDING REQUESTED]]=0,"",
CHMATbl[[#This Row],[RURAL FUNDING REQUESTED]]*
IF(CH_MA_RuralTotalRequested&lt;=(5000000-E$61-I$61),1,
(5000000-E$61-I$61)/CH_MA_RuralTotalRequested)
)</f>
        <v/>
      </c>
      <c r="N56" s="6" t="str">
        <f>IFERROR(CHMATbl[[#This Row],[TOTAL $ REQUESTED3]]/SUM(CHMATbl[TOTAL $ REQUESTED3]),"")</f>
        <v/>
      </c>
      <c r="O56" s="38" t="s">
        <v>513</v>
      </c>
      <c r="P56" s="113" t="str">
        <f>IF(SUM(CHMATbl[[#This Row],[MANUFACTURED AND RURAL UNITS]])=0,"",CHMATbl[[#This Row],[MANUFACTURED AND RURAL UNITS]])</f>
        <v/>
      </c>
      <c r="Q56" s="74" t="str">
        <f xml:space="preserve">
IF(CHMATbl[[#This Row],[MANUFACTURED AND RURAL FUNDING REQUESTED]]=0,"",
CHMATbl[[#This Row],[MANUFACTURED AND RURAL FUNDING REQUESTED]]*
IF(CH_MA_MFDRuralTotalRequested&lt;=(5000000-E$61-I$61-M$61),1,
(5000000-E$61-I$61-M$61)/CH_MA_MFDRuralTotalRequested)
)</f>
        <v/>
      </c>
      <c r="R56" s="6" t="str">
        <f>IFERROR(CHMATbl[[#This Row],[TOTAL $ REQUESTED4]]/SUM(CHMATbl[TOTAL $ REQUESTED4]),"")</f>
        <v/>
      </c>
      <c r="S56" s="38" t="s">
        <v>513</v>
      </c>
      <c r="T56" s="736"/>
      <c r="U56" s="699"/>
      <c r="V56" s="699"/>
      <c r="W56" s="737"/>
      <c r="X56" s="116"/>
      <c r="Y56" s="703"/>
      <c r="Z56" s="703"/>
      <c r="AA56" s="703"/>
      <c r="AB56" s="703"/>
      <c r="AC56" s="98">
        <f t="shared" si="0"/>
        <v>0</v>
      </c>
      <c r="AD56" s="6">
        <f>IF(CHMATbl[[#This Row],[UNRESTRICTED FUNDING REQUESTED]]=0,0,CHMATbl[[#This Row],[UNRESTRICTED FUNDING REQUESTED]]/CH_MA_UnrestrictedTotalRequested)</f>
        <v>0</v>
      </c>
      <c r="AE56" s="667">
        <f xml:space="preserve">
IF(CHMATbl[[#This Row],[NEW CONSTRUCTION OR AQUIRE/REHAB]]&lt;&gt;"",
3+IF(CHMATbl[[#This Row],[INFILL SITE]]="Yes",2,0),0)
*CHMATbl[[#This Row],[% OF TOTAL UNRESTRICTED FUNDING]]</f>
        <v>0</v>
      </c>
      <c r="AF56" s="665">
        <f>IF(CHMATbl[[#This Row],[ALL UNITS IN A HIGH OR HIGHEST RESOURCE AREA]]="Yes",10*CHMATbl[[#This Row],[% OF TOTAL UNRESTRICTED FUNDING]],0)</f>
        <v>0</v>
      </c>
      <c r="AG56" s="665" cm="1">
        <f t="array" ref="AG56">INDEX(CountyScoresTbl[Community Need Total Points],ROW(CHMATbl[[#This Row],[COUNTY]])-2,1)*CHMATbl[[#This Row],[% OF TOTAL UNRESTRICTED FUNDING]]</f>
        <v>0</v>
      </c>
      <c r="AH56" s="666" cm="1">
        <f t="array" ref="AH56"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6" s="116"/>
      <c r="AJ56" s="703"/>
      <c r="AK56" s="703"/>
      <c r="AL56" s="703"/>
      <c r="AM56" s="703"/>
      <c r="AN56" s="74">
        <f t="shared" si="1"/>
        <v>0</v>
      </c>
      <c r="AO56" s="6">
        <f>IF(CHMATbl[[#This Row],[MANUFACTURED FUNDING REQUESTED]]=0,0,CHMATbl[[#This Row],[MANUFACTURED FUNDING REQUESTED]]/CH_MA_ManufacturedTotalRequested)</f>
        <v>0</v>
      </c>
      <c r="AP56" s="671">
        <f>IF(
CHMATbl[[#This Row],[NEW CONSTRUCTION OR AQUIRE/REHAB]]&lt;&gt;"",
3+IF(CHMATbl[[#This Row],[INFILL SITE]]="Yes",2,0),0)
*CHMATbl[[#This Row],[% OF TOTAL MANUFACTURED FUNDING]]</f>
        <v>0</v>
      </c>
      <c r="AQ56" s="7">
        <f>IF(CHMATbl[[#This Row],[ALL UNITS IN A HIGH OR HIGHEST RESOURCE AREA]]="Yes",10*CHMATbl[[#This Row],[% OF TOTAL MANUFACTURED FUNDING]],0)</f>
        <v>0</v>
      </c>
      <c r="AR56" s="7" cm="1">
        <f t="array" ref="AR56">INDEX(CountyScoresTbl[Community Need Total Points],ROW(CHMATbl[[#This Row],[COUNTY]])-2,1)*CHMATbl[[#This Row],[% OF TOTAL MANUFACTURED FUNDING]]</f>
        <v>0</v>
      </c>
      <c r="AS56" s="8" cm="1">
        <f t="array" ref="AS5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6" s="705"/>
      <c r="AU56" s="703"/>
      <c r="AV56" s="703"/>
      <c r="AW56" s="703"/>
      <c r="AX56" s="703"/>
      <c r="AY56" s="74">
        <f t="shared" si="2"/>
        <v>0</v>
      </c>
      <c r="AZ56" s="6">
        <f>IF(CHMATbl[[#This Row],[RURAL FUNDING REQUESTED]]=0,0,CHMATbl[[#This Row],[RURAL FUNDING REQUESTED]]/CH_MA_RuralTotalRequested)</f>
        <v>0</v>
      </c>
      <c r="BA56" s="667">
        <f>IF(
CHMATbl[[#This Row],[NEW CONSTRUCTION OR AQUIRE/REHAB]]&lt;&gt;"",
3+IF(CHMATbl[[#This Row],[INFILL SITE]]="Yes",2,0),0)
*CHMATbl[[#This Row],[% OF TOTAL RURAL FUNDING]]</f>
        <v>0</v>
      </c>
      <c r="BB56" s="665">
        <f>IF(
CHMATbl[[#This Row],[ALL UNITS IN A HIGH OR HIGHEST RESOURCE AREA]]="Yes",
10*CHMATbl[[#This Row],[% OF TOTAL RURAL FUNDING]],
0)</f>
        <v>0</v>
      </c>
      <c r="BC56" s="665" cm="1">
        <f t="array" ref="BC56">INDEX(
CountyScoresTbl[Community Need Total Points],
ROW(CHMATbl[[#This Row],[COUNTY]])-2,1)*CHMATbl[[#This Row],[% OF TOTAL RURAL FUNDING]]</f>
        <v>0</v>
      </c>
      <c r="BD56" s="666" cm="1">
        <f t="array" ref="BD56"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6" s="116"/>
      <c r="BF56" s="703"/>
      <c r="BG56" s="703"/>
      <c r="BH56" s="703"/>
      <c r="BI56" s="703"/>
      <c r="BJ56" s="74">
        <f t="shared" si="3"/>
        <v>0</v>
      </c>
      <c r="BK56" s="6">
        <f>IF(CHMATbl[[#This Row],[MANUFACTURED AND RURAL FUNDING REQUESTED]]=0,0,CHMATbl[[#This Row],[MANUFACTURED AND RURAL FUNDING REQUESTED]]/CH_MA_MFDRuralTotalRequested)</f>
        <v>0</v>
      </c>
      <c r="BL56" s="667">
        <f xml:space="preserve">
IF(CHMATbl[[#This Row],[NEW CONSTRUCTION OR AQUIRE/REHAB]]&lt;&gt;"",
3+IF(CHMATbl[[#This Row],[INFILL SITE]]="Yes",2,0),0)
*CHMATbl[[#This Row],[% OF TOTAL MANUFACTURED AND RURAL FUNDING]]</f>
        <v>0</v>
      </c>
      <c r="BM56" s="665">
        <f>IF(
CHMATbl[[#This Row],[ALL UNITS IN A HIGH OR HIGHEST RESOURCE AREA]]="Yes",
10*CHMATbl[[#This Row],[% OF TOTAL MANUFACTURED AND RURAL FUNDING]],
0)</f>
        <v>0</v>
      </c>
      <c r="BN56" s="665" cm="1">
        <f t="array" ref="BN56">INDEX(
CountyScoresTbl[Community Need Total Points],
ROW(CHMATbl[[#This Row],[COUNTY]])-2,1)*CHMATbl[[#This Row],[% OF TOTAL MANUFACTURED AND RURAL FUNDING]]</f>
        <v>0</v>
      </c>
      <c r="BO56" s="694" cm="1">
        <f t="array" ref="BO56"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6" s="732"/>
      <c r="BQ56" s="564"/>
      <c r="BR56" s="678"/>
    </row>
    <row r="57" spans="1:70" s="662" customFormat="1" x14ac:dyDescent="0.35">
      <c r="A57" s="674" t="s">
        <v>504</v>
      </c>
      <c r="B57" s="5" t="s">
        <v>169</v>
      </c>
      <c r="C57" s="38" t="s">
        <v>513</v>
      </c>
      <c r="D57" s="113" t="str">
        <f>IF(SUM(CHMATbl[[#This Row],[UNRESTRICTED UNITS]])=0,"",CHMATbl[[#This Row],[UNRESTRICTED UNITS]])</f>
        <v/>
      </c>
      <c r="E57" s="74" t="str">
        <f xml:space="preserve">
IF(CHMATbl[[#This Row],[UNRESTRICTED FUNDING REQUESTED]]=0,"",
CHMATbl[[#This Row],[UNRESTRICTED FUNDING REQUESTED]]*
IF(CH_MA_UnrestrictedTotalRequested&lt;=5000000,1,
5000000/CH_MA_UnrestrictedTotalRequested)
)</f>
        <v/>
      </c>
      <c r="F57" s="6" t="str">
        <f>IFERROR(CHMATbl[[#This Row],[TOTAL $ REQUESTED]]/SUM(CHMATbl[TOTAL $ REQUESTED]),"")</f>
        <v/>
      </c>
      <c r="G57" s="38" t="s">
        <v>513</v>
      </c>
      <c r="H57" s="113" t="str">
        <f>IF(SUM(CHMATbl[[#This Row],[MANUFACTURED UNITS]])=0,"",CHMATbl[[#This Row],[MANUFACTURED UNITS]])</f>
        <v/>
      </c>
      <c r="I57" s="74" t="str">
        <f xml:space="preserve">
IF(CHMATbl[[#This Row],[MANUFACTURED FUNDING REQUESTED]]=0,"",
CHMATbl[[#This Row],[MANUFACTURED FUNDING REQUESTED]]*
IF(CH_MA_ManufacturedTotalRequested&lt;=(5000000-E$61),1,
(5000000-E$61)/CH_MA_ManufacturedTotalRequested)
)</f>
        <v/>
      </c>
      <c r="J57" s="6" t="str">
        <f>IFERROR(CHMATbl[[#This Row],[TOTAL $ REQUESTED2]]/SUM(CHMATbl[TOTAL $ REQUESTED2]),"")</f>
        <v/>
      </c>
      <c r="K57" s="38" t="s">
        <v>513</v>
      </c>
      <c r="L57" s="113" t="str">
        <f>IF(SUM(CHMATbl[[#This Row],[RURAL UNITS]])=0,"",CHMATbl[[#This Row],[RURAL UNITS]])</f>
        <v/>
      </c>
      <c r="M57" s="74" t="str">
        <f xml:space="preserve">
IF(CHMATbl[[#This Row],[RURAL FUNDING REQUESTED]]=0,"",
CHMATbl[[#This Row],[RURAL FUNDING REQUESTED]]*
IF(CH_MA_RuralTotalRequested&lt;=(5000000-E$61-I$61),1,
(5000000-E$61-I$61)/CH_MA_RuralTotalRequested)
)</f>
        <v/>
      </c>
      <c r="N57" s="6" t="str">
        <f>IFERROR(CHMATbl[[#This Row],[TOTAL $ REQUESTED3]]/SUM(CHMATbl[TOTAL $ REQUESTED3]),"")</f>
        <v/>
      </c>
      <c r="O57" s="38" t="s">
        <v>513</v>
      </c>
      <c r="P57" s="113" t="str">
        <f>IF(SUM(CHMATbl[[#This Row],[MANUFACTURED AND RURAL UNITS]])=0,"",CHMATbl[[#This Row],[MANUFACTURED AND RURAL UNITS]])</f>
        <v/>
      </c>
      <c r="Q57" s="74" t="str">
        <f xml:space="preserve">
IF(CHMATbl[[#This Row],[MANUFACTURED AND RURAL FUNDING REQUESTED]]=0,"",
CHMATbl[[#This Row],[MANUFACTURED AND RURAL FUNDING REQUESTED]]*
IF(CH_MA_MFDRuralTotalRequested&lt;=(5000000-E$61-I$61-M$61),1,
(5000000-E$61-I$61-M$61)/CH_MA_MFDRuralTotalRequested)
)</f>
        <v/>
      </c>
      <c r="R57" s="6" t="str">
        <f>IFERROR(CHMATbl[[#This Row],[TOTAL $ REQUESTED4]]/SUM(CHMATbl[TOTAL $ REQUESTED4]),"")</f>
        <v/>
      </c>
      <c r="S57" s="675" t="s">
        <v>504</v>
      </c>
      <c r="T57" s="800" t="s">
        <v>504</v>
      </c>
      <c r="U57" s="801"/>
      <c r="V57" s="801" t="s">
        <v>504</v>
      </c>
      <c r="W57" s="803" t="s">
        <v>504</v>
      </c>
      <c r="X57" s="702"/>
      <c r="Y57" s="703"/>
      <c r="Z57" s="703"/>
      <c r="AA57" s="703"/>
      <c r="AB57" s="703"/>
      <c r="AC57" s="98">
        <f t="shared" si="0"/>
        <v>0</v>
      </c>
      <c r="AD57" s="6">
        <f>IF(CHMATbl[[#This Row],[UNRESTRICTED FUNDING REQUESTED]]=0,0,CHMATbl[[#This Row],[UNRESTRICTED FUNDING REQUESTED]]/CH_MA_UnrestrictedTotalRequested)</f>
        <v>0</v>
      </c>
      <c r="AE57" s="667">
        <f xml:space="preserve">
IF(CHMATbl[[#This Row],[NEW CONSTRUCTION OR AQUIRE/REHAB]]&lt;&gt;"",
3+IF(CHMATbl[[#This Row],[INFILL SITE]]="Yes",2,0),0)
*CHMATbl[[#This Row],[% OF TOTAL UNRESTRICTED FUNDING]]</f>
        <v>0</v>
      </c>
      <c r="AF57" s="665">
        <f>IF(CHMATbl[[#This Row],[ALL UNITS IN A HIGH OR HIGHEST RESOURCE AREA]]="Yes",10*CHMATbl[[#This Row],[% OF TOTAL UNRESTRICTED FUNDING]],0)</f>
        <v>0</v>
      </c>
      <c r="AG57" s="665" cm="1">
        <f t="array" ref="AG57">INDEX(CountyScoresTbl[Community Need Total Points],ROW(CHMATbl[[#This Row],[COUNTY]])-2,1)*CHMATbl[[#This Row],[% OF TOTAL UNRESTRICTED FUNDING]]</f>
        <v>0</v>
      </c>
      <c r="AH57" s="666" cm="1">
        <f t="array" ref="AH57"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7" s="702"/>
      <c r="AJ57" s="703"/>
      <c r="AK57" s="703"/>
      <c r="AL57" s="703"/>
      <c r="AM57" s="703"/>
      <c r="AN57" s="74">
        <f t="shared" si="1"/>
        <v>0</v>
      </c>
      <c r="AO57" s="6">
        <f>IF(CHMATbl[[#This Row],[MANUFACTURED FUNDING REQUESTED]]=0,0,CHMATbl[[#This Row],[MANUFACTURED FUNDING REQUESTED]]/CH_MA_ManufacturedTotalRequested)</f>
        <v>0</v>
      </c>
      <c r="AP57" s="671">
        <f>IF(
CHMATbl[[#This Row],[NEW CONSTRUCTION OR AQUIRE/REHAB]]&lt;&gt;"",
3+IF(CHMATbl[[#This Row],[INFILL SITE]]="Yes",2,0),0)
*CHMATbl[[#This Row],[% OF TOTAL MANUFACTURED FUNDING]]</f>
        <v>0</v>
      </c>
      <c r="AQ57" s="7">
        <f>IF(CHMATbl[[#This Row],[ALL UNITS IN A HIGH OR HIGHEST RESOURCE AREA]]="Yes",10*CHMATbl[[#This Row],[% OF TOTAL MANUFACTURED FUNDING]],0)</f>
        <v>0</v>
      </c>
      <c r="AR57" s="7" cm="1">
        <f t="array" ref="AR57">INDEX(CountyScoresTbl[Community Need Total Points],ROW(CHMATbl[[#This Row],[COUNTY]])-2,1)*CHMATbl[[#This Row],[% OF TOTAL MANUFACTURED FUNDING]]</f>
        <v>0</v>
      </c>
      <c r="AS57" s="8" cm="1">
        <f t="array" ref="AS5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7" s="802"/>
      <c r="AU57" s="703"/>
      <c r="AV57" s="703"/>
      <c r="AW57" s="703"/>
      <c r="AX57" s="703"/>
      <c r="AY57" s="74">
        <f t="shared" si="2"/>
        <v>0</v>
      </c>
      <c r="AZ57" s="6">
        <f>IF(CHMATbl[[#This Row],[RURAL FUNDING REQUESTED]]=0,0,CHMATbl[[#This Row],[RURAL FUNDING REQUESTED]]/CH_MA_RuralTotalRequested)</f>
        <v>0</v>
      </c>
      <c r="BA57" s="667">
        <f>IF(
CHMATbl[[#This Row],[NEW CONSTRUCTION OR AQUIRE/REHAB]]&lt;&gt;"",
3+IF(CHMATbl[[#This Row],[INFILL SITE]]="Yes",2,0),0)
*CHMATbl[[#This Row],[% OF TOTAL RURAL FUNDING]]</f>
        <v>0</v>
      </c>
      <c r="BB57" s="665">
        <f>IF(
CHMATbl[[#This Row],[ALL UNITS IN A HIGH OR HIGHEST RESOURCE AREA]]="Yes",
10*CHMATbl[[#This Row],[% OF TOTAL RURAL FUNDING]],
0)</f>
        <v>0</v>
      </c>
      <c r="BC57" s="665" cm="1">
        <f t="array" ref="BC57">INDEX(
CountyScoresTbl[Community Need Total Points],
ROW(CHMATbl[[#This Row],[COUNTY]])-2,1)*CHMATbl[[#This Row],[% OF TOTAL RURAL FUNDING]]</f>
        <v>0</v>
      </c>
      <c r="BD57" s="666" cm="1">
        <f t="array" ref="BD57"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7" s="702"/>
      <c r="BF57" s="703"/>
      <c r="BG57" s="703"/>
      <c r="BH57" s="703"/>
      <c r="BI57" s="703"/>
      <c r="BJ57" s="74">
        <f t="shared" si="3"/>
        <v>0</v>
      </c>
      <c r="BK57" s="6">
        <f>IF(CHMATbl[[#This Row],[MANUFACTURED AND RURAL FUNDING REQUESTED]]=0,0,CHMATbl[[#This Row],[MANUFACTURED AND RURAL FUNDING REQUESTED]]/CH_MA_MFDRuralTotalRequested)</f>
        <v>0</v>
      </c>
      <c r="BL57" s="667">
        <f xml:space="preserve">
IF(CHMATbl[[#This Row],[NEW CONSTRUCTION OR AQUIRE/REHAB]]&lt;&gt;"",
3+IF(CHMATbl[[#This Row],[INFILL SITE]]="Yes",2,0),0)
*CHMATbl[[#This Row],[% OF TOTAL MANUFACTURED AND RURAL FUNDING]]</f>
        <v>0</v>
      </c>
      <c r="BM57" s="665">
        <f>IF(
CHMATbl[[#This Row],[ALL UNITS IN A HIGH OR HIGHEST RESOURCE AREA]]="Yes",
10*CHMATbl[[#This Row],[% OF TOTAL MANUFACTURED AND RURAL FUNDING]],
0)</f>
        <v>0</v>
      </c>
      <c r="BN57" s="665" cm="1">
        <f t="array" ref="BN57">INDEX(
CountyScoresTbl[Community Need Total Points],
ROW(CHMATbl[[#This Row],[COUNTY]])-2,1)*CHMATbl[[#This Row],[% OF TOTAL MANUFACTURED AND RURAL FUNDING]]</f>
        <v>0</v>
      </c>
      <c r="BO57" s="694" cm="1">
        <f t="array" ref="BO57"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7" s="731" t="s">
        <v>504</v>
      </c>
      <c r="BQ57" s="676" t="s">
        <v>504</v>
      </c>
      <c r="BR57" s="677" t="s">
        <v>504</v>
      </c>
    </row>
    <row r="58" spans="1:70" s="662" customFormat="1" x14ac:dyDescent="0.35">
      <c r="A58" s="679"/>
      <c r="B58" s="5" t="s">
        <v>170</v>
      </c>
      <c r="C58" s="38" t="s">
        <v>513</v>
      </c>
      <c r="D58" s="113" t="str">
        <f>IF(SUM(CHMATbl[[#This Row],[UNRESTRICTED UNITS]])=0,"",CHMATbl[[#This Row],[UNRESTRICTED UNITS]])</f>
        <v/>
      </c>
      <c r="E58" s="74" t="str">
        <f xml:space="preserve">
IF(CHMATbl[[#This Row],[UNRESTRICTED FUNDING REQUESTED]]=0,"",
CHMATbl[[#This Row],[UNRESTRICTED FUNDING REQUESTED]]*
IF(CH_MA_UnrestrictedTotalRequested&lt;=5000000,1,
5000000/CH_MA_UnrestrictedTotalRequested)
)</f>
        <v/>
      </c>
      <c r="F58" s="6" t="str">
        <f>IFERROR(CHMATbl[[#This Row],[TOTAL $ REQUESTED]]/SUM(CHMATbl[TOTAL $ REQUESTED]),"")</f>
        <v/>
      </c>
      <c r="G58" s="38" t="s">
        <v>513</v>
      </c>
      <c r="H58" s="113" t="str">
        <f>IF(SUM(CHMATbl[[#This Row],[MANUFACTURED UNITS]])=0,"",CHMATbl[[#This Row],[MANUFACTURED UNITS]])</f>
        <v/>
      </c>
      <c r="I58" s="74" t="str">
        <f xml:space="preserve">
IF(CHMATbl[[#This Row],[MANUFACTURED FUNDING REQUESTED]]=0,"",
CHMATbl[[#This Row],[MANUFACTURED FUNDING REQUESTED]]*
IF(CH_MA_ManufacturedTotalRequested&lt;=(5000000-E$61),1,
(5000000-E$61)/CH_MA_ManufacturedTotalRequested)
)</f>
        <v/>
      </c>
      <c r="J58" s="6" t="str">
        <f>IFERROR(CHMATbl[[#This Row],[TOTAL $ REQUESTED2]]/SUM(CHMATbl[TOTAL $ REQUESTED2]),"")</f>
        <v/>
      </c>
      <c r="K58" s="38" t="s">
        <v>513</v>
      </c>
      <c r="L58" s="113" t="str">
        <f>IF(SUM(CHMATbl[[#This Row],[RURAL UNITS]])=0,"",CHMATbl[[#This Row],[RURAL UNITS]])</f>
        <v/>
      </c>
      <c r="M58" s="74" t="str">
        <f xml:space="preserve">
IF(CHMATbl[[#This Row],[RURAL FUNDING REQUESTED]]=0,"",
CHMATbl[[#This Row],[RURAL FUNDING REQUESTED]]*
IF(CH_MA_RuralTotalRequested&lt;=(5000000-E$61-I$61),1,
(5000000-E$61-I$61)/CH_MA_RuralTotalRequested)
)</f>
        <v/>
      </c>
      <c r="N58" s="6" t="str">
        <f>IFERROR(CHMATbl[[#This Row],[TOTAL $ REQUESTED3]]/SUM(CHMATbl[TOTAL $ REQUESTED3]),"")</f>
        <v/>
      </c>
      <c r="O58" s="38" t="s">
        <v>513</v>
      </c>
      <c r="P58" s="113" t="str">
        <f>IF(SUM(CHMATbl[[#This Row],[MANUFACTURED AND RURAL UNITS]])=0,"",CHMATbl[[#This Row],[MANUFACTURED AND RURAL UNITS]])</f>
        <v/>
      </c>
      <c r="Q58" s="74" t="str">
        <f xml:space="preserve">
IF(CHMATbl[[#This Row],[MANUFACTURED AND RURAL FUNDING REQUESTED]]=0,"",
CHMATbl[[#This Row],[MANUFACTURED AND RURAL FUNDING REQUESTED]]*
IF(CH_MA_MFDRuralTotalRequested&lt;=(5000000-E$61-I$61-M$61),1,
(5000000-E$61-I$61-M$61)/CH_MA_MFDRuralTotalRequested)
)</f>
        <v/>
      </c>
      <c r="R58" s="6" t="str">
        <f>IFERROR(CHMATbl[[#This Row],[TOTAL $ REQUESTED4]]/SUM(CHMATbl[TOTAL $ REQUESTED4]),"")</f>
        <v/>
      </c>
      <c r="S58" s="38" t="s">
        <v>513</v>
      </c>
      <c r="T58" s="736"/>
      <c r="U58" s="699"/>
      <c r="V58" s="699"/>
      <c r="W58" s="737"/>
      <c r="X58" s="116"/>
      <c r="Y58" s="703"/>
      <c r="Z58" s="703"/>
      <c r="AA58" s="703"/>
      <c r="AB58" s="703"/>
      <c r="AC58" s="98">
        <f t="shared" si="0"/>
        <v>0</v>
      </c>
      <c r="AD58" s="6">
        <f>IF(CHMATbl[[#This Row],[UNRESTRICTED FUNDING REQUESTED]]=0,0,CHMATbl[[#This Row],[UNRESTRICTED FUNDING REQUESTED]]/CH_MA_UnrestrictedTotalRequested)</f>
        <v>0</v>
      </c>
      <c r="AE58" s="667">
        <f xml:space="preserve">
IF(CHMATbl[[#This Row],[NEW CONSTRUCTION OR AQUIRE/REHAB]]&lt;&gt;"",
3+IF(CHMATbl[[#This Row],[INFILL SITE]]="Yes",2,0),0)
*CHMATbl[[#This Row],[% OF TOTAL UNRESTRICTED FUNDING]]</f>
        <v>0</v>
      </c>
      <c r="AF58" s="665">
        <f>IF(CHMATbl[[#This Row],[ALL UNITS IN A HIGH OR HIGHEST RESOURCE AREA]]="Yes",10*CHMATbl[[#This Row],[% OF TOTAL UNRESTRICTED FUNDING]],0)</f>
        <v>0</v>
      </c>
      <c r="AG58" s="665" cm="1">
        <f t="array" ref="AG58">INDEX(CountyScoresTbl[Community Need Total Points],ROW(CHMATbl[[#This Row],[COUNTY]])-2,1)*CHMATbl[[#This Row],[% OF TOTAL UNRESTRICTED FUNDING]]</f>
        <v>0</v>
      </c>
      <c r="AH58" s="666" cm="1">
        <f t="array" ref="AH58"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8" s="116"/>
      <c r="AJ58" s="703"/>
      <c r="AK58" s="703"/>
      <c r="AL58" s="703"/>
      <c r="AM58" s="703"/>
      <c r="AN58" s="74">
        <f t="shared" si="1"/>
        <v>0</v>
      </c>
      <c r="AO58" s="6">
        <f>IF(CHMATbl[[#This Row],[MANUFACTURED FUNDING REQUESTED]]=0,0,CHMATbl[[#This Row],[MANUFACTURED FUNDING REQUESTED]]/CH_MA_ManufacturedTotalRequested)</f>
        <v>0</v>
      </c>
      <c r="AP58" s="671">
        <f>IF(
CHMATbl[[#This Row],[NEW CONSTRUCTION OR AQUIRE/REHAB]]&lt;&gt;"",
3+IF(CHMATbl[[#This Row],[INFILL SITE]]="Yes",2,0),0)
*CHMATbl[[#This Row],[% OF TOTAL MANUFACTURED FUNDING]]</f>
        <v>0</v>
      </c>
      <c r="AQ58" s="7">
        <f>IF(CHMATbl[[#This Row],[ALL UNITS IN A HIGH OR HIGHEST RESOURCE AREA]]="Yes",10*CHMATbl[[#This Row],[% OF TOTAL MANUFACTURED FUNDING]],0)</f>
        <v>0</v>
      </c>
      <c r="AR58" s="7" cm="1">
        <f t="array" ref="AR58">INDEX(CountyScoresTbl[Community Need Total Points],ROW(CHMATbl[[#This Row],[COUNTY]])-2,1)*CHMATbl[[#This Row],[% OF TOTAL MANUFACTURED FUNDING]]</f>
        <v>0</v>
      </c>
      <c r="AS58" s="8" cm="1">
        <f t="array" ref="AS5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8" s="705"/>
      <c r="AU58" s="703"/>
      <c r="AV58" s="703"/>
      <c r="AW58" s="703"/>
      <c r="AX58" s="703"/>
      <c r="AY58" s="74">
        <f t="shared" si="2"/>
        <v>0</v>
      </c>
      <c r="AZ58" s="6">
        <f>IF(CHMATbl[[#This Row],[RURAL FUNDING REQUESTED]]=0,0,CHMATbl[[#This Row],[RURAL FUNDING REQUESTED]]/CH_MA_RuralTotalRequested)</f>
        <v>0</v>
      </c>
      <c r="BA58" s="667">
        <f>IF(
CHMATbl[[#This Row],[NEW CONSTRUCTION OR AQUIRE/REHAB]]&lt;&gt;"",
3+IF(CHMATbl[[#This Row],[INFILL SITE]]="Yes",2,0),0)
*CHMATbl[[#This Row],[% OF TOTAL RURAL FUNDING]]</f>
        <v>0</v>
      </c>
      <c r="BB58" s="665">
        <f>IF(
CHMATbl[[#This Row],[ALL UNITS IN A HIGH OR HIGHEST RESOURCE AREA]]="Yes",
10*CHMATbl[[#This Row],[% OF TOTAL RURAL FUNDING]],
0)</f>
        <v>0</v>
      </c>
      <c r="BC58" s="665" cm="1">
        <f t="array" ref="BC58">INDEX(
CountyScoresTbl[Community Need Total Points],
ROW(CHMATbl[[#This Row],[COUNTY]])-2,1)*CHMATbl[[#This Row],[% OF TOTAL RURAL FUNDING]]</f>
        <v>0</v>
      </c>
      <c r="BD58" s="666" cm="1">
        <f t="array" ref="BD58"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8" s="116"/>
      <c r="BF58" s="703"/>
      <c r="BG58" s="703"/>
      <c r="BH58" s="703"/>
      <c r="BI58" s="703"/>
      <c r="BJ58" s="74">
        <f t="shared" si="3"/>
        <v>0</v>
      </c>
      <c r="BK58" s="6">
        <f>IF(CHMATbl[[#This Row],[MANUFACTURED AND RURAL FUNDING REQUESTED]]=0,0,CHMATbl[[#This Row],[MANUFACTURED AND RURAL FUNDING REQUESTED]]/CH_MA_MFDRuralTotalRequested)</f>
        <v>0</v>
      </c>
      <c r="BL58" s="667">
        <f xml:space="preserve">
IF(CHMATbl[[#This Row],[NEW CONSTRUCTION OR AQUIRE/REHAB]]&lt;&gt;"",
3+IF(CHMATbl[[#This Row],[INFILL SITE]]="Yes",2,0),0)
*CHMATbl[[#This Row],[% OF TOTAL MANUFACTURED AND RURAL FUNDING]]</f>
        <v>0</v>
      </c>
      <c r="BM58" s="665">
        <f>IF(
CHMATbl[[#This Row],[ALL UNITS IN A HIGH OR HIGHEST RESOURCE AREA]]="Yes",
10*CHMATbl[[#This Row],[% OF TOTAL MANUFACTURED AND RURAL FUNDING]],
0)</f>
        <v>0</v>
      </c>
      <c r="BN58" s="665" cm="1">
        <f t="array" ref="BN58">INDEX(
CountyScoresTbl[Community Need Total Points],
ROW(CHMATbl[[#This Row],[COUNTY]])-2,1)*CHMATbl[[#This Row],[% OF TOTAL MANUFACTURED AND RURAL FUNDING]]</f>
        <v>0</v>
      </c>
      <c r="BO58" s="694" cm="1">
        <f t="array" ref="BO58"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8" s="732"/>
      <c r="BQ58" s="564"/>
      <c r="BR58" s="678"/>
    </row>
    <row r="59" spans="1:70" s="662" customFormat="1" x14ac:dyDescent="0.35">
      <c r="A59" s="679"/>
      <c r="B59" s="5" t="s">
        <v>171</v>
      </c>
      <c r="C59" s="38" t="s">
        <v>513</v>
      </c>
      <c r="D59" s="113" t="str">
        <f>IF(SUM(CHMATbl[[#This Row],[UNRESTRICTED UNITS]])=0,"",CHMATbl[[#This Row],[UNRESTRICTED UNITS]])</f>
        <v/>
      </c>
      <c r="E59" s="74" t="str">
        <f xml:space="preserve">
IF(CHMATbl[[#This Row],[UNRESTRICTED FUNDING REQUESTED]]=0,"",
CHMATbl[[#This Row],[UNRESTRICTED FUNDING REQUESTED]]*
IF(CH_MA_UnrestrictedTotalRequested&lt;=5000000,1,
5000000/CH_MA_UnrestrictedTotalRequested)
)</f>
        <v/>
      </c>
      <c r="F59" s="6" t="str">
        <f>IFERROR(CHMATbl[[#This Row],[TOTAL $ REQUESTED]]/SUM(CHMATbl[TOTAL $ REQUESTED]),"")</f>
        <v/>
      </c>
      <c r="G59" s="38" t="s">
        <v>513</v>
      </c>
      <c r="H59" s="113" t="str">
        <f>IF(SUM(CHMATbl[[#This Row],[MANUFACTURED UNITS]])=0,"",CHMATbl[[#This Row],[MANUFACTURED UNITS]])</f>
        <v/>
      </c>
      <c r="I59" s="74" t="str">
        <f xml:space="preserve">
IF(CHMATbl[[#This Row],[MANUFACTURED FUNDING REQUESTED]]=0,"",
CHMATbl[[#This Row],[MANUFACTURED FUNDING REQUESTED]]*
IF(CH_MA_ManufacturedTotalRequested&lt;=(5000000-E$61),1,
(5000000-E$61)/CH_MA_ManufacturedTotalRequested)
)</f>
        <v/>
      </c>
      <c r="J59" s="6" t="str">
        <f>IFERROR(CHMATbl[[#This Row],[TOTAL $ REQUESTED2]]/SUM(CHMATbl[TOTAL $ REQUESTED2]),"")</f>
        <v/>
      </c>
      <c r="K59" s="38" t="s">
        <v>513</v>
      </c>
      <c r="L59" s="113" t="str">
        <f>IF(SUM(CHMATbl[[#This Row],[RURAL UNITS]])=0,"",CHMATbl[[#This Row],[RURAL UNITS]])</f>
        <v/>
      </c>
      <c r="M59" s="74" t="str">
        <f xml:space="preserve">
IF(CHMATbl[[#This Row],[RURAL FUNDING REQUESTED]]=0,"",
CHMATbl[[#This Row],[RURAL FUNDING REQUESTED]]*
IF(CH_MA_RuralTotalRequested&lt;=(5000000-E$61-I$61),1,
(5000000-E$61-I$61)/CH_MA_RuralTotalRequested)
)</f>
        <v/>
      </c>
      <c r="N59" s="6" t="str">
        <f>IFERROR(CHMATbl[[#This Row],[TOTAL $ REQUESTED3]]/SUM(CHMATbl[TOTAL $ REQUESTED3]),"")</f>
        <v/>
      </c>
      <c r="O59" s="38" t="s">
        <v>513</v>
      </c>
      <c r="P59" s="113" t="str">
        <f>IF(SUM(CHMATbl[[#This Row],[MANUFACTURED AND RURAL UNITS]])=0,"",CHMATbl[[#This Row],[MANUFACTURED AND RURAL UNITS]])</f>
        <v/>
      </c>
      <c r="Q59" s="74" t="str">
        <f xml:space="preserve">
IF(CHMATbl[[#This Row],[MANUFACTURED AND RURAL FUNDING REQUESTED]]=0,"",
CHMATbl[[#This Row],[MANUFACTURED AND RURAL FUNDING REQUESTED]]*
IF(CH_MA_MFDRuralTotalRequested&lt;=(5000000-E$61-I$61-M$61),1,
(5000000-E$61-I$61-M$61)/CH_MA_MFDRuralTotalRequested)
)</f>
        <v/>
      </c>
      <c r="R59" s="6" t="str">
        <f>IFERROR(CHMATbl[[#This Row],[TOTAL $ REQUESTED4]]/SUM(CHMATbl[TOTAL $ REQUESTED4]),"")</f>
        <v/>
      </c>
      <c r="S59" s="38" t="s">
        <v>513</v>
      </c>
      <c r="T59" s="736"/>
      <c r="U59" s="699"/>
      <c r="V59" s="699"/>
      <c r="W59" s="737"/>
      <c r="X59" s="116"/>
      <c r="Y59" s="703"/>
      <c r="Z59" s="703"/>
      <c r="AA59" s="703"/>
      <c r="AB59" s="703"/>
      <c r="AC59" s="98">
        <f t="shared" si="0"/>
        <v>0</v>
      </c>
      <c r="AD59" s="6">
        <f>IF(CHMATbl[[#This Row],[UNRESTRICTED FUNDING REQUESTED]]=0,0,CHMATbl[[#This Row],[UNRESTRICTED FUNDING REQUESTED]]/CH_MA_UnrestrictedTotalRequested)</f>
        <v>0</v>
      </c>
      <c r="AE59" s="667">
        <f xml:space="preserve">
IF(CHMATbl[[#This Row],[NEW CONSTRUCTION OR AQUIRE/REHAB]]&lt;&gt;"",
3+IF(CHMATbl[[#This Row],[INFILL SITE]]="Yes",2,0),0)
*CHMATbl[[#This Row],[% OF TOTAL UNRESTRICTED FUNDING]]</f>
        <v>0</v>
      </c>
      <c r="AF59" s="665">
        <f>IF(CHMATbl[[#This Row],[ALL UNITS IN A HIGH OR HIGHEST RESOURCE AREA]]="Yes",10*CHMATbl[[#This Row],[% OF TOTAL UNRESTRICTED FUNDING]],0)</f>
        <v>0</v>
      </c>
      <c r="AG59" s="665" cm="1">
        <f t="array" ref="AG59">INDEX(CountyScoresTbl[Community Need Total Points],ROW(CHMATbl[[#This Row],[COUNTY]])-2,1)*CHMATbl[[#This Row],[% OF TOTAL UNRESTRICTED FUNDING]]</f>
        <v>0</v>
      </c>
      <c r="AH59" s="666" cm="1">
        <f t="array" ref="AH59"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59" s="116"/>
      <c r="AJ59" s="703"/>
      <c r="AK59" s="703"/>
      <c r="AL59" s="703"/>
      <c r="AM59" s="703"/>
      <c r="AN59" s="74">
        <f t="shared" si="1"/>
        <v>0</v>
      </c>
      <c r="AO59" s="6">
        <f>IF(CHMATbl[[#This Row],[MANUFACTURED FUNDING REQUESTED]]=0,0,CHMATbl[[#This Row],[MANUFACTURED FUNDING REQUESTED]]/CH_MA_ManufacturedTotalRequested)</f>
        <v>0</v>
      </c>
      <c r="AP59" s="671">
        <f>IF(
CHMATbl[[#This Row],[NEW CONSTRUCTION OR AQUIRE/REHAB]]&lt;&gt;"",
3+IF(CHMATbl[[#This Row],[INFILL SITE]]="Yes",2,0),0)
*CHMATbl[[#This Row],[% OF TOTAL MANUFACTURED FUNDING]]</f>
        <v>0</v>
      </c>
      <c r="AQ59" s="7">
        <f>IF(CHMATbl[[#This Row],[ALL UNITS IN A HIGH OR HIGHEST RESOURCE AREA]]="Yes",10*CHMATbl[[#This Row],[% OF TOTAL MANUFACTURED FUNDING]],0)</f>
        <v>0</v>
      </c>
      <c r="AR59" s="7" cm="1">
        <f t="array" ref="AR59">INDEX(CountyScoresTbl[Community Need Total Points],ROW(CHMATbl[[#This Row],[COUNTY]])-2,1)*CHMATbl[[#This Row],[% OF TOTAL MANUFACTURED FUNDING]]</f>
        <v>0</v>
      </c>
      <c r="AS59" s="8" cm="1">
        <f t="array" ref="AS5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59" s="705"/>
      <c r="AU59" s="703"/>
      <c r="AV59" s="703"/>
      <c r="AW59" s="703"/>
      <c r="AX59" s="703"/>
      <c r="AY59" s="74">
        <f t="shared" si="2"/>
        <v>0</v>
      </c>
      <c r="AZ59" s="6">
        <f>IF(CHMATbl[[#This Row],[RURAL FUNDING REQUESTED]]=0,0,CHMATbl[[#This Row],[RURAL FUNDING REQUESTED]]/CH_MA_RuralTotalRequested)</f>
        <v>0</v>
      </c>
      <c r="BA59" s="667">
        <f>IF(
CHMATbl[[#This Row],[NEW CONSTRUCTION OR AQUIRE/REHAB]]&lt;&gt;"",
3+IF(CHMATbl[[#This Row],[INFILL SITE]]="Yes",2,0),0)
*CHMATbl[[#This Row],[% OF TOTAL RURAL FUNDING]]</f>
        <v>0</v>
      </c>
      <c r="BB59" s="665">
        <f>IF(
CHMATbl[[#This Row],[ALL UNITS IN A HIGH OR HIGHEST RESOURCE AREA]]="Yes",
10*CHMATbl[[#This Row],[% OF TOTAL RURAL FUNDING]],
0)</f>
        <v>0</v>
      </c>
      <c r="BC59" s="665" cm="1">
        <f t="array" ref="BC59">INDEX(
CountyScoresTbl[Community Need Total Points],
ROW(CHMATbl[[#This Row],[COUNTY]])-2,1)*CHMATbl[[#This Row],[% OF TOTAL RURAL FUNDING]]</f>
        <v>0</v>
      </c>
      <c r="BD59" s="666" cm="1">
        <f t="array" ref="BD59"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59" s="116"/>
      <c r="BF59" s="703"/>
      <c r="BG59" s="703"/>
      <c r="BH59" s="703"/>
      <c r="BI59" s="703"/>
      <c r="BJ59" s="74">
        <f t="shared" si="3"/>
        <v>0</v>
      </c>
      <c r="BK59" s="6">
        <f>IF(CHMATbl[[#This Row],[MANUFACTURED AND RURAL FUNDING REQUESTED]]=0,0,CHMATbl[[#This Row],[MANUFACTURED AND RURAL FUNDING REQUESTED]]/CH_MA_MFDRuralTotalRequested)</f>
        <v>0</v>
      </c>
      <c r="BL59" s="667">
        <f xml:space="preserve">
IF(CHMATbl[[#This Row],[NEW CONSTRUCTION OR AQUIRE/REHAB]]&lt;&gt;"",
3+IF(CHMATbl[[#This Row],[INFILL SITE]]="Yes",2,0),0)
*CHMATbl[[#This Row],[% OF TOTAL MANUFACTURED AND RURAL FUNDING]]</f>
        <v>0</v>
      </c>
      <c r="BM59" s="665">
        <f>IF(
CHMATbl[[#This Row],[ALL UNITS IN A HIGH OR HIGHEST RESOURCE AREA]]="Yes",
10*CHMATbl[[#This Row],[% OF TOTAL MANUFACTURED AND RURAL FUNDING]],
0)</f>
        <v>0</v>
      </c>
      <c r="BN59" s="665" cm="1">
        <f t="array" ref="BN59">INDEX(
CountyScoresTbl[Community Need Total Points],
ROW(CHMATbl[[#This Row],[COUNTY]])-2,1)*CHMATbl[[#This Row],[% OF TOTAL MANUFACTURED AND RURAL FUNDING]]</f>
        <v>0</v>
      </c>
      <c r="BO59" s="694" cm="1">
        <f t="array" ref="BO59"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59" s="732"/>
      <c r="BQ59" s="564"/>
      <c r="BR59" s="678"/>
    </row>
    <row r="60" spans="1:70" s="662" customFormat="1" ht="15" thickBot="1" x14ac:dyDescent="0.4">
      <c r="A60" s="706"/>
      <c r="B60" s="143" t="s">
        <v>172</v>
      </c>
      <c r="C60" s="707" t="s">
        <v>513</v>
      </c>
      <c r="D60" s="221" t="str">
        <f>IF(SUM(CHMATbl[[#This Row],[UNRESTRICTED UNITS]])=0,"",CHMATbl[[#This Row],[UNRESTRICTED UNITS]])</f>
        <v/>
      </c>
      <c r="E60" s="145" t="str">
        <f xml:space="preserve">
IF(CHMATbl[[#This Row],[UNRESTRICTED FUNDING REQUESTED]]=0,"",
CHMATbl[[#This Row],[UNRESTRICTED FUNDING REQUESTED]]*
IF(CH_MA_UnrestrictedTotalRequested&lt;=5000000,1,
5000000/CH_MA_UnrestrictedTotalRequested)
)</f>
        <v/>
      </c>
      <c r="F60" s="14" t="str">
        <f>IFERROR(CHMATbl[[#This Row],[TOTAL $ REQUESTED]]/SUM(CHMATbl[TOTAL $ REQUESTED]),"")</f>
        <v/>
      </c>
      <c r="G60" s="707" t="s">
        <v>513</v>
      </c>
      <c r="H60" s="221" t="str">
        <f>IF(SUM(CHMATbl[[#This Row],[MANUFACTURED UNITS]])=0,"",CHMATbl[[#This Row],[MANUFACTURED UNITS]])</f>
        <v/>
      </c>
      <c r="I60" s="145" t="str">
        <f xml:space="preserve">
IF(CHMATbl[[#This Row],[MANUFACTURED FUNDING REQUESTED]]=0,"",
CHMATbl[[#This Row],[MANUFACTURED FUNDING REQUESTED]]*
IF(CH_MA_ManufacturedTotalRequested&lt;=(5000000-E$61),1,
(5000000-E$61)/CH_MA_ManufacturedTotalRequested)
)</f>
        <v/>
      </c>
      <c r="J60" s="14" t="str">
        <f>IFERROR(CHMATbl[[#This Row],[TOTAL $ REQUESTED2]]/SUM(CHMATbl[TOTAL $ REQUESTED2]),"")</f>
        <v/>
      </c>
      <c r="K60" s="707" t="s">
        <v>513</v>
      </c>
      <c r="L60" s="221" t="str">
        <f>IF(SUM(CHMATbl[[#This Row],[RURAL UNITS]])=0,"",CHMATbl[[#This Row],[RURAL UNITS]])</f>
        <v/>
      </c>
      <c r="M60" s="145" t="str">
        <f xml:space="preserve">
IF(CHMATbl[[#This Row],[RURAL FUNDING REQUESTED]]=0,"",
CHMATbl[[#This Row],[RURAL FUNDING REQUESTED]]*
IF(CH_MA_RuralTotalRequested&lt;=(5000000-E$61-I$61),1,
(5000000-E$61-I$61)/CH_MA_RuralTotalRequested)
)</f>
        <v/>
      </c>
      <c r="N60" s="14" t="str">
        <f>IFERROR(CHMATbl[[#This Row],[TOTAL $ REQUESTED3]]/SUM(CHMATbl[TOTAL $ REQUESTED3]),"")</f>
        <v/>
      </c>
      <c r="O60" s="707" t="s">
        <v>513</v>
      </c>
      <c r="P60" s="221" t="str">
        <f>IF(SUM(CHMATbl[[#This Row],[MANUFACTURED AND RURAL UNITS]])=0,"",CHMATbl[[#This Row],[MANUFACTURED AND RURAL UNITS]])</f>
        <v/>
      </c>
      <c r="Q60" s="145" t="str">
        <f xml:space="preserve">
IF(CHMATbl[[#This Row],[MANUFACTURED AND RURAL FUNDING REQUESTED]]=0,"",
CHMATbl[[#This Row],[MANUFACTURED AND RURAL FUNDING REQUESTED]]*
IF(CH_MA_MFDRuralTotalRequested&lt;=(5000000-E$61-I$61-M$61),1,
(5000000-E$61-I$61-M$61)/CH_MA_MFDRuralTotalRequested)
)</f>
        <v/>
      </c>
      <c r="R60" s="14" t="str">
        <f>IFERROR(CHMATbl[[#This Row],[TOTAL $ REQUESTED4]]/SUM(CHMATbl[TOTAL $ REQUESTED4]),"")</f>
        <v/>
      </c>
      <c r="S60" s="708" t="s">
        <v>504</v>
      </c>
      <c r="T60" s="738"/>
      <c r="U60" s="739"/>
      <c r="V60" s="739"/>
      <c r="W60" s="740"/>
      <c r="X60" s="709"/>
      <c r="Y60" s="710"/>
      <c r="Z60" s="710"/>
      <c r="AA60" s="710"/>
      <c r="AB60" s="710"/>
      <c r="AC60" s="145">
        <f t="shared" si="0"/>
        <v>0</v>
      </c>
      <c r="AD60" s="14">
        <f>IF(CHMATbl[[#This Row],[UNRESTRICTED FUNDING REQUESTED]]=0,0,CHMATbl[[#This Row],[UNRESTRICTED FUNDING REQUESTED]]/CH_MA_UnrestrictedTotalRequested)</f>
        <v>0</v>
      </c>
      <c r="AE60" s="711">
        <f xml:space="preserve">
IF(CHMATbl[[#This Row],[NEW CONSTRUCTION OR AQUIRE/REHAB]]&lt;&gt;"",
3+IF(CHMATbl[[#This Row],[INFILL SITE]]="Yes",2,0),0)
*CHMATbl[[#This Row],[% OF TOTAL UNRESTRICTED FUNDING]]</f>
        <v>0</v>
      </c>
      <c r="AF60" s="712">
        <f>IF(CHMATbl[[#This Row],[ALL UNITS IN A HIGH OR HIGHEST RESOURCE AREA]]="Yes",10*CHMATbl[[#This Row],[% OF TOTAL UNRESTRICTED FUNDING]],0)</f>
        <v>0</v>
      </c>
      <c r="AG60" s="712" cm="1">
        <f t="array" ref="AG60">INDEX(CountyScoresTbl[Community Need Total Points],ROW(CHMATbl[[#This Row],[COUNTY]])-2,1)*CHMATbl[[#This Row],[% OF TOTAL UNRESTRICTED FUNDING]]</f>
        <v>0</v>
      </c>
      <c r="AH60" s="713" cm="1">
        <f t="array" ref="AH60" xml:space="preserve">
IF(
AND(
OR(
CHMATbl[[#This Row],[NEW CONSTRUCTION OR AQUIRE/REHAB]]="Newly Constructed Housing",
CHMATbl[[#This Row],[NEW CONSTRUCTION OR AQUIRE/REHAB]]="Acquired and Rehabilitated Housing"),
CHMATbl[[#This Row],[FundingSource]]="Yes",CHMATbl[[#This Row],[FirstTimeBuyers]]="Yes"),
20*CHMATbl[[#This Row],[% OF TOTAL UNRESTRICTED FUNDING]],
INDEX(CountyScoresTbl[CalHome Feasibility Points Awarded],ROW(CHMATbl[[#This Row],[COUNTY]])-2,1)*CHMATbl[[#This Row],[% OF TOTAL UNRESTRICTED FUNDING]])</f>
        <v>0</v>
      </c>
      <c r="AI60" s="709"/>
      <c r="AJ60" s="710"/>
      <c r="AK60" s="710"/>
      <c r="AL60" s="710"/>
      <c r="AM60" s="710"/>
      <c r="AN60" s="145">
        <f t="shared" si="1"/>
        <v>0</v>
      </c>
      <c r="AO60" s="14">
        <f>IF(CHMATbl[[#This Row],[MANUFACTURED FUNDING REQUESTED]]=0,0,CHMATbl[[#This Row],[MANUFACTURED FUNDING REQUESTED]]/CH_MA_ManufacturedTotalRequested)</f>
        <v>0</v>
      </c>
      <c r="AP60" s="714">
        <f>IF(
CHMATbl[[#This Row],[NEW CONSTRUCTION OR AQUIRE/REHAB]]&lt;&gt;"",
3+IF(CHMATbl[[#This Row],[INFILL SITE]]="Yes",2,0),0)
*CHMATbl[[#This Row],[% OF TOTAL MANUFACTURED FUNDING]]</f>
        <v>0</v>
      </c>
      <c r="AQ60" s="15">
        <f>IF(CHMATbl[[#This Row],[ALL UNITS IN A HIGH OR HIGHEST RESOURCE AREA]]="Yes",10*CHMATbl[[#This Row],[% OF TOTAL MANUFACTURED FUNDING]],0)</f>
        <v>0</v>
      </c>
      <c r="AR60" s="15" cm="1">
        <f t="array" ref="AR60">INDEX(CountyScoresTbl[Community Need Total Points],ROW(CHMATbl[[#This Row],[COUNTY]])-2,1)*CHMATbl[[#This Row],[% OF TOTAL MANUFACTURED FUNDING]]</f>
        <v>0</v>
      </c>
      <c r="AS60" s="13" cm="1">
        <f t="array" ref="AS6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FUNDING]],
INDEX(CountyScoresTbl[CalHome Feasibility Points Awarded],ROW(CHMATbl[[#This Row],[COUNTY]])-2,1)*CHMATbl[[#This Row],[% OF TOTAL MANUFACTURED FUNDING]])</f>
        <v>0</v>
      </c>
      <c r="AT60" s="715"/>
      <c r="AU60" s="710"/>
      <c r="AV60" s="710"/>
      <c r="AW60" s="710"/>
      <c r="AX60" s="710"/>
      <c r="AY60" s="145">
        <f t="shared" si="2"/>
        <v>0</v>
      </c>
      <c r="AZ60" s="14">
        <f>IF(CHMATbl[[#This Row],[RURAL FUNDING REQUESTED]]=0,0,CHMATbl[[#This Row],[RURAL FUNDING REQUESTED]]/CH_MA_RuralTotalRequested)</f>
        <v>0</v>
      </c>
      <c r="BA60" s="711">
        <f>IF(
CHMATbl[[#This Row],[NEW CONSTRUCTION OR AQUIRE/REHAB]]&lt;&gt;"",
3+IF(CHMATbl[[#This Row],[INFILL SITE]]="Yes",2,0),0)
*CHMATbl[[#This Row],[% OF TOTAL RURAL FUNDING]]</f>
        <v>0</v>
      </c>
      <c r="BB60" s="712">
        <f>IF(
CHMATbl[[#This Row],[ALL UNITS IN A HIGH OR HIGHEST RESOURCE AREA]]="Yes",
10*CHMATbl[[#This Row],[% OF TOTAL RURAL FUNDING]],
0)</f>
        <v>0</v>
      </c>
      <c r="BC60" s="712" cm="1">
        <f t="array" ref="BC60">INDEX(
CountyScoresTbl[Community Need Total Points],
ROW(CHMATbl[[#This Row],[COUNTY]])-2,1)*CHMATbl[[#This Row],[% OF TOTAL RURAL FUNDING]]</f>
        <v>0</v>
      </c>
      <c r="BD60" s="713" cm="1">
        <f t="array" ref="BD60" xml:space="preserve">
IF(
AND(
OR(
CHMATbl[[#This Row],[NEW CONSTRUCTION OR AQUIRE/REHAB]]="Newly Constructed Housing",
CHMATbl[[#This Row],[NEW CONSTRUCTION OR AQUIRE/REHAB]]="Acquired and Rehabilitated Housing"),
CHMATbl[[#This Row],[FundingSource]]="Yes",CHMATbl[[#This Row],[FirstTimeBuyers]]="Yes"),
20*CHMATbl[[#This Row],[% OF TOTAL RURAL FUNDING]],
INDEX(CountyScoresTbl[CalHome Feasibility Points Awarded],ROW(CHMATbl[[#This Row],[COUNTY]])-2,1)*CHMATbl[[#This Row],[% OF TOTAL RURAL FUNDING]])</f>
        <v>0</v>
      </c>
      <c r="BE60" s="142"/>
      <c r="BF60" s="710"/>
      <c r="BG60" s="710"/>
      <c r="BH60" s="710"/>
      <c r="BI60" s="710"/>
      <c r="BJ60" s="145">
        <f t="shared" si="3"/>
        <v>0</v>
      </c>
      <c r="BK60" s="14">
        <f>IF(CHMATbl[[#This Row],[MANUFACTURED AND RURAL FUNDING REQUESTED]]=0,0,CHMATbl[[#This Row],[MANUFACTURED AND RURAL FUNDING REQUESTED]]/CH_MA_MFDRuralTotalRequested)</f>
        <v>0</v>
      </c>
      <c r="BL60" s="711">
        <f xml:space="preserve">
IF(CHMATbl[[#This Row],[NEW CONSTRUCTION OR AQUIRE/REHAB]]&lt;&gt;"",
3+IF(CHMATbl[[#This Row],[INFILL SITE]]="Yes",2,0),0)
*CHMATbl[[#This Row],[% OF TOTAL MANUFACTURED AND RURAL FUNDING]]</f>
        <v>0</v>
      </c>
      <c r="BM60" s="712">
        <f>IF(
CHMATbl[[#This Row],[ALL UNITS IN A HIGH OR HIGHEST RESOURCE AREA]]="Yes",
10*CHMATbl[[#This Row],[% OF TOTAL MANUFACTURED AND RURAL FUNDING]],
0)</f>
        <v>0</v>
      </c>
      <c r="BN60" s="712" cm="1">
        <f t="array" ref="BN60">INDEX(
CountyScoresTbl[Community Need Total Points],
ROW(CHMATbl[[#This Row],[COUNTY]])-2,1)*CHMATbl[[#This Row],[% OF TOTAL MANUFACTURED AND RURAL FUNDING]]</f>
        <v>0</v>
      </c>
      <c r="BO60" s="716" cm="1">
        <f t="array" ref="BO60" xml:space="preserve">
IF(
AND(
OR(
CHMATbl[[#This Row],[NEW CONSTRUCTION OR AQUIRE/REHAB]]="Newly Constructed Housing",
CHMATbl[[#This Row],[NEW CONSTRUCTION OR AQUIRE/REHAB]]="Acquired and Rehabilitated Housing"),
CHMATbl[[#This Row],[FundingSource]]="Yes",CHMATbl[[#This Row],[FirstTimeBuyers]]="Yes"),
20*CHMATbl[[#This Row],[% OF TOTAL MANUFACTURED AND RURAL FUNDING]],
INDEX(CountyScoresTbl[CalHome Feasibility Points Awarded],ROW(CHMATbl[[#This Row],[COUNTY]])-2,1)*CHMATbl[[#This Row],[% OF TOTAL MANUFACTURED AND RURAL FUNDING]])</f>
        <v>0</v>
      </c>
      <c r="BP60" s="733"/>
      <c r="BQ60" s="680"/>
      <c r="BR60" s="681"/>
    </row>
    <row r="61" spans="1:70" s="662" customFormat="1" ht="15" customHeight="1" thickBot="1" x14ac:dyDescent="0.4">
      <c r="A61" s="209"/>
      <c r="B61" s="136"/>
      <c r="C61" s="220"/>
      <c r="D61" s="717">
        <f>SUM(D$3:D$60)</f>
        <v>0</v>
      </c>
      <c r="E61" s="151">
        <f>SUM(E$3:E$60)</f>
        <v>0</v>
      </c>
      <c r="F61" s="682">
        <f>SUM(F$3:F$60)</f>
        <v>0</v>
      </c>
      <c r="G61" s="220"/>
      <c r="H61" s="150">
        <f>SUM(H$3:H$60)</f>
        <v>0</v>
      </c>
      <c r="I61" s="151">
        <f>SUM(I$3:I$60)</f>
        <v>0</v>
      </c>
      <c r="J61" s="682">
        <f>SUM(J$3:J$60)</f>
        <v>0</v>
      </c>
      <c r="K61" s="220"/>
      <c r="L61" s="718">
        <f>SUM(L$3:L$60)</f>
        <v>0</v>
      </c>
      <c r="M61" s="151">
        <f>SUM(M$3:M$60)</f>
        <v>0</v>
      </c>
      <c r="N61" s="682">
        <f>SUM(N$3:N$60)</f>
        <v>0</v>
      </c>
      <c r="O61" s="220"/>
      <c r="P61" s="718">
        <f>SUM(P$3:P$60)</f>
        <v>0</v>
      </c>
      <c r="Q61" s="151">
        <f>SUM(Q$3:Q$60)</f>
        <v>0</v>
      </c>
      <c r="R61" s="682">
        <f>SUM(R$3:R$60)</f>
        <v>0</v>
      </c>
      <c r="S61" s="719"/>
      <c r="T61" s="209">
        <f>COUNTIF(T$3:T$60,"Yes")</f>
        <v>0</v>
      </c>
      <c r="U61" s="682">
        <f>COUNTIF(U$3:U$60,"Yes")</f>
        <v>0</v>
      </c>
      <c r="V61" s="682">
        <f>COUNTIF(V$3:V$60,"Yes")</f>
        <v>0</v>
      </c>
      <c r="W61" s="220">
        <f>COUNTIF(W$3:W$60,"Yes")</f>
        <v>0</v>
      </c>
      <c r="X61" s="209">
        <f t="shared" ref="X61:BO61" si="4">SUM(X$3:X$60)</f>
        <v>0</v>
      </c>
      <c r="Y61" s="97">
        <f t="shared" si="4"/>
        <v>0</v>
      </c>
      <c r="Z61" s="97">
        <f t="shared" si="4"/>
        <v>0</v>
      </c>
      <c r="AA61" s="97">
        <f t="shared" si="4"/>
        <v>0</v>
      </c>
      <c r="AB61" s="97">
        <f t="shared" si="4"/>
        <v>0</v>
      </c>
      <c r="AC61" s="151">
        <f t="shared" si="4"/>
        <v>0</v>
      </c>
      <c r="AD61" s="208">
        <f t="shared" si="4"/>
        <v>0</v>
      </c>
      <c r="AE61" s="720">
        <f t="shared" si="4"/>
        <v>0</v>
      </c>
      <c r="AF61" s="720">
        <f t="shared" si="4"/>
        <v>0</v>
      </c>
      <c r="AG61" s="720">
        <f t="shared" si="4"/>
        <v>0</v>
      </c>
      <c r="AH61" s="721">
        <f t="shared" si="4"/>
        <v>0</v>
      </c>
      <c r="AI61" s="209">
        <f t="shared" si="4"/>
        <v>0</v>
      </c>
      <c r="AJ61" s="97">
        <f t="shared" si="4"/>
        <v>0</v>
      </c>
      <c r="AK61" s="97">
        <f t="shared" si="4"/>
        <v>0</v>
      </c>
      <c r="AL61" s="97">
        <f t="shared" si="4"/>
        <v>0</v>
      </c>
      <c r="AM61" s="97">
        <f t="shared" si="4"/>
        <v>0</v>
      </c>
      <c r="AN61" s="151">
        <f t="shared" si="4"/>
        <v>0</v>
      </c>
      <c r="AO61" s="208">
        <f t="shared" si="4"/>
        <v>0</v>
      </c>
      <c r="AP61" s="136">
        <f t="shared" si="4"/>
        <v>0</v>
      </c>
      <c r="AQ61" s="137">
        <f t="shared" si="4"/>
        <v>0</v>
      </c>
      <c r="AR61" s="137">
        <f t="shared" si="4"/>
        <v>0</v>
      </c>
      <c r="AS61" s="138">
        <f t="shared" si="4"/>
        <v>0</v>
      </c>
      <c r="AT61" s="722">
        <f t="shared" si="4"/>
        <v>0</v>
      </c>
      <c r="AU61" s="97">
        <f t="shared" si="4"/>
        <v>0</v>
      </c>
      <c r="AV61" s="97">
        <f t="shared" si="4"/>
        <v>0</v>
      </c>
      <c r="AW61" s="97">
        <f t="shared" si="4"/>
        <v>0</v>
      </c>
      <c r="AX61" s="97">
        <f t="shared" si="4"/>
        <v>0</v>
      </c>
      <c r="AY61" s="151">
        <f t="shared" si="4"/>
        <v>0</v>
      </c>
      <c r="AZ61" s="208">
        <f t="shared" si="4"/>
        <v>0</v>
      </c>
      <c r="BA61" s="720">
        <f t="shared" si="4"/>
        <v>0</v>
      </c>
      <c r="BB61" s="720">
        <f t="shared" si="4"/>
        <v>0</v>
      </c>
      <c r="BC61" s="720">
        <f t="shared" si="4"/>
        <v>0</v>
      </c>
      <c r="BD61" s="721">
        <f t="shared" si="4"/>
        <v>0</v>
      </c>
      <c r="BE61" s="209">
        <f t="shared" si="4"/>
        <v>0</v>
      </c>
      <c r="BF61" s="97">
        <f t="shared" si="4"/>
        <v>0</v>
      </c>
      <c r="BG61" s="97">
        <f t="shared" si="4"/>
        <v>0</v>
      </c>
      <c r="BH61" s="97">
        <f t="shared" si="4"/>
        <v>0</v>
      </c>
      <c r="BI61" s="97">
        <f t="shared" si="4"/>
        <v>0</v>
      </c>
      <c r="BJ61" s="151">
        <f t="shared" si="4"/>
        <v>0</v>
      </c>
      <c r="BK61" s="208">
        <f t="shared" si="4"/>
        <v>0</v>
      </c>
      <c r="BL61" s="720">
        <f t="shared" si="4"/>
        <v>0</v>
      </c>
      <c r="BM61" s="720">
        <f t="shared" si="4"/>
        <v>0</v>
      </c>
      <c r="BN61" s="720">
        <f t="shared" si="4"/>
        <v>0</v>
      </c>
      <c r="BO61" s="723">
        <f t="shared" si="4"/>
        <v>0</v>
      </c>
      <c r="BP61" s="724">
        <f>COUNTIF(BP$3:BP$60,"Yes")</f>
        <v>0</v>
      </c>
      <c r="BQ61" s="725">
        <f>COUNTIF(BQ$3:BQ$60,"Yes")</f>
        <v>0</v>
      </c>
      <c r="BR61" s="726">
        <f>COUNTIF(BR$3:BR$60,"Yes")</f>
        <v>0</v>
      </c>
    </row>
  </sheetData>
  <sheetProtection formatCells="0" selectLockedCells="1"/>
  <dataConsolidate/>
  <mergeCells count="10">
    <mergeCell ref="BE1:BO1"/>
    <mergeCell ref="X1:AH1"/>
    <mergeCell ref="AI1:AS1"/>
    <mergeCell ref="AT1:BD1"/>
    <mergeCell ref="A1:C1"/>
    <mergeCell ref="D1:G1"/>
    <mergeCell ref="H1:K1"/>
    <mergeCell ref="L1:O1"/>
    <mergeCell ref="T1:W1"/>
    <mergeCell ref="P1:S1"/>
  </mergeCells>
  <phoneticPr fontId="6" type="noConversion"/>
  <pageMargins left="0.7" right="0.7" top="0.75" bottom="0.75" header="0.3" footer="0.3"/>
  <pageSetup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CHOORData"/>
  <dimension ref="A1:BH61"/>
  <sheetViews>
    <sheetView zoomScale="70" zoomScaleNormal="70" workbookViewId="0">
      <selection activeCell="A43" sqref="A43"/>
    </sheetView>
  </sheetViews>
  <sheetFormatPr defaultColWidth="5.54296875" defaultRowHeight="14.5" x14ac:dyDescent="0.35"/>
  <cols>
    <col min="1" max="2" width="20.54296875" customWidth="1"/>
    <col min="3" max="3" width="3.54296875" customWidth="1"/>
    <col min="4" max="6" width="20.54296875" customWidth="1"/>
    <col min="7" max="7" width="3.54296875" customWidth="1"/>
    <col min="8" max="10" width="20.54296875" customWidth="1"/>
    <col min="11" max="11" width="3.54296875" customWidth="1"/>
    <col min="12" max="14" width="20.54296875" customWidth="1"/>
    <col min="15" max="15" width="3.54296875" customWidth="1"/>
    <col min="16" max="18" width="20.54296875" customWidth="1"/>
    <col min="19" max="19" width="3.54296875" customWidth="1"/>
    <col min="20" max="60" width="20.54296875" customWidth="1"/>
  </cols>
  <sheetData>
    <row r="1" spans="1:60" s="298" customFormat="1" ht="21" customHeight="1" thickBot="1" x14ac:dyDescent="0.55000000000000004">
      <c r="A1" s="1403" t="s">
        <v>579</v>
      </c>
      <c r="B1" s="1404"/>
      <c r="C1" s="127"/>
      <c r="D1" s="1400" t="s">
        <v>506</v>
      </c>
      <c r="E1" s="1401"/>
      <c r="F1" s="1401"/>
      <c r="G1" s="127"/>
      <c r="H1" s="1400" t="s">
        <v>507</v>
      </c>
      <c r="I1" s="1401"/>
      <c r="J1" s="1401"/>
      <c r="K1" s="127"/>
      <c r="L1" s="1400" t="s">
        <v>508</v>
      </c>
      <c r="M1" s="1401"/>
      <c r="N1" s="1401"/>
      <c r="O1" s="127"/>
      <c r="P1" s="1400" t="s">
        <v>509</v>
      </c>
      <c r="Q1" s="1401"/>
      <c r="R1" s="1401"/>
      <c r="S1" s="314"/>
      <c r="T1" s="1400" t="s">
        <v>510</v>
      </c>
      <c r="U1" s="1401"/>
      <c r="V1" s="1402"/>
      <c r="W1" s="1405" t="s">
        <v>506</v>
      </c>
      <c r="X1" s="1404"/>
      <c r="Y1" s="1404"/>
      <c r="Z1" s="1404"/>
      <c r="AA1" s="1404"/>
      <c r="AB1" s="1404"/>
      <c r="AC1" s="1404"/>
      <c r="AD1" s="1404"/>
      <c r="AE1" s="1406"/>
      <c r="AF1" s="1400" t="s">
        <v>507</v>
      </c>
      <c r="AG1" s="1401"/>
      <c r="AH1" s="1401"/>
      <c r="AI1" s="1401"/>
      <c r="AJ1" s="1401"/>
      <c r="AK1" s="1402"/>
      <c r="AL1" s="1400" t="s">
        <v>508</v>
      </c>
      <c r="AM1" s="1401"/>
      <c r="AN1" s="1401"/>
      <c r="AO1" s="1401"/>
      <c r="AP1" s="1401"/>
      <c r="AQ1" s="1401"/>
      <c r="AR1" s="1401"/>
      <c r="AS1" s="1401"/>
      <c r="AT1" s="1402"/>
      <c r="AU1" s="1400" t="s">
        <v>509</v>
      </c>
      <c r="AV1" s="1401"/>
      <c r="AW1" s="1401"/>
      <c r="AX1" s="1401"/>
      <c r="AY1" s="1401"/>
      <c r="AZ1" s="1402"/>
      <c r="BA1" s="756"/>
      <c r="BB1" s="756"/>
      <c r="BC1" s="756"/>
      <c r="BD1" s="756"/>
      <c r="BE1" s="756"/>
      <c r="BF1" s="756"/>
      <c r="BG1" s="756"/>
      <c r="BH1" s="757"/>
    </row>
    <row r="2" spans="1:60" ht="44" thickBot="1" x14ac:dyDescent="0.4">
      <c r="A2" s="99" t="s">
        <v>511</v>
      </c>
      <c r="B2" s="100" t="s">
        <v>512</v>
      </c>
      <c r="C2" s="101" t="s">
        <v>513</v>
      </c>
      <c r="D2" s="99" t="s">
        <v>514</v>
      </c>
      <c r="E2" s="102" t="s">
        <v>515</v>
      </c>
      <c r="F2" s="103" t="s">
        <v>516</v>
      </c>
      <c r="G2" s="101" t="s">
        <v>580</v>
      </c>
      <c r="H2" s="99" t="s">
        <v>518</v>
      </c>
      <c r="I2" s="102" t="s">
        <v>519</v>
      </c>
      <c r="J2" s="103" t="s">
        <v>520</v>
      </c>
      <c r="K2" s="101" t="s">
        <v>517</v>
      </c>
      <c r="L2" s="99" t="s">
        <v>522</v>
      </c>
      <c r="M2" s="294" t="s">
        <v>523</v>
      </c>
      <c r="N2" s="103" t="s">
        <v>524</v>
      </c>
      <c r="O2" s="101" t="s">
        <v>581</v>
      </c>
      <c r="P2" s="99" t="s">
        <v>526</v>
      </c>
      <c r="Q2" s="102" t="s">
        <v>527</v>
      </c>
      <c r="R2" s="103" t="s">
        <v>528</v>
      </c>
      <c r="S2" s="315" t="s">
        <v>582</v>
      </c>
      <c r="T2" s="99" t="s">
        <v>530</v>
      </c>
      <c r="U2" s="100" t="s">
        <v>583</v>
      </c>
      <c r="V2" s="134" t="s">
        <v>584</v>
      </c>
      <c r="W2" s="141" t="s">
        <v>585</v>
      </c>
      <c r="X2" s="100" t="s">
        <v>586</v>
      </c>
      <c r="Y2" s="100" t="s">
        <v>587</v>
      </c>
      <c r="Z2" s="100" t="s">
        <v>588</v>
      </c>
      <c r="AA2" s="135" t="s">
        <v>589</v>
      </c>
      <c r="AB2" s="136" t="s">
        <v>590</v>
      </c>
      <c r="AC2" s="137" t="s">
        <v>591</v>
      </c>
      <c r="AD2" s="137" t="s">
        <v>592</v>
      </c>
      <c r="AE2" s="138" t="s">
        <v>593</v>
      </c>
      <c r="AF2" s="99" t="s">
        <v>594</v>
      </c>
      <c r="AG2" s="139" t="s">
        <v>595</v>
      </c>
      <c r="AH2" s="136" t="s">
        <v>596</v>
      </c>
      <c r="AI2" s="137" t="s">
        <v>597</v>
      </c>
      <c r="AJ2" s="137" t="s">
        <v>598</v>
      </c>
      <c r="AK2" s="138" t="s">
        <v>599</v>
      </c>
      <c r="AL2" s="99" t="s">
        <v>600</v>
      </c>
      <c r="AM2" s="100" t="s">
        <v>601</v>
      </c>
      <c r="AN2" s="100" t="s">
        <v>602</v>
      </c>
      <c r="AO2" s="100" t="s">
        <v>603</v>
      </c>
      <c r="AP2" s="140" t="s">
        <v>561</v>
      </c>
      <c r="AQ2" s="136" t="s">
        <v>604</v>
      </c>
      <c r="AR2" s="137" t="s">
        <v>605</v>
      </c>
      <c r="AS2" s="137" t="s">
        <v>565</v>
      </c>
      <c r="AT2" s="138" t="s">
        <v>566</v>
      </c>
      <c r="AU2" s="141" t="s">
        <v>606</v>
      </c>
      <c r="AV2" s="140" t="s">
        <v>607</v>
      </c>
      <c r="AW2" s="136" t="s">
        <v>608</v>
      </c>
      <c r="AX2" s="137" t="s">
        <v>609</v>
      </c>
      <c r="AY2" s="137" t="s">
        <v>610</v>
      </c>
      <c r="AZ2" s="138" t="s">
        <v>611</v>
      </c>
      <c r="BA2" s="554" t="s">
        <v>1598</v>
      </c>
      <c r="BB2" s="555" t="s">
        <v>1602</v>
      </c>
      <c r="BC2" s="554" t="s">
        <v>1600</v>
      </c>
      <c r="BD2" s="555" t="s">
        <v>1603</v>
      </c>
      <c r="BE2" s="554" t="s">
        <v>1599</v>
      </c>
      <c r="BF2" s="555" t="s">
        <v>1604</v>
      </c>
      <c r="BG2" s="554" t="s">
        <v>1601</v>
      </c>
      <c r="BH2" s="758" t="s">
        <v>1605</v>
      </c>
    </row>
    <row r="3" spans="1:60" x14ac:dyDescent="0.35">
      <c r="A3" s="128" t="s">
        <v>504</v>
      </c>
      <c r="B3" s="37" t="s">
        <v>115</v>
      </c>
      <c r="C3" s="58" t="s">
        <v>513</v>
      </c>
      <c r="D3" s="129" t="str">
        <f>IF(SUM(CHOORTbl[[#This Row],[Unrestricted Repair Units]:[Unrestricted ADU Reconstruct Units]])=0,"",SUM(CHOORTbl[[#This Row],[Unrestricted Repair Units]:[Unrestricted ADU Reconstruct Units]]))</f>
        <v/>
      </c>
      <c r="E3" s="98" t="str">
        <f xml:space="preserve">
IF(CHOORTbl[[#This Row],[TOTAL UNRESTRICTED]]=0,"",
CHOORTbl[[#This Row],[TOTAL UNRESTRICTED]]*
IF(CH_OOR_UnrestrictedTotalRequested&lt;=5000000,1,
5000000/CH_OOR_UnrestrictedTotalRequested)
)</f>
        <v/>
      </c>
      <c r="F3" s="61" t="str">
        <f>IF(CHOORTbl[[#This Row],[ % OF TOTAL FUNDING]]=0,"",CHOORTbl[[#This Row],[ % OF TOTAL FUNDING]])</f>
        <v/>
      </c>
      <c r="G3" s="58" t="s">
        <v>513</v>
      </c>
      <c r="H3" s="129" t="str">
        <f>IF(SUM(CHOORTbl[[#This Row],[Manufactured Home Units]])=0,"",SUM(CHOORTbl[[#This Row],[Manufactured Home Units]]))</f>
        <v/>
      </c>
      <c r="I3" s="98" t="str">
        <f xml:space="preserve">
IF(CHOORTbl[[#This Row],[TOTAL MANUFACTURED]]=0,"",
CHOORTbl[[#This Row],[TOTAL MANUFACTURED]]*
IF(CH_OOR_ManufacturedTotalRequested&lt;=(5000000-E$61),1,
(5000000-E$61)/CH_OOR_ManufacturedTotalRequested)
)</f>
        <v/>
      </c>
      <c r="J3" s="61" t="str">
        <f>IF(CHOORTbl[[#This Row],[ % OF TOTAL FUNDING2]]=0,"",CHOORTbl[[#This Row],[ % OF TOTAL FUNDING2]])</f>
        <v/>
      </c>
      <c r="K3" s="58" t="s">
        <v>513</v>
      </c>
      <c r="L3" s="129" t="str">
        <f>IF(SUM(CHOORTbl[[#This Row],[RURAL AREA HOMES TO REPAIR2]:[RURAL AREA ADUS TO ADD OR RECONSTRUCT]])=0,"",SUM(CHOORTbl[[#This Row],[RURAL AREA HOMES TO REPAIR2]:[RURAL AREA ADUS TO ADD OR RECONSTRUCT]]))</f>
        <v/>
      </c>
      <c r="M3" s="98" t="str">
        <f xml:space="preserve">
IF(CHOORTbl[[#This Row],[TOTAL RURAL]]=0,"",
CHOORTbl[[#This Row],[TOTAL RURAL]]*
IF(CH_OOR_RuralTotalRequested&lt;=(5000000-E$61-I$61),1,
(5000000-E$61-I$61)/CH_OOR_RuralTotalRequested)
)</f>
        <v/>
      </c>
      <c r="N3" s="61" t="str">
        <f>IF(CHOORTbl[[#This Row],[ % OF TOTAL RURAL FUNDING]]=0,"",CHOORTbl[[#This Row],[ % OF TOTAL RURAL FUNDING]])</f>
        <v/>
      </c>
      <c r="O3" s="58" t="s">
        <v>513</v>
      </c>
      <c r="P3" s="129" t="str">
        <f>IF(SUM(CHOORTbl[[#This Row],[MFD RURAL UNITS]])=0,"",SUM(CHOORTbl[[#This Row],[MFD RURAL UNITS]]))</f>
        <v/>
      </c>
      <c r="Q3" s="98" t="str">
        <f xml:space="preserve">
IF(CHOORTbl[[#This Row],[TOTAL MFD RURAL]]=0,"",
CHOORTbl[[#This Row],[TOTAL MFD RURAL]]*
IF(CH_OOR_MFDRuralTotalRequested&lt;=(5000000-E$61-I$61-M$61),1,
(5000000-E$61-I$61-M$61)/CH_OOR_MFDRuralTotalRequested)
)</f>
        <v/>
      </c>
      <c r="R3" s="61" t="str">
        <f>IF(CHOORTbl[[#This Row],[ % OF TOTAL MFD RURAL FUNDING]]=0,"",CHOORTbl[[#This Row],[ % OF TOTAL MFD RURAL FUNDING]])</f>
        <v/>
      </c>
      <c r="S3" s="316" t="s">
        <v>513</v>
      </c>
      <c r="T3" s="741"/>
      <c r="U3" s="742"/>
      <c r="V3" s="743"/>
      <c r="W3" s="744"/>
      <c r="X3" s="742"/>
      <c r="Y3" s="742"/>
      <c r="Z3" s="742"/>
      <c r="AA3" s="131"/>
      <c r="AB3" s="61">
        <f>IF(CHOORTbl[[#This Row],[TOTAL UNRESTRICTED]]=0,0,CHOORTbl[[#This Row],[TOTAL UNRESTRICTED]]/SUM(CHOORTbl[TOTAL UNRESTRICTED]))</f>
        <v>0</v>
      </c>
      <c r="AC3" s="696">
        <f>IF(CHOORTbl[[#This Row],[ALL UNITS IN A HIGH OR HIGHEST RESOURCE AREA]]="Yes",10*CHOORTbl[[#This Row],[ % OF TOTAL FUNDING]],0)</f>
        <v>0</v>
      </c>
      <c r="AD3" s="696" cm="1">
        <f t="array" ref="AD3">INDEX(CountyScoresTbl[OOR Community Need],ROW(CHOORTbl[[#This Row],[COUNTY]])-2,1)*CHOORTbl[[#This Row],[ % OF TOTAL FUNDING]]</f>
        <v>0</v>
      </c>
      <c r="AE3" s="752" cm="1">
        <f t="array" ref="AE3">INDEX(CountyScoresTbl[OOR/ADU Total Feasibility Points Awarded],ROW(CHOORTbl[[#This Row],[COUNTY]])-2,1)*CHOORTbl[[#This Row],[ % OF TOTAL FUNDING]]</f>
        <v>0</v>
      </c>
      <c r="AF3" s="130"/>
      <c r="AG3" s="131"/>
      <c r="AH3" s="61">
        <f>IF(CHOORTbl[[#This Row],[TOTAL MANUFACTURED]]=0,0,CHOORTbl[[#This Row],[TOTAL MANUFACTURED]]/SUM(CHOORTbl[TOTAL MANUFACTURED]))</f>
        <v>0</v>
      </c>
      <c r="AI3" s="696">
        <f>IF(CHOORTbl[[#This Row],[ALL UNITS IN A HIGH OR HIGHEST RESOURCE AREA]]="Yes",10*CHOORTbl[[#This Row],[ % OF TOTAL FUNDING2]],0)</f>
        <v>0</v>
      </c>
      <c r="AJ3" s="696" cm="1">
        <f t="array" ref="AJ3">INDEX(CountyScoresTbl[OOR Community Need],ROW(CHOORTbl[[#This Row],[COUNTY]])-2,1)*CHOORTbl[[#This Row],[ % OF TOTAL FUNDING2]]</f>
        <v>0</v>
      </c>
      <c r="AK3" s="752" cm="1">
        <f t="array" ref="AK3">INDEX(CountyScoresTbl[OOR/ADU Total Feasibility Points Awarded],ROW(CHOORTbl[[#This Row],[COUNTY]])-2,1)*CHOORTbl[[#This Row],[ % OF TOTAL FUNDING2]]</f>
        <v>0</v>
      </c>
      <c r="AL3" s="130"/>
      <c r="AM3" s="132"/>
      <c r="AN3" s="132"/>
      <c r="AO3" s="132"/>
      <c r="AP3" s="131"/>
      <c r="AQ3" s="61">
        <f>IF(CHOORTbl[[#This Row],[TOTAL RURAL]]=0,0,CHOORTbl[[#This Row],[TOTAL RURAL]]/SUM(CHOORTbl[TOTAL RURAL]))</f>
        <v>0</v>
      </c>
      <c r="AR3" s="696">
        <f>IF(CHOORTbl[[#This Row],[ALL UNITS IN A HIGH OR HIGHEST RESOURCE AREA]]="Yes",10*CHOORTbl[[#This Row],[ % OF TOTAL RURAL FUNDING]],0)</f>
        <v>0</v>
      </c>
      <c r="AS3" s="696" cm="1">
        <f t="array" ref="AS3">INDEX(CountyScoresTbl[OOR Community Need],ROW(CHOORTbl[[#This Row],[COUNTY]])-2,1)*CHOORTbl[[#This Row],[ % OF TOTAL RURAL FUNDING]]</f>
        <v>0</v>
      </c>
      <c r="AT3" s="752" cm="1">
        <f t="array" ref="AT3">INDEX(CountyScoresTbl[OOR/ADU Total Feasibility Points Awarded],ROW(CHOORTbl[[#This Row],[COUNTY]])-2,1)*CHOORTbl[[#This Row],[ % OF TOTAL RURAL FUNDING]]</f>
        <v>0</v>
      </c>
      <c r="AU3" s="133"/>
      <c r="AV3" s="131"/>
      <c r="AW3" s="61">
        <f>IF(CHOORTbl[[#This Row],[TOTAL MFD RURAL]]=0,0,CHOORTbl[[#This Row],[TOTAL MFD RURAL]]/SUM(CHOORTbl[TOTAL MFD RURAL]))</f>
        <v>0</v>
      </c>
      <c r="AX3" s="696">
        <f>IF(CHOORTbl[[#This Row],[ALL UNITS IN A HIGH OR HIGHEST RESOURCE AREA]]="Yes",10*CHOORTbl[[#This Row],[ % OF TOTAL MFD RURAL FUNDING]],0)</f>
        <v>0</v>
      </c>
      <c r="AY3" s="696" cm="1">
        <f t="array" ref="AY3">INDEX(CountyScoresTbl[OOR Community Need],ROW(CHOORTbl[[#This Row],[COUNTY]])-2,1)*CHOORTbl[[#This Row],[ % OF TOTAL MFD RURAL FUNDING]]</f>
        <v>0</v>
      </c>
      <c r="AZ3" s="752" cm="1">
        <f t="array" ref="AZ3">INDEX(CountyScoresTbl[OOR/ADU Total Feasibility Points Awarded],ROW(CHOORTbl[[#This Row],[COUNTY]])-2,1)*CHOORTbl[[#This Row],[ % OF TOTAL MFD RURAL FUNDING]]</f>
        <v>0</v>
      </c>
      <c r="BA3" s="556"/>
      <c r="BB3" s="561">
        <f>SUM(CHOORTbl[[#This Row],[UNRESTRICTED ADF]],CHOORTbl[[#This Row],[Unrestricted Funds Requesting]])</f>
        <v>0</v>
      </c>
      <c r="BC3" s="556"/>
      <c r="BD3" s="561">
        <f>SUM(CHOORTbl[[#This Row],[MANUFACTURED ADF]],CHOORTbl[[#This Row],[Manufactured Home Funds Requesting]])</f>
        <v>0</v>
      </c>
      <c r="BE3" s="556"/>
      <c r="BF3" s="561">
        <f>SUM(CHOORTbl[[#This Row],[RURAL ADF]],CHOORTbl[[#This Row],[RURAL FUNDING REQUESTED]])</f>
        <v>0</v>
      </c>
      <c r="BG3" s="556"/>
      <c r="BH3" s="562">
        <f>SUM(CHOORTbl[[#This Row],[MFD RURAL ADF]],CHOORTbl[[#This Row],[MFD RURAL FUNDING REQUESTED]])</f>
        <v>0</v>
      </c>
    </row>
    <row r="4" spans="1:60" x14ac:dyDescent="0.35">
      <c r="A4" s="115"/>
      <c r="B4" s="5" t="s">
        <v>116</v>
      </c>
      <c r="C4" s="31" t="s">
        <v>513</v>
      </c>
      <c r="D4" s="109" t="str">
        <f>IF(SUM(CHOORTbl[[#This Row],[Unrestricted Repair Units]:[Unrestricted ADU Reconstruct Units]])=0,"",SUM(CHOORTbl[[#This Row],[Unrestricted Repair Units]:[Unrestricted ADU Reconstruct Units]]))</f>
        <v/>
      </c>
      <c r="E4" s="74" t="str">
        <f xml:space="preserve">
IF(CHOORTbl[[#This Row],[TOTAL UNRESTRICTED]]=0,"",
CHOORTbl[[#This Row],[TOTAL UNRESTRICTED]]*
IF(CH_OOR_UnrestrictedTotalRequested&lt;=5000000,1,
5000000/CH_OOR_UnrestrictedTotalRequested)
)</f>
        <v/>
      </c>
      <c r="F4" s="6" t="str">
        <f>IF(CHOORTbl[[#This Row],[ % OF TOTAL FUNDING]]=0,"",CHOORTbl[[#This Row],[ % OF TOTAL FUNDING]])</f>
        <v/>
      </c>
      <c r="G4" s="31" t="s">
        <v>513</v>
      </c>
      <c r="H4" s="109" t="str">
        <f>IF(SUM(CHOORTbl[[#This Row],[Manufactured Home Units]])=0,"",SUM(CHOORTbl[[#This Row],[Manufactured Home Units]]))</f>
        <v/>
      </c>
      <c r="I4" s="74" t="str">
        <f xml:space="preserve">
IF(CHOORTbl[[#This Row],[TOTAL MANUFACTURED]]=0,"",
CHOORTbl[[#This Row],[TOTAL MANUFACTURED]]*
IF(CH_OOR_ManufacturedTotalRequested&lt;=(5000000-E$61),1,
(5000000-E$61)/CH_OOR_ManufacturedTotalRequested)
)</f>
        <v/>
      </c>
      <c r="J4" s="6" t="str">
        <f>IF(CHOORTbl[[#This Row],[ % OF TOTAL FUNDING2]]=0,"",CHOORTbl[[#This Row],[ % OF TOTAL FUNDING2]])</f>
        <v/>
      </c>
      <c r="K4" s="31" t="s">
        <v>513</v>
      </c>
      <c r="L4" s="109" t="str">
        <f>IF(SUM(CHOORTbl[[#This Row],[RURAL AREA HOMES TO REPAIR2]:[RURAL AREA ADUS TO ADD OR RECONSTRUCT]])=0,"",SUM(CHOORTbl[[#This Row],[RURAL AREA HOMES TO REPAIR2]:[RURAL AREA ADUS TO ADD OR RECONSTRUCT]]))</f>
        <v/>
      </c>
      <c r="M4" s="74" t="str">
        <f xml:space="preserve">
IF(CHOORTbl[[#This Row],[TOTAL RURAL]]=0,"",
CHOORTbl[[#This Row],[TOTAL RURAL]]*
IF(CH_OOR_RuralTotalRequested&lt;=(5000000-E$61-I$61),1,
(5000000-E$61-I$61)/CH_OOR_RuralTotalRequested)
)</f>
        <v/>
      </c>
      <c r="N4" s="6" t="str">
        <f>IF(CHOORTbl[[#This Row],[ % OF TOTAL RURAL FUNDING]]=0,"",CHOORTbl[[#This Row],[ % OF TOTAL RURAL FUNDING]])</f>
        <v/>
      </c>
      <c r="O4" s="31" t="s">
        <v>513</v>
      </c>
      <c r="P4" s="109" t="str">
        <f>IF(SUM(CHOORTbl[[#This Row],[MFD RURAL UNITS]])=0,"",SUM(CHOORTbl[[#This Row],[MFD RURAL UNITS]]))</f>
        <v/>
      </c>
      <c r="Q4" s="74" t="str">
        <f xml:space="preserve">
IF(CHOORTbl[[#This Row],[TOTAL MFD RURAL]]=0,"",
CHOORTbl[[#This Row],[TOTAL MFD RURAL]]*
IF(CH_OOR_MFDRuralTotalRequested&lt;=(5000000-E$61-I$61-M$61),1,
(5000000-E$61-I$61-M$61)/CH_OOR_MFDRuralTotalRequested)
)</f>
        <v/>
      </c>
      <c r="R4" s="6" t="str">
        <f>IF(CHOORTbl[[#This Row],[ % OF TOTAL MFD RURAL FUNDING]]=0,"",CHOORTbl[[#This Row],[ % OF TOTAL MFD RURAL FUNDING]])</f>
        <v/>
      </c>
      <c r="S4" s="44" t="s">
        <v>513</v>
      </c>
      <c r="T4" s="116"/>
      <c r="U4" s="242"/>
      <c r="V4" s="745"/>
      <c r="W4" s="705"/>
      <c r="X4" s="242"/>
      <c r="Y4" s="242"/>
      <c r="Z4" s="242"/>
      <c r="AA4" s="118"/>
      <c r="AB4" s="6">
        <f>IF(CHOORTbl[[#This Row],[TOTAL UNRESTRICTED]]=0,0,CHOORTbl[[#This Row],[TOTAL UNRESTRICTED]]/SUM(CHOORTbl[TOTAL UNRESTRICTED]))</f>
        <v>0</v>
      </c>
      <c r="AC4" s="665">
        <f>IF(CHOORTbl[[#This Row],[ALL UNITS IN A HIGH OR HIGHEST RESOURCE AREA]]="Yes",10*CHOORTbl[[#This Row],[ % OF TOTAL FUNDING]],0)</f>
        <v>0</v>
      </c>
      <c r="AD4" s="665" cm="1">
        <f t="array" ref="AD4">INDEX(CountyScoresTbl[OOR Community Need],ROW(CHOORTbl[[#This Row],[COUNTY]])-2,1)*CHOORTbl[[#This Row],[ % OF TOTAL FUNDING]]</f>
        <v>0</v>
      </c>
      <c r="AE4" s="694" cm="1">
        <f t="array" ref="AE4">INDEX(CountyScoresTbl[OOR/ADU Total Feasibility Points Awarded],ROW(CHOORTbl[[#This Row],[COUNTY]])-2,1)*CHOORTbl[[#This Row],[ % OF TOTAL FUNDING]]</f>
        <v>0</v>
      </c>
      <c r="AF4" s="123"/>
      <c r="AG4" s="118"/>
      <c r="AH4" s="6">
        <f>IF(CHOORTbl[[#This Row],[TOTAL MANUFACTURED]]=0,0,CHOORTbl[[#This Row],[TOTAL MANUFACTURED]]/SUM(CHOORTbl[TOTAL MANUFACTURED]))</f>
        <v>0</v>
      </c>
      <c r="AI4" s="665">
        <f>IF(CHOORTbl[[#This Row],[ALL UNITS IN A HIGH OR HIGHEST RESOURCE AREA]]="Yes",10*CHOORTbl[[#This Row],[ % OF TOTAL FUNDING2]],0)</f>
        <v>0</v>
      </c>
      <c r="AJ4" s="665" cm="1">
        <f t="array" ref="AJ4">INDEX(CountyScoresTbl[OOR Community Need],ROW(CHOORTbl[[#This Row],[COUNTY]])-2,1)*CHOORTbl[[#This Row],[ % OF TOTAL FUNDING2]]</f>
        <v>0</v>
      </c>
      <c r="AK4" s="694" cm="1">
        <f t="array" ref="AK4">INDEX(CountyScoresTbl[OOR/ADU Total Feasibility Points Awarded],ROW(CHOORTbl[[#This Row],[COUNTY]])-2,1)*CHOORTbl[[#This Row],[ % OF TOTAL FUNDING2]]</f>
        <v>0</v>
      </c>
      <c r="AL4" s="123"/>
      <c r="AM4" s="117"/>
      <c r="AN4" s="117"/>
      <c r="AO4" s="117"/>
      <c r="AP4" s="118"/>
      <c r="AQ4" s="6">
        <f>IF(CHOORTbl[[#This Row],[TOTAL RURAL]]=0,0,CHOORTbl[[#This Row],[TOTAL RURAL]]/SUM(CHOORTbl[TOTAL RURAL]))</f>
        <v>0</v>
      </c>
      <c r="AR4" s="665">
        <f>IF(CHOORTbl[[#This Row],[ALL UNITS IN A HIGH OR HIGHEST RESOURCE AREA]]="Yes",10*CHOORTbl[[#This Row],[ % OF TOTAL RURAL FUNDING]],0)</f>
        <v>0</v>
      </c>
      <c r="AS4" s="665" cm="1">
        <f t="array" ref="AS4">INDEX(CountyScoresTbl[OOR Community Need],ROW(CHOORTbl[[#This Row],[COUNTY]])-2,1)*CHOORTbl[[#This Row],[ % OF TOTAL RURAL FUNDING]]</f>
        <v>0</v>
      </c>
      <c r="AT4" s="694" cm="1">
        <f t="array" ref="AT4">INDEX(CountyScoresTbl[OOR/ADU Total Feasibility Points Awarded],ROW(CHOORTbl[[#This Row],[COUNTY]])-2,1)*CHOORTbl[[#This Row],[ % OF TOTAL RURAL FUNDING]]</f>
        <v>0</v>
      </c>
      <c r="AU4" s="125"/>
      <c r="AV4" s="118"/>
      <c r="AW4" s="6">
        <f>IF(CHOORTbl[[#This Row],[TOTAL MFD RURAL]]=0,0,CHOORTbl[[#This Row],[TOTAL MFD RURAL]]/SUM(CHOORTbl[TOTAL MFD RURAL]))</f>
        <v>0</v>
      </c>
      <c r="AX4" s="665">
        <f>IF(CHOORTbl[[#This Row],[ALL UNITS IN A HIGH OR HIGHEST RESOURCE AREA]]="Yes",10*CHOORTbl[[#This Row],[ % OF TOTAL MFD RURAL FUNDING]],0)</f>
        <v>0</v>
      </c>
      <c r="AY4" s="665" cm="1">
        <f t="array" ref="AY4">INDEX(CountyScoresTbl[OOR Community Need],ROW(CHOORTbl[[#This Row],[COUNTY]])-2,1)*CHOORTbl[[#This Row],[ % OF TOTAL MFD RURAL FUNDING]]</f>
        <v>0</v>
      </c>
      <c r="AZ4" s="694" cm="1">
        <f t="array" ref="AZ4">INDEX(CountyScoresTbl[OOR/ADU Total Feasibility Points Awarded],ROW(CHOORTbl[[#This Row],[COUNTY]])-2,1)*CHOORTbl[[#This Row],[ % OF TOTAL MFD RURAL FUNDING]]</f>
        <v>0</v>
      </c>
      <c r="BA4" s="556"/>
      <c r="BB4" s="561">
        <f>SUM(CHOORTbl[[#This Row],[UNRESTRICTED ADF]],CHOORTbl[[#This Row],[Unrestricted Funds Requesting]])</f>
        <v>0</v>
      </c>
      <c r="BC4" s="556"/>
      <c r="BD4" s="561">
        <f>SUM(CHOORTbl[[#This Row],[MANUFACTURED ADF]],CHOORTbl[[#This Row],[Manufactured Home Funds Requesting]])</f>
        <v>0</v>
      </c>
      <c r="BE4" s="556"/>
      <c r="BF4" s="561">
        <f>SUM(CHOORTbl[[#This Row],[RURAL ADF]],CHOORTbl[[#This Row],[RURAL FUNDING REQUESTED]])</f>
        <v>0</v>
      </c>
      <c r="BG4" s="556"/>
      <c r="BH4" s="562">
        <f>SUM(CHOORTbl[[#This Row],[MFD RURAL ADF]],CHOORTbl[[#This Row],[MFD RURAL FUNDING REQUESTED]])</f>
        <v>0</v>
      </c>
    </row>
    <row r="5" spans="1:60" x14ac:dyDescent="0.35">
      <c r="A5" s="115"/>
      <c r="B5" s="5" t="s">
        <v>117</v>
      </c>
      <c r="C5" s="31" t="s">
        <v>513</v>
      </c>
      <c r="D5" s="109" t="str">
        <f>IF(SUM(CHOORTbl[[#This Row],[Unrestricted Repair Units]:[Unrestricted ADU Reconstruct Units]])=0,"",SUM(CHOORTbl[[#This Row],[Unrestricted Repair Units]:[Unrestricted ADU Reconstruct Units]]))</f>
        <v/>
      </c>
      <c r="E5" s="74" t="str">
        <f xml:space="preserve">
IF(CHOORTbl[[#This Row],[TOTAL UNRESTRICTED]]=0,"",
CHOORTbl[[#This Row],[TOTAL UNRESTRICTED]]*
IF(CH_OOR_UnrestrictedTotalRequested&lt;=5000000,1,
5000000/CH_OOR_UnrestrictedTotalRequested)
)</f>
        <v/>
      </c>
      <c r="F5" s="6" t="str">
        <f>IF(CHOORTbl[[#This Row],[ % OF TOTAL FUNDING]]=0,"",CHOORTbl[[#This Row],[ % OF TOTAL FUNDING]])</f>
        <v/>
      </c>
      <c r="G5" s="31" t="s">
        <v>513</v>
      </c>
      <c r="H5" s="109" t="str">
        <f>IF(SUM(CHOORTbl[[#This Row],[Manufactured Home Units]])=0,"",SUM(CHOORTbl[[#This Row],[Manufactured Home Units]]))</f>
        <v/>
      </c>
      <c r="I5" s="74" t="str">
        <f xml:space="preserve">
IF(CHOORTbl[[#This Row],[TOTAL MANUFACTURED]]=0,"",
CHOORTbl[[#This Row],[TOTAL MANUFACTURED]]*
IF(CH_OOR_ManufacturedTotalRequested&lt;=(5000000-E$61),1,
(5000000-E$61)/CH_OOR_ManufacturedTotalRequested)
)</f>
        <v/>
      </c>
      <c r="J5" s="6" t="str">
        <f>IF(CHOORTbl[[#This Row],[ % OF TOTAL FUNDING2]]=0,"",CHOORTbl[[#This Row],[ % OF TOTAL FUNDING2]])</f>
        <v/>
      </c>
      <c r="K5" s="31" t="s">
        <v>513</v>
      </c>
      <c r="L5" s="109" t="str">
        <f>IF(SUM(CHOORTbl[[#This Row],[RURAL AREA HOMES TO REPAIR2]:[RURAL AREA ADUS TO ADD OR RECONSTRUCT]])=0,"",SUM(CHOORTbl[[#This Row],[RURAL AREA HOMES TO REPAIR2]:[RURAL AREA ADUS TO ADD OR RECONSTRUCT]]))</f>
        <v/>
      </c>
      <c r="M5" s="74" t="str">
        <f xml:space="preserve">
IF(CHOORTbl[[#This Row],[TOTAL RURAL]]=0,"",
CHOORTbl[[#This Row],[TOTAL RURAL]]*
IF(CH_OOR_RuralTotalRequested&lt;=(5000000-E$61-I$61),1,
(5000000-E$61-I$61)/CH_OOR_RuralTotalRequested)
)</f>
        <v/>
      </c>
      <c r="N5" s="6" t="str">
        <f>IF(CHOORTbl[[#This Row],[ % OF TOTAL RURAL FUNDING]]=0,"",CHOORTbl[[#This Row],[ % OF TOTAL RURAL FUNDING]])</f>
        <v/>
      </c>
      <c r="O5" s="31" t="s">
        <v>513</v>
      </c>
      <c r="P5" s="109" t="str">
        <f>IF(SUM(CHOORTbl[[#This Row],[MFD RURAL UNITS]])=0,"",SUM(CHOORTbl[[#This Row],[MFD RURAL UNITS]]))</f>
        <v/>
      </c>
      <c r="Q5" s="74" t="str">
        <f xml:space="preserve">
IF(CHOORTbl[[#This Row],[TOTAL MFD RURAL]]=0,"",
CHOORTbl[[#This Row],[TOTAL MFD RURAL]]*
IF(CH_OOR_MFDRuralTotalRequested&lt;=(5000000-E$61-I$61-M$61),1,
(5000000-E$61-I$61-M$61)/CH_OOR_MFDRuralTotalRequested)
)</f>
        <v/>
      </c>
      <c r="R5" s="6" t="str">
        <f>IF(CHOORTbl[[#This Row],[ % OF TOTAL MFD RURAL FUNDING]]=0,"",CHOORTbl[[#This Row],[ % OF TOTAL MFD RURAL FUNDING]])</f>
        <v/>
      </c>
      <c r="S5" s="44" t="s">
        <v>513</v>
      </c>
      <c r="T5" s="116"/>
      <c r="U5" s="242"/>
      <c r="V5" s="745"/>
      <c r="W5" s="705"/>
      <c r="X5" s="242"/>
      <c r="Y5" s="242"/>
      <c r="Z5" s="242"/>
      <c r="AA5" s="118"/>
      <c r="AB5" s="6">
        <f>IF(CHOORTbl[[#This Row],[TOTAL UNRESTRICTED]]=0,0,CHOORTbl[[#This Row],[TOTAL UNRESTRICTED]]/SUM(CHOORTbl[TOTAL UNRESTRICTED]))</f>
        <v>0</v>
      </c>
      <c r="AC5" s="665">
        <f>IF(CHOORTbl[[#This Row],[ALL UNITS IN A HIGH OR HIGHEST RESOURCE AREA]]="Yes",10*CHOORTbl[[#This Row],[ % OF TOTAL FUNDING]],0)</f>
        <v>0</v>
      </c>
      <c r="AD5" s="665" cm="1">
        <f t="array" ref="AD5">INDEX(CountyScoresTbl[OOR Community Need],ROW(CHOORTbl[[#This Row],[COUNTY]])-2,1)*CHOORTbl[[#This Row],[ % OF TOTAL FUNDING]]</f>
        <v>0</v>
      </c>
      <c r="AE5" s="694" cm="1">
        <f t="array" ref="AE5">INDEX(CountyScoresTbl[OOR/ADU Total Feasibility Points Awarded],ROW(CHOORTbl[[#This Row],[COUNTY]])-2,1)*CHOORTbl[[#This Row],[ % OF TOTAL FUNDING]]</f>
        <v>0</v>
      </c>
      <c r="AF5" s="123"/>
      <c r="AG5" s="118"/>
      <c r="AH5" s="6">
        <f>IF(CHOORTbl[[#This Row],[TOTAL MANUFACTURED]]=0,0,CHOORTbl[[#This Row],[TOTAL MANUFACTURED]]/SUM(CHOORTbl[TOTAL MANUFACTURED]))</f>
        <v>0</v>
      </c>
      <c r="AI5" s="665">
        <f>IF(CHOORTbl[[#This Row],[ALL UNITS IN A HIGH OR HIGHEST RESOURCE AREA]]="Yes",10*CHOORTbl[[#This Row],[ % OF TOTAL FUNDING2]],0)</f>
        <v>0</v>
      </c>
      <c r="AJ5" s="665" cm="1">
        <f t="array" ref="AJ5">INDEX(CountyScoresTbl[OOR Community Need],ROW(CHOORTbl[[#This Row],[COUNTY]])-2,1)*CHOORTbl[[#This Row],[ % OF TOTAL FUNDING2]]</f>
        <v>0</v>
      </c>
      <c r="AK5" s="694" cm="1">
        <f t="array" ref="AK5">INDEX(CountyScoresTbl[OOR/ADU Total Feasibility Points Awarded],ROW(CHOORTbl[[#This Row],[COUNTY]])-2,1)*CHOORTbl[[#This Row],[ % OF TOTAL FUNDING2]]</f>
        <v>0</v>
      </c>
      <c r="AL5" s="123"/>
      <c r="AM5" s="117"/>
      <c r="AN5" s="117"/>
      <c r="AO5" s="117"/>
      <c r="AP5" s="118"/>
      <c r="AQ5" s="6">
        <f>IF(CHOORTbl[[#This Row],[TOTAL RURAL]]=0,0,CHOORTbl[[#This Row],[TOTAL RURAL]]/SUM(CHOORTbl[TOTAL RURAL]))</f>
        <v>0</v>
      </c>
      <c r="AR5" s="665">
        <f>IF(CHOORTbl[[#This Row],[ALL UNITS IN A HIGH OR HIGHEST RESOURCE AREA]]="Yes",10*CHOORTbl[[#This Row],[ % OF TOTAL RURAL FUNDING]],0)</f>
        <v>0</v>
      </c>
      <c r="AS5" s="665" cm="1">
        <f t="array" ref="AS5">INDEX(CountyScoresTbl[OOR Community Need],ROW(CHOORTbl[[#This Row],[COUNTY]])-2,1)*CHOORTbl[[#This Row],[ % OF TOTAL RURAL FUNDING]]</f>
        <v>0</v>
      </c>
      <c r="AT5" s="694" cm="1">
        <f t="array" ref="AT5">INDEX(CountyScoresTbl[OOR/ADU Total Feasibility Points Awarded],ROW(CHOORTbl[[#This Row],[COUNTY]])-2,1)*CHOORTbl[[#This Row],[ % OF TOTAL RURAL FUNDING]]</f>
        <v>0</v>
      </c>
      <c r="AU5" s="125"/>
      <c r="AV5" s="118"/>
      <c r="AW5" s="6">
        <f>IF(CHOORTbl[[#This Row],[TOTAL MFD RURAL]]=0,0,CHOORTbl[[#This Row],[TOTAL MFD RURAL]]/SUM(CHOORTbl[TOTAL MFD RURAL]))</f>
        <v>0</v>
      </c>
      <c r="AX5" s="665">
        <f>IF(CHOORTbl[[#This Row],[ALL UNITS IN A HIGH OR HIGHEST RESOURCE AREA]]="Yes",10*CHOORTbl[[#This Row],[ % OF TOTAL MFD RURAL FUNDING]],0)</f>
        <v>0</v>
      </c>
      <c r="AY5" s="665" cm="1">
        <f t="array" ref="AY5">INDEX(CountyScoresTbl[OOR Community Need],ROW(CHOORTbl[[#This Row],[COUNTY]])-2,1)*CHOORTbl[[#This Row],[ % OF TOTAL MFD RURAL FUNDING]]</f>
        <v>0</v>
      </c>
      <c r="AZ5" s="694" cm="1">
        <f t="array" ref="AZ5">INDEX(CountyScoresTbl[OOR/ADU Total Feasibility Points Awarded],ROW(CHOORTbl[[#This Row],[COUNTY]])-2,1)*CHOORTbl[[#This Row],[ % OF TOTAL MFD RURAL FUNDING]]</f>
        <v>0</v>
      </c>
      <c r="BA5" s="556"/>
      <c r="BB5" s="561">
        <f>SUM(CHOORTbl[[#This Row],[UNRESTRICTED ADF]],CHOORTbl[[#This Row],[Unrestricted Funds Requesting]])</f>
        <v>0</v>
      </c>
      <c r="BC5" s="556"/>
      <c r="BD5" s="561">
        <f>SUM(CHOORTbl[[#This Row],[MANUFACTURED ADF]],CHOORTbl[[#This Row],[Manufactured Home Funds Requesting]])</f>
        <v>0</v>
      </c>
      <c r="BE5" s="556"/>
      <c r="BF5" s="561">
        <f>SUM(CHOORTbl[[#This Row],[RURAL ADF]],CHOORTbl[[#This Row],[RURAL FUNDING REQUESTED]])</f>
        <v>0</v>
      </c>
      <c r="BG5" s="556"/>
      <c r="BH5" s="562">
        <f>SUM(CHOORTbl[[#This Row],[MFD RURAL ADF]],CHOORTbl[[#This Row],[MFD RURAL FUNDING REQUESTED]])</f>
        <v>0</v>
      </c>
    </row>
    <row r="6" spans="1:60" x14ac:dyDescent="0.35">
      <c r="A6" s="116"/>
      <c r="B6" s="5" t="s">
        <v>118</v>
      </c>
      <c r="C6" s="31" t="s">
        <v>513</v>
      </c>
      <c r="D6" s="109" t="str">
        <f>IF(SUM(CHOORTbl[[#This Row],[Unrestricted Repair Units]:[Unrestricted ADU Reconstruct Units]])=0,"",SUM(CHOORTbl[[#This Row],[Unrestricted Repair Units]:[Unrestricted ADU Reconstruct Units]]))</f>
        <v/>
      </c>
      <c r="E6" s="74" t="str">
        <f xml:space="preserve">
IF(CHOORTbl[[#This Row],[TOTAL UNRESTRICTED]]=0,"",
CHOORTbl[[#This Row],[TOTAL UNRESTRICTED]]*
IF(CH_OOR_UnrestrictedTotalRequested&lt;=5000000,1,
5000000/CH_OOR_UnrestrictedTotalRequested)
)</f>
        <v/>
      </c>
      <c r="F6" s="6" t="str">
        <f>IF(CHOORTbl[[#This Row],[ % OF TOTAL FUNDING]]=0,"",CHOORTbl[[#This Row],[ % OF TOTAL FUNDING]])</f>
        <v/>
      </c>
      <c r="G6" s="31" t="s">
        <v>513</v>
      </c>
      <c r="H6" s="109" t="str">
        <f>IF(SUM(CHOORTbl[[#This Row],[Manufactured Home Units]])=0,"",SUM(CHOORTbl[[#This Row],[Manufactured Home Units]]))</f>
        <v/>
      </c>
      <c r="I6" s="74" t="str">
        <f xml:space="preserve">
IF(CHOORTbl[[#This Row],[TOTAL MANUFACTURED]]=0,"",
CHOORTbl[[#This Row],[TOTAL MANUFACTURED]]*
IF(CH_OOR_ManufacturedTotalRequested&lt;=(5000000-E$61),1,
(5000000-E$61)/CH_OOR_ManufacturedTotalRequested)
)</f>
        <v/>
      </c>
      <c r="J6" s="6" t="str">
        <f>IF(CHOORTbl[[#This Row],[ % OF TOTAL FUNDING2]]=0,"",CHOORTbl[[#This Row],[ % OF TOTAL FUNDING2]])</f>
        <v/>
      </c>
      <c r="K6" s="31" t="s">
        <v>513</v>
      </c>
      <c r="L6" s="109" t="str">
        <f>IF(SUM(CHOORTbl[[#This Row],[RURAL AREA HOMES TO REPAIR2]:[RURAL AREA ADUS TO ADD OR RECONSTRUCT]])=0,"",SUM(CHOORTbl[[#This Row],[RURAL AREA HOMES TO REPAIR2]:[RURAL AREA ADUS TO ADD OR RECONSTRUCT]]))</f>
        <v/>
      </c>
      <c r="M6" s="74" t="str">
        <f xml:space="preserve">
IF(CHOORTbl[[#This Row],[TOTAL RURAL]]=0,"",
CHOORTbl[[#This Row],[TOTAL RURAL]]*
IF(CH_OOR_RuralTotalRequested&lt;=(5000000-E$61-I$61),1,
(5000000-E$61-I$61)/CH_OOR_RuralTotalRequested)
)</f>
        <v/>
      </c>
      <c r="N6" s="6" t="str">
        <f>IF(CHOORTbl[[#This Row],[ % OF TOTAL RURAL FUNDING]]=0,"",CHOORTbl[[#This Row],[ % OF TOTAL RURAL FUNDING]])</f>
        <v/>
      </c>
      <c r="O6" s="31" t="s">
        <v>513</v>
      </c>
      <c r="P6" s="109" t="str">
        <f>IF(SUM(CHOORTbl[[#This Row],[MFD RURAL UNITS]])=0,"",SUM(CHOORTbl[[#This Row],[MFD RURAL UNITS]]))</f>
        <v/>
      </c>
      <c r="Q6" s="74" t="str">
        <f xml:space="preserve">
IF(CHOORTbl[[#This Row],[TOTAL MFD RURAL]]=0,"",
CHOORTbl[[#This Row],[TOTAL MFD RURAL]]*
IF(CH_OOR_MFDRuralTotalRequested&lt;=(5000000-E$61-I$61-M$61),1,
(5000000-E$61-I$61-M$61)/CH_OOR_MFDRuralTotalRequested)
)</f>
        <v/>
      </c>
      <c r="R6" s="6" t="str">
        <f>IF(CHOORTbl[[#This Row],[ % OF TOTAL MFD RURAL FUNDING]]=0,"",CHOORTbl[[#This Row],[ % OF TOTAL MFD RURAL FUNDING]])</f>
        <v/>
      </c>
      <c r="S6" s="44" t="s">
        <v>513</v>
      </c>
      <c r="T6" s="116"/>
      <c r="U6" s="242"/>
      <c r="V6" s="745"/>
      <c r="W6" s="705"/>
      <c r="X6" s="242"/>
      <c r="Y6" s="242"/>
      <c r="Z6" s="242"/>
      <c r="AA6" s="118"/>
      <c r="AB6" s="6">
        <f>IF(CHOORTbl[[#This Row],[TOTAL UNRESTRICTED]]=0,0,CHOORTbl[[#This Row],[TOTAL UNRESTRICTED]]/SUM(CHOORTbl[TOTAL UNRESTRICTED]))</f>
        <v>0</v>
      </c>
      <c r="AC6" s="665">
        <f>IF(CHOORTbl[[#This Row],[ALL UNITS IN A HIGH OR HIGHEST RESOURCE AREA]]="Yes",10*CHOORTbl[[#This Row],[ % OF TOTAL FUNDING]],0)</f>
        <v>0</v>
      </c>
      <c r="AD6" s="665" cm="1">
        <f t="array" ref="AD6">INDEX(CountyScoresTbl[OOR Community Need],ROW(CHOORTbl[[#This Row],[COUNTY]])-2,1)*CHOORTbl[[#This Row],[ % OF TOTAL FUNDING]]</f>
        <v>0</v>
      </c>
      <c r="AE6" s="694" cm="1">
        <f t="array" ref="AE6">INDEX(CountyScoresTbl[OOR/ADU Total Feasibility Points Awarded],ROW(CHOORTbl[[#This Row],[COUNTY]])-2,1)*CHOORTbl[[#This Row],[ % OF TOTAL FUNDING]]</f>
        <v>0</v>
      </c>
      <c r="AF6" s="124"/>
      <c r="AG6" s="118"/>
      <c r="AH6" s="6">
        <f>IF(CHOORTbl[[#This Row],[TOTAL MANUFACTURED]]=0,0,CHOORTbl[[#This Row],[TOTAL MANUFACTURED]]/SUM(CHOORTbl[TOTAL MANUFACTURED]))</f>
        <v>0</v>
      </c>
      <c r="AI6" s="665">
        <f>IF(CHOORTbl[[#This Row],[ALL UNITS IN A HIGH OR HIGHEST RESOURCE AREA]]="Yes",10*CHOORTbl[[#This Row],[ % OF TOTAL FUNDING2]],0)</f>
        <v>0</v>
      </c>
      <c r="AJ6" s="665" cm="1">
        <f t="array" ref="AJ6">INDEX(CountyScoresTbl[OOR Community Need],ROW(CHOORTbl[[#This Row],[COUNTY]])-2,1)*CHOORTbl[[#This Row],[ % OF TOTAL FUNDING2]]</f>
        <v>0</v>
      </c>
      <c r="AK6" s="694" cm="1">
        <f t="array" ref="AK6">INDEX(CountyScoresTbl[OOR/ADU Total Feasibility Points Awarded],ROW(CHOORTbl[[#This Row],[COUNTY]])-2,1)*CHOORTbl[[#This Row],[ % OF TOTAL FUNDING2]]</f>
        <v>0</v>
      </c>
      <c r="AL6" s="124"/>
      <c r="AM6" s="119"/>
      <c r="AN6" s="119"/>
      <c r="AO6" s="119"/>
      <c r="AP6" s="118"/>
      <c r="AQ6" s="6">
        <f>IF(CHOORTbl[[#This Row],[TOTAL RURAL]]=0,0,CHOORTbl[[#This Row],[TOTAL RURAL]]/SUM(CHOORTbl[TOTAL RURAL]))</f>
        <v>0</v>
      </c>
      <c r="AR6" s="665">
        <f>IF(CHOORTbl[[#This Row],[ALL UNITS IN A HIGH OR HIGHEST RESOURCE AREA]]="Yes",10*CHOORTbl[[#This Row],[ % OF TOTAL RURAL FUNDING]],0)</f>
        <v>0</v>
      </c>
      <c r="AS6" s="665" cm="1">
        <f t="array" ref="AS6">INDEX(CountyScoresTbl[OOR Community Need],ROW(CHOORTbl[[#This Row],[COUNTY]])-2,1)*CHOORTbl[[#This Row],[ % OF TOTAL RURAL FUNDING]]</f>
        <v>0</v>
      </c>
      <c r="AT6" s="694" cm="1">
        <f t="array" ref="AT6">INDEX(CountyScoresTbl[OOR/ADU Total Feasibility Points Awarded],ROW(CHOORTbl[[#This Row],[COUNTY]])-2,1)*CHOORTbl[[#This Row],[ % OF TOTAL RURAL FUNDING]]</f>
        <v>0</v>
      </c>
      <c r="AU6" s="126"/>
      <c r="AV6" s="118"/>
      <c r="AW6" s="6">
        <f>IF(CHOORTbl[[#This Row],[TOTAL MFD RURAL]]=0,0,CHOORTbl[[#This Row],[TOTAL MFD RURAL]]/SUM(CHOORTbl[TOTAL MFD RURAL]))</f>
        <v>0</v>
      </c>
      <c r="AX6" s="665">
        <f>IF(CHOORTbl[[#This Row],[ALL UNITS IN A HIGH OR HIGHEST RESOURCE AREA]]="Yes",10*CHOORTbl[[#This Row],[ % OF TOTAL MFD RURAL FUNDING]],0)</f>
        <v>0</v>
      </c>
      <c r="AY6" s="665" cm="1">
        <f t="array" ref="AY6">INDEX(CountyScoresTbl[OOR Community Need],ROW(CHOORTbl[[#This Row],[COUNTY]])-2,1)*CHOORTbl[[#This Row],[ % OF TOTAL MFD RURAL FUNDING]]</f>
        <v>0</v>
      </c>
      <c r="AZ6" s="694" cm="1">
        <f t="array" ref="AZ6">INDEX(CountyScoresTbl[OOR/ADU Total Feasibility Points Awarded],ROW(CHOORTbl[[#This Row],[COUNTY]])-2,1)*CHOORTbl[[#This Row],[ % OF TOTAL MFD RURAL FUNDING]]</f>
        <v>0</v>
      </c>
      <c r="BA6" s="556"/>
      <c r="BB6" s="561">
        <f>SUM(CHOORTbl[[#This Row],[UNRESTRICTED ADF]],CHOORTbl[[#This Row],[Unrestricted Funds Requesting]])</f>
        <v>0</v>
      </c>
      <c r="BC6" s="556"/>
      <c r="BD6" s="561">
        <f>SUM(CHOORTbl[[#This Row],[MANUFACTURED ADF]],CHOORTbl[[#This Row],[Manufactured Home Funds Requesting]])</f>
        <v>0</v>
      </c>
      <c r="BE6" s="556"/>
      <c r="BF6" s="561">
        <f>SUM(CHOORTbl[[#This Row],[RURAL ADF]],CHOORTbl[[#This Row],[RURAL FUNDING REQUESTED]])</f>
        <v>0</v>
      </c>
      <c r="BG6" s="556"/>
      <c r="BH6" s="562">
        <f>SUM(CHOORTbl[[#This Row],[MFD RURAL ADF]],CHOORTbl[[#This Row],[MFD RURAL FUNDING REQUESTED]])</f>
        <v>0</v>
      </c>
    </row>
    <row r="7" spans="1:60" x14ac:dyDescent="0.35">
      <c r="A7" s="115"/>
      <c r="B7" s="5" t="s">
        <v>119</v>
      </c>
      <c r="C7" s="31" t="s">
        <v>513</v>
      </c>
      <c r="D7" s="109" t="str">
        <f>IF(SUM(CHOORTbl[[#This Row],[Unrestricted Repair Units]:[Unrestricted ADU Reconstruct Units]])=0,"",SUM(CHOORTbl[[#This Row],[Unrestricted Repair Units]:[Unrestricted ADU Reconstruct Units]]))</f>
        <v/>
      </c>
      <c r="E7" s="74" t="str">
        <f xml:space="preserve">
IF(CHOORTbl[[#This Row],[TOTAL UNRESTRICTED]]=0,"",
CHOORTbl[[#This Row],[TOTAL UNRESTRICTED]]*
IF(CH_OOR_UnrestrictedTotalRequested&lt;=5000000,1,
5000000/CH_OOR_UnrestrictedTotalRequested)
)</f>
        <v/>
      </c>
      <c r="F7" s="6" t="str">
        <f>IF(CHOORTbl[[#This Row],[ % OF TOTAL FUNDING]]=0,"",CHOORTbl[[#This Row],[ % OF TOTAL FUNDING]])</f>
        <v/>
      </c>
      <c r="G7" s="31" t="s">
        <v>513</v>
      </c>
      <c r="H7" s="109" t="str">
        <f>IF(SUM(CHOORTbl[[#This Row],[Manufactured Home Units]])=0,"",SUM(CHOORTbl[[#This Row],[Manufactured Home Units]]))</f>
        <v/>
      </c>
      <c r="I7" s="74" t="str">
        <f xml:space="preserve">
IF(CHOORTbl[[#This Row],[TOTAL MANUFACTURED]]=0,"",
CHOORTbl[[#This Row],[TOTAL MANUFACTURED]]*
IF(CH_OOR_ManufacturedTotalRequested&lt;=(5000000-E$61),1,
(5000000-E$61)/CH_OOR_ManufacturedTotalRequested)
)</f>
        <v/>
      </c>
      <c r="J7" s="6" t="str">
        <f>IF(CHOORTbl[[#This Row],[ % OF TOTAL FUNDING2]]=0,"",CHOORTbl[[#This Row],[ % OF TOTAL FUNDING2]])</f>
        <v/>
      </c>
      <c r="K7" s="31" t="s">
        <v>513</v>
      </c>
      <c r="L7" s="109" t="str">
        <f>IF(SUM(CHOORTbl[[#This Row],[RURAL AREA HOMES TO REPAIR2]:[RURAL AREA ADUS TO ADD OR RECONSTRUCT]])=0,"",SUM(CHOORTbl[[#This Row],[RURAL AREA HOMES TO REPAIR2]:[RURAL AREA ADUS TO ADD OR RECONSTRUCT]]))</f>
        <v/>
      </c>
      <c r="M7" s="74" t="str">
        <f xml:space="preserve">
IF(CHOORTbl[[#This Row],[TOTAL RURAL]]=0,"",
CHOORTbl[[#This Row],[TOTAL RURAL]]*
IF(CH_OOR_RuralTotalRequested&lt;=(5000000-E$61-I$61),1,
(5000000-E$61-I$61)/CH_OOR_RuralTotalRequested)
)</f>
        <v/>
      </c>
      <c r="N7" s="6" t="str">
        <f>IF(CHOORTbl[[#This Row],[ % OF TOTAL RURAL FUNDING]]=0,"",CHOORTbl[[#This Row],[ % OF TOTAL RURAL FUNDING]])</f>
        <v/>
      </c>
      <c r="O7" s="31" t="s">
        <v>513</v>
      </c>
      <c r="P7" s="109" t="str">
        <f>IF(SUM(CHOORTbl[[#This Row],[MFD RURAL UNITS]])=0,"",SUM(CHOORTbl[[#This Row],[MFD RURAL UNITS]]))</f>
        <v/>
      </c>
      <c r="Q7" s="74" t="str">
        <f xml:space="preserve">
IF(CHOORTbl[[#This Row],[TOTAL MFD RURAL]]=0,"",
CHOORTbl[[#This Row],[TOTAL MFD RURAL]]*
IF(CH_OOR_MFDRuralTotalRequested&lt;=(5000000-E$61-I$61-M$61),1,
(5000000-E$61-I$61-M$61)/CH_OOR_MFDRuralTotalRequested)
)</f>
        <v/>
      </c>
      <c r="R7" s="6" t="str">
        <f>IF(CHOORTbl[[#This Row],[ % OF TOTAL MFD RURAL FUNDING]]=0,"",CHOORTbl[[#This Row],[ % OF TOTAL MFD RURAL FUNDING]])</f>
        <v/>
      </c>
      <c r="S7" s="44" t="s">
        <v>513</v>
      </c>
      <c r="T7" s="115"/>
      <c r="U7" s="241"/>
      <c r="V7" s="804"/>
      <c r="W7" s="802"/>
      <c r="X7" s="805"/>
      <c r="Y7" s="805"/>
      <c r="Z7" s="805"/>
      <c r="AA7" s="118"/>
      <c r="AB7" s="6">
        <f>IF(CHOORTbl[[#This Row],[TOTAL UNRESTRICTED]]=0,0,CHOORTbl[[#This Row],[TOTAL UNRESTRICTED]]/SUM(CHOORTbl[TOTAL UNRESTRICTED]))</f>
        <v>0</v>
      </c>
      <c r="AC7" s="665">
        <f>IF(CHOORTbl[[#This Row],[ALL UNITS IN A HIGH OR HIGHEST RESOURCE AREA]]="Yes",10*CHOORTbl[[#This Row],[ % OF TOTAL FUNDING]],0)</f>
        <v>0</v>
      </c>
      <c r="AD7" s="665" cm="1">
        <f t="array" ref="AD7">INDEX(CountyScoresTbl[OOR Community Need],ROW(CHOORTbl[[#This Row],[COUNTY]])-2,1)*CHOORTbl[[#This Row],[ % OF TOTAL FUNDING]]</f>
        <v>0</v>
      </c>
      <c r="AE7" s="694" cm="1">
        <f t="array" ref="AE7">INDEX(CountyScoresTbl[OOR/ADU Total Feasibility Points Awarded],ROW(CHOORTbl[[#This Row],[COUNTY]])-2,1)*CHOORTbl[[#This Row],[ % OF TOTAL FUNDING]]</f>
        <v>0</v>
      </c>
      <c r="AF7" s="123"/>
      <c r="AG7" s="118"/>
      <c r="AH7" s="6">
        <f>IF(CHOORTbl[[#This Row],[TOTAL MANUFACTURED]]=0,0,CHOORTbl[[#This Row],[TOTAL MANUFACTURED]]/SUM(CHOORTbl[TOTAL MANUFACTURED]))</f>
        <v>0</v>
      </c>
      <c r="AI7" s="665">
        <f>IF(CHOORTbl[[#This Row],[ALL UNITS IN A HIGH OR HIGHEST RESOURCE AREA]]="Yes",10*CHOORTbl[[#This Row],[ % OF TOTAL FUNDING2]],0)</f>
        <v>0</v>
      </c>
      <c r="AJ7" s="665" cm="1">
        <f t="array" ref="AJ7">INDEX(CountyScoresTbl[OOR Community Need],ROW(CHOORTbl[[#This Row],[COUNTY]])-2,1)*CHOORTbl[[#This Row],[ % OF TOTAL FUNDING2]]</f>
        <v>0</v>
      </c>
      <c r="AK7" s="694" cm="1">
        <f t="array" ref="AK7">INDEX(CountyScoresTbl[OOR/ADU Total Feasibility Points Awarded],ROW(CHOORTbl[[#This Row],[COUNTY]])-2,1)*CHOORTbl[[#This Row],[ % OF TOTAL FUNDING2]]</f>
        <v>0</v>
      </c>
      <c r="AL7" s="123"/>
      <c r="AM7" s="117"/>
      <c r="AN7" s="117"/>
      <c r="AO7" s="117"/>
      <c r="AP7" s="118"/>
      <c r="AQ7" s="6">
        <f>IF(CHOORTbl[[#This Row],[TOTAL RURAL]]=0,0,CHOORTbl[[#This Row],[TOTAL RURAL]]/SUM(CHOORTbl[TOTAL RURAL]))</f>
        <v>0</v>
      </c>
      <c r="AR7" s="665">
        <f>IF(CHOORTbl[[#This Row],[ALL UNITS IN A HIGH OR HIGHEST RESOURCE AREA]]="Yes",10*CHOORTbl[[#This Row],[ % OF TOTAL RURAL FUNDING]],0)</f>
        <v>0</v>
      </c>
      <c r="AS7" s="665" cm="1">
        <f t="array" ref="AS7">INDEX(CountyScoresTbl[OOR Community Need],ROW(CHOORTbl[[#This Row],[COUNTY]])-2,1)*CHOORTbl[[#This Row],[ % OF TOTAL RURAL FUNDING]]</f>
        <v>0</v>
      </c>
      <c r="AT7" s="694" cm="1">
        <f t="array" ref="AT7">INDEX(CountyScoresTbl[OOR/ADU Total Feasibility Points Awarded],ROW(CHOORTbl[[#This Row],[COUNTY]])-2,1)*CHOORTbl[[#This Row],[ % OF TOTAL RURAL FUNDING]]</f>
        <v>0</v>
      </c>
      <c r="AU7" s="125"/>
      <c r="AV7" s="118"/>
      <c r="AW7" s="6">
        <f>IF(CHOORTbl[[#This Row],[TOTAL MFD RURAL]]=0,0,CHOORTbl[[#This Row],[TOTAL MFD RURAL]]/SUM(CHOORTbl[TOTAL MFD RURAL]))</f>
        <v>0</v>
      </c>
      <c r="AX7" s="665">
        <f>IF(CHOORTbl[[#This Row],[ALL UNITS IN A HIGH OR HIGHEST RESOURCE AREA]]="Yes",10*CHOORTbl[[#This Row],[ % OF TOTAL MFD RURAL FUNDING]],0)</f>
        <v>0</v>
      </c>
      <c r="AY7" s="665" cm="1">
        <f t="array" ref="AY7">INDEX(CountyScoresTbl[OOR Community Need],ROW(CHOORTbl[[#This Row],[COUNTY]])-2,1)*CHOORTbl[[#This Row],[ % OF TOTAL MFD RURAL FUNDING]]</f>
        <v>0</v>
      </c>
      <c r="AZ7" s="694" cm="1">
        <f t="array" ref="AZ7">INDEX(CountyScoresTbl[OOR/ADU Total Feasibility Points Awarded],ROW(CHOORTbl[[#This Row],[COUNTY]])-2,1)*CHOORTbl[[#This Row],[ % OF TOTAL MFD RURAL FUNDING]]</f>
        <v>0</v>
      </c>
      <c r="BA7" s="556"/>
      <c r="BB7" s="561">
        <f>SUM(CHOORTbl[[#This Row],[UNRESTRICTED ADF]],CHOORTbl[[#This Row],[Unrestricted Funds Requesting]])</f>
        <v>0</v>
      </c>
      <c r="BC7" s="556"/>
      <c r="BD7" s="561">
        <f>SUM(CHOORTbl[[#This Row],[MANUFACTURED ADF]],CHOORTbl[[#This Row],[Manufactured Home Funds Requesting]])</f>
        <v>0</v>
      </c>
      <c r="BE7" s="556"/>
      <c r="BF7" s="561">
        <f>SUM(CHOORTbl[[#This Row],[RURAL ADF]],CHOORTbl[[#This Row],[RURAL FUNDING REQUESTED]])</f>
        <v>0</v>
      </c>
      <c r="BG7" s="556"/>
      <c r="BH7" s="562">
        <f>SUM(CHOORTbl[[#This Row],[MFD RURAL ADF]],CHOORTbl[[#This Row],[MFD RURAL FUNDING REQUESTED]])</f>
        <v>0</v>
      </c>
    </row>
    <row r="8" spans="1:60" x14ac:dyDescent="0.35">
      <c r="A8" s="116"/>
      <c r="B8" s="5" t="s">
        <v>120</v>
      </c>
      <c r="C8" s="31" t="s">
        <v>513</v>
      </c>
      <c r="D8" s="109" t="str">
        <f>IF(SUM(CHOORTbl[[#This Row],[Unrestricted Repair Units]:[Unrestricted ADU Reconstruct Units]])=0,"",SUM(CHOORTbl[[#This Row],[Unrestricted Repair Units]:[Unrestricted ADU Reconstruct Units]]))</f>
        <v/>
      </c>
      <c r="E8" s="74" t="str">
        <f xml:space="preserve">
IF(CHOORTbl[[#This Row],[TOTAL UNRESTRICTED]]=0,"",
CHOORTbl[[#This Row],[TOTAL UNRESTRICTED]]*
IF(CH_OOR_UnrestrictedTotalRequested&lt;=5000000,1,
5000000/CH_OOR_UnrestrictedTotalRequested)
)</f>
        <v/>
      </c>
      <c r="F8" s="6" t="str">
        <f>IF(CHOORTbl[[#This Row],[ % OF TOTAL FUNDING]]=0,"",CHOORTbl[[#This Row],[ % OF TOTAL FUNDING]])</f>
        <v/>
      </c>
      <c r="G8" s="31" t="s">
        <v>513</v>
      </c>
      <c r="H8" s="109" t="str">
        <f>IF(SUM(CHOORTbl[[#This Row],[Manufactured Home Units]])=0,"",SUM(CHOORTbl[[#This Row],[Manufactured Home Units]]))</f>
        <v/>
      </c>
      <c r="I8" s="74" t="str">
        <f xml:space="preserve">
IF(CHOORTbl[[#This Row],[TOTAL MANUFACTURED]]=0,"",
CHOORTbl[[#This Row],[TOTAL MANUFACTURED]]*
IF(CH_OOR_ManufacturedTotalRequested&lt;=(5000000-E$61),1,
(5000000-E$61)/CH_OOR_ManufacturedTotalRequested)
)</f>
        <v/>
      </c>
      <c r="J8" s="6" t="str">
        <f>IF(CHOORTbl[[#This Row],[ % OF TOTAL FUNDING2]]=0,"",CHOORTbl[[#This Row],[ % OF TOTAL FUNDING2]])</f>
        <v/>
      </c>
      <c r="K8" s="31" t="s">
        <v>513</v>
      </c>
      <c r="L8" s="109" t="str">
        <f>IF(SUM(CHOORTbl[[#This Row],[RURAL AREA HOMES TO REPAIR2]:[RURAL AREA ADUS TO ADD OR RECONSTRUCT]])=0,"",SUM(CHOORTbl[[#This Row],[RURAL AREA HOMES TO REPAIR2]:[RURAL AREA ADUS TO ADD OR RECONSTRUCT]]))</f>
        <v/>
      </c>
      <c r="M8" s="74" t="str">
        <f xml:space="preserve">
IF(CHOORTbl[[#This Row],[TOTAL RURAL]]=0,"",
CHOORTbl[[#This Row],[TOTAL RURAL]]*
IF(CH_OOR_RuralTotalRequested&lt;=(5000000-E$61-I$61),1,
(5000000-E$61-I$61)/CH_OOR_RuralTotalRequested)
)</f>
        <v/>
      </c>
      <c r="N8" s="6" t="str">
        <f>IF(CHOORTbl[[#This Row],[ % OF TOTAL RURAL FUNDING]]=0,"",CHOORTbl[[#This Row],[ % OF TOTAL RURAL FUNDING]])</f>
        <v/>
      </c>
      <c r="O8" s="31" t="s">
        <v>513</v>
      </c>
      <c r="P8" s="109" t="str">
        <f>IF(SUM(CHOORTbl[[#This Row],[MFD RURAL UNITS]])=0,"",SUM(CHOORTbl[[#This Row],[MFD RURAL UNITS]]))</f>
        <v/>
      </c>
      <c r="Q8" s="74" t="str">
        <f xml:space="preserve">
IF(CHOORTbl[[#This Row],[TOTAL MFD RURAL]]=0,"",
CHOORTbl[[#This Row],[TOTAL MFD RURAL]]*
IF(CH_OOR_MFDRuralTotalRequested&lt;=(5000000-E$61-I$61-M$61),1,
(5000000-E$61-I$61-M$61)/CH_OOR_MFDRuralTotalRequested)
)</f>
        <v/>
      </c>
      <c r="R8" s="6" t="str">
        <f>IF(CHOORTbl[[#This Row],[ % OF TOTAL MFD RURAL FUNDING]]=0,"",CHOORTbl[[#This Row],[ % OF TOTAL MFD RURAL FUNDING]])</f>
        <v/>
      </c>
      <c r="S8" s="44" t="s">
        <v>513</v>
      </c>
      <c r="T8" s="116"/>
      <c r="U8" s="242"/>
      <c r="V8" s="745"/>
      <c r="W8" s="705"/>
      <c r="X8" s="242"/>
      <c r="Y8" s="242"/>
      <c r="Z8" s="242"/>
      <c r="AA8" s="118"/>
      <c r="AB8" s="6">
        <f>IF(CHOORTbl[[#This Row],[TOTAL UNRESTRICTED]]=0,0,CHOORTbl[[#This Row],[TOTAL UNRESTRICTED]]/SUM(CHOORTbl[TOTAL UNRESTRICTED]))</f>
        <v>0</v>
      </c>
      <c r="AC8" s="665">
        <f>IF(CHOORTbl[[#This Row],[ALL UNITS IN A HIGH OR HIGHEST RESOURCE AREA]]="Yes",10*CHOORTbl[[#This Row],[ % OF TOTAL FUNDING]],0)</f>
        <v>0</v>
      </c>
      <c r="AD8" s="665" cm="1">
        <f t="array" ref="AD8">INDEX(CountyScoresTbl[OOR Community Need],ROW(CHOORTbl[[#This Row],[COUNTY]])-2,1)*CHOORTbl[[#This Row],[ % OF TOTAL FUNDING]]</f>
        <v>0</v>
      </c>
      <c r="AE8" s="694" cm="1">
        <f t="array" ref="AE8">INDEX(CountyScoresTbl[OOR/ADU Total Feasibility Points Awarded],ROW(CHOORTbl[[#This Row],[COUNTY]])-2,1)*CHOORTbl[[#This Row],[ % OF TOTAL FUNDING]]</f>
        <v>0</v>
      </c>
      <c r="AF8" s="124"/>
      <c r="AG8" s="118"/>
      <c r="AH8" s="6">
        <f>IF(CHOORTbl[[#This Row],[TOTAL MANUFACTURED]]=0,0,CHOORTbl[[#This Row],[TOTAL MANUFACTURED]]/SUM(CHOORTbl[TOTAL MANUFACTURED]))</f>
        <v>0</v>
      </c>
      <c r="AI8" s="665">
        <f>IF(CHOORTbl[[#This Row],[ALL UNITS IN A HIGH OR HIGHEST RESOURCE AREA]]="Yes",10*CHOORTbl[[#This Row],[ % OF TOTAL FUNDING2]],0)</f>
        <v>0</v>
      </c>
      <c r="AJ8" s="665" cm="1">
        <f t="array" ref="AJ8">INDEX(CountyScoresTbl[OOR Community Need],ROW(CHOORTbl[[#This Row],[COUNTY]])-2,1)*CHOORTbl[[#This Row],[ % OF TOTAL FUNDING2]]</f>
        <v>0</v>
      </c>
      <c r="AK8" s="694" cm="1">
        <f t="array" ref="AK8">INDEX(CountyScoresTbl[OOR/ADU Total Feasibility Points Awarded],ROW(CHOORTbl[[#This Row],[COUNTY]])-2,1)*CHOORTbl[[#This Row],[ % OF TOTAL FUNDING2]]</f>
        <v>0</v>
      </c>
      <c r="AL8" s="124"/>
      <c r="AM8" s="119"/>
      <c r="AN8" s="119"/>
      <c r="AO8" s="119"/>
      <c r="AP8" s="118"/>
      <c r="AQ8" s="6">
        <f>IF(CHOORTbl[[#This Row],[TOTAL RURAL]]=0,0,CHOORTbl[[#This Row],[TOTAL RURAL]]/SUM(CHOORTbl[TOTAL RURAL]))</f>
        <v>0</v>
      </c>
      <c r="AR8" s="665">
        <f>IF(CHOORTbl[[#This Row],[ALL UNITS IN A HIGH OR HIGHEST RESOURCE AREA]]="Yes",10*CHOORTbl[[#This Row],[ % OF TOTAL RURAL FUNDING]],0)</f>
        <v>0</v>
      </c>
      <c r="AS8" s="665" cm="1">
        <f t="array" ref="AS8">INDEX(CountyScoresTbl[OOR Community Need],ROW(CHOORTbl[[#This Row],[COUNTY]])-2,1)*CHOORTbl[[#This Row],[ % OF TOTAL RURAL FUNDING]]</f>
        <v>0</v>
      </c>
      <c r="AT8" s="694" cm="1">
        <f t="array" ref="AT8">INDEX(CountyScoresTbl[OOR/ADU Total Feasibility Points Awarded],ROW(CHOORTbl[[#This Row],[COUNTY]])-2,1)*CHOORTbl[[#This Row],[ % OF TOTAL RURAL FUNDING]]</f>
        <v>0</v>
      </c>
      <c r="AU8" s="126"/>
      <c r="AV8" s="118"/>
      <c r="AW8" s="6">
        <f>IF(CHOORTbl[[#This Row],[TOTAL MFD RURAL]]=0,0,CHOORTbl[[#This Row],[TOTAL MFD RURAL]]/SUM(CHOORTbl[TOTAL MFD RURAL]))</f>
        <v>0</v>
      </c>
      <c r="AX8" s="665">
        <f>IF(CHOORTbl[[#This Row],[ALL UNITS IN A HIGH OR HIGHEST RESOURCE AREA]]="Yes",10*CHOORTbl[[#This Row],[ % OF TOTAL MFD RURAL FUNDING]],0)</f>
        <v>0</v>
      </c>
      <c r="AY8" s="665" cm="1">
        <f t="array" ref="AY8">INDEX(CountyScoresTbl[OOR Community Need],ROW(CHOORTbl[[#This Row],[COUNTY]])-2,1)*CHOORTbl[[#This Row],[ % OF TOTAL MFD RURAL FUNDING]]</f>
        <v>0</v>
      </c>
      <c r="AZ8" s="694" cm="1">
        <f t="array" ref="AZ8">INDEX(CountyScoresTbl[OOR/ADU Total Feasibility Points Awarded],ROW(CHOORTbl[[#This Row],[COUNTY]])-2,1)*CHOORTbl[[#This Row],[ % OF TOTAL MFD RURAL FUNDING]]</f>
        <v>0</v>
      </c>
      <c r="BA8" s="556"/>
      <c r="BB8" s="561">
        <f>SUM(CHOORTbl[[#This Row],[UNRESTRICTED ADF]],CHOORTbl[[#This Row],[Unrestricted Funds Requesting]])</f>
        <v>0</v>
      </c>
      <c r="BC8" s="556"/>
      <c r="BD8" s="561">
        <f>SUM(CHOORTbl[[#This Row],[MANUFACTURED ADF]],CHOORTbl[[#This Row],[Manufactured Home Funds Requesting]])</f>
        <v>0</v>
      </c>
      <c r="BE8" s="556"/>
      <c r="BF8" s="561">
        <f>SUM(CHOORTbl[[#This Row],[RURAL ADF]],CHOORTbl[[#This Row],[RURAL FUNDING REQUESTED]])</f>
        <v>0</v>
      </c>
      <c r="BG8" s="556"/>
      <c r="BH8" s="562">
        <f>SUM(CHOORTbl[[#This Row],[MFD RURAL ADF]],CHOORTbl[[#This Row],[MFD RURAL FUNDING REQUESTED]])</f>
        <v>0</v>
      </c>
    </row>
    <row r="9" spans="1:60" x14ac:dyDescent="0.35">
      <c r="A9" s="115" t="s">
        <v>504</v>
      </c>
      <c r="B9" s="5" t="s">
        <v>121</v>
      </c>
      <c r="C9" s="31" t="s">
        <v>513</v>
      </c>
      <c r="D9" s="109" t="str">
        <f>IF(SUM(CHOORTbl[[#This Row],[Unrestricted Repair Units]:[Unrestricted ADU Reconstruct Units]])=0,"",SUM(CHOORTbl[[#This Row],[Unrestricted Repair Units]:[Unrestricted ADU Reconstruct Units]]))</f>
        <v/>
      </c>
      <c r="E9" s="74" t="str">
        <f xml:space="preserve">
IF(CHOORTbl[[#This Row],[TOTAL UNRESTRICTED]]=0,"",
CHOORTbl[[#This Row],[TOTAL UNRESTRICTED]]*
IF(CH_OOR_UnrestrictedTotalRequested&lt;=5000000,1,
5000000/CH_OOR_UnrestrictedTotalRequested)
)</f>
        <v/>
      </c>
      <c r="F9" s="6" t="str">
        <f>IF(CHOORTbl[[#This Row],[ % OF TOTAL FUNDING]]=0,"",CHOORTbl[[#This Row],[ % OF TOTAL FUNDING]])</f>
        <v/>
      </c>
      <c r="G9" s="31" t="s">
        <v>513</v>
      </c>
      <c r="H9" s="109" t="str">
        <f>IF(SUM(CHOORTbl[[#This Row],[Manufactured Home Units]])=0,"",SUM(CHOORTbl[[#This Row],[Manufactured Home Units]]))</f>
        <v/>
      </c>
      <c r="I9" s="74" t="str">
        <f xml:space="preserve">
IF(CHOORTbl[[#This Row],[TOTAL MANUFACTURED]]=0,"",
CHOORTbl[[#This Row],[TOTAL MANUFACTURED]]*
IF(CH_OOR_ManufacturedTotalRequested&lt;=(5000000-E$61),1,
(5000000-E$61)/CH_OOR_ManufacturedTotalRequested)
)</f>
        <v/>
      </c>
      <c r="J9" s="6" t="str">
        <f>IF(CHOORTbl[[#This Row],[ % OF TOTAL FUNDING2]]=0,"",CHOORTbl[[#This Row],[ % OF TOTAL FUNDING2]])</f>
        <v/>
      </c>
      <c r="K9" s="31" t="s">
        <v>513</v>
      </c>
      <c r="L9" s="109" t="str">
        <f>IF(SUM(CHOORTbl[[#This Row],[RURAL AREA HOMES TO REPAIR2]:[RURAL AREA ADUS TO ADD OR RECONSTRUCT]])=0,"",SUM(CHOORTbl[[#This Row],[RURAL AREA HOMES TO REPAIR2]:[RURAL AREA ADUS TO ADD OR RECONSTRUCT]]))</f>
        <v/>
      </c>
      <c r="M9" s="74" t="str">
        <f xml:space="preserve">
IF(CHOORTbl[[#This Row],[TOTAL RURAL]]=0,"",
CHOORTbl[[#This Row],[TOTAL RURAL]]*
IF(CH_OOR_RuralTotalRequested&lt;=(5000000-E$61-I$61),1,
(5000000-E$61-I$61)/CH_OOR_RuralTotalRequested)
)</f>
        <v/>
      </c>
      <c r="N9" s="6" t="str">
        <f>IF(CHOORTbl[[#This Row],[ % OF TOTAL RURAL FUNDING]]=0,"",CHOORTbl[[#This Row],[ % OF TOTAL RURAL FUNDING]])</f>
        <v/>
      </c>
      <c r="O9" s="31" t="s">
        <v>513</v>
      </c>
      <c r="P9" s="109" t="str">
        <f>IF(SUM(CHOORTbl[[#This Row],[MFD RURAL UNITS]])=0,"",SUM(CHOORTbl[[#This Row],[MFD RURAL UNITS]]))</f>
        <v/>
      </c>
      <c r="Q9" s="74" t="str">
        <f xml:space="preserve">
IF(CHOORTbl[[#This Row],[TOTAL MFD RURAL]]=0,"",
CHOORTbl[[#This Row],[TOTAL MFD RURAL]]*
IF(CH_OOR_MFDRuralTotalRequested&lt;=(5000000-E$61-I$61-M$61),1,
(5000000-E$61-I$61-M$61)/CH_OOR_MFDRuralTotalRequested)
)</f>
        <v/>
      </c>
      <c r="R9" s="6" t="str">
        <f>IF(CHOORTbl[[#This Row],[ % OF TOTAL MFD RURAL FUNDING]]=0,"",CHOORTbl[[#This Row],[ % OF TOTAL MFD RURAL FUNDING]])</f>
        <v/>
      </c>
      <c r="S9" s="44" t="s">
        <v>513</v>
      </c>
      <c r="T9" s="116"/>
      <c r="U9" s="242"/>
      <c r="V9" s="745"/>
      <c r="W9" s="705"/>
      <c r="X9" s="242"/>
      <c r="Y9" s="242"/>
      <c r="Z9" s="242"/>
      <c r="AA9" s="118"/>
      <c r="AB9" s="6">
        <f>IF(CHOORTbl[[#This Row],[TOTAL UNRESTRICTED]]=0,0,CHOORTbl[[#This Row],[TOTAL UNRESTRICTED]]/SUM(CHOORTbl[TOTAL UNRESTRICTED]))</f>
        <v>0</v>
      </c>
      <c r="AC9" s="665">
        <f>IF(CHOORTbl[[#This Row],[ALL UNITS IN A HIGH OR HIGHEST RESOURCE AREA]]="Yes",10*CHOORTbl[[#This Row],[ % OF TOTAL FUNDING]],0)</f>
        <v>0</v>
      </c>
      <c r="AD9" s="665" cm="1">
        <f t="array" ref="AD9">INDEX(CountyScoresTbl[OOR Community Need],ROW(CHOORTbl[[#This Row],[COUNTY]])-2,1)*CHOORTbl[[#This Row],[ % OF TOTAL FUNDING]]</f>
        <v>0</v>
      </c>
      <c r="AE9" s="694" cm="1">
        <f t="array" ref="AE9">INDEX(CountyScoresTbl[OOR/ADU Total Feasibility Points Awarded],ROW(CHOORTbl[[#This Row],[COUNTY]])-2,1)*CHOORTbl[[#This Row],[ % OF TOTAL FUNDING]]</f>
        <v>0</v>
      </c>
      <c r="AF9" s="123"/>
      <c r="AG9" s="118"/>
      <c r="AH9" s="6">
        <f>IF(CHOORTbl[[#This Row],[TOTAL MANUFACTURED]]=0,0,CHOORTbl[[#This Row],[TOTAL MANUFACTURED]]/SUM(CHOORTbl[TOTAL MANUFACTURED]))</f>
        <v>0</v>
      </c>
      <c r="AI9" s="665">
        <f>IF(CHOORTbl[[#This Row],[ALL UNITS IN A HIGH OR HIGHEST RESOURCE AREA]]="Yes",10*CHOORTbl[[#This Row],[ % OF TOTAL FUNDING2]],0)</f>
        <v>0</v>
      </c>
      <c r="AJ9" s="665" cm="1">
        <f t="array" ref="AJ9">INDEX(CountyScoresTbl[OOR Community Need],ROW(CHOORTbl[[#This Row],[COUNTY]])-2,1)*CHOORTbl[[#This Row],[ % OF TOTAL FUNDING2]]</f>
        <v>0</v>
      </c>
      <c r="AK9" s="694" cm="1">
        <f t="array" ref="AK9">INDEX(CountyScoresTbl[OOR/ADU Total Feasibility Points Awarded],ROW(CHOORTbl[[#This Row],[COUNTY]])-2,1)*CHOORTbl[[#This Row],[ % OF TOTAL FUNDING2]]</f>
        <v>0</v>
      </c>
      <c r="AL9" s="123"/>
      <c r="AM9" s="117"/>
      <c r="AN9" s="117"/>
      <c r="AO9" s="117"/>
      <c r="AP9" s="118"/>
      <c r="AQ9" s="6">
        <f>IF(CHOORTbl[[#This Row],[TOTAL RURAL]]=0,0,CHOORTbl[[#This Row],[TOTAL RURAL]]/SUM(CHOORTbl[TOTAL RURAL]))</f>
        <v>0</v>
      </c>
      <c r="AR9" s="665">
        <f>IF(CHOORTbl[[#This Row],[ALL UNITS IN A HIGH OR HIGHEST RESOURCE AREA]]="Yes",10*CHOORTbl[[#This Row],[ % OF TOTAL RURAL FUNDING]],0)</f>
        <v>0</v>
      </c>
      <c r="AS9" s="665" cm="1">
        <f t="array" ref="AS9">INDEX(CountyScoresTbl[OOR Community Need],ROW(CHOORTbl[[#This Row],[COUNTY]])-2,1)*CHOORTbl[[#This Row],[ % OF TOTAL RURAL FUNDING]]</f>
        <v>0</v>
      </c>
      <c r="AT9" s="694" cm="1">
        <f t="array" ref="AT9">INDEX(CountyScoresTbl[OOR/ADU Total Feasibility Points Awarded],ROW(CHOORTbl[[#This Row],[COUNTY]])-2,1)*CHOORTbl[[#This Row],[ % OF TOTAL RURAL FUNDING]]</f>
        <v>0</v>
      </c>
      <c r="AU9" s="125"/>
      <c r="AV9" s="118"/>
      <c r="AW9" s="6">
        <f>IF(CHOORTbl[[#This Row],[TOTAL MFD RURAL]]=0,0,CHOORTbl[[#This Row],[TOTAL MFD RURAL]]/SUM(CHOORTbl[TOTAL MFD RURAL]))</f>
        <v>0</v>
      </c>
      <c r="AX9" s="665">
        <f>IF(CHOORTbl[[#This Row],[ALL UNITS IN A HIGH OR HIGHEST RESOURCE AREA]]="Yes",10*CHOORTbl[[#This Row],[ % OF TOTAL MFD RURAL FUNDING]],0)</f>
        <v>0</v>
      </c>
      <c r="AY9" s="665" cm="1">
        <f t="array" ref="AY9">INDEX(CountyScoresTbl[OOR Community Need],ROW(CHOORTbl[[#This Row],[COUNTY]])-2,1)*CHOORTbl[[#This Row],[ % OF TOTAL MFD RURAL FUNDING]]</f>
        <v>0</v>
      </c>
      <c r="AZ9" s="694" cm="1">
        <f t="array" ref="AZ9">INDEX(CountyScoresTbl[OOR/ADU Total Feasibility Points Awarded],ROW(CHOORTbl[[#This Row],[COUNTY]])-2,1)*CHOORTbl[[#This Row],[ % OF TOTAL MFD RURAL FUNDING]]</f>
        <v>0</v>
      </c>
      <c r="BA9" s="556"/>
      <c r="BB9" s="561">
        <f>SUM(CHOORTbl[[#This Row],[UNRESTRICTED ADF]],CHOORTbl[[#This Row],[Unrestricted Funds Requesting]])</f>
        <v>0</v>
      </c>
      <c r="BC9" s="556"/>
      <c r="BD9" s="561">
        <f>SUM(CHOORTbl[[#This Row],[MANUFACTURED ADF]],CHOORTbl[[#This Row],[Manufactured Home Funds Requesting]])</f>
        <v>0</v>
      </c>
      <c r="BE9" s="556"/>
      <c r="BF9" s="561">
        <f>SUM(CHOORTbl[[#This Row],[RURAL ADF]],CHOORTbl[[#This Row],[RURAL FUNDING REQUESTED]])</f>
        <v>0</v>
      </c>
      <c r="BG9" s="556"/>
      <c r="BH9" s="562">
        <f>SUM(CHOORTbl[[#This Row],[MFD RURAL ADF]],CHOORTbl[[#This Row],[MFD RURAL FUNDING REQUESTED]])</f>
        <v>0</v>
      </c>
    </row>
    <row r="10" spans="1:60" x14ac:dyDescent="0.35">
      <c r="A10" s="116"/>
      <c r="B10" s="5" t="s">
        <v>122</v>
      </c>
      <c r="C10" s="31" t="s">
        <v>513</v>
      </c>
      <c r="D10" s="109" t="str">
        <f>IF(SUM(CHOORTbl[[#This Row],[Unrestricted Repair Units]:[Unrestricted ADU Reconstruct Units]])=0,"",SUM(CHOORTbl[[#This Row],[Unrestricted Repair Units]:[Unrestricted ADU Reconstruct Units]]))</f>
        <v/>
      </c>
      <c r="E10" s="74" t="str">
        <f xml:space="preserve">
IF(CHOORTbl[[#This Row],[TOTAL UNRESTRICTED]]=0,"",
CHOORTbl[[#This Row],[TOTAL UNRESTRICTED]]*
IF(CH_OOR_UnrestrictedTotalRequested&lt;=5000000,1,
5000000/CH_OOR_UnrestrictedTotalRequested)
)</f>
        <v/>
      </c>
      <c r="F10" s="6" t="str">
        <f>IF(CHOORTbl[[#This Row],[ % OF TOTAL FUNDING]]=0,"",CHOORTbl[[#This Row],[ % OF TOTAL FUNDING]])</f>
        <v/>
      </c>
      <c r="G10" s="31" t="s">
        <v>513</v>
      </c>
      <c r="H10" s="109" t="str">
        <f>IF(SUM(CHOORTbl[[#This Row],[Manufactured Home Units]])=0,"",SUM(CHOORTbl[[#This Row],[Manufactured Home Units]]))</f>
        <v/>
      </c>
      <c r="I10" s="74" t="str">
        <f xml:space="preserve">
IF(CHOORTbl[[#This Row],[TOTAL MANUFACTURED]]=0,"",
CHOORTbl[[#This Row],[TOTAL MANUFACTURED]]*
IF(CH_OOR_ManufacturedTotalRequested&lt;=(5000000-E$61),1,
(5000000-E$61)/CH_OOR_ManufacturedTotalRequested)
)</f>
        <v/>
      </c>
      <c r="J10" s="6" t="str">
        <f>IF(CHOORTbl[[#This Row],[ % OF TOTAL FUNDING2]]=0,"",CHOORTbl[[#This Row],[ % OF TOTAL FUNDING2]])</f>
        <v/>
      </c>
      <c r="K10" s="31" t="s">
        <v>513</v>
      </c>
      <c r="L10" s="109" t="str">
        <f>IF(SUM(CHOORTbl[[#This Row],[RURAL AREA HOMES TO REPAIR2]:[RURAL AREA ADUS TO ADD OR RECONSTRUCT]])=0,"",SUM(CHOORTbl[[#This Row],[RURAL AREA HOMES TO REPAIR2]:[RURAL AREA ADUS TO ADD OR RECONSTRUCT]]))</f>
        <v/>
      </c>
      <c r="M10" s="74" t="str">
        <f xml:space="preserve">
IF(CHOORTbl[[#This Row],[TOTAL RURAL]]=0,"",
CHOORTbl[[#This Row],[TOTAL RURAL]]*
IF(CH_OOR_RuralTotalRequested&lt;=(5000000-E$61-I$61),1,
(5000000-E$61-I$61)/CH_OOR_RuralTotalRequested)
)</f>
        <v/>
      </c>
      <c r="N10" s="6" t="str">
        <f>IF(CHOORTbl[[#This Row],[ % OF TOTAL RURAL FUNDING]]=0,"",CHOORTbl[[#This Row],[ % OF TOTAL RURAL FUNDING]])</f>
        <v/>
      </c>
      <c r="O10" s="31" t="s">
        <v>513</v>
      </c>
      <c r="P10" s="109" t="str">
        <f>IF(SUM(CHOORTbl[[#This Row],[MFD RURAL UNITS]])=0,"",SUM(CHOORTbl[[#This Row],[MFD RURAL UNITS]]))</f>
        <v/>
      </c>
      <c r="Q10" s="74" t="str">
        <f xml:space="preserve">
IF(CHOORTbl[[#This Row],[TOTAL MFD RURAL]]=0,"",
CHOORTbl[[#This Row],[TOTAL MFD RURAL]]*
IF(CH_OOR_MFDRuralTotalRequested&lt;=(5000000-E$61-I$61-M$61),1,
(5000000-E$61-I$61-M$61)/CH_OOR_MFDRuralTotalRequested)
)</f>
        <v/>
      </c>
      <c r="R10" s="6" t="str">
        <f>IF(CHOORTbl[[#This Row],[ % OF TOTAL MFD RURAL FUNDING]]=0,"",CHOORTbl[[#This Row],[ % OF TOTAL MFD RURAL FUNDING]])</f>
        <v/>
      </c>
      <c r="S10" s="44" t="s">
        <v>513</v>
      </c>
      <c r="T10" s="116"/>
      <c r="U10" s="242"/>
      <c r="V10" s="745"/>
      <c r="W10" s="705"/>
      <c r="X10" s="242"/>
      <c r="Y10" s="242"/>
      <c r="Z10" s="242"/>
      <c r="AA10" s="118"/>
      <c r="AB10" s="6">
        <f>IF(CHOORTbl[[#This Row],[TOTAL UNRESTRICTED]]=0,0,CHOORTbl[[#This Row],[TOTAL UNRESTRICTED]]/SUM(CHOORTbl[TOTAL UNRESTRICTED]))</f>
        <v>0</v>
      </c>
      <c r="AC10" s="665">
        <f>IF(CHOORTbl[[#This Row],[ALL UNITS IN A HIGH OR HIGHEST RESOURCE AREA]]="Yes",10*CHOORTbl[[#This Row],[ % OF TOTAL FUNDING]],0)</f>
        <v>0</v>
      </c>
      <c r="AD10" s="665" cm="1">
        <f t="array" ref="AD10">INDEX(CountyScoresTbl[OOR Community Need],ROW(CHOORTbl[[#This Row],[COUNTY]])-2,1)*CHOORTbl[[#This Row],[ % OF TOTAL FUNDING]]</f>
        <v>0</v>
      </c>
      <c r="AE10" s="694" cm="1">
        <f t="array" ref="AE10">INDEX(CountyScoresTbl[OOR/ADU Total Feasibility Points Awarded],ROW(CHOORTbl[[#This Row],[COUNTY]])-2,1)*CHOORTbl[[#This Row],[ % OF TOTAL FUNDING]]</f>
        <v>0</v>
      </c>
      <c r="AF10" s="124"/>
      <c r="AG10" s="118"/>
      <c r="AH10" s="6">
        <f>IF(CHOORTbl[[#This Row],[TOTAL MANUFACTURED]]=0,0,CHOORTbl[[#This Row],[TOTAL MANUFACTURED]]/SUM(CHOORTbl[TOTAL MANUFACTURED]))</f>
        <v>0</v>
      </c>
      <c r="AI10" s="665">
        <f>IF(CHOORTbl[[#This Row],[ALL UNITS IN A HIGH OR HIGHEST RESOURCE AREA]]="Yes",10*CHOORTbl[[#This Row],[ % OF TOTAL FUNDING2]],0)</f>
        <v>0</v>
      </c>
      <c r="AJ10" s="665" cm="1">
        <f t="array" ref="AJ10">INDEX(CountyScoresTbl[OOR Community Need],ROW(CHOORTbl[[#This Row],[COUNTY]])-2,1)*CHOORTbl[[#This Row],[ % OF TOTAL FUNDING2]]</f>
        <v>0</v>
      </c>
      <c r="AK10" s="694" cm="1">
        <f t="array" ref="AK10">INDEX(CountyScoresTbl[OOR/ADU Total Feasibility Points Awarded],ROW(CHOORTbl[[#This Row],[COUNTY]])-2,1)*CHOORTbl[[#This Row],[ % OF TOTAL FUNDING2]]</f>
        <v>0</v>
      </c>
      <c r="AL10" s="124"/>
      <c r="AM10" s="119"/>
      <c r="AN10" s="121"/>
      <c r="AO10" s="119"/>
      <c r="AP10" s="118"/>
      <c r="AQ10" s="6">
        <f>IF(CHOORTbl[[#This Row],[TOTAL RURAL]]=0,0,CHOORTbl[[#This Row],[TOTAL RURAL]]/SUM(CHOORTbl[TOTAL RURAL]))</f>
        <v>0</v>
      </c>
      <c r="AR10" s="665">
        <f>IF(CHOORTbl[[#This Row],[ALL UNITS IN A HIGH OR HIGHEST RESOURCE AREA]]="Yes",10*CHOORTbl[[#This Row],[ % OF TOTAL RURAL FUNDING]],0)</f>
        <v>0</v>
      </c>
      <c r="AS10" s="665" cm="1">
        <f t="array" ref="AS10">INDEX(CountyScoresTbl[OOR Community Need],ROW(CHOORTbl[[#This Row],[COUNTY]])-2,1)*CHOORTbl[[#This Row],[ % OF TOTAL RURAL FUNDING]]</f>
        <v>0</v>
      </c>
      <c r="AT10" s="694" cm="1">
        <f t="array" ref="AT10">INDEX(CountyScoresTbl[OOR/ADU Total Feasibility Points Awarded],ROW(CHOORTbl[[#This Row],[COUNTY]])-2,1)*CHOORTbl[[#This Row],[ % OF TOTAL RURAL FUNDING]]</f>
        <v>0</v>
      </c>
      <c r="AU10" s="126"/>
      <c r="AV10" s="118"/>
      <c r="AW10" s="6">
        <f>IF(CHOORTbl[[#This Row],[TOTAL MFD RURAL]]=0,0,CHOORTbl[[#This Row],[TOTAL MFD RURAL]]/SUM(CHOORTbl[TOTAL MFD RURAL]))</f>
        <v>0</v>
      </c>
      <c r="AX10" s="665">
        <f>IF(CHOORTbl[[#This Row],[ALL UNITS IN A HIGH OR HIGHEST RESOURCE AREA]]="Yes",10*CHOORTbl[[#This Row],[ % OF TOTAL MFD RURAL FUNDING]],0)</f>
        <v>0</v>
      </c>
      <c r="AY10" s="665" cm="1">
        <f t="array" ref="AY10">INDEX(CountyScoresTbl[OOR Community Need],ROW(CHOORTbl[[#This Row],[COUNTY]])-2,1)*CHOORTbl[[#This Row],[ % OF TOTAL MFD RURAL FUNDING]]</f>
        <v>0</v>
      </c>
      <c r="AZ10" s="694" cm="1">
        <f t="array" ref="AZ10">INDEX(CountyScoresTbl[OOR/ADU Total Feasibility Points Awarded],ROW(CHOORTbl[[#This Row],[COUNTY]])-2,1)*CHOORTbl[[#This Row],[ % OF TOTAL MFD RURAL FUNDING]]</f>
        <v>0</v>
      </c>
      <c r="BA10" s="556"/>
      <c r="BB10" s="561">
        <f>SUM(CHOORTbl[[#This Row],[UNRESTRICTED ADF]],CHOORTbl[[#This Row],[Unrestricted Funds Requesting]])</f>
        <v>0</v>
      </c>
      <c r="BC10" s="556"/>
      <c r="BD10" s="561">
        <f>SUM(CHOORTbl[[#This Row],[MANUFACTURED ADF]],CHOORTbl[[#This Row],[Manufactured Home Funds Requesting]])</f>
        <v>0</v>
      </c>
      <c r="BE10" s="556"/>
      <c r="BF10" s="561">
        <f>SUM(CHOORTbl[[#This Row],[RURAL ADF]],CHOORTbl[[#This Row],[RURAL FUNDING REQUESTED]])</f>
        <v>0</v>
      </c>
      <c r="BG10" s="556"/>
      <c r="BH10" s="562">
        <f>SUM(CHOORTbl[[#This Row],[MFD RURAL ADF]],CHOORTbl[[#This Row],[MFD RURAL FUNDING REQUESTED]])</f>
        <v>0</v>
      </c>
    </row>
    <row r="11" spans="1:60" x14ac:dyDescent="0.35">
      <c r="A11" s="115"/>
      <c r="B11" s="5" t="s">
        <v>123</v>
      </c>
      <c r="C11" s="31" t="s">
        <v>513</v>
      </c>
      <c r="D11" s="109" t="str">
        <f>IF(SUM(CHOORTbl[[#This Row],[Unrestricted Repair Units]:[Unrestricted ADU Reconstruct Units]])=0,"",SUM(CHOORTbl[[#This Row],[Unrestricted Repair Units]:[Unrestricted ADU Reconstruct Units]]))</f>
        <v/>
      </c>
      <c r="E11" s="74" t="str">
        <f xml:space="preserve">
IF(CHOORTbl[[#This Row],[TOTAL UNRESTRICTED]]=0,"",
CHOORTbl[[#This Row],[TOTAL UNRESTRICTED]]*
IF(CH_OOR_UnrestrictedTotalRequested&lt;=5000000,1,
5000000/CH_OOR_UnrestrictedTotalRequested)
)</f>
        <v/>
      </c>
      <c r="F11" s="6" t="str">
        <f>IF(CHOORTbl[[#This Row],[ % OF TOTAL FUNDING]]=0,"",CHOORTbl[[#This Row],[ % OF TOTAL FUNDING]])</f>
        <v/>
      </c>
      <c r="G11" s="31" t="s">
        <v>513</v>
      </c>
      <c r="H11" s="109" t="str">
        <f>IF(SUM(CHOORTbl[[#This Row],[Manufactured Home Units]])=0,"",SUM(CHOORTbl[[#This Row],[Manufactured Home Units]]))</f>
        <v/>
      </c>
      <c r="I11" s="74" t="str">
        <f xml:space="preserve">
IF(CHOORTbl[[#This Row],[TOTAL MANUFACTURED]]=0,"",
CHOORTbl[[#This Row],[TOTAL MANUFACTURED]]*
IF(CH_OOR_ManufacturedTotalRequested&lt;=(5000000-E$61),1,
(5000000-E$61)/CH_OOR_ManufacturedTotalRequested)
)</f>
        <v/>
      </c>
      <c r="J11" s="6" t="str">
        <f>IF(CHOORTbl[[#This Row],[ % OF TOTAL FUNDING2]]=0,"",CHOORTbl[[#This Row],[ % OF TOTAL FUNDING2]])</f>
        <v/>
      </c>
      <c r="K11" s="31" t="s">
        <v>513</v>
      </c>
      <c r="L11" s="109" t="str">
        <f>IF(SUM(CHOORTbl[[#This Row],[RURAL AREA HOMES TO REPAIR2]:[RURAL AREA ADUS TO ADD OR RECONSTRUCT]])=0,"",SUM(CHOORTbl[[#This Row],[RURAL AREA HOMES TO REPAIR2]:[RURAL AREA ADUS TO ADD OR RECONSTRUCT]]))</f>
        <v/>
      </c>
      <c r="M11" s="74" t="str">
        <f xml:space="preserve">
IF(CHOORTbl[[#This Row],[TOTAL RURAL]]=0,"",
CHOORTbl[[#This Row],[TOTAL RURAL]]*
IF(CH_OOR_RuralTotalRequested&lt;=(5000000-E$61-I$61),1,
(5000000-E$61-I$61)/CH_OOR_RuralTotalRequested)
)</f>
        <v/>
      </c>
      <c r="N11" s="6" t="str">
        <f>IF(CHOORTbl[[#This Row],[ % OF TOTAL RURAL FUNDING]]=0,"",CHOORTbl[[#This Row],[ % OF TOTAL RURAL FUNDING]])</f>
        <v/>
      </c>
      <c r="O11" s="31" t="s">
        <v>513</v>
      </c>
      <c r="P11" s="109" t="str">
        <f>IF(SUM(CHOORTbl[[#This Row],[MFD RURAL UNITS]])=0,"",SUM(CHOORTbl[[#This Row],[MFD RURAL UNITS]]))</f>
        <v/>
      </c>
      <c r="Q11" s="74" t="str">
        <f xml:space="preserve">
IF(CHOORTbl[[#This Row],[TOTAL MFD RURAL]]=0,"",
CHOORTbl[[#This Row],[TOTAL MFD RURAL]]*
IF(CH_OOR_MFDRuralTotalRequested&lt;=(5000000-E$61-I$61-M$61),1,
(5000000-E$61-I$61-M$61)/CH_OOR_MFDRuralTotalRequested)
)</f>
        <v/>
      </c>
      <c r="R11" s="6" t="str">
        <f>IF(CHOORTbl[[#This Row],[ % OF TOTAL MFD RURAL FUNDING]]=0,"",CHOORTbl[[#This Row],[ % OF TOTAL MFD RURAL FUNDING]])</f>
        <v/>
      </c>
      <c r="S11" s="44" t="s">
        <v>513</v>
      </c>
      <c r="T11" s="116"/>
      <c r="U11" s="242"/>
      <c r="V11" s="745"/>
      <c r="W11" s="705"/>
      <c r="X11" s="242"/>
      <c r="Y11" s="242"/>
      <c r="Z11" s="242"/>
      <c r="AA11" s="118"/>
      <c r="AB11" s="6">
        <f>IF(CHOORTbl[[#This Row],[TOTAL UNRESTRICTED]]=0,0,CHOORTbl[[#This Row],[TOTAL UNRESTRICTED]]/SUM(CHOORTbl[TOTAL UNRESTRICTED]))</f>
        <v>0</v>
      </c>
      <c r="AC11" s="665">
        <f>IF(CHOORTbl[[#This Row],[ALL UNITS IN A HIGH OR HIGHEST RESOURCE AREA]]="Yes",10*CHOORTbl[[#This Row],[ % OF TOTAL FUNDING]],0)</f>
        <v>0</v>
      </c>
      <c r="AD11" s="665" cm="1">
        <f t="array" ref="AD11">INDEX(CountyScoresTbl[OOR Community Need],ROW(CHOORTbl[[#This Row],[COUNTY]])-2,1)*CHOORTbl[[#This Row],[ % OF TOTAL FUNDING]]</f>
        <v>0</v>
      </c>
      <c r="AE11" s="694" cm="1">
        <f t="array" ref="AE11">INDEX(CountyScoresTbl[OOR/ADU Total Feasibility Points Awarded],ROW(CHOORTbl[[#This Row],[COUNTY]])-2,1)*CHOORTbl[[#This Row],[ % OF TOTAL FUNDING]]</f>
        <v>0</v>
      </c>
      <c r="AF11" s="123"/>
      <c r="AG11" s="118"/>
      <c r="AH11" s="6">
        <f>IF(CHOORTbl[[#This Row],[TOTAL MANUFACTURED]]=0,0,CHOORTbl[[#This Row],[TOTAL MANUFACTURED]]/SUM(CHOORTbl[TOTAL MANUFACTURED]))</f>
        <v>0</v>
      </c>
      <c r="AI11" s="665">
        <f>IF(CHOORTbl[[#This Row],[ALL UNITS IN A HIGH OR HIGHEST RESOURCE AREA]]="Yes",10*CHOORTbl[[#This Row],[ % OF TOTAL FUNDING2]],0)</f>
        <v>0</v>
      </c>
      <c r="AJ11" s="665" cm="1">
        <f t="array" ref="AJ11">INDEX(CountyScoresTbl[OOR Community Need],ROW(CHOORTbl[[#This Row],[COUNTY]])-2,1)*CHOORTbl[[#This Row],[ % OF TOTAL FUNDING2]]</f>
        <v>0</v>
      </c>
      <c r="AK11" s="694" cm="1">
        <f t="array" ref="AK11">INDEX(CountyScoresTbl[OOR/ADU Total Feasibility Points Awarded],ROW(CHOORTbl[[#This Row],[COUNTY]])-2,1)*CHOORTbl[[#This Row],[ % OF TOTAL FUNDING2]]</f>
        <v>0</v>
      </c>
      <c r="AL11" s="123"/>
      <c r="AM11" s="117"/>
      <c r="AN11" s="117"/>
      <c r="AO11" s="117"/>
      <c r="AP11" s="118"/>
      <c r="AQ11" s="6">
        <f>IF(CHOORTbl[[#This Row],[TOTAL RURAL]]=0,0,CHOORTbl[[#This Row],[TOTAL RURAL]]/SUM(CHOORTbl[TOTAL RURAL]))</f>
        <v>0</v>
      </c>
      <c r="AR11" s="665">
        <f>IF(CHOORTbl[[#This Row],[ALL UNITS IN A HIGH OR HIGHEST RESOURCE AREA]]="Yes",10*CHOORTbl[[#This Row],[ % OF TOTAL RURAL FUNDING]],0)</f>
        <v>0</v>
      </c>
      <c r="AS11" s="665" cm="1">
        <f t="array" ref="AS11">INDEX(CountyScoresTbl[OOR Community Need],ROW(CHOORTbl[[#This Row],[COUNTY]])-2,1)*CHOORTbl[[#This Row],[ % OF TOTAL RURAL FUNDING]]</f>
        <v>0</v>
      </c>
      <c r="AT11" s="694" cm="1">
        <f t="array" ref="AT11">INDEX(CountyScoresTbl[OOR/ADU Total Feasibility Points Awarded],ROW(CHOORTbl[[#This Row],[COUNTY]])-2,1)*CHOORTbl[[#This Row],[ % OF TOTAL RURAL FUNDING]]</f>
        <v>0</v>
      </c>
      <c r="AU11" s="125"/>
      <c r="AV11" s="118"/>
      <c r="AW11" s="6">
        <f>IF(CHOORTbl[[#This Row],[TOTAL MFD RURAL]]=0,0,CHOORTbl[[#This Row],[TOTAL MFD RURAL]]/SUM(CHOORTbl[TOTAL MFD RURAL]))</f>
        <v>0</v>
      </c>
      <c r="AX11" s="665">
        <f>IF(CHOORTbl[[#This Row],[ALL UNITS IN A HIGH OR HIGHEST RESOURCE AREA]]="Yes",10*CHOORTbl[[#This Row],[ % OF TOTAL MFD RURAL FUNDING]],0)</f>
        <v>0</v>
      </c>
      <c r="AY11" s="665" cm="1">
        <f t="array" ref="AY11">INDEX(CountyScoresTbl[OOR Community Need],ROW(CHOORTbl[[#This Row],[COUNTY]])-2,1)*CHOORTbl[[#This Row],[ % OF TOTAL MFD RURAL FUNDING]]</f>
        <v>0</v>
      </c>
      <c r="AZ11" s="694" cm="1">
        <f t="array" ref="AZ11">INDEX(CountyScoresTbl[OOR/ADU Total Feasibility Points Awarded],ROW(CHOORTbl[[#This Row],[COUNTY]])-2,1)*CHOORTbl[[#This Row],[ % OF TOTAL MFD RURAL FUNDING]]</f>
        <v>0</v>
      </c>
      <c r="BA11" s="556"/>
      <c r="BB11" s="561">
        <f>SUM(CHOORTbl[[#This Row],[UNRESTRICTED ADF]],CHOORTbl[[#This Row],[Unrestricted Funds Requesting]])</f>
        <v>0</v>
      </c>
      <c r="BC11" s="556"/>
      <c r="BD11" s="561">
        <f>SUM(CHOORTbl[[#This Row],[MANUFACTURED ADF]],CHOORTbl[[#This Row],[Manufactured Home Funds Requesting]])</f>
        <v>0</v>
      </c>
      <c r="BE11" s="556"/>
      <c r="BF11" s="561">
        <f>SUM(CHOORTbl[[#This Row],[RURAL ADF]],CHOORTbl[[#This Row],[RURAL FUNDING REQUESTED]])</f>
        <v>0</v>
      </c>
      <c r="BG11" s="556"/>
      <c r="BH11" s="562">
        <f>SUM(CHOORTbl[[#This Row],[MFD RURAL ADF]],CHOORTbl[[#This Row],[MFD RURAL FUNDING REQUESTED]])</f>
        <v>0</v>
      </c>
    </row>
    <row r="12" spans="1:60" x14ac:dyDescent="0.35">
      <c r="A12" s="116"/>
      <c r="B12" s="5" t="s">
        <v>124</v>
      </c>
      <c r="C12" s="31" t="s">
        <v>513</v>
      </c>
      <c r="D12" s="109" t="str">
        <f>IF(SUM(CHOORTbl[[#This Row],[Unrestricted Repair Units]:[Unrestricted ADU Reconstruct Units]])=0,"",SUM(CHOORTbl[[#This Row],[Unrestricted Repair Units]:[Unrestricted ADU Reconstruct Units]]))</f>
        <v/>
      </c>
      <c r="E12" s="74" t="str">
        <f xml:space="preserve">
IF(CHOORTbl[[#This Row],[TOTAL UNRESTRICTED]]=0,"",
CHOORTbl[[#This Row],[TOTAL UNRESTRICTED]]*
IF(CH_OOR_UnrestrictedTotalRequested&lt;=5000000,1,
5000000/CH_OOR_UnrestrictedTotalRequested)
)</f>
        <v/>
      </c>
      <c r="F12" s="6" t="str">
        <f>IF(CHOORTbl[[#This Row],[ % OF TOTAL FUNDING]]=0,"",CHOORTbl[[#This Row],[ % OF TOTAL FUNDING]])</f>
        <v/>
      </c>
      <c r="G12" s="31" t="s">
        <v>513</v>
      </c>
      <c r="H12" s="109" t="str">
        <f>IF(SUM(CHOORTbl[[#This Row],[Manufactured Home Units]])=0,"",SUM(CHOORTbl[[#This Row],[Manufactured Home Units]]))</f>
        <v/>
      </c>
      <c r="I12" s="74" t="str">
        <f xml:space="preserve">
IF(CHOORTbl[[#This Row],[TOTAL MANUFACTURED]]=0,"",
CHOORTbl[[#This Row],[TOTAL MANUFACTURED]]*
IF(CH_OOR_ManufacturedTotalRequested&lt;=(5000000-E$61),1,
(5000000-E$61)/CH_OOR_ManufacturedTotalRequested)
)</f>
        <v/>
      </c>
      <c r="J12" s="6" t="str">
        <f>IF(CHOORTbl[[#This Row],[ % OF TOTAL FUNDING2]]=0,"",CHOORTbl[[#This Row],[ % OF TOTAL FUNDING2]])</f>
        <v/>
      </c>
      <c r="K12" s="31" t="s">
        <v>513</v>
      </c>
      <c r="L12" s="109" t="str">
        <f>IF(SUM(CHOORTbl[[#This Row],[RURAL AREA HOMES TO REPAIR2]:[RURAL AREA ADUS TO ADD OR RECONSTRUCT]])=0,"",SUM(CHOORTbl[[#This Row],[RURAL AREA HOMES TO REPAIR2]:[RURAL AREA ADUS TO ADD OR RECONSTRUCT]]))</f>
        <v/>
      </c>
      <c r="M12" s="74" t="str">
        <f xml:space="preserve">
IF(CHOORTbl[[#This Row],[TOTAL RURAL]]=0,"",
CHOORTbl[[#This Row],[TOTAL RURAL]]*
IF(CH_OOR_RuralTotalRequested&lt;=(5000000-E$61-I$61),1,
(5000000-E$61-I$61)/CH_OOR_RuralTotalRequested)
)</f>
        <v/>
      </c>
      <c r="N12" s="6" t="str">
        <f>IF(CHOORTbl[[#This Row],[ % OF TOTAL RURAL FUNDING]]=0,"",CHOORTbl[[#This Row],[ % OF TOTAL RURAL FUNDING]])</f>
        <v/>
      </c>
      <c r="O12" s="31" t="s">
        <v>513</v>
      </c>
      <c r="P12" s="109" t="str">
        <f>IF(SUM(CHOORTbl[[#This Row],[MFD RURAL UNITS]])=0,"",SUM(CHOORTbl[[#This Row],[MFD RURAL UNITS]]))</f>
        <v/>
      </c>
      <c r="Q12" s="74" t="str">
        <f xml:space="preserve">
IF(CHOORTbl[[#This Row],[TOTAL MFD RURAL]]=0,"",
CHOORTbl[[#This Row],[TOTAL MFD RURAL]]*
IF(CH_OOR_MFDRuralTotalRequested&lt;=(5000000-E$61-I$61-M$61),1,
(5000000-E$61-I$61-M$61)/CH_OOR_MFDRuralTotalRequested)
)</f>
        <v/>
      </c>
      <c r="R12" s="6" t="str">
        <f>IF(CHOORTbl[[#This Row],[ % OF TOTAL MFD RURAL FUNDING]]=0,"",CHOORTbl[[#This Row],[ % OF TOTAL MFD RURAL FUNDING]])</f>
        <v/>
      </c>
      <c r="S12" s="44" t="s">
        <v>513</v>
      </c>
      <c r="T12" s="116"/>
      <c r="U12" s="242"/>
      <c r="V12" s="745"/>
      <c r="W12" s="705"/>
      <c r="X12" s="242"/>
      <c r="Y12" s="242"/>
      <c r="Z12" s="242"/>
      <c r="AA12" s="118"/>
      <c r="AB12" s="6">
        <f>IF(CHOORTbl[[#This Row],[TOTAL UNRESTRICTED]]=0,0,CHOORTbl[[#This Row],[TOTAL UNRESTRICTED]]/SUM(CHOORTbl[TOTAL UNRESTRICTED]))</f>
        <v>0</v>
      </c>
      <c r="AC12" s="665">
        <f>IF(CHOORTbl[[#This Row],[ALL UNITS IN A HIGH OR HIGHEST RESOURCE AREA]]="Yes",10*CHOORTbl[[#This Row],[ % OF TOTAL FUNDING]],0)</f>
        <v>0</v>
      </c>
      <c r="AD12" s="665" cm="1">
        <f t="array" ref="AD12">INDEX(CountyScoresTbl[OOR Community Need],ROW(CHOORTbl[[#This Row],[COUNTY]])-2,1)*CHOORTbl[[#This Row],[ % OF TOTAL FUNDING]]</f>
        <v>0</v>
      </c>
      <c r="AE12" s="694" cm="1">
        <f t="array" ref="AE12">INDEX(CountyScoresTbl[OOR/ADU Total Feasibility Points Awarded],ROW(CHOORTbl[[#This Row],[COUNTY]])-2,1)*CHOORTbl[[#This Row],[ % OF TOTAL FUNDING]]</f>
        <v>0</v>
      </c>
      <c r="AF12" s="124"/>
      <c r="AG12" s="118"/>
      <c r="AH12" s="6">
        <f>IF(CHOORTbl[[#This Row],[TOTAL MANUFACTURED]]=0,0,CHOORTbl[[#This Row],[TOTAL MANUFACTURED]]/SUM(CHOORTbl[TOTAL MANUFACTURED]))</f>
        <v>0</v>
      </c>
      <c r="AI12" s="665">
        <f>IF(CHOORTbl[[#This Row],[ALL UNITS IN A HIGH OR HIGHEST RESOURCE AREA]]="Yes",10*CHOORTbl[[#This Row],[ % OF TOTAL FUNDING2]],0)</f>
        <v>0</v>
      </c>
      <c r="AJ12" s="665" cm="1">
        <f t="array" ref="AJ12">INDEX(CountyScoresTbl[OOR Community Need],ROW(CHOORTbl[[#This Row],[COUNTY]])-2,1)*CHOORTbl[[#This Row],[ % OF TOTAL FUNDING2]]</f>
        <v>0</v>
      </c>
      <c r="AK12" s="694" cm="1">
        <f t="array" ref="AK12">INDEX(CountyScoresTbl[OOR/ADU Total Feasibility Points Awarded],ROW(CHOORTbl[[#This Row],[COUNTY]])-2,1)*CHOORTbl[[#This Row],[ % OF TOTAL FUNDING2]]</f>
        <v>0</v>
      </c>
      <c r="AL12" s="124"/>
      <c r="AM12" s="119"/>
      <c r="AN12" s="119"/>
      <c r="AO12" s="119"/>
      <c r="AP12" s="118"/>
      <c r="AQ12" s="6">
        <f>IF(CHOORTbl[[#This Row],[TOTAL RURAL]]=0,0,CHOORTbl[[#This Row],[TOTAL RURAL]]/SUM(CHOORTbl[TOTAL RURAL]))</f>
        <v>0</v>
      </c>
      <c r="AR12" s="665">
        <f>IF(CHOORTbl[[#This Row],[ALL UNITS IN A HIGH OR HIGHEST RESOURCE AREA]]="Yes",10*CHOORTbl[[#This Row],[ % OF TOTAL RURAL FUNDING]],0)</f>
        <v>0</v>
      </c>
      <c r="AS12" s="665" cm="1">
        <f t="array" ref="AS12">INDEX(CountyScoresTbl[OOR Community Need],ROW(CHOORTbl[[#This Row],[COUNTY]])-2,1)*CHOORTbl[[#This Row],[ % OF TOTAL RURAL FUNDING]]</f>
        <v>0</v>
      </c>
      <c r="AT12" s="694" cm="1">
        <f t="array" ref="AT12">INDEX(CountyScoresTbl[OOR/ADU Total Feasibility Points Awarded],ROW(CHOORTbl[[#This Row],[COUNTY]])-2,1)*CHOORTbl[[#This Row],[ % OF TOTAL RURAL FUNDING]]</f>
        <v>0</v>
      </c>
      <c r="AU12" s="126"/>
      <c r="AV12" s="118"/>
      <c r="AW12" s="6">
        <f>IF(CHOORTbl[[#This Row],[TOTAL MFD RURAL]]=0,0,CHOORTbl[[#This Row],[TOTAL MFD RURAL]]/SUM(CHOORTbl[TOTAL MFD RURAL]))</f>
        <v>0</v>
      </c>
      <c r="AX12" s="665">
        <f>IF(CHOORTbl[[#This Row],[ALL UNITS IN A HIGH OR HIGHEST RESOURCE AREA]]="Yes",10*CHOORTbl[[#This Row],[ % OF TOTAL MFD RURAL FUNDING]],0)</f>
        <v>0</v>
      </c>
      <c r="AY12" s="665" cm="1">
        <f t="array" ref="AY12">INDEX(CountyScoresTbl[OOR Community Need],ROW(CHOORTbl[[#This Row],[COUNTY]])-2,1)*CHOORTbl[[#This Row],[ % OF TOTAL MFD RURAL FUNDING]]</f>
        <v>0</v>
      </c>
      <c r="AZ12" s="694" cm="1">
        <f t="array" ref="AZ12">INDEX(CountyScoresTbl[OOR/ADU Total Feasibility Points Awarded],ROW(CHOORTbl[[#This Row],[COUNTY]])-2,1)*CHOORTbl[[#This Row],[ % OF TOTAL MFD RURAL FUNDING]]</f>
        <v>0</v>
      </c>
      <c r="BA12" s="556"/>
      <c r="BB12" s="561">
        <f>SUM(CHOORTbl[[#This Row],[UNRESTRICTED ADF]],CHOORTbl[[#This Row],[Unrestricted Funds Requesting]])</f>
        <v>0</v>
      </c>
      <c r="BC12" s="556"/>
      <c r="BD12" s="561">
        <f>SUM(CHOORTbl[[#This Row],[MANUFACTURED ADF]],CHOORTbl[[#This Row],[Manufactured Home Funds Requesting]])</f>
        <v>0</v>
      </c>
      <c r="BE12" s="556"/>
      <c r="BF12" s="561">
        <f>SUM(CHOORTbl[[#This Row],[RURAL ADF]],CHOORTbl[[#This Row],[RURAL FUNDING REQUESTED]])</f>
        <v>0</v>
      </c>
      <c r="BG12" s="556"/>
      <c r="BH12" s="562">
        <f>SUM(CHOORTbl[[#This Row],[MFD RURAL ADF]],CHOORTbl[[#This Row],[MFD RURAL FUNDING REQUESTED]])</f>
        <v>0</v>
      </c>
    </row>
    <row r="13" spans="1:60" x14ac:dyDescent="0.35">
      <c r="A13" s="116"/>
      <c r="B13" s="5" t="s">
        <v>125</v>
      </c>
      <c r="C13" s="31" t="s">
        <v>513</v>
      </c>
      <c r="D13" s="109" t="str">
        <f>IF(SUM(CHOORTbl[[#This Row],[Unrestricted Repair Units]:[Unrestricted ADU Reconstruct Units]])=0,"",SUM(CHOORTbl[[#This Row],[Unrestricted Repair Units]:[Unrestricted ADU Reconstruct Units]]))</f>
        <v/>
      </c>
      <c r="E13" s="74" t="str">
        <f xml:space="preserve">
IF(CHOORTbl[[#This Row],[TOTAL UNRESTRICTED]]=0,"",
CHOORTbl[[#This Row],[TOTAL UNRESTRICTED]]*
IF(CH_OOR_UnrestrictedTotalRequested&lt;=5000000,1,
5000000/CH_OOR_UnrestrictedTotalRequested)
)</f>
        <v/>
      </c>
      <c r="F13" s="6" t="str">
        <f>IF(CHOORTbl[[#This Row],[ % OF TOTAL FUNDING]]=0,"",CHOORTbl[[#This Row],[ % OF TOTAL FUNDING]])</f>
        <v/>
      </c>
      <c r="G13" s="31" t="s">
        <v>513</v>
      </c>
      <c r="H13" s="109" t="str">
        <f>IF(SUM(CHOORTbl[[#This Row],[Manufactured Home Units]])=0,"",SUM(CHOORTbl[[#This Row],[Manufactured Home Units]]))</f>
        <v/>
      </c>
      <c r="I13" s="74" t="str">
        <f xml:space="preserve">
IF(CHOORTbl[[#This Row],[TOTAL MANUFACTURED]]=0,"",
CHOORTbl[[#This Row],[TOTAL MANUFACTURED]]*
IF(CH_OOR_ManufacturedTotalRequested&lt;=(5000000-E$61),1,
(5000000-E$61)/CH_OOR_ManufacturedTotalRequested)
)</f>
        <v/>
      </c>
      <c r="J13" s="6" t="str">
        <f>IF(CHOORTbl[[#This Row],[ % OF TOTAL FUNDING2]]=0,"",CHOORTbl[[#This Row],[ % OF TOTAL FUNDING2]])</f>
        <v/>
      </c>
      <c r="K13" s="31" t="s">
        <v>513</v>
      </c>
      <c r="L13" s="109" t="str">
        <f>IF(SUM(CHOORTbl[[#This Row],[RURAL AREA HOMES TO REPAIR2]:[RURAL AREA ADUS TO ADD OR RECONSTRUCT]])=0,"",SUM(CHOORTbl[[#This Row],[RURAL AREA HOMES TO REPAIR2]:[RURAL AREA ADUS TO ADD OR RECONSTRUCT]]))</f>
        <v/>
      </c>
      <c r="M13" s="74" t="str">
        <f xml:space="preserve">
IF(CHOORTbl[[#This Row],[TOTAL RURAL]]=0,"",
CHOORTbl[[#This Row],[TOTAL RURAL]]*
IF(CH_OOR_RuralTotalRequested&lt;=(5000000-E$61-I$61),1,
(5000000-E$61-I$61)/CH_OOR_RuralTotalRequested)
)</f>
        <v/>
      </c>
      <c r="N13" s="6" t="str">
        <f>IF(CHOORTbl[[#This Row],[ % OF TOTAL RURAL FUNDING]]=0,"",CHOORTbl[[#This Row],[ % OF TOTAL RURAL FUNDING]])</f>
        <v/>
      </c>
      <c r="O13" s="31" t="s">
        <v>513</v>
      </c>
      <c r="P13" s="109" t="str">
        <f>IF(SUM(CHOORTbl[[#This Row],[MFD RURAL UNITS]])=0,"",SUM(CHOORTbl[[#This Row],[MFD RURAL UNITS]]))</f>
        <v/>
      </c>
      <c r="Q13" s="74" t="str">
        <f xml:space="preserve">
IF(CHOORTbl[[#This Row],[TOTAL MFD RURAL]]=0,"",
CHOORTbl[[#This Row],[TOTAL MFD RURAL]]*
IF(CH_OOR_MFDRuralTotalRequested&lt;=(5000000-E$61-I$61-M$61),1,
(5000000-E$61-I$61-M$61)/CH_OOR_MFDRuralTotalRequested)
)</f>
        <v/>
      </c>
      <c r="R13" s="6" t="str">
        <f>IF(CHOORTbl[[#This Row],[ % OF TOTAL MFD RURAL FUNDING]]=0,"",CHOORTbl[[#This Row],[ % OF TOTAL MFD RURAL FUNDING]])</f>
        <v/>
      </c>
      <c r="S13" s="44" t="s">
        <v>513</v>
      </c>
      <c r="T13" s="116"/>
      <c r="U13" s="242"/>
      <c r="V13" s="745"/>
      <c r="W13" s="705"/>
      <c r="X13" s="242"/>
      <c r="Y13" s="242"/>
      <c r="Z13" s="242"/>
      <c r="AA13" s="118"/>
      <c r="AB13" s="6">
        <f>IF(CHOORTbl[[#This Row],[TOTAL UNRESTRICTED]]=0,0,CHOORTbl[[#This Row],[TOTAL UNRESTRICTED]]/SUM(CHOORTbl[TOTAL UNRESTRICTED]))</f>
        <v>0</v>
      </c>
      <c r="AC13" s="665">
        <f>IF(CHOORTbl[[#This Row],[ALL UNITS IN A HIGH OR HIGHEST RESOURCE AREA]]="Yes",10*CHOORTbl[[#This Row],[ % OF TOTAL FUNDING]],0)</f>
        <v>0</v>
      </c>
      <c r="AD13" s="665" cm="1">
        <f t="array" ref="AD13">INDEX(CountyScoresTbl[OOR Community Need],ROW(CHOORTbl[[#This Row],[COUNTY]])-2,1)*CHOORTbl[[#This Row],[ % OF TOTAL FUNDING]]</f>
        <v>0</v>
      </c>
      <c r="AE13" s="694" cm="1">
        <f t="array" ref="AE13">INDEX(CountyScoresTbl[OOR/ADU Total Feasibility Points Awarded],ROW(CHOORTbl[[#This Row],[COUNTY]])-2,1)*CHOORTbl[[#This Row],[ % OF TOTAL FUNDING]]</f>
        <v>0</v>
      </c>
      <c r="AF13" s="124"/>
      <c r="AG13" s="118"/>
      <c r="AH13" s="6">
        <f>IF(CHOORTbl[[#This Row],[TOTAL MANUFACTURED]]=0,0,CHOORTbl[[#This Row],[TOTAL MANUFACTURED]]/SUM(CHOORTbl[TOTAL MANUFACTURED]))</f>
        <v>0</v>
      </c>
      <c r="AI13" s="665">
        <f>IF(CHOORTbl[[#This Row],[ALL UNITS IN A HIGH OR HIGHEST RESOURCE AREA]]="Yes",10*CHOORTbl[[#This Row],[ % OF TOTAL FUNDING2]],0)</f>
        <v>0</v>
      </c>
      <c r="AJ13" s="665" cm="1">
        <f t="array" ref="AJ13">INDEX(CountyScoresTbl[OOR Community Need],ROW(CHOORTbl[[#This Row],[COUNTY]])-2,1)*CHOORTbl[[#This Row],[ % OF TOTAL FUNDING2]]</f>
        <v>0</v>
      </c>
      <c r="AK13" s="694" cm="1">
        <f t="array" ref="AK13">INDEX(CountyScoresTbl[OOR/ADU Total Feasibility Points Awarded],ROW(CHOORTbl[[#This Row],[COUNTY]])-2,1)*CHOORTbl[[#This Row],[ % OF TOTAL FUNDING2]]</f>
        <v>0</v>
      </c>
      <c r="AL13" s="124"/>
      <c r="AM13" s="119"/>
      <c r="AN13" s="119"/>
      <c r="AO13" s="119"/>
      <c r="AP13" s="118"/>
      <c r="AQ13" s="6">
        <f>IF(CHOORTbl[[#This Row],[TOTAL RURAL]]=0,0,CHOORTbl[[#This Row],[TOTAL RURAL]]/SUM(CHOORTbl[TOTAL RURAL]))</f>
        <v>0</v>
      </c>
      <c r="AR13" s="665">
        <f>IF(CHOORTbl[[#This Row],[ALL UNITS IN A HIGH OR HIGHEST RESOURCE AREA]]="Yes",10*CHOORTbl[[#This Row],[ % OF TOTAL RURAL FUNDING]],0)</f>
        <v>0</v>
      </c>
      <c r="AS13" s="665" cm="1">
        <f t="array" ref="AS13">INDEX(CountyScoresTbl[OOR Community Need],ROW(CHOORTbl[[#This Row],[COUNTY]])-2,1)*CHOORTbl[[#This Row],[ % OF TOTAL RURAL FUNDING]]</f>
        <v>0</v>
      </c>
      <c r="AT13" s="694" cm="1">
        <f t="array" ref="AT13">INDEX(CountyScoresTbl[OOR/ADU Total Feasibility Points Awarded],ROW(CHOORTbl[[#This Row],[COUNTY]])-2,1)*CHOORTbl[[#This Row],[ % OF TOTAL RURAL FUNDING]]</f>
        <v>0</v>
      </c>
      <c r="AU13" s="126"/>
      <c r="AV13" s="118"/>
      <c r="AW13" s="6">
        <f>IF(CHOORTbl[[#This Row],[TOTAL MFD RURAL]]=0,0,CHOORTbl[[#This Row],[TOTAL MFD RURAL]]/SUM(CHOORTbl[TOTAL MFD RURAL]))</f>
        <v>0</v>
      </c>
      <c r="AX13" s="665">
        <f>IF(CHOORTbl[[#This Row],[ALL UNITS IN A HIGH OR HIGHEST RESOURCE AREA]]="Yes",10*CHOORTbl[[#This Row],[ % OF TOTAL MFD RURAL FUNDING]],0)</f>
        <v>0</v>
      </c>
      <c r="AY13" s="665" cm="1">
        <f t="array" ref="AY13">INDEX(CountyScoresTbl[OOR Community Need],ROW(CHOORTbl[[#This Row],[COUNTY]])-2,1)*CHOORTbl[[#This Row],[ % OF TOTAL MFD RURAL FUNDING]]</f>
        <v>0</v>
      </c>
      <c r="AZ13" s="694" cm="1">
        <f t="array" ref="AZ13">INDEX(CountyScoresTbl[OOR/ADU Total Feasibility Points Awarded],ROW(CHOORTbl[[#This Row],[COUNTY]])-2,1)*CHOORTbl[[#This Row],[ % OF TOTAL MFD RURAL FUNDING]]</f>
        <v>0</v>
      </c>
      <c r="BA13" s="556"/>
      <c r="BB13" s="561">
        <f>SUM(CHOORTbl[[#This Row],[UNRESTRICTED ADF]],CHOORTbl[[#This Row],[Unrestricted Funds Requesting]])</f>
        <v>0</v>
      </c>
      <c r="BC13" s="556"/>
      <c r="BD13" s="561">
        <f>SUM(CHOORTbl[[#This Row],[MANUFACTURED ADF]],CHOORTbl[[#This Row],[Manufactured Home Funds Requesting]])</f>
        <v>0</v>
      </c>
      <c r="BE13" s="556"/>
      <c r="BF13" s="561">
        <f>SUM(CHOORTbl[[#This Row],[RURAL ADF]],CHOORTbl[[#This Row],[RURAL FUNDING REQUESTED]])</f>
        <v>0</v>
      </c>
      <c r="BG13" s="556"/>
      <c r="BH13" s="562">
        <f>SUM(CHOORTbl[[#This Row],[MFD RURAL ADF]],CHOORTbl[[#This Row],[MFD RURAL FUNDING REQUESTED]])</f>
        <v>0</v>
      </c>
    </row>
    <row r="14" spans="1:60" x14ac:dyDescent="0.35">
      <c r="A14" s="116"/>
      <c r="B14" s="5" t="s">
        <v>126</v>
      </c>
      <c r="C14" s="31" t="s">
        <v>513</v>
      </c>
      <c r="D14" s="109" t="str">
        <f>IF(SUM(CHOORTbl[[#This Row],[Unrestricted Repair Units]:[Unrestricted ADU Reconstruct Units]])=0,"",SUM(CHOORTbl[[#This Row],[Unrestricted Repair Units]:[Unrestricted ADU Reconstruct Units]]))</f>
        <v/>
      </c>
      <c r="E14" s="74" t="str">
        <f xml:space="preserve">
IF(CHOORTbl[[#This Row],[TOTAL UNRESTRICTED]]=0,"",
CHOORTbl[[#This Row],[TOTAL UNRESTRICTED]]*
IF(CH_OOR_UnrestrictedTotalRequested&lt;=5000000,1,
5000000/CH_OOR_UnrestrictedTotalRequested)
)</f>
        <v/>
      </c>
      <c r="F14" s="6" t="str">
        <f>IF(CHOORTbl[[#This Row],[ % OF TOTAL FUNDING]]=0,"",CHOORTbl[[#This Row],[ % OF TOTAL FUNDING]])</f>
        <v/>
      </c>
      <c r="G14" s="31" t="s">
        <v>513</v>
      </c>
      <c r="H14" s="109" t="str">
        <f>IF(SUM(CHOORTbl[[#This Row],[Manufactured Home Units]])=0,"",SUM(CHOORTbl[[#This Row],[Manufactured Home Units]]))</f>
        <v/>
      </c>
      <c r="I14" s="74" t="str">
        <f xml:space="preserve">
IF(CHOORTbl[[#This Row],[TOTAL MANUFACTURED]]=0,"",
CHOORTbl[[#This Row],[TOTAL MANUFACTURED]]*
IF(CH_OOR_ManufacturedTotalRequested&lt;=(5000000-E$61),1,
(5000000-E$61)/CH_OOR_ManufacturedTotalRequested)
)</f>
        <v/>
      </c>
      <c r="J14" s="6" t="str">
        <f>IF(CHOORTbl[[#This Row],[ % OF TOTAL FUNDING2]]=0,"",CHOORTbl[[#This Row],[ % OF TOTAL FUNDING2]])</f>
        <v/>
      </c>
      <c r="K14" s="31" t="s">
        <v>513</v>
      </c>
      <c r="L14" s="109" t="str">
        <f>IF(SUM(CHOORTbl[[#This Row],[RURAL AREA HOMES TO REPAIR2]:[RURAL AREA ADUS TO ADD OR RECONSTRUCT]])=0,"",SUM(CHOORTbl[[#This Row],[RURAL AREA HOMES TO REPAIR2]:[RURAL AREA ADUS TO ADD OR RECONSTRUCT]]))</f>
        <v/>
      </c>
      <c r="M14" s="74" t="str">
        <f xml:space="preserve">
IF(CHOORTbl[[#This Row],[TOTAL RURAL]]=0,"",
CHOORTbl[[#This Row],[TOTAL RURAL]]*
IF(CH_OOR_RuralTotalRequested&lt;=(5000000-E$61-I$61),1,
(5000000-E$61-I$61)/CH_OOR_RuralTotalRequested)
)</f>
        <v/>
      </c>
      <c r="N14" s="6" t="str">
        <f>IF(CHOORTbl[[#This Row],[ % OF TOTAL RURAL FUNDING]]=0,"",CHOORTbl[[#This Row],[ % OF TOTAL RURAL FUNDING]])</f>
        <v/>
      </c>
      <c r="O14" s="31" t="s">
        <v>513</v>
      </c>
      <c r="P14" s="109" t="str">
        <f>IF(SUM(CHOORTbl[[#This Row],[MFD RURAL UNITS]])=0,"",SUM(CHOORTbl[[#This Row],[MFD RURAL UNITS]]))</f>
        <v/>
      </c>
      <c r="Q14" s="74" t="str">
        <f xml:space="preserve">
IF(CHOORTbl[[#This Row],[TOTAL MFD RURAL]]=0,"",
CHOORTbl[[#This Row],[TOTAL MFD RURAL]]*
IF(CH_OOR_MFDRuralTotalRequested&lt;=(5000000-E$61-I$61-M$61),1,
(5000000-E$61-I$61-M$61)/CH_OOR_MFDRuralTotalRequested)
)</f>
        <v/>
      </c>
      <c r="R14" s="6" t="str">
        <f>IF(CHOORTbl[[#This Row],[ % OF TOTAL MFD RURAL FUNDING]]=0,"",CHOORTbl[[#This Row],[ % OF TOTAL MFD RURAL FUNDING]])</f>
        <v/>
      </c>
      <c r="S14" s="44" t="s">
        <v>513</v>
      </c>
      <c r="T14" s="116"/>
      <c r="U14" s="242"/>
      <c r="V14" s="745"/>
      <c r="W14" s="705"/>
      <c r="X14" s="242"/>
      <c r="Y14" s="242"/>
      <c r="Z14" s="242"/>
      <c r="AA14" s="118"/>
      <c r="AB14" s="6">
        <f>IF(CHOORTbl[[#This Row],[TOTAL UNRESTRICTED]]=0,0,CHOORTbl[[#This Row],[TOTAL UNRESTRICTED]]/SUM(CHOORTbl[TOTAL UNRESTRICTED]))</f>
        <v>0</v>
      </c>
      <c r="AC14" s="665">
        <f>IF(CHOORTbl[[#This Row],[ALL UNITS IN A HIGH OR HIGHEST RESOURCE AREA]]="Yes",10*CHOORTbl[[#This Row],[ % OF TOTAL FUNDING]],0)</f>
        <v>0</v>
      </c>
      <c r="AD14" s="665" cm="1">
        <f t="array" ref="AD14">INDEX(CountyScoresTbl[OOR Community Need],ROW(CHOORTbl[[#This Row],[COUNTY]])-2,1)*CHOORTbl[[#This Row],[ % OF TOTAL FUNDING]]</f>
        <v>0</v>
      </c>
      <c r="AE14" s="694" cm="1">
        <f t="array" ref="AE14">INDEX(CountyScoresTbl[OOR/ADU Total Feasibility Points Awarded],ROW(CHOORTbl[[#This Row],[COUNTY]])-2,1)*CHOORTbl[[#This Row],[ % OF TOTAL FUNDING]]</f>
        <v>0</v>
      </c>
      <c r="AF14" s="124"/>
      <c r="AG14" s="118"/>
      <c r="AH14" s="6">
        <f>IF(CHOORTbl[[#This Row],[TOTAL MANUFACTURED]]=0,0,CHOORTbl[[#This Row],[TOTAL MANUFACTURED]]/SUM(CHOORTbl[TOTAL MANUFACTURED]))</f>
        <v>0</v>
      </c>
      <c r="AI14" s="665">
        <f>IF(CHOORTbl[[#This Row],[ALL UNITS IN A HIGH OR HIGHEST RESOURCE AREA]]="Yes",10*CHOORTbl[[#This Row],[ % OF TOTAL FUNDING2]],0)</f>
        <v>0</v>
      </c>
      <c r="AJ14" s="665" cm="1">
        <f t="array" ref="AJ14">INDEX(CountyScoresTbl[OOR Community Need],ROW(CHOORTbl[[#This Row],[COUNTY]])-2,1)*CHOORTbl[[#This Row],[ % OF TOTAL FUNDING2]]</f>
        <v>0</v>
      </c>
      <c r="AK14" s="694" cm="1">
        <f t="array" ref="AK14">INDEX(CountyScoresTbl[OOR/ADU Total Feasibility Points Awarded],ROW(CHOORTbl[[#This Row],[COUNTY]])-2,1)*CHOORTbl[[#This Row],[ % OF TOTAL FUNDING2]]</f>
        <v>0</v>
      </c>
      <c r="AL14" s="124"/>
      <c r="AM14" s="119"/>
      <c r="AN14" s="119"/>
      <c r="AO14" s="119"/>
      <c r="AP14" s="118"/>
      <c r="AQ14" s="6">
        <f>IF(CHOORTbl[[#This Row],[TOTAL RURAL]]=0,0,CHOORTbl[[#This Row],[TOTAL RURAL]]/SUM(CHOORTbl[TOTAL RURAL]))</f>
        <v>0</v>
      </c>
      <c r="AR14" s="665">
        <f>IF(CHOORTbl[[#This Row],[ALL UNITS IN A HIGH OR HIGHEST RESOURCE AREA]]="Yes",10*CHOORTbl[[#This Row],[ % OF TOTAL RURAL FUNDING]],0)</f>
        <v>0</v>
      </c>
      <c r="AS14" s="665" cm="1">
        <f t="array" ref="AS14">INDEX(CountyScoresTbl[OOR Community Need],ROW(CHOORTbl[[#This Row],[COUNTY]])-2,1)*CHOORTbl[[#This Row],[ % OF TOTAL RURAL FUNDING]]</f>
        <v>0</v>
      </c>
      <c r="AT14" s="694" cm="1">
        <f t="array" ref="AT14">INDEX(CountyScoresTbl[OOR/ADU Total Feasibility Points Awarded],ROW(CHOORTbl[[#This Row],[COUNTY]])-2,1)*CHOORTbl[[#This Row],[ % OF TOTAL RURAL FUNDING]]</f>
        <v>0</v>
      </c>
      <c r="AU14" s="126"/>
      <c r="AV14" s="118"/>
      <c r="AW14" s="6">
        <f>IF(CHOORTbl[[#This Row],[TOTAL MFD RURAL]]=0,0,CHOORTbl[[#This Row],[TOTAL MFD RURAL]]/SUM(CHOORTbl[TOTAL MFD RURAL]))</f>
        <v>0</v>
      </c>
      <c r="AX14" s="665">
        <f>IF(CHOORTbl[[#This Row],[ALL UNITS IN A HIGH OR HIGHEST RESOURCE AREA]]="Yes",10*CHOORTbl[[#This Row],[ % OF TOTAL MFD RURAL FUNDING]],0)</f>
        <v>0</v>
      </c>
      <c r="AY14" s="665" cm="1">
        <f t="array" ref="AY14">INDEX(CountyScoresTbl[OOR Community Need],ROW(CHOORTbl[[#This Row],[COUNTY]])-2,1)*CHOORTbl[[#This Row],[ % OF TOTAL MFD RURAL FUNDING]]</f>
        <v>0</v>
      </c>
      <c r="AZ14" s="694" cm="1">
        <f t="array" ref="AZ14">INDEX(CountyScoresTbl[OOR/ADU Total Feasibility Points Awarded],ROW(CHOORTbl[[#This Row],[COUNTY]])-2,1)*CHOORTbl[[#This Row],[ % OF TOTAL MFD RURAL FUNDING]]</f>
        <v>0</v>
      </c>
      <c r="BA14" s="556"/>
      <c r="BB14" s="561">
        <f>SUM(CHOORTbl[[#This Row],[UNRESTRICTED ADF]],CHOORTbl[[#This Row],[Unrestricted Funds Requesting]])</f>
        <v>0</v>
      </c>
      <c r="BC14" s="556"/>
      <c r="BD14" s="561">
        <f>SUM(CHOORTbl[[#This Row],[MANUFACTURED ADF]],CHOORTbl[[#This Row],[Manufactured Home Funds Requesting]])</f>
        <v>0</v>
      </c>
      <c r="BE14" s="556"/>
      <c r="BF14" s="561">
        <f>SUM(CHOORTbl[[#This Row],[RURAL ADF]],CHOORTbl[[#This Row],[RURAL FUNDING REQUESTED]])</f>
        <v>0</v>
      </c>
      <c r="BG14" s="556"/>
      <c r="BH14" s="562">
        <f>SUM(CHOORTbl[[#This Row],[MFD RURAL ADF]],CHOORTbl[[#This Row],[MFD RURAL FUNDING REQUESTED]])</f>
        <v>0</v>
      </c>
    </row>
    <row r="15" spans="1:60" x14ac:dyDescent="0.35">
      <c r="A15" s="116"/>
      <c r="B15" s="5" t="s">
        <v>127</v>
      </c>
      <c r="C15" s="31" t="s">
        <v>513</v>
      </c>
      <c r="D15" s="109" t="str">
        <f>IF(SUM(CHOORTbl[[#This Row],[Unrestricted Repair Units]:[Unrestricted ADU Reconstruct Units]])=0,"",SUM(CHOORTbl[[#This Row],[Unrestricted Repair Units]:[Unrestricted ADU Reconstruct Units]]))</f>
        <v/>
      </c>
      <c r="E15" s="74" t="str">
        <f xml:space="preserve">
IF(CHOORTbl[[#This Row],[TOTAL UNRESTRICTED]]=0,"",
CHOORTbl[[#This Row],[TOTAL UNRESTRICTED]]*
IF(CH_OOR_UnrestrictedTotalRequested&lt;=5000000,1,
5000000/CH_OOR_UnrestrictedTotalRequested)
)</f>
        <v/>
      </c>
      <c r="F15" s="6" t="str">
        <f>IF(CHOORTbl[[#This Row],[ % OF TOTAL FUNDING]]=0,"",CHOORTbl[[#This Row],[ % OF TOTAL FUNDING]])</f>
        <v/>
      </c>
      <c r="G15" s="31" t="s">
        <v>513</v>
      </c>
      <c r="H15" s="109" t="str">
        <f>IF(SUM(CHOORTbl[[#This Row],[Manufactured Home Units]])=0,"",SUM(CHOORTbl[[#This Row],[Manufactured Home Units]]))</f>
        <v/>
      </c>
      <c r="I15" s="74" t="str">
        <f xml:space="preserve">
IF(CHOORTbl[[#This Row],[TOTAL MANUFACTURED]]=0,"",
CHOORTbl[[#This Row],[TOTAL MANUFACTURED]]*
IF(CH_OOR_ManufacturedTotalRequested&lt;=(5000000-E$61),1,
(5000000-E$61)/CH_OOR_ManufacturedTotalRequested)
)</f>
        <v/>
      </c>
      <c r="J15" s="6" t="str">
        <f>IF(CHOORTbl[[#This Row],[ % OF TOTAL FUNDING2]]=0,"",CHOORTbl[[#This Row],[ % OF TOTAL FUNDING2]])</f>
        <v/>
      </c>
      <c r="K15" s="31" t="s">
        <v>513</v>
      </c>
      <c r="L15" s="109" t="str">
        <f>IF(SUM(CHOORTbl[[#This Row],[RURAL AREA HOMES TO REPAIR2]:[RURAL AREA ADUS TO ADD OR RECONSTRUCT]])=0,"",SUM(CHOORTbl[[#This Row],[RURAL AREA HOMES TO REPAIR2]:[RURAL AREA ADUS TO ADD OR RECONSTRUCT]]))</f>
        <v/>
      </c>
      <c r="M15" s="74" t="str">
        <f xml:space="preserve">
IF(CHOORTbl[[#This Row],[TOTAL RURAL]]=0,"",
CHOORTbl[[#This Row],[TOTAL RURAL]]*
IF(CH_OOR_RuralTotalRequested&lt;=(5000000-E$61-I$61),1,
(5000000-E$61-I$61)/CH_OOR_RuralTotalRequested)
)</f>
        <v/>
      </c>
      <c r="N15" s="6" t="str">
        <f>IF(CHOORTbl[[#This Row],[ % OF TOTAL RURAL FUNDING]]=0,"",CHOORTbl[[#This Row],[ % OF TOTAL RURAL FUNDING]])</f>
        <v/>
      </c>
      <c r="O15" s="31" t="s">
        <v>513</v>
      </c>
      <c r="P15" s="109" t="str">
        <f>IF(SUM(CHOORTbl[[#This Row],[MFD RURAL UNITS]])=0,"",SUM(CHOORTbl[[#This Row],[MFD RURAL UNITS]]))</f>
        <v/>
      </c>
      <c r="Q15" s="74" t="str">
        <f xml:space="preserve">
IF(CHOORTbl[[#This Row],[TOTAL MFD RURAL]]=0,"",
CHOORTbl[[#This Row],[TOTAL MFD RURAL]]*
IF(CH_OOR_MFDRuralTotalRequested&lt;=(5000000-E$61-I$61-M$61),1,
(5000000-E$61-I$61-M$61)/CH_OOR_MFDRuralTotalRequested)
)</f>
        <v/>
      </c>
      <c r="R15" s="6" t="str">
        <f>IF(CHOORTbl[[#This Row],[ % OF TOTAL MFD RURAL FUNDING]]=0,"",CHOORTbl[[#This Row],[ % OF TOTAL MFD RURAL FUNDING]])</f>
        <v/>
      </c>
      <c r="S15" s="44" t="s">
        <v>513</v>
      </c>
      <c r="T15" s="116"/>
      <c r="U15" s="242"/>
      <c r="V15" s="745"/>
      <c r="W15" s="705"/>
      <c r="X15" s="242"/>
      <c r="Y15" s="242"/>
      <c r="Z15" s="242"/>
      <c r="AA15" s="118"/>
      <c r="AB15" s="6">
        <f>IF(CHOORTbl[[#This Row],[TOTAL UNRESTRICTED]]=0,0,CHOORTbl[[#This Row],[TOTAL UNRESTRICTED]]/SUM(CHOORTbl[TOTAL UNRESTRICTED]))</f>
        <v>0</v>
      </c>
      <c r="AC15" s="665">
        <f>IF(CHOORTbl[[#This Row],[ALL UNITS IN A HIGH OR HIGHEST RESOURCE AREA]]="Yes",10*CHOORTbl[[#This Row],[ % OF TOTAL FUNDING]],0)</f>
        <v>0</v>
      </c>
      <c r="AD15" s="665" cm="1">
        <f t="array" ref="AD15">INDEX(CountyScoresTbl[OOR Community Need],ROW(CHOORTbl[[#This Row],[COUNTY]])-2,1)*CHOORTbl[[#This Row],[ % OF TOTAL FUNDING]]</f>
        <v>0</v>
      </c>
      <c r="AE15" s="694" cm="1">
        <f t="array" ref="AE15">INDEX(CountyScoresTbl[OOR/ADU Total Feasibility Points Awarded],ROW(CHOORTbl[[#This Row],[COUNTY]])-2,1)*CHOORTbl[[#This Row],[ % OF TOTAL FUNDING]]</f>
        <v>0</v>
      </c>
      <c r="AF15" s="124"/>
      <c r="AG15" s="118"/>
      <c r="AH15" s="6">
        <f>IF(CHOORTbl[[#This Row],[TOTAL MANUFACTURED]]=0,0,CHOORTbl[[#This Row],[TOTAL MANUFACTURED]]/SUM(CHOORTbl[TOTAL MANUFACTURED]))</f>
        <v>0</v>
      </c>
      <c r="AI15" s="665">
        <f>IF(CHOORTbl[[#This Row],[ALL UNITS IN A HIGH OR HIGHEST RESOURCE AREA]]="Yes",10*CHOORTbl[[#This Row],[ % OF TOTAL FUNDING2]],0)</f>
        <v>0</v>
      </c>
      <c r="AJ15" s="665" cm="1">
        <f t="array" ref="AJ15">INDEX(CountyScoresTbl[OOR Community Need],ROW(CHOORTbl[[#This Row],[COUNTY]])-2,1)*CHOORTbl[[#This Row],[ % OF TOTAL FUNDING2]]</f>
        <v>0</v>
      </c>
      <c r="AK15" s="694" cm="1">
        <f t="array" ref="AK15">INDEX(CountyScoresTbl[OOR/ADU Total Feasibility Points Awarded],ROW(CHOORTbl[[#This Row],[COUNTY]])-2,1)*CHOORTbl[[#This Row],[ % OF TOTAL FUNDING2]]</f>
        <v>0</v>
      </c>
      <c r="AL15" s="124"/>
      <c r="AM15" s="119"/>
      <c r="AN15" s="119"/>
      <c r="AO15" s="119"/>
      <c r="AP15" s="118"/>
      <c r="AQ15" s="6">
        <f>IF(CHOORTbl[[#This Row],[TOTAL RURAL]]=0,0,CHOORTbl[[#This Row],[TOTAL RURAL]]/SUM(CHOORTbl[TOTAL RURAL]))</f>
        <v>0</v>
      </c>
      <c r="AR15" s="665">
        <f>IF(CHOORTbl[[#This Row],[ALL UNITS IN A HIGH OR HIGHEST RESOURCE AREA]]="Yes",10*CHOORTbl[[#This Row],[ % OF TOTAL RURAL FUNDING]],0)</f>
        <v>0</v>
      </c>
      <c r="AS15" s="665" cm="1">
        <f t="array" ref="AS15">INDEX(CountyScoresTbl[OOR Community Need],ROW(CHOORTbl[[#This Row],[COUNTY]])-2,1)*CHOORTbl[[#This Row],[ % OF TOTAL RURAL FUNDING]]</f>
        <v>0</v>
      </c>
      <c r="AT15" s="694" cm="1">
        <f t="array" ref="AT15">INDEX(CountyScoresTbl[OOR/ADU Total Feasibility Points Awarded],ROW(CHOORTbl[[#This Row],[COUNTY]])-2,1)*CHOORTbl[[#This Row],[ % OF TOTAL RURAL FUNDING]]</f>
        <v>0</v>
      </c>
      <c r="AU15" s="126"/>
      <c r="AV15" s="118"/>
      <c r="AW15" s="6">
        <f>IF(CHOORTbl[[#This Row],[TOTAL MFD RURAL]]=0,0,CHOORTbl[[#This Row],[TOTAL MFD RURAL]]/SUM(CHOORTbl[TOTAL MFD RURAL]))</f>
        <v>0</v>
      </c>
      <c r="AX15" s="665">
        <f>IF(CHOORTbl[[#This Row],[ALL UNITS IN A HIGH OR HIGHEST RESOURCE AREA]]="Yes",10*CHOORTbl[[#This Row],[ % OF TOTAL MFD RURAL FUNDING]],0)</f>
        <v>0</v>
      </c>
      <c r="AY15" s="665" cm="1">
        <f t="array" ref="AY15">INDEX(CountyScoresTbl[OOR Community Need],ROW(CHOORTbl[[#This Row],[COUNTY]])-2,1)*CHOORTbl[[#This Row],[ % OF TOTAL MFD RURAL FUNDING]]</f>
        <v>0</v>
      </c>
      <c r="AZ15" s="694" cm="1">
        <f t="array" ref="AZ15">INDEX(CountyScoresTbl[OOR/ADU Total Feasibility Points Awarded],ROW(CHOORTbl[[#This Row],[COUNTY]])-2,1)*CHOORTbl[[#This Row],[ % OF TOTAL MFD RURAL FUNDING]]</f>
        <v>0</v>
      </c>
      <c r="BA15" s="556"/>
      <c r="BB15" s="561">
        <f>SUM(CHOORTbl[[#This Row],[UNRESTRICTED ADF]],CHOORTbl[[#This Row],[Unrestricted Funds Requesting]])</f>
        <v>0</v>
      </c>
      <c r="BC15" s="556"/>
      <c r="BD15" s="561">
        <f>SUM(CHOORTbl[[#This Row],[MANUFACTURED ADF]],CHOORTbl[[#This Row],[Manufactured Home Funds Requesting]])</f>
        <v>0</v>
      </c>
      <c r="BE15" s="556"/>
      <c r="BF15" s="561">
        <f>SUM(CHOORTbl[[#This Row],[RURAL ADF]],CHOORTbl[[#This Row],[RURAL FUNDING REQUESTED]])</f>
        <v>0</v>
      </c>
      <c r="BG15" s="556"/>
      <c r="BH15" s="562">
        <f>SUM(CHOORTbl[[#This Row],[MFD RURAL ADF]],CHOORTbl[[#This Row],[MFD RURAL FUNDING REQUESTED]])</f>
        <v>0</v>
      </c>
    </row>
    <row r="16" spans="1:60" x14ac:dyDescent="0.35">
      <c r="A16" s="116"/>
      <c r="B16" s="5" t="s">
        <v>128</v>
      </c>
      <c r="C16" s="31" t="s">
        <v>513</v>
      </c>
      <c r="D16" s="109" t="str">
        <f>IF(SUM(CHOORTbl[[#This Row],[Unrestricted Repair Units]:[Unrestricted ADU Reconstruct Units]])=0,"",SUM(CHOORTbl[[#This Row],[Unrestricted Repair Units]:[Unrestricted ADU Reconstruct Units]]))</f>
        <v/>
      </c>
      <c r="E16" s="74" t="str">
        <f xml:space="preserve">
IF(CHOORTbl[[#This Row],[TOTAL UNRESTRICTED]]=0,"",
CHOORTbl[[#This Row],[TOTAL UNRESTRICTED]]*
IF(CH_OOR_UnrestrictedTotalRequested&lt;=5000000,1,
5000000/CH_OOR_UnrestrictedTotalRequested)
)</f>
        <v/>
      </c>
      <c r="F16" s="6" t="str">
        <f>IF(CHOORTbl[[#This Row],[ % OF TOTAL FUNDING]]=0,"",CHOORTbl[[#This Row],[ % OF TOTAL FUNDING]])</f>
        <v/>
      </c>
      <c r="G16" s="31" t="s">
        <v>513</v>
      </c>
      <c r="H16" s="109" t="str">
        <f>IF(SUM(CHOORTbl[[#This Row],[Manufactured Home Units]])=0,"",SUM(CHOORTbl[[#This Row],[Manufactured Home Units]]))</f>
        <v/>
      </c>
      <c r="I16" s="74" t="str">
        <f xml:space="preserve">
IF(CHOORTbl[[#This Row],[TOTAL MANUFACTURED]]=0,"",
CHOORTbl[[#This Row],[TOTAL MANUFACTURED]]*
IF(CH_OOR_ManufacturedTotalRequested&lt;=(5000000-E$61),1,
(5000000-E$61)/CH_OOR_ManufacturedTotalRequested)
)</f>
        <v/>
      </c>
      <c r="J16" s="6" t="str">
        <f>IF(CHOORTbl[[#This Row],[ % OF TOTAL FUNDING2]]=0,"",CHOORTbl[[#This Row],[ % OF TOTAL FUNDING2]])</f>
        <v/>
      </c>
      <c r="K16" s="31" t="s">
        <v>513</v>
      </c>
      <c r="L16" s="109" t="str">
        <f>IF(SUM(CHOORTbl[[#This Row],[RURAL AREA HOMES TO REPAIR2]:[RURAL AREA ADUS TO ADD OR RECONSTRUCT]])=0,"",SUM(CHOORTbl[[#This Row],[RURAL AREA HOMES TO REPAIR2]:[RURAL AREA ADUS TO ADD OR RECONSTRUCT]]))</f>
        <v/>
      </c>
      <c r="M16" s="74" t="str">
        <f xml:space="preserve">
IF(CHOORTbl[[#This Row],[TOTAL RURAL]]=0,"",
CHOORTbl[[#This Row],[TOTAL RURAL]]*
IF(CH_OOR_RuralTotalRequested&lt;=(5000000-E$61-I$61),1,
(5000000-E$61-I$61)/CH_OOR_RuralTotalRequested)
)</f>
        <v/>
      </c>
      <c r="N16" s="6" t="str">
        <f>IF(CHOORTbl[[#This Row],[ % OF TOTAL RURAL FUNDING]]=0,"",CHOORTbl[[#This Row],[ % OF TOTAL RURAL FUNDING]])</f>
        <v/>
      </c>
      <c r="O16" s="31" t="s">
        <v>513</v>
      </c>
      <c r="P16" s="109" t="str">
        <f>IF(SUM(CHOORTbl[[#This Row],[MFD RURAL UNITS]])=0,"",SUM(CHOORTbl[[#This Row],[MFD RURAL UNITS]]))</f>
        <v/>
      </c>
      <c r="Q16" s="74" t="str">
        <f xml:space="preserve">
IF(CHOORTbl[[#This Row],[TOTAL MFD RURAL]]=0,"",
CHOORTbl[[#This Row],[TOTAL MFD RURAL]]*
IF(CH_OOR_MFDRuralTotalRequested&lt;=(5000000-E$61-I$61-M$61),1,
(5000000-E$61-I$61-M$61)/CH_OOR_MFDRuralTotalRequested)
)</f>
        <v/>
      </c>
      <c r="R16" s="6" t="str">
        <f>IF(CHOORTbl[[#This Row],[ % OF TOTAL MFD RURAL FUNDING]]=0,"",CHOORTbl[[#This Row],[ % OF TOTAL MFD RURAL FUNDING]])</f>
        <v/>
      </c>
      <c r="S16" s="44" t="s">
        <v>513</v>
      </c>
      <c r="T16" s="116"/>
      <c r="U16" s="242"/>
      <c r="V16" s="745"/>
      <c r="W16" s="705"/>
      <c r="X16" s="242"/>
      <c r="Y16" s="242"/>
      <c r="Z16" s="242"/>
      <c r="AA16" s="118"/>
      <c r="AB16" s="6">
        <f>IF(CHOORTbl[[#This Row],[TOTAL UNRESTRICTED]]=0,0,CHOORTbl[[#This Row],[TOTAL UNRESTRICTED]]/SUM(CHOORTbl[TOTAL UNRESTRICTED]))</f>
        <v>0</v>
      </c>
      <c r="AC16" s="665">
        <f>IF(CHOORTbl[[#This Row],[ALL UNITS IN A HIGH OR HIGHEST RESOURCE AREA]]="Yes",10*CHOORTbl[[#This Row],[ % OF TOTAL FUNDING]],0)</f>
        <v>0</v>
      </c>
      <c r="AD16" s="665" cm="1">
        <f t="array" ref="AD16">INDEX(CountyScoresTbl[OOR Community Need],ROW(CHOORTbl[[#This Row],[COUNTY]])-2,1)*CHOORTbl[[#This Row],[ % OF TOTAL FUNDING]]</f>
        <v>0</v>
      </c>
      <c r="AE16" s="694" cm="1">
        <f t="array" ref="AE16">INDEX(CountyScoresTbl[OOR/ADU Total Feasibility Points Awarded],ROW(CHOORTbl[[#This Row],[COUNTY]])-2,1)*CHOORTbl[[#This Row],[ % OF TOTAL FUNDING]]</f>
        <v>0</v>
      </c>
      <c r="AF16" s="124"/>
      <c r="AG16" s="118"/>
      <c r="AH16" s="6">
        <f>IF(CHOORTbl[[#This Row],[TOTAL MANUFACTURED]]=0,0,CHOORTbl[[#This Row],[TOTAL MANUFACTURED]]/SUM(CHOORTbl[TOTAL MANUFACTURED]))</f>
        <v>0</v>
      </c>
      <c r="AI16" s="665">
        <f>IF(CHOORTbl[[#This Row],[ALL UNITS IN A HIGH OR HIGHEST RESOURCE AREA]]="Yes",10*CHOORTbl[[#This Row],[ % OF TOTAL FUNDING2]],0)</f>
        <v>0</v>
      </c>
      <c r="AJ16" s="665" cm="1">
        <f t="array" ref="AJ16">INDEX(CountyScoresTbl[OOR Community Need],ROW(CHOORTbl[[#This Row],[COUNTY]])-2,1)*CHOORTbl[[#This Row],[ % OF TOTAL FUNDING2]]</f>
        <v>0</v>
      </c>
      <c r="AK16" s="694" cm="1">
        <f t="array" ref="AK16">INDEX(CountyScoresTbl[OOR/ADU Total Feasibility Points Awarded],ROW(CHOORTbl[[#This Row],[COUNTY]])-2,1)*CHOORTbl[[#This Row],[ % OF TOTAL FUNDING2]]</f>
        <v>0</v>
      </c>
      <c r="AL16" s="124"/>
      <c r="AM16" s="119"/>
      <c r="AN16" s="119"/>
      <c r="AO16" s="119"/>
      <c r="AP16" s="118"/>
      <c r="AQ16" s="6">
        <f>IF(CHOORTbl[[#This Row],[TOTAL RURAL]]=0,0,CHOORTbl[[#This Row],[TOTAL RURAL]]/SUM(CHOORTbl[TOTAL RURAL]))</f>
        <v>0</v>
      </c>
      <c r="AR16" s="665">
        <f>IF(CHOORTbl[[#This Row],[ALL UNITS IN A HIGH OR HIGHEST RESOURCE AREA]]="Yes",10*CHOORTbl[[#This Row],[ % OF TOTAL RURAL FUNDING]],0)</f>
        <v>0</v>
      </c>
      <c r="AS16" s="665" cm="1">
        <f t="array" ref="AS16">INDEX(CountyScoresTbl[OOR Community Need],ROW(CHOORTbl[[#This Row],[COUNTY]])-2,1)*CHOORTbl[[#This Row],[ % OF TOTAL RURAL FUNDING]]</f>
        <v>0</v>
      </c>
      <c r="AT16" s="694" cm="1">
        <f t="array" ref="AT16">INDEX(CountyScoresTbl[OOR/ADU Total Feasibility Points Awarded],ROW(CHOORTbl[[#This Row],[COUNTY]])-2,1)*CHOORTbl[[#This Row],[ % OF TOTAL RURAL FUNDING]]</f>
        <v>0</v>
      </c>
      <c r="AU16" s="126"/>
      <c r="AV16" s="118"/>
      <c r="AW16" s="6">
        <f>IF(CHOORTbl[[#This Row],[TOTAL MFD RURAL]]=0,0,CHOORTbl[[#This Row],[TOTAL MFD RURAL]]/SUM(CHOORTbl[TOTAL MFD RURAL]))</f>
        <v>0</v>
      </c>
      <c r="AX16" s="665">
        <f>IF(CHOORTbl[[#This Row],[ALL UNITS IN A HIGH OR HIGHEST RESOURCE AREA]]="Yes",10*CHOORTbl[[#This Row],[ % OF TOTAL MFD RURAL FUNDING]],0)</f>
        <v>0</v>
      </c>
      <c r="AY16" s="665" cm="1">
        <f t="array" ref="AY16">INDEX(CountyScoresTbl[OOR Community Need],ROW(CHOORTbl[[#This Row],[COUNTY]])-2,1)*CHOORTbl[[#This Row],[ % OF TOTAL MFD RURAL FUNDING]]</f>
        <v>0</v>
      </c>
      <c r="AZ16" s="694" cm="1">
        <f t="array" ref="AZ16">INDEX(CountyScoresTbl[OOR/ADU Total Feasibility Points Awarded],ROW(CHOORTbl[[#This Row],[COUNTY]])-2,1)*CHOORTbl[[#This Row],[ % OF TOTAL MFD RURAL FUNDING]]</f>
        <v>0</v>
      </c>
      <c r="BA16" s="556"/>
      <c r="BB16" s="561">
        <f>SUM(CHOORTbl[[#This Row],[UNRESTRICTED ADF]],CHOORTbl[[#This Row],[Unrestricted Funds Requesting]])</f>
        <v>0</v>
      </c>
      <c r="BC16" s="556"/>
      <c r="BD16" s="561">
        <f>SUM(CHOORTbl[[#This Row],[MANUFACTURED ADF]],CHOORTbl[[#This Row],[Manufactured Home Funds Requesting]])</f>
        <v>0</v>
      </c>
      <c r="BE16" s="556"/>
      <c r="BF16" s="561">
        <f>SUM(CHOORTbl[[#This Row],[RURAL ADF]],CHOORTbl[[#This Row],[RURAL FUNDING REQUESTED]])</f>
        <v>0</v>
      </c>
      <c r="BG16" s="556"/>
      <c r="BH16" s="562">
        <f>SUM(CHOORTbl[[#This Row],[MFD RURAL ADF]],CHOORTbl[[#This Row],[MFD RURAL FUNDING REQUESTED]])</f>
        <v>0</v>
      </c>
    </row>
    <row r="17" spans="1:60" x14ac:dyDescent="0.35">
      <c r="A17" s="116"/>
      <c r="B17" s="5" t="s">
        <v>129</v>
      </c>
      <c r="C17" s="31" t="s">
        <v>513</v>
      </c>
      <c r="D17" s="109" t="str">
        <f>IF(SUM(CHOORTbl[[#This Row],[Unrestricted Repair Units]:[Unrestricted ADU Reconstruct Units]])=0,"",SUM(CHOORTbl[[#This Row],[Unrestricted Repair Units]:[Unrestricted ADU Reconstruct Units]]))</f>
        <v/>
      </c>
      <c r="E17" s="74" t="str">
        <f xml:space="preserve">
IF(CHOORTbl[[#This Row],[TOTAL UNRESTRICTED]]=0,"",
CHOORTbl[[#This Row],[TOTAL UNRESTRICTED]]*
IF(CH_OOR_UnrestrictedTotalRequested&lt;=5000000,1,
5000000/CH_OOR_UnrestrictedTotalRequested)
)</f>
        <v/>
      </c>
      <c r="F17" s="6" t="str">
        <f>IF(CHOORTbl[[#This Row],[ % OF TOTAL FUNDING]]=0,"",CHOORTbl[[#This Row],[ % OF TOTAL FUNDING]])</f>
        <v/>
      </c>
      <c r="G17" s="31" t="s">
        <v>513</v>
      </c>
      <c r="H17" s="109" t="str">
        <f>IF(SUM(CHOORTbl[[#This Row],[Manufactured Home Units]])=0,"",SUM(CHOORTbl[[#This Row],[Manufactured Home Units]]))</f>
        <v/>
      </c>
      <c r="I17" s="74" t="str">
        <f xml:space="preserve">
IF(CHOORTbl[[#This Row],[TOTAL MANUFACTURED]]=0,"",
CHOORTbl[[#This Row],[TOTAL MANUFACTURED]]*
IF(CH_OOR_ManufacturedTotalRequested&lt;=(5000000-E$61),1,
(5000000-E$61)/CH_OOR_ManufacturedTotalRequested)
)</f>
        <v/>
      </c>
      <c r="J17" s="6" t="str">
        <f>IF(CHOORTbl[[#This Row],[ % OF TOTAL FUNDING2]]=0,"",CHOORTbl[[#This Row],[ % OF TOTAL FUNDING2]])</f>
        <v/>
      </c>
      <c r="K17" s="31" t="s">
        <v>513</v>
      </c>
      <c r="L17" s="109" t="str">
        <f>IF(SUM(CHOORTbl[[#This Row],[RURAL AREA HOMES TO REPAIR2]:[RURAL AREA ADUS TO ADD OR RECONSTRUCT]])=0,"",SUM(CHOORTbl[[#This Row],[RURAL AREA HOMES TO REPAIR2]:[RURAL AREA ADUS TO ADD OR RECONSTRUCT]]))</f>
        <v/>
      </c>
      <c r="M17" s="74" t="str">
        <f xml:space="preserve">
IF(CHOORTbl[[#This Row],[TOTAL RURAL]]=0,"",
CHOORTbl[[#This Row],[TOTAL RURAL]]*
IF(CH_OOR_RuralTotalRequested&lt;=(5000000-E$61-I$61),1,
(5000000-E$61-I$61)/CH_OOR_RuralTotalRequested)
)</f>
        <v/>
      </c>
      <c r="N17" s="6" t="str">
        <f>IF(CHOORTbl[[#This Row],[ % OF TOTAL RURAL FUNDING]]=0,"",CHOORTbl[[#This Row],[ % OF TOTAL RURAL FUNDING]])</f>
        <v/>
      </c>
      <c r="O17" s="31" t="s">
        <v>513</v>
      </c>
      <c r="P17" s="109" t="str">
        <f>IF(SUM(CHOORTbl[[#This Row],[MFD RURAL UNITS]])=0,"",SUM(CHOORTbl[[#This Row],[MFD RURAL UNITS]]))</f>
        <v/>
      </c>
      <c r="Q17" s="74" t="str">
        <f xml:space="preserve">
IF(CHOORTbl[[#This Row],[TOTAL MFD RURAL]]=0,"",
CHOORTbl[[#This Row],[TOTAL MFD RURAL]]*
IF(CH_OOR_MFDRuralTotalRequested&lt;=(5000000-E$61-I$61-M$61),1,
(5000000-E$61-I$61-M$61)/CH_OOR_MFDRuralTotalRequested)
)</f>
        <v/>
      </c>
      <c r="R17" s="6" t="str">
        <f>IF(CHOORTbl[[#This Row],[ % OF TOTAL MFD RURAL FUNDING]]=0,"",CHOORTbl[[#This Row],[ % OF TOTAL MFD RURAL FUNDING]])</f>
        <v/>
      </c>
      <c r="S17" s="44" t="s">
        <v>513</v>
      </c>
      <c r="T17" s="116"/>
      <c r="U17" s="242"/>
      <c r="V17" s="745"/>
      <c r="W17" s="705"/>
      <c r="X17" s="242"/>
      <c r="Y17" s="242"/>
      <c r="Z17" s="242"/>
      <c r="AA17" s="118"/>
      <c r="AB17" s="6">
        <f>IF(CHOORTbl[[#This Row],[TOTAL UNRESTRICTED]]=0,0,CHOORTbl[[#This Row],[TOTAL UNRESTRICTED]]/SUM(CHOORTbl[TOTAL UNRESTRICTED]))</f>
        <v>0</v>
      </c>
      <c r="AC17" s="665">
        <f>IF(CHOORTbl[[#This Row],[ALL UNITS IN A HIGH OR HIGHEST RESOURCE AREA]]="Yes",10*CHOORTbl[[#This Row],[ % OF TOTAL FUNDING]],0)</f>
        <v>0</v>
      </c>
      <c r="AD17" s="665" cm="1">
        <f t="array" ref="AD17">INDEX(CountyScoresTbl[OOR Community Need],ROW(CHOORTbl[[#This Row],[COUNTY]])-2,1)*CHOORTbl[[#This Row],[ % OF TOTAL FUNDING]]</f>
        <v>0</v>
      </c>
      <c r="AE17" s="694" cm="1">
        <f t="array" ref="AE17">INDEX(CountyScoresTbl[OOR/ADU Total Feasibility Points Awarded],ROW(CHOORTbl[[#This Row],[COUNTY]])-2,1)*CHOORTbl[[#This Row],[ % OF TOTAL FUNDING]]</f>
        <v>0</v>
      </c>
      <c r="AF17" s="124"/>
      <c r="AG17" s="118"/>
      <c r="AH17" s="6">
        <f>IF(CHOORTbl[[#This Row],[TOTAL MANUFACTURED]]=0,0,CHOORTbl[[#This Row],[TOTAL MANUFACTURED]]/SUM(CHOORTbl[TOTAL MANUFACTURED]))</f>
        <v>0</v>
      </c>
      <c r="AI17" s="665">
        <f>IF(CHOORTbl[[#This Row],[ALL UNITS IN A HIGH OR HIGHEST RESOURCE AREA]]="Yes",10*CHOORTbl[[#This Row],[ % OF TOTAL FUNDING2]],0)</f>
        <v>0</v>
      </c>
      <c r="AJ17" s="665" cm="1">
        <f t="array" ref="AJ17">INDEX(CountyScoresTbl[OOR Community Need],ROW(CHOORTbl[[#This Row],[COUNTY]])-2,1)*CHOORTbl[[#This Row],[ % OF TOTAL FUNDING2]]</f>
        <v>0</v>
      </c>
      <c r="AK17" s="694" cm="1">
        <f t="array" ref="AK17">INDEX(CountyScoresTbl[OOR/ADU Total Feasibility Points Awarded],ROW(CHOORTbl[[#This Row],[COUNTY]])-2,1)*CHOORTbl[[#This Row],[ % OF TOTAL FUNDING2]]</f>
        <v>0</v>
      </c>
      <c r="AL17" s="124"/>
      <c r="AM17" s="119"/>
      <c r="AN17" s="119"/>
      <c r="AO17" s="119"/>
      <c r="AP17" s="118"/>
      <c r="AQ17" s="6">
        <f>IF(CHOORTbl[[#This Row],[TOTAL RURAL]]=0,0,CHOORTbl[[#This Row],[TOTAL RURAL]]/SUM(CHOORTbl[TOTAL RURAL]))</f>
        <v>0</v>
      </c>
      <c r="AR17" s="665">
        <f>IF(CHOORTbl[[#This Row],[ALL UNITS IN A HIGH OR HIGHEST RESOURCE AREA]]="Yes",10*CHOORTbl[[#This Row],[ % OF TOTAL RURAL FUNDING]],0)</f>
        <v>0</v>
      </c>
      <c r="AS17" s="665" cm="1">
        <f t="array" ref="AS17">INDEX(CountyScoresTbl[OOR Community Need],ROW(CHOORTbl[[#This Row],[COUNTY]])-2,1)*CHOORTbl[[#This Row],[ % OF TOTAL RURAL FUNDING]]</f>
        <v>0</v>
      </c>
      <c r="AT17" s="694" cm="1">
        <f t="array" ref="AT17">INDEX(CountyScoresTbl[OOR/ADU Total Feasibility Points Awarded],ROW(CHOORTbl[[#This Row],[COUNTY]])-2,1)*CHOORTbl[[#This Row],[ % OF TOTAL RURAL FUNDING]]</f>
        <v>0</v>
      </c>
      <c r="AU17" s="126"/>
      <c r="AV17" s="118"/>
      <c r="AW17" s="6">
        <f>IF(CHOORTbl[[#This Row],[TOTAL MFD RURAL]]=0,0,CHOORTbl[[#This Row],[TOTAL MFD RURAL]]/SUM(CHOORTbl[TOTAL MFD RURAL]))</f>
        <v>0</v>
      </c>
      <c r="AX17" s="665">
        <f>IF(CHOORTbl[[#This Row],[ALL UNITS IN A HIGH OR HIGHEST RESOURCE AREA]]="Yes",10*CHOORTbl[[#This Row],[ % OF TOTAL MFD RURAL FUNDING]],0)</f>
        <v>0</v>
      </c>
      <c r="AY17" s="665" cm="1">
        <f t="array" ref="AY17">INDEX(CountyScoresTbl[OOR Community Need],ROW(CHOORTbl[[#This Row],[COUNTY]])-2,1)*CHOORTbl[[#This Row],[ % OF TOTAL MFD RURAL FUNDING]]</f>
        <v>0</v>
      </c>
      <c r="AZ17" s="694" cm="1">
        <f t="array" ref="AZ17">INDEX(CountyScoresTbl[OOR/ADU Total Feasibility Points Awarded],ROW(CHOORTbl[[#This Row],[COUNTY]])-2,1)*CHOORTbl[[#This Row],[ % OF TOTAL MFD RURAL FUNDING]]</f>
        <v>0</v>
      </c>
      <c r="BA17" s="556"/>
      <c r="BB17" s="561">
        <f>SUM(CHOORTbl[[#This Row],[UNRESTRICTED ADF]],CHOORTbl[[#This Row],[Unrestricted Funds Requesting]])</f>
        <v>0</v>
      </c>
      <c r="BC17" s="556"/>
      <c r="BD17" s="561">
        <f>SUM(CHOORTbl[[#This Row],[MANUFACTURED ADF]],CHOORTbl[[#This Row],[Manufactured Home Funds Requesting]])</f>
        <v>0</v>
      </c>
      <c r="BE17" s="556"/>
      <c r="BF17" s="561">
        <f>SUM(CHOORTbl[[#This Row],[RURAL ADF]],CHOORTbl[[#This Row],[RURAL FUNDING REQUESTED]])</f>
        <v>0</v>
      </c>
      <c r="BG17" s="556"/>
      <c r="BH17" s="562">
        <f>SUM(CHOORTbl[[#This Row],[MFD RURAL ADF]],CHOORTbl[[#This Row],[MFD RURAL FUNDING REQUESTED]])</f>
        <v>0</v>
      </c>
    </row>
    <row r="18" spans="1:60" x14ac:dyDescent="0.35">
      <c r="A18" s="115" t="s">
        <v>504</v>
      </c>
      <c r="B18" s="5" t="s">
        <v>130</v>
      </c>
      <c r="C18" s="31" t="s">
        <v>513</v>
      </c>
      <c r="D18" s="109" t="str">
        <f>IF(SUM(CHOORTbl[[#This Row],[Unrestricted Repair Units]:[Unrestricted ADU Reconstruct Units]])=0,"",SUM(CHOORTbl[[#This Row],[Unrestricted Repair Units]:[Unrestricted ADU Reconstruct Units]]))</f>
        <v/>
      </c>
      <c r="E18" s="74" t="str">
        <f xml:space="preserve">
IF(CHOORTbl[[#This Row],[TOTAL UNRESTRICTED]]=0,"",
CHOORTbl[[#This Row],[TOTAL UNRESTRICTED]]*
IF(CH_OOR_UnrestrictedTotalRequested&lt;=5000000,1,
5000000/CH_OOR_UnrestrictedTotalRequested)
)</f>
        <v/>
      </c>
      <c r="F18" s="6" t="str">
        <f>IF(CHOORTbl[[#This Row],[ % OF TOTAL FUNDING]]=0,"",CHOORTbl[[#This Row],[ % OF TOTAL FUNDING]])</f>
        <v/>
      </c>
      <c r="G18" s="31" t="s">
        <v>513</v>
      </c>
      <c r="H18" s="109" t="str">
        <f>IF(SUM(CHOORTbl[[#This Row],[Manufactured Home Units]])=0,"",SUM(CHOORTbl[[#This Row],[Manufactured Home Units]]))</f>
        <v/>
      </c>
      <c r="I18" s="74" t="str">
        <f xml:space="preserve">
IF(CHOORTbl[[#This Row],[TOTAL MANUFACTURED]]=0,"",
CHOORTbl[[#This Row],[TOTAL MANUFACTURED]]*
IF(CH_OOR_ManufacturedTotalRequested&lt;=(5000000-E$61),1,
(5000000-E$61)/CH_OOR_ManufacturedTotalRequested)
)</f>
        <v/>
      </c>
      <c r="J18" s="6" t="str">
        <f>IF(CHOORTbl[[#This Row],[ % OF TOTAL FUNDING2]]=0,"",CHOORTbl[[#This Row],[ % OF TOTAL FUNDING2]])</f>
        <v/>
      </c>
      <c r="K18" s="31" t="s">
        <v>513</v>
      </c>
      <c r="L18" s="109" t="str">
        <f>IF(SUM(CHOORTbl[[#This Row],[RURAL AREA HOMES TO REPAIR2]:[RURAL AREA ADUS TO ADD OR RECONSTRUCT]])=0,"",SUM(CHOORTbl[[#This Row],[RURAL AREA HOMES TO REPAIR2]:[RURAL AREA ADUS TO ADD OR RECONSTRUCT]]))</f>
        <v/>
      </c>
      <c r="M18" s="74" t="str">
        <f xml:space="preserve">
IF(CHOORTbl[[#This Row],[TOTAL RURAL]]=0,"",
CHOORTbl[[#This Row],[TOTAL RURAL]]*
IF(CH_OOR_RuralTotalRequested&lt;=(5000000-E$61-I$61),1,
(5000000-E$61-I$61)/CH_OOR_RuralTotalRequested)
)</f>
        <v/>
      </c>
      <c r="N18" s="6" t="str">
        <f>IF(CHOORTbl[[#This Row],[ % OF TOTAL RURAL FUNDING]]=0,"",CHOORTbl[[#This Row],[ % OF TOTAL RURAL FUNDING]])</f>
        <v/>
      </c>
      <c r="O18" s="31" t="s">
        <v>513</v>
      </c>
      <c r="P18" s="109" t="str">
        <f>IF(SUM(CHOORTbl[[#This Row],[MFD RURAL UNITS]])=0,"",SUM(CHOORTbl[[#This Row],[MFD RURAL UNITS]]))</f>
        <v/>
      </c>
      <c r="Q18" s="74" t="str">
        <f xml:space="preserve">
IF(CHOORTbl[[#This Row],[TOTAL MFD RURAL]]=0,"",
CHOORTbl[[#This Row],[TOTAL MFD RURAL]]*
IF(CH_OOR_MFDRuralTotalRequested&lt;=(5000000-E$61-I$61-M$61),1,
(5000000-E$61-I$61-M$61)/CH_OOR_MFDRuralTotalRequested)
)</f>
        <v/>
      </c>
      <c r="R18" s="6" t="str">
        <f>IF(CHOORTbl[[#This Row],[ % OF TOTAL MFD RURAL FUNDING]]=0,"",CHOORTbl[[#This Row],[ % OF TOTAL MFD RURAL FUNDING]])</f>
        <v/>
      </c>
      <c r="S18" s="44" t="s">
        <v>513</v>
      </c>
      <c r="T18" s="116"/>
      <c r="U18" s="242"/>
      <c r="V18" s="745"/>
      <c r="W18" s="705"/>
      <c r="X18" s="242"/>
      <c r="Y18" s="242"/>
      <c r="Z18" s="242"/>
      <c r="AA18" s="118"/>
      <c r="AB18" s="6">
        <f>IF(CHOORTbl[[#This Row],[TOTAL UNRESTRICTED]]=0,0,CHOORTbl[[#This Row],[TOTAL UNRESTRICTED]]/SUM(CHOORTbl[TOTAL UNRESTRICTED]))</f>
        <v>0</v>
      </c>
      <c r="AC18" s="665">
        <f>IF(CHOORTbl[[#This Row],[ALL UNITS IN A HIGH OR HIGHEST RESOURCE AREA]]="Yes",10*CHOORTbl[[#This Row],[ % OF TOTAL FUNDING]],0)</f>
        <v>0</v>
      </c>
      <c r="AD18" s="665" cm="1">
        <f t="array" ref="AD18">INDEX(CountyScoresTbl[OOR Community Need],ROW(CHOORTbl[[#This Row],[COUNTY]])-2,1)*CHOORTbl[[#This Row],[ % OF TOTAL FUNDING]]</f>
        <v>0</v>
      </c>
      <c r="AE18" s="694" cm="1">
        <f t="array" ref="AE18">INDEX(CountyScoresTbl[OOR/ADU Total Feasibility Points Awarded],ROW(CHOORTbl[[#This Row],[COUNTY]])-2,1)*CHOORTbl[[#This Row],[ % OF TOTAL FUNDING]]</f>
        <v>0</v>
      </c>
      <c r="AF18" s="123"/>
      <c r="AG18" s="118"/>
      <c r="AH18" s="6">
        <f>IF(CHOORTbl[[#This Row],[TOTAL MANUFACTURED]]=0,0,CHOORTbl[[#This Row],[TOTAL MANUFACTURED]]/SUM(CHOORTbl[TOTAL MANUFACTURED]))</f>
        <v>0</v>
      </c>
      <c r="AI18" s="665">
        <f>IF(CHOORTbl[[#This Row],[ALL UNITS IN A HIGH OR HIGHEST RESOURCE AREA]]="Yes",10*CHOORTbl[[#This Row],[ % OF TOTAL FUNDING2]],0)</f>
        <v>0</v>
      </c>
      <c r="AJ18" s="665" cm="1">
        <f t="array" ref="AJ18">INDEX(CountyScoresTbl[OOR Community Need],ROW(CHOORTbl[[#This Row],[COUNTY]])-2,1)*CHOORTbl[[#This Row],[ % OF TOTAL FUNDING2]]</f>
        <v>0</v>
      </c>
      <c r="AK18" s="694" cm="1">
        <f t="array" ref="AK18">INDEX(CountyScoresTbl[OOR/ADU Total Feasibility Points Awarded],ROW(CHOORTbl[[#This Row],[COUNTY]])-2,1)*CHOORTbl[[#This Row],[ % OF TOTAL FUNDING2]]</f>
        <v>0</v>
      </c>
      <c r="AL18" s="123"/>
      <c r="AM18" s="117"/>
      <c r="AN18" s="117"/>
      <c r="AO18" s="117"/>
      <c r="AP18" s="118"/>
      <c r="AQ18" s="6">
        <f>IF(CHOORTbl[[#This Row],[TOTAL RURAL]]=0,0,CHOORTbl[[#This Row],[TOTAL RURAL]]/SUM(CHOORTbl[TOTAL RURAL]))</f>
        <v>0</v>
      </c>
      <c r="AR18" s="665">
        <f>IF(CHOORTbl[[#This Row],[ALL UNITS IN A HIGH OR HIGHEST RESOURCE AREA]]="Yes",10*CHOORTbl[[#This Row],[ % OF TOTAL RURAL FUNDING]],0)</f>
        <v>0</v>
      </c>
      <c r="AS18" s="665" cm="1">
        <f t="array" ref="AS18">INDEX(CountyScoresTbl[OOR Community Need],ROW(CHOORTbl[[#This Row],[COUNTY]])-2,1)*CHOORTbl[[#This Row],[ % OF TOTAL RURAL FUNDING]]</f>
        <v>0</v>
      </c>
      <c r="AT18" s="694" cm="1">
        <f t="array" ref="AT18">INDEX(CountyScoresTbl[OOR/ADU Total Feasibility Points Awarded],ROW(CHOORTbl[[#This Row],[COUNTY]])-2,1)*CHOORTbl[[#This Row],[ % OF TOTAL RURAL FUNDING]]</f>
        <v>0</v>
      </c>
      <c r="AU18" s="125"/>
      <c r="AV18" s="118"/>
      <c r="AW18" s="6">
        <f>IF(CHOORTbl[[#This Row],[TOTAL MFD RURAL]]=0,0,CHOORTbl[[#This Row],[TOTAL MFD RURAL]]/SUM(CHOORTbl[TOTAL MFD RURAL]))</f>
        <v>0</v>
      </c>
      <c r="AX18" s="665">
        <f>IF(CHOORTbl[[#This Row],[ALL UNITS IN A HIGH OR HIGHEST RESOURCE AREA]]="Yes",10*CHOORTbl[[#This Row],[ % OF TOTAL MFD RURAL FUNDING]],0)</f>
        <v>0</v>
      </c>
      <c r="AY18" s="665" cm="1">
        <f t="array" ref="AY18">INDEX(CountyScoresTbl[OOR Community Need],ROW(CHOORTbl[[#This Row],[COUNTY]])-2,1)*CHOORTbl[[#This Row],[ % OF TOTAL MFD RURAL FUNDING]]</f>
        <v>0</v>
      </c>
      <c r="AZ18" s="694" cm="1">
        <f t="array" ref="AZ18">INDEX(CountyScoresTbl[OOR/ADU Total Feasibility Points Awarded],ROW(CHOORTbl[[#This Row],[COUNTY]])-2,1)*CHOORTbl[[#This Row],[ % OF TOTAL MFD RURAL FUNDING]]</f>
        <v>0</v>
      </c>
      <c r="BA18" s="556"/>
      <c r="BB18" s="561">
        <f>SUM(CHOORTbl[[#This Row],[UNRESTRICTED ADF]],CHOORTbl[[#This Row],[Unrestricted Funds Requesting]])</f>
        <v>0</v>
      </c>
      <c r="BC18" s="556"/>
      <c r="BD18" s="561">
        <f>SUM(CHOORTbl[[#This Row],[MANUFACTURED ADF]],CHOORTbl[[#This Row],[Manufactured Home Funds Requesting]])</f>
        <v>0</v>
      </c>
      <c r="BE18" s="556"/>
      <c r="BF18" s="561">
        <f>SUM(CHOORTbl[[#This Row],[RURAL ADF]],CHOORTbl[[#This Row],[RURAL FUNDING REQUESTED]])</f>
        <v>0</v>
      </c>
      <c r="BG18" s="556"/>
      <c r="BH18" s="562">
        <f>SUM(CHOORTbl[[#This Row],[MFD RURAL ADF]],CHOORTbl[[#This Row],[MFD RURAL FUNDING REQUESTED]])</f>
        <v>0</v>
      </c>
    </row>
    <row r="19" spans="1:60" x14ac:dyDescent="0.35">
      <c r="A19" s="115" t="s">
        <v>504</v>
      </c>
      <c r="B19" s="5" t="s">
        <v>131</v>
      </c>
      <c r="C19" s="31" t="s">
        <v>513</v>
      </c>
      <c r="D19" s="109" t="str">
        <f>IF(SUM(CHOORTbl[[#This Row],[Unrestricted Repair Units]:[Unrestricted ADU Reconstruct Units]])=0,"",SUM(CHOORTbl[[#This Row],[Unrestricted Repair Units]:[Unrestricted ADU Reconstruct Units]]))</f>
        <v/>
      </c>
      <c r="E19" s="74" t="str">
        <f xml:space="preserve">
IF(CHOORTbl[[#This Row],[TOTAL UNRESTRICTED]]=0,"",
CHOORTbl[[#This Row],[TOTAL UNRESTRICTED]]*
IF(CH_OOR_UnrestrictedTotalRequested&lt;=5000000,1,
5000000/CH_OOR_UnrestrictedTotalRequested)
)</f>
        <v/>
      </c>
      <c r="F19" s="6" t="str">
        <f>IF(CHOORTbl[[#This Row],[ % OF TOTAL FUNDING]]=0,"",CHOORTbl[[#This Row],[ % OF TOTAL FUNDING]])</f>
        <v/>
      </c>
      <c r="G19" s="31" t="s">
        <v>513</v>
      </c>
      <c r="H19" s="109" t="str">
        <f>IF(SUM(CHOORTbl[[#This Row],[Manufactured Home Units]])=0,"",SUM(CHOORTbl[[#This Row],[Manufactured Home Units]]))</f>
        <v/>
      </c>
      <c r="I19" s="74" t="str">
        <f xml:space="preserve">
IF(CHOORTbl[[#This Row],[TOTAL MANUFACTURED]]=0,"",
CHOORTbl[[#This Row],[TOTAL MANUFACTURED]]*
IF(CH_OOR_ManufacturedTotalRequested&lt;=(5000000-E$61),1,
(5000000-E$61)/CH_OOR_ManufacturedTotalRequested)
)</f>
        <v/>
      </c>
      <c r="J19" s="6" t="str">
        <f>IF(CHOORTbl[[#This Row],[ % OF TOTAL FUNDING2]]=0,"",CHOORTbl[[#This Row],[ % OF TOTAL FUNDING2]])</f>
        <v/>
      </c>
      <c r="K19" s="31" t="s">
        <v>513</v>
      </c>
      <c r="L19" s="109" t="str">
        <f>IF(SUM(CHOORTbl[[#This Row],[RURAL AREA HOMES TO REPAIR2]:[RURAL AREA ADUS TO ADD OR RECONSTRUCT]])=0,"",SUM(CHOORTbl[[#This Row],[RURAL AREA HOMES TO REPAIR2]:[RURAL AREA ADUS TO ADD OR RECONSTRUCT]]))</f>
        <v/>
      </c>
      <c r="M19" s="74" t="str">
        <f xml:space="preserve">
IF(CHOORTbl[[#This Row],[TOTAL RURAL]]=0,"",
CHOORTbl[[#This Row],[TOTAL RURAL]]*
IF(CH_OOR_RuralTotalRequested&lt;=(5000000-E$61-I$61),1,
(5000000-E$61-I$61)/CH_OOR_RuralTotalRequested)
)</f>
        <v/>
      </c>
      <c r="N19" s="6" t="str">
        <f>IF(CHOORTbl[[#This Row],[ % OF TOTAL RURAL FUNDING]]=0,"",CHOORTbl[[#This Row],[ % OF TOTAL RURAL FUNDING]])</f>
        <v/>
      </c>
      <c r="O19" s="31" t="s">
        <v>513</v>
      </c>
      <c r="P19" s="109" t="str">
        <f>IF(SUM(CHOORTbl[[#This Row],[MFD RURAL UNITS]])=0,"",SUM(CHOORTbl[[#This Row],[MFD RURAL UNITS]]))</f>
        <v/>
      </c>
      <c r="Q19" s="74" t="str">
        <f xml:space="preserve">
IF(CHOORTbl[[#This Row],[TOTAL MFD RURAL]]=0,"",
CHOORTbl[[#This Row],[TOTAL MFD RURAL]]*
IF(CH_OOR_MFDRuralTotalRequested&lt;=(5000000-E$61-I$61-M$61),1,
(5000000-E$61-I$61-M$61)/CH_OOR_MFDRuralTotalRequested)
)</f>
        <v/>
      </c>
      <c r="R19" s="6" t="str">
        <f>IF(CHOORTbl[[#This Row],[ % OF TOTAL MFD RURAL FUNDING]]=0,"",CHOORTbl[[#This Row],[ % OF TOTAL MFD RURAL FUNDING]])</f>
        <v/>
      </c>
      <c r="S19" s="44" t="s">
        <v>513</v>
      </c>
      <c r="T19" s="116"/>
      <c r="U19" s="242"/>
      <c r="V19" s="745"/>
      <c r="W19" s="705"/>
      <c r="X19" s="242"/>
      <c r="Y19" s="242"/>
      <c r="Z19" s="242"/>
      <c r="AA19" s="118"/>
      <c r="AB19" s="6">
        <f>IF(CHOORTbl[[#This Row],[TOTAL UNRESTRICTED]]=0,0,CHOORTbl[[#This Row],[TOTAL UNRESTRICTED]]/SUM(CHOORTbl[TOTAL UNRESTRICTED]))</f>
        <v>0</v>
      </c>
      <c r="AC19" s="665">
        <f>IF(CHOORTbl[[#This Row],[ALL UNITS IN A HIGH OR HIGHEST RESOURCE AREA]]="Yes",10*CHOORTbl[[#This Row],[ % OF TOTAL FUNDING]],0)</f>
        <v>0</v>
      </c>
      <c r="AD19" s="665" cm="1">
        <f t="array" ref="AD19">INDEX(CountyScoresTbl[OOR Community Need],ROW(CHOORTbl[[#This Row],[COUNTY]])-2,1)*CHOORTbl[[#This Row],[ % OF TOTAL FUNDING]]</f>
        <v>0</v>
      </c>
      <c r="AE19" s="694" cm="1">
        <f t="array" ref="AE19">INDEX(CountyScoresTbl[OOR/ADU Total Feasibility Points Awarded],ROW(CHOORTbl[[#This Row],[COUNTY]])-2,1)*CHOORTbl[[#This Row],[ % OF TOTAL FUNDING]]</f>
        <v>0</v>
      </c>
      <c r="AF19" s="123"/>
      <c r="AG19" s="118"/>
      <c r="AH19" s="6">
        <f>IF(CHOORTbl[[#This Row],[TOTAL MANUFACTURED]]=0,0,CHOORTbl[[#This Row],[TOTAL MANUFACTURED]]/SUM(CHOORTbl[TOTAL MANUFACTURED]))</f>
        <v>0</v>
      </c>
      <c r="AI19" s="665">
        <f>IF(CHOORTbl[[#This Row],[ALL UNITS IN A HIGH OR HIGHEST RESOURCE AREA]]="Yes",10*CHOORTbl[[#This Row],[ % OF TOTAL FUNDING2]],0)</f>
        <v>0</v>
      </c>
      <c r="AJ19" s="665" cm="1">
        <f t="array" ref="AJ19">INDEX(CountyScoresTbl[OOR Community Need],ROW(CHOORTbl[[#This Row],[COUNTY]])-2,1)*CHOORTbl[[#This Row],[ % OF TOTAL FUNDING2]]</f>
        <v>0</v>
      </c>
      <c r="AK19" s="694" cm="1">
        <f t="array" ref="AK19">INDEX(CountyScoresTbl[OOR/ADU Total Feasibility Points Awarded],ROW(CHOORTbl[[#This Row],[COUNTY]])-2,1)*CHOORTbl[[#This Row],[ % OF TOTAL FUNDING2]]</f>
        <v>0</v>
      </c>
      <c r="AL19" s="123"/>
      <c r="AM19" s="117"/>
      <c r="AN19" s="117"/>
      <c r="AO19" s="117"/>
      <c r="AP19" s="118"/>
      <c r="AQ19" s="6">
        <f>IF(CHOORTbl[[#This Row],[TOTAL RURAL]]=0,0,CHOORTbl[[#This Row],[TOTAL RURAL]]/SUM(CHOORTbl[TOTAL RURAL]))</f>
        <v>0</v>
      </c>
      <c r="AR19" s="665">
        <f>IF(CHOORTbl[[#This Row],[ALL UNITS IN A HIGH OR HIGHEST RESOURCE AREA]]="Yes",10*CHOORTbl[[#This Row],[ % OF TOTAL RURAL FUNDING]],0)</f>
        <v>0</v>
      </c>
      <c r="AS19" s="665" cm="1">
        <f t="array" ref="AS19">INDEX(CountyScoresTbl[OOR Community Need],ROW(CHOORTbl[[#This Row],[COUNTY]])-2,1)*CHOORTbl[[#This Row],[ % OF TOTAL RURAL FUNDING]]</f>
        <v>0</v>
      </c>
      <c r="AT19" s="694" cm="1">
        <f t="array" ref="AT19">INDEX(CountyScoresTbl[OOR/ADU Total Feasibility Points Awarded],ROW(CHOORTbl[[#This Row],[COUNTY]])-2,1)*CHOORTbl[[#This Row],[ % OF TOTAL RURAL FUNDING]]</f>
        <v>0</v>
      </c>
      <c r="AU19" s="125"/>
      <c r="AV19" s="118"/>
      <c r="AW19" s="6">
        <f>IF(CHOORTbl[[#This Row],[TOTAL MFD RURAL]]=0,0,CHOORTbl[[#This Row],[TOTAL MFD RURAL]]/SUM(CHOORTbl[TOTAL MFD RURAL]))</f>
        <v>0</v>
      </c>
      <c r="AX19" s="665">
        <f>IF(CHOORTbl[[#This Row],[ALL UNITS IN A HIGH OR HIGHEST RESOURCE AREA]]="Yes",10*CHOORTbl[[#This Row],[ % OF TOTAL MFD RURAL FUNDING]],0)</f>
        <v>0</v>
      </c>
      <c r="AY19" s="665" cm="1">
        <f t="array" ref="AY19">INDEX(CountyScoresTbl[OOR Community Need],ROW(CHOORTbl[[#This Row],[COUNTY]])-2,1)*CHOORTbl[[#This Row],[ % OF TOTAL MFD RURAL FUNDING]]</f>
        <v>0</v>
      </c>
      <c r="AZ19" s="694" cm="1">
        <f t="array" ref="AZ19">INDEX(CountyScoresTbl[OOR/ADU Total Feasibility Points Awarded],ROW(CHOORTbl[[#This Row],[COUNTY]])-2,1)*CHOORTbl[[#This Row],[ % OF TOTAL MFD RURAL FUNDING]]</f>
        <v>0</v>
      </c>
      <c r="BA19" s="556"/>
      <c r="BB19" s="561">
        <f>SUM(CHOORTbl[[#This Row],[UNRESTRICTED ADF]],CHOORTbl[[#This Row],[Unrestricted Funds Requesting]])</f>
        <v>0</v>
      </c>
      <c r="BC19" s="556"/>
      <c r="BD19" s="561">
        <f>SUM(CHOORTbl[[#This Row],[MANUFACTURED ADF]],CHOORTbl[[#This Row],[Manufactured Home Funds Requesting]])</f>
        <v>0</v>
      </c>
      <c r="BE19" s="556"/>
      <c r="BF19" s="561">
        <f>SUM(CHOORTbl[[#This Row],[RURAL ADF]],CHOORTbl[[#This Row],[RURAL FUNDING REQUESTED]])</f>
        <v>0</v>
      </c>
      <c r="BG19" s="556"/>
      <c r="BH19" s="562">
        <f>SUM(CHOORTbl[[#This Row],[MFD RURAL ADF]],CHOORTbl[[#This Row],[MFD RURAL FUNDING REQUESTED]])</f>
        <v>0</v>
      </c>
    </row>
    <row r="20" spans="1:60" x14ac:dyDescent="0.35">
      <c r="A20" s="116"/>
      <c r="B20" s="5" t="s">
        <v>132</v>
      </c>
      <c r="C20" s="31" t="s">
        <v>513</v>
      </c>
      <c r="D20" s="109" t="str">
        <f>IF(SUM(CHOORTbl[[#This Row],[Unrestricted Repair Units]:[Unrestricted ADU Reconstruct Units]])=0,"",SUM(CHOORTbl[[#This Row],[Unrestricted Repair Units]:[Unrestricted ADU Reconstruct Units]]))</f>
        <v/>
      </c>
      <c r="E20" s="74" t="str">
        <f xml:space="preserve">
IF(CHOORTbl[[#This Row],[TOTAL UNRESTRICTED]]=0,"",
CHOORTbl[[#This Row],[TOTAL UNRESTRICTED]]*
IF(CH_OOR_UnrestrictedTotalRequested&lt;=5000000,1,
5000000/CH_OOR_UnrestrictedTotalRequested)
)</f>
        <v/>
      </c>
      <c r="F20" s="6" t="str">
        <f>IF(CHOORTbl[[#This Row],[ % OF TOTAL FUNDING]]=0,"",CHOORTbl[[#This Row],[ % OF TOTAL FUNDING]])</f>
        <v/>
      </c>
      <c r="G20" s="31" t="s">
        <v>513</v>
      </c>
      <c r="H20" s="109" t="str">
        <f>IF(SUM(CHOORTbl[[#This Row],[Manufactured Home Units]])=0,"",SUM(CHOORTbl[[#This Row],[Manufactured Home Units]]))</f>
        <v/>
      </c>
      <c r="I20" s="74" t="str">
        <f xml:space="preserve">
IF(CHOORTbl[[#This Row],[TOTAL MANUFACTURED]]=0,"",
CHOORTbl[[#This Row],[TOTAL MANUFACTURED]]*
IF(CH_OOR_ManufacturedTotalRequested&lt;=(5000000-E$61),1,
(5000000-E$61)/CH_OOR_ManufacturedTotalRequested)
)</f>
        <v/>
      </c>
      <c r="J20" s="6" t="str">
        <f>IF(CHOORTbl[[#This Row],[ % OF TOTAL FUNDING2]]=0,"",CHOORTbl[[#This Row],[ % OF TOTAL FUNDING2]])</f>
        <v/>
      </c>
      <c r="K20" s="31" t="s">
        <v>513</v>
      </c>
      <c r="L20" s="109" t="str">
        <f>IF(SUM(CHOORTbl[[#This Row],[RURAL AREA HOMES TO REPAIR2]:[RURAL AREA ADUS TO ADD OR RECONSTRUCT]])=0,"",SUM(CHOORTbl[[#This Row],[RURAL AREA HOMES TO REPAIR2]:[RURAL AREA ADUS TO ADD OR RECONSTRUCT]]))</f>
        <v/>
      </c>
      <c r="M20" s="74" t="str">
        <f xml:space="preserve">
IF(CHOORTbl[[#This Row],[TOTAL RURAL]]=0,"",
CHOORTbl[[#This Row],[TOTAL RURAL]]*
IF(CH_OOR_RuralTotalRequested&lt;=(5000000-E$61-I$61),1,
(5000000-E$61-I$61)/CH_OOR_RuralTotalRequested)
)</f>
        <v/>
      </c>
      <c r="N20" s="6" t="str">
        <f>IF(CHOORTbl[[#This Row],[ % OF TOTAL RURAL FUNDING]]=0,"",CHOORTbl[[#This Row],[ % OF TOTAL RURAL FUNDING]])</f>
        <v/>
      </c>
      <c r="O20" s="31" t="s">
        <v>513</v>
      </c>
      <c r="P20" s="109" t="str">
        <f>IF(SUM(CHOORTbl[[#This Row],[MFD RURAL UNITS]])=0,"",SUM(CHOORTbl[[#This Row],[MFD RURAL UNITS]]))</f>
        <v/>
      </c>
      <c r="Q20" s="74" t="str">
        <f xml:space="preserve">
IF(CHOORTbl[[#This Row],[TOTAL MFD RURAL]]=0,"",
CHOORTbl[[#This Row],[TOTAL MFD RURAL]]*
IF(CH_OOR_MFDRuralTotalRequested&lt;=(5000000-E$61-I$61-M$61),1,
(5000000-E$61-I$61-M$61)/CH_OOR_MFDRuralTotalRequested)
)</f>
        <v/>
      </c>
      <c r="R20" s="6" t="str">
        <f>IF(CHOORTbl[[#This Row],[ % OF TOTAL MFD RURAL FUNDING]]=0,"",CHOORTbl[[#This Row],[ % OF TOTAL MFD RURAL FUNDING]])</f>
        <v/>
      </c>
      <c r="S20" s="44" t="s">
        <v>513</v>
      </c>
      <c r="T20" s="116"/>
      <c r="U20" s="242"/>
      <c r="V20" s="745"/>
      <c r="W20" s="705"/>
      <c r="X20" s="242"/>
      <c r="Y20" s="242"/>
      <c r="Z20" s="242"/>
      <c r="AA20" s="118"/>
      <c r="AB20" s="6">
        <f>IF(CHOORTbl[[#This Row],[TOTAL UNRESTRICTED]]=0,0,CHOORTbl[[#This Row],[TOTAL UNRESTRICTED]]/SUM(CHOORTbl[TOTAL UNRESTRICTED]))</f>
        <v>0</v>
      </c>
      <c r="AC20" s="665">
        <f>IF(CHOORTbl[[#This Row],[ALL UNITS IN A HIGH OR HIGHEST RESOURCE AREA]]="Yes",10*CHOORTbl[[#This Row],[ % OF TOTAL FUNDING]],0)</f>
        <v>0</v>
      </c>
      <c r="AD20" s="665" cm="1">
        <f t="array" ref="AD20">INDEX(CountyScoresTbl[OOR Community Need],ROW(CHOORTbl[[#This Row],[COUNTY]])-2,1)*CHOORTbl[[#This Row],[ % OF TOTAL FUNDING]]</f>
        <v>0</v>
      </c>
      <c r="AE20" s="694" cm="1">
        <f t="array" ref="AE20">INDEX(CountyScoresTbl[OOR/ADU Total Feasibility Points Awarded],ROW(CHOORTbl[[#This Row],[COUNTY]])-2,1)*CHOORTbl[[#This Row],[ % OF TOTAL FUNDING]]</f>
        <v>0</v>
      </c>
      <c r="AF20" s="124"/>
      <c r="AG20" s="118"/>
      <c r="AH20" s="6">
        <f>IF(CHOORTbl[[#This Row],[TOTAL MANUFACTURED]]=0,0,CHOORTbl[[#This Row],[TOTAL MANUFACTURED]]/SUM(CHOORTbl[TOTAL MANUFACTURED]))</f>
        <v>0</v>
      </c>
      <c r="AI20" s="665">
        <f>IF(CHOORTbl[[#This Row],[ALL UNITS IN A HIGH OR HIGHEST RESOURCE AREA]]="Yes",10*CHOORTbl[[#This Row],[ % OF TOTAL FUNDING2]],0)</f>
        <v>0</v>
      </c>
      <c r="AJ20" s="665" cm="1">
        <f t="array" ref="AJ20">INDEX(CountyScoresTbl[OOR Community Need],ROW(CHOORTbl[[#This Row],[COUNTY]])-2,1)*CHOORTbl[[#This Row],[ % OF TOTAL FUNDING2]]</f>
        <v>0</v>
      </c>
      <c r="AK20" s="694" cm="1">
        <f t="array" ref="AK20">INDEX(CountyScoresTbl[OOR/ADU Total Feasibility Points Awarded],ROW(CHOORTbl[[#This Row],[COUNTY]])-2,1)*CHOORTbl[[#This Row],[ % OF TOTAL FUNDING2]]</f>
        <v>0</v>
      </c>
      <c r="AL20" s="124"/>
      <c r="AM20" s="119"/>
      <c r="AN20" s="119"/>
      <c r="AO20" s="119"/>
      <c r="AP20" s="118"/>
      <c r="AQ20" s="6">
        <f>IF(CHOORTbl[[#This Row],[TOTAL RURAL]]=0,0,CHOORTbl[[#This Row],[TOTAL RURAL]]/SUM(CHOORTbl[TOTAL RURAL]))</f>
        <v>0</v>
      </c>
      <c r="AR20" s="665">
        <f>IF(CHOORTbl[[#This Row],[ALL UNITS IN A HIGH OR HIGHEST RESOURCE AREA]]="Yes",10*CHOORTbl[[#This Row],[ % OF TOTAL RURAL FUNDING]],0)</f>
        <v>0</v>
      </c>
      <c r="AS20" s="665" cm="1">
        <f t="array" ref="AS20">INDEX(CountyScoresTbl[OOR Community Need],ROW(CHOORTbl[[#This Row],[COUNTY]])-2,1)*CHOORTbl[[#This Row],[ % OF TOTAL RURAL FUNDING]]</f>
        <v>0</v>
      </c>
      <c r="AT20" s="694" cm="1">
        <f t="array" ref="AT20">INDEX(CountyScoresTbl[OOR/ADU Total Feasibility Points Awarded],ROW(CHOORTbl[[#This Row],[COUNTY]])-2,1)*CHOORTbl[[#This Row],[ % OF TOTAL RURAL FUNDING]]</f>
        <v>0</v>
      </c>
      <c r="AU20" s="126"/>
      <c r="AV20" s="118"/>
      <c r="AW20" s="6">
        <f>IF(CHOORTbl[[#This Row],[TOTAL MFD RURAL]]=0,0,CHOORTbl[[#This Row],[TOTAL MFD RURAL]]/SUM(CHOORTbl[TOTAL MFD RURAL]))</f>
        <v>0</v>
      </c>
      <c r="AX20" s="665">
        <f>IF(CHOORTbl[[#This Row],[ALL UNITS IN A HIGH OR HIGHEST RESOURCE AREA]]="Yes",10*CHOORTbl[[#This Row],[ % OF TOTAL MFD RURAL FUNDING]],0)</f>
        <v>0</v>
      </c>
      <c r="AY20" s="665" cm="1">
        <f t="array" ref="AY20">INDEX(CountyScoresTbl[OOR Community Need],ROW(CHOORTbl[[#This Row],[COUNTY]])-2,1)*CHOORTbl[[#This Row],[ % OF TOTAL MFD RURAL FUNDING]]</f>
        <v>0</v>
      </c>
      <c r="AZ20" s="694" cm="1">
        <f t="array" ref="AZ20">INDEX(CountyScoresTbl[OOR/ADU Total Feasibility Points Awarded],ROW(CHOORTbl[[#This Row],[COUNTY]])-2,1)*CHOORTbl[[#This Row],[ % OF TOTAL MFD RURAL FUNDING]]</f>
        <v>0</v>
      </c>
      <c r="BA20" s="556"/>
      <c r="BB20" s="561">
        <f>SUM(CHOORTbl[[#This Row],[UNRESTRICTED ADF]],CHOORTbl[[#This Row],[Unrestricted Funds Requesting]])</f>
        <v>0</v>
      </c>
      <c r="BC20" s="556"/>
      <c r="BD20" s="561">
        <f>SUM(CHOORTbl[[#This Row],[MANUFACTURED ADF]],CHOORTbl[[#This Row],[Manufactured Home Funds Requesting]])</f>
        <v>0</v>
      </c>
      <c r="BE20" s="556"/>
      <c r="BF20" s="561">
        <f>SUM(CHOORTbl[[#This Row],[RURAL ADF]],CHOORTbl[[#This Row],[RURAL FUNDING REQUESTED]])</f>
        <v>0</v>
      </c>
      <c r="BG20" s="556"/>
      <c r="BH20" s="562">
        <f>SUM(CHOORTbl[[#This Row],[MFD RURAL ADF]],CHOORTbl[[#This Row],[MFD RURAL FUNDING REQUESTED]])</f>
        <v>0</v>
      </c>
    </row>
    <row r="21" spans="1:60" x14ac:dyDescent="0.35">
      <c r="A21" s="115" t="s">
        <v>504</v>
      </c>
      <c r="B21" s="5" t="s">
        <v>133</v>
      </c>
      <c r="C21" s="31" t="s">
        <v>513</v>
      </c>
      <c r="D21" s="109" t="str">
        <f>IF(SUM(CHOORTbl[[#This Row],[Unrestricted Repair Units]:[Unrestricted ADU Reconstruct Units]])=0,"",SUM(CHOORTbl[[#This Row],[Unrestricted Repair Units]:[Unrestricted ADU Reconstruct Units]]))</f>
        <v/>
      </c>
      <c r="E21" s="74" t="str">
        <f xml:space="preserve">
IF(CHOORTbl[[#This Row],[TOTAL UNRESTRICTED]]=0,"",
CHOORTbl[[#This Row],[TOTAL UNRESTRICTED]]*
IF(CH_OOR_UnrestrictedTotalRequested&lt;=5000000,1,
5000000/CH_OOR_UnrestrictedTotalRequested)
)</f>
        <v/>
      </c>
      <c r="F21" s="6" t="str">
        <f>IF(CHOORTbl[[#This Row],[ % OF TOTAL FUNDING]]=0,"",CHOORTbl[[#This Row],[ % OF TOTAL FUNDING]])</f>
        <v/>
      </c>
      <c r="G21" s="31" t="s">
        <v>513</v>
      </c>
      <c r="H21" s="109" t="str">
        <f>IF(SUM(CHOORTbl[[#This Row],[Manufactured Home Units]])=0,"",SUM(CHOORTbl[[#This Row],[Manufactured Home Units]]))</f>
        <v/>
      </c>
      <c r="I21" s="74" t="str">
        <f xml:space="preserve">
IF(CHOORTbl[[#This Row],[TOTAL MANUFACTURED]]=0,"",
CHOORTbl[[#This Row],[TOTAL MANUFACTURED]]*
IF(CH_OOR_ManufacturedTotalRequested&lt;=(5000000-E$61),1,
(5000000-E$61)/CH_OOR_ManufacturedTotalRequested)
)</f>
        <v/>
      </c>
      <c r="J21" s="6" t="str">
        <f>IF(CHOORTbl[[#This Row],[ % OF TOTAL FUNDING2]]=0,"",CHOORTbl[[#This Row],[ % OF TOTAL FUNDING2]])</f>
        <v/>
      </c>
      <c r="K21" s="31" t="s">
        <v>513</v>
      </c>
      <c r="L21" s="109" t="str">
        <f>IF(SUM(CHOORTbl[[#This Row],[RURAL AREA HOMES TO REPAIR2]:[RURAL AREA ADUS TO ADD OR RECONSTRUCT]])=0,"",SUM(CHOORTbl[[#This Row],[RURAL AREA HOMES TO REPAIR2]:[RURAL AREA ADUS TO ADD OR RECONSTRUCT]]))</f>
        <v/>
      </c>
      <c r="M21" s="74" t="str">
        <f xml:space="preserve">
IF(CHOORTbl[[#This Row],[TOTAL RURAL]]=0,"",
CHOORTbl[[#This Row],[TOTAL RURAL]]*
IF(CH_OOR_RuralTotalRequested&lt;=(5000000-E$61-I$61),1,
(5000000-E$61-I$61)/CH_OOR_RuralTotalRequested)
)</f>
        <v/>
      </c>
      <c r="N21" s="6" t="str">
        <f>IF(CHOORTbl[[#This Row],[ % OF TOTAL RURAL FUNDING]]=0,"",CHOORTbl[[#This Row],[ % OF TOTAL RURAL FUNDING]])</f>
        <v/>
      </c>
      <c r="O21" s="31" t="s">
        <v>513</v>
      </c>
      <c r="P21" s="109" t="str">
        <f>IF(SUM(CHOORTbl[[#This Row],[MFD RURAL UNITS]])=0,"",SUM(CHOORTbl[[#This Row],[MFD RURAL UNITS]]))</f>
        <v/>
      </c>
      <c r="Q21" s="74" t="str">
        <f xml:space="preserve">
IF(CHOORTbl[[#This Row],[TOTAL MFD RURAL]]=0,"",
CHOORTbl[[#This Row],[TOTAL MFD RURAL]]*
IF(CH_OOR_MFDRuralTotalRequested&lt;=(5000000-E$61-I$61-M$61),1,
(5000000-E$61-I$61-M$61)/CH_OOR_MFDRuralTotalRequested)
)</f>
        <v/>
      </c>
      <c r="R21" s="6" t="str">
        <f>IF(CHOORTbl[[#This Row],[ % OF TOTAL MFD RURAL FUNDING]]=0,"",CHOORTbl[[#This Row],[ % OF TOTAL MFD RURAL FUNDING]])</f>
        <v/>
      </c>
      <c r="S21" s="44" t="s">
        <v>513</v>
      </c>
      <c r="T21" s="115" t="s">
        <v>504</v>
      </c>
      <c r="U21" s="241" t="s">
        <v>504</v>
      </c>
      <c r="V21" s="804" t="s">
        <v>504</v>
      </c>
      <c r="W21" s="802"/>
      <c r="X21" s="805"/>
      <c r="Y21" s="805"/>
      <c r="Z21" s="805"/>
      <c r="AA21" s="118"/>
      <c r="AB21" s="6">
        <f>IF(CHOORTbl[[#This Row],[TOTAL UNRESTRICTED]]=0,0,CHOORTbl[[#This Row],[TOTAL UNRESTRICTED]]/SUM(CHOORTbl[TOTAL UNRESTRICTED]))</f>
        <v>0</v>
      </c>
      <c r="AC21" s="665">
        <f>IF(CHOORTbl[[#This Row],[ALL UNITS IN A HIGH OR HIGHEST RESOURCE AREA]]="Yes",10*CHOORTbl[[#This Row],[ % OF TOTAL FUNDING]],0)</f>
        <v>0</v>
      </c>
      <c r="AD21" s="665" cm="1">
        <f t="array" ref="AD21">INDEX(CountyScoresTbl[OOR Community Need],ROW(CHOORTbl[[#This Row],[COUNTY]])-2,1)*CHOORTbl[[#This Row],[ % OF TOTAL FUNDING]]</f>
        <v>0</v>
      </c>
      <c r="AE21" s="694" cm="1">
        <f t="array" ref="AE21">INDEX(CountyScoresTbl[OOR/ADU Total Feasibility Points Awarded],ROW(CHOORTbl[[#This Row],[COUNTY]])-2,1)*CHOORTbl[[#This Row],[ % OF TOTAL FUNDING]]</f>
        <v>0</v>
      </c>
      <c r="AF21" s="123"/>
      <c r="AG21" s="118"/>
      <c r="AH21" s="6">
        <f>IF(CHOORTbl[[#This Row],[TOTAL MANUFACTURED]]=0,0,CHOORTbl[[#This Row],[TOTAL MANUFACTURED]]/SUM(CHOORTbl[TOTAL MANUFACTURED]))</f>
        <v>0</v>
      </c>
      <c r="AI21" s="665">
        <f>IF(CHOORTbl[[#This Row],[ALL UNITS IN A HIGH OR HIGHEST RESOURCE AREA]]="Yes",10*CHOORTbl[[#This Row],[ % OF TOTAL FUNDING2]],0)</f>
        <v>0</v>
      </c>
      <c r="AJ21" s="665" cm="1">
        <f t="array" ref="AJ21">INDEX(CountyScoresTbl[OOR Community Need],ROW(CHOORTbl[[#This Row],[COUNTY]])-2,1)*CHOORTbl[[#This Row],[ % OF TOTAL FUNDING2]]</f>
        <v>0</v>
      </c>
      <c r="AK21" s="694" cm="1">
        <f t="array" ref="AK21">INDEX(CountyScoresTbl[OOR/ADU Total Feasibility Points Awarded],ROW(CHOORTbl[[#This Row],[COUNTY]])-2,1)*CHOORTbl[[#This Row],[ % OF TOTAL FUNDING2]]</f>
        <v>0</v>
      </c>
      <c r="AL21" s="123"/>
      <c r="AM21" s="117"/>
      <c r="AN21" s="117"/>
      <c r="AO21" s="117"/>
      <c r="AP21" s="118"/>
      <c r="AQ21" s="6">
        <f>IF(CHOORTbl[[#This Row],[TOTAL RURAL]]=0,0,CHOORTbl[[#This Row],[TOTAL RURAL]]/SUM(CHOORTbl[TOTAL RURAL]))</f>
        <v>0</v>
      </c>
      <c r="AR21" s="665">
        <f>IF(CHOORTbl[[#This Row],[ALL UNITS IN A HIGH OR HIGHEST RESOURCE AREA]]="Yes",10*CHOORTbl[[#This Row],[ % OF TOTAL RURAL FUNDING]],0)</f>
        <v>0</v>
      </c>
      <c r="AS21" s="665" cm="1">
        <f t="array" ref="AS21">INDEX(CountyScoresTbl[OOR Community Need],ROW(CHOORTbl[[#This Row],[COUNTY]])-2,1)*CHOORTbl[[#This Row],[ % OF TOTAL RURAL FUNDING]]</f>
        <v>0</v>
      </c>
      <c r="AT21" s="694" cm="1">
        <f t="array" ref="AT21">INDEX(CountyScoresTbl[OOR/ADU Total Feasibility Points Awarded],ROW(CHOORTbl[[#This Row],[COUNTY]])-2,1)*CHOORTbl[[#This Row],[ % OF TOTAL RURAL FUNDING]]</f>
        <v>0</v>
      </c>
      <c r="AU21" s="125"/>
      <c r="AV21" s="118"/>
      <c r="AW21" s="6">
        <f>IF(CHOORTbl[[#This Row],[TOTAL MFD RURAL]]=0,0,CHOORTbl[[#This Row],[TOTAL MFD RURAL]]/SUM(CHOORTbl[TOTAL MFD RURAL]))</f>
        <v>0</v>
      </c>
      <c r="AX21" s="665">
        <f>IF(CHOORTbl[[#This Row],[ALL UNITS IN A HIGH OR HIGHEST RESOURCE AREA]]="Yes",10*CHOORTbl[[#This Row],[ % OF TOTAL MFD RURAL FUNDING]],0)</f>
        <v>0</v>
      </c>
      <c r="AY21" s="665" cm="1">
        <f t="array" ref="AY21">INDEX(CountyScoresTbl[OOR Community Need],ROW(CHOORTbl[[#This Row],[COUNTY]])-2,1)*CHOORTbl[[#This Row],[ % OF TOTAL MFD RURAL FUNDING]]</f>
        <v>0</v>
      </c>
      <c r="AZ21" s="694" cm="1">
        <f t="array" ref="AZ21">INDEX(CountyScoresTbl[OOR/ADU Total Feasibility Points Awarded],ROW(CHOORTbl[[#This Row],[COUNTY]])-2,1)*CHOORTbl[[#This Row],[ % OF TOTAL MFD RURAL FUNDING]]</f>
        <v>0</v>
      </c>
      <c r="BA21" s="556"/>
      <c r="BB21" s="561">
        <f>SUM(CHOORTbl[[#This Row],[UNRESTRICTED ADF]],CHOORTbl[[#This Row],[Unrestricted Funds Requesting]])</f>
        <v>0</v>
      </c>
      <c r="BC21" s="556"/>
      <c r="BD21" s="561">
        <f>SUM(CHOORTbl[[#This Row],[MANUFACTURED ADF]],CHOORTbl[[#This Row],[Manufactured Home Funds Requesting]])</f>
        <v>0</v>
      </c>
      <c r="BE21" s="556"/>
      <c r="BF21" s="561">
        <f>SUM(CHOORTbl[[#This Row],[RURAL ADF]],CHOORTbl[[#This Row],[RURAL FUNDING REQUESTED]])</f>
        <v>0</v>
      </c>
      <c r="BG21" s="556"/>
      <c r="BH21" s="562">
        <f>SUM(CHOORTbl[[#This Row],[MFD RURAL ADF]],CHOORTbl[[#This Row],[MFD RURAL FUNDING REQUESTED]])</f>
        <v>0</v>
      </c>
    </row>
    <row r="22" spans="1:60" x14ac:dyDescent="0.35">
      <c r="A22" s="115"/>
      <c r="B22" s="5" t="s">
        <v>134</v>
      </c>
      <c r="C22" s="31" t="s">
        <v>513</v>
      </c>
      <c r="D22" s="109" t="str">
        <f>IF(SUM(CHOORTbl[[#This Row],[Unrestricted Repair Units]:[Unrestricted ADU Reconstruct Units]])=0,"",SUM(CHOORTbl[[#This Row],[Unrestricted Repair Units]:[Unrestricted ADU Reconstruct Units]]))</f>
        <v/>
      </c>
      <c r="E22" s="74" t="str">
        <f xml:space="preserve">
IF(CHOORTbl[[#This Row],[TOTAL UNRESTRICTED]]=0,"",
CHOORTbl[[#This Row],[TOTAL UNRESTRICTED]]*
IF(CH_OOR_UnrestrictedTotalRequested&lt;=5000000,1,
5000000/CH_OOR_UnrestrictedTotalRequested)
)</f>
        <v/>
      </c>
      <c r="F22" s="6" t="str">
        <f>IF(CHOORTbl[[#This Row],[ % OF TOTAL FUNDING]]=0,"",CHOORTbl[[#This Row],[ % OF TOTAL FUNDING]])</f>
        <v/>
      </c>
      <c r="G22" s="31" t="s">
        <v>513</v>
      </c>
      <c r="H22" s="109" t="str">
        <f>IF(SUM(CHOORTbl[[#This Row],[Manufactured Home Units]])=0,"",SUM(CHOORTbl[[#This Row],[Manufactured Home Units]]))</f>
        <v/>
      </c>
      <c r="I22" s="74" t="str">
        <f xml:space="preserve">
IF(CHOORTbl[[#This Row],[TOTAL MANUFACTURED]]=0,"",
CHOORTbl[[#This Row],[TOTAL MANUFACTURED]]*
IF(CH_OOR_ManufacturedTotalRequested&lt;=(5000000-E$61),1,
(5000000-E$61)/CH_OOR_ManufacturedTotalRequested)
)</f>
        <v/>
      </c>
      <c r="J22" s="6" t="str">
        <f>IF(CHOORTbl[[#This Row],[ % OF TOTAL FUNDING2]]=0,"",CHOORTbl[[#This Row],[ % OF TOTAL FUNDING2]])</f>
        <v/>
      </c>
      <c r="K22" s="31" t="s">
        <v>513</v>
      </c>
      <c r="L22" s="109" t="str">
        <f>IF(SUM(CHOORTbl[[#This Row],[RURAL AREA HOMES TO REPAIR2]:[RURAL AREA ADUS TO ADD OR RECONSTRUCT]])=0,"",SUM(CHOORTbl[[#This Row],[RURAL AREA HOMES TO REPAIR2]:[RURAL AREA ADUS TO ADD OR RECONSTRUCT]]))</f>
        <v/>
      </c>
      <c r="M22" s="74" t="str">
        <f xml:space="preserve">
IF(CHOORTbl[[#This Row],[TOTAL RURAL]]=0,"",
CHOORTbl[[#This Row],[TOTAL RURAL]]*
IF(CH_OOR_RuralTotalRequested&lt;=(5000000-E$61-I$61),1,
(5000000-E$61-I$61)/CH_OOR_RuralTotalRequested)
)</f>
        <v/>
      </c>
      <c r="N22" s="6" t="str">
        <f>IF(CHOORTbl[[#This Row],[ % OF TOTAL RURAL FUNDING]]=0,"",CHOORTbl[[#This Row],[ % OF TOTAL RURAL FUNDING]])</f>
        <v/>
      </c>
      <c r="O22" s="31" t="s">
        <v>513</v>
      </c>
      <c r="P22" s="109" t="str">
        <f>IF(SUM(CHOORTbl[[#This Row],[MFD RURAL UNITS]])=0,"",SUM(CHOORTbl[[#This Row],[MFD RURAL UNITS]]))</f>
        <v/>
      </c>
      <c r="Q22" s="74" t="str">
        <f xml:space="preserve">
IF(CHOORTbl[[#This Row],[TOTAL MFD RURAL]]=0,"",
CHOORTbl[[#This Row],[TOTAL MFD RURAL]]*
IF(CH_OOR_MFDRuralTotalRequested&lt;=(5000000-E$61-I$61-M$61),1,
(5000000-E$61-I$61-M$61)/CH_OOR_MFDRuralTotalRequested)
)</f>
        <v/>
      </c>
      <c r="R22" s="6" t="str">
        <f>IF(CHOORTbl[[#This Row],[ % OF TOTAL MFD RURAL FUNDING]]=0,"",CHOORTbl[[#This Row],[ % OF TOTAL MFD RURAL FUNDING]])</f>
        <v/>
      </c>
      <c r="S22" s="44" t="s">
        <v>513</v>
      </c>
      <c r="T22" s="116"/>
      <c r="U22" s="242"/>
      <c r="V22" s="745"/>
      <c r="W22" s="705"/>
      <c r="X22" s="242"/>
      <c r="Y22" s="242"/>
      <c r="Z22" s="242"/>
      <c r="AA22" s="118"/>
      <c r="AB22" s="6">
        <f>IF(CHOORTbl[[#This Row],[TOTAL UNRESTRICTED]]=0,0,CHOORTbl[[#This Row],[TOTAL UNRESTRICTED]]/SUM(CHOORTbl[TOTAL UNRESTRICTED]))</f>
        <v>0</v>
      </c>
      <c r="AC22" s="665">
        <f>IF(CHOORTbl[[#This Row],[ALL UNITS IN A HIGH OR HIGHEST RESOURCE AREA]]="Yes",10*CHOORTbl[[#This Row],[ % OF TOTAL FUNDING]],0)</f>
        <v>0</v>
      </c>
      <c r="AD22" s="665" cm="1">
        <f t="array" ref="AD22">INDEX(CountyScoresTbl[OOR Community Need],ROW(CHOORTbl[[#This Row],[COUNTY]])-2,1)*CHOORTbl[[#This Row],[ % OF TOTAL FUNDING]]</f>
        <v>0</v>
      </c>
      <c r="AE22" s="694" cm="1">
        <f t="array" ref="AE22">INDEX(CountyScoresTbl[OOR/ADU Total Feasibility Points Awarded],ROW(CHOORTbl[[#This Row],[COUNTY]])-2,1)*CHOORTbl[[#This Row],[ % OF TOTAL FUNDING]]</f>
        <v>0</v>
      </c>
      <c r="AF22" s="123"/>
      <c r="AG22" s="118"/>
      <c r="AH22" s="6">
        <f>IF(CHOORTbl[[#This Row],[TOTAL MANUFACTURED]]=0,0,CHOORTbl[[#This Row],[TOTAL MANUFACTURED]]/SUM(CHOORTbl[TOTAL MANUFACTURED]))</f>
        <v>0</v>
      </c>
      <c r="AI22" s="665">
        <f>IF(CHOORTbl[[#This Row],[ALL UNITS IN A HIGH OR HIGHEST RESOURCE AREA]]="Yes",10*CHOORTbl[[#This Row],[ % OF TOTAL FUNDING2]],0)</f>
        <v>0</v>
      </c>
      <c r="AJ22" s="665" cm="1">
        <f t="array" ref="AJ22">INDEX(CountyScoresTbl[OOR Community Need],ROW(CHOORTbl[[#This Row],[COUNTY]])-2,1)*CHOORTbl[[#This Row],[ % OF TOTAL FUNDING2]]</f>
        <v>0</v>
      </c>
      <c r="AK22" s="694" cm="1">
        <f t="array" ref="AK22">INDEX(CountyScoresTbl[OOR/ADU Total Feasibility Points Awarded],ROW(CHOORTbl[[#This Row],[COUNTY]])-2,1)*CHOORTbl[[#This Row],[ % OF TOTAL FUNDING2]]</f>
        <v>0</v>
      </c>
      <c r="AL22" s="123"/>
      <c r="AM22" s="117"/>
      <c r="AN22" s="117"/>
      <c r="AO22" s="117"/>
      <c r="AP22" s="118"/>
      <c r="AQ22" s="6">
        <f>IF(CHOORTbl[[#This Row],[TOTAL RURAL]]=0,0,CHOORTbl[[#This Row],[TOTAL RURAL]]/SUM(CHOORTbl[TOTAL RURAL]))</f>
        <v>0</v>
      </c>
      <c r="AR22" s="665">
        <f>IF(CHOORTbl[[#This Row],[ALL UNITS IN A HIGH OR HIGHEST RESOURCE AREA]]="Yes",10*CHOORTbl[[#This Row],[ % OF TOTAL RURAL FUNDING]],0)</f>
        <v>0</v>
      </c>
      <c r="AS22" s="665" cm="1">
        <f t="array" ref="AS22">INDEX(CountyScoresTbl[OOR Community Need],ROW(CHOORTbl[[#This Row],[COUNTY]])-2,1)*CHOORTbl[[#This Row],[ % OF TOTAL RURAL FUNDING]]</f>
        <v>0</v>
      </c>
      <c r="AT22" s="694" cm="1">
        <f t="array" ref="AT22">INDEX(CountyScoresTbl[OOR/ADU Total Feasibility Points Awarded],ROW(CHOORTbl[[#This Row],[COUNTY]])-2,1)*CHOORTbl[[#This Row],[ % OF TOTAL RURAL FUNDING]]</f>
        <v>0</v>
      </c>
      <c r="AU22" s="125"/>
      <c r="AV22" s="118"/>
      <c r="AW22" s="6">
        <f>IF(CHOORTbl[[#This Row],[TOTAL MFD RURAL]]=0,0,CHOORTbl[[#This Row],[TOTAL MFD RURAL]]/SUM(CHOORTbl[TOTAL MFD RURAL]))</f>
        <v>0</v>
      </c>
      <c r="AX22" s="665">
        <f>IF(CHOORTbl[[#This Row],[ALL UNITS IN A HIGH OR HIGHEST RESOURCE AREA]]="Yes",10*CHOORTbl[[#This Row],[ % OF TOTAL MFD RURAL FUNDING]],0)</f>
        <v>0</v>
      </c>
      <c r="AY22" s="665" cm="1">
        <f t="array" ref="AY22">INDEX(CountyScoresTbl[OOR Community Need],ROW(CHOORTbl[[#This Row],[COUNTY]])-2,1)*CHOORTbl[[#This Row],[ % OF TOTAL MFD RURAL FUNDING]]</f>
        <v>0</v>
      </c>
      <c r="AZ22" s="694" cm="1">
        <f t="array" ref="AZ22">INDEX(CountyScoresTbl[OOR/ADU Total Feasibility Points Awarded],ROW(CHOORTbl[[#This Row],[COUNTY]])-2,1)*CHOORTbl[[#This Row],[ % OF TOTAL MFD RURAL FUNDING]]</f>
        <v>0</v>
      </c>
      <c r="BA22" s="556"/>
      <c r="BB22" s="561">
        <f>SUM(CHOORTbl[[#This Row],[UNRESTRICTED ADF]],CHOORTbl[[#This Row],[Unrestricted Funds Requesting]])</f>
        <v>0</v>
      </c>
      <c r="BC22" s="556"/>
      <c r="BD22" s="561">
        <f>SUM(CHOORTbl[[#This Row],[MANUFACTURED ADF]],CHOORTbl[[#This Row],[Manufactured Home Funds Requesting]])</f>
        <v>0</v>
      </c>
      <c r="BE22" s="556"/>
      <c r="BF22" s="561">
        <f>SUM(CHOORTbl[[#This Row],[RURAL ADF]],CHOORTbl[[#This Row],[RURAL FUNDING REQUESTED]])</f>
        <v>0</v>
      </c>
      <c r="BG22" s="556"/>
      <c r="BH22" s="562">
        <f>SUM(CHOORTbl[[#This Row],[MFD RURAL ADF]],CHOORTbl[[#This Row],[MFD RURAL FUNDING REQUESTED]])</f>
        <v>0</v>
      </c>
    </row>
    <row r="23" spans="1:60" x14ac:dyDescent="0.35">
      <c r="A23" s="115" t="s">
        <v>504</v>
      </c>
      <c r="B23" s="5" t="s">
        <v>135</v>
      </c>
      <c r="C23" s="31" t="s">
        <v>513</v>
      </c>
      <c r="D23" s="109" t="str">
        <f>IF(SUM(CHOORTbl[[#This Row],[Unrestricted Repair Units]:[Unrestricted ADU Reconstruct Units]])=0,"",SUM(CHOORTbl[[#This Row],[Unrestricted Repair Units]:[Unrestricted ADU Reconstruct Units]]))</f>
        <v/>
      </c>
      <c r="E23" s="74" t="str">
        <f xml:space="preserve">
IF(CHOORTbl[[#This Row],[TOTAL UNRESTRICTED]]=0,"",
CHOORTbl[[#This Row],[TOTAL UNRESTRICTED]]*
IF(CH_OOR_UnrestrictedTotalRequested&lt;=5000000,1,
5000000/CH_OOR_UnrestrictedTotalRequested)
)</f>
        <v/>
      </c>
      <c r="F23" s="6" t="str">
        <f>IF(CHOORTbl[[#This Row],[ % OF TOTAL FUNDING]]=0,"",CHOORTbl[[#This Row],[ % OF TOTAL FUNDING]])</f>
        <v/>
      </c>
      <c r="G23" s="31" t="s">
        <v>513</v>
      </c>
      <c r="H23" s="109" t="str">
        <f>IF(SUM(CHOORTbl[[#This Row],[Manufactured Home Units]])=0,"",SUM(CHOORTbl[[#This Row],[Manufactured Home Units]]))</f>
        <v/>
      </c>
      <c r="I23" s="74" t="str">
        <f xml:space="preserve">
IF(CHOORTbl[[#This Row],[TOTAL MANUFACTURED]]=0,"",
CHOORTbl[[#This Row],[TOTAL MANUFACTURED]]*
IF(CH_OOR_ManufacturedTotalRequested&lt;=(5000000-E$61),1,
(5000000-E$61)/CH_OOR_ManufacturedTotalRequested)
)</f>
        <v/>
      </c>
      <c r="J23" s="6" t="str">
        <f>IF(CHOORTbl[[#This Row],[ % OF TOTAL FUNDING2]]=0,"",CHOORTbl[[#This Row],[ % OF TOTAL FUNDING2]])</f>
        <v/>
      </c>
      <c r="K23" s="31" t="s">
        <v>513</v>
      </c>
      <c r="L23" s="109" t="str">
        <f>IF(SUM(CHOORTbl[[#This Row],[RURAL AREA HOMES TO REPAIR2]:[RURAL AREA ADUS TO ADD OR RECONSTRUCT]])=0,"",SUM(CHOORTbl[[#This Row],[RURAL AREA HOMES TO REPAIR2]:[RURAL AREA ADUS TO ADD OR RECONSTRUCT]]))</f>
        <v/>
      </c>
      <c r="M23" s="74" t="str">
        <f xml:space="preserve">
IF(CHOORTbl[[#This Row],[TOTAL RURAL]]=0,"",
CHOORTbl[[#This Row],[TOTAL RURAL]]*
IF(CH_OOR_RuralTotalRequested&lt;=(5000000-E$61-I$61),1,
(5000000-E$61-I$61)/CH_OOR_RuralTotalRequested)
)</f>
        <v/>
      </c>
      <c r="N23" s="6" t="str">
        <f>IF(CHOORTbl[[#This Row],[ % OF TOTAL RURAL FUNDING]]=0,"",CHOORTbl[[#This Row],[ % OF TOTAL RURAL FUNDING]])</f>
        <v/>
      </c>
      <c r="O23" s="31" t="s">
        <v>513</v>
      </c>
      <c r="P23" s="109" t="str">
        <f>IF(SUM(CHOORTbl[[#This Row],[MFD RURAL UNITS]])=0,"",SUM(CHOORTbl[[#This Row],[MFD RURAL UNITS]]))</f>
        <v/>
      </c>
      <c r="Q23" s="74" t="str">
        <f xml:space="preserve">
IF(CHOORTbl[[#This Row],[TOTAL MFD RURAL]]=0,"",
CHOORTbl[[#This Row],[TOTAL MFD RURAL]]*
IF(CH_OOR_MFDRuralTotalRequested&lt;=(5000000-E$61-I$61-M$61),1,
(5000000-E$61-I$61-M$61)/CH_OOR_MFDRuralTotalRequested)
)</f>
        <v/>
      </c>
      <c r="R23" s="6" t="str">
        <f>IF(CHOORTbl[[#This Row],[ % OF TOTAL MFD RURAL FUNDING]]=0,"",CHOORTbl[[#This Row],[ % OF TOTAL MFD RURAL FUNDING]])</f>
        <v/>
      </c>
      <c r="S23" s="44" t="s">
        <v>513</v>
      </c>
      <c r="T23" s="116"/>
      <c r="U23" s="242"/>
      <c r="V23" s="745"/>
      <c r="W23" s="705"/>
      <c r="X23" s="242"/>
      <c r="Y23" s="242"/>
      <c r="Z23" s="242"/>
      <c r="AA23" s="118"/>
      <c r="AB23" s="6">
        <f>IF(CHOORTbl[[#This Row],[TOTAL UNRESTRICTED]]=0,0,CHOORTbl[[#This Row],[TOTAL UNRESTRICTED]]/SUM(CHOORTbl[TOTAL UNRESTRICTED]))</f>
        <v>0</v>
      </c>
      <c r="AC23" s="665">
        <f>IF(CHOORTbl[[#This Row],[ALL UNITS IN A HIGH OR HIGHEST RESOURCE AREA]]="Yes",10*CHOORTbl[[#This Row],[ % OF TOTAL FUNDING]],0)</f>
        <v>0</v>
      </c>
      <c r="AD23" s="665" cm="1">
        <f t="array" ref="AD23">INDEX(CountyScoresTbl[OOR Community Need],ROW(CHOORTbl[[#This Row],[COUNTY]])-2,1)*CHOORTbl[[#This Row],[ % OF TOTAL FUNDING]]</f>
        <v>0</v>
      </c>
      <c r="AE23" s="694" cm="1">
        <f t="array" ref="AE23">INDEX(CountyScoresTbl[OOR/ADU Total Feasibility Points Awarded],ROW(CHOORTbl[[#This Row],[COUNTY]])-2,1)*CHOORTbl[[#This Row],[ % OF TOTAL FUNDING]]</f>
        <v>0</v>
      </c>
      <c r="AF23" s="123"/>
      <c r="AG23" s="118"/>
      <c r="AH23" s="6">
        <f>IF(CHOORTbl[[#This Row],[TOTAL MANUFACTURED]]=0,0,CHOORTbl[[#This Row],[TOTAL MANUFACTURED]]/SUM(CHOORTbl[TOTAL MANUFACTURED]))</f>
        <v>0</v>
      </c>
      <c r="AI23" s="665">
        <f>IF(CHOORTbl[[#This Row],[ALL UNITS IN A HIGH OR HIGHEST RESOURCE AREA]]="Yes",10*CHOORTbl[[#This Row],[ % OF TOTAL FUNDING2]],0)</f>
        <v>0</v>
      </c>
      <c r="AJ23" s="665" cm="1">
        <f t="array" ref="AJ23">INDEX(CountyScoresTbl[OOR Community Need],ROW(CHOORTbl[[#This Row],[COUNTY]])-2,1)*CHOORTbl[[#This Row],[ % OF TOTAL FUNDING2]]</f>
        <v>0</v>
      </c>
      <c r="AK23" s="694" cm="1">
        <f t="array" ref="AK23">INDEX(CountyScoresTbl[OOR/ADU Total Feasibility Points Awarded],ROW(CHOORTbl[[#This Row],[COUNTY]])-2,1)*CHOORTbl[[#This Row],[ % OF TOTAL FUNDING2]]</f>
        <v>0</v>
      </c>
      <c r="AL23" s="123"/>
      <c r="AM23" s="117"/>
      <c r="AN23" s="117"/>
      <c r="AO23" s="117"/>
      <c r="AP23" s="118"/>
      <c r="AQ23" s="6">
        <f>IF(CHOORTbl[[#This Row],[TOTAL RURAL]]=0,0,CHOORTbl[[#This Row],[TOTAL RURAL]]/SUM(CHOORTbl[TOTAL RURAL]))</f>
        <v>0</v>
      </c>
      <c r="AR23" s="665">
        <f>IF(CHOORTbl[[#This Row],[ALL UNITS IN A HIGH OR HIGHEST RESOURCE AREA]]="Yes",10*CHOORTbl[[#This Row],[ % OF TOTAL RURAL FUNDING]],0)</f>
        <v>0</v>
      </c>
      <c r="AS23" s="665" cm="1">
        <f t="array" ref="AS23">INDEX(CountyScoresTbl[OOR Community Need],ROW(CHOORTbl[[#This Row],[COUNTY]])-2,1)*CHOORTbl[[#This Row],[ % OF TOTAL RURAL FUNDING]]</f>
        <v>0</v>
      </c>
      <c r="AT23" s="694" cm="1">
        <f t="array" ref="AT23">INDEX(CountyScoresTbl[OOR/ADU Total Feasibility Points Awarded],ROW(CHOORTbl[[#This Row],[COUNTY]])-2,1)*CHOORTbl[[#This Row],[ % OF TOTAL RURAL FUNDING]]</f>
        <v>0</v>
      </c>
      <c r="AU23" s="125"/>
      <c r="AV23" s="118"/>
      <c r="AW23" s="6">
        <f>IF(CHOORTbl[[#This Row],[TOTAL MFD RURAL]]=0,0,CHOORTbl[[#This Row],[TOTAL MFD RURAL]]/SUM(CHOORTbl[TOTAL MFD RURAL]))</f>
        <v>0</v>
      </c>
      <c r="AX23" s="665">
        <f>IF(CHOORTbl[[#This Row],[ALL UNITS IN A HIGH OR HIGHEST RESOURCE AREA]]="Yes",10*CHOORTbl[[#This Row],[ % OF TOTAL MFD RURAL FUNDING]],0)</f>
        <v>0</v>
      </c>
      <c r="AY23" s="665" cm="1">
        <f t="array" ref="AY23">INDEX(CountyScoresTbl[OOR Community Need],ROW(CHOORTbl[[#This Row],[COUNTY]])-2,1)*CHOORTbl[[#This Row],[ % OF TOTAL MFD RURAL FUNDING]]</f>
        <v>0</v>
      </c>
      <c r="AZ23" s="694" cm="1">
        <f t="array" ref="AZ23">INDEX(CountyScoresTbl[OOR/ADU Total Feasibility Points Awarded],ROW(CHOORTbl[[#This Row],[COUNTY]])-2,1)*CHOORTbl[[#This Row],[ % OF TOTAL MFD RURAL FUNDING]]</f>
        <v>0</v>
      </c>
      <c r="BA23" s="556"/>
      <c r="BB23" s="561">
        <f>SUM(CHOORTbl[[#This Row],[UNRESTRICTED ADF]],CHOORTbl[[#This Row],[Unrestricted Funds Requesting]])</f>
        <v>0</v>
      </c>
      <c r="BC23" s="556"/>
      <c r="BD23" s="561">
        <f>SUM(CHOORTbl[[#This Row],[MANUFACTURED ADF]],CHOORTbl[[#This Row],[Manufactured Home Funds Requesting]])</f>
        <v>0</v>
      </c>
      <c r="BE23" s="556"/>
      <c r="BF23" s="561">
        <f>SUM(CHOORTbl[[#This Row],[RURAL ADF]],CHOORTbl[[#This Row],[RURAL FUNDING REQUESTED]])</f>
        <v>0</v>
      </c>
      <c r="BG23" s="556"/>
      <c r="BH23" s="562">
        <f>SUM(CHOORTbl[[#This Row],[MFD RURAL ADF]],CHOORTbl[[#This Row],[MFD RURAL FUNDING REQUESTED]])</f>
        <v>0</v>
      </c>
    </row>
    <row r="24" spans="1:60" x14ac:dyDescent="0.35">
      <c r="A24" s="115"/>
      <c r="B24" s="5" t="s">
        <v>136</v>
      </c>
      <c r="C24" s="31" t="s">
        <v>513</v>
      </c>
      <c r="D24" s="109" t="str">
        <f>IF(SUM(CHOORTbl[[#This Row],[Unrestricted Repair Units]:[Unrestricted ADU Reconstruct Units]])=0,"",SUM(CHOORTbl[[#This Row],[Unrestricted Repair Units]:[Unrestricted ADU Reconstruct Units]]))</f>
        <v/>
      </c>
      <c r="E24" s="74" t="str">
        <f xml:space="preserve">
IF(CHOORTbl[[#This Row],[TOTAL UNRESTRICTED]]=0,"",
CHOORTbl[[#This Row],[TOTAL UNRESTRICTED]]*
IF(CH_OOR_UnrestrictedTotalRequested&lt;=5000000,1,
5000000/CH_OOR_UnrestrictedTotalRequested)
)</f>
        <v/>
      </c>
      <c r="F24" s="6" t="str">
        <f>IF(CHOORTbl[[#This Row],[ % OF TOTAL FUNDING]]=0,"",CHOORTbl[[#This Row],[ % OF TOTAL FUNDING]])</f>
        <v/>
      </c>
      <c r="G24" s="31" t="s">
        <v>513</v>
      </c>
      <c r="H24" s="109" t="str">
        <f>IF(SUM(CHOORTbl[[#This Row],[Manufactured Home Units]])=0,"",SUM(CHOORTbl[[#This Row],[Manufactured Home Units]]))</f>
        <v/>
      </c>
      <c r="I24" s="74" t="str">
        <f xml:space="preserve">
IF(CHOORTbl[[#This Row],[TOTAL MANUFACTURED]]=0,"",
CHOORTbl[[#This Row],[TOTAL MANUFACTURED]]*
IF(CH_OOR_ManufacturedTotalRequested&lt;=(5000000-E$61),1,
(5000000-E$61)/CH_OOR_ManufacturedTotalRequested)
)</f>
        <v/>
      </c>
      <c r="J24" s="6" t="str">
        <f>IF(CHOORTbl[[#This Row],[ % OF TOTAL FUNDING2]]=0,"",CHOORTbl[[#This Row],[ % OF TOTAL FUNDING2]])</f>
        <v/>
      </c>
      <c r="K24" s="31" t="s">
        <v>513</v>
      </c>
      <c r="L24" s="109" t="str">
        <f>IF(SUM(CHOORTbl[[#This Row],[RURAL AREA HOMES TO REPAIR2]:[RURAL AREA ADUS TO ADD OR RECONSTRUCT]])=0,"",SUM(CHOORTbl[[#This Row],[RURAL AREA HOMES TO REPAIR2]:[RURAL AREA ADUS TO ADD OR RECONSTRUCT]]))</f>
        <v/>
      </c>
      <c r="M24" s="74" t="str">
        <f xml:space="preserve">
IF(CHOORTbl[[#This Row],[TOTAL RURAL]]=0,"",
CHOORTbl[[#This Row],[TOTAL RURAL]]*
IF(CH_OOR_RuralTotalRequested&lt;=(5000000-E$61-I$61),1,
(5000000-E$61-I$61)/CH_OOR_RuralTotalRequested)
)</f>
        <v/>
      </c>
      <c r="N24" s="6" t="str">
        <f>IF(CHOORTbl[[#This Row],[ % OF TOTAL RURAL FUNDING]]=0,"",CHOORTbl[[#This Row],[ % OF TOTAL RURAL FUNDING]])</f>
        <v/>
      </c>
      <c r="O24" s="31" t="s">
        <v>513</v>
      </c>
      <c r="P24" s="109" t="str">
        <f>IF(SUM(CHOORTbl[[#This Row],[MFD RURAL UNITS]])=0,"",SUM(CHOORTbl[[#This Row],[MFD RURAL UNITS]]))</f>
        <v/>
      </c>
      <c r="Q24" s="74" t="str">
        <f xml:space="preserve">
IF(CHOORTbl[[#This Row],[TOTAL MFD RURAL]]=0,"",
CHOORTbl[[#This Row],[TOTAL MFD RURAL]]*
IF(CH_OOR_MFDRuralTotalRequested&lt;=(5000000-E$61-I$61-M$61),1,
(5000000-E$61-I$61-M$61)/CH_OOR_MFDRuralTotalRequested)
)</f>
        <v/>
      </c>
      <c r="R24" s="6" t="str">
        <f>IF(CHOORTbl[[#This Row],[ % OF TOTAL MFD RURAL FUNDING]]=0,"",CHOORTbl[[#This Row],[ % OF TOTAL MFD RURAL FUNDING]])</f>
        <v/>
      </c>
      <c r="S24" s="44" t="s">
        <v>513</v>
      </c>
      <c r="T24" s="116"/>
      <c r="U24" s="242"/>
      <c r="V24" s="745"/>
      <c r="W24" s="705"/>
      <c r="X24" s="242"/>
      <c r="Y24" s="242"/>
      <c r="Z24" s="242"/>
      <c r="AA24" s="118"/>
      <c r="AB24" s="6">
        <f>IF(CHOORTbl[[#This Row],[TOTAL UNRESTRICTED]]=0,0,CHOORTbl[[#This Row],[TOTAL UNRESTRICTED]]/SUM(CHOORTbl[TOTAL UNRESTRICTED]))</f>
        <v>0</v>
      </c>
      <c r="AC24" s="665">
        <f>IF(CHOORTbl[[#This Row],[ALL UNITS IN A HIGH OR HIGHEST RESOURCE AREA]]="Yes",10*CHOORTbl[[#This Row],[ % OF TOTAL FUNDING]],0)</f>
        <v>0</v>
      </c>
      <c r="AD24" s="665" cm="1">
        <f t="array" ref="AD24">INDEX(CountyScoresTbl[OOR Community Need],ROW(CHOORTbl[[#This Row],[COUNTY]])-2,1)*CHOORTbl[[#This Row],[ % OF TOTAL FUNDING]]</f>
        <v>0</v>
      </c>
      <c r="AE24" s="694" cm="1">
        <f t="array" ref="AE24">INDEX(CountyScoresTbl[OOR/ADU Total Feasibility Points Awarded],ROW(CHOORTbl[[#This Row],[COUNTY]])-2,1)*CHOORTbl[[#This Row],[ % OF TOTAL FUNDING]]</f>
        <v>0</v>
      </c>
      <c r="AF24" s="123"/>
      <c r="AG24" s="118"/>
      <c r="AH24" s="6">
        <f>IF(CHOORTbl[[#This Row],[TOTAL MANUFACTURED]]=0,0,CHOORTbl[[#This Row],[TOTAL MANUFACTURED]]/SUM(CHOORTbl[TOTAL MANUFACTURED]))</f>
        <v>0</v>
      </c>
      <c r="AI24" s="665">
        <f>IF(CHOORTbl[[#This Row],[ALL UNITS IN A HIGH OR HIGHEST RESOURCE AREA]]="Yes",10*CHOORTbl[[#This Row],[ % OF TOTAL FUNDING2]],0)</f>
        <v>0</v>
      </c>
      <c r="AJ24" s="665" cm="1">
        <f t="array" ref="AJ24">INDEX(CountyScoresTbl[OOR Community Need],ROW(CHOORTbl[[#This Row],[COUNTY]])-2,1)*CHOORTbl[[#This Row],[ % OF TOTAL FUNDING2]]</f>
        <v>0</v>
      </c>
      <c r="AK24" s="694" cm="1">
        <f t="array" ref="AK24">INDEX(CountyScoresTbl[OOR/ADU Total Feasibility Points Awarded],ROW(CHOORTbl[[#This Row],[COUNTY]])-2,1)*CHOORTbl[[#This Row],[ % OF TOTAL FUNDING2]]</f>
        <v>0</v>
      </c>
      <c r="AL24" s="123"/>
      <c r="AM24" s="117"/>
      <c r="AN24" s="117"/>
      <c r="AO24" s="117"/>
      <c r="AP24" s="118"/>
      <c r="AQ24" s="6">
        <f>IF(CHOORTbl[[#This Row],[TOTAL RURAL]]=0,0,CHOORTbl[[#This Row],[TOTAL RURAL]]/SUM(CHOORTbl[TOTAL RURAL]))</f>
        <v>0</v>
      </c>
      <c r="AR24" s="665">
        <f>IF(CHOORTbl[[#This Row],[ALL UNITS IN A HIGH OR HIGHEST RESOURCE AREA]]="Yes",10*CHOORTbl[[#This Row],[ % OF TOTAL RURAL FUNDING]],0)</f>
        <v>0</v>
      </c>
      <c r="AS24" s="665" cm="1">
        <f t="array" ref="AS24">INDEX(CountyScoresTbl[OOR Community Need],ROW(CHOORTbl[[#This Row],[COUNTY]])-2,1)*CHOORTbl[[#This Row],[ % OF TOTAL RURAL FUNDING]]</f>
        <v>0</v>
      </c>
      <c r="AT24" s="694" cm="1">
        <f t="array" ref="AT24">INDEX(CountyScoresTbl[OOR/ADU Total Feasibility Points Awarded],ROW(CHOORTbl[[#This Row],[COUNTY]])-2,1)*CHOORTbl[[#This Row],[ % OF TOTAL RURAL FUNDING]]</f>
        <v>0</v>
      </c>
      <c r="AU24" s="125"/>
      <c r="AV24" s="118"/>
      <c r="AW24" s="6">
        <f>IF(CHOORTbl[[#This Row],[TOTAL MFD RURAL]]=0,0,CHOORTbl[[#This Row],[TOTAL MFD RURAL]]/SUM(CHOORTbl[TOTAL MFD RURAL]))</f>
        <v>0</v>
      </c>
      <c r="AX24" s="665">
        <f>IF(CHOORTbl[[#This Row],[ALL UNITS IN A HIGH OR HIGHEST RESOURCE AREA]]="Yes",10*CHOORTbl[[#This Row],[ % OF TOTAL MFD RURAL FUNDING]],0)</f>
        <v>0</v>
      </c>
      <c r="AY24" s="665" cm="1">
        <f t="array" ref="AY24">INDEX(CountyScoresTbl[OOR Community Need],ROW(CHOORTbl[[#This Row],[COUNTY]])-2,1)*CHOORTbl[[#This Row],[ % OF TOTAL MFD RURAL FUNDING]]</f>
        <v>0</v>
      </c>
      <c r="AZ24" s="694" cm="1">
        <f t="array" ref="AZ24">INDEX(CountyScoresTbl[OOR/ADU Total Feasibility Points Awarded],ROW(CHOORTbl[[#This Row],[COUNTY]])-2,1)*CHOORTbl[[#This Row],[ % OF TOTAL MFD RURAL FUNDING]]</f>
        <v>0</v>
      </c>
      <c r="BA24" s="556"/>
      <c r="BB24" s="561">
        <f>SUM(CHOORTbl[[#This Row],[UNRESTRICTED ADF]],CHOORTbl[[#This Row],[Unrestricted Funds Requesting]])</f>
        <v>0</v>
      </c>
      <c r="BC24" s="556"/>
      <c r="BD24" s="561">
        <f>SUM(CHOORTbl[[#This Row],[MANUFACTURED ADF]],CHOORTbl[[#This Row],[Manufactured Home Funds Requesting]])</f>
        <v>0</v>
      </c>
      <c r="BE24" s="556"/>
      <c r="BF24" s="561">
        <f>SUM(CHOORTbl[[#This Row],[RURAL ADF]],CHOORTbl[[#This Row],[RURAL FUNDING REQUESTED]])</f>
        <v>0</v>
      </c>
      <c r="BG24" s="556"/>
      <c r="BH24" s="562">
        <f>SUM(CHOORTbl[[#This Row],[MFD RURAL ADF]],CHOORTbl[[#This Row],[MFD RURAL FUNDING REQUESTED]])</f>
        <v>0</v>
      </c>
    </row>
    <row r="25" spans="1:60" x14ac:dyDescent="0.35">
      <c r="A25" s="116"/>
      <c r="B25" s="5" t="s">
        <v>137</v>
      </c>
      <c r="C25" s="31" t="s">
        <v>513</v>
      </c>
      <c r="D25" s="109" t="str">
        <f>IF(SUM(CHOORTbl[[#This Row],[Unrestricted Repair Units]:[Unrestricted ADU Reconstruct Units]])=0,"",SUM(CHOORTbl[[#This Row],[Unrestricted Repair Units]:[Unrestricted ADU Reconstruct Units]]))</f>
        <v/>
      </c>
      <c r="E25" s="74" t="str">
        <f xml:space="preserve">
IF(CHOORTbl[[#This Row],[TOTAL UNRESTRICTED]]=0,"",
CHOORTbl[[#This Row],[TOTAL UNRESTRICTED]]*
IF(CH_OOR_UnrestrictedTotalRequested&lt;=5000000,1,
5000000/CH_OOR_UnrestrictedTotalRequested)
)</f>
        <v/>
      </c>
      <c r="F25" s="6" t="str">
        <f>IF(CHOORTbl[[#This Row],[ % OF TOTAL FUNDING]]=0,"",CHOORTbl[[#This Row],[ % OF TOTAL FUNDING]])</f>
        <v/>
      </c>
      <c r="G25" s="31" t="s">
        <v>513</v>
      </c>
      <c r="H25" s="109" t="str">
        <f>IF(SUM(CHOORTbl[[#This Row],[Manufactured Home Units]])=0,"",SUM(CHOORTbl[[#This Row],[Manufactured Home Units]]))</f>
        <v/>
      </c>
      <c r="I25" s="74" t="str">
        <f xml:space="preserve">
IF(CHOORTbl[[#This Row],[TOTAL MANUFACTURED]]=0,"",
CHOORTbl[[#This Row],[TOTAL MANUFACTURED]]*
IF(CH_OOR_ManufacturedTotalRequested&lt;=(5000000-E$61),1,
(5000000-E$61)/CH_OOR_ManufacturedTotalRequested)
)</f>
        <v/>
      </c>
      <c r="J25" s="6" t="str">
        <f>IF(CHOORTbl[[#This Row],[ % OF TOTAL FUNDING2]]=0,"",CHOORTbl[[#This Row],[ % OF TOTAL FUNDING2]])</f>
        <v/>
      </c>
      <c r="K25" s="31" t="s">
        <v>513</v>
      </c>
      <c r="L25" s="109" t="str">
        <f>IF(SUM(CHOORTbl[[#This Row],[RURAL AREA HOMES TO REPAIR2]:[RURAL AREA ADUS TO ADD OR RECONSTRUCT]])=0,"",SUM(CHOORTbl[[#This Row],[RURAL AREA HOMES TO REPAIR2]:[RURAL AREA ADUS TO ADD OR RECONSTRUCT]]))</f>
        <v/>
      </c>
      <c r="M25" s="74" t="str">
        <f xml:space="preserve">
IF(CHOORTbl[[#This Row],[TOTAL RURAL]]=0,"",
CHOORTbl[[#This Row],[TOTAL RURAL]]*
IF(CH_OOR_RuralTotalRequested&lt;=(5000000-E$61-I$61),1,
(5000000-E$61-I$61)/CH_OOR_RuralTotalRequested)
)</f>
        <v/>
      </c>
      <c r="N25" s="6" t="str">
        <f>IF(CHOORTbl[[#This Row],[ % OF TOTAL RURAL FUNDING]]=0,"",CHOORTbl[[#This Row],[ % OF TOTAL RURAL FUNDING]])</f>
        <v/>
      </c>
      <c r="O25" s="31" t="s">
        <v>513</v>
      </c>
      <c r="P25" s="109" t="str">
        <f>IF(SUM(CHOORTbl[[#This Row],[MFD RURAL UNITS]])=0,"",SUM(CHOORTbl[[#This Row],[MFD RURAL UNITS]]))</f>
        <v/>
      </c>
      <c r="Q25" s="74" t="str">
        <f xml:space="preserve">
IF(CHOORTbl[[#This Row],[TOTAL MFD RURAL]]=0,"",
CHOORTbl[[#This Row],[TOTAL MFD RURAL]]*
IF(CH_OOR_MFDRuralTotalRequested&lt;=(5000000-E$61-I$61-M$61),1,
(5000000-E$61-I$61-M$61)/CH_OOR_MFDRuralTotalRequested)
)</f>
        <v/>
      </c>
      <c r="R25" s="6" t="str">
        <f>IF(CHOORTbl[[#This Row],[ % OF TOTAL MFD RURAL FUNDING]]=0,"",CHOORTbl[[#This Row],[ % OF TOTAL MFD RURAL FUNDING]])</f>
        <v/>
      </c>
      <c r="S25" s="44" t="s">
        <v>513</v>
      </c>
      <c r="T25" s="116"/>
      <c r="U25" s="242"/>
      <c r="V25" s="745"/>
      <c r="W25" s="705"/>
      <c r="X25" s="242"/>
      <c r="Y25" s="242"/>
      <c r="Z25" s="242"/>
      <c r="AA25" s="118"/>
      <c r="AB25" s="6">
        <f>IF(CHOORTbl[[#This Row],[TOTAL UNRESTRICTED]]=0,0,CHOORTbl[[#This Row],[TOTAL UNRESTRICTED]]/SUM(CHOORTbl[TOTAL UNRESTRICTED]))</f>
        <v>0</v>
      </c>
      <c r="AC25" s="665">
        <f>IF(CHOORTbl[[#This Row],[ALL UNITS IN A HIGH OR HIGHEST RESOURCE AREA]]="Yes",10*CHOORTbl[[#This Row],[ % OF TOTAL FUNDING]],0)</f>
        <v>0</v>
      </c>
      <c r="AD25" s="665" cm="1">
        <f t="array" ref="AD25">INDEX(CountyScoresTbl[OOR Community Need],ROW(CHOORTbl[[#This Row],[COUNTY]])-2,1)*CHOORTbl[[#This Row],[ % OF TOTAL FUNDING]]</f>
        <v>0</v>
      </c>
      <c r="AE25" s="694" cm="1">
        <f t="array" ref="AE25">INDEX(CountyScoresTbl[OOR/ADU Total Feasibility Points Awarded],ROW(CHOORTbl[[#This Row],[COUNTY]])-2,1)*CHOORTbl[[#This Row],[ % OF TOTAL FUNDING]]</f>
        <v>0</v>
      </c>
      <c r="AF25" s="124"/>
      <c r="AG25" s="118"/>
      <c r="AH25" s="6">
        <f>IF(CHOORTbl[[#This Row],[TOTAL MANUFACTURED]]=0,0,CHOORTbl[[#This Row],[TOTAL MANUFACTURED]]/SUM(CHOORTbl[TOTAL MANUFACTURED]))</f>
        <v>0</v>
      </c>
      <c r="AI25" s="665">
        <f>IF(CHOORTbl[[#This Row],[ALL UNITS IN A HIGH OR HIGHEST RESOURCE AREA]]="Yes",10*CHOORTbl[[#This Row],[ % OF TOTAL FUNDING2]],0)</f>
        <v>0</v>
      </c>
      <c r="AJ25" s="665" cm="1">
        <f t="array" ref="AJ25">INDEX(CountyScoresTbl[OOR Community Need],ROW(CHOORTbl[[#This Row],[COUNTY]])-2,1)*CHOORTbl[[#This Row],[ % OF TOTAL FUNDING2]]</f>
        <v>0</v>
      </c>
      <c r="AK25" s="694" cm="1">
        <f t="array" ref="AK25">INDEX(CountyScoresTbl[OOR/ADU Total Feasibility Points Awarded],ROW(CHOORTbl[[#This Row],[COUNTY]])-2,1)*CHOORTbl[[#This Row],[ % OF TOTAL FUNDING2]]</f>
        <v>0</v>
      </c>
      <c r="AL25" s="124"/>
      <c r="AM25" s="119"/>
      <c r="AN25" s="119"/>
      <c r="AO25" s="119"/>
      <c r="AP25" s="118"/>
      <c r="AQ25" s="6">
        <f>IF(CHOORTbl[[#This Row],[TOTAL RURAL]]=0,0,CHOORTbl[[#This Row],[TOTAL RURAL]]/SUM(CHOORTbl[TOTAL RURAL]))</f>
        <v>0</v>
      </c>
      <c r="AR25" s="665">
        <f>IF(CHOORTbl[[#This Row],[ALL UNITS IN A HIGH OR HIGHEST RESOURCE AREA]]="Yes",10*CHOORTbl[[#This Row],[ % OF TOTAL RURAL FUNDING]],0)</f>
        <v>0</v>
      </c>
      <c r="AS25" s="665" cm="1">
        <f t="array" ref="AS25">INDEX(CountyScoresTbl[OOR Community Need],ROW(CHOORTbl[[#This Row],[COUNTY]])-2,1)*CHOORTbl[[#This Row],[ % OF TOTAL RURAL FUNDING]]</f>
        <v>0</v>
      </c>
      <c r="AT25" s="694" cm="1">
        <f t="array" ref="AT25">INDEX(CountyScoresTbl[OOR/ADU Total Feasibility Points Awarded],ROW(CHOORTbl[[#This Row],[COUNTY]])-2,1)*CHOORTbl[[#This Row],[ % OF TOTAL RURAL FUNDING]]</f>
        <v>0</v>
      </c>
      <c r="AU25" s="126"/>
      <c r="AV25" s="118"/>
      <c r="AW25" s="6">
        <f>IF(CHOORTbl[[#This Row],[TOTAL MFD RURAL]]=0,0,CHOORTbl[[#This Row],[TOTAL MFD RURAL]]/SUM(CHOORTbl[TOTAL MFD RURAL]))</f>
        <v>0</v>
      </c>
      <c r="AX25" s="665">
        <f>IF(CHOORTbl[[#This Row],[ALL UNITS IN A HIGH OR HIGHEST RESOURCE AREA]]="Yes",10*CHOORTbl[[#This Row],[ % OF TOTAL MFD RURAL FUNDING]],0)</f>
        <v>0</v>
      </c>
      <c r="AY25" s="665" cm="1">
        <f t="array" ref="AY25">INDEX(CountyScoresTbl[OOR Community Need],ROW(CHOORTbl[[#This Row],[COUNTY]])-2,1)*CHOORTbl[[#This Row],[ % OF TOTAL MFD RURAL FUNDING]]</f>
        <v>0</v>
      </c>
      <c r="AZ25" s="694" cm="1">
        <f t="array" ref="AZ25">INDEX(CountyScoresTbl[OOR/ADU Total Feasibility Points Awarded],ROW(CHOORTbl[[#This Row],[COUNTY]])-2,1)*CHOORTbl[[#This Row],[ % OF TOTAL MFD RURAL FUNDING]]</f>
        <v>0</v>
      </c>
      <c r="BA25" s="556"/>
      <c r="BB25" s="561">
        <f>SUM(CHOORTbl[[#This Row],[UNRESTRICTED ADF]],CHOORTbl[[#This Row],[Unrestricted Funds Requesting]])</f>
        <v>0</v>
      </c>
      <c r="BC25" s="556"/>
      <c r="BD25" s="561">
        <f>SUM(CHOORTbl[[#This Row],[MANUFACTURED ADF]],CHOORTbl[[#This Row],[Manufactured Home Funds Requesting]])</f>
        <v>0</v>
      </c>
      <c r="BE25" s="556"/>
      <c r="BF25" s="561">
        <f>SUM(CHOORTbl[[#This Row],[RURAL ADF]],CHOORTbl[[#This Row],[RURAL FUNDING REQUESTED]])</f>
        <v>0</v>
      </c>
      <c r="BG25" s="556"/>
      <c r="BH25" s="562">
        <f>SUM(CHOORTbl[[#This Row],[MFD RURAL ADF]],CHOORTbl[[#This Row],[MFD RURAL FUNDING REQUESTED]])</f>
        <v>0</v>
      </c>
    </row>
    <row r="26" spans="1:60" x14ac:dyDescent="0.35">
      <c r="A26" s="116"/>
      <c r="B26" s="5" t="s">
        <v>138</v>
      </c>
      <c r="C26" s="31" t="s">
        <v>513</v>
      </c>
      <c r="D26" s="109" t="str">
        <f>IF(SUM(CHOORTbl[[#This Row],[Unrestricted Repair Units]:[Unrestricted ADU Reconstruct Units]])=0,"",SUM(CHOORTbl[[#This Row],[Unrestricted Repair Units]:[Unrestricted ADU Reconstruct Units]]))</f>
        <v/>
      </c>
      <c r="E26" s="74" t="str">
        <f xml:space="preserve">
IF(CHOORTbl[[#This Row],[TOTAL UNRESTRICTED]]=0,"",
CHOORTbl[[#This Row],[TOTAL UNRESTRICTED]]*
IF(CH_OOR_UnrestrictedTotalRequested&lt;=5000000,1,
5000000/CH_OOR_UnrestrictedTotalRequested)
)</f>
        <v/>
      </c>
      <c r="F26" s="6" t="str">
        <f>IF(CHOORTbl[[#This Row],[ % OF TOTAL FUNDING]]=0,"",CHOORTbl[[#This Row],[ % OF TOTAL FUNDING]])</f>
        <v/>
      </c>
      <c r="G26" s="31" t="s">
        <v>513</v>
      </c>
      <c r="H26" s="109" t="str">
        <f>IF(SUM(CHOORTbl[[#This Row],[Manufactured Home Units]])=0,"",SUM(CHOORTbl[[#This Row],[Manufactured Home Units]]))</f>
        <v/>
      </c>
      <c r="I26" s="74" t="str">
        <f xml:space="preserve">
IF(CHOORTbl[[#This Row],[TOTAL MANUFACTURED]]=0,"",
CHOORTbl[[#This Row],[TOTAL MANUFACTURED]]*
IF(CH_OOR_ManufacturedTotalRequested&lt;=(5000000-E$61),1,
(5000000-E$61)/CH_OOR_ManufacturedTotalRequested)
)</f>
        <v/>
      </c>
      <c r="J26" s="6" t="str">
        <f>IF(CHOORTbl[[#This Row],[ % OF TOTAL FUNDING2]]=0,"",CHOORTbl[[#This Row],[ % OF TOTAL FUNDING2]])</f>
        <v/>
      </c>
      <c r="K26" s="31" t="s">
        <v>513</v>
      </c>
      <c r="L26" s="109" t="str">
        <f>IF(SUM(CHOORTbl[[#This Row],[RURAL AREA HOMES TO REPAIR2]:[RURAL AREA ADUS TO ADD OR RECONSTRUCT]])=0,"",SUM(CHOORTbl[[#This Row],[RURAL AREA HOMES TO REPAIR2]:[RURAL AREA ADUS TO ADD OR RECONSTRUCT]]))</f>
        <v/>
      </c>
      <c r="M26" s="74" t="str">
        <f xml:space="preserve">
IF(CHOORTbl[[#This Row],[TOTAL RURAL]]=0,"",
CHOORTbl[[#This Row],[TOTAL RURAL]]*
IF(CH_OOR_RuralTotalRequested&lt;=(5000000-E$61-I$61),1,
(5000000-E$61-I$61)/CH_OOR_RuralTotalRequested)
)</f>
        <v/>
      </c>
      <c r="N26" s="6" t="str">
        <f>IF(CHOORTbl[[#This Row],[ % OF TOTAL RURAL FUNDING]]=0,"",CHOORTbl[[#This Row],[ % OF TOTAL RURAL FUNDING]])</f>
        <v/>
      </c>
      <c r="O26" s="31" t="s">
        <v>513</v>
      </c>
      <c r="P26" s="109" t="str">
        <f>IF(SUM(CHOORTbl[[#This Row],[MFD RURAL UNITS]])=0,"",SUM(CHOORTbl[[#This Row],[MFD RURAL UNITS]]))</f>
        <v/>
      </c>
      <c r="Q26" s="74" t="str">
        <f xml:space="preserve">
IF(CHOORTbl[[#This Row],[TOTAL MFD RURAL]]=0,"",
CHOORTbl[[#This Row],[TOTAL MFD RURAL]]*
IF(CH_OOR_MFDRuralTotalRequested&lt;=(5000000-E$61-I$61-M$61),1,
(5000000-E$61-I$61-M$61)/CH_OOR_MFDRuralTotalRequested)
)</f>
        <v/>
      </c>
      <c r="R26" s="6" t="str">
        <f>IF(CHOORTbl[[#This Row],[ % OF TOTAL MFD RURAL FUNDING]]=0,"",CHOORTbl[[#This Row],[ % OF TOTAL MFD RURAL FUNDING]])</f>
        <v/>
      </c>
      <c r="S26" s="44" t="s">
        <v>513</v>
      </c>
      <c r="T26" s="116"/>
      <c r="U26" s="242"/>
      <c r="V26" s="745"/>
      <c r="W26" s="705"/>
      <c r="X26" s="242"/>
      <c r="Y26" s="242"/>
      <c r="Z26" s="242"/>
      <c r="AA26" s="118"/>
      <c r="AB26" s="6">
        <f>IF(CHOORTbl[[#This Row],[TOTAL UNRESTRICTED]]=0,0,CHOORTbl[[#This Row],[TOTAL UNRESTRICTED]]/SUM(CHOORTbl[TOTAL UNRESTRICTED]))</f>
        <v>0</v>
      </c>
      <c r="AC26" s="665">
        <f>IF(CHOORTbl[[#This Row],[ALL UNITS IN A HIGH OR HIGHEST RESOURCE AREA]]="Yes",10*CHOORTbl[[#This Row],[ % OF TOTAL FUNDING]],0)</f>
        <v>0</v>
      </c>
      <c r="AD26" s="665" cm="1">
        <f t="array" ref="AD26">INDEX(CountyScoresTbl[OOR Community Need],ROW(CHOORTbl[[#This Row],[COUNTY]])-2,1)*CHOORTbl[[#This Row],[ % OF TOTAL FUNDING]]</f>
        <v>0</v>
      </c>
      <c r="AE26" s="694" cm="1">
        <f t="array" ref="AE26">INDEX(CountyScoresTbl[OOR/ADU Total Feasibility Points Awarded],ROW(CHOORTbl[[#This Row],[COUNTY]])-2,1)*CHOORTbl[[#This Row],[ % OF TOTAL FUNDING]]</f>
        <v>0</v>
      </c>
      <c r="AF26" s="124"/>
      <c r="AG26" s="118"/>
      <c r="AH26" s="6">
        <f>IF(CHOORTbl[[#This Row],[TOTAL MANUFACTURED]]=0,0,CHOORTbl[[#This Row],[TOTAL MANUFACTURED]]/SUM(CHOORTbl[TOTAL MANUFACTURED]))</f>
        <v>0</v>
      </c>
      <c r="AI26" s="665">
        <f>IF(CHOORTbl[[#This Row],[ALL UNITS IN A HIGH OR HIGHEST RESOURCE AREA]]="Yes",10*CHOORTbl[[#This Row],[ % OF TOTAL FUNDING2]],0)</f>
        <v>0</v>
      </c>
      <c r="AJ26" s="665" cm="1">
        <f t="array" ref="AJ26">INDEX(CountyScoresTbl[OOR Community Need],ROW(CHOORTbl[[#This Row],[COUNTY]])-2,1)*CHOORTbl[[#This Row],[ % OF TOTAL FUNDING2]]</f>
        <v>0</v>
      </c>
      <c r="AK26" s="694" cm="1">
        <f t="array" ref="AK26">INDEX(CountyScoresTbl[OOR/ADU Total Feasibility Points Awarded],ROW(CHOORTbl[[#This Row],[COUNTY]])-2,1)*CHOORTbl[[#This Row],[ % OF TOTAL FUNDING2]]</f>
        <v>0</v>
      </c>
      <c r="AL26" s="124"/>
      <c r="AM26" s="119"/>
      <c r="AN26" s="119"/>
      <c r="AO26" s="119"/>
      <c r="AP26" s="118"/>
      <c r="AQ26" s="6">
        <f>IF(CHOORTbl[[#This Row],[TOTAL RURAL]]=0,0,CHOORTbl[[#This Row],[TOTAL RURAL]]/SUM(CHOORTbl[TOTAL RURAL]))</f>
        <v>0</v>
      </c>
      <c r="AR26" s="665">
        <f>IF(CHOORTbl[[#This Row],[ALL UNITS IN A HIGH OR HIGHEST RESOURCE AREA]]="Yes",10*CHOORTbl[[#This Row],[ % OF TOTAL RURAL FUNDING]],0)</f>
        <v>0</v>
      </c>
      <c r="AS26" s="665" cm="1">
        <f t="array" ref="AS26">INDEX(CountyScoresTbl[OOR Community Need],ROW(CHOORTbl[[#This Row],[COUNTY]])-2,1)*CHOORTbl[[#This Row],[ % OF TOTAL RURAL FUNDING]]</f>
        <v>0</v>
      </c>
      <c r="AT26" s="694" cm="1">
        <f t="array" ref="AT26">INDEX(CountyScoresTbl[OOR/ADU Total Feasibility Points Awarded],ROW(CHOORTbl[[#This Row],[COUNTY]])-2,1)*CHOORTbl[[#This Row],[ % OF TOTAL RURAL FUNDING]]</f>
        <v>0</v>
      </c>
      <c r="AU26" s="126"/>
      <c r="AV26" s="118"/>
      <c r="AW26" s="6">
        <f>IF(CHOORTbl[[#This Row],[TOTAL MFD RURAL]]=0,0,CHOORTbl[[#This Row],[TOTAL MFD RURAL]]/SUM(CHOORTbl[TOTAL MFD RURAL]))</f>
        <v>0</v>
      </c>
      <c r="AX26" s="665">
        <f>IF(CHOORTbl[[#This Row],[ALL UNITS IN A HIGH OR HIGHEST RESOURCE AREA]]="Yes",10*CHOORTbl[[#This Row],[ % OF TOTAL MFD RURAL FUNDING]],0)</f>
        <v>0</v>
      </c>
      <c r="AY26" s="665" cm="1">
        <f t="array" ref="AY26">INDEX(CountyScoresTbl[OOR Community Need],ROW(CHOORTbl[[#This Row],[COUNTY]])-2,1)*CHOORTbl[[#This Row],[ % OF TOTAL MFD RURAL FUNDING]]</f>
        <v>0</v>
      </c>
      <c r="AZ26" s="694" cm="1">
        <f t="array" ref="AZ26">INDEX(CountyScoresTbl[OOR/ADU Total Feasibility Points Awarded],ROW(CHOORTbl[[#This Row],[COUNTY]])-2,1)*CHOORTbl[[#This Row],[ % OF TOTAL MFD RURAL FUNDING]]</f>
        <v>0</v>
      </c>
      <c r="BA26" s="556"/>
      <c r="BB26" s="561">
        <f>SUM(CHOORTbl[[#This Row],[UNRESTRICTED ADF]],CHOORTbl[[#This Row],[Unrestricted Funds Requesting]])</f>
        <v>0</v>
      </c>
      <c r="BC26" s="556"/>
      <c r="BD26" s="561">
        <f>SUM(CHOORTbl[[#This Row],[MANUFACTURED ADF]],CHOORTbl[[#This Row],[Manufactured Home Funds Requesting]])</f>
        <v>0</v>
      </c>
      <c r="BE26" s="556"/>
      <c r="BF26" s="561">
        <f>SUM(CHOORTbl[[#This Row],[RURAL ADF]],CHOORTbl[[#This Row],[RURAL FUNDING REQUESTED]])</f>
        <v>0</v>
      </c>
      <c r="BG26" s="556"/>
      <c r="BH26" s="562">
        <f>SUM(CHOORTbl[[#This Row],[MFD RURAL ADF]],CHOORTbl[[#This Row],[MFD RURAL FUNDING REQUESTED]])</f>
        <v>0</v>
      </c>
    </row>
    <row r="27" spans="1:60" x14ac:dyDescent="0.35">
      <c r="A27" s="116"/>
      <c r="B27" s="5" t="s">
        <v>139</v>
      </c>
      <c r="C27" s="31" t="s">
        <v>513</v>
      </c>
      <c r="D27" s="109" t="str">
        <f>IF(SUM(CHOORTbl[[#This Row],[Unrestricted Repair Units]:[Unrestricted ADU Reconstruct Units]])=0,"",SUM(CHOORTbl[[#This Row],[Unrestricted Repair Units]:[Unrestricted ADU Reconstruct Units]]))</f>
        <v/>
      </c>
      <c r="E27" s="74" t="str">
        <f xml:space="preserve">
IF(CHOORTbl[[#This Row],[TOTAL UNRESTRICTED]]=0,"",
CHOORTbl[[#This Row],[TOTAL UNRESTRICTED]]*
IF(CH_OOR_UnrestrictedTotalRequested&lt;=5000000,1,
5000000/CH_OOR_UnrestrictedTotalRequested)
)</f>
        <v/>
      </c>
      <c r="F27" s="6" t="str">
        <f>IF(CHOORTbl[[#This Row],[ % OF TOTAL FUNDING]]=0,"",CHOORTbl[[#This Row],[ % OF TOTAL FUNDING]])</f>
        <v/>
      </c>
      <c r="G27" s="31" t="s">
        <v>513</v>
      </c>
      <c r="H27" s="109" t="str">
        <f>IF(SUM(CHOORTbl[[#This Row],[Manufactured Home Units]])=0,"",SUM(CHOORTbl[[#This Row],[Manufactured Home Units]]))</f>
        <v/>
      </c>
      <c r="I27" s="74" t="str">
        <f xml:space="preserve">
IF(CHOORTbl[[#This Row],[TOTAL MANUFACTURED]]=0,"",
CHOORTbl[[#This Row],[TOTAL MANUFACTURED]]*
IF(CH_OOR_ManufacturedTotalRequested&lt;=(5000000-E$61),1,
(5000000-E$61)/CH_OOR_ManufacturedTotalRequested)
)</f>
        <v/>
      </c>
      <c r="J27" s="6" t="str">
        <f>IF(CHOORTbl[[#This Row],[ % OF TOTAL FUNDING2]]=0,"",CHOORTbl[[#This Row],[ % OF TOTAL FUNDING2]])</f>
        <v/>
      </c>
      <c r="K27" s="31" t="s">
        <v>513</v>
      </c>
      <c r="L27" s="109" t="str">
        <f>IF(SUM(CHOORTbl[[#This Row],[RURAL AREA HOMES TO REPAIR2]:[RURAL AREA ADUS TO ADD OR RECONSTRUCT]])=0,"",SUM(CHOORTbl[[#This Row],[RURAL AREA HOMES TO REPAIR2]:[RURAL AREA ADUS TO ADD OR RECONSTRUCT]]))</f>
        <v/>
      </c>
      <c r="M27" s="74" t="str">
        <f xml:space="preserve">
IF(CHOORTbl[[#This Row],[TOTAL RURAL]]=0,"",
CHOORTbl[[#This Row],[TOTAL RURAL]]*
IF(CH_OOR_RuralTotalRequested&lt;=(5000000-E$61-I$61),1,
(5000000-E$61-I$61)/CH_OOR_RuralTotalRequested)
)</f>
        <v/>
      </c>
      <c r="N27" s="6" t="str">
        <f>IF(CHOORTbl[[#This Row],[ % OF TOTAL RURAL FUNDING]]=0,"",CHOORTbl[[#This Row],[ % OF TOTAL RURAL FUNDING]])</f>
        <v/>
      </c>
      <c r="O27" s="31" t="s">
        <v>513</v>
      </c>
      <c r="P27" s="109" t="str">
        <f>IF(SUM(CHOORTbl[[#This Row],[MFD RURAL UNITS]])=0,"",SUM(CHOORTbl[[#This Row],[MFD RURAL UNITS]]))</f>
        <v/>
      </c>
      <c r="Q27" s="74" t="str">
        <f xml:space="preserve">
IF(CHOORTbl[[#This Row],[TOTAL MFD RURAL]]=0,"",
CHOORTbl[[#This Row],[TOTAL MFD RURAL]]*
IF(CH_OOR_MFDRuralTotalRequested&lt;=(5000000-E$61-I$61-M$61),1,
(5000000-E$61-I$61-M$61)/CH_OOR_MFDRuralTotalRequested)
)</f>
        <v/>
      </c>
      <c r="R27" s="6" t="str">
        <f>IF(CHOORTbl[[#This Row],[ % OF TOTAL MFD RURAL FUNDING]]=0,"",CHOORTbl[[#This Row],[ % OF TOTAL MFD RURAL FUNDING]])</f>
        <v/>
      </c>
      <c r="S27" s="44" t="s">
        <v>513</v>
      </c>
      <c r="T27" s="116"/>
      <c r="U27" s="242"/>
      <c r="V27" s="745"/>
      <c r="W27" s="705"/>
      <c r="X27" s="242"/>
      <c r="Y27" s="242"/>
      <c r="Z27" s="242"/>
      <c r="AA27" s="118"/>
      <c r="AB27" s="6">
        <f>IF(CHOORTbl[[#This Row],[TOTAL UNRESTRICTED]]=0,0,CHOORTbl[[#This Row],[TOTAL UNRESTRICTED]]/SUM(CHOORTbl[TOTAL UNRESTRICTED]))</f>
        <v>0</v>
      </c>
      <c r="AC27" s="665">
        <f>IF(CHOORTbl[[#This Row],[ALL UNITS IN A HIGH OR HIGHEST RESOURCE AREA]]="Yes",10*CHOORTbl[[#This Row],[ % OF TOTAL FUNDING]],0)</f>
        <v>0</v>
      </c>
      <c r="AD27" s="665" cm="1">
        <f t="array" ref="AD27">INDEX(CountyScoresTbl[OOR Community Need],ROW(CHOORTbl[[#This Row],[COUNTY]])-2,1)*CHOORTbl[[#This Row],[ % OF TOTAL FUNDING]]</f>
        <v>0</v>
      </c>
      <c r="AE27" s="694" cm="1">
        <f t="array" ref="AE27">INDEX(CountyScoresTbl[OOR/ADU Total Feasibility Points Awarded],ROW(CHOORTbl[[#This Row],[COUNTY]])-2,1)*CHOORTbl[[#This Row],[ % OF TOTAL FUNDING]]</f>
        <v>0</v>
      </c>
      <c r="AF27" s="124"/>
      <c r="AG27" s="118"/>
      <c r="AH27" s="6">
        <f>IF(CHOORTbl[[#This Row],[TOTAL MANUFACTURED]]=0,0,CHOORTbl[[#This Row],[TOTAL MANUFACTURED]]/SUM(CHOORTbl[TOTAL MANUFACTURED]))</f>
        <v>0</v>
      </c>
      <c r="AI27" s="665">
        <f>IF(CHOORTbl[[#This Row],[ALL UNITS IN A HIGH OR HIGHEST RESOURCE AREA]]="Yes",10*CHOORTbl[[#This Row],[ % OF TOTAL FUNDING2]],0)</f>
        <v>0</v>
      </c>
      <c r="AJ27" s="665" cm="1">
        <f t="array" ref="AJ27">INDEX(CountyScoresTbl[OOR Community Need],ROW(CHOORTbl[[#This Row],[COUNTY]])-2,1)*CHOORTbl[[#This Row],[ % OF TOTAL FUNDING2]]</f>
        <v>0</v>
      </c>
      <c r="AK27" s="694" cm="1">
        <f t="array" ref="AK27">INDEX(CountyScoresTbl[OOR/ADU Total Feasibility Points Awarded],ROW(CHOORTbl[[#This Row],[COUNTY]])-2,1)*CHOORTbl[[#This Row],[ % OF TOTAL FUNDING2]]</f>
        <v>0</v>
      </c>
      <c r="AL27" s="124"/>
      <c r="AM27" s="119"/>
      <c r="AN27" s="119"/>
      <c r="AO27" s="119"/>
      <c r="AP27" s="118"/>
      <c r="AQ27" s="6">
        <f>IF(CHOORTbl[[#This Row],[TOTAL RURAL]]=0,0,CHOORTbl[[#This Row],[TOTAL RURAL]]/SUM(CHOORTbl[TOTAL RURAL]))</f>
        <v>0</v>
      </c>
      <c r="AR27" s="665">
        <f>IF(CHOORTbl[[#This Row],[ALL UNITS IN A HIGH OR HIGHEST RESOURCE AREA]]="Yes",10*CHOORTbl[[#This Row],[ % OF TOTAL RURAL FUNDING]],0)</f>
        <v>0</v>
      </c>
      <c r="AS27" s="665" cm="1">
        <f t="array" ref="AS27">INDEX(CountyScoresTbl[OOR Community Need],ROW(CHOORTbl[[#This Row],[COUNTY]])-2,1)*CHOORTbl[[#This Row],[ % OF TOTAL RURAL FUNDING]]</f>
        <v>0</v>
      </c>
      <c r="AT27" s="694" cm="1">
        <f t="array" ref="AT27">INDEX(CountyScoresTbl[OOR/ADU Total Feasibility Points Awarded],ROW(CHOORTbl[[#This Row],[COUNTY]])-2,1)*CHOORTbl[[#This Row],[ % OF TOTAL RURAL FUNDING]]</f>
        <v>0</v>
      </c>
      <c r="AU27" s="126"/>
      <c r="AV27" s="118"/>
      <c r="AW27" s="6">
        <f>IF(CHOORTbl[[#This Row],[TOTAL MFD RURAL]]=0,0,CHOORTbl[[#This Row],[TOTAL MFD RURAL]]/SUM(CHOORTbl[TOTAL MFD RURAL]))</f>
        <v>0</v>
      </c>
      <c r="AX27" s="665">
        <f>IF(CHOORTbl[[#This Row],[ALL UNITS IN A HIGH OR HIGHEST RESOURCE AREA]]="Yes",10*CHOORTbl[[#This Row],[ % OF TOTAL MFD RURAL FUNDING]],0)</f>
        <v>0</v>
      </c>
      <c r="AY27" s="665" cm="1">
        <f t="array" ref="AY27">INDEX(CountyScoresTbl[OOR Community Need],ROW(CHOORTbl[[#This Row],[COUNTY]])-2,1)*CHOORTbl[[#This Row],[ % OF TOTAL MFD RURAL FUNDING]]</f>
        <v>0</v>
      </c>
      <c r="AZ27" s="694" cm="1">
        <f t="array" ref="AZ27">INDEX(CountyScoresTbl[OOR/ADU Total Feasibility Points Awarded],ROW(CHOORTbl[[#This Row],[COUNTY]])-2,1)*CHOORTbl[[#This Row],[ % OF TOTAL MFD RURAL FUNDING]]</f>
        <v>0</v>
      </c>
      <c r="BA27" s="556"/>
      <c r="BB27" s="561">
        <f>SUM(CHOORTbl[[#This Row],[UNRESTRICTED ADF]],CHOORTbl[[#This Row],[Unrestricted Funds Requesting]])</f>
        <v>0</v>
      </c>
      <c r="BC27" s="556"/>
      <c r="BD27" s="561">
        <f>SUM(CHOORTbl[[#This Row],[MANUFACTURED ADF]],CHOORTbl[[#This Row],[Manufactured Home Funds Requesting]])</f>
        <v>0</v>
      </c>
      <c r="BE27" s="556"/>
      <c r="BF27" s="561">
        <f>SUM(CHOORTbl[[#This Row],[RURAL ADF]],CHOORTbl[[#This Row],[RURAL FUNDING REQUESTED]])</f>
        <v>0</v>
      </c>
      <c r="BG27" s="556"/>
      <c r="BH27" s="562">
        <f>SUM(CHOORTbl[[#This Row],[MFD RURAL ADF]],CHOORTbl[[#This Row],[MFD RURAL FUNDING REQUESTED]])</f>
        <v>0</v>
      </c>
    </row>
    <row r="28" spans="1:60" x14ac:dyDescent="0.35">
      <c r="A28" s="116"/>
      <c r="B28" s="5" t="s">
        <v>140</v>
      </c>
      <c r="C28" s="31" t="s">
        <v>513</v>
      </c>
      <c r="D28" s="109" t="str">
        <f>IF(SUM(CHOORTbl[[#This Row],[Unrestricted Repair Units]:[Unrestricted ADU Reconstruct Units]])=0,"",SUM(CHOORTbl[[#This Row],[Unrestricted Repair Units]:[Unrestricted ADU Reconstruct Units]]))</f>
        <v/>
      </c>
      <c r="E28" s="74" t="str">
        <f xml:space="preserve">
IF(CHOORTbl[[#This Row],[TOTAL UNRESTRICTED]]=0,"",
CHOORTbl[[#This Row],[TOTAL UNRESTRICTED]]*
IF(CH_OOR_UnrestrictedTotalRequested&lt;=5000000,1,
5000000/CH_OOR_UnrestrictedTotalRequested)
)</f>
        <v/>
      </c>
      <c r="F28" s="6" t="str">
        <f>IF(CHOORTbl[[#This Row],[ % OF TOTAL FUNDING]]=0,"",CHOORTbl[[#This Row],[ % OF TOTAL FUNDING]])</f>
        <v/>
      </c>
      <c r="G28" s="31" t="s">
        <v>513</v>
      </c>
      <c r="H28" s="109" t="str">
        <f>IF(SUM(CHOORTbl[[#This Row],[Manufactured Home Units]])=0,"",SUM(CHOORTbl[[#This Row],[Manufactured Home Units]]))</f>
        <v/>
      </c>
      <c r="I28" s="74" t="str">
        <f xml:space="preserve">
IF(CHOORTbl[[#This Row],[TOTAL MANUFACTURED]]=0,"",
CHOORTbl[[#This Row],[TOTAL MANUFACTURED]]*
IF(CH_OOR_ManufacturedTotalRequested&lt;=(5000000-E$61),1,
(5000000-E$61)/CH_OOR_ManufacturedTotalRequested)
)</f>
        <v/>
      </c>
      <c r="J28" s="6" t="str">
        <f>IF(CHOORTbl[[#This Row],[ % OF TOTAL FUNDING2]]=0,"",CHOORTbl[[#This Row],[ % OF TOTAL FUNDING2]])</f>
        <v/>
      </c>
      <c r="K28" s="31" t="s">
        <v>513</v>
      </c>
      <c r="L28" s="109" t="str">
        <f>IF(SUM(CHOORTbl[[#This Row],[RURAL AREA HOMES TO REPAIR2]:[RURAL AREA ADUS TO ADD OR RECONSTRUCT]])=0,"",SUM(CHOORTbl[[#This Row],[RURAL AREA HOMES TO REPAIR2]:[RURAL AREA ADUS TO ADD OR RECONSTRUCT]]))</f>
        <v/>
      </c>
      <c r="M28" s="74" t="str">
        <f xml:space="preserve">
IF(CHOORTbl[[#This Row],[TOTAL RURAL]]=0,"",
CHOORTbl[[#This Row],[TOTAL RURAL]]*
IF(CH_OOR_RuralTotalRequested&lt;=(5000000-E$61-I$61),1,
(5000000-E$61-I$61)/CH_OOR_RuralTotalRequested)
)</f>
        <v/>
      </c>
      <c r="N28" s="6" t="str">
        <f>IF(CHOORTbl[[#This Row],[ % OF TOTAL RURAL FUNDING]]=0,"",CHOORTbl[[#This Row],[ % OF TOTAL RURAL FUNDING]])</f>
        <v/>
      </c>
      <c r="O28" s="31" t="s">
        <v>513</v>
      </c>
      <c r="P28" s="109" t="str">
        <f>IF(SUM(CHOORTbl[[#This Row],[MFD RURAL UNITS]])=0,"",SUM(CHOORTbl[[#This Row],[MFD RURAL UNITS]]))</f>
        <v/>
      </c>
      <c r="Q28" s="74" t="str">
        <f xml:space="preserve">
IF(CHOORTbl[[#This Row],[TOTAL MFD RURAL]]=0,"",
CHOORTbl[[#This Row],[TOTAL MFD RURAL]]*
IF(CH_OOR_MFDRuralTotalRequested&lt;=(5000000-E$61-I$61-M$61),1,
(5000000-E$61-I$61-M$61)/CH_OOR_MFDRuralTotalRequested)
)</f>
        <v/>
      </c>
      <c r="R28" s="6" t="str">
        <f>IF(CHOORTbl[[#This Row],[ % OF TOTAL MFD RURAL FUNDING]]=0,"",CHOORTbl[[#This Row],[ % OF TOTAL MFD RURAL FUNDING]])</f>
        <v/>
      </c>
      <c r="S28" s="44" t="s">
        <v>513</v>
      </c>
      <c r="T28" s="116"/>
      <c r="U28" s="242"/>
      <c r="V28" s="745"/>
      <c r="W28" s="705"/>
      <c r="X28" s="242"/>
      <c r="Y28" s="242"/>
      <c r="Z28" s="242"/>
      <c r="AA28" s="118"/>
      <c r="AB28" s="6">
        <f>IF(CHOORTbl[[#This Row],[TOTAL UNRESTRICTED]]=0,0,CHOORTbl[[#This Row],[TOTAL UNRESTRICTED]]/SUM(CHOORTbl[TOTAL UNRESTRICTED]))</f>
        <v>0</v>
      </c>
      <c r="AC28" s="665">
        <f>IF(CHOORTbl[[#This Row],[ALL UNITS IN A HIGH OR HIGHEST RESOURCE AREA]]="Yes",10*CHOORTbl[[#This Row],[ % OF TOTAL FUNDING]],0)</f>
        <v>0</v>
      </c>
      <c r="AD28" s="665" cm="1">
        <f t="array" ref="AD28">INDEX(CountyScoresTbl[OOR Community Need],ROW(CHOORTbl[[#This Row],[COUNTY]])-2,1)*CHOORTbl[[#This Row],[ % OF TOTAL FUNDING]]</f>
        <v>0</v>
      </c>
      <c r="AE28" s="694" cm="1">
        <f t="array" ref="AE28">INDEX(CountyScoresTbl[OOR/ADU Total Feasibility Points Awarded],ROW(CHOORTbl[[#This Row],[COUNTY]])-2,1)*CHOORTbl[[#This Row],[ % OF TOTAL FUNDING]]</f>
        <v>0</v>
      </c>
      <c r="AF28" s="124"/>
      <c r="AG28" s="118"/>
      <c r="AH28" s="6">
        <f>IF(CHOORTbl[[#This Row],[TOTAL MANUFACTURED]]=0,0,CHOORTbl[[#This Row],[TOTAL MANUFACTURED]]/SUM(CHOORTbl[TOTAL MANUFACTURED]))</f>
        <v>0</v>
      </c>
      <c r="AI28" s="665">
        <f>IF(CHOORTbl[[#This Row],[ALL UNITS IN A HIGH OR HIGHEST RESOURCE AREA]]="Yes",10*CHOORTbl[[#This Row],[ % OF TOTAL FUNDING2]],0)</f>
        <v>0</v>
      </c>
      <c r="AJ28" s="665" cm="1">
        <f t="array" ref="AJ28">INDEX(CountyScoresTbl[OOR Community Need],ROW(CHOORTbl[[#This Row],[COUNTY]])-2,1)*CHOORTbl[[#This Row],[ % OF TOTAL FUNDING2]]</f>
        <v>0</v>
      </c>
      <c r="AK28" s="694" cm="1">
        <f t="array" ref="AK28">INDEX(CountyScoresTbl[OOR/ADU Total Feasibility Points Awarded],ROW(CHOORTbl[[#This Row],[COUNTY]])-2,1)*CHOORTbl[[#This Row],[ % OF TOTAL FUNDING2]]</f>
        <v>0</v>
      </c>
      <c r="AL28" s="124"/>
      <c r="AM28" s="119"/>
      <c r="AN28" s="119"/>
      <c r="AO28" s="119"/>
      <c r="AP28" s="118"/>
      <c r="AQ28" s="6">
        <f>IF(CHOORTbl[[#This Row],[TOTAL RURAL]]=0,0,CHOORTbl[[#This Row],[TOTAL RURAL]]/SUM(CHOORTbl[TOTAL RURAL]))</f>
        <v>0</v>
      </c>
      <c r="AR28" s="665">
        <f>IF(CHOORTbl[[#This Row],[ALL UNITS IN A HIGH OR HIGHEST RESOURCE AREA]]="Yes",10*CHOORTbl[[#This Row],[ % OF TOTAL RURAL FUNDING]],0)</f>
        <v>0</v>
      </c>
      <c r="AS28" s="665" cm="1">
        <f t="array" ref="AS28">INDEX(CountyScoresTbl[OOR Community Need],ROW(CHOORTbl[[#This Row],[COUNTY]])-2,1)*CHOORTbl[[#This Row],[ % OF TOTAL RURAL FUNDING]]</f>
        <v>0</v>
      </c>
      <c r="AT28" s="694" cm="1">
        <f t="array" ref="AT28">INDEX(CountyScoresTbl[OOR/ADU Total Feasibility Points Awarded],ROW(CHOORTbl[[#This Row],[COUNTY]])-2,1)*CHOORTbl[[#This Row],[ % OF TOTAL RURAL FUNDING]]</f>
        <v>0</v>
      </c>
      <c r="AU28" s="126"/>
      <c r="AV28" s="118"/>
      <c r="AW28" s="6">
        <f>IF(CHOORTbl[[#This Row],[TOTAL MFD RURAL]]=0,0,CHOORTbl[[#This Row],[TOTAL MFD RURAL]]/SUM(CHOORTbl[TOTAL MFD RURAL]))</f>
        <v>0</v>
      </c>
      <c r="AX28" s="665">
        <f>IF(CHOORTbl[[#This Row],[ALL UNITS IN A HIGH OR HIGHEST RESOURCE AREA]]="Yes",10*CHOORTbl[[#This Row],[ % OF TOTAL MFD RURAL FUNDING]],0)</f>
        <v>0</v>
      </c>
      <c r="AY28" s="665" cm="1">
        <f t="array" ref="AY28">INDEX(CountyScoresTbl[OOR Community Need],ROW(CHOORTbl[[#This Row],[COUNTY]])-2,1)*CHOORTbl[[#This Row],[ % OF TOTAL MFD RURAL FUNDING]]</f>
        <v>0</v>
      </c>
      <c r="AZ28" s="694" cm="1">
        <f t="array" ref="AZ28">INDEX(CountyScoresTbl[OOR/ADU Total Feasibility Points Awarded],ROW(CHOORTbl[[#This Row],[COUNTY]])-2,1)*CHOORTbl[[#This Row],[ % OF TOTAL MFD RURAL FUNDING]]</f>
        <v>0</v>
      </c>
      <c r="BA28" s="556"/>
      <c r="BB28" s="561">
        <f>SUM(CHOORTbl[[#This Row],[UNRESTRICTED ADF]],CHOORTbl[[#This Row],[Unrestricted Funds Requesting]])</f>
        <v>0</v>
      </c>
      <c r="BC28" s="556"/>
      <c r="BD28" s="561">
        <f>SUM(CHOORTbl[[#This Row],[MANUFACTURED ADF]],CHOORTbl[[#This Row],[Manufactured Home Funds Requesting]])</f>
        <v>0</v>
      </c>
      <c r="BE28" s="556"/>
      <c r="BF28" s="561">
        <f>SUM(CHOORTbl[[#This Row],[RURAL ADF]],CHOORTbl[[#This Row],[RURAL FUNDING REQUESTED]])</f>
        <v>0</v>
      </c>
      <c r="BG28" s="556"/>
      <c r="BH28" s="562">
        <f>SUM(CHOORTbl[[#This Row],[MFD RURAL ADF]],CHOORTbl[[#This Row],[MFD RURAL FUNDING REQUESTED]])</f>
        <v>0</v>
      </c>
    </row>
    <row r="29" spans="1:60" x14ac:dyDescent="0.35">
      <c r="A29" s="116"/>
      <c r="B29" s="5" t="s">
        <v>141</v>
      </c>
      <c r="C29" s="31" t="s">
        <v>513</v>
      </c>
      <c r="D29" s="109" t="str">
        <f>IF(SUM(CHOORTbl[[#This Row],[Unrestricted Repair Units]:[Unrestricted ADU Reconstruct Units]])=0,"",SUM(CHOORTbl[[#This Row],[Unrestricted Repair Units]:[Unrestricted ADU Reconstruct Units]]))</f>
        <v/>
      </c>
      <c r="E29" s="74" t="str">
        <f xml:space="preserve">
IF(CHOORTbl[[#This Row],[TOTAL UNRESTRICTED]]=0,"",
CHOORTbl[[#This Row],[TOTAL UNRESTRICTED]]*
IF(CH_OOR_UnrestrictedTotalRequested&lt;=5000000,1,
5000000/CH_OOR_UnrestrictedTotalRequested)
)</f>
        <v/>
      </c>
      <c r="F29" s="6" t="str">
        <f>IF(CHOORTbl[[#This Row],[ % OF TOTAL FUNDING]]=0,"",CHOORTbl[[#This Row],[ % OF TOTAL FUNDING]])</f>
        <v/>
      </c>
      <c r="G29" s="31" t="s">
        <v>513</v>
      </c>
      <c r="H29" s="109" t="str">
        <f>IF(SUM(CHOORTbl[[#This Row],[Manufactured Home Units]])=0,"",SUM(CHOORTbl[[#This Row],[Manufactured Home Units]]))</f>
        <v/>
      </c>
      <c r="I29" s="74" t="str">
        <f xml:space="preserve">
IF(CHOORTbl[[#This Row],[TOTAL MANUFACTURED]]=0,"",
CHOORTbl[[#This Row],[TOTAL MANUFACTURED]]*
IF(CH_OOR_ManufacturedTotalRequested&lt;=(5000000-E$61),1,
(5000000-E$61)/CH_OOR_ManufacturedTotalRequested)
)</f>
        <v/>
      </c>
      <c r="J29" s="6" t="str">
        <f>IF(CHOORTbl[[#This Row],[ % OF TOTAL FUNDING2]]=0,"",CHOORTbl[[#This Row],[ % OF TOTAL FUNDING2]])</f>
        <v/>
      </c>
      <c r="K29" s="31" t="s">
        <v>513</v>
      </c>
      <c r="L29" s="109" t="str">
        <f>IF(SUM(CHOORTbl[[#This Row],[RURAL AREA HOMES TO REPAIR2]:[RURAL AREA ADUS TO ADD OR RECONSTRUCT]])=0,"",SUM(CHOORTbl[[#This Row],[RURAL AREA HOMES TO REPAIR2]:[RURAL AREA ADUS TO ADD OR RECONSTRUCT]]))</f>
        <v/>
      </c>
      <c r="M29" s="74" t="str">
        <f xml:space="preserve">
IF(CHOORTbl[[#This Row],[TOTAL RURAL]]=0,"",
CHOORTbl[[#This Row],[TOTAL RURAL]]*
IF(CH_OOR_RuralTotalRequested&lt;=(5000000-E$61-I$61),1,
(5000000-E$61-I$61)/CH_OOR_RuralTotalRequested)
)</f>
        <v/>
      </c>
      <c r="N29" s="6" t="str">
        <f>IF(CHOORTbl[[#This Row],[ % OF TOTAL RURAL FUNDING]]=0,"",CHOORTbl[[#This Row],[ % OF TOTAL RURAL FUNDING]])</f>
        <v/>
      </c>
      <c r="O29" s="31" t="s">
        <v>513</v>
      </c>
      <c r="P29" s="109" t="str">
        <f>IF(SUM(CHOORTbl[[#This Row],[MFD RURAL UNITS]])=0,"",SUM(CHOORTbl[[#This Row],[MFD RURAL UNITS]]))</f>
        <v/>
      </c>
      <c r="Q29" s="74" t="str">
        <f xml:space="preserve">
IF(CHOORTbl[[#This Row],[TOTAL MFD RURAL]]=0,"",
CHOORTbl[[#This Row],[TOTAL MFD RURAL]]*
IF(CH_OOR_MFDRuralTotalRequested&lt;=(5000000-E$61-I$61-M$61),1,
(5000000-E$61-I$61-M$61)/CH_OOR_MFDRuralTotalRequested)
)</f>
        <v/>
      </c>
      <c r="R29" s="6" t="str">
        <f>IF(CHOORTbl[[#This Row],[ % OF TOTAL MFD RURAL FUNDING]]=0,"",CHOORTbl[[#This Row],[ % OF TOTAL MFD RURAL FUNDING]])</f>
        <v/>
      </c>
      <c r="S29" s="44" t="s">
        <v>513</v>
      </c>
      <c r="T29" s="116"/>
      <c r="U29" s="242"/>
      <c r="V29" s="745"/>
      <c r="W29" s="705"/>
      <c r="X29" s="242"/>
      <c r="Y29" s="242"/>
      <c r="Z29" s="242"/>
      <c r="AA29" s="118"/>
      <c r="AB29" s="6">
        <f>IF(CHOORTbl[[#This Row],[TOTAL UNRESTRICTED]]=0,0,CHOORTbl[[#This Row],[TOTAL UNRESTRICTED]]/SUM(CHOORTbl[TOTAL UNRESTRICTED]))</f>
        <v>0</v>
      </c>
      <c r="AC29" s="665">
        <f>IF(CHOORTbl[[#This Row],[ALL UNITS IN A HIGH OR HIGHEST RESOURCE AREA]]="Yes",10*CHOORTbl[[#This Row],[ % OF TOTAL FUNDING]],0)</f>
        <v>0</v>
      </c>
      <c r="AD29" s="665" cm="1">
        <f t="array" ref="AD29">INDEX(CountyScoresTbl[OOR Community Need],ROW(CHOORTbl[[#This Row],[COUNTY]])-2,1)*CHOORTbl[[#This Row],[ % OF TOTAL FUNDING]]</f>
        <v>0</v>
      </c>
      <c r="AE29" s="694" cm="1">
        <f t="array" ref="AE29">INDEX(CountyScoresTbl[OOR/ADU Total Feasibility Points Awarded],ROW(CHOORTbl[[#This Row],[COUNTY]])-2,1)*CHOORTbl[[#This Row],[ % OF TOTAL FUNDING]]</f>
        <v>0</v>
      </c>
      <c r="AF29" s="124"/>
      <c r="AG29" s="118"/>
      <c r="AH29" s="6">
        <f>IF(CHOORTbl[[#This Row],[TOTAL MANUFACTURED]]=0,0,CHOORTbl[[#This Row],[TOTAL MANUFACTURED]]/SUM(CHOORTbl[TOTAL MANUFACTURED]))</f>
        <v>0</v>
      </c>
      <c r="AI29" s="665">
        <f>IF(CHOORTbl[[#This Row],[ALL UNITS IN A HIGH OR HIGHEST RESOURCE AREA]]="Yes",10*CHOORTbl[[#This Row],[ % OF TOTAL FUNDING2]],0)</f>
        <v>0</v>
      </c>
      <c r="AJ29" s="665" cm="1">
        <f t="array" ref="AJ29">INDEX(CountyScoresTbl[OOR Community Need],ROW(CHOORTbl[[#This Row],[COUNTY]])-2,1)*CHOORTbl[[#This Row],[ % OF TOTAL FUNDING2]]</f>
        <v>0</v>
      </c>
      <c r="AK29" s="694" cm="1">
        <f t="array" ref="AK29">INDEX(CountyScoresTbl[OOR/ADU Total Feasibility Points Awarded],ROW(CHOORTbl[[#This Row],[COUNTY]])-2,1)*CHOORTbl[[#This Row],[ % OF TOTAL FUNDING2]]</f>
        <v>0</v>
      </c>
      <c r="AL29" s="124"/>
      <c r="AM29" s="119"/>
      <c r="AN29" s="119"/>
      <c r="AO29" s="119"/>
      <c r="AP29" s="118"/>
      <c r="AQ29" s="6">
        <f>IF(CHOORTbl[[#This Row],[TOTAL RURAL]]=0,0,CHOORTbl[[#This Row],[TOTAL RURAL]]/SUM(CHOORTbl[TOTAL RURAL]))</f>
        <v>0</v>
      </c>
      <c r="AR29" s="665">
        <f>IF(CHOORTbl[[#This Row],[ALL UNITS IN A HIGH OR HIGHEST RESOURCE AREA]]="Yes",10*CHOORTbl[[#This Row],[ % OF TOTAL RURAL FUNDING]],0)</f>
        <v>0</v>
      </c>
      <c r="AS29" s="665" cm="1">
        <f t="array" ref="AS29">INDEX(CountyScoresTbl[OOR Community Need],ROW(CHOORTbl[[#This Row],[COUNTY]])-2,1)*CHOORTbl[[#This Row],[ % OF TOTAL RURAL FUNDING]]</f>
        <v>0</v>
      </c>
      <c r="AT29" s="694" cm="1">
        <f t="array" ref="AT29">INDEX(CountyScoresTbl[OOR/ADU Total Feasibility Points Awarded],ROW(CHOORTbl[[#This Row],[COUNTY]])-2,1)*CHOORTbl[[#This Row],[ % OF TOTAL RURAL FUNDING]]</f>
        <v>0</v>
      </c>
      <c r="AU29" s="126"/>
      <c r="AV29" s="118"/>
      <c r="AW29" s="6">
        <f>IF(CHOORTbl[[#This Row],[TOTAL MFD RURAL]]=0,0,CHOORTbl[[#This Row],[TOTAL MFD RURAL]]/SUM(CHOORTbl[TOTAL MFD RURAL]))</f>
        <v>0</v>
      </c>
      <c r="AX29" s="665">
        <f>IF(CHOORTbl[[#This Row],[ALL UNITS IN A HIGH OR HIGHEST RESOURCE AREA]]="Yes",10*CHOORTbl[[#This Row],[ % OF TOTAL MFD RURAL FUNDING]],0)</f>
        <v>0</v>
      </c>
      <c r="AY29" s="665" cm="1">
        <f t="array" ref="AY29">INDEX(CountyScoresTbl[OOR Community Need],ROW(CHOORTbl[[#This Row],[COUNTY]])-2,1)*CHOORTbl[[#This Row],[ % OF TOTAL MFD RURAL FUNDING]]</f>
        <v>0</v>
      </c>
      <c r="AZ29" s="694" cm="1">
        <f t="array" ref="AZ29">INDEX(CountyScoresTbl[OOR/ADU Total Feasibility Points Awarded],ROW(CHOORTbl[[#This Row],[COUNTY]])-2,1)*CHOORTbl[[#This Row],[ % OF TOTAL MFD RURAL FUNDING]]</f>
        <v>0</v>
      </c>
      <c r="BA29" s="556"/>
      <c r="BB29" s="561">
        <f>SUM(CHOORTbl[[#This Row],[UNRESTRICTED ADF]],CHOORTbl[[#This Row],[Unrestricted Funds Requesting]])</f>
        <v>0</v>
      </c>
      <c r="BC29" s="556"/>
      <c r="BD29" s="561">
        <f>SUM(CHOORTbl[[#This Row],[MANUFACTURED ADF]],CHOORTbl[[#This Row],[Manufactured Home Funds Requesting]])</f>
        <v>0</v>
      </c>
      <c r="BE29" s="556"/>
      <c r="BF29" s="561">
        <f>SUM(CHOORTbl[[#This Row],[RURAL ADF]],CHOORTbl[[#This Row],[RURAL FUNDING REQUESTED]])</f>
        <v>0</v>
      </c>
      <c r="BG29" s="556"/>
      <c r="BH29" s="562">
        <f>SUM(CHOORTbl[[#This Row],[MFD RURAL ADF]],CHOORTbl[[#This Row],[MFD RURAL FUNDING REQUESTED]])</f>
        <v>0</v>
      </c>
    </row>
    <row r="30" spans="1:60" x14ac:dyDescent="0.35">
      <c r="A30" s="115"/>
      <c r="B30" s="5" t="s">
        <v>142</v>
      </c>
      <c r="C30" s="31" t="s">
        <v>513</v>
      </c>
      <c r="D30" s="109" t="str">
        <f>IF(SUM(CHOORTbl[[#This Row],[Unrestricted Repair Units]:[Unrestricted ADU Reconstruct Units]])=0,"",SUM(CHOORTbl[[#This Row],[Unrestricted Repair Units]:[Unrestricted ADU Reconstruct Units]]))</f>
        <v/>
      </c>
      <c r="E30" s="74" t="str">
        <f xml:space="preserve">
IF(CHOORTbl[[#This Row],[TOTAL UNRESTRICTED]]=0,"",
CHOORTbl[[#This Row],[TOTAL UNRESTRICTED]]*
IF(CH_OOR_UnrestrictedTotalRequested&lt;=5000000,1,
5000000/CH_OOR_UnrestrictedTotalRequested)
)</f>
        <v/>
      </c>
      <c r="F30" s="6" t="str">
        <f>IF(CHOORTbl[[#This Row],[ % OF TOTAL FUNDING]]=0,"",CHOORTbl[[#This Row],[ % OF TOTAL FUNDING]])</f>
        <v/>
      </c>
      <c r="G30" s="31" t="s">
        <v>513</v>
      </c>
      <c r="H30" s="109" t="str">
        <f>IF(SUM(CHOORTbl[[#This Row],[Manufactured Home Units]])=0,"",SUM(CHOORTbl[[#This Row],[Manufactured Home Units]]))</f>
        <v/>
      </c>
      <c r="I30" s="74" t="str">
        <f xml:space="preserve">
IF(CHOORTbl[[#This Row],[TOTAL MANUFACTURED]]=0,"",
CHOORTbl[[#This Row],[TOTAL MANUFACTURED]]*
IF(CH_OOR_ManufacturedTotalRequested&lt;=(5000000-E$61),1,
(5000000-E$61)/CH_OOR_ManufacturedTotalRequested)
)</f>
        <v/>
      </c>
      <c r="J30" s="6" t="str">
        <f>IF(CHOORTbl[[#This Row],[ % OF TOTAL FUNDING2]]=0,"",CHOORTbl[[#This Row],[ % OF TOTAL FUNDING2]])</f>
        <v/>
      </c>
      <c r="K30" s="31" t="s">
        <v>513</v>
      </c>
      <c r="L30" s="109" t="str">
        <f>IF(SUM(CHOORTbl[[#This Row],[RURAL AREA HOMES TO REPAIR2]:[RURAL AREA ADUS TO ADD OR RECONSTRUCT]])=0,"",SUM(CHOORTbl[[#This Row],[RURAL AREA HOMES TO REPAIR2]:[RURAL AREA ADUS TO ADD OR RECONSTRUCT]]))</f>
        <v/>
      </c>
      <c r="M30" s="74" t="str">
        <f xml:space="preserve">
IF(CHOORTbl[[#This Row],[TOTAL RURAL]]=0,"",
CHOORTbl[[#This Row],[TOTAL RURAL]]*
IF(CH_OOR_RuralTotalRequested&lt;=(5000000-E$61-I$61),1,
(5000000-E$61-I$61)/CH_OOR_RuralTotalRequested)
)</f>
        <v/>
      </c>
      <c r="N30" s="6" t="str">
        <f>IF(CHOORTbl[[#This Row],[ % OF TOTAL RURAL FUNDING]]=0,"",CHOORTbl[[#This Row],[ % OF TOTAL RURAL FUNDING]])</f>
        <v/>
      </c>
      <c r="O30" s="31" t="s">
        <v>513</v>
      </c>
      <c r="P30" s="109" t="str">
        <f>IF(SUM(CHOORTbl[[#This Row],[MFD RURAL UNITS]])=0,"",SUM(CHOORTbl[[#This Row],[MFD RURAL UNITS]]))</f>
        <v/>
      </c>
      <c r="Q30" s="74" t="str">
        <f xml:space="preserve">
IF(CHOORTbl[[#This Row],[TOTAL MFD RURAL]]=0,"",
CHOORTbl[[#This Row],[TOTAL MFD RURAL]]*
IF(CH_OOR_MFDRuralTotalRequested&lt;=(5000000-E$61-I$61-M$61),1,
(5000000-E$61-I$61-M$61)/CH_OOR_MFDRuralTotalRequested)
)</f>
        <v/>
      </c>
      <c r="R30" s="6" t="str">
        <f>IF(CHOORTbl[[#This Row],[ % OF TOTAL MFD RURAL FUNDING]]=0,"",CHOORTbl[[#This Row],[ % OF TOTAL MFD RURAL FUNDING]])</f>
        <v/>
      </c>
      <c r="S30" s="44" t="s">
        <v>513</v>
      </c>
      <c r="T30" s="116"/>
      <c r="U30" s="242"/>
      <c r="V30" s="745"/>
      <c r="W30" s="705"/>
      <c r="X30" s="242"/>
      <c r="Y30" s="242"/>
      <c r="Z30" s="242"/>
      <c r="AA30" s="118"/>
      <c r="AB30" s="6">
        <f>IF(CHOORTbl[[#This Row],[TOTAL UNRESTRICTED]]=0,0,CHOORTbl[[#This Row],[TOTAL UNRESTRICTED]]/SUM(CHOORTbl[TOTAL UNRESTRICTED]))</f>
        <v>0</v>
      </c>
      <c r="AC30" s="665">
        <f>IF(CHOORTbl[[#This Row],[ALL UNITS IN A HIGH OR HIGHEST RESOURCE AREA]]="Yes",10*CHOORTbl[[#This Row],[ % OF TOTAL FUNDING]],0)</f>
        <v>0</v>
      </c>
      <c r="AD30" s="665" cm="1">
        <f t="array" ref="AD30">INDEX(CountyScoresTbl[OOR Community Need],ROW(CHOORTbl[[#This Row],[COUNTY]])-2,1)*CHOORTbl[[#This Row],[ % OF TOTAL FUNDING]]</f>
        <v>0</v>
      </c>
      <c r="AE30" s="694" cm="1">
        <f t="array" ref="AE30">INDEX(CountyScoresTbl[OOR/ADU Total Feasibility Points Awarded],ROW(CHOORTbl[[#This Row],[COUNTY]])-2,1)*CHOORTbl[[#This Row],[ % OF TOTAL FUNDING]]</f>
        <v>0</v>
      </c>
      <c r="AF30" s="123"/>
      <c r="AG30" s="118"/>
      <c r="AH30" s="6">
        <f>IF(CHOORTbl[[#This Row],[TOTAL MANUFACTURED]]=0,0,CHOORTbl[[#This Row],[TOTAL MANUFACTURED]]/SUM(CHOORTbl[TOTAL MANUFACTURED]))</f>
        <v>0</v>
      </c>
      <c r="AI30" s="665">
        <f>IF(CHOORTbl[[#This Row],[ALL UNITS IN A HIGH OR HIGHEST RESOURCE AREA]]="Yes",10*CHOORTbl[[#This Row],[ % OF TOTAL FUNDING2]],0)</f>
        <v>0</v>
      </c>
      <c r="AJ30" s="665" cm="1">
        <f t="array" ref="AJ30">INDEX(CountyScoresTbl[OOR Community Need],ROW(CHOORTbl[[#This Row],[COUNTY]])-2,1)*CHOORTbl[[#This Row],[ % OF TOTAL FUNDING2]]</f>
        <v>0</v>
      </c>
      <c r="AK30" s="694" cm="1">
        <f t="array" ref="AK30">INDEX(CountyScoresTbl[OOR/ADU Total Feasibility Points Awarded],ROW(CHOORTbl[[#This Row],[COUNTY]])-2,1)*CHOORTbl[[#This Row],[ % OF TOTAL FUNDING2]]</f>
        <v>0</v>
      </c>
      <c r="AL30" s="123"/>
      <c r="AM30" s="117"/>
      <c r="AN30" s="117"/>
      <c r="AO30" s="117"/>
      <c r="AP30" s="118"/>
      <c r="AQ30" s="6">
        <f>IF(CHOORTbl[[#This Row],[TOTAL RURAL]]=0,0,CHOORTbl[[#This Row],[TOTAL RURAL]]/SUM(CHOORTbl[TOTAL RURAL]))</f>
        <v>0</v>
      </c>
      <c r="AR30" s="665">
        <f>IF(CHOORTbl[[#This Row],[ALL UNITS IN A HIGH OR HIGHEST RESOURCE AREA]]="Yes",10*CHOORTbl[[#This Row],[ % OF TOTAL RURAL FUNDING]],0)</f>
        <v>0</v>
      </c>
      <c r="AS30" s="665" cm="1">
        <f t="array" ref="AS30">INDEX(CountyScoresTbl[OOR Community Need],ROW(CHOORTbl[[#This Row],[COUNTY]])-2,1)*CHOORTbl[[#This Row],[ % OF TOTAL RURAL FUNDING]]</f>
        <v>0</v>
      </c>
      <c r="AT30" s="694" cm="1">
        <f t="array" ref="AT30">INDEX(CountyScoresTbl[OOR/ADU Total Feasibility Points Awarded],ROW(CHOORTbl[[#This Row],[COUNTY]])-2,1)*CHOORTbl[[#This Row],[ % OF TOTAL RURAL FUNDING]]</f>
        <v>0</v>
      </c>
      <c r="AU30" s="125"/>
      <c r="AV30" s="118"/>
      <c r="AW30" s="6">
        <f>IF(CHOORTbl[[#This Row],[TOTAL MFD RURAL]]=0,0,CHOORTbl[[#This Row],[TOTAL MFD RURAL]]/SUM(CHOORTbl[TOTAL MFD RURAL]))</f>
        <v>0</v>
      </c>
      <c r="AX30" s="665">
        <f>IF(CHOORTbl[[#This Row],[ALL UNITS IN A HIGH OR HIGHEST RESOURCE AREA]]="Yes",10*CHOORTbl[[#This Row],[ % OF TOTAL MFD RURAL FUNDING]],0)</f>
        <v>0</v>
      </c>
      <c r="AY30" s="665" cm="1">
        <f t="array" ref="AY30">INDEX(CountyScoresTbl[OOR Community Need],ROW(CHOORTbl[[#This Row],[COUNTY]])-2,1)*CHOORTbl[[#This Row],[ % OF TOTAL MFD RURAL FUNDING]]</f>
        <v>0</v>
      </c>
      <c r="AZ30" s="694" cm="1">
        <f t="array" ref="AZ30">INDEX(CountyScoresTbl[OOR/ADU Total Feasibility Points Awarded],ROW(CHOORTbl[[#This Row],[COUNTY]])-2,1)*CHOORTbl[[#This Row],[ % OF TOTAL MFD RURAL FUNDING]]</f>
        <v>0</v>
      </c>
      <c r="BA30" s="556"/>
      <c r="BB30" s="561">
        <f>SUM(CHOORTbl[[#This Row],[UNRESTRICTED ADF]],CHOORTbl[[#This Row],[Unrestricted Funds Requesting]])</f>
        <v>0</v>
      </c>
      <c r="BC30" s="556"/>
      <c r="BD30" s="561">
        <f>SUM(CHOORTbl[[#This Row],[MANUFACTURED ADF]],CHOORTbl[[#This Row],[Manufactured Home Funds Requesting]])</f>
        <v>0</v>
      </c>
      <c r="BE30" s="556"/>
      <c r="BF30" s="561">
        <f>SUM(CHOORTbl[[#This Row],[RURAL ADF]],CHOORTbl[[#This Row],[RURAL FUNDING REQUESTED]])</f>
        <v>0</v>
      </c>
      <c r="BG30" s="556"/>
      <c r="BH30" s="562">
        <f>SUM(CHOORTbl[[#This Row],[MFD RURAL ADF]],CHOORTbl[[#This Row],[MFD RURAL FUNDING REQUESTED]])</f>
        <v>0</v>
      </c>
    </row>
    <row r="31" spans="1:60" x14ac:dyDescent="0.35">
      <c r="A31" s="115"/>
      <c r="B31" s="5" t="s">
        <v>143</v>
      </c>
      <c r="C31" s="31" t="s">
        <v>513</v>
      </c>
      <c r="D31" s="109" t="str">
        <f>IF(SUM(CHOORTbl[[#This Row],[Unrestricted Repair Units]:[Unrestricted ADU Reconstruct Units]])=0,"",SUM(CHOORTbl[[#This Row],[Unrestricted Repair Units]:[Unrestricted ADU Reconstruct Units]]))</f>
        <v/>
      </c>
      <c r="E31" s="74" t="str">
        <f xml:space="preserve">
IF(CHOORTbl[[#This Row],[TOTAL UNRESTRICTED]]=0,"",
CHOORTbl[[#This Row],[TOTAL UNRESTRICTED]]*
IF(CH_OOR_UnrestrictedTotalRequested&lt;=5000000,1,
5000000/CH_OOR_UnrestrictedTotalRequested)
)</f>
        <v/>
      </c>
      <c r="F31" s="6" t="str">
        <f>IF(CHOORTbl[[#This Row],[ % OF TOTAL FUNDING]]=0,"",CHOORTbl[[#This Row],[ % OF TOTAL FUNDING]])</f>
        <v/>
      </c>
      <c r="G31" s="31" t="s">
        <v>513</v>
      </c>
      <c r="H31" s="109" t="str">
        <f>IF(SUM(CHOORTbl[[#This Row],[Manufactured Home Units]])=0,"",SUM(CHOORTbl[[#This Row],[Manufactured Home Units]]))</f>
        <v/>
      </c>
      <c r="I31" s="74" t="str">
        <f xml:space="preserve">
IF(CHOORTbl[[#This Row],[TOTAL MANUFACTURED]]=0,"",
CHOORTbl[[#This Row],[TOTAL MANUFACTURED]]*
IF(CH_OOR_ManufacturedTotalRequested&lt;=(5000000-E$61),1,
(5000000-E$61)/CH_OOR_ManufacturedTotalRequested)
)</f>
        <v/>
      </c>
      <c r="J31" s="6" t="str">
        <f>IF(CHOORTbl[[#This Row],[ % OF TOTAL FUNDING2]]=0,"",CHOORTbl[[#This Row],[ % OF TOTAL FUNDING2]])</f>
        <v/>
      </c>
      <c r="K31" s="31" t="s">
        <v>513</v>
      </c>
      <c r="L31" s="109" t="str">
        <f>IF(SUM(CHOORTbl[[#This Row],[RURAL AREA HOMES TO REPAIR2]:[RURAL AREA ADUS TO ADD OR RECONSTRUCT]])=0,"",SUM(CHOORTbl[[#This Row],[RURAL AREA HOMES TO REPAIR2]:[RURAL AREA ADUS TO ADD OR RECONSTRUCT]]))</f>
        <v/>
      </c>
      <c r="M31" s="74" t="str">
        <f xml:space="preserve">
IF(CHOORTbl[[#This Row],[TOTAL RURAL]]=0,"",
CHOORTbl[[#This Row],[TOTAL RURAL]]*
IF(CH_OOR_RuralTotalRequested&lt;=(5000000-E$61-I$61),1,
(5000000-E$61-I$61)/CH_OOR_RuralTotalRequested)
)</f>
        <v/>
      </c>
      <c r="N31" s="6" t="str">
        <f>IF(CHOORTbl[[#This Row],[ % OF TOTAL RURAL FUNDING]]=0,"",CHOORTbl[[#This Row],[ % OF TOTAL RURAL FUNDING]])</f>
        <v/>
      </c>
      <c r="O31" s="31" t="s">
        <v>513</v>
      </c>
      <c r="P31" s="109" t="str">
        <f>IF(SUM(CHOORTbl[[#This Row],[MFD RURAL UNITS]])=0,"",SUM(CHOORTbl[[#This Row],[MFD RURAL UNITS]]))</f>
        <v/>
      </c>
      <c r="Q31" s="74" t="str">
        <f xml:space="preserve">
IF(CHOORTbl[[#This Row],[TOTAL MFD RURAL]]=0,"",
CHOORTbl[[#This Row],[TOTAL MFD RURAL]]*
IF(CH_OOR_MFDRuralTotalRequested&lt;=(5000000-E$61-I$61-M$61),1,
(5000000-E$61-I$61-M$61)/CH_OOR_MFDRuralTotalRequested)
)</f>
        <v/>
      </c>
      <c r="R31" s="6" t="str">
        <f>IF(CHOORTbl[[#This Row],[ % OF TOTAL MFD RURAL FUNDING]]=0,"",CHOORTbl[[#This Row],[ % OF TOTAL MFD RURAL FUNDING]])</f>
        <v/>
      </c>
      <c r="S31" s="44" t="s">
        <v>513</v>
      </c>
      <c r="T31" s="116"/>
      <c r="U31" s="242"/>
      <c r="V31" s="745"/>
      <c r="W31" s="705"/>
      <c r="X31" s="242"/>
      <c r="Y31" s="242"/>
      <c r="Z31" s="242"/>
      <c r="AA31" s="118"/>
      <c r="AB31" s="6">
        <f>IF(CHOORTbl[[#This Row],[TOTAL UNRESTRICTED]]=0,0,CHOORTbl[[#This Row],[TOTAL UNRESTRICTED]]/SUM(CHOORTbl[TOTAL UNRESTRICTED]))</f>
        <v>0</v>
      </c>
      <c r="AC31" s="665">
        <f>IF(CHOORTbl[[#This Row],[ALL UNITS IN A HIGH OR HIGHEST RESOURCE AREA]]="Yes",10*CHOORTbl[[#This Row],[ % OF TOTAL FUNDING]],0)</f>
        <v>0</v>
      </c>
      <c r="AD31" s="665" cm="1">
        <f t="array" ref="AD31">INDEX(CountyScoresTbl[OOR Community Need],ROW(CHOORTbl[[#This Row],[COUNTY]])-2,1)*CHOORTbl[[#This Row],[ % OF TOTAL FUNDING]]</f>
        <v>0</v>
      </c>
      <c r="AE31" s="694" cm="1">
        <f t="array" ref="AE31">INDEX(CountyScoresTbl[OOR/ADU Total Feasibility Points Awarded],ROW(CHOORTbl[[#This Row],[COUNTY]])-2,1)*CHOORTbl[[#This Row],[ % OF TOTAL FUNDING]]</f>
        <v>0</v>
      </c>
      <c r="AF31" s="123"/>
      <c r="AG31" s="118"/>
      <c r="AH31" s="6">
        <f>IF(CHOORTbl[[#This Row],[TOTAL MANUFACTURED]]=0,0,CHOORTbl[[#This Row],[TOTAL MANUFACTURED]]/SUM(CHOORTbl[TOTAL MANUFACTURED]))</f>
        <v>0</v>
      </c>
      <c r="AI31" s="665">
        <f>IF(CHOORTbl[[#This Row],[ALL UNITS IN A HIGH OR HIGHEST RESOURCE AREA]]="Yes",10*CHOORTbl[[#This Row],[ % OF TOTAL FUNDING2]],0)</f>
        <v>0</v>
      </c>
      <c r="AJ31" s="665" cm="1">
        <f t="array" ref="AJ31">INDEX(CountyScoresTbl[OOR Community Need],ROW(CHOORTbl[[#This Row],[COUNTY]])-2,1)*CHOORTbl[[#This Row],[ % OF TOTAL FUNDING2]]</f>
        <v>0</v>
      </c>
      <c r="AK31" s="694" cm="1">
        <f t="array" ref="AK31">INDEX(CountyScoresTbl[OOR/ADU Total Feasibility Points Awarded],ROW(CHOORTbl[[#This Row],[COUNTY]])-2,1)*CHOORTbl[[#This Row],[ % OF TOTAL FUNDING2]]</f>
        <v>0</v>
      </c>
      <c r="AL31" s="123"/>
      <c r="AM31" s="117"/>
      <c r="AN31" s="117"/>
      <c r="AO31" s="117"/>
      <c r="AP31" s="118"/>
      <c r="AQ31" s="6">
        <f>IF(CHOORTbl[[#This Row],[TOTAL RURAL]]=0,0,CHOORTbl[[#This Row],[TOTAL RURAL]]/SUM(CHOORTbl[TOTAL RURAL]))</f>
        <v>0</v>
      </c>
      <c r="AR31" s="665">
        <f>IF(CHOORTbl[[#This Row],[ALL UNITS IN A HIGH OR HIGHEST RESOURCE AREA]]="Yes",10*CHOORTbl[[#This Row],[ % OF TOTAL RURAL FUNDING]],0)</f>
        <v>0</v>
      </c>
      <c r="AS31" s="665" cm="1">
        <f t="array" ref="AS31">INDEX(CountyScoresTbl[OOR Community Need],ROW(CHOORTbl[[#This Row],[COUNTY]])-2,1)*CHOORTbl[[#This Row],[ % OF TOTAL RURAL FUNDING]]</f>
        <v>0</v>
      </c>
      <c r="AT31" s="694" cm="1">
        <f t="array" ref="AT31">INDEX(CountyScoresTbl[OOR/ADU Total Feasibility Points Awarded],ROW(CHOORTbl[[#This Row],[COUNTY]])-2,1)*CHOORTbl[[#This Row],[ % OF TOTAL RURAL FUNDING]]</f>
        <v>0</v>
      </c>
      <c r="AU31" s="125"/>
      <c r="AV31" s="118"/>
      <c r="AW31" s="6">
        <f>IF(CHOORTbl[[#This Row],[TOTAL MFD RURAL]]=0,0,CHOORTbl[[#This Row],[TOTAL MFD RURAL]]/SUM(CHOORTbl[TOTAL MFD RURAL]))</f>
        <v>0</v>
      </c>
      <c r="AX31" s="665">
        <f>IF(CHOORTbl[[#This Row],[ALL UNITS IN A HIGH OR HIGHEST RESOURCE AREA]]="Yes",10*CHOORTbl[[#This Row],[ % OF TOTAL MFD RURAL FUNDING]],0)</f>
        <v>0</v>
      </c>
      <c r="AY31" s="665" cm="1">
        <f t="array" ref="AY31">INDEX(CountyScoresTbl[OOR Community Need],ROW(CHOORTbl[[#This Row],[COUNTY]])-2,1)*CHOORTbl[[#This Row],[ % OF TOTAL MFD RURAL FUNDING]]</f>
        <v>0</v>
      </c>
      <c r="AZ31" s="694" cm="1">
        <f t="array" ref="AZ31">INDEX(CountyScoresTbl[OOR/ADU Total Feasibility Points Awarded],ROW(CHOORTbl[[#This Row],[COUNTY]])-2,1)*CHOORTbl[[#This Row],[ % OF TOTAL MFD RURAL FUNDING]]</f>
        <v>0</v>
      </c>
      <c r="BA31" s="556"/>
      <c r="BB31" s="561">
        <f>SUM(CHOORTbl[[#This Row],[UNRESTRICTED ADF]],CHOORTbl[[#This Row],[Unrestricted Funds Requesting]])</f>
        <v>0</v>
      </c>
      <c r="BC31" s="556"/>
      <c r="BD31" s="561">
        <f>SUM(CHOORTbl[[#This Row],[MANUFACTURED ADF]],CHOORTbl[[#This Row],[Manufactured Home Funds Requesting]])</f>
        <v>0</v>
      </c>
      <c r="BE31" s="556"/>
      <c r="BF31" s="561">
        <f>SUM(CHOORTbl[[#This Row],[RURAL ADF]],CHOORTbl[[#This Row],[RURAL FUNDING REQUESTED]])</f>
        <v>0</v>
      </c>
      <c r="BG31" s="556"/>
      <c r="BH31" s="562">
        <f>SUM(CHOORTbl[[#This Row],[MFD RURAL ADF]],CHOORTbl[[#This Row],[MFD RURAL FUNDING REQUESTED]])</f>
        <v>0</v>
      </c>
    </row>
    <row r="32" spans="1:60" x14ac:dyDescent="0.35">
      <c r="A32" s="116"/>
      <c r="B32" s="5" t="s">
        <v>144</v>
      </c>
      <c r="C32" s="31" t="s">
        <v>513</v>
      </c>
      <c r="D32" s="109" t="str">
        <f>IF(SUM(CHOORTbl[[#This Row],[Unrestricted Repair Units]:[Unrestricted ADU Reconstruct Units]])=0,"",SUM(CHOORTbl[[#This Row],[Unrestricted Repair Units]:[Unrestricted ADU Reconstruct Units]]))</f>
        <v/>
      </c>
      <c r="E32" s="74" t="str">
        <f xml:space="preserve">
IF(CHOORTbl[[#This Row],[TOTAL UNRESTRICTED]]=0,"",
CHOORTbl[[#This Row],[TOTAL UNRESTRICTED]]*
IF(CH_OOR_UnrestrictedTotalRequested&lt;=5000000,1,
5000000/CH_OOR_UnrestrictedTotalRequested)
)</f>
        <v/>
      </c>
      <c r="F32" s="6" t="str">
        <f>IF(CHOORTbl[[#This Row],[ % OF TOTAL FUNDING]]=0,"",CHOORTbl[[#This Row],[ % OF TOTAL FUNDING]])</f>
        <v/>
      </c>
      <c r="G32" s="31" t="s">
        <v>513</v>
      </c>
      <c r="H32" s="109" t="str">
        <f>IF(SUM(CHOORTbl[[#This Row],[Manufactured Home Units]])=0,"",SUM(CHOORTbl[[#This Row],[Manufactured Home Units]]))</f>
        <v/>
      </c>
      <c r="I32" s="74" t="str">
        <f xml:space="preserve">
IF(CHOORTbl[[#This Row],[TOTAL MANUFACTURED]]=0,"",
CHOORTbl[[#This Row],[TOTAL MANUFACTURED]]*
IF(CH_OOR_ManufacturedTotalRequested&lt;=(5000000-E$61),1,
(5000000-E$61)/CH_OOR_ManufacturedTotalRequested)
)</f>
        <v/>
      </c>
      <c r="J32" s="6" t="str">
        <f>IF(CHOORTbl[[#This Row],[ % OF TOTAL FUNDING2]]=0,"",CHOORTbl[[#This Row],[ % OF TOTAL FUNDING2]])</f>
        <v/>
      </c>
      <c r="K32" s="31" t="s">
        <v>513</v>
      </c>
      <c r="L32" s="109" t="str">
        <f>IF(SUM(CHOORTbl[[#This Row],[RURAL AREA HOMES TO REPAIR2]:[RURAL AREA ADUS TO ADD OR RECONSTRUCT]])=0,"",SUM(CHOORTbl[[#This Row],[RURAL AREA HOMES TO REPAIR2]:[RURAL AREA ADUS TO ADD OR RECONSTRUCT]]))</f>
        <v/>
      </c>
      <c r="M32" s="74" t="str">
        <f xml:space="preserve">
IF(CHOORTbl[[#This Row],[TOTAL RURAL]]=0,"",
CHOORTbl[[#This Row],[TOTAL RURAL]]*
IF(CH_OOR_RuralTotalRequested&lt;=(5000000-E$61-I$61),1,
(5000000-E$61-I$61)/CH_OOR_RuralTotalRequested)
)</f>
        <v/>
      </c>
      <c r="N32" s="6" t="str">
        <f>IF(CHOORTbl[[#This Row],[ % OF TOTAL RURAL FUNDING]]=0,"",CHOORTbl[[#This Row],[ % OF TOTAL RURAL FUNDING]])</f>
        <v/>
      </c>
      <c r="O32" s="31" t="s">
        <v>513</v>
      </c>
      <c r="P32" s="109" t="str">
        <f>IF(SUM(CHOORTbl[[#This Row],[MFD RURAL UNITS]])=0,"",SUM(CHOORTbl[[#This Row],[MFD RURAL UNITS]]))</f>
        <v/>
      </c>
      <c r="Q32" s="74" t="str">
        <f xml:space="preserve">
IF(CHOORTbl[[#This Row],[TOTAL MFD RURAL]]=0,"",
CHOORTbl[[#This Row],[TOTAL MFD RURAL]]*
IF(CH_OOR_MFDRuralTotalRequested&lt;=(5000000-E$61-I$61-M$61),1,
(5000000-E$61-I$61-M$61)/CH_OOR_MFDRuralTotalRequested)
)</f>
        <v/>
      </c>
      <c r="R32" s="6" t="str">
        <f>IF(CHOORTbl[[#This Row],[ % OF TOTAL MFD RURAL FUNDING]]=0,"",CHOORTbl[[#This Row],[ % OF TOTAL MFD RURAL FUNDING]])</f>
        <v/>
      </c>
      <c r="S32" s="44" t="s">
        <v>513</v>
      </c>
      <c r="T32" s="116"/>
      <c r="U32" s="242"/>
      <c r="V32" s="745"/>
      <c r="W32" s="705"/>
      <c r="X32" s="242"/>
      <c r="Y32" s="242"/>
      <c r="Z32" s="242"/>
      <c r="AA32" s="118"/>
      <c r="AB32" s="6">
        <f>IF(CHOORTbl[[#This Row],[TOTAL UNRESTRICTED]]=0,0,CHOORTbl[[#This Row],[TOTAL UNRESTRICTED]]/SUM(CHOORTbl[TOTAL UNRESTRICTED]))</f>
        <v>0</v>
      </c>
      <c r="AC32" s="665">
        <f>IF(CHOORTbl[[#This Row],[ALL UNITS IN A HIGH OR HIGHEST RESOURCE AREA]]="Yes",10*CHOORTbl[[#This Row],[ % OF TOTAL FUNDING]],0)</f>
        <v>0</v>
      </c>
      <c r="AD32" s="665" cm="1">
        <f t="array" ref="AD32">INDEX(CountyScoresTbl[OOR Community Need],ROW(CHOORTbl[[#This Row],[COUNTY]])-2,1)*CHOORTbl[[#This Row],[ % OF TOTAL FUNDING]]</f>
        <v>0</v>
      </c>
      <c r="AE32" s="694" cm="1">
        <f t="array" ref="AE32">INDEX(CountyScoresTbl[OOR/ADU Total Feasibility Points Awarded],ROW(CHOORTbl[[#This Row],[COUNTY]])-2,1)*CHOORTbl[[#This Row],[ % OF TOTAL FUNDING]]</f>
        <v>0</v>
      </c>
      <c r="AF32" s="124"/>
      <c r="AG32" s="118"/>
      <c r="AH32" s="6">
        <f>IF(CHOORTbl[[#This Row],[TOTAL MANUFACTURED]]=0,0,CHOORTbl[[#This Row],[TOTAL MANUFACTURED]]/SUM(CHOORTbl[TOTAL MANUFACTURED]))</f>
        <v>0</v>
      </c>
      <c r="AI32" s="665">
        <f>IF(CHOORTbl[[#This Row],[ALL UNITS IN A HIGH OR HIGHEST RESOURCE AREA]]="Yes",10*CHOORTbl[[#This Row],[ % OF TOTAL FUNDING2]],0)</f>
        <v>0</v>
      </c>
      <c r="AJ32" s="665" cm="1">
        <f t="array" ref="AJ32">INDEX(CountyScoresTbl[OOR Community Need],ROW(CHOORTbl[[#This Row],[COUNTY]])-2,1)*CHOORTbl[[#This Row],[ % OF TOTAL FUNDING2]]</f>
        <v>0</v>
      </c>
      <c r="AK32" s="694" cm="1">
        <f t="array" ref="AK32">INDEX(CountyScoresTbl[OOR/ADU Total Feasibility Points Awarded],ROW(CHOORTbl[[#This Row],[COUNTY]])-2,1)*CHOORTbl[[#This Row],[ % OF TOTAL FUNDING2]]</f>
        <v>0</v>
      </c>
      <c r="AL32" s="124"/>
      <c r="AM32" s="119"/>
      <c r="AN32" s="119"/>
      <c r="AO32" s="119"/>
      <c r="AP32" s="118"/>
      <c r="AQ32" s="6">
        <f>IF(CHOORTbl[[#This Row],[TOTAL RURAL]]=0,0,CHOORTbl[[#This Row],[TOTAL RURAL]]/SUM(CHOORTbl[TOTAL RURAL]))</f>
        <v>0</v>
      </c>
      <c r="AR32" s="665">
        <f>IF(CHOORTbl[[#This Row],[ALL UNITS IN A HIGH OR HIGHEST RESOURCE AREA]]="Yes",10*CHOORTbl[[#This Row],[ % OF TOTAL RURAL FUNDING]],0)</f>
        <v>0</v>
      </c>
      <c r="AS32" s="665" cm="1">
        <f t="array" ref="AS32">INDEX(CountyScoresTbl[OOR Community Need],ROW(CHOORTbl[[#This Row],[COUNTY]])-2,1)*CHOORTbl[[#This Row],[ % OF TOTAL RURAL FUNDING]]</f>
        <v>0</v>
      </c>
      <c r="AT32" s="694" cm="1">
        <f t="array" ref="AT32">INDEX(CountyScoresTbl[OOR/ADU Total Feasibility Points Awarded],ROW(CHOORTbl[[#This Row],[COUNTY]])-2,1)*CHOORTbl[[#This Row],[ % OF TOTAL RURAL FUNDING]]</f>
        <v>0</v>
      </c>
      <c r="AU32" s="126"/>
      <c r="AV32" s="118"/>
      <c r="AW32" s="6">
        <f>IF(CHOORTbl[[#This Row],[TOTAL MFD RURAL]]=0,0,CHOORTbl[[#This Row],[TOTAL MFD RURAL]]/SUM(CHOORTbl[TOTAL MFD RURAL]))</f>
        <v>0</v>
      </c>
      <c r="AX32" s="665">
        <f>IF(CHOORTbl[[#This Row],[ALL UNITS IN A HIGH OR HIGHEST RESOURCE AREA]]="Yes",10*CHOORTbl[[#This Row],[ % OF TOTAL MFD RURAL FUNDING]],0)</f>
        <v>0</v>
      </c>
      <c r="AY32" s="665" cm="1">
        <f t="array" ref="AY32">INDEX(CountyScoresTbl[OOR Community Need],ROW(CHOORTbl[[#This Row],[COUNTY]])-2,1)*CHOORTbl[[#This Row],[ % OF TOTAL MFD RURAL FUNDING]]</f>
        <v>0</v>
      </c>
      <c r="AZ32" s="694" cm="1">
        <f t="array" ref="AZ32">INDEX(CountyScoresTbl[OOR/ADU Total Feasibility Points Awarded],ROW(CHOORTbl[[#This Row],[COUNTY]])-2,1)*CHOORTbl[[#This Row],[ % OF TOTAL MFD RURAL FUNDING]]</f>
        <v>0</v>
      </c>
      <c r="BA32" s="556"/>
      <c r="BB32" s="561">
        <f>SUM(CHOORTbl[[#This Row],[UNRESTRICTED ADF]],CHOORTbl[[#This Row],[Unrestricted Funds Requesting]])</f>
        <v>0</v>
      </c>
      <c r="BC32" s="556"/>
      <c r="BD32" s="561">
        <f>SUM(CHOORTbl[[#This Row],[MANUFACTURED ADF]],CHOORTbl[[#This Row],[Manufactured Home Funds Requesting]])</f>
        <v>0</v>
      </c>
      <c r="BE32" s="556"/>
      <c r="BF32" s="561">
        <f>SUM(CHOORTbl[[#This Row],[RURAL ADF]],CHOORTbl[[#This Row],[RURAL FUNDING REQUESTED]])</f>
        <v>0</v>
      </c>
      <c r="BG32" s="556"/>
      <c r="BH32" s="562">
        <f>SUM(CHOORTbl[[#This Row],[MFD RURAL ADF]],CHOORTbl[[#This Row],[MFD RURAL FUNDING REQUESTED]])</f>
        <v>0</v>
      </c>
    </row>
    <row r="33" spans="1:60" x14ac:dyDescent="0.35">
      <c r="A33" s="115"/>
      <c r="B33" s="5" t="s">
        <v>145</v>
      </c>
      <c r="C33" s="31" t="s">
        <v>513</v>
      </c>
      <c r="D33" s="109" t="str">
        <f>IF(SUM(CHOORTbl[[#This Row],[Unrestricted Repair Units]:[Unrestricted ADU Reconstruct Units]])=0,"",SUM(CHOORTbl[[#This Row],[Unrestricted Repair Units]:[Unrestricted ADU Reconstruct Units]]))</f>
        <v/>
      </c>
      <c r="E33" s="74" t="str">
        <f xml:space="preserve">
IF(CHOORTbl[[#This Row],[TOTAL UNRESTRICTED]]=0,"",
CHOORTbl[[#This Row],[TOTAL UNRESTRICTED]]*
IF(CH_OOR_UnrestrictedTotalRequested&lt;=5000000,1,
5000000/CH_OOR_UnrestrictedTotalRequested)
)</f>
        <v/>
      </c>
      <c r="F33" s="6" t="str">
        <f>IF(CHOORTbl[[#This Row],[ % OF TOTAL FUNDING]]=0,"",CHOORTbl[[#This Row],[ % OF TOTAL FUNDING]])</f>
        <v/>
      </c>
      <c r="G33" s="31" t="s">
        <v>513</v>
      </c>
      <c r="H33" s="109" t="str">
        <f>IF(SUM(CHOORTbl[[#This Row],[Manufactured Home Units]])=0,"",SUM(CHOORTbl[[#This Row],[Manufactured Home Units]]))</f>
        <v/>
      </c>
      <c r="I33" s="74" t="str">
        <f xml:space="preserve">
IF(CHOORTbl[[#This Row],[TOTAL MANUFACTURED]]=0,"",
CHOORTbl[[#This Row],[TOTAL MANUFACTURED]]*
IF(CH_OOR_ManufacturedTotalRequested&lt;=(5000000-E$61),1,
(5000000-E$61)/CH_OOR_ManufacturedTotalRequested)
)</f>
        <v/>
      </c>
      <c r="J33" s="6" t="str">
        <f>IF(CHOORTbl[[#This Row],[ % OF TOTAL FUNDING2]]=0,"",CHOORTbl[[#This Row],[ % OF TOTAL FUNDING2]])</f>
        <v/>
      </c>
      <c r="K33" s="31" t="s">
        <v>513</v>
      </c>
      <c r="L33" s="109" t="str">
        <f>IF(SUM(CHOORTbl[[#This Row],[RURAL AREA HOMES TO REPAIR2]:[RURAL AREA ADUS TO ADD OR RECONSTRUCT]])=0,"",SUM(CHOORTbl[[#This Row],[RURAL AREA HOMES TO REPAIR2]:[RURAL AREA ADUS TO ADD OR RECONSTRUCT]]))</f>
        <v/>
      </c>
      <c r="M33" s="74" t="str">
        <f xml:space="preserve">
IF(CHOORTbl[[#This Row],[TOTAL RURAL]]=0,"",
CHOORTbl[[#This Row],[TOTAL RURAL]]*
IF(CH_OOR_RuralTotalRequested&lt;=(5000000-E$61-I$61),1,
(5000000-E$61-I$61)/CH_OOR_RuralTotalRequested)
)</f>
        <v/>
      </c>
      <c r="N33" s="6" t="str">
        <f>IF(CHOORTbl[[#This Row],[ % OF TOTAL RURAL FUNDING]]=0,"",CHOORTbl[[#This Row],[ % OF TOTAL RURAL FUNDING]])</f>
        <v/>
      </c>
      <c r="O33" s="31" t="s">
        <v>513</v>
      </c>
      <c r="P33" s="109" t="str">
        <f>IF(SUM(CHOORTbl[[#This Row],[MFD RURAL UNITS]])=0,"",SUM(CHOORTbl[[#This Row],[MFD RURAL UNITS]]))</f>
        <v/>
      </c>
      <c r="Q33" s="74" t="str">
        <f xml:space="preserve">
IF(CHOORTbl[[#This Row],[TOTAL MFD RURAL]]=0,"",
CHOORTbl[[#This Row],[TOTAL MFD RURAL]]*
IF(CH_OOR_MFDRuralTotalRequested&lt;=(5000000-E$61-I$61-M$61),1,
(5000000-E$61-I$61-M$61)/CH_OOR_MFDRuralTotalRequested)
)</f>
        <v/>
      </c>
      <c r="R33" s="6" t="str">
        <f>IF(CHOORTbl[[#This Row],[ % OF TOTAL MFD RURAL FUNDING]]=0,"",CHOORTbl[[#This Row],[ % OF TOTAL MFD RURAL FUNDING]])</f>
        <v/>
      </c>
      <c r="S33" s="44" t="s">
        <v>513</v>
      </c>
      <c r="T33" s="116"/>
      <c r="U33" s="242"/>
      <c r="V33" s="745"/>
      <c r="W33" s="705"/>
      <c r="X33" s="242"/>
      <c r="Y33" s="242"/>
      <c r="Z33" s="242"/>
      <c r="AA33" s="118"/>
      <c r="AB33" s="6">
        <f>IF(CHOORTbl[[#This Row],[TOTAL UNRESTRICTED]]=0,0,CHOORTbl[[#This Row],[TOTAL UNRESTRICTED]]/SUM(CHOORTbl[TOTAL UNRESTRICTED]))</f>
        <v>0</v>
      </c>
      <c r="AC33" s="665">
        <f>IF(CHOORTbl[[#This Row],[ALL UNITS IN A HIGH OR HIGHEST RESOURCE AREA]]="Yes",10*CHOORTbl[[#This Row],[ % OF TOTAL FUNDING]],0)</f>
        <v>0</v>
      </c>
      <c r="AD33" s="665" cm="1">
        <f t="array" ref="AD33">INDEX(CountyScoresTbl[OOR Community Need],ROW(CHOORTbl[[#This Row],[COUNTY]])-2,1)*CHOORTbl[[#This Row],[ % OF TOTAL FUNDING]]</f>
        <v>0</v>
      </c>
      <c r="AE33" s="694" cm="1">
        <f t="array" ref="AE33">INDEX(CountyScoresTbl[OOR/ADU Total Feasibility Points Awarded],ROW(CHOORTbl[[#This Row],[COUNTY]])-2,1)*CHOORTbl[[#This Row],[ % OF TOTAL FUNDING]]</f>
        <v>0</v>
      </c>
      <c r="AF33" s="123"/>
      <c r="AG33" s="118"/>
      <c r="AH33" s="6">
        <f>IF(CHOORTbl[[#This Row],[TOTAL MANUFACTURED]]=0,0,CHOORTbl[[#This Row],[TOTAL MANUFACTURED]]/SUM(CHOORTbl[TOTAL MANUFACTURED]))</f>
        <v>0</v>
      </c>
      <c r="AI33" s="665">
        <f>IF(CHOORTbl[[#This Row],[ALL UNITS IN A HIGH OR HIGHEST RESOURCE AREA]]="Yes",10*CHOORTbl[[#This Row],[ % OF TOTAL FUNDING2]],0)</f>
        <v>0</v>
      </c>
      <c r="AJ33" s="665" cm="1">
        <f t="array" ref="AJ33">INDEX(CountyScoresTbl[OOR Community Need],ROW(CHOORTbl[[#This Row],[COUNTY]])-2,1)*CHOORTbl[[#This Row],[ % OF TOTAL FUNDING2]]</f>
        <v>0</v>
      </c>
      <c r="AK33" s="694" cm="1">
        <f t="array" ref="AK33">INDEX(CountyScoresTbl[OOR/ADU Total Feasibility Points Awarded],ROW(CHOORTbl[[#This Row],[COUNTY]])-2,1)*CHOORTbl[[#This Row],[ % OF TOTAL FUNDING2]]</f>
        <v>0</v>
      </c>
      <c r="AL33" s="123"/>
      <c r="AM33" s="117"/>
      <c r="AN33" s="117"/>
      <c r="AO33" s="117"/>
      <c r="AP33" s="118"/>
      <c r="AQ33" s="6">
        <f>IF(CHOORTbl[[#This Row],[TOTAL RURAL]]=0,0,CHOORTbl[[#This Row],[TOTAL RURAL]]/SUM(CHOORTbl[TOTAL RURAL]))</f>
        <v>0</v>
      </c>
      <c r="AR33" s="665">
        <f>IF(CHOORTbl[[#This Row],[ALL UNITS IN A HIGH OR HIGHEST RESOURCE AREA]]="Yes",10*CHOORTbl[[#This Row],[ % OF TOTAL RURAL FUNDING]],0)</f>
        <v>0</v>
      </c>
      <c r="AS33" s="665" cm="1">
        <f t="array" ref="AS33">INDEX(CountyScoresTbl[OOR Community Need],ROW(CHOORTbl[[#This Row],[COUNTY]])-2,1)*CHOORTbl[[#This Row],[ % OF TOTAL RURAL FUNDING]]</f>
        <v>0</v>
      </c>
      <c r="AT33" s="694" cm="1">
        <f t="array" ref="AT33">INDEX(CountyScoresTbl[OOR/ADU Total Feasibility Points Awarded],ROW(CHOORTbl[[#This Row],[COUNTY]])-2,1)*CHOORTbl[[#This Row],[ % OF TOTAL RURAL FUNDING]]</f>
        <v>0</v>
      </c>
      <c r="AU33" s="125"/>
      <c r="AV33" s="118"/>
      <c r="AW33" s="6">
        <f>IF(CHOORTbl[[#This Row],[TOTAL MFD RURAL]]=0,0,CHOORTbl[[#This Row],[TOTAL MFD RURAL]]/SUM(CHOORTbl[TOTAL MFD RURAL]))</f>
        <v>0</v>
      </c>
      <c r="AX33" s="665">
        <f>IF(CHOORTbl[[#This Row],[ALL UNITS IN A HIGH OR HIGHEST RESOURCE AREA]]="Yes",10*CHOORTbl[[#This Row],[ % OF TOTAL MFD RURAL FUNDING]],0)</f>
        <v>0</v>
      </c>
      <c r="AY33" s="665" cm="1">
        <f t="array" ref="AY33">INDEX(CountyScoresTbl[OOR Community Need],ROW(CHOORTbl[[#This Row],[COUNTY]])-2,1)*CHOORTbl[[#This Row],[ % OF TOTAL MFD RURAL FUNDING]]</f>
        <v>0</v>
      </c>
      <c r="AZ33" s="694" cm="1">
        <f t="array" ref="AZ33">INDEX(CountyScoresTbl[OOR/ADU Total Feasibility Points Awarded],ROW(CHOORTbl[[#This Row],[COUNTY]])-2,1)*CHOORTbl[[#This Row],[ % OF TOTAL MFD RURAL FUNDING]]</f>
        <v>0</v>
      </c>
      <c r="BA33" s="556"/>
      <c r="BB33" s="561">
        <f>SUM(CHOORTbl[[#This Row],[UNRESTRICTED ADF]],CHOORTbl[[#This Row],[Unrestricted Funds Requesting]])</f>
        <v>0</v>
      </c>
      <c r="BC33" s="556"/>
      <c r="BD33" s="561">
        <f>SUM(CHOORTbl[[#This Row],[MANUFACTURED ADF]],CHOORTbl[[#This Row],[Manufactured Home Funds Requesting]])</f>
        <v>0</v>
      </c>
      <c r="BE33" s="556"/>
      <c r="BF33" s="561">
        <f>SUM(CHOORTbl[[#This Row],[RURAL ADF]],CHOORTbl[[#This Row],[RURAL FUNDING REQUESTED]])</f>
        <v>0</v>
      </c>
      <c r="BG33" s="556"/>
      <c r="BH33" s="562">
        <f>SUM(CHOORTbl[[#This Row],[MFD RURAL ADF]],CHOORTbl[[#This Row],[MFD RURAL FUNDING REQUESTED]])</f>
        <v>0</v>
      </c>
    </row>
    <row r="34" spans="1:60" x14ac:dyDescent="0.35">
      <c r="A34" s="116"/>
      <c r="B34" s="5" t="s">
        <v>146</v>
      </c>
      <c r="C34" s="31" t="s">
        <v>513</v>
      </c>
      <c r="D34" s="109" t="str">
        <f>IF(SUM(CHOORTbl[[#This Row],[Unrestricted Repair Units]:[Unrestricted ADU Reconstruct Units]])=0,"",SUM(CHOORTbl[[#This Row],[Unrestricted Repair Units]:[Unrestricted ADU Reconstruct Units]]))</f>
        <v/>
      </c>
      <c r="E34" s="74" t="str">
        <f xml:space="preserve">
IF(CHOORTbl[[#This Row],[TOTAL UNRESTRICTED]]=0,"",
CHOORTbl[[#This Row],[TOTAL UNRESTRICTED]]*
IF(CH_OOR_UnrestrictedTotalRequested&lt;=5000000,1,
5000000/CH_OOR_UnrestrictedTotalRequested)
)</f>
        <v/>
      </c>
      <c r="F34" s="6" t="str">
        <f>IF(CHOORTbl[[#This Row],[ % OF TOTAL FUNDING]]=0,"",CHOORTbl[[#This Row],[ % OF TOTAL FUNDING]])</f>
        <v/>
      </c>
      <c r="G34" s="31" t="s">
        <v>513</v>
      </c>
      <c r="H34" s="109" t="str">
        <f>IF(SUM(CHOORTbl[[#This Row],[Manufactured Home Units]])=0,"",SUM(CHOORTbl[[#This Row],[Manufactured Home Units]]))</f>
        <v/>
      </c>
      <c r="I34" s="74" t="str">
        <f xml:space="preserve">
IF(CHOORTbl[[#This Row],[TOTAL MANUFACTURED]]=0,"",
CHOORTbl[[#This Row],[TOTAL MANUFACTURED]]*
IF(CH_OOR_ManufacturedTotalRequested&lt;=(5000000-E$61),1,
(5000000-E$61)/CH_OOR_ManufacturedTotalRequested)
)</f>
        <v/>
      </c>
      <c r="J34" s="6" t="str">
        <f>IF(CHOORTbl[[#This Row],[ % OF TOTAL FUNDING2]]=0,"",CHOORTbl[[#This Row],[ % OF TOTAL FUNDING2]])</f>
        <v/>
      </c>
      <c r="K34" s="31" t="s">
        <v>513</v>
      </c>
      <c r="L34" s="109" t="str">
        <f>IF(SUM(CHOORTbl[[#This Row],[RURAL AREA HOMES TO REPAIR2]:[RURAL AREA ADUS TO ADD OR RECONSTRUCT]])=0,"",SUM(CHOORTbl[[#This Row],[RURAL AREA HOMES TO REPAIR2]:[RURAL AREA ADUS TO ADD OR RECONSTRUCT]]))</f>
        <v/>
      </c>
      <c r="M34" s="74" t="str">
        <f xml:space="preserve">
IF(CHOORTbl[[#This Row],[TOTAL RURAL]]=0,"",
CHOORTbl[[#This Row],[TOTAL RURAL]]*
IF(CH_OOR_RuralTotalRequested&lt;=(5000000-E$61-I$61),1,
(5000000-E$61-I$61)/CH_OOR_RuralTotalRequested)
)</f>
        <v/>
      </c>
      <c r="N34" s="6" t="str">
        <f>IF(CHOORTbl[[#This Row],[ % OF TOTAL RURAL FUNDING]]=0,"",CHOORTbl[[#This Row],[ % OF TOTAL RURAL FUNDING]])</f>
        <v/>
      </c>
      <c r="O34" s="31" t="s">
        <v>513</v>
      </c>
      <c r="P34" s="109" t="str">
        <f>IF(SUM(CHOORTbl[[#This Row],[MFD RURAL UNITS]])=0,"",SUM(CHOORTbl[[#This Row],[MFD RURAL UNITS]]))</f>
        <v/>
      </c>
      <c r="Q34" s="74" t="str">
        <f xml:space="preserve">
IF(CHOORTbl[[#This Row],[TOTAL MFD RURAL]]=0,"",
CHOORTbl[[#This Row],[TOTAL MFD RURAL]]*
IF(CH_OOR_MFDRuralTotalRequested&lt;=(5000000-E$61-I$61-M$61),1,
(5000000-E$61-I$61-M$61)/CH_OOR_MFDRuralTotalRequested)
)</f>
        <v/>
      </c>
      <c r="R34" s="6" t="str">
        <f>IF(CHOORTbl[[#This Row],[ % OF TOTAL MFD RURAL FUNDING]]=0,"",CHOORTbl[[#This Row],[ % OF TOTAL MFD RURAL FUNDING]])</f>
        <v/>
      </c>
      <c r="S34" s="44" t="s">
        <v>513</v>
      </c>
      <c r="T34" s="116"/>
      <c r="U34" s="242"/>
      <c r="V34" s="745"/>
      <c r="W34" s="705"/>
      <c r="X34" s="242"/>
      <c r="Y34" s="242"/>
      <c r="Z34" s="242"/>
      <c r="AA34" s="118"/>
      <c r="AB34" s="6">
        <f>IF(CHOORTbl[[#This Row],[TOTAL UNRESTRICTED]]=0,0,CHOORTbl[[#This Row],[TOTAL UNRESTRICTED]]/SUM(CHOORTbl[TOTAL UNRESTRICTED]))</f>
        <v>0</v>
      </c>
      <c r="AC34" s="665">
        <f>IF(CHOORTbl[[#This Row],[ALL UNITS IN A HIGH OR HIGHEST RESOURCE AREA]]="Yes",10*CHOORTbl[[#This Row],[ % OF TOTAL FUNDING]],0)</f>
        <v>0</v>
      </c>
      <c r="AD34" s="665" cm="1">
        <f t="array" ref="AD34">INDEX(CountyScoresTbl[OOR Community Need],ROW(CHOORTbl[[#This Row],[COUNTY]])-2,1)*CHOORTbl[[#This Row],[ % OF TOTAL FUNDING]]</f>
        <v>0</v>
      </c>
      <c r="AE34" s="694" cm="1">
        <f t="array" ref="AE34">INDEX(CountyScoresTbl[OOR/ADU Total Feasibility Points Awarded],ROW(CHOORTbl[[#This Row],[COUNTY]])-2,1)*CHOORTbl[[#This Row],[ % OF TOTAL FUNDING]]</f>
        <v>0</v>
      </c>
      <c r="AF34" s="124"/>
      <c r="AG34" s="118"/>
      <c r="AH34" s="6">
        <f>IF(CHOORTbl[[#This Row],[TOTAL MANUFACTURED]]=0,0,CHOORTbl[[#This Row],[TOTAL MANUFACTURED]]/SUM(CHOORTbl[TOTAL MANUFACTURED]))</f>
        <v>0</v>
      </c>
      <c r="AI34" s="665">
        <f>IF(CHOORTbl[[#This Row],[ALL UNITS IN A HIGH OR HIGHEST RESOURCE AREA]]="Yes",10*CHOORTbl[[#This Row],[ % OF TOTAL FUNDING2]],0)</f>
        <v>0</v>
      </c>
      <c r="AJ34" s="665" cm="1">
        <f t="array" ref="AJ34">INDEX(CountyScoresTbl[OOR Community Need],ROW(CHOORTbl[[#This Row],[COUNTY]])-2,1)*CHOORTbl[[#This Row],[ % OF TOTAL FUNDING2]]</f>
        <v>0</v>
      </c>
      <c r="AK34" s="694" cm="1">
        <f t="array" ref="AK34">INDEX(CountyScoresTbl[OOR/ADU Total Feasibility Points Awarded],ROW(CHOORTbl[[#This Row],[COUNTY]])-2,1)*CHOORTbl[[#This Row],[ % OF TOTAL FUNDING2]]</f>
        <v>0</v>
      </c>
      <c r="AL34" s="124"/>
      <c r="AM34" s="119"/>
      <c r="AN34" s="119"/>
      <c r="AO34" s="119"/>
      <c r="AP34" s="118"/>
      <c r="AQ34" s="6">
        <f>IF(CHOORTbl[[#This Row],[TOTAL RURAL]]=0,0,CHOORTbl[[#This Row],[TOTAL RURAL]]/SUM(CHOORTbl[TOTAL RURAL]))</f>
        <v>0</v>
      </c>
      <c r="AR34" s="665">
        <f>IF(CHOORTbl[[#This Row],[ALL UNITS IN A HIGH OR HIGHEST RESOURCE AREA]]="Yes",10*CHOORTbl[[#This Row],[ % OF TOTAL RURAL FUNDING]],0)</f>
        <v>0</v>
      </c>
      <c r="AS34" s="665" cm="1">
        <f t="array" ref="AS34">INDEX(CountyScoresTbl[OOR Community Need],ROW(CHOORTbl[[#This Row],[COUNTY]])-2,1)*CHOORTbl[[#This Row],[ % OF TOTAL RURAL FUNDING]]</f>
        <v>0</v>
      </c>
      <c r="AT34" s="694" cm="1">
        <f t="array" ref="AT34">INDEX(CountyScoresTbl[OOR/ADU Total Feasibility Points Awarded],ROW(CHOORTbl[[#This Row],[COUNTY]])-2,1)*CHOORTbl[[#This Row],[ % OF TOTAL RURAL FUNDING]]</f>
        <v>0</v>
      </c>
      <c r="AU34" s="126"/>
      <c r="AV34" s="118"/>
      <c r="AW34" s="6">
        <f>IF(CHOORTbl[[#This Row],[TOTAL MFD RURAL]]=0,0,CHOORTbl[[#This Row],[TOTAL MFD RURAL]]/SUM(CHOORTbl[TOTAL MFD RURAL]))</f>
        <v>0</v>
      </c>
      <c r="AX34" s="665">
        <f>IF(CHOORTbl[[#This Row],[ALL UNITS IN A HIGH OR HIGHEST RESOURCE AREA]]="Yes",10*CHOORTbl[[#This Row],[ % OF TOTAL MFD RURAL FUNDING]],0)</f>
        <v>0</v>
      </c>
      <c r="AY34" s="665" cm="1">
        <f t="array" ref="AY34">INDEX(CountyScoresTbl[OOR Community Need],ROW(CHOORTbl[[#This Row],[COUNTY]])-2,1)*CHOORTbl[[#This Row],[ % OF TOTAL MFD RURAL FUNDING]]</f>
        <v>0</v>
      </c>
      <c r="AZ34" s="694" cm="1">
        <f t="array" ref="AZ34">INDEX(CountyScoresTbl[OOR/ADU Total Feasibility Points Awarded],ROW(CHOORTbl[[#This Row],[COUNTY]])-2,1)*CHOORTbl[[#This Row],[ % OF TOTAL MFD RURAL FUNDING]]</f>
        <v>0</v>
      </c>
      <c r="BA34" s="556"/>
      <c r="BB34" s="561">
        <f>SUM(CHOORTbl[[#This Row],[UNRESTRICTED ADF]],CHOORTbl[[#This Row],[Unrestricted Funds Requesting]])</f>
        <v>0</v>
      </c>
      <c r="BC34" s="556"/>
      <c r="BD34" s="561">
        <f>SUM(CHOORTbl[[#This Row],[MANUFACTURED ADF]],CHOORTbl[[#This Row],[Manufactured Home Funds Requesting]])</f>
        <v>0</v>
      </c>
      <c r="BE34" s="556"/>
      <c r="BF34" s="561">
        <f>SUM(CHOORTbl[[#This Row],[RURAL ADF]],CHOORTbl[[#This Row],[RURAL FUNDING REQUESTED]])</f>
        <v>0</v>
      </c>
      <c r="BG34" s="556"/>
      <c r="BH34" s="562">
        <f>SUM(CHOORTbl[[#This Row],[MFD RURAL ADF]],CHOORTbl[[#This Row],[MFD RURAL FUNDING REQUESTED]])</f>
        <v>0</v>
      </c>
    </row>
    <row r="35" spans="1:60" x14ac:dyDescent="0.35">
      <c r="A35" s="116"/>
      <c r="B35" s="5" t="s">
        <v>147</v>
      </c>
      <c r="C35" s="31" t="s">
        <v>513</v>
      </c>
      <c r="D35" s="109" t="str">
        <f>IF(SUM(CHOORTbl[[#This Row],[Unrestricted Repair Units]:[Unrestricted ADU Reconstruct Units]])=0,"",SUM(CHOORTbl[[#This Row],[Unrestricted Repair Units]:[Unrestricted ADU Reconstruct Units]]))</f>
        <v/>
      </c>
      <c r="E35" s="74" t="str">
        <f xml:space="preserve">
IF(CHOORTbl[[#This Row],[TOTAL UNRESTRICTED]]=0,"",
CHOORTbl[[#This Row],[TOTAL UNRESTRICTED]]*
IF(CH_OOR_UnrestrictedTotalRequested&lt;=5000000,1,
5000000/CH_OOR_UnrestrictedTotalRequested)
)</f>
        <v/>
      </c>
      <c r="F35" s="6" t="str">
        <f>IF(CHOORTbl[[#This Row],[ % OF TOTAL FUNDING]]=0,"",CHOORTbl[[#This Row],[ % OF TOTAL FUNDING]])</f>
        <v/>
      </c>
      <c r="G35" s="31" t="s">
        <v>513</v>
      </c>
      <c r="H35" s="109" t="str">
        <f>IF(SUM(CHOORTbl[[#This Row],[Manufactured Home Units]])=0,"",SUM(CHOORTbl[[#This Row],[Manufactured Home Units]]))</f>
        <v/>
      </c>
      <c r="I35" s="74" t="str">
        <f xml:space="preserve">
IF(CHOORTbl[[#This Row],[TOTAL MANUFACTURED]]=0,"",
CHOORTbl[[#This Row],[TOTAL MANUFACTURED]]*
IF(CH_OOR_ManufacturedTotalRequested&lt;=(5000000-E$61),1,
(5000000-E$61)/CH_OOR_ManufacturedTotalRequested)
)</f>
        <v/>
      </c>
      <c r="J35" s="6" t="str">
        <f>IF(CHOORTbl[[#This Row],[ % OF TOTAL FUNDING2]]=0,"",CHOORTbl[[#This Row],[ % OF TOTAL FUNDING2]])</f>
        <v/>
      </c>
      <c r="K35" s="31" t="s">
        <v>513</v>
      </c>
      <c r="L35" s="109" t="str">
        <f>IF(SUM(CHOORTbl[[#This Row],[RURAL AREA HOMES TO REPAIR2]:[RURAL AREA ADUS TO ADD OR RECONSTRUCT]])=0,"",SUM(CHOORTbl[[#This Row],[RURAL AREA HOMES TO REPAIR2]:[RURAL AREA ADUS TO ADD OR RECONSTRUCT]]))</f>
        <v/>
      </c>
      <c r="M35" s="74" t="str">
        <f xml:space="preserve">
IF(CHOORTbl[[#This Row],[TOTAL RURAL]]=0,"",
CHOORTbl[[#This Row],[TOTAL RURAL]]*
IF(CH_OOR_RuralTotalRequested&lt;=(5000000-E$61-I$61),1,
(5000000-E$61-I$61)/CH_OOR_RuralTotalRequested)
)</f>
        <v/>
      </c>
      <c r="N35" s="6" t="str">
        <f>IF(CHOORTbl[[#This Row],[ % OF TOTAL RURAL FUNDING]]=0,"",CHOORTbl[[#This Row],[ % OF TOTAL RURAL FUNDING]])</f>
        <v/>
      </c>
      <c r="O35" s="31" t="s">
        <v>513</v>
      </c>
      <c r="P35" s="109" t="str">
        <f>IF(SUM(CHOORTbl[[#This Row],[MFD RURAL UNITS]])=0,"",SUM(CHOORTbl[[#This Row],[MFD RURAL UNITS]]))</f>
        <v/>
      </c>
      <c r="Q35" s="74" t="str">
        <f xml:space="preserve">
IF(CHOORTbl[[#This Row],[TOTAL MFD RURAL]]=0,"",
CHOORTbl[[#This Row],[TOTAL MFD RURAL]]*
IF(CH_OOR_MFDRuralTotalRequested&lt;=(5000000-E$61-I$61-M$61),1,
(5000000-E$61-I$61-M$61)/CH_OOR_MFDRuralTotalRequested)
)</f>
        <v/>
      </c>
      <c r="R35" s="6" t="str">
        <f>IF(CHOORTbl[[#This Row],[ % OF TOTAL MFD RURAL FUNDING]]=0,"",CHOORTbl[[#This Row],[ % OF TOTAL MFD RURAL FUNDING]])</f>
        <v/>
      </c>
      <c r="S35" s="44" t="s">
        <v>513</v>
      </c>
      <c r="T35" s="116"/>
      <c r="U35" s="242"/>
      <c r="V35" s="745"/>
      <c r="W35" s="705"/>
      <c r="X35" s="242"/>
      <c r="Y35" s="242"/>
      <c r="Z35" s="242"/>
      <c r="AA35" s="118"/>
      <c r="AB35" s="6">
        <f>IF(CHOORTbl[[#This Row],[TOTAL UNRESTRICTED]]=0,0,CHOORTbl[[#This Row],[TOTAL UNRESTRICTED]]/SUM(CHOORTbl[TOTAL UNRESTRICTED]))</f>
        <v>0</v>
      </c>
      <c r="AC35" s="665">
        <f>IF(CHOORTbl[[#This Row],[ALL UNITS IN A HIGH OR HIGHEST RESOURCE AREA]]="Yes",10*CHOORTbl[[#This Row],[ % OF TOTAL FUNDING]],0)</f>
        <v>0</v>
      </c>
      <c r="AD35" s="665" cm="1">
        <f t="array" ref="AD35">INDEX(CountyScoresTbl[OOR Community Need],ROW(CHOORTbl[[#This Row],[COUNTY]])-2,1)*CHOORTbl[[#This Row],[ % OF TOTAL FUNDING]]</f>
        <v>0</v>
      </c>
      <c r="AE35" s="694" cm="1">
        <f t="array" ref="AE35">INDEX(CountyScoresTbl[OOR/ADU Total Feasibility Points Awarded],ROW(CHOORTbl[[#This Row],[COUNTY]])-2,1)*CHOORTbl[[#This Row],[ % OF TOTAL FUNDING]]</f>
        <v>0</v>
      </c>
      <c r="AF35" s="124"/>
      <c r="AG35" s="118"/>
      <c r="AH35" s="6">
        <f>IF(CHOORTbl[[#This Row],[TOTAL MANUFACTURED]]=0,0,CHOORTbl[[#This Row],[TOTAL MANUFACTURED]]/SUM(CHOORTbl[TOTAL MANUFACTURED]))</f>
        <v>0</v>
      </c>
      <c r="AI35" s="665">
        <f>IF(CHOORTbl[[#This Row],[ALL UNITS IN A HIGH OR HIGHEST RESOURCE AREA]]="Yes",10*CHOORTbl[[#This Row],[ % OF TOTAL FUNDING2]],0)</f>
        <v>0</v>
      </c>
      <c r="AJ35" s="665" cm="1">
        <f t="array" ref="AJ35">INDEX(CountyScoresTbl[OOR Community Need],ROW(CHOORTbl[[#This Row],[COUNTY]])-2,1)*CHOORTbl[[#This Row],[ % OF TOTAL FUNDING2]]</f>
        <v>0</v>
      </c>
      <c r="AK35" s="694" cm="1">
        <f t="array" ref="AK35">INDEX(CountyScoresTbl[OOR/ADU Total Feasibility Points Awarded],ROW(CHOORTbl[[#This Row],[COUNTY]])-2,1)*CHOORTbl[[#This Row],[ % OF TOTAL FUNDING2]]</f>
        <v>0</v>
      </c>
      <c r="AL35" s="124"/>
      <c r="AM35" s="119"/>
      <c r="AN35" s="119"/>
      <c r="AO35" s="119"/>
      <c r="AP35" s="118"/>
      <c r="AQ35" s="6">
        <f>IF(CHOORTbl[[#This Row],[TOTAL RURAL]]=0,0,CHOORTbl[[#This Row],[TOTAL RURAL]]/SUM(CHOORTbl[TOTAL RURAL]))</f>
        <v>0</v>
      </c>
      <c r="AR35" s="665">
        <f>IF(CHOORTbl[[#This Row],[ALL UNITS IN A HIGH OR HIGHEST RESOURCE AREA]]="Yes",10*CHOORTbl[[#This Row],[ % OF TOTAL RURAL FUNDING]],0)</f>
        <v>0</v>
      </c>
      <c r="AS35" s="665" cm="1">
        <f t="array" ref="AS35">INDEX(CountyScoresTbl[OOR Community Need],ROW(CHOORTbl[[#This Row],[COUNTY]])-2,1)*CHOORTbl[[#This Row],[ % OF TOTAL RURAL FUNDING]]</f>
        <v>0</v>
      </c>
      <c r="AT35" s="694" cm="1">
        <f t="array" ref="AT35">INDEX(CountyScoresTbl[OOR/ADU Total Feasibility Points Awarded],ROW(CHOORTbl[[#This Row],[COUNTY]])-2,1)*CHOORTbl[[#This Row],[ % OF TOTAL RURAL FUNDING]]</f>
        <v>0</v>
      </c>
      <c r="AU35" s="126"/>
      <c r="AV35" s="118"/>
      <c r="AW35" s="6">
        <f>IF(CHOORTbl[[#This Row],[TOTAL MFD RURAL]]=0,0,CHOORTbl[[#This Row],[TOTAL MFD RURAL]]/SUM(CHOORTbl[TOTAL MFD RURAL]))</f>
        <v>0</v>
      </c>
      <c r="AX35" s="665">
        <f>IF(CHOORTbl[[#This Row],[ALL UNITS IN A HIGH OR HIGHEST RESOURCE AREA]]="Yes",10*CHOORTbl[[#This Row],[ % OF TOTAL MFD RURAL FUNDING]],0)</f>
        <v>0</v>
      </c>
      <c r="AY35" s="665" cm="1">
        <f t="array" ref="AY35">INDEX(CountyScoresTbl[OOR Community Need],ROW(CHOORTbl[[#This Row],[COUNTY]])-2,1)*CHOORTbl[[#This Row],[ % OF TOTAL MFD RURAL FUNDING]]</f>
        <v>0</v>
      </c>
      <c r="AZ35" s="694" cm="1">
        <f t="array" ref="AZ35">INDEX(CountyScoresTbl[OOR/ADU Total Feasibility Points Awarded],ROW(CHOORTbl[[#This Row],[COUNTY]])-2,1)*CHOORTbl[[#This Row],[ % OF TOTAL MFD RURAL FUNDING]]</f>
        <v>0</v>
      </c>
      <c r="BA35" s="556"/>
      <c r="BB35" s="561">
        <f>SUM(CHOORTbl[[#This Row],[UNRESTRICTED ADF]],CHOORTbl[[#This Row],[Unrestricted Funds Requesting]])</f>
        <v>0</v>
      </c>
      <c r="BC35" s="556"/>
      <c r="BD35" s="561">
        <f>SUM(CHOORTbl[[#This Row],[MANUFACTURED ADF]],CHOORTbl[[#This Row],[Manufactured Home Funds Requesting]])</f>
        <v>0</v>
      </c>
      <c r="BE35" s="556"/>
      <c r="BF35" s="561">
        <f>SUM(CHOORTbl[[#This Row],[RURAL ADF]],CHOORTbl[[#This Row],[RURAL FUNDING REQUESTED]])</f>
        <v>0</v>
      </c>
      <c r="BG35" s="556"/>
      <c r="BH35" s="562">
        <f>SUM(CHOORTbl[[#This Row],[MFD RURAL ADF]],CHOORTbl[[#This Row],[MFD RURAL FUNDING REQUESTED]])</f>
        <v>0</v>
      </c>
    </row>
    <row r="36" spans="1:60" x14ac:dyDescent="0.35">
      <c r="A36" s="116"/>
      <c r="B36" s="5" t="s">
        <v>148</v>
      </c>
      <c r="C36" s="31" t="s">
        <v>513</v>
      </c>
      <c r="D36" s="109" t="str">
        <f>IF(SUM(CHOORTbl[[#This Row],[Unrestricted Repair Units]:[Unrestricted ADU Reconstruct Units]])=0,"",SUM(CHOORTbl[[#This Row],[Unrestricted Repair Units]:[Unrestricted ADU Reconstruct Units]]))</f>
        <v/>
      </c>
      <c r="E36" s="74" t="str">
        <f xml:space="preserve">
IF(CHOORTbl[[#This Row],[TOTAL UNRESTRICTED]]=0,"",
CHOORTbl[[#This Row],[TOTAL UNRESTRICTED]]*
IF(CH_OOR_UnrestrictedTotalRequested&lt;=5000000,1,
5000000/CH_OOR_UnrestrictedTotalRequested)
)</f>
        <v/>
      </c>
      <c r="F36" s="6" t="str">
        <f>IF(CHOORTbl[[#This Row],[ % OF TOTAL FUNDING]]=0,"",CHOORTbl[[#This Row],[ % OF TOTAL FUNDING]])</f>
        <v/>
      </c>
      <c r="G36" s="31" t="s">
        <v>513</v>
      </c>
      <c r="H36" s="109" t="str">
        <f>IF(SUM(CHOORTbl[[#This Row],[Manufactured Home Units]])=0,"",SUM(CHOORTbl[[#This Row],[Manufactured Home Units]]))</f>
        <v/>
      </c>
      <c r="I36" s="74" t="str">
        <f xml:space="preserve">
IF(CHOORTbl[[#This Row],[TOTAL MANUFACTURED]]=0,"",
CHOORTbl[[#This Row],[TOTAL MANUFACTURED]]*
IF(CH_OOR_ManufacturedTotalRequested&lt;=(5000000-E$61),1,
(5000000-E$61)/CH_OOR_ManufacturedTotalRequested)
)</f>
        <v/>
      </c>
      <c r="J36" s="6" t="str">
        <f>IF(CHOORTbl[[#This Row],[ % OF TOTAL FUNDING2]]=0,"",CHOORTbl[[#This Row],[ % OF TOTAL FUNDING2]])</f>
        <v/>
      </c>
      <c r="K36" s="31" t="s">
        <v>513</v>
      </c>
      <c r="L36" s="109" t="str">
        <f>IF(SUM(CHOORTbl[[#This Row],[RURAL AREA HOMES TO REPAIR2]:[RURAL AREA ADUS TO ADD OR RECONSTRUCT]])=0,"",SUM(CHOORTbl[[#This Row],[RURAL AREA HOMES TO REPAIR2]:[RURAL AREA ADUS TO ADD OR RECONSTRUCT]]))</f>
        <v/>
      </c>
      <c r="M36" s="74" t="str">
        <f xml:space="preserve">
IF(CHOORTbl[[#This Row],[TOTAL RURAL]]=0,"",
CHOORTbl[[#This Row],[TOTAL RURAL]]*
IF(CH_OOR_RuralTotalRequested&lt;=(5000000-E$61-I$61),1,
(5000000-E$61-I$61)/CH_OOR_RuralTotalRequested)
)</f>
        <v/>
      </c>
      <c r="N36" s="6" t="str">
        <f>IF(CHOORTbl[[#This Row],[ % OF TOTAL RURAL FUNDING]]=0,"",CHOORTbl[[#This Row],[ % OF TOTAL RURAL FUNDING]])</f>
        <v/>
      </c>
      <c r="O36" s="31" t="s">
        <v>513</v>
      </c>
      <c r="P36" s="109" t="str">
        <f>IF(SUM(CHOORTbl[[#This Row],[MFD RURAL UNITS]])=0,"",SUM(CHOORTbl[[#This Row],[MFD RURAL UNITS]]))</f>
        <v/>
      </c>
      <c r="Q36" s="74" t="str">
        <f xml:space="preserve">
IF(CHOORTbl[[#This Row],[TOTAL MFD RURAL]]=0,"",
CHOORTbl[[#This Row],[TOTAL MFD RURAL]]*
IF(CH_OOR_MFDRuralTotalRequested&lt;=(5000000-E$61-I$61-M$61),1,
(5000000-E$61-I$61-M$61)/CH_OOR_MFDRuralTotalRequested)
)</f>
        <v/>
      </c>
      <c r="R36" s="6" t="str">
        <f>IF(CHOORTbl[[#This Row],[ % OF TOTAL MFD RURAL FUNDING]]=0,"",CHOORTbl[[#This Row],[ % OF TOTAL MFD RURAL FUNDING]])</f>
        <v/>
      </c>
      <c r="S36" s="44" t="s">
        <v>513</v>
      </c>
      <c r="T36" s="116"/>
      <c r="U36" s="242"/>
      <c r="V36" s="745"/>
      <c r="W36" s="705"/>
      <c r="X36" s="242"/>
      <c r="Y36" s="242"/>
      <c r="Z36" s="242"/>
      <c r="AA36" s="118"/>
      <c r="AB36" s="6">
        <f>IF(CHOORTbl[[#This Row],[TOTAL UNRESTRICTED]]=0,0,CHOORTbl[[#This Row],[TOTAL UNRESTRICTED]]/SUM(CHOORTbl[TOTAL UNRESTRICTED]))</f>
        <v>0</v>
      </c>
      <c r="AC36" s="665">
        <f>IF(CHOORTbl[[#This Row],[ALL UNITS IN A HIGH OR HIGHEST RESOURCE AREA]]="Yes",10*CHOORTbl[[#This Row],[ % OF TOTAL FUNDING]],0)</f>
        <v>0</v>
      </c>
      <c r="AD36" s="665" cm="1">
        <f t="array" ref="AD36">INDEX(CountyScoresTbl[OOR Community Need],ROW(CHOORTbl[[#This Row],[COUNTY]])-2,1)*CHOORTbl[[#This Row],[ % OF TOTAL FUNDING]]</f>
        <v>0</v>
      </c>
      <c r="AE36" s="694" cm="1">
        <f t="array" ref="AE36">INDEX(CountyScoresTbl[OOR/ADU Total Feasibility Points Awarded],ROW(CHOORTbl[[#This Row],[COUNTY]])-2,1)*CHOORTbl[[#This Row],[ % OF TOTAL FUNDING]]</f>
        <v>0</v>
      </c>
      <c r="AF36" s="124"/>
      <c r="AG36" s="118"/>
      <c r="AH36" s="6">
        <f>IF(CHOORTbl[[#This Row],[TOTAL MANUFACTURED]]=0,0,CHOORTbl[[#This Row],[TOTAL MANUFACTURED]]/SUM(CHOORTbl[TOTAL MANUFACTURED]))</f>
        <v>0</v>
      </c>
      <c r="AI36" s="665">
        <f>IF(CHOORTbl[[#This Row],[ALL UNITS IN A HIGH OR HIGHEST RESOURCE AREA]]="Yes",10*CHOORTbl[[#This Row],[ % OF TOTAL FUNDING2]],0)</f>
        <v>0</v>
      </c>
      <c r="AJ36" s="665" cm="1">
        <f t="array" ref="AJ36">INDEX(CountyScoresTbl[OOR Community Need],ROW(CHOORTbl[[#This Row],[COUNTY]])-2,1)*CHOORTbl[[#This Row],[ % OF TOTAL FUNDING2]]</f>
        <v>0</v>
      </c>
      <c r="AK36" s="694" cm="1">
        <f t="array" ref="AK36">INDEX(CountyScoresTbl[OOR/ADU Total Feasibility Points Awarded],ROW(CHOORTbl[[#This Row],[COUNTY]])-2,1)*CHOORTbl[[#This Row],[ % OF TOTAL FUNDING2]]</f>
        <v>0</v>
      </c>
      <c r="AL36" s="124"/>
      <c r="AM36" s="119"/>
      <c r="AN36" s="119"/>
      <c r="AO36" s="119"/>
      <c r="AP36" s="118"/>
      <c r="AQ36" s="6">
        <f>IF(CHOORTbl[[#This Row],[TOTAL RURAL]]=0,0,CHOORTbl[[#This Row],[TOTAL RURAL]]/SUM(CHOORTbl[TOTAL RURAL]))</f>
        <v>0</v>
      </c>
      <c r="AR36" s="665">
        <f>IF(CHOORTbl[[#This Row],[ALL UNITS IN A HIGH OR HIGHEST RESOURCE AREA]]="Yes",10*CHOORTbl[[#This Row],[ % OF TOTAL RURAL FUNDING]],0)</f>
        <v>0</v>
      </c>
      <c r="AS36" s="665" cm="1">
        <f t="array" ref="AS36">INDEX(CountyScoresTbl[OOR Community Need],ROW(CHOORTbl[[#This Row],[COUNTY]])-2,1)*CHOORTbl[[#This Row],[ % OF TOTAL RURAL FUNDING]]</f>
        <v>0</v>
      </c>
      <c r="AT36" s="694" cm="1">
        <f t="array" ref="AT36">INDEX(CountyScoresTbl[OOR/ADU Total Feasibility Points Awarded],ROW(CHOORTbl[[#This Row],[COUNTY]])-2,1)*CHOORTbl[[#This Row],[ % OF TOTAL RURAL FUNDING]]</f>
        <v>0</v>
      </c>
      <c r="AU36" s="126"/>
      <c r="AV36" s="118"/>
      <c r="AW36" s="6">
        <f>IF(CHOORTbl[[#This Row],[TOTAL MFD RURAL]]=0,0,CHOORTbl[[#This Row],[TOTAL MFD RURAL]]/SUM(CHOORTbl[TOTAL MFD RURAL]))</f>
        <v>0</v>
      </c>
      <c r="AX36" s="665">
        <f>IF(CHOORTbl[[#This Row],[ALL UNITS IN A HIGH OR HIGHEST RESOURCE AREA]]="Yes",10*CHOORTbl[[#This Row],[ % OF TOTAL MFD RURAL FUNDING]],0)</f>
        <v>0</v>
      </c>
      <c r="AY36" s="665" cm="1">
        <f t="array" ref="AY36">INDEX(CountyScoresTbl[OOR Community Need],ROW(CHOORTbl[[#This Row],[COUNTY]])-2,1)*CHOORTbl[[#This Row],[ % OF TOTAL MFD RURAL FUNDING]]</f>
        <v>0</v>
      </c>
      <c r="AZ36" s="694" cm="1">
        <f t="array" ref="AZ36">INDEX(CountyScoresTbl[OOR/ADU Total Feasibility Points Awarded],ROW(CHOORTbl[[#This Row],[COUNTY]])-2,1)*CHOORTbl[[#This Row],[ % OF TOTAL MFD RURAL FUNDING]]</f>
        <v>0</v>
      </c>
      <c r="BA36" s="556"/>
      <c r="BB36" s="561">
        <f>SUM(CHOORTbl[[#This Row],[UNRESTRICTED ADF]],CHOORTbl[[#This Row],[Unrestricted Funds Requesting]])</f>
        <v>0</v>
      </c>
      <c r="BC36" s="556"/>
      <c r="BD36" s="561">
        <f>SUM(CHOORTbl[[#This Row],[MANUFACTURED ADF]],CHOORTbl[[#This Row],[Manufactured Home Funds Requesting]])</f>
        <v>0</v>
      </c>
      <c r="BE36" s="556"/>
      <c r="BF36" s="561">
        <f>SUM(CHOORTbl[[#This Row],[RURAL ADF]],CHOORTbl[[#This Row],[RURAL FUNDING REQUESTED]])</f>
        <v>0</v>
      </c>
      <c r="BG36" s="556"/>
      <c r="BH36" s="562">
        <f>SUM(CHOORTbl[[#This Row],[MFD RURAL ADF]],CHOORTbl[[#This Row],[MFD RURAL FUNDING REQUESTED]])</f>
        <v>0</v>
      </c>
    </row>
    <row r="37" spans="1:60" x14ac:dyDescent="0.35">
      <c r="A37" s="116"/>
      <c r="B37" s="5" t="s">
        <v>149</v>
      </c>
      <c r="C37" s="31" t="s">
        <v>513</v>
      </c>
      <c r="D37" s="109" t="str">
        <f>IF(SUM(CHOORTbl[[#This Row],[Unrestricted Repair Units]:[Unrestricted ADU Reconstruct Units]])=0,"",SUM(CHOORTbl[[#This Row],[Unrestricted Repair Units]:[Unrestricted ADU Reconstruct Units]]))</f>
        <v/>
      </c>
      <c r="E37" s="74" t="str">
        <f xml:space="preserve">
IF(CHOORTbl[[#This Row],[TOTAL UNRESTRICTED]]=0,"",
CHOORTbl[[#This Row],[TOTAL UNRESTRICTED]]*
IF(CH_OOR_UnrestrictedTotalRequested&lt;=5000000,1,
5000000/CH_OOR_UnrestrictedTotalRequested)
)</f>
        <v/>
      </c>
      <c r="F37" s="6" t="str">
        <f>IF(CHOORTbl[[#This Row],[ % OF TOTAL FUNDING]]=0,"",CHOORTbl[[#This Row],[ % OF TOTAL FUNDING]])</f>
        <v/>
      </c>
      <c r="G37" s="31" t="s">
        <v>513</v>
      </c>
      <c r="H37" s="109" t="str">
        <f>IF(SUM(CHOORTbl[[#This Row],[Manufactured Home Units]])=0,"",SUM(CHOORTbl[[#This Row],[Manufactured Home Units]]))</f>
        <v/>
      </c>
      <c r="I37" s="74" t="str">
        <f xml:space="preserve">
IF(CHOORTbl[[#This Row],[TOTAL MANUFACTURED]]=0,"",
CHOORTbl[[#This Row],[TOTAL MANUFACTURED]]*
IF(CH_OOR_ManufacturedTotalRequested&lt;=(5000000-E$61),1,
(5000000-E$61)/CH_OOR_ManufacturedTotalRequested)
)</f>
        <v/>
      </c>
      <c r="J37" s="6" t="str">
        <f>IF(CHOORTbl[[#This Row],[ % OF TOTAL FUNDING2]]=0,"",CHOORTbl[[#This Row],[ % OF TOTAL FUNDING2]])</f>
        <v/>
      </c>
      <c r="K37" s="31" t="s">
        <v>513</v>
      </c>
      <c r="L37" s="109" t="str">
        <f>IF(SUM(CHOORTbl[[#This Row],[RURAL AREA HOMES TO REPAIR2]:[RURAL AREA ADUS TO ADD OR RECONSTRUCT]])=0,"",SUM(CHOORTbl[[#This Row],[RURAL AREA HOMES TO REPAIR2]:[RURAL AREA ADUS TO ADD OR RECONSTRUCT]]))</f>
        <v/>
      </c>
      <c r="M37" s="74" t="str">
        <f xml:space="preserve">
IF(CHOORTbl[[#This Row],[TOTAL RURAL]]=0,"",
CHOORTbl[[#This Row],[TOTAL RURAL]]*
IF(CH_OOR_RuralTotalRequested&lt;=(5000000-E$61-I$61),1,
(5000000-E$61-I$61)/CH_OOR_RuralTotalRequested)
)</f>
        <v/>
      </c>
      <c r="N37" s="6" t="str">
        <f>IF(CHOORTbl[[#This Row],[ % OF TOTAL RURAL FUNDING]]=0,"",CHOORTbl[[#This Row],[ % OF TOTAL RURAL FUNDING]])</f>
        <v/>
      </c>
      <c r="O37" s="31" t="s">
        <v>513</v>
      </c>
      <c r="P37" s="109" t="str">
        <f>IF(SUM(CHOORTbl[[#This Row],[MFD RURAL UNITS]])=0,"",SUM(CHOORTbl[[#This Row],[MFD RURAL UNITS]]))</f>
        <v/>
      </c>
      <c r="Q37" s="74" t="str">
        <f xml:space="preserve">
IF(CHOORTbl[[#This Row],[TOTAL MFD RURAL]]=0,"",
CHOORTbl[[#This Row],[TOTAL MFD RURAL]]*
IF(CH_OOR_MFDRuralTotalRequested&lt;=(5000000-E$61-I$61-M$61),1,
(5000000-E$61-I$61-M$61)/CH_OOR_MFDRuralTotalRequested)
)</f>
        <v/>
      </c>
      <c r="R37" s="6" t="str">
        <f>IF(CHOORTbl[[#This Row],[ % OF TOTAL MFD RURAL FUNDING]]=0,"",CHOORTbl[[#This Row],[ % OF TOTAL MFD RURAL FUNDING]])</f>
        <v/>
      </c>
      <c r="S37" s="44" t="s">
        <v>513</v>
      </c>
      <c r="T37" s="116"/>
      <c r="U37" s="242"/>
      <c r="V37" s="745"/>
      <c r="W37" s="705"/>
      <c r="X37" s="242"/>
      <c r="Y37" s="242"/>
      <c r="Z37" s="242"/>
      <c r="AA37" s="118"/>
      <c r="AB37" s="6">
        <f>IF(CHOORTbl[[#This Row],[TOTAL UNRESTRICTED]]=0,0,CHOORTbl[[#This Row],[TOTAL UNRESTRICTED]]/SUM(CHOORTbl[TOTAL UNRESTRICTED]))</f>
        <v>0</v>
      </c>
      <c r="AC37" s="665">
        <f>IF(CHOORTbl[[#This Row],[ALL UNITS IN A HIGH OR HIGHEST RESOURCE AREA]]="Yes",10*CHOORTbl[[#This Row],[ % OF TOTAL FUNDING]],0)</f>
        <v>0</v>
      </c>
      <c r="AD37" s="665" cm="1">
        <f t="array" ref="AD37">INDEX(CountyScoresTbl[OOR Community Need],ROW(CHOORTbl[[#This Row],[COUNTY]])-2,1)*CHOORTbl[[#This Row],[ % OF TOTAL FUNDING]]</f>
        <v>0</v>
      </c>
      <c r="AE37" s="694" cm="1">
        <f t="array" ref="AE37">INDEX(CountyScoresTbl[OOR/ADU Total Feasibility Points Awarded],ROW(CHOORTbl[[#This Row],[COUNTY]])-2,1)*CHOORTbl[[#This Row],[ % OF TOTAL FUNDING]]</f>
        <v>0</v>
      </c>
      <c r="AF37" s="124"/>
      <c r="AG37" s="118"/>
      <c r="AH37" s="6">
        <f>IF(CHOORTbl[[#This Row],[TOTAL MANUFACTURED]]=0,0,CHOORTbl[[#This Row],[TOTAL MANUFACTURED]]/SUM(CHOORTbl[TOTAL MANUFACTURED]))</f>
        <v>0</v>
      </c>
      <c r="AI37" s="665">
        <f>IF(CHOORTbl[[#This Row],[ALL UNITS IN A HIGH OR HIGHEST RESOURCE AREA]]="Yes",10*CHOORTbl[[#This Row],[ % OF TOTAL FUNDING2]],0)</f>
        <v>0</v>
      </c>
      <c r="AJ37" s="665" cm="1">
        <f t="array" ref="AJ37">INDEX(CountyScoresTbl[OOR Community Need],ROW(CHOORTbl[[#This Row],[COUNTY]])-2,1)*CHOORTbl[[#This Row],[ % OF TOTAL FUNDING2]]</f>
        <v>0</v>
      </c>
      <c r="AK37" s="694" cm="1">
        <f t="array" ref="AK37">INDEX(CountyScoresTbl[OOR/ADU Total Feasibility Points Awarded],ROW(CHOORTbl[[#This Row],[COUNTY]])-2,1)*CHOORTbl[[#This Row],[ % OF TOTAL FUNDING2]]</f>
        <v>0</v>
      </c>
      <c r="AL37" s="124"/>
      <c r="AM37" s="119"/>
      <c r="AN37" s="119"/>
      <c r="AO37" s="119"/>
      <c r="AP37" s="118"/>
      <c r="AQ37" s="6">
        <f>IF(CHOORTbl[[#This Row],[TOTAL RURAL]]=0,0,CHOORTbl[[#This Row],[TOTAL RURAL]]/SUM(CHOORTbl[TOTAL RURAL]))</f>
        <v>0</v>
      </c>
      <c r="AR37" s="665">
        <f>IF(CHOORTbl[[#This Row],[ALL UNITS IN A HIGH OR HIGHEST RESOURCE AREA]]="Yes",10*CHOORTbl[[#This Row],[ % OF TOTAL RURAL FUNDING]],0)</f>
        <v>0</v>
      </c>
      <c r="AS37" s="665" cm="1">
        <f t="array" ref="AS37">INDEX(CountyScoresTbl[OOR Community Need],ROW(CHOORTbl[[#This Row],[COUNTY]])-2,1)*CHOORTbl[[#This Row],[ % OF TOTAL RURAL FUNDING]]</f>
        <v>0</v>
      </c>
      <c r="AT37" s="694" cm="1">
        <f t="array" ref="AT37">INDEX(CountyScoresTbl[OOR/ADU Total Feasibility Points Awarded],ROW(CHOORTbl[[#This Row],[COUNTY]])-2,1)*CHOORTbl[[#This Row],[ % OF TOTAL RURAL FUNDING]]</f>
        <v>0</v>
      </c>
      <c r="AU37" s="126"/>
      <c r="AV37" s="118"/>
      <c r="AW37" s="6">
        <f>IF(CHOORTbl[[#This Row],[TOTAL MFD RURAL]]=0,0,CHOORTbl[[#This Row],[TOTAL MFD RURAL]]/SUM(CHOORTbl[TOTAL MFD RURAL]))</f>
        <v>0</v>
      </c>
      <c r="AX37" s="665">
        <f>IF(CHOORTbl[[#This Row],[ALL UNITS IN A HIGH OR HIGHEST RESOURCE AREA]]="Yes",10*CHOORTbl[[#This Row],[ % OF TOTAL MFD RURAL FUNDING]],0)</f>
        <v>0</v>
      </c>
      <c r="AY37" s="665" cm="1">
        <f t="array" ref="AY37">INDEX(CountyScoresTbl[OOR Community Need],ROW(CHOORTbl[[#This Row],[COUNTY]])-2,1)*CHOORTbl[[#This Row],[ % OF TOTAL MFD RURAL FUNDING]]</f>
        <v>0</v>
      </c>
      <c r="AZ37" s="694" cm="1">
        <f t="array" ref="AZ37">INDEX(CountyScoresTbl[OOR/ADU Total Feasibility Points Awarded],ROW(CHOORTbl[[#This Row],[COUNTY]])-2,1)*CHOORTbl[[#This Row],[ % OF TOTAL MFD RURAL FUNDING]]</f>
        <v>0</v>
      </c>
      <c r="BA37" s="556"/>
      <c r="BB37" s="561">
        <f>SUM(CHOORTbl[[#This Row],[UNRESTRICTED ADF]],CHOORTbl[[#This Row],[Unrestricted Funds Requesting]])</f>
        <v>0</v>
      </c>
      <c r="BC37" s="556"/>
      <c r="BD37" s="561">
        <f>SUM(CHOORTbl[[#This Row],[MANUFACTURED ADF]],CHOORTbl[[#This Row],[Manufactured Home Funds Requesting]])</f>
        <v>0</v>
      </c>
      <c r="BE37" s="556"/>
      <c r="BF37" s="561">
        <f>SUM(CHOORTbl[[#This Row],[RURAL ADF]],CHOORTbl[[#This Row],[RURAL FUNDING REQUESTED]])</f>
        <v>0</v>
      </c>
      <c r="BG37" s="556"/>
      <c r="BH37" s="562">
        <f>SUM(CHOORTbl[[#This Row],[MFD RURAL ADF]],CHOORTbl[[#This Row],[MFD RURAL FUNDING REQUESTED]])</f>
        <v>0</v>
      </c>
    </row>
    <row r="38" spans="1:60" x14ac:dyDescent="0.35">
      <c r="A38" s="116"/>
      <c r="B38" s="5" t="s">
        <v>150</v>
      </c>
      <c r="C38" s="31" t="s">
        <v>513</v>
      </c>
      <c r="D38" s="109" t="str">
        <f>IF(SUM(CHOORTbl[[#This Row],[Unrestricted Repair Units]:[Unrestricted ADU Reconstruct Units]])=0,"",SUM(CHOORTbl[[#This Row],[Unrestricted Repair Units]:[Unrestricted ADU Reconstruct Units]]))</f>
        <v/>
      </c>
      <c r="E38" s="74" t="str">
        <f xml:space="preserve">
IF(CHOORTbl[[#This Row],[TOTAL UNRESTRICTED]]=0,"",
CHOORTbl[[#This Row],[TOTAL UNRESTRICTED]]*
IF(CH_OOR_UnrestrictedTotalRequested&lt;=5000000,1,
5000000/CH_OOR_UnrestrictedTotalRequested)
)</f>
        <v/>
      </c>
      <c r="F38" s="6" t="str">
        <f>IF(CHOORTbl[[#This Row],[ % OF TOTAL FUNDING]]=0,"",CHOORTbl[[#This Row],[ % OF TOTAL FUNDING]])</f>
        <v/>
      </c>
      <c r="G38" s="31" t="s">
        <v>513</v>
      </c>
      <c r="H38" s="109" t="str">
        <f>IF(SUM(CHOORTbl[[#This Row],[Manufactured Home Units]])=0,"",SUM(CHOORTbl[[#This Row],[Manufactured Home Units]]))</f>
        <v/>
      </c>
      <c r="I38" s="74" t="str">
        <f xml:space="preserve">
IF(CHOORTbl[[#This Row],[TOTAL MANUFACTURED]]=0,"",
CHOORTbl[[#This Row],[TOTAL MANUFACTURED]]*
IF(CH_OOR_ManufacturedTotalRequested&lt;=(5000000-E$61),1,
(5000000-E$61)/CH_OOR_ManufacturedTotalRequested)
)</f>
        <v/>
      </c>
      <c r="J38" s="6" t="str">
        <f>IF(CHOORTbl[[#This Row],[ % OF TOTAL FUNDING2]]=0,"",CHOORTbl[[#This Row],[ % OF TOTAL FUNDING2]])</f>
        <v/>
      </c>
      <c r="K38" s="31" t="s">
        <v>513</v>
      </c>
      <c r="L38" s="109" t="str">
        <f>IF(SUM(CHOORTbl[[#This Row],[RURAL AREA HOMES TO REPAIR2]:[RURAL AREA ADUS TO ADD OR RECONSTRUCT]])=0,"",SUM(CHOORTbl[[#This Row],[RURAL AREA HOMES TO REPAIR2]:[RURAL AREA ADUS TO ADD OR RECONSTRUCT]]))</f>
        <v/>
      </c>
      <c r="M38" s="74" t="str">
        <f xml:space="preserve">
IF(CHOORTbl[[#This Row],[TOTAL RURAL]]=0,"",
CHOORTbl[[#This Row],[TOTAL RURAL]]*
IF(CH_OOR_RuralTotalRequested&lt;=(5000000-E$61-I$61),1,
(5000000-E$61-I$61)/CH_OOR_RuralTotalRequested)
)</f>
        <v/>
      </c>
      <c r="N38" s="6" t="str">
        <f>IF(CHOORTbl[[#This Row],[ % OF TOTAL RURAL FUNDING]]=0,"",CHOORTbl[[#This Row],[ % OF TOTAL RURAL FUNDING]])</f>
        <v/>
      </c>
      <c r="O38" s="31" t="s">
        <v>513</v>
      </c>
      <c r="P38" s="109" t="str">
        <f>IF(SUM(CHOORTbl[[#This Row],[MFD RURAL UNITS]])=0,"",SUM(CHOORTbl[[#This Row],[MFD RURAL UNITS]]))</f>
        <v/>
      </c>
      <c r="Q38" s="74" t="str">
        <f xml:space="preserve">
IF(CHOORTbl[[#This Row],[TOTAL MFD RURAL]]=0,"",
CHOORTbl[[#This Row],[TOTAL MFD RURAL]]*
IF(CH_OOR_MFDRuralTotalRequested&lt;=(5000000-E$61-I$61-M$61),1,
(5000000-E$61-I$61-M$61)/CH_OOR_MFDRuralTotalRequested)
)</f>
        <v/>
      </c>
      <c r="R38" s="6" t="str">
        <f>IF(CHOORTbl[[#This Row],[ % OF TOTAL MFD RURAL FUNDING]]=0,"",CHOORTbl[[#This Row],[ % OF TOTAL MFD RURAL FUNDING]])</f>
        <v/>
      </c>
      <c r="S38" s="44" t="s">
        <v>513</v>
      </c>
      <c r="T38" s="116"/>
      <c r="U38" s="242"/>
      <c r="V38" s="745"/>
      <c r="W38" s="705"/>
      <c r="X38" s="242"/>
      <c r="Y38" s="242"/>
      <c r="Z38" s="242"/>
      <c r="AA38" s="118"/>
      <c r="AB38" s="6">
        <f>IF(CHOORTbl[[#This Row],[TOTAL UNRESTRICTED]]=0,0,CHOORTbl[[#This Row],[TOTAL UNRESTRICTED]]/SUM(CHOORTbl[TOTAL UNRESTRICTED]))</f>
        <v>0</v>
      </c>
      <c r="AC38" s="665">
        <f>IF(CHOORTbl[[#This Row],[ALL UNITS IN A HIGH OR HIGHEST RESOURCE AREA]]="Yes",10*CHOORTbl[[#This Row],[ % OF TOTAL FUNDING]],0)</f>
        <v>0</v>
      </c>
      <c r="AD38" s="665" cm="1">
        <f t="array" ref="AD38">INDEX(CountyScoresTbl[OOR Community Need],ROW(CHOORTbl[[#This Row],[COUNTY]])-2,1)*CHOORTbl[[#This Row],[ % OF TOTAL FUNDING]]</f>
        <v>0</v>
      </c>
      <c r="AE38" s="694" cm="1">
        <f t="array" ref="AE38">INDEX(CountyScoresTbl[OOR/ADU Total Feasibility Points Awarded],ROW(CHOORTbl[[#This Row],[COUNTY]])-2,1)*CHOORTbl[[#This Row],[ % OF TOTAL FUNDING]]</f>
        <v>0</v>
      </c>
      <c r="AF38" s="124"/>
      <c r="AG38" s="118"/>
      <c r="AH38" s="6">
        <f>IF(CHOORTbl[[#This Row],[TOTAL MANUFACTURED]]=0,0,CHOORTbl[[#This Row],[TOTAL MANUFACTURED]]/SUM(CHOORTbl[TOTAL MANUFACTURED]))</f>
        <v>0</v>
      </c>
      <c r="AI38" s="665">
        <f>IF(CHOORTbl[[#This Row],[ALL UNITS IN A HIGH OR HIGHEST RESOURCE AREA]]="Yes",10*CHOORTbl[[#This Row],[ % OF TOTAL FUNDING2]],0)</f>
        <v>0</v>
      </c>
      <c r="AJ38" s="665" cm="1">
        <f t="array" ref="AJ38">INDEX(CountyScoresTbl[OOR Community Need],ROW(CHOORTbl[[#This Row],[COUNTY]])-2,1)*CHOORTbl[[#This Row],[ % OF TOTAL FUNDING2]]</f>
        <v>0</v>
      </c>
      <c r="AK38" s="694" cm="1">
        <f t="array" ref="AK38">INDEX(CountyScoresTbl[OOR/ADU Total Feasibility Points Awarded],ROW(CHOORTbl[[#This Row],[COUNTY]])-2,1)*CHOORTbl[[#This Row],[ % OF TOTAL FUNDING2]]</f>
        <v>0</v>
      </c>
      <c r="AL38" s="124"/>
      <c r="AM38" s="119"/>
      <c r="AN38" s="119"/>
      <c r="AO38" s="119"/>
      <c r="AP38" s="118"/>
      <c r="AQ38" s="6">
        <f>IF(CHOORTbl[[#This Row],[TOTAL RURAL]]=0,0,CHOORTbl[[#This Row],[TOTAL RURAL]]/SUM(CHOORTbl[TOTAL RURAL]))</f>
        <v>0</v>
      </c>
      <c r="AR38" s="665">
        <f>IF(CHOORTbl[[#This Row],[ALL UNITS IN A HIGH OR HIGHEST RESOURCE AREA]]="Yes",10*CHOORTbl[[#This Row],[ % OF TOTAL RURAL FUNDING]],0)</f>
        <v>0</v>
      </c>
      <c r="AS38" s="665" cm="1">
        <f t="array" ref="AS38">INDEX(CountyScoresTbl[OOR Community Need],ROW(CHOORTbl[[#This Row],[COUNTY]])-2,1)*CHOORTbl[[#This Row],[ % OF TOTAL RURAL FUNDING]]</f>
        <v>0</v>
      </c>
      <c r="AT38" s="694" cm="1">
        <f t="array" ref="AT38">INDEX(CountyScoresTbl[OOR/ADU Total Feasibility Points Awarded],ROW(CHOORTbl[[#This Row],[COUNTY]])-2,1)*CHOORTbl[[#This Row],[ % OF TOTAL RURAL FUNDING]]</f>
        <v>0</v>
      </c>
      <c r="AU38" s="126"/>
      <c r="AV38" s="118"/>
      <c r="AW38" s="6">
        <f>IF(CHOORTbl[[#This Row],[TOTAL MFD RURAL]]=0,0,CHOORTbl[[#This Row],[TOTAL MFD RURAL]]/SUM(CHOORTbl[TOTAL MFD RURAL]))</f>
        <v>0</v>
      </c>
      <c r="AX38" s="665">
        <f>IF(CHOORTbl[[#This Row],[ALL UNITS IN A HIGH OR HIGHEST RESOURCE AREA]]="Yes",10*CHOORTbl[[#This Row],[ % OF TOTAL MFD RURAL FUNDING]],0)</f>
        <v>0</v>
      </c>
      <c r="AY38" s="665" cm="1">
        <f t="array" ref="AY38">INDEX(CountyScoresTbl[OOR Community Need],ROW(CHOORTbl[[#This Row],[COUNTY]])-2,1)*CHOORTbl[[#This Row],[ % OF TOTAL MFD RURAL FUNDING]]</f>
        <v>0</v>
      </c>
      <c r="AZ38" s="694" cm="1">
        <f t="array" ref="AZ38">INDEX(CountyScoresTbl[OOR/ADU Total Feasibility Points Awarded],ROW(CHOORTbl[[#This Row],[COUNTY]])-2,1)*CHOORTbl[[#This Row],[ % OF TOTAL MFD RURAL FUNDING]]</f>
        <v>0</v>
      </c>
      <c r="BA38" s="556"/>
      <c r="BB38" s="561">
        <f>SUM(CHOORTbl[[#This Row],[UNRESTRICTED ADF]],CHOORTbl[[#This Row],[Unrestricted Funds Requesting]])</f>
        <v>0</v>
      </c>
      <c r="BC38" s="556"/>
      <c r="BD38" s="561">
        <f>SUM(CHOORTbl[[#This Row],[MANUFACTURED ADF]],CHOORTbl[[#This Row],[Manufactured Home Funds Requesting]])</f>
        <v>0</v>
      </c>
      <c r="BE38" s="556"/>
      <c r="BF38" s="561">
        <f>SUM(CHOORTbl[[#This Row],[RURAL ADF]],CHOORTbl[[#This Row],[RURAL FUNDING REQUESTED]])</f>
        <v>0</v>
      </c>
      <c r="BG38" s="556"/>
      <c r="BH38" s="562">
        <f>SUM(CHOORTbl[[#This Row],[MFD RURAL ADF]],CHOORTbl[[#This Row],[MFD RURAL FUNDING REQUESTED]])</f>
        <v>0</v>
      </c>
    </row>
    <row r="39" spans="1:60" x14ac:dyDescent="0.35">
      <c r="A39" s="116"/>
      <c r="B39" s="5" t="s">
        <v>151</v>
      </c>
      <c r="C39" s="31" t="s">
        <v>513</v>
      </c>
      <c r="D39" s="109" t="str">
        <f>IF(SUM(CHOORTbl[[#This Row],[Unrestricted Repair Units]:[Unrestricted ADU Reconstruct Units]])=0,"",SUM(CHOORTbl[[#This Row],[Unrestricted Repair Units]:[Unrestricted ADU Reconstruct Units]]))</f>
        <v/>
      </c>
      <c r="E39" s="74" t="str">
        <f xml:space="preserve">
IF(CHOORTbl[[#This Row],[TOTAL UNRESTRICTED]]=0,"",
CHOORTbl[[#This Row],[TOTAL UNRESTRICTED]]*
IF(CH_OOR_UnrestrictedTotalRequested&lt;=5000000,1,
5000000/CH_OOR_UnrestrictedTotalRequested)
)</f>
        <v/>
      </c>
      <c r="F39" s="6" t="str">
        <f>IF(CHOORTbl[[#This Row],[ % OF TOTAL FUNDING]]=0,"",CHOORTbl[[#This Row],[ % OF TOTAL FUNDING]])</f>
        <v/>
      </c>
      <c r="G39" s="31" t="s">
        <v>513</v>
      </c>
      <c r="H39" s="109" t="str">
        <f>IF(SUM(CHOORTbl[[#This Row],[Manufactured Home Units]])=0,"",SUM(CHOORTbl[[#This Row],[Manufactured Home Units]]))</f>
        <v/>
      </c>
      <c r="I39" s="74" t="str">
        <f xml:space="preserve">
IF(CHOORTbl[[#This Row],[TOTAL MANUFACTURED]]=0,"",
CHOORTbl[[#This Row],[TOTAL MANUFACTURED]]*
IF(CH_OOR_ManufacturedTotalRequested&lt;=(5000000-E$61),1,
(5000000-E$61)/CH_OOR_ManufacturedTotalRequested)
)</f>
        <v/>
      </c>
      <c r="J39" s="6" t="str">
        <f>IF(CHOORTbl[[#This Row],[ % OF TOTAL FUNDING2]]=0,"",CHOORTbl[[#This Row],[ % OF TOTAL FUNDING2]])</f>
        <v/>
      </c>
      <c r="K39" s="31" t="s">
        <v>513</v>
      </c>
      <c r="L39" s="109" t="str">
        <f>IF(SUM(CHOORTbl[[#This Row],[RURAL AREA HOMES TO REPAIR2]:[RURAL AREA ADUS TO ADD OR RECONSTRUCT]])=0,"",SUM(CHOORTbl[[#This Row],[RURAL AREA HOMES TO REPAIR2]:[RURAL AREA ADUS TO ADD OR RECONSTRUCT]]))</f>
        <v/>
      </c>
      <c r="M39" s="74" t="str">
        <f xml:space="preserve">
IF(CHOORTbl[[#This Row],[TOTAL RURAL]]=0,"",
CHOORTbl[[#This Row],[TOTAL RURAL]]*
IF(CH_OOR_RuralTotalRequested&lt;=(5000000-E$61-I$61),1,
(5000000-E$61-I$61)/CH_OOR_RuralTotalRequested)
)</f>
        <v/>
      </c>
      <c r="N39" s="6" t="str">
        <f>IF(CHOORTbl[[#This Row],[ % OF TOTAL RURAL FUNDING]]=0,"",CHOORTbl[[#This Row],[ % OF TOTAL RURAL FUNDING]])</f>
        <v/>
      </c>
      <c r="O39" s="31" t="s">
        <v>513</v>
      </c>
      <c r="P39" s="109" t="str">
        <f>IF(SUM(CHOORTbl[[#This Row],[MFD RURAL UNITS]])=0,"",SUM(CHOORTbl[[#This Row],[MFD RURAL UNITS]]))</f>
        <v/>
      </c>
      <c r="Q39" s="74" t="str">
        <f xml:space="preserve">
IF(CHOORTbl[[#This Row],[TOTAL MFD RURAL]]=0,"",
CHOORTbl[[#This Row],[TOTAL MFD RURAL]]*
IF(CH_OOR_MFDRuralTotalRequested&lt;=(5000000-E$61-I$61-M$61),1,
(5000000-E$61-I$61-M$61)/CH_OOR_MFDRuralTotalRequested)
)</f>
        <v/>
      </c>
      <c r="R39" s="6" t="str">
        <f>IF(CHOORTbl[[#This Row],[ % OF TOTAL MFD RURAL FUNDING]]=0,"",CHOORTbl[[#This Row],[ % OF TOTAL MFD RURAL FUNDING]])</f>
        <v/>
      </c>
      <c r="S39" s="44" t="s">
        <v>513</v>
      </c>
      <c r="T39" s="116"/>
      <c r="U39" s="242"/>
      <c r="V39" s="745"/>
      <c r="W39" s="705"/>
      <c r="X39" s="242"/>
      <c r="Y39" s="242"/>
      <c r="Z39" s="242"/>
      <c r="AA39" s="118"/>
      <c r="AB39" s="6">
        <f>IF(CHOORTbl[[#This Row],[TOTAL UNRESTRICTED]]=0,0,CHOORTbl[[#This Row],[TOTAL UNRESTRICTED]]/SUM(CHOORTbl[TOTAL UNRESTRICTED]))</f>
        <v>0</v>
      </c>
      <c r="AC39" s="665">
        <f>IF(CHOORTbl[[#This Row],[ALL UNITS IN A HIGH OR HIGHEST RESOURCE AREA]]="Yes",10*CHOORTbl[[#This Row],[ % OF TOTAL FUNDING]],0)</f>
        <v>0</v>
      </c>
      <c r="AD39" s="665" cm="1">
        <f t="array" ref="AD39">INDEX(CountyScoresTbl[OOR Community Need],ROW(CHOORTbl[[#This Row],[COUNTY]])-2,1)*CHOORTbl[[#This Row],[ % OF TOTAL FUNDING]]</f>
        <v>0</v>
      </c>
      <c r="AE39" s="694" cm="1">
        <f t="array" ref="AE39">INDEX(CountyScoresTbl[OOR/ADU Total Feasibility Points Awarded],ROW(CHOORTbl[[#This Row],[COUNTY]])-2,1)*CHOORTbl[[#This Row],[ % OF TOTAL FUNDING]]</f>
        <v>0</v>
      </c>
      <c r="AF39" s="124"/>
      <c r="AG39" s="118"/>
      <c r="AH39" s="6">
        <f>IF(CHOORTbl[[#This Row],[TOTAL MANUFACTURED]]=0,0,CHOORTbl[[#This Row],[TOTAL MANUFACTURED]]/SUM(CHOORTbl[TOTAL MANUFACTURED]))</f>
        <v>0</v>
      </c>
      <c r="AI39" s="665">
        <f>IF(CHOORTbl[[#This Row],[ALL UNITS IN A HIGH OR HIGHEST RESOURCE AREA]]="Yes",10*CHOORTbl[[#This Row],[ % OF TOTAL FUNDING2]],0)</f>
        <v>0</v>
      </c>
      <c r="AJ39" s="665" cm="1">
        <f t="array" ref="AJ39">INDEX(CountyScoresTbl[OOR Community Need],ROW(CHOORTbl[[#This Row],[COUNTY]])-2,1)*CHOORTbl[[#This Row],[ % OF TOTAL FUNDING2]]</f>
        <v>0</v>
      </c>
      <c r="AK39" s="694" cm="1">
        <f t="array" ref="AK39">INDEX(CountyScoresTbl[OOR/ADU Total Feasibility Points Awarded],ROW(CHOORTbl[[#This Row],[COUNTY]])-2,1)*CHOORTbl[[#This Row],[ % OF TOTAL FUNDING2]]</f>
        <v>0</v>
      </c>
      <c r="AL39" s="124"/>
      <c r="AM39" s="119"/>
      <c r="AN39" s="119"/>
      <c r="AO39" s="119"/>
      <c r="AP39" s="118"/>
      <c r="AQ39" s="6">
        <f>IF(CHOORTbl[[#This Row],[TOTAL RURAL]]=0,0,CHOORTbl[[#This Row],[TOTAL RURAL]]/SUM(CHOORTbl[TOTAL RURAL]))</f>
        <v>0</v>
      </c>
      <c r="AR39" s="665">
        <f>IF(CHOORTbl[[#This Row],[ALL UNITS IN A HIGH OR HIGHEST RESOURCE AREA]]="Yes",10*CHOORTbl[[#This Row],[ % OF TOTAL RURAL FUNDING]],0)</f>
        <v>0</v>
      </c>
      <c r="AS39" s="665" cm="1">
        <f t="array" ref="AS39">INDEX(CountyScoresTbl[OOR Community Need],ROW(CHOORTbl[[#This Row],[COUNTY]])-2,1)*CHOORTbl[[#This Row],[ % OF TOTAL RURAL FUNDING]]</f>
        <v>0</v>
      </c>
      <c r="AT39" s="694" cm="1">
        <f t="array" ref="AT39">INDEX(CountyScoresTbl[OOR/ADU Total Feasibility Points Awarded],ROW(CHOORTbl[[#This Row],[COUNTY]])-2,1)*CHOORTbl[[#This Row],[ % OF TOTAL RURAL FUNDING]]</f>
        <v>0</v>
      </c>
      <c r="AU39" s="126"/>
      <c r="AV39" s="118"/>
      <c r="AW39" s="6">
        <f>IF(CHOORTbl[[#This Row],[TOTAL MFD RURAL]]=0,0,CHOORTbl[[#This Row],[TOTAL MFD RURAL]]/SUM(CHOORTbl[TOTAL MFD RURAL]))</f>
        <v>0</v>
      </c>
      <c r="AX39" s="665">
        <f>IF(CHOORTbl[[#This Row],[ALL UNITS IN A HIGH OR HIGHEST RESOURCE AREA]]="Yes",10*CHOORTbl[[#This Row],[ % OF TOTAL MFD RURAL FUNDING]],0)</f>
        <v>0</v>
      </c>
      <c r="AY39" s="665" cm="1">
        <f t="array" ref="AY39">INDEX(CountyScoresTbl[OOR Community Need],ROW(CHOORTbl[[#This Row],[COUNTY]])-2,1)*CHOORTbl[[#This Row],[ % OF TOTAL MFD RURAL FUNDING]]</f>
        <v>0</v>
      </c>
      <c r="AZ39" s="694" cm="1">
        <f t="array" ref="AZ39">INDEX(CountyScoresTbl[OOR/ADU Total Feasibility Points Awarded],ROW(CHOORTbl[[#This Row],[COUNTY]])-2,1)*CHOORTbl[[#This Row],[ % OF TOTAL MFD RURAL FUNDING]]</f>
        <v>0</v>
      </c>
      <c r="BA39" s="556"/>
      <c r="BB39" s="561">
        <f>SUM(CHOORTbl[[#This Row],[UNRESTRICTED ADF]],CHOORTbl[[#This Row],[Unrestricted Funds Requesting]])</f>
        <v>0</v>
      </c>
      <c r="BC39" s="556"/>
      <c r="BD39" s="561">
        <f>SUM(CHOORTbl[[#This Row],[MANUFACTURED ADF]],CHOORTbl[[#This Row],[Manufactured Home Funds Requesting]])</f>
        <v>0</v>
      </c>
      <c r="BE39" s="556"/>
      <c r="BF39" s="561">
        <f>SUM(CHOORTbl[[#This Row],[RURAL ADF]],CHOORTbl[[#This Row],[RURAL FUNDING REQUESTED]])</f>
        <v>0</v>
      </c>
      <c r="BG39" s="556"/>
      <c r="BH39" s="562">
        <f>SUM(CHOORTbl[[#This Row],[MFD RURAL ADF]],CHOORTbl[[#This Row],[MFD RURAL FUNDING REQUESTED]])</f>
        <v>0</v>
      </c>
    </row>
    <row r="40" spans="1:60" x14ac:dyDescent="0.35">
      <c r="A40" s="116"/>
      <c r="B40" s="5" t="s">
        <v>152</v>
      </c>
      <c r="C40" s="31" t="s">
        <v>513</v>
      </c>
      <c r="D40" s="109" t="str">
        <f>IF(SUM(CHOORTbl[[#This Row],[Unrestricted Repair Units]:[Unrestricted ADU Reconstruct Units]])=0,"",SUM(CHOORTbl[[#This Row],[Unrestricted Repair Units]:[Unrestricted ADU Reconstruct Units]]))</f>
        <v/>
      </c>
      <c r="E40" s="74" t="str">
        <f xml:space="preserve">
IF(CHOORTbl[[#This Row],[TOTAL UNRESTRICTED]]=0,"",
CHOORTbl[[#This Row],[TOTAL UNRESTRICTED]]*
IF(CH_OOR_UnrestrictedTotalRequested&lt;=5000000,1,
5000000/CH_OOR_UnrestrictedTotalRequested)
)</f>
        <v/>
      </c>
      <c r="F40" s="6" t="str">
        <f>IF(CHOORTbl[[#This Row],[ % OF TOTAL FUNDING]]=0,"",CHOORTbl[[#This Row],[ % OF TOTAL FUNDING]])</f>
        <v/>
      </c>
      <c r="G40" s="31" t="s">
        <v>513</v>
      </c>
      <c r="H40" s="109" t="str">
        <f>IF(SUM(CHOORTbl[[#This Row],[Manufactured Home Units]])=0,"",SUM(CHOORTbl[[#This Row],[Manufactured Home Units]]))</f>
        <v/>
      </c>
      <c r="I40" s="74" t="str">
        <f xml:space="preserve">
IF(CHOORTbl[[#This Row],[TOTAL MANUFACTURED]]=0,"",
CHOORTbl[[#This Row],[TOTAL MANUFACTURED]]*
IF(CH_OOR_ManufacturedTotalRequested&lt;=(5000000-E$61),1,
(5000000-E$61)/CH_OOR_ManufacturedTotalRequested)
)</f>
        <v/>
      </c>
      <c r="J40" s="6" t="str">
        <f>IF(CHOORTbl[[#This Row],[ % OF TOTAL FUNDING2]]=0,"",CHOORTbl[[#This Row],[ % OF TOTAL FUNDING2]])</f>
        <v/>
      </c>
      <c r="K40" s="31" t="s">
        <v>513</v>
      </c>
      <c r="L40" s="109" t="str">
        <f>IF(SUM(CHOORTbl[[#This Row],[RURAL AREA HOMES TO REPAIR2]:[RURAL AREA ADUS TO ADD OR RECONSTRUCT]])=0,"",SUM(CHOORTbl[[#This Row],[RURAL AREA HOMES TO REPAIR2]:[RURAL AREA ADUS TO ADD OR RECONSTRUCT]]))</f>
        <v/>
      </c>
      <c r="M40" s="74" t="str">
        <f xml:space="preserve">
IF(CHOORTbl[[#This Row],[TOTAL RURAL]]=0,"",
CHOORTbl[[#This Row],[TOTAL RURAL]]*
IF(CH_OOR_RuralTotalRequested&lt;=(5000000-E$61-I$61),1,
(5000000-E$61-I$61)/CH_OOR_RuralTotalRequested)
)</f>
        <v/>
      </c>
      <c r="N40" s="6" t="str">
        <f>IF(CHOORTbl[[#This Row],[ % OF TOTAL RURAL FUNDING]]=0,"",CHOORTbl[[#This Row],[ % OF TOTAL RURAL FUNDING]])</f>
        <v/>
      </c>
      <c r="O40" s="31" t="s">
        <v>513</v>
      </c>
      <c r="P40" s="109" t="str">
        <f>IF(SUM(CHOORTbl[[#This Row],[MFD RURAL UNITS]])=0,"",SUM(CHOORTbl[[#This Row],[MFD RURAL UNITS]]))</f>
        <v/>
      </c>
      <c r="Q40" s="74" t="str">
        <f xml:space="preserve">
IF(CHOORTbl[[#This Row],[TOTAL MFD RURAL]]=0,"",
CHOORTbl[[#This Row],[TOTAL MFD RURAL]]*
IF(CH_OOR_MFDRuralTotalRequested&lt;=(5000000-E$61-I$61-M$61),1,
(5000000-E$61-I$61-M$61)/CH_OOR_MFDRuralTotalRequested)
)</f>
        <v/>
      </c>
      <c r="R40" s="6" t="str">
        <f>IF(CHOORTbl[[#This Row],[ % OF TOTAL MFD RURAL FUNDING]]=0,"",CHOORTbl[[#This Row],[ % OF TOTAL MFD RURAL FUNDING]])</f>
        <v/>
      </c>
      <c r="S40" s="44" t="s">
        <v>513</v>
      </c>
      <c r="T40" s="116"/>
      <c r="U40" s="242"/>
      <c r="V40" s="745"/>
      <c r="W40" s="705"/>
      <c r="X40" s="242"/>
      <c r="Y40" s="242"/>
      <c r="Z40" s="242"/>
      <c r="AA40" s="118"/>
      <c r="AB40" s="6">
        <f>IF(CHOORTbl[[#This Row],[TOTAL UNRESTRICTED]]=0,0,CHOORTbl[[#This Row],[TOTAL UNRESTRICTED]]/SUM(CHOORTbl[TOTAL UNRESTRICTED]))</f>
        <v>0</v>
      </c>
      <c r="AC40" s="665">
        <f>IF(CHOORTbl[[#This Row],[ALL UNITS IN A HIGH OR HIGHEST RESOURCE AREA]]="Yes",10*CHOORTbl[[#This Row],[ % OF TOTAL FUNDING]],0)</f>
        <v>0</v>
      </c>
      <c r="AD40" s="665" cm="1">
        <f t="array" ref="AD40">INDEX(CountyScoresTbl[OOR Community Need],ROW(CHOORTbl[[#This Row],[COUNTY]])-2,1)*CHOORTbl[[#This Row],[ % OF TOTAL FUNDING]]</f>
        <v>0</v>
      </c>
      <c r="AE40" s="694" cm="1">
        <f t="array" ref="AE40">INDEX(CountyScoresTbl[OOR/ADU Total Feasibility Points Awarded],ROW(CHOORTbl[[#This Row],[COUNTY]])-2,1)*CHOORTbl[[#This Row],[ % OF TOTAL FUNDING]]</f>
        <v>0</v>
      </c>
      <c r="AF40" s="124"/>
      <c r="AG40" s="118"/>
      <c r="AH40" s="6">
        <f>IF(CHOORTbl[[#This Row],[TOTAL MANUFACTURED]]=0,0,CHOORTbl[[#This Row],[TOTAL MANUFACTURED]]/SUM(CHOORTbl[TOTAL MANUFACTURED]))</f>
        <v>0</v>
      </c>
      <c r="AI40" s="665">
        <f>IF(CHOORTbl[[#This Row],[ALL UNITS IN A HIGH OR HIGHEST RESOURCE AREA]]="Yes",10*CHOORTbl[[#This Row],[ % OF TOTAL FUNDING2]],0)</f>
        <v>0</v>
      </c>
      <c r="AJ40" s="665" cm="1">
        <f t="array" ref="AJ40">INDEX(CountyScoresTbl[OOR Community Need],ROW(CHOORTbl[[#This Row],[COUNTY]])-2,1)*CHOORTbl[[#This Row],[ % OF TOTAL FUNDING2]]</f>
        <v>0</v>
      </c>
      <c r="AK40" s="694" cm="1">
        <f t="array" ref="AK40">INDEX(CountyScoresTbl[OOR/ADU Total Feasibility Points Awarded],ROW(CHOORTbl[[#This Row],[COUNTY]])-2,1)*CHOORTbl[[#This Row],[ % OF TOTAL FUNDING2]]</f>
        <v>0</v>
      </c>
      <c r="AL40" s="124"/>
      <c r="AM40" s="119"/>
      <c r="AN40" s="119"/>
      <c r="AO40" s="119"/>
      <c r="AP40" s="118"/>
      <c r="AQ40" s="6">
        <f>IF(CHOORTbl[[#This Row],[TOTAL RURAL]]=0,0,CHOORTbl[[#This Row],[TOTAL RURAL]]/SUM(CHOORTbl[TOTAL RURAL]))</f>
        <v>0</v>
      </c>
      <c r="AR40" s="665">
        <f>IF(CHOORTbl[[#This Row],[ALL UNITS IN A HIGH OR HIGHEST RESOURCE AREA]]="Yes",10*CHOORTbl[[#This Row],[ % OF TOTAL RURAL FUNDING]],0)</f>
        <v>0</v>
      </c>
      <c r="AS40" s="665" cm="1">
        <f t="array" ref="AS40">INDEX(CountyScoresTbl[OOR Community Need],ROW(CHOORTbl[[#This Row],[COUNTY]])-2,1)*CHOORTbl[[#This Row],[ % OF TOTAL RURAL FUNDING]]</f>
        <v>0</v>
      </c>
      <c r="AT40" s="694" cm="1">
        <f t="array" ref="AT40">INDEX(CountyScoresTbl[OOR/ADU Total Feasibility Points Awarded],ROW(CHOORTbl[[#This Row],[COUNTY]])-2,1)*CHOORTbl[[#This Row],[ % OF TOTAL RURAL FUNDING]]</f>
        <v>0</v>
      </c>
      <c r="AU40" s="126"/>
      <c r="AV40" s="118"/>
      <c r="AW40" s="6">
        <f>IF(CHOORTbl[[#This Row],[TOTAL MFD RURAL]]=0,0,CHOORTbl[[#This Row],[TOTAL MFD RURAL]]/SUM(CHOORTbl[TOTAL MFD RURAL]))</f>
        <v>0</v>
      </c>
      <c r="AX40" s="665">
        <f>IF(CHOORTbl[[#This Row],[ALL UNITS IN A HIGH OR HIGHEST RESOURCE AREA]]="Yes",10*CHOORTbl[[#This Row],[ % OF TOTAL MFD RURAL FUNDING]],0)</f>
        <v>0</v>
      </c>
      <c r="AY40" s="665" cm="1">
        <f t="array" ref="AY40">INDEX(CountyScoresTbl[OOR Community Need],ROW(CHOORTbl[[#This Row],[COUNTY]])-2,1)*CHOORTbl[[#This Row],[ % OF TOTAL MFD RURAL FUNDING]]</f>
        <v>0</v>
      </c>
      <c r="AZ40" s="694" cm="1">
        <f t="array" ref="AZ40">INDEX(CountyScoresTbl[OOR/ADU Total Feasibility Points Awarded],ROW(CHOORTbl[[#This Row],[COUNTY]])-2,1)*CHOORTbl[[#This Row],[ % OF TOTAL MFD RURAL FUNDING]]</f>
        <v>0</v>
      </c>
      <c r="BA40" s="556"/>
      <c r="BB40" s="561">
        <f>SUM(CHOORTbl[[#This Row],[UNRESTRICTED ADF]],CHOORTbl[[#This Row],[Unrestricted Funds Requesting]])</f>
        <v>0</v>
      </c>
      <c r="BC40" s="556"/>
      <c r="BD40" s="561">
        <f>SUM(CHOORTbl[[#This Row],[MANUFACTURED ADF]],CHOORTbl[[#This Row],[Manufactured Home Funds Requesting]])</f>
        <v>0</v>
      </c>
      <c r="BE40" s="556"/>
      <c r="BF40" s="561">
        <f>SUM(CHOORTbl[[#This Row],[RURAL ADF]],CHOORTbl[[#This Row],[RURAL FUNDING REQUESTED]])</f>
        <v>0</v>
      </c>
      <c r="BG40" s="556"/>
      <c r="BH40" s="562">
        <f>SUM(CHOORTbl[[#This Row],[MFD RURAL ADF]],CHOORTbl[[#This Row],[MFD RURAL FUNDING REQUESTED]])</f>
        <v>0</v>
      </c>
    </row>
    <row r="41" spans="1:60" x14ac:dyDescent="0.35">
      <c r="A41" s="116"/>
      <c r="B41" s="5" t="s">
        <v>153</v>
      </c>
      <c r="C41" s="31" t="s">
        <v>513</v>
      </c>
      <c r="D41" s="109" t="str">
        <f>IF(SUM(CHOORTbl[[#This Row],[Unrestricted Repair Units]:[Unrestricted ADU Reconstruct Units]])=0,"",SUM(CHOORTbl[[#This Row],[Unrestricted Repair Units]:[Unrestricted ADU Reconstruct Units]]))</f>
        <v/>
      </c>
      <c r="E41" s="74" t="str">
        <f xml:space="preserve">
IF(CHOORTbl[[#This Row],[TOTAL UNRESTRICTED]]=0,"",
CHOORTbl[[#This Row],[TOTAL UNRESTRICTED]]*
IF(CH_OOR_UnrestrictedTotalRequested&lt;=5000000,1,
5000000/CH_OOR_UnrestrictedTotalRequested)
)</f>
        <v/>
      </c>
      <c r="F41" s="6" t="str">
        <f>IF(CHOORTbl[[#This Row],[ % OF TOTAL FUNDING]]=0,"",CHOORTbl[[#This Row],[ % OF TOTAL FUNDING]])</f>
        <v/>
      </c>
      <c r="G41" s="31" t="s">
        <v>513</v>
      </c>
      <c r="H41" s="109" t="str">
        <f>IF(SUM(CHOORTbl[[#This Row],[Manufactured Home Units]])=0,"",SUM(CHOORTbl[[#This Row],[Manufactured Home Units]]))</f>
        <v/>
      </c>
      <c r="I41" s="74" t="str">
        <f xml:space="preserve">
IF(CHOORTbl[[#This Row],[TOTAL MANUFACTURED]]=0,"",
CHOORTbl[[#This Row],[TOTAL MANUFACTURED]]*
IF(CH_OOR_ManufacturedTotalRequested&lt;=(5000000-E$61),1,
(5000000-E$61)/CH_OOR_ManufacturedTotalRequested)
)</f>
        <v/>
      </c>
      <c r="J41" s="6" t="str">
        <f>IF(CHOORTbl[[#This Row],[ % OF TOTAL FUNDING2]]=0,"",CHOORTbl[[#This Row],[ % OF TOTAL FUNDING2]])</f>
        <v/>
      </c>
      <c r="K41" s="31" t="s">
        <v>513</v>
      </c>
      <c r="L41" s="109" t="str">
        <f>IF(SUM(CHOORTbl[[#This Row],[RURAL AREA HOMES TO REPAIR2]:[RURAL AREA ADUS TO ADD OR RECONSTRUCT]])=0,"",SUM(CHOORTbl[[#This Row],[RURAL AREA HOMES TO REPAIR2]:[RURAL AREA ADUS TO ADD OR RECONSTRUCT]]))</f>
        <v/>
      </c>
      <c r="M41" s="74" t="str">
        <f xml:space="preserve">
IF(CHOORTbl[[#This Row],[TOTAL RURAL]]=0,"",
CHOORTbl[[#This Row],[TOTAL RURAL]]*
IF(CH_OOR_RuralTotalRequested&lt;=(5000000-E$61-I$61),1,
(5000000-E$61-I$61)/CH_OOR_RuralTotalRequested)
)</f>
        <v/>
      </c>
      <c r="N41" s="6" t="str">
        <f>IF(CHOORTbl[[#This Row],[ % OF TOTAL RURAL FUNDING]]=0,"",CHOORTbl[[#This Row],[ % OF TOTAL RURAL FUNDING]])</f>
        <v/>
      </c>
      <c r="O41" s="31" t="s">
        <v>513</v>
      </c>
      <c r="P41" s="109" t="str">
        <f>IF(SUM(CHOORTbl[[#This Row],[MFD RURAL UNITS]])=0,"",SUM(CHOORTbl[[#This Row],[MFD RURAL UNITS]]))</f>
        <v/>
      </c>
      <c r="Q41" s="74" t="str">
        <f xml:space="preserve">
IF(CHOORTbl[[#This Row],[TOTAL MFD RURAL]]=0,"",
CHOORTbl[[#This Row],[TOTAL MFD RURAL]]*
IF(CH_OOR_MFDRuralTotalRequested&lt;=(5000000-E$61-I$61-M$61),1,
(5000000-E$61-I$61-M$61)/CH_OOR_MFDRuralTotalRequested)
)</f>
        <v/>
      </c>
      <c r="R41" s="6" t="str">
        <f>IF(CHOORTbl[[#This Row],[ % OF TOTAL MFD RURAL FUNDING]]=0,"",CHOORTbl[[#This Row],[ % OF TOTAL MFD RURAL FUNDING]])</f>
        <v/>
      </c>
      <c r="S41" s="44" t="s">
        <v>513</v>
      </c>
      <c r="T41" s="116"/>
      <c r="U41" s="242"/>
      <c r="V41" s="745"/>
      <c r="W41" s="705"/>
      <c r="X41" s="242"/>
      <c r="Y41" s="242"/>
      <c r="Z41" s="242"/>
      <c r="AA41" s="118"/>
      <c r="AB41" s="6">
        <f>IF(CHOORTbl[[#This Row],[TOTAL UNRESTRICTED]]=0,0,CHOORTbl[[#This Row],[TOTAL UNRESTRICTED]]/SUM(CHOORTbl[TOTAL UNRESTRICTED]))</f>
        <v>0</v>
      </c>
      <c r="AC41" s="665">
        <f>IF(CHOORTbl[[#This Row],[ALL UNITS IN A HIGH OR HIGHEST RESOURCE AREA]]="Yes",10*CHOORTbl[[#This Row],[ % OF TOTAL FUNDING]],0)</f>
        <v>0</v>
      </c>
      <c r="AD41" s="665" cm="1">
        <f t="array" ref="AD41">INDEX(CountyScoresTbl[OOR Community Need],ROW(CHOORTbl[[#This Row],[COUNTY]])-2,1)*CHOORTbl[[#This Row],[ % OF TOTAL FUNDING]]</f>
        <v>0</v>
      </c>
      <c r="AE41" s="694" cm="1">
        <f t="array" ref="AE41">INDEX(CountyScoresTbl[OOR/ADU Total Feasibility Points Awarded],ROW(CHOORTbl[[#This Row],[COUNTY]])-2,1)*CHOORTbl[[#This Row],[ % OF TOTAL FUNDING]]</f>
        <v>0</v>
      </c>
      <c r="AF41" s="124"/>
      <c r="AG41" s="118"/>
      <c r="AH41" s="6">
        <f>IF(CHOORTbl[[#This Row],[TOTAL MANUFACTURED]]=0,0,CHOORTbl[[#This Row],[TOTAL MANUFACTURED]]/SUM(CHOORTbl[TOTAL MANUFACTURED]))</f>
        <v>0</v>
      </c>
      <c r="AI41" s="665">
        <f>IF(CHOORTbl[[#This Row],[ALL UNITS IN A HIGH OR HIGHEST RESOURCE AREA]]="Yes",10*CHOORTbl[[#This Row],[ % OF TOTAL FUNDING2]],0)</f>
        <v>0</v>
      </c>
      <c r="AJ41" s="665" cm="1">
        <f t="array" ref="AJ41">INDEX(CountyScoresTbl[OOR Community Need],ROW(CHOORTbl[[#This Row],[COUNTY]])-2,1)*CHOORTbl[[#This Row],[ % OF TOTAL FUNDING2]]</f>
        <v>0</v>
      </c>
      <c r="AK41" s="694" cm="1">
        <f t="array" ref="AK41">INDEX(CountyScoresTbl[OOR/ADU Total Feasibility Points Awarded],ROW(CHOORTbl[[#This Row],[COUNTY]])-2,1)*CHOORTbl[[#This Row],[ % OF TOTAL FUNDING2]]</f>
        <v>0</v>
      </c>
      <c r="AL41" s="124"/>
      <c r="AM41" s="119"/>
      <c r="AN41" s="119"/>
      <c r="AO41" s="119"/>
      <c r="AP41" s="118"/>
      <c r="AQ41" s="6">
        <f>IF(CHOORTbl[[#This Row],[TOTAL RURAL]]=0,0,CHOORTbl[[#This Row],[TOTAL RURAL]]/SUM(CHOORTbl[TOTAL RURAL]))</f>
        <v>0</v>
      </c>
      <c r="AR41" s="665">
        <f>IF(CHOORTbl[[#This Row],[ALL UNITS IN A HIGH OR HIGHEST RESOURCE AREA]]="Yes",10*CHOORTbl[[#This Row],[ % OF TOTAL RURAL FUNDING]],0)</f>
        <v>0</v>
      </c>
      <c r="AS41" s="665" cm="1">
        <f t="array" ref="AS41">INDEX(CountyScoresTbl[OOR Community Need],ROW(CHOORTbl[[#This Row],[COUNTY]])-2,1)*CHOORTbl[[#This Row],[ % OF TOTAL RURAL FUNDING]]</f>
        <v>0</v>
      </c>
      <c r="AT41" s="694" cm="1">
        <f t="array" ref="AT41">INDEX(CountyScoresTbl[OOR/ADU Total Feasibility Points Awarded],ROW(CHOORTbl[[#This Row],[COUNTY]])-2,1)*CHOORTbl[[#This Row],[ % OF TOTAL RURAL FUNDING]]</f>
        <v>0</v>
      </c>
      <c r="AU41" s="126"/>
      <c r="AV41" s="118"/>
      <c r="AW41" s="6">
        <f>IF(CHOORTbl[[#This Row],[TOTAL MFD RURAL]]=0,0,CHOORTbl[[#This Row],[TOTAL MFD RURAL]]/SUM(CHOORTbl[TOTAL MFD RURAL]))</f>
        <v>0</v>
      </c>
      <c r="AX41" s="665">
        <f>IF(CHOORTbl[[#This Row],[ALL UNITS IN A HIGH OR HIGHEST RESOURCE AREA]]="Yes",10*CHOORTbl[[#This Row],[ % OF TOTAL MFD RURAL FUNDING]],0)</f>
        <v>0</v>
      </c>
      <c r="AY41" s="665" cm="1">
        <f t="array" ref="AY41">INDEX(CountyScoresTbl[OOR Community Need],ROW(CHOORTbl[[#This Row],[COUNTY]])-2,1)*CHOORTbl[[#This Row],[ % OF TOTAL MFD RURAL FUNDING]]</f>
        <v>0</v>
      </c>
      <c r="AZ41" s="694" cm="1">
        <f t="array" ref="AZ41">INDEX(CountyScoresTbl[OOR/ADU Total Feasibility Points Awarded],ROW(CHOORTbl[[#This Row],[COUNTY]])-2,1)*CHOORTbl[[#This Row],[ % OF TOTAL MFD RURAL FUNDING]]</f>
        <v>0</v>
      </c>
      <c r="BA41" s="556"/>
      <c r="BB41" s="561">
        <f>SUM(CHOORTbl[[#This Row],[UNRESTRICTED ADF]],CHOORTbl[[#This Row],[Unrestricted Funds Requesting]])</f>
        <v>0</v>
      </c>
      <c r="BC41" s="556"/>
      <c r="BD41" s="561">
        <f>SUM(CHOORTbl[[#This Row],[MANUFACTURED ADF]],CHOORTbl[[#This Row],[Manufactured Home Funds Requesting]])</f>
        <v>0</v>
      </c>
      <c r="BE41" s="556"/>
      <c r="BF41" s="561">
        <f>SUM(CHOORTbl[[#This Row],[RURAL ADF]],CHOORTbl[[#This Row],[RURAL FUNDING REQUESTED]])</f>
        <v>0</v>
      </c>
      <c r="BG41" s="556"/>
      <c r="BH41" s="562">
        <f>SUM(CHOORTbl[[#This Row],[MFD RURAL ADF]],CHOORTbl[[#This Row],[MFD RURAL FUNDING REQUESTED]])</f>
        <v>0</v>
      </c>
    </row>
    <row r="42" spans="1:60" x14ac:dyDescent="0.35">
      <c r="A42" s="116"/>
      <c r="B42" s="5" t="s">
        <v>154</v>
      </c>
      <c r="C42" s="31" t="s">
        <v>513</v>
      </c>
      <c r="D42" s="109" t="str">
        <f>IF(SUM(CHOORTbl[[#This Row],[Unrestricted Repair Units]:[Unrestricted ADU Reconstruct Units]])=0,"",SUM(CHOORTbl[[#This Row],[Unrestricted Repair Units]:[Unrestricted ADU Reconstruct Units]]))</f>
        <v/>
      </c>
      <c r="E42" s="74" t="str">
        <f xml:space="preserve">
IF(CHOORTbl[[#This Row],[TOTAL UNRESTRICTED]]=0,"",
CHOORTbl[[#This Row],[TOTAL UNRESTRICTED]]*
IF(CH_OOR_UnrestrictedTotalRequested&lt;=5000000,1,
5000000/CH_OOR_UnrestrictedTotalRequested)
)</f>
        <v/>
      </c>
      <c r="F42" s="6" t="str">
        <f>IF(CHOORTbl[[#This Row],[ % OF TOTAL FUNDING]]=0,"",CHOORTbl[[#This Row],[ % OF TOTAL FUNDING]])</f>
        <v/>
      </c>
      <c r="G42" s="31" t="s">
        <v>513</v>
      </c>
      <c r="H42" s="109" t="str">
        <f>IF(SUM(CHOORTbl[[#This Row],[Manufactured Home Units]])=0,"",SUM(CHOORTbl[[#This Row],[Manufactured Home Units]]))</f>
        <v/>
      </c>
      <c r="I42" s="74" t="str">
        <f xml:space="preserve">
IF(CHOORTbl[[#This Row],[TOTAL MANUFACTURED]]=0,"",
CHOORTbl[[#This Row],[TOTAL MANUFACTURED]]*
IF(CH_OOR_ManufacturedTotalRequested&lt;=(5000000-E$61),1,
(5000000-E$61)/CH_OOR_ManufacturedTotalRequested)
)</f>
        <v/>
      </c>
      <c r="J42" s="6" t="str">
        <f>IF(CHOORTbl[[#This Row],[ % OF TOTAL FUNDING2]]=0,"",CHOORTbl[[#This Row],[ % OF TOTAL FUNDING2]])</f>
        <v/>
      </c>
      <c r="K42" s="31" t="s">
        <v>513</v>
      </c>
      <c r="L42" s="109" t="str">
        <f>IF(SUM(CHOORTbl[[#This Row],[RURAL AREA HOMES TO REPAIR2]:[RURAL AREA ADUS TO ADD OR RECONSTRUCT]])=0,"",SUM(CHOORTbl[[#This Row],[RURAL AREA HOMES TO REPAIR2]:[RURAL AREA ADUS TO ADD OR RECONSTRUCT]]))</f>
        <v/>
      </c>
      <c r="M42" s="74" t="str">
        <f xml:space="preserve">
IF(CHOORTbl[[#This Row],[TOTAL RURAL]]=0,"",
CHOORTbl[[#This Row],[TOTAL RURAL]]*
IF(CH_OOR_RuralTotalRequested&lt;=(5000000-E$61-I$61),1,
(5000000-E$61-I$61)/CH_OOR_RuralTotalRequested)
)</f>
        <v/>
      </c>
      <c r="N42" s="6" t="str">
        <f>IF(CHOORTbl[[#This Row],[ % OF TOTAL RURAL FUNDING]]=0,"",CHOORTbl[[#This Row],[ % OF TOTAL RURAL FUNDING]])</f>
        <v/>
      </c>
      <c r="O42" s="31" t="s">
        <v>513</v>
      </c>
      <c r="P42" s="109" t="str">
        <f>IF(SUM(CHOORTbl[[#This Row],[MFD RURAL UNITS]])=0,"",SUM(CHOORTbl[[#This Row],[MFD RURAL UNITS]]))</f>
        <v/>
      </c>
      <c r="Q42" s="74" t="str">
        <f xml:space="preserve">
IF(CHOORTbl[[#This Row],[TOTAL MFD RURAL]]=0,"",
CHOORTbl[[#This Row],[TOTAL MFD RURAL]]*
IF(CH_OOR_MFDRuralTotalRequested&lt;=(5000000-E$61-I$61-M$61),1,
(5000000-E$61-I$61-M$61)/CH_OOR_MFDRuralTotalRequested)
)</f>
        <v/>
      </c>
      <c r="R42" s="6" t="str">
        <f>IF(CHOORTbl[[#This Row],[ % OF TOTAL MFD RURAL FUNDING]]=0,"",CHOORTbl[[#This Row],[ % OF TOTAL MFD RURAL FUNDING]])</f>
        <v/>
      </c>
      <c r="S42" s="44" t="s">
        <v>513</v>
      </c>
      <c r="T42" s="116"/>
      <c r="U42" s="242"/>
      <c r="V42" s="745"/>
      <c r="W42" s="705"/>
      <c r="X42" s="242"/>
      <c r="Y42" s="242"/>
      <c r="Z42" s="242"/>
      <c r="AA42" s="118"/>
      <c r="AB42" s="6">
        <f>IF(CHOORTbl[[#This Row],[TOTAL UNRESTRICTED]]=0,0,CHOORTbl[[#This Row],[TOTAL UNRESTRICTED]]/SUM(CHOORTbl[TOTAL UNRESTRICTED]))</f>
        <v>0</v>
      </c>
      <c r="AC42" s="665">
        <f>IF(CHOORTbl[[#This Row],[ALL UNITS IN A HIGH OR HIGHEST RESOURCE AREA]]="Yes",10*CHOORTbl[[#This Row],[ % OF TOTAL FUNDING]],0)</f>
        <v>0</v>
      </c>
      <c r="AD42" s="665" cm="1">
        <f t="array" ref="AD42">INDEX(CountyScoresTbl[OOR Community Need],ROW(CHOORTbl[[#This Row],[COUNTY]])-2,1)*CHOORTbl[[#This Row],[ % OF TOTAL FUNDING]]</f>
        <v>0</v>
      </c>
      <c r="AE42" s="694" cm="1">
        <f t="array" ref="AE42">INDEX(CountyScoresTbl[OOR/ADU Total Feasibility Points Awarded],ROW(CHOORTbl[[#This Row],[COUNTY]])-2,1)*CHOORTbl[[#This Row],[ % OF TOTAL FUNDING]]</f>
        <v>0</v>
      </c>
      <c r="AF42" s="124"/>
      <c r="AG42" s="118"/>
      <c r="AH42" s="6">
        <f>IF(CHOORTbl[[#This Row],[TOTAL MANUFACTURED]]=0,0,CHOORTbl[[#This Row],[TOTAL MANUFACTURED]]/SUM(CHOORTbl[TOTAL MANUFACTURED]))</f>
        <v>0</v>
      </c>
      <c r="AI42" s="665">
        <f>IF(CHOORTbl[[#This Row],[ALL UNITS IN A HIGH OR HIGHEST RESOURCE AREA]]="Yes",10*CHOORTbl[[#This Row],[ % OF TOTAL FUNDING2]],0)</f>
        <v>0</v>
      </c>
      <c r="AJ42" s="665" cm="1">
        <f t="array" ref="AJ42">INDEX(CountyScoresTbl[OOR Community Need],ROW(CHOORTbl[[#This Row],[COUNTY]])-2,1)*CHOORTbl[[#This Row],[ % OF TOTAL FUNDING2]]</f>
        <v>0</v>
      </c>
      <c r="AK42" s="694" cm="1">
        <f t="array" ref="AK42">INDEX(CountyScoresTbl[OOR/ADU Total Feasibility Points Awarded],ROW(CHOORTbl[[#This Row],[COUNTY]])-2,1)*CHOORTbl[[#This Row],[ % OF TOTAL FUNDING2]]</f>
        <v>0</v>
      </c>
      <c r="AL42" s="124"/>
      <c r="AM42" s="119"/>
      <c r="AN42" s="119"/>
      <c r="AO42" s="119"/>
      <c r="AP42" s="118"/>
      <c r="AQ42" s="6">
        <f>IF(CHOORTbl[[#This Row],[TOTAL RURAL]]=0,0,CHOORTbl[[#This Row],[TOTAL RURAL]]/SUM(CHOORTbl[TOTAL RURAL]))</f>
        <v>0</v>
      </c>
      <c r="AR42" s="665">
        <f>IF(CHOORTbl[[#This Row],[ALL UNITS IN A HIGH OR HIGHEST RESOURCE AREA]]="Yes",10*CHOORTbl[[#This Row],[ % OF TOTAL RURAL FUNDING]],0)</f>
        <v>0</v>
      </c>
      <c r="AS42" s="665" cm="1">
        <f t="array" ref="AS42">INDEX(CountyScoresTbl[OOR Community Need],ROW(CHOORTbl[[#This Row],[COUNTY]])-2,1)*CHOORTbl[[#This Row],[ % OF TOTAL RURAL FUNDING]]</f>
        <v>0</v>
      </c>
      <c r="AT42" s="694" cm="1">
        <f t="array" ref="AT42">INDEX(CountyScoresTbl[OOR/ADU Total Feasibility Points Awarded],ROW(CHOORTbl[[#This Row],[COUNTY]])-2,1)*CHOORTbl[[#This Row],[ % OF TOTAL RURAL FUNDING]]</f>
        <v>0</v>
      </c>
      <c r="AU42" s="126"/>
      <c r="AV42" s="118"/>
      <c r="AW42" s="6">
        <f>IF(CHOORTbl[[#This Row],[TOTAL MFD RURAL]]=0,0,CHOORTbl[[#This Row],[TOTAL MFD RURAL]]/SUM(CHOORTbl[TOTAL MFD RURAL]))</f>
        <v>0</v>
      </c>
      <c r="AX42" s="665">
        <f>IF(CHOORTbl[[#This Row],[ALL UNITS IN A HIGH OR HIGHEST RESOURCE AREA]]="Yes",10*CHOORTbl[[#This Row],[ % OF TOTAL MFD RURAL FUNDING]],0)</f>
        <v>0</v>
      </c>
      <c r="AY42" s="665" cm="1">
        <f t="array" ref="AY42">INDEX(CountyScoresTbl[OOR Community Need],ROW(CHOORTbl[[#This Row],[COUNTY]])-2,1)*CHOORTbl[[#This Row],[ % OF TOTAL MFD RURAL FUNDING]]</f>
        <v>0</v>
      </c>
      <c r="AZ42" s="694" cm="1">
        <f t="array" ref="AZ42">INDEX(CountyScoresTbl[OOR/ADU Total Feasibility Points Awarded],ROW(CHOORTbl[[#This Row],[COUNTY]])-2,1)*CHOORTbl[[#This Row],[ % OF TOTAL MFD RURAL FUNDING]]</f>
        <v>0</v>
      </c>
      <c r="BA42" s="556"/>
      <c r="BB42" s="561">
        <f>SUM(CHOORTbl[[#This Row],[UNRESTRICTED ADF]],CHOORTbl[[#This Row],[Unrestricted Funds Requesting]])</f>
        <v>0</v>
      </c>
      <c r="BC42" s="556"/>
      <c r="BD42" s="561">
        <f>SUM(CHOORTbl[[#This Row],[MANUFACTURED ADF]],CHOORTbl[[#This Row],[Manufactured Home Funds Requesting]])</f>
        <v>0</v>
      </c>
      <c r="BE42" s="556"/>
      <c r="BF42" s="561">
        <f>SUM(CHOORTbl[[#This Row],[RURAL ADF]],CHOORTbl[[#This Row],[RURAL FUNDING REQUESTED]])</f>
        <v>0</v>
      </c>
      <c r="BG42" s="556"/>
      <c r="BH42" s="562">
        <f>SUM(CHOORTbl[[#This Row],[MFD RURAL ADF]],CHOORTbl[[#This Row],[MFD RURAL FUNDING REQUESTED]])</f>
        <v>0</v>
      </c>
    </row>
    <row r="43" spans="1:60" x14ac:dyDescent="0.35">
      <c r="A43" s="116"/>
      <c r="B43" s="5" t="s">
        <v>155</v>
      </c>
      <c r="C43" s="31" t="s">
        <v>513</v>
      </c>
      <c r="D43" s="109" t="str">
        <f>IF(SUM(CHOORTbl[[#This Row],[Unrestricted Repair Units]:[Unrestricted ADU Reconstruct Units]])=0,"",SUM(CHOORTbl[[#This Row],[Unrestricted Repair Units]:[Unrestricted ADU Reconstruct Units]]))</f>
        <v/>
      </c>
      <c r="E43" s="74" t="str">
        <f xml:space="preserve">
IF(CHOORTbl[[#This Row],[TOTAL UNRESTRICTED]]=0,"",
CHOORTbl[[#This Row],[TOTAL UNRESTRICTED]]*
IF(CH_OOR_UnrestrictedTotalRequested&lt;=5000000,1,
5000000/CH_OOR_UnrestrictedTotalRequested)
)</f>
        <v/>
      </c>
      <c r="F43" s="6" t="str">
        <f>IF(CHOORTbl[[#This Row],[ % OF TOTAL FUNDING]]=0,"",CHOORTbl[[#This Row],[ % OF TOTAL FUNDING]])</f>
        <v/>
      </c>
      <c r="G43" s="31" t="s">
        <v>513</v>
      </c>
      <c r="H43" s="109" t="str">
        <f>IF(SUM(CHOORTbl[[#This Row],[Manufactured Home Units]])=0,"",SUM(CHOORTbl[[#This Row],[Manufactured Home Units]]))</f>
        <v/>
      </c>
      <c r="I43" s="74" t="str">
        <f xml:space="preserve">
IF(CHOORTbl[[#This Row],[TOTAL MANUFACTURED]]=0,"",
CHOORTbl[[#This Row],[TOTAL MANUFACTURED]]*
IF(CH_OOR_ManufacturedTotalRequested&lt;=(5000000-E$61),1,
(5000000-E$61)/CH_OOR_ManufacturedTotalRequested)
)</f>
        <v/>
      </c>
      <c r="J43" s="6" t="str">
        <f>IF(CHOORTbl[[#This Row],[ % OF TOTAL FUNDING2]]=0,"",CHOORTbl[[#This Row],[ % OF TOTAL FUNDING2]])</f>
        <v/>
      </c>
      <c r="K43" s="31" t="s">
        <v>513</v>
      </c>
      <c r="L43" s="109" t="str">
        <f>IF(SUM(CHOORTbl[[#This Row],[RURAL AREA HOMES TO REPAIR2]:[RURAL AREA ADUS TO ADD OR RECONSTRUCT]])=0,"",SUM(CHOORTbl[[#This Row],[RURAL AREA HOMES TO REPAIR2]:[RURAL AREA ADUS TO ADD OR RECONSTRUCT]]))</f>
        <v/>
      </c>
      <c r="M43" s="74" t="str">
        <f xml:space="preserve">
IF(CHOORTbl[[#This Row],[TOTAL RURAL]]=0,"",
CHOORTbl[[#This Row],[TOTAL RURAL]]*
IF(CH_OOR_RuralTotalRequested&lt;=(5000000-E$61-I$61),1,
(5000000-E$61-I$61)/CH_OOR_RuralTotalRequested)
)</f>
        <v/>
      </c>
      <c r="N43" s="6" t="str">
        <f>IF(CHOORTbl[[#This Row],[ % OF TOTAL RURAL FUNDING]]=0,"",CHOORTbl[[#This Row],[ % OF TOTAL RURAL FUNDING]])</f>
        <v/>
      </c>
      <c r="O43" s="31" t="s">
        <v>513</v>
      </c>
      <c r="P43" s="109" t="str">
        <f>IF(SUM(CHOORTbl[[#This Row],[MFD RURAL UNITS]])=0,"",SUM(CHOORTbl[[#This Row],[MFD RURAL UNITS]]))</f>
        <v/>
      </c>
      <c r="Q43" s="74" t="str">
        <f xml:space="preserve">
IF(CHOORTbl[[#This Row],[TOTAL MFD RURAL]]=0,"",
CHOORTbl[[#This Row],[TOTAL MFD RURAL]]*
IF(CH_OOR_MFDRuralTotalRequested&lt;=(5000000-E$61-I$61-M$61),1,
(5000000-E$61-I$61-M$61)/CH_OOR_MFDRuralTotalRequested)
)</f>
        <v/>
      </c>
      <c r="R43" s="6" t="str">
        <f>IF(CHOORTbl[[#This Row],[ % OF TOTAL MFD RURAL FUNDING]]=0,"",CHOORTbl[[#This Row],[ % OF TOTAL MFD RURAL FUNDING]])</f>
        <v/>
      </c>
      <c r="S43" s="44" t="s">
        <v>513</v>
      </c>
      <c r="T43" s="116"/>
      <c r="U43" s="242"/>
      <c r="V43" s="745"/>
      <c r="W43" s="705"/>
      <c r="X43" s="242"/>
      <c r="Y43" s="242"/>
      <c r="Z43" s="242"/>
      <c r="AA43" s="118"/>
      <c r="AB43" s="6">
        <f>IF(CHOORTbl[[#This Row],[TOTAL UNRESTRICTED]]=0,0,CHOORTbl[[#This Row],[TOTAL UNRESTRICTED]]/SUM(CHOORTbl[TOTAL UNRESTRICTED]))</f>
        <v>0</v>
      </c>
      <c r="AC43" s="665">
        <f>IF(CHOORTbl[[#This Row],[ALL UNITS IN A HIGH OR HIGHEST RESOURCE AREA]]="Yes",10*CHOORTbl[[#This Row],[ % OF TOTAL FUNDING]],0)</f>
        <v>0</v>
      </c>
      <c r="AD43" s="665" cm="1">
        <f t="array" ref="AD43">INDEX(CountyScoresTbl[OOR Community Need],ROW(CHOORTbl[[#This Row],[COUNTY]])-2,1)*CHOORTbl[[#This Row],[ % OF TOTAL FUNDING]]</f>
        <v>0</v>
      </c>
      <c r="AE43" s="694" cm="1">
        <f t="array" ref="AE43">INDEX(CountyScoresTbl[OOR/ADU Total Feasibility Points Awarded],ROW(CHOORTbl[[#This Row],[COUNTY]])-2,1)*CHOORTbl[[#This Row],[ % OF TOTAL FUNDING]]</f>
        <v>0</v>
      </c>
      <c r="AF43" s="124"/>
      <c r="AG43" s="118"/>
      <c r="AH43" s="6">
        <f>IF(CHOORTbl[[#This Row],[TOTAL MANUFACTURED]]=0,0,CHOORTbl[[#This Row],[TOTAL MANUFACTURED]]/SUM(CHOORTbl[TOTAL MANUFACTURED]))</f>
        <v>0</v>
      </c>
      <c r="AI43" s="665">
        <f>IF(CHOORTbl[[#This Row],[ALL UNITS IN A HIGH OR HIGHEST RESOURCE AREA]]="Yes",10*CHOORTbl[[#This Row],[ % OF TOTAL FUNDING2]],0)</f>
        <v>0</v>
      </c>
      <c r="AJ43" s="665" cm="1">
        <f t="array" ref="AJ43">INDEX(CountyScoresTbl[OOR Community Need],ROW(CHOORTbl[[#This Row],[COUNTY]])-2,1)*CHOORTbl[[#This Row],[ % OF TOTAL FUNDING2]]</f>
        <v>0</v>
      </c>
      <c r="AK43" s="694" cm="1">
        <f t="array" ref="AK43">INDEX(CountyScoresTbl[OOR/ADU Total Feasibility Points Awarded],ROW(CHOORTbl[[#This Row],[COUNTY]])-2,1)*CHOORTbl[[#This Row],[ % OF TOTAL FUNDING2]]</f>
        <v>0</v>
      </c>
      <c r="AL43" s="124"/>
      <c r="AM43" s="119"/>
      <c r="AN43" s="119"/>
      <c r="AO43" s="119"/>
      <c r="AP43" s="118"/>
      <c r="AQ43" s="6">
        <f>IF(CHOORTbl[[#This Row],[TOTAL RURAL]]=0,0,CHOORTbl[[#This Row],[TOTAL RURAL]]/SUM(CHOORTbl[TOTAL RURAL]))</f>
        <v>0</v>
      </c>
      <c r="AR43" s="665">
        <f>IF(CHOORTbl[[#This Row],[ALL UNITS IN A HIGH OR HIGHEST RESOURCE AREA]]="Yes",10*CHOORTbl[[#This Row],[ % OF TOTAL RURAL FUNDING]],0)</f>
        <v>0</v>
      </c>
      <c r="AS43" s="665" cm="1">
        <f t="array" ref="AS43">INDEX(CountyScoresTbl[OOR Community Need],ROW(CHOORTbl[[#This Row],[COUNTY]])-2,1)*CHOORTbl[[#This Row],[ % OF TOTAL RURAL FUNDING]]</f>
        <v>0</v>
      </c>
      <c r="AT43" s="694" cm="1">
        <f t="array" ref="AT43">INDEX(CountyScoresTbl[OOR/ADU Total Feasibility Points Awarded],ROW(CHOORTbl[[#This Row],[COUNTY]])-2,1)*CHOORTbl[[#This Row],[ % OF TOTAL RURAL FUNDING]]</f>
        <v>0</v>
      </c>
      <c r="AU43" s="126"/>
      <c r="AV43" s="118"/>
      <c r="AW43" s="6">
        <f>IF(CHOORTbl[[#This Row],[TOTAL MFD RURAL]]=0,0,CHOORTbl[[#This Row],[TOTAL MFD RURAL]]/SUM(CHOORTbl[TOTAL MFD RURAL]))</f>
        <v>0</v>
      </c>
      <c r="AX43" s="665">
        <f>IF(CHOORTbl[[#This Row],[ALL UNITS IN A HIGH OR HIGHEST RESOURCE AREA]]="Yes",10*CHOORTbl[[#This Row],[ % OF TOTAL MFD RURAL FUNDING]],0)</f>
        <v>0</v>
      </c>
      <c r="AY43" s="665" cm="1">
        <f t="array" ref="AY43">INDEX(CountyScoresTbl[OOR Community Need],ROW(CHOORTbl[[#This Row],[COUNTY]])-2,1)*CHOORTbl[[#This Row],[ % OF TOTAL MFD RURAL FUNDING]]</f>
        <v>0</v>
      </c>
      <c r="AZ43" s="694" cm="1">
        <f t="array" ref="AZ43">INDEX(CountyScoresTbl[OOR/ADU Total Feasibility Points Awarded],ROW(CHOORTbl[[#This Row],[COUNTY]])-2,1)*CHOORTbl[[#This Row],[ % OF TOTAL MFD RURAL FUNDING]]</f>
        <v>0</v>
      </c>
      <c r="BA43" s="556"/>
      <c r="BB43" s="561">
        <f>SUM(CHOORTbl[[#This Row],[UNRESTRICTED ADF]],CHOORTbl[[#This Row],[Unrestricted Funds Requesting]])</f>
        <v>0</v>
      </c>
      <c r="BC43" s="556"/>
      <c r="BD43" s="561">
        <f>SUM(CHOORTbl[[#This Row],[MANUFACTURED ADF]],CHOORTbl[[#This Row],[Manufactured Home Funds Requesting]])</f>
        <v>0</v>
      </c>
      <c r="BE43" s="556"/>
      <c r="BF43" s="561">
        <f>SUM(CHOORTbl[[#This Row],[RURAL ADF]],CHOORTbl[[#This Row],[RURAL FUNDING REQUESTED]])</f>
        <v>0</v>
      </c>
      <c r="BG43" s="556"/>
      <c r="BH43" s="562">
        <f>SUM(CHOORTbl[[#This Row],[MFD RURAL ADF]],CHOORTbl[[#This Row],[MFD RURAL FUNDING REQUESTED]])</f>
        <v>0</v>
      </c>
    </row>
    <row r="44" spans="1:60" x14ac:dyDescent="0.35">
      <c r="A44" s="116"/>
      <c r="B44" s="5" t="s">
        <v>156</v>
      </c>
      <c r="C44" s="31" t="s">
        <v>513</v>
      </c>
      <c r="D44" s="109" t="str">
        <f>IF(SUM(CHOORTbl[[#This Row],[Unrestricted Repair Units]:[Unrestricted ADU Reconstruct Units]])=0,"",SUM(CHOORTbl[[#This Row],[Unrestricted Repair Units]:[Unrestricted ADU Reconstruct Units]]))</f>
        <v/>
      </c>
      <c r="E44" s="74" t="str">
        <f xml:space="preserve">
IF(CHOORTbl[[#This Row],[TOTAL UNRESTRICTED]]=0,"",
CHOORTbl[[#This Row],[TOTAL UNRESTRICTED]]*
IF(CH_OOR_UnrestrictedTotalRequested&lt;=5000000,1,
5000000/CH_OOR_UnrestrictedTotalRequested)
)</f>
        <v/>
      </c>
      <c r="F44" s="6" t="str">
        <f>IF(CHOORTbl[[#This Row],[ % OF TOTAL FUNDING]]=0,"",CHOORTbl[[#This Row],[ % OF TOTAL FUNDING]])</f>
        <v/>
      </c>
      <c r="G44" s="31" t="s">
        <v>513</v>
      </c>
      <c r="H44" s="109" t="str">
        <f>IF(SUM(CHOORTbl[[#This Row],[Manufactured Home Units]])=0,"",SUM(CHOORTbl[[#This Row],[Manufactured Home Units]]))</f>
        <v/>
      </c>
      <c r="I44" s="74" t="str">
        <f xml:space="preserve">
IF(CHOORTbl[[#This Row],[TOTAL MANUFACTURED]]=0,"",
CHOORTbl[[#This Row],[TOTAL MANUFACTURED]]*
IF(CH_OOR_ManufacturedTotalRequested&lt;=(5000000-E$61),1,
(5000000-E$61)/CH_OOR_ManufacturedTotalRequested)
)</f>
        <v/>
      </c>
      <c r="J44" s="6" t="str">
        <f>IF(CHOORTbl[[#This Row],[ % OF TOTAL FUNDING2]]=0,"",CHOORTbl[[#This Row],[ % OF TOTAL FUNDING2]])</f>
        <v/>
      </c>
      <c r="K44" s="31" t="s">
        <v>513</v>
      </c>
      <c r="L44" s="109" t="str">
        <f>IF(SUM(CHOORTbl[[#This Row],[RURAL AREA HOMES TO REPAIR2]:[RURAL AREA ADUS TO ADD OR RECONSTRUCT]])=0,"",SUM(CHOORTbl[[#This Row],[RURAL AREA HOMES TO REPAIR2]:[RURAL AREA ADUS TO ADD OR RECONSTRUCT]]))</f>
        <v/>
      </c>
      <c r="M44" s="74" t="str">
        <f xml:space="preserve">
IF(CHOORTbl[[#This Row],[TOTAL RURAL]]=0,"",
CHOORTbl[[#This Row],[TOTAL RURAL]]*
IF(CH_OOR_RuralTotalRequested&lt;=(5000000-E$61-I$61),1,
(5000000-E$61-I$61)/CH_OOR_RuralTotalRequested)
)</f>
        <v/>
      </c>
      <c r="N44" s="6" t="str">
        <f>IF(CHOORTbl[[#This Row],[ % OF TOTAL RURAL FUNDING]]=0,"",CHOORTbl[[#This Row],[ % OF TOTAL RURAL FUNDING]])</f>
        <v/>
      </c>
      <c r="O44" s="31" t="s">
        <v>513</v>
      </c>
      <c r="P44" s="109" t="str">
        <f>IF(SUM(CHOORTbl[[#This Row],[MFD RURAL UNITS]])=0,"",SUM(CHOORTbl[[#This Row],[MFD RURAL UNITS]]))</f>
        <v/>
      </c>
      <c r="Q44" s="74" t="str">
        <f xml:space="preserve">
IF(CHOORTbl[[#This Row],[TOTAL MFD RURAL]]=0,"",
CHOORTbl[[#This Row],[TOTAL MFD RURAL]]*
IF(CH_OOR_MFDRuralTotalRequested&lt;=(5000000-E$61-I$61-M$61),1,
(5000000-E$61-I$61-M$61)/CH_OOR_MFDRuralTotalRequested)
)</f>
        <v/>
      </c>
      <c r="R44" s="6" t="str">
        <f>IF(CHOORTbl[[#This Row],[ % OF TOTAL MFD RURAL FUNDING]]=0,"",CHOORTbl[[#This Row],[ % OF TOTAL MFD RURAL FUNDING]])</f>
        <v/>
      </c>
      <c r="S44" s="44" t="s">
        <v>513</v>
      </c>
      <c r="T44" s="116"/>
      <c r="U44" s="242"/>
      <c r="V44" s="745"/>
      <c r="W44" s="705"/>
      <c r="X44" s="242"/>
      <c r="Y44" s="242"/>
      <c r="Z44" s="242"/>
      <c r="AA44" s="118"/>
      <c r="AB44" s="6">
        <f>IF(CHOORTbl[[#This Row],[TOTAL UNRESTRICTED]]=0,0,CHOORTbl[[#This Row],[TOTAL UNRESTRICTED]]/SUM(CHOORTbl[TOTAL UNRESTRICTED]))</f>
        <v>0</v>
      </c>
      <c r="AC44" s="665">
        <f>IF(CHOORTbl[[#This Row],[ALL UNITS IN A HIGH OR HIGHEST RESOURCE AREA]]="Yes",10*CHOORTbl[[#This Row],[ % OF TOTAL FUNDING]],0)</f>
        <v>0</v>
      </c>
      <c r="AD44" s="665" cm="1">
        <f t="array" ref="AD44">INDEX(CountyScoresTbl[OOR Community Need],ROW(CHOORTbl[[#This Row],[COUNTY]])-2,1)*CHOORTbl[[#This Row],[ % OF TOTAL FUNDING]]</f>
        <v>0</v>
      </c>
      <c r="AE44" s="694" cm="1">
        <f t="array" ref="AE44">INDEX(CountyScoresTbl[OOR/ADU Total Feasibility Points Awarded],ROW(CHOORTbl[[#This Row],[COUNTY]])-2,1)*CHOORTbl[[#This Row],[ % OF TOTAL FUNDING]]</f>
        <v>0</v>
      </c>
      <c r="AF44" s="124"/>
      <c r="AG44" s="118"/>
      <c r="AH44" s="6">
        <f>IF(CHOORTbl[[#This Row],[TOTAL MANUFACTURED]]=0,0,CHOORTbl[[#This Row],[TOTAL MANUFACTURED]]/SUM(CHOORTbl[TOTAL MANUFACTURED]))</f>
        <v>0</v>
      </c>
      <c r="AI44" s="665">
        <f>IF(CHOORTbl[[#This Row],[ALL UNITS IN A HIGH OR HIGHEST RESOURCE AREA]]="Yes",10*CHOORTbl[[#This Row],[ % OF TOTAL FUNDING2]],0)</f>
        <v>0</v>
      </c>
      <c r="AJ44" s="665" cm="1">
        <f t="array" ref="AJ44">INDEX(CountyScoresTbl[OOR Community Need],ROW(CHOORTbl[[#This Row],[COUNTY]])-2,1)*CHOORTbl[[#This Row],[ % OF TOTAL FUNDING2]]</f>
        <v>0</v>
      </c>
      <c r="AK44" s="694" cm="1">
        <f t="array" ref="AK44">INDEX(CountyScoresTbl[OOR/ADU Total Feasibility Points Awarded],ROW(CHOORTbl[[#This Row],[COUNTY]])-2,1)*CHOORTbl[[#This Row],[ % OF TOTAL FUNDING2]]</f>
        <v>0</v>
      </c>
      <c r="AL44" s="124"/>
      <c r="AM44" s="119"/>
      <c r="AN44" s="119"/>
      <c r="AO44" s="119"/>
      <c r="AP44" s="118"/>
      <c r="AQ44" s="6">
        <f>IF(CHOORTbl[[#This Row],[TOTAL RURAL]]=0,0,CHOORTbl[[#This Row],[TOTAL RURAL]]/SUM(CHOORTbl[TOTAL RURAL]))</f>
        <v>0</v>
      </c>
      <c r="AR44" s="665">
        <f>IF(CHOORTbl[[#This Row],[ALL UNITS IN A HIGH OR HIGHEST RESOURCE AREA]]="Yes",10*CHOORTbl[[#This Row],[ % OF TOTAL RURAL FUNDING]],0)</f>
        <v>0</v>
      </c>
      <c r="AS44" s="665" cm="1">
        <f t="array" ref="AS44">INDEX(CountyScoresTbl[OOR Community Need],ROW(CHOORTbl[[#This Row],[COUNTY]])-2,1)*CHOORTbl[[#This Row],[ % OF TOTAL RURAL FUNDING]]</f>
        <v>0</v>
      </c>
      <c r="AT44" s="694" cm="1">
        <f t="array" ref="AT44">INDEX(CountyScoresTbl[OOR/ADU Total Feasibility Points Awarded],ROW(CHOORTbl[[#This Row],[COUNTY]])-2,1)*CHOORTbl[[#This Row],[ % OF TOTAL RURAL FUNDING]]</f>
        <v>0</v>
      </c>
      <c r="AU44" s="126"/>
      <c r="AV44" s="118"/>
      <c r="AW44" s="6">
        <f>IF(CHOORTbl[[#This Row],[TOTAL MFD RURAL]]=0,0,CHOORTbl[[#This Row],[TOTAL MFD RURAL]]/SUM(CHOORTbl[TOTAL MFD RURAL]))</f>
        <v>0</v>
      </c>
      <c r="AX44" s="665">
        <f>IF(CHOORTbl[[#This Row],[ALL UNITS IN A HIGH OR HIGHEST RESOURCE AREA]]="Yes",10*CHOORTbl[[#This Row],[ % OF TOTAL MFD RURAL FUNDING]],0)</f>
        <v>0</v>
      </c>
      <c r="AY44" s="665" cm="1">
        <f t="array" ref="AY44">INDEX(CountyScoresTbl[OOR Community Need],ROW(CHOORTbl[[#This Row],[COUNTY]])-2,1)*CHOORTbl[[#This Row],[ % OF TOTAL MFD RURAL FUNDING]]</f>
        <v>0</v>
      </c>
      <c r="AZ44" s="694" cm="1">
        <f t="array" ref="AZ44">INDEX(CountyScoresTbl[OOR/ADU Total Feasibility Points Awarded],ROW(CHOORTbl[[#This Row],[COUNTY]])-2,1)*CHOORTbl[[#This Row],[ % OF TOTAL MFD RURAL FUNDING]]</f>
        <v>0</v>
      </c>
      <c r="BA44" s="556"/>
      <c r="BB44" s="561">
        <f>SUM(CHOORTbl[[#This Row],[UNRESTRICTED ADF]],CHOORTbl[[#This Row],[Unrestricted Funds Requesting]])</f>
        <v>0</v>
      </c>
      <c r="BC44" s="556"/>
      <c r="BD44" s="561">
        <f>SUM(CHOORTbl[[#This Row],[MANUFACTURED ADF]],CHOORTbl[[#This Row],[Manufactured Home Funds Requesting]])</f>
        <v>0</v>
      </c>
      <c r="BE44" s="556"/>
      <c r="BF44" s="561">
        <f>SUM(CHOORTbl[[#This Row],[RURAL ADF]],CHOORTbl[[#This Row],[RURAL FUNDING REQUESTED]])</f>
        <v>0</v>
      </c>
      <c r="BG44" s="556"/>
      <c r="BH44" s="562">
        <f>SUM(CHOORTbl[[#This Row],[MFD RURAL ADF]],CHOORTbl[[#This Row],[MFD RURAL FUNDING REQUESTED]])</f>
        <v>0</v>
      </c>
    </row>
    <row r="45" spans="1:60" x14ac:dyDescent="0.35">
      <c r="A45" s="115" t="s">
        <v>504</v>
      </c>
      <c r="B45" s="5" t="s">
        <v>157</v>
      </c>
      <c r="C45" s="31" t="s">
        <v>513</v>
      </c>
      <c r="D45" s="109" t="str">
        <f>IF(SUM(CHOORTbl[[#This Row],[Unrestricted Repair Units]:[Unrestricted ADU Reconstruct Units]])=0,"",SUM(CHOORTbl[[#This Row],[Unrestricted Repair Units]:[Unrestricted ADU Reconstruct Units]]))</f>
        <v/>
      </c>
      <c r="E45" s="74" t="str">
        <f xml:space="preserve">
IF(CHOORTbl[[#This Row],[TOTAL UNRESTRICTED]]=0,"",
CHOORTbl[[#This Row],[TOTAL UNRESTRICTED]]*
IF(CH_OOR_UnrestrictedTotalRequested&lt;=5000000,1,
5000000/CH_OOR_UnrestrictedTotalRequested)
)</f>
        <v/>
      </c>
      <c r="F45" s="6" t="str">
        <f>IF(CHOORTbl[[#This Row],[ % OF TOTAL FUNDING]]=0,"",CHOORTbl[[#This Row],[ % OF TOTAL FUNDING]])</f>
        <v/>
      </c>
      <c r="G45" s="31" t="s">
        <v>513</v>
      </c>
      <c r="H45" s="109" t="str">
        <f>IF(SUM(CHOORTbl[[#This Row],[Manufactured Home Units]])=0,"",SUM(CHOORTbl[[#This Row],[Manufactured Home Units]]))</f>
        <v/>
      </c>
      <c r="I45" s="74" t="str">
        <f xml:space="preserve">
IF(CHOORTbl[[#This Row],[TOTAL MANUFACTURED]]=0,"",
CHOORTbl[[#This Row],[TOTAL MANUFACTURED]]*
IF(CH_OOR_ManufacturedTotalRequested&lt;=(5000000-E$61),1,
(5000000-E$61)/CH_OOR_ManufacturedTotalRequested)
)</f>
        <v/>
      </c>
      <c r="J45" s="6" t="str">
        <f>IF(CHOORTbl[[#This Row],[ % OF TOTAL FUNDING2]]=0,"",CHOORTbl[[#This Row],[ % OF TOTAL FUNDING2]])</f>
        <v/>
      </c>
      <c r="K45" s="31" t="s">
        <v>513</v>
      </c>
      <c r="L45" s="109" t="str">
        <f>IF(SUM(CHOORTbl[[#This Row],[RURAL AREA HOMES TO REPAIR2]:[RURAL AREA ADUS TO ADD OR RECONSTRUCT]])=0,"",SUM(CHOORTbl[[#This Row],[RURAL AREA HOMES TO REPAIR2]:[RURAL AREA ADUS TO ADD OR RECONSTRUCT]]))</f>
        <v/>
      </c>
      <c r="M45" s="74" t="str">
        <f xml:space="preserve">
IF(CHOORTbl[[#This Row],[TOTAL RURAL]]=0,"",
CHOORTbl[[#This Row],[TOTAL RURAL]]*
IF(CH_OOR_RuralTotalRequested&lt;=(5000000-E$61-I$61),1,
(5000000-E$61-I$61)/CH_OOR_RuralTotalRequested)
)</f>
        <v/>
      </c>
      <c r="N45" s="6" t="str">
        <f>IF(CHOORTbl[[#This Row],[ % OF TOTAL RURAL FUNDING]]=0,"",CHOORTbl[[#This Row],[ % OF TOTAL RURAL FUNDING]])</f>
        <v/>
      </c>
      <c r="O45" s="31" t="s">
        <v>513</v>
      </c>
      <c r="P45" s="109" t="str">
        <f>IF(SUM(CHOORTbl[[#This Row],[MFD RURAL UNITS]])=0,"",SUM(CHOORTbl[[#This Row],[MFD RURAL UNITS]]))</f>
        <v/>
      </c>
      <c r="Q45" s="74" t="str">
        <f xml:space="preserve">
IF(CHOORTbl[[#This Row],[TOTAL MFD RURAL]]=0,"",
CHOORTbl[[#This Row],[TOTAL MFD RURAL]]*
IF(CH_OOR_MFDRuralTotalRequested&lt;=(5000000-E$61-I$61-M$61),1,
(5000000-E$61-I$61-M$61)/CH_OOR_MFDRuralTotalRequested)
)</f>
        <v/>
      </c>
      <c r="R45" s="6" t="str">
        <f>IF(CHOORTbl[[#This Row],[ % OF TOTAL MFD RURAL FUNDING]]=0,"",CHOORTbl[[#This Row],[ % OF TOTAL MFD RURAL FUNDING]])</f>
        <v/>
      </c>
      <c r="S45" s="44" t="s">
        <v>513</v>
      </c>
      <c r="T45" s="116"/>
      <c r="U45" s="242"/>
      <c r="V45" s="745"/>
      <c r="W45" s="705"/>
      <c r="X45" s="242"/>
      <c r="Y45" s="242"/>
      <c r="Z45" s="242"/>
      <c r="AA45" s="118"/>
      <c r="AB45" s="6">
        <f>IF(CHOORTbl[[#This Row],[TOTAL UNRESTRICTED]]=0,0,CHOORTbl[[#This Row],[TOTAL UNRESTRICTED]]/SUM(CHOORTbl[TOTAL UNRESTRICTED]))</f>
        <v>0</v>
      </c>
      <c r="AC45" s="665">
        <f>IF(CHOORTbl[[#This Row],[ALL UNITS IN A HIGH OR HIGHEST RESOURCE AREA]]="Yes",10*CHOORTbl[[#This Row],[ % OF TOTAL FUNDING]],0)</f>
        <v>0</v>
      </c>
      <c r="AD45" s="665" cm="1">
        <f t="array" ref="AD45">INDEX(CountyScoresTbl[OOR Community Need],ROW(CHOORTbl[[#This Row],[COUNTY]])-2,1)*CHOORTbl[[#This Row],[ % OF TOTAL FUNDING]]</f>
        <v>0</v>
      </c>
      <c r="AE45" s="694" cm="1">
        <f t="array" ref="AE45">INDEX(CountyScoresTbl[OOR/ADU Total Feasibility Points Awarded],ROW(CHOORTbl[[#This Row],[COUNTY]])-2,1)*CHOORTbl[[#This Row],[ % OF TOTAL FUNDING]]</f>
        <v>0</v>
      </c>
      <c r="AF45" s="123"/>
      <c r="AG45" s="118"/>
      <c r="AH45" s="6">
        <f>IF(CHOORTbl[[#This Row],[TOTAL MANUFACTURED]]=0,0,CHOORTbl[[#This Row],[TOTAL MANUFACTURED]]/SUM(CHOORTbl[TOTAL MANUFACTURED]))</f>
        <v>0</v>
      </c>
      <c r="AI45" s="665">
        <f>IF(CHOORTbl[[#This Row],[ALL UNITS IN A HIGH OR HIGHEST RESOURCE AREA]]="Yes",10*CHOORTbl[[#This Row],[ % OF TOTAL FUNDING2]],0)</f>
        <v>0</v>
      </c>
      <c r="AJ45" s="665" cm="1">
        <f t="array" ref="AJ45">INDEX(CountyScoresTbl[OOR Community Need],ROW(CHOORTbl[[#This Row],[COUNTY]])-2,1)*CHOORTbl[[#This Row],[ % OF TOTAL FUNDING2]]</f>
        <v>0</v>
      </c>
      <c r="AK45" s="694" cm="1">
        <f t="array" ref="AK45">INDEX(CountyScoresTbl[OOR/ADU Total Feasibility Points Awarded],ROW(CHOORTbl[[#This Row],[COUNTY]])-2,1)*CHOORTbl[[#This Row],[ % OF TOTAL FUNDING2]]</f>
        <v>0</v>
      </c>
      <c r="AL45" s="123"/>
      <c r="AM45" s="117"/>
      <c r="AN45" s="117"/>
      <c r="AO45" s="117"/>
      <c r="AP45" s="118"/>
      <c r="AQ45" s="6">
        <f>IF(CHOORTbl[[#This Row],[TOTAL RURAL]]=0,0,CHOORTbl[[#This Row],[TOTAL RURAL]]/SUM(CHOORTbl[TOTAL RURAL]))</f>
        <v>0</v>
      </c>
      <c r="AR45" s="665">
        <f>IF(CHOORTbl[[#This Row],[ALL UNITS IN A HIGH OR HIGHEST RESOURCE AREA]]="Yes",10*CHOORTbl[[#This Row],[ % OF TOTAL RURAL FUNDING]],0)</f>
        <v>0</v>
      </c>
      <c r="AS45" s="665" cm="1">
        <f t="array" ref="AS45">INDEX(CountyScoresTbl[OOR Community Need],ROW(CHOORTbl[[#This Row],[COUNTY]])-2,1)*CHOORTbl[[#This Row],[ % OF TOTAL RURAL FUNDING]]</f>
        <v>0</v>
      </c>
      <c r="AT45" s="694" cm="1">
        <f t="array" ref="AT45">INDEX(CountyScoresTbl[OOR/ADU Total Feasibility Points Awarded],ROW(CHOORTbl[[#This Row],[COUNTY]])-2,1)*CHOORTbl[[#This Row],[ % OF TOTAL RURAL FUNDING]]</f>
        <v>0</v>
      </c>
      <c r="AU45" s="125"/>
      <c r="AV45" s="118"/>
      <c r="AW45" s="6">
        <f>IF(CHOORTbl[[#This Row],[TOTAL MFD RURAL]]=0,0,CHOORTbl[[#This Row],[TOTAL MFD RURAL]]/SUM(CHOORTbl[TOTAL MFD RURAL]))</f>
        <v>0</v>
      </c>
      <c r="AX45" s="665">
        <f>IF(CHOORTbl[[#This Row],[ALL UNITS IN A HIGH OR HIGHEST RESOURCE AREA]]="Yes",10*CHOORTbl[[#This Row],[ % OF TOTAL MFD RURAL FUNDING]],0)</f>
        <v>0</v>
      </c>
      <c r="AY45" s="665" cm="1">
        <f t="array" ref="AY45">INDEX(CountyScoresTbl[OOR Community Need],ROW(CHOORTbl[[#This Row],[COUNTY]])-2,1)*CHOORTbl[[#This Row],[ % OF TOTAL MFD RURAL FUNDING]]</f>
        <v>0</v>
      </c>
      <c r="AZ45" s="694" cm="1">
        <f t="array" ref="AZ45">INDEX(CountyScoresTbl[OOR/ADU Total Feasibility Points Awarded],ROW(CHOORTbl[[#This Row],[COUNTY]])-2,1)*CHOORTbl[[#This Row],[ % OF TOTAL MFD RURAL FUNDING]]</f>
        <v>0</v>
      </c>
      <c r="BA45" s="556"/>
      <c r="BB45" s="561">
        <f>SUM(CHOORTbl[[#This Row],[UNRESTRICTED ADF]],CHOORTbl[[#This Row],[Unrestricted Funds Requesting]])</f>
        <v>0</v>
      </c>
      <c r="BC45" s="556"/>
      <c r="BD45" s="561">
        <f>SUM(CHOORTbl[[#This Row],[MANUFACTURED ADF]],CHOORTbl[[#This Row],[Manufactured Home Funds Requesting]])</f>
        <v>0</v>
      </c>
      <c r="BE45" s="556"/>
      <c r="BF45" s="561">
        <f>SUM(CHOORTbl[[#This Row],[RURAL ADF]],CHOORTbl[[#This Row],[RURAL FUNDING REQUESTED]])</f>
        <v>0</v>
      </c>
      <c r="BG45" s="556"/>
      <c r="BH45" s="562">
        <f>SUM(CHOORTbl[[#This Row],[MFD RURAL ADF]],CHOORTbl[[#This Row],[MFD RURAL FUNDING REQUESTED]])</f>
        <v>0</v>
      </c>
    </row>
    <row r="46" spans="1:60" x14ac:dyDescent="0.35">
      <c r="A46" s="116"/>
      <c r="B46" s="5" t="s">
        <v>158</v>
      </c>
      <c r="C46" s="31" t="s">
        <v>513</v>
      </c>
      <c r="D46" s="109" t="str">
        <f>IF(SUM(CHOORTbl[[#This Row],[Unrestricted Repair Units]:[Unrestricted ADU Reconstruct Units]])=0,"",SUM(CHOORTbl[[#This Row],[Unrestricted Repair Units]:[Unrestricted ADU Reconstruct Units]]))</f>
        <v/>
      </c>
      <c r="E46" s="74" t="str">
        <f xml:space="preserve">
IF(CHOORTbl[[#This Row],[TOTAL UNRESTRICTED]]=0,"",
CHOORTbl[[#This Row],[TOTAL UNRESTRICTED]]*
IF(CH_OOR_UnrestrictedTotalRequested&lt;=5000000,1,
5000000/CH_OOR_UnrestrictedTotalRequested)
)</f>
        <v/>
      </c>
      <c r="F46" s="6" t="str">
        <f>IF(CHOORTbl[[#This Row],[ % OF TOTAL FUNDING]]=0,"",CHOORTbl[[#This Row],[ % OF TOTAL FUNDING]])</f>
        <v/>
      </c>
      <c r="G46" s="31" t="s">
        <v>513</v>
      </c>
      <c r="H46" s="109" t="str">
        <f>IF(SUM(CHOORTbl[[#This Row],[Manufactured Home Units]])=0,"",SUM(CHOORTbl[[#This Row],[Manufactured Home Units]]))</f>
        <v/>
      </c>
      <c r="I46" s="74" t="str">
        <f xml:space="preserve">
IF(CHOORTbl[[#This Row],[TOTAL MANUFACTURED]]=0,"",
CHOORTbl[[#This Row],[TOTAL MANUFACTURED]]*
IF(CH_OOR_ManufacturedTotalRequested&lt;=(5000000-E$61),1,
(5000000-E$61)/CH_OOR_ManufacturedTotalRequested)
)</f>
        <v/>
      </c>
      <c r="J46" s="6" t="str">
        <f>IF(CHOORTbl[[#This Row],[ % OF TOTAL FUNDING2]]=0,"",CHOORTbl[[#This Row],[ % OF TOTAL FUNDING2]])</f>
        <v/>
      </c>
      <c r="K46" s="31" t="s">
        <v>513</v>
      </c>
      <c r="L46" s="109" t="str">
        <f>IF(SUM(CHOORTbl[[#This Row],[RURAL AREA HOMES TO REPAIR2]:[RURAL AREA ADUS TO ADD OR RECONSTRUCT]])=0,"",SUM(CHOORTbl[[#This Row],[RURAL AREA HOMES TO REPAIR2]:[RURAL AREA ADUS TO ADD OR RECONSTRUCT]]))</f>
        <v/>
      </c>
      <c r="M46" s="74" t="str">
        <f xml:space="preserve">
IF(CHOORTbl[[#This Row],[TOTAL RURAL]]=0,"",
CHOORTbl[[#This Row],[TOTAL RURAL]]*
IF(CH_OOR_RuralTotalRequested&lt;=(5000000-E$61-I$61),1,
(5000000-E$61-I$61)/CH_OOR_RuralTotalRequested)
)</f>
        <v/>
      </c>
      <c r="N46" s="6" t="str">
        <f>IF(CHOORTbl[[#This Row],[ % OF TOTAL RURAL FUNDING]]=0,"",CHOORTbl[[#This Row],[ % OF TOTAL RURAL FUNDING]])</f>
        <v/>
      </c>
      <c r="O46" s="31" t="s">
        <v>513</v>
      </c>
      <c r="P46" s="109" t="str">
        <f>IF(SUM(CHOORTbl[[#This Row],[MFD RURAL UNITS]])=0,"",SUM(CHOORTbl[[#This Row],[MFD RURAL UNITS]]))</f>
        <v/>
      </c>
      <c r="Q46" s="74" t="str">
        <f xml:space="preserve">
IF(CHOORTbl[[#This Row],[TOTAL MFD RURAL]]=0,"",
CHOORTbl[[#This Row],[TOTAL MFD RURAL]]*
IF(CH_OOR_MFDRuralTotalRequested&lt;=(5000000-E$61-I$61-M$61),1,
(5000000-E$61-I$61-M$61)/CH_OOR_MFDRuralTotalRequested)
)</f>
        <v/>
      </c>
      <c r="R46" s="6" t="str">
        <f>IF(CHOORTbl[[#This Row],[ % OF TOTAL MFD RURAL FUNDING]]=0,"",CHOORTbl[[#This Row],[ % OF TOTAL MFD RURAL FUNDING]])</f>
        <v/>
      </c>
      <c r="S46" s="44" t="s">
        <v>513</v>
      </c>
      <c r="T46" s="116"/>
      <c r="U46" s="242"/>
      <c r="V46" s="745"/>
      <c r="W46" s="705"/>
      <c r="X46" s="242"/>
      <c r="Y46" s="242"/>
      <c r="Z46" s="242"/>
      <c r="AA46" s="118"/>
      <c r="AB46" s="6">
        <f>IF(CHOORTbl[[#This Row],[TOTAL UNRESTRICTED]]=0,0,CHOORTbl[[#This Row],[TOTAL UNRESTRICTED]]/SUM(CHOORTbl[TOTAL UNRESTRICTED]))</f>
        <v>0</v>
      </c>
      <c r="AC46" s="665">
        <f>IF(CHOORTbl[[#This Row],[ALL UNITS IN A HIGH OR HIGHEST RESOURCE AREA]]="Yes",10*CHOORTbl[[#This Row],[ % OF TOTAL FUNDING]],0)</f>
        <v>0</v>
      </c>
      <c r="AD46" s="665" cm="1">
        <f t="array" ref="AD46">INDEX(CountyScoresTbl[OOR Community Need],ROW(CHOORTbl[[#This Row],[COUNTY]])-2,1)*CHOORTbl[[#This Row],[ % OF TOTAL FUNDING]]</f>
        <v>0</v>
      </c>
      <c r="AE46" s="694" cm="1">
        <f t="array" ref="AE46">INDEX(CountyScoresTbl[OOR/ADU Total Feasibility Points Awarded],ROW(CHOORTbl[[#This Row],[COUNTY]])-2,1)*CHOORTbl[[#This Row],[ % OF TOTAL FUNDING]]</f>
        <v>0</v>
      </c>
      <c r="AF46" s="124"/>
      <c r="AG46" s="118"/>
      <c r="AH46" s="6">
        <f>IF(CHOORTbl[[#This Row],[TOTAL MANUFACTURED]]=0,0,CHOORTbl[[#This Row],[TOTAL MANUFACTURED]]/SUM(CHOORTbl[TOTAL MANUFACTURED]))</f>
        <v>0</v>
      </c>
      <c r="AI46" s="665">
        <f>IF(CHOORTbl[[#This Row],[ALL UNITS IN A HIGH OR HIGHEST RESOURCE AREA]]="Yes",10*CHOORTbl[[#This Row],[ % OF TOTAL FUNDING2]],0)</f>
        <v>0</v>
      </c>
      <c r="AJ46" s="665" cm="1">
        <f t="array" ref="AJ46">INDEX(CountyScoresTbl[OOR Community Need],ROW(CHOORTbl[[#This Row],[COUNTY]])-2,1)*CHOORTbl[[#This Row],[ % OF TOTAL FUNDING2]]</f>
        <v>0</v>
      </c>
      <c r="AK46" s="694" cm="1">
        <f t="array" ref="AK46">INDEX(CountyScoresTbl[OOR/ADU Total Feasibility Points Awarded],ROW(CHOORTbl[[#This Row],[COUNTY]])-2,1)*CHOORTbl[[#This Row],[ % OF TOTAL FUNDING2]]</f>
        <v>0</v>
      </c>
      <c r="AL46" s="124"/>
      <c r="AM46" s="119"/>
      <c r="AN46" s="119"/>
      <c r="AO46" s="119"/>
      <c r="AP46" s="118"/>
      <c r="AQ46" s="6">
        <f>IF(CHOORTbl[[#This Row],[TOTAL RURAL]]=0,0,CHOORTbl[[#This Row],[TOTAL RURAL]]/SUM(CHOORTbl[TOTAL RURAL]))</f>
        <v>0</v>
      </c>
      <c r="AR46" s="665">
        <f>IF(CHOORTbl[[#This Row],[ALL UNITS IN A HIGH OR HIGHEST RESOURCE AREA]]="Yes",10*CHOORTbl[[#This Row],[ % OF TOTAL RURAL FUNDING]],0)</f>
        <v>0</v>
      </c>
      <c r="AS46" s="665" cm="1">
        <f t="array" ref="AS46">INDEX(CountyScoresTbl[OOR Community Need],ROW(CHOORTbl[[#This Row],[COUNTY]])-2,1)*CHOORTbl[[#This Row],[ % OF TOTAL RURAL FUNDING]]</f>
        <v>0</v>
      </c>
      <c r="AT46" s="694" cm="1">
        <f t="array" ref="AT46">INDEX(CountyScoresTbl[OOR/ADU Total Feasibility Points Awarded],ROW(CHOORTbl[[#This Row],[COUNTY]])-2,1)*CHOORTbl[[#This Row],[ % OF TOTAL RURAL FUNDING]]</f>
        <v>0</v>
      </c>
      <c r="AU46" s="126"/>
      <c r="AV46" s="118"/>
      <c r="AW46" s="6">
        <f>IF(CHOORTbl[[#This Row],[TOTAL MFD RURAL]]=0,0,CHOORTbl[[#This Row],[TOTAL MFD RURAL]]/SUM(CHOORTbl[TOTAL MFD RURAL]))</f>
        <v>0</v>
      </c>
      <c r="AX46" s="665">
        <f>IF(CHOORTbl[[#This Row],[ALL UNITS IN A HIGH OR HIGHEST RESOURCE AREA]]="Yes",10*CHOORTbl[[#This Row],[ % OF TOTAL MFD RURAL FUNDING]],0)</f>
        <v>0</v>
      </c>
      <c r="AY46" s="665" cm="1">
        <f t="array" ref="AY46">INDEX(CountyScoresTbl[OOR Community Need],ROW(CHOORTbl[[#This Row],[COUNTY]])-2,1)*CHOORTbl[[#This Row],[ % OF TOTAL MFD RURAL FUNDING]]</f>
        <v>0</v>
      </c>
      <c r="AZ46" s="694" cm="1">
        <f t="array" ref="AZ46">INDEX(CountyScoresTbl[OOR/ADU Total Feasibility Points Awarded],ROW(CHOORTbl[[#This Row],[COUNTY]])-2,1)*CHOORTbl[[#This Row],[ % OF TOTAL MFD RURAL FUNDING]]</f>
        <v>0</v>
      </c>
      <c r="BA46" s="556"/>
      <c r="BB46" s="561">
        <f>SUM(CHOORTbl[[#This Row],[UNRESTRICTED ADF]],CHOORTbl[[#This Row],[Unrestricted Funds Requesting]])</f>
        <v>0</v>
      </c>
      <c r="BC46" s="556"/>
      <c r="BD46" s="561">
        <f>SUM(CHOORTbl[[#This Row],[MANUFACTURED ADF]],CHOORTbl[[#This Row],[Manufactured Home Funds Requesting]])</f>
        <v>0</v>
      </c>
      <c r="BE46" s="556"/>
      <c r="BF46" s="561">
        <f>SUM(CHOORTbl[[#This Row],[RURAL ADF]],CHOORTbl[[#This Row],[RURAL FUNDING REQUESTED]])</f>
        <v>0</v>
      </c>
      <c r="BG46" s="556"/>
      <c r="BH46" s="562">
        <f>SUM(CHOORTbl[[#This Row],[MFD RURAL ADF]],CHOORTbl[[#This Row],[MFD RURAL FUNDING REQUESTED]])</f>
        <v>0</v>
      </c>
    </row>
    <row r="47" spans="1:60" x14ac:dyDescent="0.35">
      <c r="A47" s="116"/>
      <c r="B47" s="5" t="s">
        <v>159</v>
      </c>
      <c r="C47" s="31" t="s">
        <v>513</v>
      </c>
      <c r="D47" s="109" t="str">
        <f>IF(SUM(CHOORTbl[[#This Row],[Unrestricted Repair Units]:[Unrestricted ADU Reconstruct Units]])=0,"",SUM(CHOORTbl[[#This Row],[Unrestricted Repair Units]:[Unrestricted ADU Reconstruct Units]]))</f>
        <v/>
      </c>
      <c r="E47" s="74" t="str">
        <f xml:space="preserve">
IF(CHOORTbl[[#This Row],[TOTAL UNRESTRICTED]]=0,"",
CHOORTbl[[#This Row],[TOTAL UNRESTRICTED]]*
IF(CH_OOR_UnrestrictedTotalRequested&lt;=5000000,1,
5000000/CH_OOR_UnrestrictedTotalRequested)
)</f>
        <v/>
      </c>
      <c r="F47" s="6" t="str">
        <f>IF(CHOORTbl[[#This Row],[ % OF TOTAL FUNDING]]=0,"",CHOORTbl[[#This Row],[ % OF TOTAL FUNDING]])</f>
        <v/>
      </c>
      <c r="G47" s="31" t="s">
        <v>513</v>
      </c>
      <c r="H47" s="109" t="str">
        <f>IF(SUM(CHOORTbl[[#This Row],[Manufactured Home Units]])=0,"",SUM(CHOORTbl[[#This Row],[Manufactured Home Units]]))</f>
        <v/>
      </c>
      <c r="I47" s="74" t="str">
        <f xml:space="preserve">
IF(CHOORTbl[[#This Row],[TOTAL MANUFACTURED]]=0,"",
CHOORTbl[[#This Row],[TOTAL MANUFACTURED]]*
IF(CH_OOR_ManufacturedTotalRequested&lt;=(5000000-E$61),1,
(5000000-E$61)/CH_OOR_ManufacturedTotalRequested)
)</f>
        <v/>
      </c>
      <c r="J47" s="6" t="str">
        <f>IF(CHOORTbl[[#This Row],[ % OF TOTAL FUNDING2]]=0,"",CHOORTbl[[#This Row],[ % OF TOTAL FUNDING2]])</f>
        <v/>
      </c>
      <c r="K47" s="31" t="s">
        <v>513</v>
      </c>
      <c r="L47" s="109" t="str">
        <f>IF(SUM(CHOORTbl[[#This Row],[RURAL AREA HOMES TO REPAIR2]:[RURAL AREA ADUS TO ADD OR RECONSTRUCT]])=0,"",SUM(CHOORTbl[[#This Row],[RURAL AREA HOMES TO REPAIR2]:[RURAL AREA ADUS TO ADD OR RECONSTRUCT]]))</f>
        <v/>
      </c>
      <c r="M47" s="74" t="str">
        <f xml:space="preserve">
IF(CHOORTbl[[#This Row],[TOTAL RURAL]]=0,"",
CHOORTbl[[#This Row],[TOTAL RURAL]]*
IF(CH_OOR_RuralTotalRequested&lt;=(5000000-E$61-I$61),1,
(5000000-E$61-I$61)/CH_OOR_RuralTotalRequested)
)</f>
        <v/>
      </c>
      <c r="N47" s="6" t="str">
        <f>IF(CHOORTbl[[#This Row],[ % OF TOTAL RURAL FUNDING]]=0,"",CHOORTbl[[#This Row],[ % OF TOTAL RURAL FUNDING]])</f>
        <v/>
      </c>
      <c r="O47" s="31" t="s">
        <v>513</v>
      </c>
      <c r="P47" s="109" t="str">
        <f>IF(SUM(CHOORTbl[[#This Row],[MFD RURAL UNITS]])=0,"",SUM(CHOORTbl[[#This Row],[MFD RURAL UNITS]]))</f>
        <v/>
      </c>
      <c r="Q47" s="74" t="str">
        <f xml:space="preserve">
IF(CHOORTbl[[#This Row],[TOTAL MFD RURAL]]=0,"",
CHOORTbl[[#This Row],[TOTAL MFD RURAL]]*
IF(CH_OOR_MFDRuralTotalRequested&lt;=(5000000-E$61-I$61-M$61),1,
(5000000-E$61-I$61-M$61)/CH_OOR_MFDRuralTotalRequested)
)</f>
        <v/>
      </c>
      <c r="R47" s="6" t="str">
        <f>IF(CHOORTbl[[#This Row],[ % OF TOTAL MFD RURAL FUNDING]]=0,"",CHOORTbl[[#This Row],[ % OF TOTAL MFD RURAL FUNDING]])</f>
        <v/>
      </c>
      <c r="S47" s="44" t="s">
        <v>513</v>
      </c>
      <c r="T47" s="116"/>
      <c r="U47" s="242"/>
      <c r="V47" s="745"/>
      <c r="W47" s="705"/>
      <c r="X47" s="242"/>
      <c r="Y47" s="242"/>
      <c r="Z47" s="242"/>
      <c r="AA47" s="118"/>
      <c r="AB47" s="6">
        <f>IF(CHOORTbl[[#This Row],[TOTAL UNRESTRICTED]]=0,0,CHOORTbl[[#This Row],[TOTAL UNRESTRICTED]]/SUM(CHOORTbl[TOTAL UNRESTRICTED]))</f>
        <v>0</v>
      </c>
      <c r="AC47" s="665">
        <f>IF(CHOORTbl[[#This Row],[ALL UNITS IN A HIGH OR HIGHEST RESOURCE AREA]]="Yes",10*CHOORTbl[[#This Row],[ % OF TOTAL FUNDING]],0)</f>
        <v>0</v>
      </c>
      <c r="AD47" s="665" cm="1">
        <f t="array" ref="AD47">INDEX(CountyScoresTbl[OOR Community Need],ROW(CHOORTbl[[#This Row],[COUNTY]])-2,1)*CHOORTbl[[#This Row],[ % OF TOTAL FUNDING]]</f>
        <v>0</v>
      </c>
      <c r="AE47" s="694" cm="1">
        <f t="array" ref="AE47">INDEX(CountyScoresTbl[OOR/ADU Total Feasibility Points Awarded],ROW(CHOORTbl[[#This Row],[COUNTY]])-2,1)*CHOORTbl[[#This Row],[ % OF TOTAL FUNDING]]</f>
        <v>0</v>
      </c>
      <c r="AF47" s="124"/>
      <c r="AG47" s="118"/>
      <c r="AH47" s="6">
        <f>IF(CHOORTbl[[#This Row],[TOTAL MANUFACTURED]]=0,0,CHOORTbl[[#This Row],[TOTAL MANUFACTURED]]/SUM(CHOORTbl[TOTAL MANUFACTURED]))</f>
        <v>0</v>
      </c>
      <c r="AI47" s="665">
        <f>IF(CHOORTbl[[#This Row],[ALL UNITS IN A HIGH OR HIGHEST RESOURCE AREA]]="Yes",10*CHOORTbl[[#This Row],[ % OF TOTAL FUNDING2]],0)</f>
        <v>0</v>
      </c>
      <c r="AJ47" s="665" cm="1">
        <f t="array" ref="AJ47">INDEX(CountyScoresTbl[OOR Community Need],ROW(CHOORTbl[[#This Row],[COUNTY]])-2,1)*CHOORTbl[[#This Row],[ % OF TOTAL FUNDING2]]</f>
        <v>0</v>
      </c>
      <c r="AK47" s="694" cm="1">
        <f t="array" ref="AK47">INDEX(CountyScoresTbl[OOR/ADU Total Feasibility Points Awarded],ROW(CHOORTbl[[#This Row],[COUNTY]])-2,1)*CHOORTbl[[#This Row],[ % OF TOTAL FUNDING2]]</f>
        <v>0</v>
      </c>
      <c r="AL47" s="124"/>
      <c r="AM47" s="119"/>
      <c r="AN47" s="119"/>
      <c r="AO47" s="119"/>
      <c r="AP47" s="118"/>
      <c r="AQ47" s="6">
        <f>IF(CHOORTbl[[#This Row],[TOTAL RURAL]]=0,0,CHOORTbl[[#This Row],[TOTAL RURAL]]/SUM(CHOORTbl[TOTAL RURAL]))</f>
        <v>0</v>
      </c>
      <c r="AR47" s="665">
        <f>IF(CHOORTbl[[#This Row],[ALL UNITS IN A HIGH OR HIGHEST RESOURCE AREA]]="Yes",10*CHOORTbl[[#This Row],[ % OF TOTAL RURAL FUNDING]],0)</f>
        <v>0</v>
      </c>
      <c r="AS47" s="665" cm="1">
        <f t="array" ref="AS47">INDEX(CountyScoresTbl[OOR Community Need],ROW(CHOORTbl[[#This Row],[COUNTY]])-2,1)*CHOORTbl[[#This Row],[ % OF TOTAL RURAL FUNDING]]</f>
        <v>0</v>
      </c>
      <c r="AT47" s="694" cm="1">
        <f t="array" ref="AT47">INDEX(CountyScoresTbl[OOR/ADU Total Feasibility Points Awarded],ROW(CHOORTbl[[#This Row],[COUNTY]])-2,1)*CHOORTbl[[#This Row],[ % OF TOTAL RURAL FUNDING]]</f>
        <v>0</v>
      </c>
      <c r="AU47" s="126"/>
      <c r="AV47" s="118"/>
      <c r="AW47" s="6">
        <f>IF(CHOORTbl[[#This Row],[TOTAL MFD RURAL]]=0,0,CHOORTbl[[#This Row],[TOTAL MFD RURAL]]/SUM(CHOORTbl[TOTAL MFD RURAL]))</f>
        <v>0</v>
      </c>
      <c r="AX47" s="665">
        <f>IF(CHOORTbl[[#This Row],[ALL UNITS IN A HIGH OR HIGHEST RESOURCE AREA]]="Yes",10*CHOORTbl[[#This Row],[ % OF TOTAL MFD RURAL FUNDING]],0)</f>
        <v>0</v>
      </c>
      <c r="AY47" s="665" cm="1">
        <f t="array" ref="AY47">INDEX(CountyScoresTbl[OOR Community Need],ROW(CHOORTbl[[#This Row],[COUNTY]])-2,1)*CHOORTbl[[#This Row],[ % OF TOTAL MFD RURAL FUNDING]]</f>
        <v>0</v>
      </c>
      <c r="AZ47" s="694" cm="1">
        <f t="array" ref="AZ47">INDEX(CountyScoresTbl[OOR/ADU Total Feasibility Points Awarded],ROW(CHOORTbl[[#This Row],[COUNTY]])-2,1)*CHOORTbl[[#This Row],[ % OF TOTAL MFD RURAL FUNDING]]</f>
        <v>0</v>
      </c>
      <c r="BA47" s="556"/>
      <c r="BB47" s="561">
        <f>SUM(CHOORTbl[[#This Row],[UNRESTRICTED ADF]],CHOORTbl[[#This Row],[Unrestricted Funds Requesting]])</f>
        <v>0</v>
      </c>
      <c r="BC47" s="556"/>
      <c r="BD47" s="561">
        <f>SUM(CHOORTbl[[#This Row],[MANUFACTURED ADF]],CHOORTbl[[#This Row],[Manufactured Home Funds Requesting]])</f>
        <v>0</v>
      </c>
      <c r="BE47" s="556"/>
      <c r="BF47" s="561">
        <f>SUM(CHOORTbl[[#This Row],[RURAL ADF]],CHOORTbl[[#This Row],[RURAL FUNDING REQUESTED]])</f>
        <v>0</v>
      </c>
      <c r="BG47" s="556"/>
      <c r="BH47" s="562">
        <f>SUM(CHOORTbl[[#This Row],[MFD RURAL ADF]],CHOORTbl[[#This Row],[MFD RURAL FUNDING REQUESTED]])</f>
        <v>0</v>
      </c>
    </row>
    <row r="48" spans="1:60" x14ac:dyDescent="0.35">
      <c r="A48" s="116"/>
      <c r="B48" s="5" t="s">
        <v>160</v>
      </c>
      <c r="C48" s="31" t="s">
        <v>513</v>
      </c>
      <c r="D48" s="109" t="str">
        <f>IF(SUM(CHOORTbl[[#This Row],[Unrestricted Repair Units]:[Unrestricted ADU Reconstruct Units]])=0,"",SUM(CHOORTbl[[#This Row],[Unrestricted Repair Units]:[Unrestricted ADU Reconstruct Units]]))</f>
        <v/>
      </c>
      <c r="E48" s="74" t="str">
        <f xml:space="preserve">
IF(CHOORTbl[[#This Row],[TOTAL UNRESTRICTED]]=0,"",
CHOORTbl[[#This Row],[TOTAL UNRESTRICTED]]*
IF(CH_OOR_UnrestrictedTotalRequested&lt;=5000000,1,
5000000/CH_OOR_UnrestrictedTotalRequested)
)</f>
        <v/>
      </c>
      <c r="F48" s="6" t="str">
        <f>IF(CHOORTbl[[#This Row],[ % OF TOTAL FUNDING]]=0,"",CHOORTbl[[#This Row],[ % OF TOTAL FUNDING]])</f>
        <v/>
      </c>
      <c r="G48" s="31" t="s">
        <v>513</v>
      </c>
      <c r="H48" s="109" t="str">
        <f>IF(SUM(CHOORTbl[[#This Row],[Manufactured Home Units]])=0,"",SUM(CHOORTbl[[#This Row],[Manufactured Home Units]]))</f>
        <v/>
      </c>
      <c r="I48" s="74" t="str">
        <f xml:space="preserve">
IF(CHOORTbl[[#This Row],[TOTAL MANUFACTURED]]=0,"",
CHOORTbl[[#This Row],[TOTAL MANUFACTURED]]*
IF(CH_OOR_ManufacturedTotalRequested&lt;=(5000000-E$61),1,
(5000000-E$61)/CH_OOR_ManufacturedTotalRequested)
)</f>
        <v/>
      </c>
      <c r="J48" s="6" t="str">
        <f>IF(CHOORTbl[[#This Row],[ % OF TOTAL FUNDING2]]=0,"",CHOORTbl[[#This Row],[ % OF TOTAL FUNDING2]])</f>
        <v/>
      </c>
      <c r="K48" s="31" t="s">
        <v>513</v>
      </c>
      <c r="L48" s="109" t="str">
        <f>IF(SUM(CHOORTbl[[#This Row],[RURAL AREA HOMES TO REPAIR2]:[RURAL AREA ADUS TO ADD OR RECONSTRUCT]])=0,"",SUM(CHOORTbl[[#This Row],[RURAL AREA HOMES TO REPAIR2]:[RURAL AREA ADUS TO ADD OR RECONSTRUCT]]))</f>
        <v/>
      </c>
      <c r="M48" s="74" t="str">
        <f xml:space="preserve">
IF(CHOORTbl[[#This Row],[TOTAL RURAL]]=0,"",
CHOORTbl[[#This Row],[TOTAL RURAL]]*
IF(CH_OOR_RuralTotalRequested&lt;=(5000000-E$61-I$61),1,
(5000000-E$61-I$61)/CH_OOR_RuralTotalRequested)
)</f>
        <v/>
      </c>
      <c r="N48" s="6" t="str">
        <f>IF(CHOORTbl[[#This Row],[ % OF TOTAL RURAL FUNDING]]=0,"",CHOORTbl[[#This Row],[ % OF TOTAL RURAL FUNDING]])</f>
        <v/>
      </c>
      <c r="O48" s="31" t="s">
        <v>513</v>
      </c>
      <c r="P48" s="109" t="str">
        <f>IF(SUM(CHOORTbl[[#This Row],[MFD RURAL UNITS]])=0,"",SUM(CHOORTbl[[#This Row],[MFD RURAL UNITS]]))</f>
        <v/>
      </c>
      <c r="Q48" s="74" t="str">
        <f xml:space="preserve">
IF(CHOORTbl[[#This Row],[TOTAL MFD RURAL]]=0,"",
CHOORTbl[[#This Row],[TOTAL MFD RURAL]]*
IF(CH_OOR_MFDRuralTotalRequested&lt;=(5000000-E$61-I$61-M$61),1,
(5000000-E$61-I$61-M$61)/CH_OOR_MFDRuralTotalRequested)
)</f>
        <v/>
      </c>
      <c r="R48" s="6" t="str">
        <f>IF(CHOORTbl[[#This Row],[ % OF TOTAL MFD RURAL FUNDING]]=0,"",CHOORTbl[[#This Row],[ % OF TOTAL MFD RURAL FUNDING]])</f>
        <v/>
      </c>
      <c r="S48" s="44" t="s">
        <v>513</v>
      </c>
      <c r="T48" s="116"/>
      <c r="U48" s="242"/>
      <c r="V48" s="745"/>
      <c r="W48" s="705"/>
      <c r="X48" s="242"/>
      <c r="Y48" s="242"/>
      <c r="Z48" s="242"/>
      <c r="AA48" s="118"/>
      <c r="AB48" s="6">
        <f>IF(CHOORTbl[[#This Row],[TOTAL UNRESTRICTED]]=0,0,CHOORTbl[[#This Row],[TOTAL UNRESTRICTED]]/SUM(CHOORTbl[TOTAL UNRESTRICTED]))</f>
        <v>0</v>
      </c>
      <c r="AC48" s="665">
        <f>IF(CHOORTbl[[#This Row],[ALL UNITS IN A HIGH OR HIGHEST RESOURCE AREA]]="Yes",10*CHOORTbl[[#This Row],[ % OF TOTAL FUNDING]],0)</f>
        <v>0</v>
      </c>
      <c r="AD48" s="665" cm="1">
        <f t="array" ref="AD48">INDEX(CountyScoresTbl[OOR Community Need],ROW(CHOORTbl[[#This Row],[COUNTY]])-2,1)*CHOORTbl[[#This Row],[ % OF TOTAL FUNDING]]</f>
        <v>0</v>
      </c>
      <c r="AE48" s="694" cm="1">
        <f t="array" ref="AE48">INDEX(CountyScoresTbl[OOR/ADU Total Feasibility Points Awarded],ROW(CHOORTbl[[#This Row],[COUNTY]])-2,1)*CHOORTbl[[#This Row],[ % OF TOTAL FUNDING]]</f>
        <v>0</v>
      </c>
      <c r="AF48" s="124"/>
      <c r="AG48" s="118"/>
      <c r="AH48" s="6">
        <f>IF(CHOORTbl[[#This Row],[TOTAL MANUFACTURED]]=0,0,CHOORTbl[[#This Row],[TOTAL MANUFACTURED]]/SUM(CHOORTbl[TOTAL MANUFACTURED]))</f>
        <v>0</v>
      </c>
      <c r="AI48" s="665">
        <f>IF(CHOORTbl[[#This Row],[ALL UNITS IN A HIGH OR HIGHEST RESOURCE AREA]]="Yes",10*CHOORTbl[[#This Row],[ % OF TOTAL FUNDING2]],0)</f>
        <v>0</v>
      </c>
      <c r="AJ48" s="665" cm="1">
        <f t="array" ref="AJ48">INDEX(CountyScoresTbl[OOR Community Need],ROW(CHOORTbl[[#This Row],[COUNTY]])-2,1)*CHOORTbl[[#This Row],[ % OF TOTAL FUNDING2]]</f>
        <v>0</v>
      </c>
      <c r="AK48" s="694" cm="1">
        <f t="array" ref="AK48">INDEX(CountyScoresTbl[OOR/ADU Total Feasibility Points Awarded],ROW(CHOORTbl[[#This Row],[COUNTY]])-2,1)*CHOORTbl[[#This Row],[ % OF TOTAL FUNDING2]]</f>
        <v>0</v>
      </c>
      <c r="AL48" s="124"/>
      <c r="AM48" s="119"/>
      <c r="AN48" s="119"/>
      <c r="AO48" s="119"/>
      <c r="AP48" s="118"/>
      <c r="AQ48" s="6">
        <f>IF(CHOORTbl[[#This Row],[TOTAL RURAL]]=0,0,CHOORTbl[[#This Row],[TOTAL RURAL]]/SUM(CHOORTbl[TOTAL RURAL]))</f>
        <v>0</v>
      </c>
      <c r="AR48" s="665">
        <f>IF(CHOORTbl[[#This Row],[ALL UNITS IN A HIGH OR HIGHEST RESOURCE AREA]]="Yes",10*CHOORTbl[[#This Row],[ % OF TOTAL RURAL FUNDING]],0)</f>
        <v>0</v>
      </c>
      <c r="AS48" s="665" cm="1">
        <f t="array" ref="AS48">INDEX(CountyScoresTbl[OOR Community Need],ROW(CHOORTbl[[#This Row],[COUNTY]])-2,1)*CHOORTbl[[#This Row],[ % OF TOTAL RURAL FUNDING]]</f>
        <v>0</v>
      </c>
      <c r="AT48" s="694" cm="1">
        <f t="array" ref="AT48">INDEX(CountyScoresTbl[OOR/ADU Total Feasibility Points Awarded],ROW(CHOORTbl[[#This Row],[COUNTY]])-2,1)*CHOORTbl[[#This Row],[ % OF TOTAL RURAL FUNDING]]</f>
        <v>0</v>
      </c>
      <c r="AU48" s="126"/>
      <c r="AV48" s="118"/>
      <c r="AW48" s="6">
        <f>IF(CHOORTbl[[#This Row],[TOTAL MFD RURAL]]=0,0,CHOORTbl[[#This Row],[TOTAL MFD RURAL]]/SUM(CHOORTbl[TOTAL MFD RURAL]))</f>
        <v>0</v>
      </c>
      <c r="AX48" s="665">
        <f>IF(CHOORTbl[[#This Row],[ALL UNITS IN A HIGH OR HIGHEST RESOURCE AREA]]="Yes",10*CHOORTbl[[#This Row],[ % OF TOTAL MFD RURAL FUNDING]],0)</f>
        <v>0</v>
      </c>
      <c r="AY48" s="665" cm="1">
        <f t="array" ref="AY48">INDEX(CountyScoresTbl[OOR Community Need],ROW(CHOORTbl[[#This Row],[COUNTY]])-2,1)*CHOORTbl[[#This Row],[ % OF TOTAL MFD RURAL FUNDING]]</f>
        <v>0</v>
      </c>
      <c r="AZ48" s="694" cm="1">
        <f t="array" ref="AZ48">INDEX(CountyScoresTbl[OOR/ADU Total Feasibility Points Awarded],ROW(CHOORTbl[[#This Row],[COUNTY]])-2,1)*CHOORTbl[[#This Row],[ % OF TOTAL MFD RURAL FUNDING]]</f>
        <v>0</v>
      </c>
      <c r="BA48" s="556"/>
      <c r="BB48" s="561">
        <f>SUM(CHOORTbl[[#This Row],[UNRESTRICTED ADF]],CHOORTbl[[#This Row],[Unrestricted Funds Requesting]])</f>
        <v>0</v>
      </c>
      <c r="BC48" s="556"/>
      <c r="BD48" s="561">
        <f>SUM(CHOORTbl[[#This Row],[MANUFACTURED ADF]],CHOORTbl[[#This Row],[Manufactured Home Funds Requesting]])</f>
        <v>0</v>
      </c>
      <c r="BE48" s="556"/>
      <c r="BF48" s="561">
        <f>SUM(CHOORTbl[[#This Row],[RURAL ADF]],CHOORTbl[[#This Row],[RURAL FUNDING REQUESTED]])</f>
        <v>0</v>
      </c>
      <c r="BG48" s="556"/>
      <c r="BH48" s="562">
        <f>SUM(CHOORTbl[[#This Row],[MFD RURAL ADF]],CHOORTbl[[#This Row],[MFD RURAL FUNDING REQUESTED]])</f>
        <v>0</v>
      </c>
    </row>
    <row r="49" spans="1:60" x14ac:dyDescent="0.35">
      <c r="A49" s="116"/>
      <c r="B49" s="5" t="s">
        <v>161</v>
      </c>
      <c r="C49" s="31" t="s">
        <v>513</v>
      </c>
      <c r="D49" s="109" t="str">
        <f>IF(SUM(CHOORTbl[[#This Row],[Unrestricted Repair Units]:[Unrestricted ADU Reconstruct Units]])=0,"",SUM(CHOORTbl[[#This Row],[Unrestricted Repair Units]:[Unrestricted ADU Reconstruct Units]]))</f>
        <v/>
      </c>
      <c r="E49" s="74" t="str">
        <f xml:space="preserve">
IF(CHOORTbl[[#This Row],[TOTAL UNRESTRICTED]]=0,"",
CHOORTbl[[#This Row],[TOTAL UNRESTRICTED]]*
IF(CH_OOR_UnrestrictedTotalRequested&lt;=5000000,1,
5000000/CH_OOR_UnrestrictedTotalRequested)
)</f>
        <v/>
      </c>
      <c r="F49" s="6" t="str">
        <f>IF(CHOORTbl[[#This Row],[ % OF TOTAL FUNDING]]=0,"",CHOORTbl[[#This Row],[ % OF TOTAL FUNDING]])</f>
        <v/>
      </c>
      <c r="G49" s="31" t="s">
        <v>513</v>
      </c>
      <c r="H49" s="109" t="str">
        <f>IF(SUM(CHOORTbl[[#This Row],[Manufactured Home Units]])=0,"",SUM(CHOORTbl[[#This Row],[Manufactured Home Units]]))</f>
        <v/>
      </c>
      <c r="I49" s="74" t="str">
        <f xml:space="preserve">
IF(CHOORTbl[[#This Row],[TOTAL MANUFACTURED]]=0,"",
CHOORTbl[[#This Row],[TOTAL MANUFACTURED]]*
IF(CH_OOR_ManufacturedTotalRequested&lt;=(5000000-E$61),1,
(5000000-E$61)/CH_OOR_ManufacturedTotalRequested)
)</f>
        <v/>
      </c>
      <c r="J49" s="6" t="str">
        <f>IF(CHOORTbl[[#This Row],[ % OF TOTAL FUNDING2]]=0,"",CHOORTbl[[#This Row],[ % OF TOTAL FUNDING2]])</f>
        <v/>
      </c>
      <c r="K49" s="31" t="s">
        <v>513</v>
      </c>
      <c r="L49" s="109" t="str">
        <f>IF(SUM(CHOORTbl[[#This Row],[RURAL AREA HOMES TO REPAIR2]:[RURAL AREA ADUS TO ADD OR RECONSTRUCT]])=0,"",SUM(CHOORTbl[[#This Row],[RURAL AREA HOMES TO REPAIR2]:[RURAL AREA ADUS TO ADD OR RECONSTRUCT]]))</f>
        <v/>
      </c>
      <c r="M49" s="74" t="str">
        <f xml:space="preserve">
IF(CHOORTbl[[#This Row],[TOTAL RURAL]]=0,"",
CHOORTbl[[#This Row],[TOTAL RURAL]]*
IF(CH_OOR_RuralTotalRequested&lt;=(5000000-E$61-I$61),1,
(5000000-E$61-I$61)/CH_OOR_RuralTotalRequested)
)</f>
        <v/>
      </c>
      <c r="N49" s="6" t="str">
        <f>IF(CHOORTbl[[#This Row],[ % OF TOTAL RURAL FUNDING]]=0,"",CHOORTbl[[#This Row],[ % OF TOTAL RURAL FUNDING]])</f>
        <v/>
      </c>
      <c r="O49" s="31" t="s">
        <v>513</v>
      </c>
      <c r="P49" s="109" t="str">
        <f>IF(SUM(CHOORTbl[[#This Row],[MFD RURAL UNITS]])=0,"",SUM(CHOORTbl[[#This Row],[MFD RURAL UNITS]]))</f>
        <v/>
      </c>
      <c r="Q49" s="74" t="str">
        <f xml:space="preserve">
IF(CHOORTbl[[#This Row],[TOTAL MFD RURAL]]=0,"",
CHOORTbl[[#This Row],[TOTAL MFD RURAL]]*
IF(CH_OOR_MFDRuralTotalRequested&lt;=(5000000-E$61-I$61-M$61),1,
(5000000-E$61-I$61-M$61)/CH_OOR_MFDRuralTotalRequested)
)</f>
        <v/>
      </c>
      <c r="R49" s="6" t="str">
        <f>IF(CHOORTbl[[#This Row],[ % OF TOTAL MFD RURAL FUNDING]]=0,"",CHOORTbl[[#This Row],[ % OF TOTAL MFD RURAL FUNDING]])</f>
        <v/>
      </c>
      <c r="S49" s="44" t="s">
        <v>513</v>
      </c>
      <c r="T49" s="116"/>
      <c r="U49" s="242"/>
      <c r="V49" s="745"/>
      <c r="W49" s="705"/>
      <c r="X49" s="242"/>
      <c r="Y49" s="242"/>
      <c r="Z49" s="242"/>
      <c r="AA49" s="118"/>
      <c r="AB49" s="6">
        <f>IF(CHOORTbl[[#This Row],[TOTAL UNRESTRICTED]]=0,0,CHOORTbl[[#This Row],[TOTAL UNRESTRICTED]]/SUM(CHOORTbl[TOTAL UNRESTRICTED]))</f>
        <v>0</v>
      </c>
      <c r="AC49" s="665">
        <f>IF(CHOORTbl[[#This Row],[ALL UNITS IN A HIGH OR HIGHEST RESOURCE AREA]]="Yes",10*CHOORTbl[[#This Row],[ % OF TOTAL FUNDING]],0)</f>
        <v>0</v>
      </c>
      <c r="AD49" s="665" cm="1">
        <f t="array" ref="AD49">INDEX(CountyScoresTbl[OOR Community Need],ROW(CHOORTbl[[#This Row],[COUNTY]])-2,1)*CHOORTbl[[#This Row],[ % OF TOTAL FUNDING]]</f>
        <v>0</v>
      </c>
      <c r="AE49" s="694" cm="1">
        <f t="array" ref="AE49">INDEX(CountyScoresTbl[OOR/ADU Total Feasibility Points Awarded],ROW(CHOORTbl[[#This Row],[COUNTY]])-2,1)*CHOORTbl[[#This Row],[ % OF TOTAL FUNDING]]</f>
        <v>0</v>
      </c>
      <c r="AF49" s="124"/>
      <c r="AG49" s="118"/>
      <c r="AH49" s="6">
        <f>IF(CHOORTbl[[#This Row],[TOTAL MANUFACTURED]]=0,0,CHOORTbl[[#This Row],[TOTAL MANUFACTURED]]/SUM(CHOORTbl[TOTAL MANUFACTURED]))</f>
        <v>0</v>
      </c>
      <c r="AI49" s="665">
        <f>IF(CHOORTbl[[#This Row],[ALL UNITS IN A HIGH OR HIGHEST RESOURCE AREA]]="Yes",10*CHOORTbl[[#This Row],[ % OF TOTAL FUNDING2]],0)</f>
        <v>0</v>
      </c>
      <c r="AJ49" s="665" cm="1">
        <f t="array" ref="AJ49">INDEX(CountyScoresTbl[OOR Community Need],ROW(CHOORTbl[[#This Row],[COUNTY]])-2,1)*CHOORTbl[[#This Row],[ % OF TOTAL FUNDING2]]</f>
        <v>0</v>
      </c>
      <c r="AK49" s="694" cm="1">
        <f t="array" ref="AK49">INDEX(CountyScoresTbl[OOR/ADU Total Feasibility Points Awarded],ROW(CHOORTbl[[#This Row],[COUNTY]])-2,1)*CHOORTbl[[#This Row],[ % OF TOTAL FUNDING2]]</f>
        <v>0</v>
      </c>
      <c r="AL49" s="124"/>
      <c r="AM49" s="119"/>
      <c r="AN49" s="119"/>
      <c r="AO49" s="119"/>
      <c r="AP49" s="118"/>
      <c r="AQ49" s="6">
        <f>IF(CHOORTbl[[#This Row],[TOTAL RURAL]]=0,0,CHOORTbl[[#This Row],[TOTAL RURAL]]/SUM(CHOORTbl[TOTAL RURAL]))</f>
        <v>0</v>
      </c>
      <c r="AR49" s="665">
        <f>IF(CHOORTbl[[#This Row],[ALL UNITS IN A HIGH OR HIGHEST RESOURCE AREA]]="Yes",10*CHOORTbl[[#This Row],[ % OF TOTAL RURAL FUNDING]],0)</f>
        <v>0</v>
      </c>
      <c r="AS49" s="665" cm="1">
        <f t="array" ref="AS49">INDEX(CountyScoresTbl[OOR Community Need],ROW(CHOORTbl[[#This Row],[COUNTY]])-2,1)*CHOORTbl[[#This Row],[ % OF TOTAL RURAL FUNDING]]</f>
        <v>0</v>
      </c>
      <c r="AT49" s="694" cm="1">
        <f t="array" ref="AT49">INDEX(CountyScoresTbl[OOR/ADU Total Feasibility Points Awarded],ROW(CHOORTbl[[#This Row],[COUNTY]])-2,1)*CHOORTbl[[#This Row],[ % OF TOTAL RURAL FUNDING]]</f>
        <v>0</v>
      </c>
      <c r="AU49" s="126"/>
      <c r="AV49" s="118"/>
      <c r="AW49" s="6">
        <f>IF(CHOORTbl[[#This Row],[TOTAL MFD RURAL]]=0,0,CHOORTbl[[#This Row],[TOTAL MFD RURAL]]/SUM(CHOORTbl[TOTAL MFD RURAL]))</f>
        <v>0</v>
      </c>
      <c r="AX49" s="665">
        <f>IF(CHOORTbl[[#This Row],[ALL UNITS IN A HIGH OR HIGHEST RESOURCE AREA]]="Yes",10*CHOORTbl[[#This Row],[ % OF TOTAL MFD RURAL FUNDING]],0)</f>
        <v>0</v>
      </c>
      <c r="AY49" s="665" cm="1">
        <f t="array" ref="AY49">INDEX(CountyScoresTbl[OOR Community Need],ROW(CHOORTbl[[#This Row],[COUNTY]])-2,1)*CHOORTbl[[#This Row],[ % OF TOTAL MFD RURAL FUNDING]]</f>
        <v>0</v>
      </c>
      <c r="AZ49" s="694" cm="1">
        <f t="array" ref="AZ49">INDEX(CountyScoresTbl[OOR/ADU Total Feasibility Points Awarded],ROW(CHOORTbl[[#This Row],[COUNTY]])-2,1)*CHOORTbl[[#This Row],[ % OF TOTAL MFD RURAL FUNDING]]</f>
        <v>0</v>
      </c>
      <c r="BA49" s="556"/>
      <c r="BB49" s="561">
        <f>SUM(CHOORTbl[[#This Row],[UNRESTRICTED ADF]],CHOORTbl[[#This Row],[Unrestricted Funds Requesting]])</f>
        <v>0</v>
      </c>
      <c r="BC49" s="556"/>
      <c r="BD49" s="561">
        <f>SUM(CHOORTbl[[#This Row],[MANUFACTURED ADF]],CHOORTbl[[#This Row],[Manufactured Home Funds Requesting]])</f>
        <v>0</v>
      </c>
      <c r="BE49" s="556"/>
      <c r="BF49" s="561">
        <f>SUM(CHOORTbl[[#This Row],[RURAL ADF]],CHOORTbl[[#This Row],[RURAL FUNDING REQUESTED]])</f>
        <v>0</v>
      </c>
      <c r="BG49" s="556"/>
      <c r="BH49" s="562">
        <f>SUM(CHOORTbl[[#This Row],[MFD RURAL ADF]],CHOORTbl[[#This Row],[MFD RURAL FUNDING REQUESTED]])</f>
        <v>0</v>
      </c>
    </row>
    <row r="50" spans="1:60" x14ac:dyDescent="0.35">
      <c r="A50" s="116"/>
      <c r="B50" s="5" t="s">
        <v>162</v>
      </c>
      <c r="C50" s="31" t="s">
        <v>513</v>
      </c>
      <c r="D50" s="109" t="str">
        <f>IF(SUM(CHOORTbl[[#This Row],[Unrestricted Repair Units]:[Unrestricted ADU Reconstruct Units]])=0,"",SUM(CHOORTbl[[#This Row],[Unrestricted Repair Units]:[Unrestricted ADU Reconstruct Units]]))</f>
        <v/>
      </c>
      <c r="E50" s="74" t="str">
        <f xml:space="preserve">
IF(CHOORTbl[[#This Row],[TOTAL UNRESTRICTED]]=0,"",
CHOORTbl[[#This Row],[TOTAL UNRESTRICTED]]*
IF(CH_OOR_UnrestrictedTotalRequested&lt;=5000000,1,
5000000/CH_OOR_UnrestrictedTotalRequested)
)</f>
        <v/>
      </c>
      <c r="F50" s="6" t="str">
        <f>IF(CHOORTbl[[#This Row],[ % OF TOTAL FUNDING]]=0,"",CHOORTbl[[#This Row],[ % OF TOTAL FUNDING]])</f>
        <v/>
      </c>
      <c r="G50" s="31" t="s">
        <v>513</v>
      </c>
      <c r="H50" s="109" t="str">
        <f>IF(SUM(CHOORTbl[[#This Row],[Manufactured Home Units]])=0,"",SUM(CHOORTbl[[#This Row],[Manufactured Home Units]]))</f>
        <v/>
      </c>
      <c r="I50" s="74" t="str">
        <f xml:space="preserve">
IF(CHOORTbl[[#This Row],[TOTAL MANUFACTURED]]=0,"",
CHOORTbl[[#This Row],[TOTAL MANUFACTURED]]*
IF(CH_OOR_ManufacturedTotalRequested&lt;=(5000000-E$61),1,
(5000000-E$61)/CH_OOR_ManufacturedTotalRequested)
)</f>
        <v/>
      </c>
      <c r="J50" s="6" t="str">
        <f>IF(CHOORTbl[[#This Row],[ % OF TOTAL FUNDING2]]=0,"",CHOORTbl[[#This Row],[ % OF TOTAL FUNDING2]])</f>
        <v/>
      </c>
      <c r="K50" s="31" t="s">
        <v>513</v>
      </c>
      <c r="L50" s="109" t="str">
        <f>IF(SUM(CHOORTbl[[#This Row],[RURAL AREA HOMES TO REPAIR2]:[RURAL AREA ADUS TO ADD OR RECONSTRUCT]])=0,"",SUM(CHOORTbl[[#This Row],[RURAL AREA HOMES TO REPAIR2]:[RURAL AREA ADUS TO ADD OR RECONSTRUCT]]))</f>
        <v/>
      </c>
      <c r="M50" s="74" t="str">
        <f xml:space="preserve">
IF(CHOORTbl[[#This Row],[TOTAL RURAL]]=0,"",
CHOORTbl[[#This Row],[TOTAL RURAL]]*
IF(CH_OOR_RuralTotalRequested&lt;=(5000000-E$61-I$61),1,
(5000000-E$61-I$61)/CH_OOR_RuralTotalRequested)
)</f>
        <v/>
      </c>
      <c r="N50" s="6" t="str">
        <f>IF(CHOORTbl[[#This Row],[ % OF TOTAL RURAL FUNDING]]=0,"",CHOORTbl[[#This Row],[ % OF TOTAL RURAL FUNDING]])</f>
        <v/>
      </c>
      <c r="O50" s="31" t="s">
        <v>513</v>
      </c>
      <c r="P50" s="109" t="str">
        <f>IF(SUM(CHOORTbl[[#This Row],[MFD RURAL UNITS]])=0,"",SUM(CHOORTbl[[#This Row],[MFD RURAL UNITS]]))</f>
        <v/>
      </c>
      <c r="Q50" s="74" t="str">
        <f xml:space="preserve">
IF(CHOORTbl[[#This Row],[TOTAL MFD RURAL]]=0,"",
CHOORTbl[[#This Row],[TOTAL MFD RURAL]]*
IF(CH_OOR_MFDRuralTotalRequested&lt;=(5000000-E$61-I$61-M$61),1,
(5000000-E$61-I$61-M$61)/CH_OOR_MFDRuralTotalRequested)
)</f>
        <v/>
      </c>
      <c r="R50" s="6" t="str">
        <f>IF(CHOORTbl[[#This Row],[ % OF TOTAL MFD RURAL FUNDING]]=0,"",CHOORTbl[[#This Row],[ % OF TOTAL MFD RURAL FUNDING]])</f>
        <v/>
      </c>
      <c r="S50" s="44" t="s">
        <v>513</v>
      </c>
      <c r="T50" s="116"/>
      <c r="U50" s="242"/>
      <c r="V50" s="745"/>
      <c r="W50" s="705"/>
      <c r="X50" s="242"/>
      <c r="Y50" s="242"/>
      <c r="Z50" s="242"/>
      <c r="AA50" s="118"/>
      <c r="AB50" s="6">
        <f>IF(CHOORTbl[[#This Row],[TOTAL UNRESTRICTED]]=0,0,CHOORTbl[[#This Row],[TOTAL UNRESTRICTED]]/SUM(CHOORTbl[TOTAL UNRESTRICTED]))</f>
        <v>0</v>
      </c>
      <c r="AC50" s="665">
        <f>IF(CHOORTbl[[#This Row],[ALL UNITS IN A HIGH OR HIGHEST RESOURCE AREA]]="Yes",10*CHOORTbl[[#This Row],[ % OF TOTAL FUNDING]],0)</f>
        <v>0</v>
      </c>
      <c r="AD50" s="665" cm="1">
        <f t="array" ref="AD50">INDEX(CountyScoresTbl[OOR Community Need],ROW(CHOORTbl[[#This Row],[COUNTY]])-2,1)*CHOORTbl[[#This Row],[ % OF TOTAL FUNDING]]</f>
        <v>0</v>
      </c>
      <c r="AE50" s="694" cm="1">
        <f t="array" ref="AE50">INDEX(CountyScoresTbl[OOR/ADU Total Feasibility Points Awarded],ROW(CHOORTbl[[#This Row],[COUNTY]])-2,1)*CHOORTbl[[#This Row],[ % OF TOTAL FUNDING]]</f>
        <v>0</v>
      </c>
      <c r="AF50" s="124"/>
      <c r="AG50" s="118"/>
      <c r="AH50" s="6">
        <f>IF(CHOORTbl[[#This Row],[TOTAL MANUFACTURED]]=0,0,CHOORTbl[[#This Row],[TOTAL MANUFACTURED]]/SUM(CHOORTbl[TOTAL MANUFACTURED]))</f>
        <v>0</v>
      </c>
      <c r="AI50" s="665">
        <f>IF(CHOORTbl[[#This Row],[ALL UNITS IN A HIGH OR HIGHEST RESOURCE AREA]]="Yes",10*CHOORTbl[[#This Row],[ % OF TOTAL FUNDING2]],0)</f>
        <v>0</v>
      </c>
      <c r="AJ50" s="665" cm="1">
        <f t="array" ref="AJ50">INDEX(CountyScoresTbl[OOR Community Need],ROW(CHOORTbl[[#This Row],[COUNTY]])-2,1)*CHOORTbl[[#This Row],[ % OF TOTAL FUNDING2]]</f>
        <v>0</v>
      </c>
      <c r="AK50" s="694" cm="1">
        <f t="array" ref="AK50">INDEX(CountyScoresTbl[OOR/ADU Total Feasibility Points Awarded],ROW(CHOORTbl[[#This Row],[COUNTY]])-2,1)*CHOORTbl[[#This Row],[ % OF TOTAL FUNDING2]]</f>
        <v>0</v>
      </c>
      <c r="AL50" s="124"/>
      <c r="AM50" s="119"/>
      <c r="AN50" s="119"/>
      <c r="AO50" s="119"/>
      <c r="AP50" s="118"/>
      <c r="AQ50" s="6">
        <f>IF(CHOORTbl[[#This Row],[TOTAL RURAL]]=0,0,CHOORTbl[[#This Row],[TOTAL RURAL]]/SUM(CHOORTbl[TOTAL RURAL]))</f>
        <v>0</v>
      </c>
      <c r="AR50" s="665">
        <f>IF(CHOORTbl[[#This Row],[ALL UNITS IN A HIGH OR HIGHEST RESOURCE AREA]]="Yes",10*CHOORTbl[[#This Row],[ % OF TOTAL RURAL FUNDING]],0)</f>
        <v>0</v>
      </c>
      <c r="AS50" s="665" cm="1">
        <f t="array" ref="AS50">INDEX(CountyScoresTbl[OOR Community Need],ROW(CHOORTbl[[#This Row],[COUNTY]])-2,1)*CHOORTbl[[#This Row],[ % OF TOTAL RURAL FUNDING]]</f>
        <v>0</v>
      </c>
      <c r="AT50" s="694" cm="1">
        <f t="array" ref="AT50">INDEX(CountyScoresTbl[OOR/ADU Total Feasibility Points Awarded],ROW(CHOORTbl[[#This Row],[COUNTY]])-2,1)*CHOORTbl[[#This Row],[ % OF TOTAL RURAL FUNDING]]</f>
        <v>0</v>
      </c>
      <c r="AU50" s="126"/>
      <c r="AV50" s="118"/>
      <c r="AW50" s="6">
        <f>IF(CHOORTbl[[#This Row],[TOTAL MFD RURAL]]=0,0,CHOORTbl[[#This Row],[TOTAL MFD RURAL]]/SUM(CHOORTbl[TOTAL MFD RURAL]))</f>
        <v>0</v>
      </c>
      <c r="AX50" s="665">
        <f>IF(CHOORTbl[[#This Row],[ALL UNITS IN A HIGH OR HIGHEST RESOURCE AREA]]="Yes",10*CHOORTbl[[#This Row],[ % OF TOTAL MFD RURAL FUNDING]],0)</f>
        <v>0</v>
      </c>
      <c r="AY50" s="665" cm="1">
        <f t="array" ref="AY50">INDEX(CountyScoresTbl[OOR Community Need],ROW(CHOORTbl[[#This Row],[COUNTY]])-2,1)*CHOORTbl[[#This Row],[ % OF TOTAL MFD RURAL FUNDING]]</f>
        <v>0</v>
      </c>
      <c r="AZ50" s="694" cm="1">
        <f t="array" ref="AZ50">INDEX(CountyScoresTbl[OOR/ADU Total Feasibility Points Awarded],ROW(CHOORTbl[[#This Row],[COUNTY]])-2,1)*CHOORTbl[[#This Row],[ % OF TOTAL MFD RURAL FUNDING]]</f>
        <v>0</v>
      </c>
      <c r="BA50" s="556"/>
      <c r="BB50" s="561">
        <f>SUM(CHOORTbl[[#This Row],[UNRESTRICTED ADF]],CHOORTbl[[#This Row],[Unrestricted Funds Requesting]])</f>
        <v>0</v>
      </c>
      <c r="BC50" s="556"/>
      <c r="BD50" s="561">
        <f>SUM(CHOORTbl[[#This Row],[MANUFACTURED ADF]],CHOORTbl[[#This Row],[Manufactured Home Funds Requesting]])</f>
        <v>0</v>
      </c>
      <c r="BE50" s="556"/>
      <c r="BF50" s="561">
        <f>SUM(CHOORTbl[[#This Row],[RURAL ADF]],CHOORTbl[[#This Row],[RURAL FUNDING REQUESTED]])</f>
        <v>0</v>
      </c>
      <c r="BG50" s="556"/>
      <c r="BH50" s="562">
        <f>SUM(CHOORTbl[[#This Row],[MFD RURAL ADF]],CHOORTbl[[#This Row],[MFD RURAL FUNDING REQUESTED]])</f>
        <v>0</v>
      </c>
    </row>
    <row r="51" spans="1:60" x14ac:dyDescent="0.35">
      <c r="A51" s="116"/>
      <c r="B51" s="5" t="s">
        <v>163</v>
      </c>
      <c r="C51" s="31" t="s">
        <v>513</v>
      </c>
      <c r="D51" s="109" t="str">
        <f>IF(SUM(CHOORTbl[[#This Row],[Unrestricted Repair Units]:[Unrestricted ADU Reconstruct Units]])=0,"",SUM(CHOORTbl[[#This Row],[Unrestricted Repair Units]:[Unrestricted ADU Reconstruct Units]]))</f>
        <v/>
      </c>
      <c r="E51" s="74" t="str">
        <f xml:space="preserve">
IF(CHOORTbl[[#This Row],[TOTAL UNRESTRICTED]]=0,"",
CHOORTbl[[#This Row],[TOTAL UNRESTRICTED]]*
IF(CH_OOR_UnrestrictedTotalRequested&lt;=5000000,1,
5000000/CH_OOR_UnrestrictedTotalRequested)
)</f>
        <v/>
      </c>
      <c r="F51" s="6" t="str">
        <f>IF(CHOORTbl[[#This Row],[ % OF TOTAL FUNDING]]=0,"",CHOORTbl[[#This Row],[ % OF TOTAL FUNDING]])</f>
        <v/>
      </c>
      <c r="G51" s="31" t="s">
        <v>513</v>
      </c>
      <c r="H51" s="109" t="str">
        <f>IF(SUM(CHOORTbl[[#This Row],[Manufactured Home Units]])=0,"",SUM(CHOORTbl[[#This Row],[Manufactured Home Units]]))</f>
        <v/>
      </c>
      <c r="I51" s="74" t="str">
        <f xml:space="preserve">
IF(CHOORTbl[[#This Row],[TOTAL MANUFACTURED]]=0,"",
CHOORTbl[[#This Row],[TOTAL MANUFACTURED]]*
IF(CH_OOR_ManufacturedTotalRequested&lt;=(5000000-E$61),1,
(5000000-E$61)/CH_OOR_ManufacturedTotalRequested)
)</f>
        <v/>
      </c>
      <c r="J51" s="6" t="str">
        <f>IF(CHOORTbl[[#This Row],[ % OF TOTAL FUNDING2]]=0,"",CHOORTbl[[#This Row],[ % OF TOTAL FUNDING2]])</f>
        <v/>
      </c>
      <c r="K51" s="31" t="s">
        <v>513</v>
      </c>
      <c r="L51" s="109" t="str">
        <f>IF(SUM(CHOORTbl[[#This Row],[RURAL AREA HOMES TO REPAIR2]:[RURAL AREA ADUS TO ADD OR RECONSTRUCT]])=0,"",SUM(CHOORTbl[[#This Row],[RURAL AREA HOMES TO REPAIR2]:[RURAL AREA ADUS TO ADD OR RECONSTRUCT]]))</f>
        <v/>
      </c>
      <c r="M51" s="74" t="str">
        <f xml:space="preserve">
IF(CHOORTbl[[#This Row],[TOTAL RURAL]]=0,"",
CHOORTbl[[#This Row],[TOTAL RURAL]]*
IF(CH_OOR_RuralTotalRequested&lt;=(5000000-E$61-I$61),1,
(5000000-E$61-I$61)/CH_OOR_RuralTotalRequested)
)</f>
        <v/>
      </c>
      <c r="N51" s="6" t="str">
        <f>IF(CHOORTbl[[#This Row],[ % OF TOTAL RURAL FUNDING]]=0,"",CHOORTbl[[#This Row],[ % OF TOTAL RURAL FUNDING]])</f>
        <v/>
      </c>
      <c r="O51" s="31" t="s">
        <v>513</v>
      </c>
      <c r="P51" s="109" t="str">
        <f>IF(SUM(CHOORTbl[[#This Row],[MFD RURAL UNITS]])=0,"",SUM(CHOORTbl[[#This Row],[MFD RURAL UNITS]]))</f>
        <v/>
      </c>
      <c r="Q51" s="74" t="str">
        <f xml:space="preserve">
IF(CHOORTbl[[#This Row],[TOTAL MFD RURAL]]=0,"",
CHOORTbl[[#This Row],[TOTAL MFD RURAL]]*
IF(CH_OOR_MFDRuralTotalRequested&lt;=(5000000-E$61-I$61-M$61),1,
(5000000-E$61-I$61-M$61)/CH_OOR_MFDRuralTotalRequested)
)</f>
        <v/>
      </c>
      <c r="R51" s="6" t="str">
        <f>IF(CHOORTbl[[#This Row],[ % OF TOTAL MFD RURAL FUNDING]]=0,"",CHOORTbl[[#This Row],[ % OF TOTAL MFD RURAL FUNDING]])</f>
        <v/>
      </c>
      <c r="S51" s="44" t="s">
        <v>513</v>
      </c>
      <c r="T51" s="116"/>
      <c r="U51" s="242"/>
      <c r="V51" s="745"/>
      <c r="W51" s="705"/>
      <c r="X51" s="242"/>
      <c r="Y51" s="242"/>
      <c r="Z51" s="242"/>
      <c r="AA51" s="118"/>
      <c r="AB51" s="6">
        <f>IF(CHOORTbl[[#This Row],[TOTAL UNRESTRICTED]]=0,0,CHOORTbl[[#This Row],[TOTAL UNRESTRICTED]]/SUM(CHOORTbl[TOTAL UNRESTRICTED]))</f>
        <v>0</v>
      </c>
      <c r="AC51" s="665">
        <f>IF(CHOORTbl[[#This Row],[ALL UNITS IN A HIGH OR HIGHEST RESOURCE AREA]]="Yes",10*CHOORTbl[[#This Row],[ % OF TOTAL FUNDING]],0)</f>
        <v>0</v>
      </c>
      <c r="AD51" s="665" cm="1">
        <f t="array" ref="AD51">INDEX(CountyScoresTbl[OOR Community Need],ROW(CHOORTbl[[#This Row],[COUNTY]])-2,1)*CHOORTbl[[#This Row],[ % OF TOTAL FUNDING]]</f>
        <v>0</v>
      </c>
      <c r="AE51" s="694" cm="1">
        <f t="array" ref="AE51">INDEX(CountyScoresTbl[OOR/ADU Total Feasibility Points Awarded],ROW(CHOORTbl[[#This Row],[COUNTY]])-2,1)*CHOORTbl[[#This Row],[ % OF TOTAL FUNDING]]</f>
        <v>0</v>
      </c>
      <c r="AF51" s="124"/>
      <c r="AG51" s="118"/>
      <c r="AH51" s="6">
        <f>IF(CHOORTbl[[#This Row],[TOTAL MANUFACTURED]]=0,0,CHOORTbl[[#This Row],[TOTAL MANUFACTURED]]/SUM(CHOORTbl[TOTAL MANUFACTURED]))</f>
        <v>0</v>
      </c>
      <c r="AI51" s="665">
        <f>IF(CHOORTbl[[#This Row],[ALL UNITS IN A HIGH OR HIGHEST RESOURCE AREA]]="Yes",10*CHOORTbl[[#This Row],[ % OF TOTAL FUNDING2]],0)</f>
        <v>0</v>
      </c>
      <c r="AJ51" s="665" cm="1">
        <f t="array" ref="AJ51">INDEX(CountyScoresTbl[OOR Community Need],ROW(CHOORTbl[[#This Row],[COUNTY]])-2,1)*CHOORTbl[[#This Row],[ % OF TOTAL FUNDING2]]</f>
        <v>0</v>
      </c>
      <c r="AK51" s="694" cm="1">
        <f t="array" ref="AK51">INDEX(CountyScoresTbl[OOR/ADU Total Feasibility Points Awarded],ROW(CHOORTbl[[#This Row],[COUNTY]])-2,1)*CHOORTbl[[#This Row],[ % OF TOTAL FUNDING2]]</f>
        <v>0</v>
      </c>
      <c r="AL51" s="124"/>
      <c r="AM51" s="119"/>
      <c r="AN51" s="119"/>
      <c r="AO51" s="119"/>
      <c r="AP51" s="118"/>
      <c r="AQ51" s="6">
        <f>IF(CHOORTbl[[#This Row],[TOTAL RURAL]]=0,0,CHOORTbl[[#This Row],[TOTAL RURAL]]/SUM(CHOORTbl[TOTAL RURAL]))</f>
        <v>0</v>
      </c>
      <c r="AR51" s="665">
        <f>IF(CHOORTbl[[#This Row],[ALL UNITS IN A HIGH OR HIGHEST RESOURCE AREA]]="Yes",10*CHOORTbl[[#This Row],[ % OF TOTAL RURAL FUNDING]],0)</f>
        <v>0</v>
      </c>
      <c r="AS51" s="665" cm="1">
        <f t="array" ref="AS51">INDEX(CountyScoresTbl[OOR Community Need],ROW(CHOORTbl[[#This Row],[COUNTY]])-2,1)*CHOORTbl[[#This Row],[ % OF TOTAL RURAL FUNDING]]</f>
        <v>0</v>
      </c>
      <c r="AT51" s="694" cm="1">
        <f t="array" ref="AT51">INDEX(CountyScoresTbl[OOR/ADU Total Feasibility Points Awarded],ROW(CHOORTbl[[#This Row],[COUNTY]])-2,1)*CHOORTbl[[#This Row],[ % OF TOTAL RURAL FUNDING]]</f>
        <v>0</v>
      </c>
      <c r="AU51" s="126"/>
      <c r="AV51" s="118"/>
      <c r="AW51" s="6">
        <f>IF(CHOORTbl[[#This Row],[TOTAL MFD RURAL]]=0,0,CHOORTbl[[#This Row],[TOTAL MFD RURAL]]/SUM(CHOORTbl[TOTAL MFD RURAL]))</f>
        <v>0</v>
      </c>
      <c r="AX51" s="665">
        <f>IF(CHOORTbl[[#This Row],[ALL UNITS IN A HIGH OR HIGHEST RESOURCE AREA]]="Yes",10*CHOORTbl[[#This Row],[ % OF TOTAL MFD RURAL FUNDING]],0)</f>
        <v>0</v>
      </c>
      <c r="AY51" s="665" cm="1">
        <f t="array" ref="AY51">INDEX(CountyScoresTbl[OOR Community Need],ROW(CHOORTbl[[#This Row],[COUNTY]])-2,1)*CHOORTbl[[#This Row],[ % OF TOTAL MFD RURAL FUNDING]]</f>
        <v>0</v>
      </c>
      <c r="AZ51" s="694" cm="1">
        <f t="array" ref="AZ51">INDEX(CountyScoresTbl[OOR/ADU Total Feasibility Points Awarded],ROW(CHOORTbl[[#This Row],[COUNTY]])-2,1)*CHOORTbl[[#This Row],[ % OF TOTAL MFD RURAL FUNDING]]</f>
        <v>0</v>
      </c>
      <c r="BA51" s="556"/>
      <c r="BB51" s="561">
        <f>SUM(CHOORTbl[[#This Row],[UNRESTRICTED ADF]],CHOORTbl[[#This Row],[Unrestricted Funds Requesting]])</f>
        <v>0</v>
      </c>
      <c r="BC51" s="556"/>
      <c r="BD51" s="561">
        <f>SUM(CHOORTbl[[#This Row],[MANUFACTURED ADF]],CHOORTbl[[#This Row],[Manufactured Home Funds Requesting]])</f>
        <v>0</v>
      </c>
      <c r="BE51" s="556"/>
      <c r="BF51" s="561">
        <f>SUM(CHOORTbl[[#This Row],[RURAL ADF]],CHOORTbl[[#This Row],[RURAL FUNDING REQUESTED]])</f>
        <v>0</v>
      </c>
      <c r="BG51" s="556"/>
      <c r="BH51" s="562">
        <f>SUM(CHOORTbl[[#This Row],[MFD RURAL ADF]],CHOORTbl[[#This Row],[MFD RURAL FUNDING REQUESTED]])</f>
        <v>0</v>
      </c>
    </row>
    <row r="52" spans="1:60" x14ac:dyDescent="0.35">
      <c r="A52" s="116"/>
      <c r="B52" s="5" t="s">
        <v>164</v>
      </c>
      <c r="C52" s="31" t="s">
        <v>513</v>
      </c>
      <c r="D52" s="109" t="str">
        <f>IF(SUM(CHOORTbl[[#This Row],[Unrestricted Repair Units]:[Unrestricted ADU Reconstruct Units]])=0,"",SUM(CHOORTbl[[#This Row],[Unrestricted Repair Units]:[Unrestricted ADU Reconstruct Units]]))</f>
        <v/>
      </c>
      <c r="E52" s="74" t="str">
        <f xml:space="preserve">
IF(CHOORTbl[[#This Row],[TOTAL UNRESTRICTED]]=0,"",
CHOORTbl[[#This Row],[TOTAL UNRESTRICTED]]*
IF(CH_OOR_UnrestrictedTotalRequested&lt;=5000000,1,
5000000/CH_OOR_UnrestrictedTotalRequested)
)</f>
        <v/>
      </c>
      <c r="F52" s="6" t="str">
        <f>IF(CHOORTbl[[#This Row],[ % OF TOTAL FUNDING]]=0,"",CHOORTbl[[#This Row],[ % OF TOTAL FUNDING]])</f>
        <v/>
      </c>
      <c r="G52" s="31" t="s">
        <v>513</v>
      </c>
      <c r="H52" s="109" t="str">
        <f>IF(SUM(CHOORTbl[[#This Row],[Manufactured Home Units]])=0,"",SUM(CHOORTbl[[#This Row],[Manufactured Home Units]]))</f>
        <v/>
      </c>
      <c r="I52" s="74" t="str">
        <f xml:space="preserve">
IF(CHOORTbl[[#This Row],[TOTAL MANUFACTURED]]=0,"",
CHOORTbl[[#This Row],[TOTAL MANUFACTURED]]*
IF(CH_OOR_ManufacturedTotalRequested&lt;=(5000000-E$61),1,
(5000000-E$61)/CH_OOR_ManufacturedTotalRequested)
)</f>
        <v/>
      </c>
      <c r="J52" s="6" t="str">
        <f>IF(CHOORTbl[[#This Row],[ % OF TOTAL FUNDING2]]=0,"",CHOORTbl[[#This Row],[ % OF TOTAL FUNDING2]])</f>
        <v/>
      </c>
      <c r="K52" s="31" t="s">
        <v>513</v>
      </c>
      <c r="L52" s="109" t="str">
        <f>IF(SUM(CHOORTbl[[#This Row],[RURAL AREA HOMES TO REPAIR2]:[RURAL AREA ADUS TO ADD OR RECONSTRUCT]])=0,"",SUM(CHOORTbl[[#This Row],[RURAL AREA HOMES TO REPAIR2]:[RURAL AREA ADUS TO ADD OR RECONSTRUCT]]))</f>
        <v/>
      </c>
      <c r="M52" s="74" t="str">
        <f xml:space="preserve">
IF(CHOORTbl[[#This Row],[TOTAL RURAL]]=0,"",
CHOORTbl[[#This Row],[TOTAL RURAL]]*
IF(CH_OOR_RuralTotalRequested&lt;=(5000000-E$61-I$61),1,
(5000000-E$61-I$61)/CH_OOR_RuralTotalRequested)
)</f>
        <v/>
      </c>
      <c r="N52" s="6" t="str">
        <f>IF(CHOORTbl[[#This Row],[ % OF TOTAL RURAL FUNDING]]=0,"",CHOORTbl[[#This Row],[ % OF TOTAL RURAL FUNDING]])</f>
        <v/>
      </c>
      <c r="O52" s="31" t="s">
        <v>513</v>
      </c>
      <c r="P52" s="109" t="str">
        <f>IF(SUM(CHOORTbl[[#This Row],[MFD RURAL UNITS]])=0,"",SUM(CHOORTbl[[#This Row],[MFD RURAL UNITS]]))</f>
        <v/>
      </c>
      <c r="Q52" s="74" t="str">
        <f xml:space="preserve">
IF(CHOORTbl[[#This Row],[TOTAL MFD RURAL]]=0,"",
CHOORTbl[[#This Row],[TOTAL MFD RURAL]]*
IF(CH_OOR_MFDRuralTotalRequested&lt;=(5000000-E$61-I$61-M$61),1,
(5000000-E$61-I$61-M$61)/CH_OOR_MFDRuralTotalRequested)
)</f>
        <v/>
      </c>
      <c r="R52" s="6" t="str">
        <f>IF(CHOORTbl[[#This Row],[ % OF TOTAL MFD RURAL FUNDING]]=0,"",CHOORTbl[[#This Row],[ % OF TOTAL MFD RURAL FUNDING]])</f>
        <v/>
      </c>
      <c r="S52" s="44" t="s">
        <v>513</v>
      </c>
      <c r="T52" s="116"/>
      <c r="U52" s="242"/>
      <c r="V52" s="745"/>
      <c r="W52" s="705"/>
      <c r="X52" s="242"/>
      <c r="Y52" s="242"/>
      <c r="Z52" s="242"/>
      <c r="AA52" s="118"/>
      <c r="AB52" s="6">
        <f>IF(CHOORTbl[[#This Row],[TOTAL UNRESTRICTED]]=0,0,CHOORTbl[[#This Row],[TOTAL UNRESTRICTED]]/SUM(CHOORTbl[TOTAL UNRESTRICTED]))</f>
        <v>0</v>
      </c>
      <c r="AC52" s="665">
        <f>IF(CHOORTbl[[#This Row],[ALL UNITS IN A HIGH OR HIGHEST RESOURCE AREA]]="Yes",10*CHOORTbl[[#This Row],[ % OF TOTAL FUNDING]],0)</f>
        <v>0</v>
      </c>
      <c r="AD52" s="665" cm="1">
        <f t="array" ref="AD52">INDEX(CountyScoresTbl[OOR Community Need],ROW(CHOORTbl[[#This Row],[COUNTY]])-2,1)*CHOORTbl[[#This Row],[ % OF TOTAL FUNDING]]</f>
        <v>0</v>
      </c>
      <c r="AE52" s="694" cm="1">
        <f t="array" ref="AE52">INDEX(CountyScoresTbl[OOR/ADU Total Feasibility Points Awarded],ROW(CHOORTbl[[#This Row],[COUNTY]])-2,1)*CHOORTbl[[#This Row],[ % OF TOTAL FUNDING]]</f>
        <v>0</v>
      </c>
      <c r="AF52" s="124"/>
      <c r="AG52" s="118"/>
      <c r="AH52" s="6">
        <f>IF(CHOORTbl[[#This Row],[TOTAL MANUFACTURED]]=0,0,CHOORTbl[[#This Row],[TOTAL MANUFACTURED]]/SUM(CHOORTbl[TOTAL MANUFACTURED]))</f>
        <v>0</v>
      </c>
      <c r="AI52" s="665">
        <f>IF(CHOORTbl[[#This Row],[ALL UNITS IN A HIGH OR HIGHEST RESOURCE AREA]]="Yes",10*CHOORTbl[[#This Row],[ % OF TOTAL FUNDING2]],0)</f>
        <v>0</v>
      </c>
      <c r="AJ52" s="665" cm="1">
        <f t="array" ref="AJ52">INDEX(CountyScoresTbl[OOR Community Need],ROW(CHOORTbl[[#This Row],[COUNTY]])-2,1)*CHOORTbl[[#This Row],[ % OF TOTAL FUNDING2]]</f>
        <v>0</v>
      </c>
      <c r="AK52" s="694" cm="1">
        <f t="array" ref="AK52">INDEX(CountyScoresTbl[OOR/ADU Total Feasibility Points Awarded],ROW(CHOORTbl[[#This Row],[COUNTY]])-2,1)*CHOORTbl[[#This Row],[ % OF TOTAL FUNDING2]]</f>
        <v>0</v>
      </c>
      <c r="AL52" s="124"/>
      <c r="AM52" s="119"/>
      <c r="AN52" s="119"/>
      <c r="AO52" s="119"/>
      <c r="AP52" s="118"/>
      <c r="AQ52" s="6">
        <f>IF(CHOORTbl[[#This Row],[TOTAL RURAL]]=0,0,CHOORTbl[[#This Row],[TOTAL RURAL]]/SUM(CHOORTbl[TOTAL RURAL]))</f>
        <v>0</v>
      </c>
      <c r="AR52" s="665">
        <f>IF(CHOORTbl[[#This Row],[ALL UNITS IN A HIGH OR HIGHEST RESOURCE AREA]]="Yes",10*CHOORTbl[[#This Row],[ % OF TOTAL RURAL FUNDING]],0)</f>
        <v>0</v>
      </c>
      <c r="AS52" s="665" cm="1">
        <f t="array" ref="AS52">INDEX(CountyScoresTbl[OOR Community Need],ROW(CHOORTbl[[#This Row],[COUNTY]])-2,1)*CHOORTbl[[#This Row],[ % OF TOTAL RURAL FUNDING]]</f>
        <v>0</v>
      </c>
      <c r="AT52" s="694" cm="1">
        <f t="array" ref="AT52">INDEX(CountyScoresTbl[OOR/ADU Total Feasibility Points Awarded],ROW(CHOORTbl[[#This Row],[COUNTY]])-2,1)*CHOORTbl[[#This Row],[ % OF TOTAL RURAL FUNDING]]</f>
        <v>0</v>
      </c>
      <c r="AU52" s="126"/>
      <c r="AV52" s="118"/>
      <c r="AW52" s="6">
        <f>IF(CHOORTbl[[#This Row],[TOTAL MFD RURAL]]=0,0,CHOORTbl[[#This Row],[TOTAL MFD RURAL]]/SUM(CHOORTbl[TOTAL MFD RURAL]))</f>
        <v>0</v>
      </c>
      <c r="AX52" s="665">
        <f>IF(CHOORTbl[[#This Row],[ALL UNITS IN A HIGH OR HIGHEST RESOURCE AREA]]="Yes",10*CHOORTbl[[#This Row],[ % OF TOTAL MFD RURAL FUNDING]],0)</f>
        <v>0</v>
      </c>
      <c r="AY52" s="665" cm="1">
        <f t="array" ref="AY52">INDEX(CountyScoresTbl[OOR Community Need],ROW(CHOORTbl[[#This Row],[COUNTY]])-2,1)*CHOORTbl[[#This Row],[ % OF TOTAL MFD RURAL FUNDING]]</f>
        <v>0</v>
      </c>
      <c r="AZ52" s="694" cm="1">
        <f t="array" ref="AZ52">INDEX(CountyScoresTbl[OOR/ADU Total Feasibility Points Awarded],ROW(CHOORTbl[[#This Row],[COUNTY]])-2,1)*CHOORTbl[[#This Row],[ % OF TOTAL MFD RURAL FUNDING]]</f>
        <v>0</v>
      </c>
      <c r="BA52" s="556"/>
      <c r="BB52" s="561">
        <f>SUM(CHOORTbl[[#This Row],[UNRESTRICTED ADF]],CHOORTbl[[#This Row],[Unrestricted Funds Requesting]])</f>
        <v>0</v>
      </c>
      <c r="BC52" s="556"/>
      <c r="BD52" s="561">
        <f>SUM(CHOORTbl[[#This Row],[MANUFACTURED ADF]],CHOORTbl[[#This Row],[Manufactured Home Funds Requesting]])</f>
        <v>0</v>
      </c>
      <c r="BE52" s="556"/>
      <c r="BF52" s="561">
        <f>SUM(CHOORTbl[[#This Row],[RURAL ADF]],CHOORTbl[[#This Row],[RURAL FUNDING REQUESTED]])</f>
        <v>0</v>
      </c>
      <c r="BG52" s="556"/>
      <c r="BH52" s="562">
        <f>SUM(CHOORTbl[[#This Row],[MFD RURAL ADF]],CHOORTbl[[#This Row],[MFD RURAL FUNDING REQUESTED]])</f>
        <v>0</v>
      </c>
    </row>
    <row r="53" spans="1:60" x14ac:dyDescent="0.35">
      <c r="A53" s="116"/>
      <c r="B53" s="5" t="s">
        <v>165</v>
      </c>
      <c r="C53" s="31" t="s">
        <v>513</v>
      </c>
      <c r="D53" s="109" t="str">
        <f>IF(SUM(CHOORTbl[[#This Row],[Unrestricted Repair Units]:[Unrestricted ADU Reconstruct Units]])=0,"",SUM(CHOORTbl[[#This Row],[Unrestricted Repair Units]:[Unrestricted ADU Reconstruct Units]]))</f>
        <v/>
      </c>
      <c r="E53" s="74" t="str">
        <f xml:space="preserve">
IF(CHOORTbl[[#This Row],[TOTAL UNRESTRICTED]]=0,"",
CHOORTbl[[#This Row],[TOTAL UNRESTRICTED]]*
IF(CH_OOR_UnrestrictedTotalRequested&lt;=5000000,1,
5000000/CH_OOR_UnrestrictedTotalRequested)
)</f>
        <v/>
      </c>
      <c r="F53" s="6" t="str">
        <f>IF(CHOORTbl[[#This Row],[ % OF TOTAL FUNDING]]=0,"",CHOORTbl[[#This Row],[ % OF TOTAL FUNDING]])</f>
        <v/>
      </c>
      <c r="G53" s="31" t="s">
        <v>513</v>
      </c>
      <c r="H53" s="109" t="str">
        <f>IF(SUM(CHOORTbl[[#This Row],[Manufactured Home Units]])=0,"",SUM(CHOORTbl[[#This Row],[Manufactured Home Units]]))</f>
        <v/>
      </c>
      <c r="I53" s="74" t="str">
        <f xml:space="preserve">
IF(CHOORTbl[[#This Row],[TOTAL MANUFACTURED]]=0,"",
CHOORTbl[[#This Row],[TOTAL MANUFACTURED]]*
IF(CH_OOR_ManufacturedTotalRequested&lt;=(5000000-E$61),1,
(5000000-E$61)/CH_OOR_ManufacturedTotalRequested)
)</f>
        <v/>
      </c>
      <c r="J53" s="6" t="str">
        <f>IF(CHOORTbl[[#This Row],[ % OF TOTAL FUNDING2]]=0,"",CHOORTbl[[#This Row],[ % OF TOTAL FUNDING2]])</f>
        <v/>
      </c>
      <c r="K53" s="31" t="s">
        <v>513</v>
      </c>
      <c r="L53" s="109" t="str">
        <f>IF(SUM(CHOORTbl[[#This Row],[RURAL AREA HOMES TO REPAIR2]:[RURAL AREA ADUS TO ADD OR RECONSTRUCT]])=0,"",SUM(CHOORTbl[[#This Row],[RURAL AREA HOMES TO REPAIR2]:[RURAL AREA ADUS TO ADD OR RECONSTRUCT]]))</f>
        <v/>
      </c>
      <c r="M53" s="74" t="str">
        <f xml:space="preserve">
IF(CHOORTbl[[#This Row],[TOTAL RURAL]]=0,"",
CHOORTbl[[#This Row],[TOTAL RURAL]]*
IF(CH_OOR_RuralTotalRequested&lt;=(5000000-E$61-I$61),1,
(5000000-E$61-I$61)/CH_OOR_RuralTotalRequested)
)</f>
        <v/>
      </c>
      <c r="N53" s="6" t="str">
        <f>IF(CHOORTbl[[#This Row],[ % OF TOTAL RURAL FUNDING]]=0,"",CHOORTbl[[#This Row],[ % OF TOTAL RURAL FUNDING]])</f>
        <v/>
      </c>
      <c r="O53" s="31" t="s">
        <v>513</v>
      </c>
      <c r="P53" s="109" t="str">
        <f>IF(SUM(CHOORTbl[[#This Row],[MFD RURAL UNITS]])=0,"",SUM(CHOORTbl[[#This Row],[MFD RURAL UNITS]]))</f>
        <v/>
      </c>
      <c r="Q53" s="74" t="str">
        <f xml:space="preserve">
IF(CHOORTbl[[#This Row],[TOTAL MFD RURAL]]=0,"",
CHOORTbl[[#This Row],[TOTAL MFD RURAL]]*
IF(CH_OOR_MFDRuralTotalRequested&lt;=(5000000-E$61-I$61-M$61),1,
(5000000-E$61-I$61-M$61)/CH_OOR_MFDRuralTotalRequested)
)</f>
        <v/>
      </c>
      <c r="R53" s="6" t="str">
        <f>IF(CHOORTbl[[#This Row],[ % OF TOTAL MFD RURAL FUNDING]]=0,"",CHOORTbl[[#This Row],[ % OF TOTAL MFD RURAL FUNDING]])</f>
        <v/>
      </c>
      <c r="S53" s="44" t="s">
        <v>513</v>
      </c>
      <c r="T53" s="116"/>
      <c r="U53" s="242"/>
      <c r="V53" s="745"/>
      <c r="W53" s="705"/>
      <c r="X53" s="242"/>
      <c r="Y53" s="242"/>
      <c r="Z53" s="242"/>
      <c r="AA53" s="118"/>
      <c r="AB53" s="6">
        <f>IF(CHOORTbl[[#This Row],[TOTAL UNRESTRICTED]]=0,0,CHOORTbl[[#This Row],[TOTAL UNRESTRICTED]]/SUM(CHOORTbl[TOTAL UNRESTRICTED]))</f>
        <v>0</v>
      </c>
      <c r="AC53" s="665">
        <f>IF(CHOORTbl[[#This Row],[ALL UNITS IN A HIGH OR HIGHEST RESOURCE AREA]]="Yes",10*CHOORTbl[[#This Row],[ % OF TOTAL FUNDING]],0)</f>
        <v>0</v>
      </c>
      <c r="AD53" s="665" cm="1">
        <f t="array" ref="AD53">INDEX(CountyScoresTbl[OOR Community Need],ROW(CHOORTbl[[#This Row],[COUNTY]])-2,1)*CHOORTbl[[#This Row],[ % OF TOTAL FUNDING]]</f>
        <v>0</v>
      </c>
      <c r="AE53" s="694" cm="1">
        <f t="array" ref="AE53">INDEX(CountyScoresTbl[OOR/ADU Total Feasibility Points Awarded],ROW(CHOORTbl[[#This Row],[COUNTY]])-2,1)*CHOORTbl[[#This Row],[ % OF TOTAL FUNDING]]</f>
        <v>0</v>
      </c>
      <c r="AF53" s="124"/>
      <c r="AG53" s="118"/>
      <c r="AH53" s="6">
        <f>IF(CHOORTbl[[#This Row],[TOTAL MANUFACTURED]]=0,0,CHOORTbl[[#This Row],[TOTAL MANUFACTURED]]/SUM(CHOORTbl[TOTAL MANUFACTURED]))</f>
        <v>0</v>
      </c>
      <c r="AI53" s="665">
        <f>IF(CHOORTbl[[#This Row],[ALL UNITS IN A HIGH OR HIGHEST RESOURCE AREA]]="Yes",10*CHOORTbl[[#This Row],[ % OF TOTAL FUNDING2]],0)</f>
        <v>0</v>
      </c>
      <c r="AJ53" s="665" cm="1">
        <f t="array" ref="AJ53">INDEX(CountyScoresTbl[OOR Community Need],ROW(CHOORTbl[[#This Row],[COUNTY]])-2,1)*CHOORTbl[[#This Row],[ % OF TOTAL FUNDING2]]</f>
        <v>0</v>
      </c>
      <c r="AK53" s="694" cm="1">
        <f t="array" ref="AK53">INDEX(CountyScoresTbl[OOR/ADU Total Feasibility Points Awarded],ROW(CHOORTbl[[#This Row],[COUNTY]])-2,1)*CHOORTbl[[#This Row],[ % OF TOTAL FUNDING2]]</f>
        <v>0</v>
      </c>
      <c r="AL53" s="124"/>
      <c r="AM53" s="119"/>
      <c r="AN53" s="119"/>
      <c r="AO53" s="119"/>
      <c r="AP53" s="118"/>
      <c r="AQ53" s="6">
        <f>IF(CHOORTbl[[#This Row],[TOTAL RURAL]]=0,0,CHOORTbl[[#This Row],[TOTAL RURAL]]/SUM(CHOORTbl[TOTAL RURAL]))</f>
        <v>0</v>
      </c>
      <c r="AR53" s="665">
        <f>IF(CHOORTbl[[#This Row],[ALL UNITS IN A HIGH OR HIGHEST RESOURCE AREA]]="Yes",10*CHOORTbl[[#This Row],[ % OF TOTAL RURAL FUNDING]],0)</f>
        <v>0</v>
      </c>
      <c r="AS53" s="665" cm="1">
        <f t="array" ref="AS53">INDEX(CountyScoresTbl[OOR Community Need],ROW(CHOORTbl[[#This Row],[COUNTY]])-2,1)*CHOORTbl[[#This Row],[ % OF TOTAL RURAL FUNDING]]</f>
        <v>0</v>
      </c>
      <c r="AT53" s="694" cm="1">
        <f t="array" ref="AT53">INDEX(CountyScoresTbl[OOR/ADU Total Feasibility Points Awarded],ROW(CHOORTbl[[#This Row],[COUNTY]])-2,1)*CHOORTbl[[#This Row],[ % OF TOTAL RURAL FUNDING]]</f>
        <v>0</v>
      </c>
      <c r="AU53" s="126"/>
      <c r="AV53" s="118"/>
      <c r="AW53" s="6">
        <f>IF(CHOORTbl[[#This Row],[TOTAL MFD RURAL]]=0,0,CHOORTbl[[#This Row],[TOTAL MFD RURAL]]/SUM(CHOORTbl[TOTAL MFD RURAL]))</f>
        <v>0</v>
      </c>
      <c r="AX53" s="665">
        <f>IF(CHOORTbl[[#This Row],[ALL UNITS IN A HIGH OR HIGHEST RESOURCE AREA]]="Yes",10*CHOORTbl[[#This Row],[ % OF TOTAL MFD RURAL FUNDING]],0)</f>
        <v>0</v>
      </c>
      <c r="AY53" s="665" cm="1">
        <f t="array" ref="AY53">INDEX(CountyScoresTbl[OOR Community Need],ROW(CHOORTbl[[#This Row],[COUNTY]])-2,1)*CHOORTbl[[#This Row],[ % OF TOTAL MFD RURAL FUNDING]]</f>
        <v>0</v>
      </c>
      <c r="AZ53" s="694" cm="1">
        <f t="array" ref="AZ53">INDEX(CountyScoresTbl[OOR/ADU Total Feasibility Points Awarded],ROW(CHOORTbl[[#This Row],[COUNTY]])-2,1)*CHOORTbl[[#This Row],[ % OF TOTAL MFD RURAL FUNDING]]</f>
        <v>0</v>
      </c>
      <c r="BA53" s="556"/>
      <c r="BB53" s="561">
        <f>SUM(CHOORTbl[[#This Row],[UNRESTRICTED ADF]],CHOORTbl[[#This Row],[Unrestricted Funds Requesting]])</f>
        <v>0</v>
      </c>
      <c r="BC53" s="556"/>
      <c r="BD53" s="561">
        <f>SUM(CHOORTbl[[#This Row],[MANUFACTURED ADF]],CHOORTbl[[#This Row],[Manufactured Home Funds Requesting]])</f>
        <v>0</v>
      </c>
      <c r="BE53" s="556"/>
      <c r="BF53" s="561">
        <f>SUM(CHOORTbl[[#This Row],[RURAL ADF]],CHOORTbl[[#This Row],[RURAL FUNDING REQUESTED]])</f>
        <v>0</v>
      </c>
      <c r="BG53" s="556"/>
      <c r="BH53" s="562">
        <f>SUM(CHOORTbl[[#This Row],[MFD RURAL ADF]],CHOORTbl[[#This Row],[MFD RURAL FUNDING REQUESTED]])</f>
        <v>0</v>
      </c>
    </row>
    <row r="54" spans="1:60" x14ac:dyDescent="0.35">
      <c r="A54" s="116"/>
      <c r="B54" s="5" t="s">
        <v>166</v>
      </c>
      <c r="C54" s="31" t="s">
        <v>513</v>
      </c>
      <c r="D54" s="109" t="str">
        <f>IF(SUM(CHOORTbl[[#This Row],[Unrestricted Repair Units]:[Unrestricted ADU Reconstruct Units]])=0,"",SUM(CHOORTbl[[#This Row],[Unrestricted Repair Units]:[Unrestricted ADU Reconstruct Units]]))</f>
        <v/>
      </c>
      <c r="E54" s="74" t="str">
        <f xml:space="preserve">
IF(CHOORTbl[[#This Row],[TOTAL UNRESTRICTED]]=0,"",
CHOORTbl[[#This Row],[TOTAL UNRESTRICTED]]*
IF(CH_OOR_UnrestrictedTotalRequested&lt;=5000000,1,
5000000/CH_OOR_UnrestrictedTotalRequested)
)</f>
        <v/>
      </c>
      <c r="F54" s="6" t="str">
        <f>IF(CHOORTbl[[#This Row],[ % OF TOTAL FUNDING]]=0,"",CHOORTbl[[#This Row],[ % OF TOTAL FUNDING]])</f>
        <v/>
      </c>
      <c r="G54" s="31" t="s">
        <v>513</v>
      </c>
      <c r="H54" s="109" t="str">
        <f>IF(SUM(CHOORTbl[[#This Row],[Manufactured Home Units]])=0,"",SUM(CHOORTbl[[#This Row],[Manufactured Home Units]]))</f>
        <v/>
      </c>
      <c r="I54" s="74" t="str">
        <f xml:space="preserve">
IF(CHOORTbl[[#This Row],[TOTAL MANUFACTURED]]=0,"",
CHOORTbl[[#This Row],[TOTAL MANUFACTURED]]*
IF(CH_OOR_ManufacturedTotalRequested&lt;=(5000000-E$61),1,
(5000000-E$61)/CH_OOR_ManufacturedTotalRequested)
)</f>
        <v/>
      </c>
      <c r="J54" s="6" t="str">
        <f>IF(CHOORTbl[[#This Row],[ % OF TOTAL FUNDING2]]=0,"",CHOORTbl[[#This Row],[ % OF TOTAL FUNDING2]])</f>
        <v/>
      </c>
      <c r="K54" s="31" t="s">
        <v>513</v>
      </c>
      <c r="L54" s="109" t="str">
        <f>IF(SUM(CHOORTbl[[#This Row],[RURAL AREA HOMES TO REPAIR2]:[RURAL AREA ADUS TO ADD OR RECONSTRUCT]])=0,"",SUM(CHOORTbl[[#This Row],[RURAL AREA HOMES TO REPAIR2]:[RURAL AREA ADUS TO ADD OR RECONSTRUCT]]))</f>
        <v/>
      </c>
      <c r="M54" s="74" t="str">
        <f xml:space="preserve">
IF(CHOORTbl[[#This Row],[TOTAL RURAL]]=0,"",
CHOORTbl[[#This Row],[TOTAL RURAL]]*
IF(CH_OOR_RuralTotalRequested&lt;=(5000000-E$61-I$61),1,
(5000000-E$61-I$61)/CH_OOR_RuralTotalRequested)
)</f>
        <v/>
      </c>
      <c r="N54" s="6" t="str">
        <f>IF(CHOORTbl[[#This Row],[ % OF TOTAL RURAL FUNDING]]=0,"",CHOORTbl[[#This Row],[ % OF TOTAL RURAL FUNDING]])</f>
        <v/>
      </c>
      <c r="O54" s="31" t="s">
        <v>513</v>
      </c>
      <c r="P54" s="109" t="str">
        <f>IF(SUM(CHOORTbl[[#This Row],[MFD RURAL UNITS]])=0,"",SUM(CHOORTbl[[#This Row],[MFD RURAL UNITS]]))</f>
        <v/>
      </c>
      <c r="Q54" s="74" t="str">
        <f xml:space="preserve">
IF(CHOORTbl[[#This Row],[TOTAL MFD RURAL]]=0,"",
CHOORTbl[[#This Row],[TOTAL MFD RURAL]]*
IF(CH_OOR_MFDRuralTotalRequested&lt;=(5000000-E$61-I$61-M$61),1,
(5000000-E$61-I$61-M$61)/CH_OOR_MFDRuralTotalRequested)
)</f>
        <v/>
      </c>
      <c r="R54" s="6" t="str">
        <f>IF(CHOORTbl[[#This Row],[ % OF TOTAL MFD RURAL FUNDING]]=0,"",CHOORTbl[[#This Row],[ % OF TOTAL MFD RURAL FUNDING]])</f>
        <v/>
      </c>
      <c r="S54" s="44" t="s">
        <v>513</v>
      </c>
      <c r="T54" s="116"/>
      <c r="U54" s="242"/>
      <c r="V54" s="745"/>
      <c r="W54" s="705"/>
      <c r="X54" s="242"/>
      <c r="Y54" s="242"/>
      <c r="Z54" s="242"/>
      <c r="AA54" s="118"/>
      <c r="AB54" s="6">
        <f>IF(CHOORTbl[[#This Row],[TOTAL UNRESTRICTED]]=0,0,CHOORTbl[[#This Row],[TOTAL UNRESTRICTED]]/SUM(CHOORTbl[TOTAL UNRESTRICTED]))</f>
        <v>0</v>
      </c>
      <c r="AC54" s="665">
        <f>IF(CHOORTbl[[#This Row],[ALL UNITS IN A HIGH OR HIGHEST RESOURCE AREA]]="Yes",10*CHOORTbl[[#This Row],[ % OF TOTAL FUNDING]],0)</f>
        <v>0</v>
      </c>
      <c r="AD54" s="665" cm="1">
        <f t="array" ref="AD54">INDEX(CountyScoresTbl[OOR Community Need],ROW(CHOORTbl[[#This Row],[COUNTY]])-2,1)*CHOORTbl[[#This Row],[ % OF TOTAL FUNDING]]</f>
        <v>0</v>
      </c>
      <c r="AE54" s="694" cm="1">
        <f t="array" ref="AE54">INDEX(CountyScoresTbl[OOR/ADU Total Feasibility Points Awarded],ROW(CHOORTbl[[#This Row],[COUNTY]])-2,1)*CHOORTbl[[#This Row],[ % OF TOTAL FUNDING]]</f>
        <v>0</v>
      </c>
      <c r="AF54" s="124"/>
      <c r="AG54" s="118"/>
      <c r="AH54" s="6">
        <f>IF(CHOORTbl[[#This Row],[TOTAL MANUFACTURED]]=0,0,CHOORTbl[[#This Row],[TOTAL MANUFACTURED]]/SUM(CHOORTbl[TOTAL MANUFACTURED]))</f>
        <v>0</v>
      </c>
      <c r="AI54" s="665">
        <f>IF(CHOORTbl[[#This Row],[ALL UNITS IN A HIGH OR HIGHEST RESOURCE AREA]]="Yes",10*CHOORTbl[[#This Row],[ % OF TOTAL FUNDING2]],0)</f>
        <v>0</v>
      </c>
      <c r="AJ54" s="665" cm="1">
        <f t="array" ref="AJ54">INDEX(CountyScoresTbl[OOR Community Need],ROW(CHOORTbl[[#This Row],[COUNTY]])-2,1)*CHOORTbl[[#This Row],[ % OF TOTAL FUNDING2]]</f>
        <v>0</v>
      </c>
      <c r="AK54" s="694" cm="1">
        <f t="array" ref="AK54">INDEX(CountyScoresTbl[OOR/ADU Total Feasibility Points Awarded],ROW(CHOORTbl[[#This Row],[COUNTY]])-2,1)*CHOORTbl[[#This Row],[ % OF TOTAL FUNDING2]]</f>
        <v>0</v>
      </c>
      <c r="AL54" s="124"/>
      <c r="AM54" s="119"/>
      <c r="AN54" s="119"/>
      <c r="AO54" s="119"/>
      <c r="AP54" s="118"/>
      <c r="AQ54" s="6">
        <f>IF(CHOORTbl[[#This Row],[TOTAL RURAL]]=0,0,CHOORTbl[[#This Row],[TOTAL RURAL]]/SUM(CHOORTbl[TOTAL RURAL]))</f>
        <v>0</v>
      </c>
      <c r="AR54" s="665">
        <f>IF(CHOORTbl[[#This Row],[ALL UNITS IN A HIGH OR HIGHEST RESOURCE AREA]]="Yes",10*CHOORTbl[[#This Row],[ % OF TOTAL RURAL FUNDING]],0)</f>
        <v>0</v>
      </c>
      <c r="AS54" s="665" cm="1">
        <f t="array" ref="AS54">INDEX(CountyScoresTbl[OOR Community Need],ROW(CHOORTbl[[#This Row],[COUNTY]])-2,1)*CHOORTbl[[#This Row],[ % OF TOTAL RURAL FUNDING]]</f>
        <v>0</v>
      </c>
      <c r="AT54" s="694" cm="1">
        <f t="array" ref="AT54">INDEX(CountyScoresTbl[OOR/ADU Total Feasibility Points Awarded],ROW(CHOORTbl[[#This Row],[COUNTY]])-2,1)*CHOORTbl[[#This Row],[ % OF TOTAL RURAL FUNDING]]</f>
        <v>0</v>
      </c>
      <c r="AU54" s="126"/>
      <c r="AV54" s="118"/>
      <c r="AW54" s="6">
        <f>IF(CHOORTbl[[#This Row],[TOTAL MFD RURAL]]=0,0,CHOORTbl[[#This Row],[TOTAL MFD RURAL]]/SUM(CHOORTbl[TOTAL MFD RURAL]))</f>
        <v>0</v>
      </c>
      <c r="AX54" s="665">
        <f>IF(CHOORTbl[[#This Row],[ALL UNITS IN A HIGH OR HIGHEST RESOURCE AREA]]="Yes",10*CHOORTbl[[#This Row],[ % OF TOTAL MFD RURAL FUNDING]],0)</f>
        <v>0</v>
      </c>
      <c r="AY54" s="665" cm="1">
        <f t="array" ref="AY54">INDEX(CountyScoresTbl[OOR Community Need],ROW(CHOORTbl[[#This Row],[COUNTY]])-2,1)*CHOORTbl[[#This Row],[ % OF TOTAL MFD RURAL FUNDING]]</f>
        <v>0</v>
      </c>
      <c r="AZ54" s="694" cm="1">
        <f t="array" ref="AZ54">INDEX(CountyScoresTbl[OOR/ADU Total Feasibility Points Awarded],ROW(CHOORTbl[[#This Row],[COUNTY]])-2,1)*CHOORTbl[[#This Row],[ % OF TOTAL MFD RURAL FUNDING]]</f>
        <v>0</v>
      </c>
      <c r="BA54" s="556"/>
      <c r="BB54" s="561">
        <f>SUM(CHOORTbl[[#This Row],[UNRESTRICTED ADF]],CHOORTbl[[#This Row],[Unrestricted Funds Requesting]])</f>
        <v>0</v>
      </c>
      <c r="BC54" s="556"/>
      <c r="BD54" s="561">
        <f>SUM(CHOORTbl[[#This Row],[MANUFACTURED ADF]],CHOORTbl[[#This Row],[Manufactured Home Funds Requesting]])</f>
        <v>0</v>
      </c>
      <c r="BE54" s="556"/>
      <c r="BF54" s="561">
        <f>SUM(CHOORTbl[[#This Row],[RURAL ADF]],CHOORTbl[[#This Row],[RURAL FUNDING REQUESTED]])</f>
        <v>0</v>
      </c>
      <c r="BG54" s="556"/>
      <c r="BH54" s="562">
        <f>SUM(CHOORTbl[[#This Row],[MFD RURAL ADF]],CHOORTbl[[#This Row],[MFD RURAL FUNDING REQUESTED]])</f>
        <v>0</v>
      </c>
    </row>
    <row r="55" spans="1:60" x14ac:dyDescent="0.35">
      <c r="A55" s="116"/>
      <c r="B55" s="5" t="s">
        <v>167</v>
      </c>
      <c r="C55" s="31" t="s">
        <v>513</v>
      </c>
      <c r="D55" s="109" t="str">
        <f>IF(SUM(CHOORTbl[[#This Row],[Unrestricted Repair Units]:[Unrestricted ADU Reconstruct Units]])=0,"",SUM(CHOORTbl[[#This Row],[Unrestricted Repair Units]:[Unrestricted ADU Reconstruct Units]]))</f>
        <v/>
      </c>
      <c r="E55" s="74" t="str">
        <f xml:space="preserve">
IF(CHOORTbl[[#This Row],[TOTAL UNRESTRICTED]]=0,"",
CHOORTbl[[#This Row],[TOTAL UNRESTRICTED]]*
IF(CH_OOR_UnrestrictedTotalRequested&lt;=5000000,1,
5000000/CH_OOR_UnrestrictedTotalRequested)
)</f>
        <v/>
      </c>
      <c r="F55" s="6" t="str">
        <f>IF(CHOORTbl[[#This Row],[ % OF TOTAL FUNDING]]=0,"",CHOORTbl[[#This Row],[ % OF TOTAL FUNDING]])</f>
        <v/>
      </c>
      <c r="G55" s="31" t="s">
        <v>513</v>
      </c>
      <c r="H55" s="109" t="str">
        <f>IF(SUM(CHOORTbl[[#This Row],[Manufactured Home Units]])=0,"",SUM(CHOORTbl[[#This Row],[Manufactured Home Units]]))</f>
        <v/>
      </c>
      <c r="I55" s="74" t="str">
        <f xml:space="preserve">
IF(CHOORTbl[[#This Row],[TOTAL MANUFACTURED]]=0,"",
CHOORTbl[[#This Row],[TOTAL MANUFACTURED]]*
IF(CH_OOR_ManufacturedTotalRequested&lt;=(5000000-E$61),1,
(5000000-E$61)/CH_OOR_ManufacturedTotalRequested)
)</f>
        <v/>
      </c>
      <c r="J55" s="6" t="str">
        <f>IF(CHOORTbl[[#This Row],[ % OF TOTAL FUNDING2]]=0,"",CHOORTbl[[#This Row],[ % OF TOTAL FUNDING2]])</f>
        <v/>
      </c>
      <c r="K55" s="31" t="s">
        <v>513</v>
      </c>
      <c r="L55" s="109" t="str">
        <f>IF(SUM(CHOORTbl[[#This Row],[RURAL AREA HOMES TO REPAIR2]:[RURAL AREA ADUS TO ADD OR RECONSTRUCT]])=0,"",SUM(CHOORTbl[[#This Row],[RURAL AREA HOMES TO REPAIR2]:[RURAL AREA ADUS TO ADD OR RECONSTRUCT]]))</f>
        <v/>
      </c>
      <c r="M55" s="74" t="str">
        <f xml:space="preserve">
IF(CHOORTbl[[#This Row],[TOTAL RURAL]]=0,"",
CHOORTbl[[#This Row],[TOTAL RURAL]]*
IF(CH_OOR_RuralTotalRequested&lt;=(5000000-E$61-I$61),1,
(5000000-E$61-I$61)/CH_OOR_RuralTotalRequested)
)</f>
        <v/>
      </c>
      <c r="N55" s="6" t="str">
        <f>IF(CHOORTbl[[#This Row],[ % OF TOTAL RURAL FUNDING]]=0,"",CHOORTbl[[#This Row],[ % OF TOTAL RURAL FUNDING]])</f>
        <v/>
      </c>
      <c r="O55" s="31" t="s">
        <v>513</v>
      </c>
      <c r="P55" s="109" t="str">
        <f>IF(SUM(CHOORTbl[[#This Row],[MFD RURAL UNITS]])=0,"",SUM(CHOORTbl[[#This Row],[MFD RURAL UNITS]]))</f>
        <v/>
      </c>
      <c r="Q55" s="74" t="str">
        <f xml:space="preserve">
IF(CHOORTbl[[#This Row],[TOTAL MFD RURAL]]=0,"",
CHOORTbl[[#This Row],[TOTAL MFD RURAL]]*
IF(CH_OOR_MFDRuralTotalRequested&lt;=(5000000-E$61-I$61-M$61),1,
(5000000-E$61-I$61-M$61)/CH_OOR_MFDRuralTotalRequested)
)</f>
        <v/>
      </c>
      <c r="R55" s="6" t="str">
        <f>IF(CHOORTbl[[#This Row],[ % OF TOTAL MFD RURAL FUNDING]]=0,"",CHOORTbl[[#This Row],[ % OF TOTAL MFD RURAL FUNDING]])</f>
        <v/>
      </c>
      <c r="S55" s="44" t="s">
        <v>513</v>
      </c>
      <c r="T55" s="116"/>
      <c r="U55" s="242"/>
      <c r="V55" s="745"/>
      <c r="W55" s="705"/>
      <c r="X55" s="242"/>
      <c r="Y55" s="242"/>
      <c r="Z55" s="242"/>
      <c r="AA55" s="118"/>
      <c r="AB55" s="6">
        <f>IF(CHOORTbl[[#This Row],[TOTAL UNRESTRICTED]]=0,0,CHOORTbl[[#This Row],[TOTAL UNRESTRICTED]]/SUM(CHOORTbl[TOTAL UNRESTRICTED]))</f>
        <v>0</v>
      </c>
      <c r="AC55" s="665">
        <f>IF(CHOORTbl[[#This Row],[ALL UNITS IN A HIGH OR HIGHEST RESOURCE AREA]]="Yes",10*CHOORTbl[[#This Row],[ % OF TOTAL FUNDING]],0)</f>
        <v>0</v>
      </c>
      <c r="AD55" s="665" cm="1">
        <f t="array" ref="AD55">INDEX(CountyScoresTbl[OOR Community Need],ROW(CHOORTbl[[#This Row],[COUNTY]])-2,1)*CHOORTbl[[#This Row],[ % OF TOTAL FUNDING]]</f>
        <v>0</v>
      </c>
      <c r="AE55" s="694" cm="1">
        <f t="array" ref="AE55">INDEX(CountyScoresTbl[OOR/ADU Total Feasibility Points Awarded],ROW(CHOORTbl[[#This Row],[COUNTY]])-2,1)*CHOORTbl[[#This Row],[ % OF TOTAL FUNDING]]</f>
        <v>0</v>
      </c>
      <c r="AF55" s="124"/>
      <c r="AG55" s="118"/>
      <c r="AH55" s="6">
        <f>IF(CHOORTbl[[#This Row],[TOTAL MANUFACTURED]]=0,0,CHOORTbl[[#This Row],[TOTAL MANUFACTURED]]/SUM(CHOORTbl[TOTAL MANUFACTURED]))</f>
        <v>0</v>
      </c>
      <c r="AI55" s="665">
        <f>IF(CHOORTbl[[#This Row],[ALL UNITS IN A HIGH OR HIGHEST RESOURCE AREA]]="Yes",10*CHOORTbl[[#This Row],[ % OF TOTAL FUNDING2]],0)</f>
        <v>0</v>
      </c>
      <c r="AJ55" s="665" cm="1">
        <f t="array" ref="AJ55">INDEX(CountyScoresTbl[OOR Community Need],ROW(CHOORTbl[[#This Row],[COUNTY]])-2,1)*CHOORTbl[[#This Row],[ % OF TOTAL FUNDING2]]</f>
        <v>0</v>
      </c>
      <c r="AK55" s="694" cm="1">
        <f t="array" ref="AK55">INDEX(CountyScoresTbl[OOR/ADU Total Feasibility Points Awarded],ROW(CHOORTbl[[#This Row],[COUNTY]])-2,1)*CHOORTbl[[#This Row],[ % OF TOTAL FUNDING2]]</f>
        <v>0</v>
      </c>
      <c r="AL55" s="124"/>
      <c r="AM55" s="119"/>
      <c r="AN55" s="119"/>
      <c r="AO55" s="119"/>
      <c r="AP55" s="118"/>
      <c r="AQ55" s="6">
        <f>IF(CHOORTbl[[#This Row],[TOTAL RURAL]]=0,0,CHOORTbl[[#This Row],[TOTAL RURAL]]/SUM(CHOORTbl[TOTAL RURAL]))</f>
        <v>0</v>
      </c>
      <c r="AR55" s="665">
        <f>IF(CHOORTbl[[#This Row],[ALL UNITS IN A HIGH OR HIGHEST RESOURCE AREA]]="Yes",10*CHOORTbl[[#This Row],[ % OF TOTAL RURAL FUNDING]],0)</f>
        <v>0</v>
      </c>
      <c r="AS55" s="665" cm="1">
        <f t="array" ref="AS55">INDEX(CountyScoresTbl[OOR Community Need],ROW(CHOORTbl[[#This Row],[COUNTY]])-2,1)*CHOORTbl[[#This Row],[ % OF TOTAL RURAL FUNDING]]</f>
        <v>0</v>
      </c>
      <c r="AT55" s="694" cm="1">
        <f t="array" ref="AT55">INDEX(CountyScoresTbl[OOR/ADU Total Feasibility Points Awarded],ROW(CHOORTbl[[#This Row],[COUNTY]])-2,1)*CHOORTbl[[#This Row],[ % OF TOTAL RURAL FUNDING]]</f>
        <v>0</v>
      </c>
      <c r="AU55" s="126"/>
      <c r="AV55" s="118"/>
      <c r="AW55" s="6">
        <f>IF(CHOORTbl[[#This Row],[TOTAL MFD RURAL]]=0,0,CHOORTbl[[#This Row],[TOTAL MFD RURAL]]/SUM(CHOORTbl[TOTAL MFD RURAL]))</f>
        <v>0</v>
      </c>
      <c r="AX55" s="665">
        <f>IF(CHOORTbl[[#This Row],[ALL UNITS IN A HIGH OR HIGHEST RESOURCE AREA]]="Yes",10*CHOORTbl[[#This Row],[ % OF TOTAL MFD RURAL FUNDING]],0)</f>
        <v>0</v>
      </c>
      <c r="AY55" s="665" cm="1">
        <f t="array" ref="AY55">INDEX(CountyScoresTbl[OOR Community Need],ROW(CHOORTbl[[#This Row],[COUNTY]])-2,1)*CHOORTbl[[#This Row],[ % OF TOTAL MFD RURAL FUNDING]]</f>
        <v>0</v>
      </c>
      <c r="AZ55" s="694" cm="1">
        <f t="array" ref="AZ55">INDEX(CountyScoresTbl[OOR/ADU Total Feasibility Points Awarded],ROW(CHOORTbl[[#This Row],[COUNTY]])-2,1)*CHOORTbl[[#This Row],[ % OF TOTAL MFD RURAL FUNDING]]</f>
        <v>0</v>
      </c>
      <c r="BA55" s="556"/>
      <c r="BB55" s="561">
        <f>SUM(CHOORTbl[[#This Row],[UNRESTRICTED ADF]],CHOORTbl[[#This Row],[Unrestricted Funds Requesting]])</f>
        <v>0</v>
      </c>
      <c r="BC55" s="556"/>
      <c r="BD55" s="561">
        <f>SUM(CHOORTbl[[#This Row],[MANUFACTURED ADF]],CHOORTbl[[#This Row],[Manufactured Home Funds Requesting]])</f>
        <v>0</v>
      </c>
      <c r="BE55" s="556"/>
      <c r="BF55" s="561">
        <f>SUM(CHOORTbl[[#This Row],[RURAL ADF]],CHOORTbl[[#This Row],[RURAL FUNDING REQUESTED]])</f>
        <v>0</v>
      </c>
      <c r="BG55" s="556"/>
      <c r="BH55" s="562">
        <f>SUM(CHOORTbl[[#This Row],[MFD RURAL ADF]],CHOORTbl[[#This Row],[MFD RURAL FUNDING REQUESTED]])</f>
        <v>0</v>
      </c>
    </row>
    <row r="56" spans="1:60" x14ac:dyDescent="0.35">
      <c r="A56" s="116"/>
      <c r="B56" s="5" t="s">
        <v>168</v>
      </c>
      <c r="C56" s="31" t="s">
        <v>513</v>
      </c>
      <c r="D56" s="109" t="str">
        <f>IF(SUM(CHOORTbl[[#This Row],[Unrestricted Repair Units]:[Unrestricted ADU Reconstruct Units]])=0,"",SUM(CHOORTbl[[#This Row],[Unrestricted Repair Units]:[Unrestricted ADU Reconstruct Units]]))</f>
        <v/>
      </c>
      <c r="E56" s="74" t="str">
        <f xml:space="preserve">
IF(CHOORTbl[[#This Row],[TOTAL UNRESTRICTED]]=0,"",
CHOORTbl[[#This Row],[TOTAL UNRESTRICTED]]*
IF(CH_OOR_UnrestrictedTotalRequested&lt;=5000000,1,
5000000/CH_OOR_UnrestrictedTotalRequested)
)</f>
        <v/>
      </c>
      <c r="F56" s="6" t="str">
        <f>IF(CHOORTbl[[#This Row],[ % OF TOTAL FUNDING]]=0,"",CHOORTbl[[#This Row],[ % OF TOTAL FUNDING]])</f>
        <v/>
      </c>
      <c r="G56" s="31" t="s">
        <v>513</v>
      </c>
      <c r="H56" s="109" t="str">
        <f>IF(SUM(CHOORTbl[[#This Row],[Manufactured Home Units]])=0,"",SUM(CHOORTbl[[#This Row],[Manufactured Home Units]]))</f>
        <v/>
      </c>
      <c r="I56" s="74" t="str">
        <f xml:space="preserve">
IF(CHOORTbl[[#This Row],[TOTAL MANUFACTURED]]=0,"",
CHOORTbl[[#This Row],[TOTAL MANUFACTURED]]*
IF(CH_OOR_ManufacturedTotalRequested&lt;=(5000000-E$61),1,
(5000000-E$61)/CH_OOR_ManufacturedTotalRequested)
)</f>
        <v/>
      </c>
      <c r="J56" s="6" t="str">
        <f>IF(CHOORTbl[[#This Row],[ % OF TOTAL FUNDING2]]=0,"",CHOORTbl[[#This Row],[ % OF TOTAL FUNDING2]])</f>
        <v/>
      </c>
      <c r="K56" s="31" t="s">
        <v>513</v>
      </c>
      <c r="L56" s="109" t="str">
        <f>IF(SUM(CHOORTbl[[#This Row],[RURAL AREA HOMES TO REPAIR2]:[RURAL AREA ADUS TO ADD OR RECONSTRUCT]])=0,"",SUM(CHOORTbl[[#This Row],[RURAL AREA HOMES TO REPAIR2]:[RURAL AREA ADUS TO ADD OR RECONSTRUCT]]))</f>
        <v/>
      </c>
      <c r="M56" s="74" t="str">
        <f xml:space="preserve">
IF(CHOORTbl[[#This Row],[TOTAL RURAL]]=0,"",
CHOORTbl[[#This Row],[TOTAL RURAL]]*
IF(CH_OOR_RuralTotalRequested&lt;=(5000000-E$61-I$61),1,
(5000000-E$61-I$61)/CH_OOR_RuralTotalRequested)
)</f>
        <v/>
      </c>
      <c r="N56" s="6" t="str">
        <f>IF(CHOORTbl[[#This Row],[ % OF TOTAL RURAL FUNDING]]=0,"",CHOORTbl[[#This Row],[ % OF TOTAL RURAL FUNDING]])</f>
        <v/>
      </c>
      <c r="O56" s="31" t="s">
        <v>513</v>
      </c>
      <c r="P56" s="109" t="str">
        <f>IF(SUM(CHOORTbl[[#This Row],[MFD RURAL UNITS]])=0,"",SUM(CHOORTbl[[#This Row],[MFD RURAL UNITS]]))</f>
        <v/>
      </c>
      <c r="Q56" s="74" t="str">
        <f xml:space="preserve">
IF(CHOORTbl[[#This Row],[TOTAL MFD RURAL]]=0,"",
CHOORTbl[[#This Row],[TOTAL MFD RURAL]]*
IF(CH_OOR_MFDRuralTotalRequested&lt;=(5000000-E$61-I$61-M$61),1,
(5000000-E$61-I$61-M$61)/CH_OOR_MFDRuralTotalRequested)
)</f>
        <v/>
      </c>
      <c r="R56" s="6" t="str">
        <f>IF(CHOORTbl[[#This Row],[ % OF TOTAL MFD RURAL FUNDING]]=0,"",CHOORTbl[[#This Row],[ % OF TOTAL MFD RURAL FUNDING]])</f>
        <v/>
      </c>
      <c r="S56" s="44" t="s">
        <v>513</v>
      </c>
      <c r="T56" s="116"/>
      <c r="U56" s="242"/>
      <c r="V56" s="745"/>
      <c r="W56" s="705"/>
      <c r="X56" s="242"/>
      <c r="Y56" s="242"/>
      <c r="Z56" s="242"/>
      <c r="AA56" s="118"/>
      <c r="AB56" s="6">
        <f>IF(CHOORTbl[[#This Row],[TOTAL UNRESTRICTED]]=0,0,CHOORTbl[[#This Row],[TOTAL UNRESTRICTED]]/SUM(CHOORTbl[TOTAL UNRESTRICTED]))</f>
        <v>0</v>
      </c>
      <c r="AC56" s="665">
        <f>IF(CHOORTbl[[#This Row],[ALL UNITS IN A HIGH OR HIGHEST RESOURCE AREA]]="Yes",10*CHOORTbl[[#This Row],[ % OF TOTAL FUNDING]],0)</f>
        <v>0</v>
      </c>
      <c r="AD56" s="665" cm="1">
        <f t="array" ref="AD56">INDEX(CountyScoresTbl[OOR Community Need],ROW(CHOORTbl[[#This Row],[COUNTY]])-2,1)*CHOORTbl[[#This Row],[ % OF TOTAL FUNDING]]</f>
        <v>0</v>
      </c>
      <c r="AE56" s="694" cm="1">
        <f t="array" ref="AE56">INDEX(CountyScoresTbl[OOR/ADU Total Feasibility Points Awarded],ROW(CHOORTbl[[#This Row],[COUNTY]])-2,1)*CHOORTbl[[#This Row],[ % OF TOTAL FUNDING]]</f>
        <v>0</v>
      </c>
      <c r="AF56" s="124"/>
      <c r="AG56" s="118"/>
      <c r="AH56" s="6">
        <f>IF(CHOORTbl[[#This Row],[TOTAL MANUFACTURED]]=0,0,CHOORTbl[[#This Row],[TOTAL MANUFACTURED]]/SUM(CHOORTbl[TOTAL MANUFACTURED]))</f>
        <v>0</v>
      </c>
      <c r="AI56" s="665">
        <f>IF(CHOORTbl[[#This Row],[ALL UNITS IN A HIGH OR HIGHEST RESOURCE AREA]]="Yes",10*CHOORTbl[[#This Row],[ % OF TOTAL FUNDING2]],0)</f>
        <v>0</v>
      </c>
      <c r="AJ56" s="665" cm="1">
        <f t="array" ref="AJ56">INDEX(CountyScoresTbl[OOR Community Need],ROW(CHOORTbl[[#This Row],[COUNTY]])-2,1)*CHOORTbl[[#This Row],[ % OF TOTAL FUNDING2]]</f>
        <v>0</v>
      </c>
      <c r="AK56" s="694" cm="1">
        <f t="array" ref="AK56">INDEX(CountyScoresTbl[OOR/ADU Total Feasibility Points Awarded],ROW(CHOORTbl[[#This Row],[COUNTY]])-2,1)*CHOORTbl[[#This Row],[ % OF TOTAL FUNDING2]]</f>
        <v>0</v>
      </c>
      <c r="AL56" s="124"/>
      <c r="AM56" s="119"/>
      <c r="AN56" s="119"/>
      <c r="AO56" s="119"/>
      <c r="AP56" s="118"/>
      <c r="AQ56" s="6">
        <f>IF(CHOORTbl[[#This Row],[TOTAL RURAL]]=0,0,CHOORTbl[[#This Row],[TOTAL RURAL]]/SUM(CHOORTbl[TOTAL RURAL]))</f>
        <v>0</v>
      </c>
      <c r="AR56" s="665">
        <f>IF(CHOORTbl[[#This Row],[ALL UNITS IN A HIGH OR HIGHEST RESOURCE AREA]]="Yes",10*CHOORTbl[[#This Row],[ % OF TOTAL RURAL FUNDING]],0)</f>
        <v>0</v>
      </c>
      <c r="AS56" s="665" cm="1">
        <f t="array" ref="AS56">INDEX(CountyScoresTbl[OOR Community Need],ROW(CHOORTbl[[#This Row],[COUNTY]])-2,1)*CHOORTbl[[#This Row],[ % OF TOTAL RURAL FUNDING]]</f>
        <v>0</v>
      </c>
      <c r="AT56" s="694" cm="1">
        <f t="array" ref="AT56">INDEX(CountyScoresTbl[OOR/ADU Total Feasibility Points Awarded],ROW(CHOORTbl[[#This Row],[COUNTY]])-2,1)*CHOORTbl[[#This Row],[ % OF TOTAL RURAL FUNDING]]</f>
        <v>0</v>
      </c>
      <c r="AU56" s="126"/>
      <c r="AV56" s="118"/>
      <c r="AW56" s="6">
        <f>IF(CHOORTbl[[#This Row],[TOTAL MFD RURAL]]=0,0,CHOORTbl[[#This Row],[TOTAL MFD RURAL]]/SUM(CHOORTbl[TOTAL MFD RURAL]))</f>
        <v>0</v>
      </c>
      <c r="AX56" s="665">
        <f>IF(CHOORTbl[[#This Row],[ALL UNITS IN A HIGH OR HIGHEST RESOURCE AREA]]="Yes",10*CHOORTbl[[#This Row],[ % OF TOTAL MFD RURAL FUNDING]],0)</f>
        <v>0</v>
      </c>
      <c r="AY56" s="665" cm="1">
        <f t="array" ref="AY56">INDEX(CountyScoresTbl[OOR Community Need],ROW(CHOORTbl[[#This Row],[COUNTY]])-2,1)*CHOORTbl[[#This Row],[ % OF TOTAL MFD RURAL FUNDING]]</f>
        <v>0</v>
      </c>
      <c r="AZ56" s="694" cm="1">
        <f t="array" ref="AZ56">INDEX(CountyScoresTbl[OOR/ADU Total Feasibility Points Awarded],ROW(CHOORTbl[[#This Row],[COUNTY]])-2,1)*CHOORTbl[[#This Row],[ % OF TOTAL MFD RURAL FUNDING]]</f>
        <v>0</v>
      </c>
      <c r="BA56" s="556"/>
      <c r="BB56" s="561">
        <f>SUM(CHOORTbl[[#This Row],[UNRESTRICTED ADF]],CHOORTbl[[#This Row],[Unrestricted Funds Requesting]])</f>
        <v>0</v>
      </c>
      <c r="BC56" s="556"/>
      <c r="BD56" s="561">
        <f>SUM(CHOORTbl[[#This Row],[MANUFACTURED ADF]],CHOORTbl[[#This Row],[Manufactured Home Funds Requesting]])</f>
        <v>0</v>
      </c>
      <c r="BE56" s="556"/>
      <c r="BF56" s="561">
        <f>SUM(CHOORTbl[[#This Row],[RURAL ADF]],CHOORTbl[[#This Row],[RURAL FUNDING REQUESTED]])</f>
        <v>0</v>
      </c>
      <c r="BG56" s="556"/>
      <c r="BH56" s="562">
        <f>SUM(CHOORTbl[[#This Row],[MFD RURAL ADF]],CHOORTbl[[#This Row],[MFD RURAL FUNDING REQUESTED]])</f>
        <v>0</v>
      </c>
    </row>
    <row r="57" spans="1:60" x14ac:dyDescent="0.35">
      <c r="A57" s="115" t="s">
        <v>504</v>
      </c>
      <c r="B57" s="5" t="s">
        <v>169</v>
      </c>
      <c r="C57" s="31" t="s">
        <v>513</v>
      </c>
      <c r="D57" s="109" t="str">
        <f>IF(SUM(CHOORTbl[[#This Row],[Unrestricted Repair Units]:[Unrestricted ADU Reconstruct Units]])=0,"",SUM(CHOORTbl[[#This Row],[Unrestricted Repair Units]:[Unrestricted ADU Reconstruct Units]]))</f>
        <v/>
      </c>
      <c r="E57" s="74" t="str">
        <f xml:space="preserve">
IF(CHOORTbl[[#This Row],[TOTAL UNRESTRICTED]]=0,"",
CHOORTbl[[#This Row],[TOTAL UNRESTRICTED]]*
IF(CH_OOR_UnrestrictedTotalRequested&lt;=5000000,1,
5000000/CH_OOR_UnrestrictedTotalRequested)
)</f>
        <v/>
      </c>
      <c r="F57" s="6" t="str">
        <f>IF(CHOORTbl[[#This Row],[ % OF TOTAL FUNDING]]=0,"",CHOORTbl[[#This Row],[ % OF TOTAL FUNDING]])</f>
        <v/>
      </c>
      <c r="G57" s="31" t="s">
        <v>513</v>
      </c>
      <c r="H57" s="109" t="str">
        <f>IF(SUM(CHOORTbl[[#This Row],[Manufactured Home Units]])=0,"",SUM(CHOORTbl[[#This Row],[Manufactured Home Units]]))</f>
        <v/>
      </c>
      <c r="I57" s="74" t="str">
        <f xml:space="preserve">
IF(CHOORTbl[[#This Row],[TOTAL MANUFACTURED]]=0,"",
CHOORTbl[[#This Row],[TOTAL MANUFACTURED]]*
IF(CH_OOR_ManufacturedTotalRequested&lt;=(5000000-E$61),1,
(5000000-E$61)/CH_OOR_ManufacturedTotalRequested)
)</f>
        <v/>
      </c>
      <c r="J57" s="6" t="str">
        <f>IF(CHOORTbl[[#This Row],[ % OF TOTAL FUNDING2]]=0,"",CHOORTbl[[#This Row],[ % OF TOTAL FUNDING2]])</f>
        <v/>
      </c>
      <c r="K57" s="31" t="s">
        <v>513</v>
      </c>
      <c r="L57" s="109" t="str">
        <f>IF(SUM(CHOORTbl[[#This Row],[RURAL AREA HOMES TO REPAIR2]:[RURAL AREA ADUS TO ADD OR RECONSTRUCT]])=0,"",SUM(CHOORTbl[[#This Row],[RURAL AREA HOMES TO REPAIR2]:[RURAL AREA ADUS TO ADD OR RECONSTRUCT]]))</f>
        <v/>
      </c>
      <c r="M57" s="74" t="str">
        <f xml:space="preserve">
IF(CHOORTbl[[#This Row],[TOTAL RURAL]]=0,"",
CHOORTbl[[#This Row],[TOTAL RURAL]]*
IF(CH_OOR_RuralTotalRequested&lt;=(5000000-E$61-I$61),1,
(5000000-E$61-I$61)/CH_OOR_RuralTotalRequested)
)</f>
        <v/>
      </c>
      <c r="N57" s="6" t="str">
        <f>IF(CHOORTbl[[#This Row],[ % OF TOTAL RURAL FUNDING]]=0,"",CHOORTbl[[#This Row],[ % OF TOTAL RURAL FUNDING]])</f>
        <v/>
      </c>
      <c r="O57" s="31" t="s">
        <v>513</v>
      </c>
      <c r="P57" s="109" t="str">
        <f>IF(SUM(CHOORTbl[[#This Row],[MFD RURAL UNITS]])=0,"",SUM(CHOORTbl[[#This Row],[MFD RURAL UNITS]]))</f>
        <v/>
      </c>
      <c r="Q57" s="74" t="str">
        <f xml:space="preserve">
IF(CHOORTbl[[#This Row],[TOTAL MFD RURAL]]=0,"",
CHOORTbl[[#This Row],[TOTAL MFD RURAL]]*
IF(CH_OOR_MFDRuralTotalRequested&lt;=(5000000-E$61-I$61-M$61),1,
(5000000-E$61-I$61-M$61)/CH_OOR_MFDRuralTotalRequested)
)</f>
        <v/>
      </c>
      <c r="R57" s="6" t="str">
        <f>IF(CHOORTbl[[#This Row],[ % OF TOTAL MFD RURAL FUNDING]]=0,"",CHOORTbl[[#This Row],[ % OF TOTAL MFD RURAL FUNDING]])</f>
        <v/>
      </c>
      <c r="S57" s="44" t="s">
        <v>513</v>
      </c>
      <c r="T57" s="115" t="s">
        <v>504</v>
      </c>
      <c r="U57" s="241" t="s">
        <v>504</v>
      </c>
      <c r="V57" s="804" t="s">
        <v>504</v>
      </c>
      <c r="W57" s="802"/>
      <c r="X57" s="805"/>
      <c r="Y57" s="805"/>
      <c r="Z57" s="805"/>
      <c r="AA57" s="118"/>
      <c r="AB57" s="6">
        <f>IF(CHOORTbl[[#This Row],[TOTAL UNRESTRICTED]]=0,0,CHOORTbl[[#This Row],[TOTAL UNRESTRICTED]]/SUM(CHOORTbl[TOTAL UNRESTRICTED]))</f>
        <v>0</v>
      </c>
      <c r="AC57" s="665">
        <f>IF(CHOORTbl[[#This Row],[ALL UNITS IN A HIGH OR HIGHEST RESOURCE AREA]]="Yes",10*CHOORTbl[[#This Row],[ % OF TOTAL FUNDING]],0)</f>
        <v>0</v>
      </c>
      <c r="AD57" s="665" cm="1">
        <f t="array" ref="AD57">INDEX(CountyScoresTbl[OOR Community Need],ROW(CHOORTbl[[#This Row],[COUNTY]])-2,1)*CHOORTbl[[#This Row],[ % OF TOTAL FUNDING]]</f>
        <v>0</v>
      </c>
      <c r="AE57" s="694" cm="1">
        <f t="array" ref="AE57">INDEX(CountyScoresTbl[OOR/ADU Total Feasibility Points Awarded],ROW(CHOORTbl[[#This Row],[COUNTY]])-2,1)*CHOORTbl[[#This Row],[ % OF TOTAL FUNDING]]</f>
        <v>0</v>
      </c>
      <c r="AF57" s="123"/>
      <c r="AG57" s="118"/>
      <c r="AH57" s="6">
        <f>IF(CHOORTbl[[#This Row],[TOTAL MANUFACTURED]]=0,0,CHOORTbl[[#This Row],[TOTAL MANUFACTURED]]/SUM(CHOORTbl[TOTAL MANUFACTURED]))</f>
        <v>0</v>
      </c>
      <c r="AI57" s="665">
        <f>IF(CHOORTbl[[#This Row],[ALL UNITS IN A HIGH OR HIGHEST RESOURCE AREA]]="Yes",10*CHOORTbl[[#This Row],[ % OF TOTAL FUNDING2]],0)</f>
        <v>0</v>
      </c>
      <c r="AJ57" s="665" cm="1">
        <f t="array" ref="AJ57">INDEX(CountyScoresTbl[OOR Community Need],ROW(CHOORTbl[[#This Row],[COUNTY]])-2,1)*CHOORTbl[[#This Row],[ % OF TOTAL FUNDING2]]</f>
        <v>0</v>
      </c>
      <c r="AK57" s="694" cm="1">
        <f t="array" ref="AK57">INDEX(CountyScoresTbl[OOR/ADU Total Feasibility Points Awarded],ROW(CHOORTbl[[#This Row],[COUNTY]])-2,1)*CHOORTbl[[#This Row],[ % OF TOTAL FUNDING2]]</f>
        <v>0</v>
      </c>
      <c r="AL57" s="123"/>
      <c r="AM57" s="117"/>
      <c r="AN57" s="117"/>
      <c r="AO57" s="117"/>
      <c r="AP57" s="118"/>
      <c r="AQ57" s="6">
        <f>IF(CHOORTbl[[#This Row],[TOTAL RURAL]]=0,0,CHOORTbl[[#This Row],[TOTAL RURAL]]/SUM(CHOORTbl[TOTAL RURAL]))</f>
        <v>0</v>
      </c>
      <c r="AR57" s="665">
        <f>IF(CHOORTbl[[#This Row],[ALL UNITS IN A HIGH OR HIGHEST RESOURCE AREA]]="Yes",10*CHOORTbl[[#This Row],[ % OF TOTAL RURAL FUNDING]],0)</f>
        <v>0</v>
      </c>
      <c r="AS57" s="665" cm="1">
        <f t="array" ref="AS57">INDEX(CountyScoresTbl[OOR Community Need],ROW(CHOORTbl[[#This Row],[COUNTY]])-2,1)*CHOORTbl[[#This Row],[ % OF TOTAL RURAL FUNDING]]</f>
        <v>0</v>
      </c>
      <c r="AT57" s="694" cm="1">
        <f t="array" ref="AT57">INDEX(CountyScoresTbl[OOR/ADU Total Feasibility Points Awarded],ROW(CHOORTbl[[#This Row],[COUNTY]])-2,1)*CHOORTbl[[#This Row],[ % OF TOTAL RURAL FUNDING]]</f>
        <v>0</v>
      </c>
      <c r="AU57" s="125"/>
      <c r="AV57" s="118"/>
      <c r="AW57" s="6">
        <f>IF(CHOORTbl[[#This Row],[TOTAL MFD RURAL]]=0,0,CHOORTbl[[#This Row],[TOTAL MFD RURAL]]/SUM(CHOORTbl[TOTAL MFD RURAL]))</f>
        <v>0</v>
      </c>
      <c r="AX57" s="665">
        <f>IF(CHOORTbl[[#This Row],[ALL UNITS IN A HIGH OR HIGHEST RESOURCE AREA]]="Yes",10*CHOORTbl[[#This Row],[ % OF TOTAL MFD RURAL FUNDING]],0)</f>
        <v>0</v>
      </c>
      <c r="AY57" s="665" cm="1">
        <f t="array" ref="AY57">INDEX(CountyScoresTbl[OOR Community Need],ROW(CHOORTbl[[#This Row],[COUNTY]])-2,1)*CHOORTbl[[#This Row],[ % OF TOTAL MFD RURAL FUNDING]]</f>
        <v>0</v>
      </c>
      <c r="AZ57" s="694" cm="1">
        <f t="array" ref="AZ57">INDEX(CountyScoresTbl[OOR/ADU Total Feasibility Points Awarded],ROW(CHOORTbl[[#This Row],[COUNTY]])-2,1)*CHOORTbl[[#This Row],[ % OF TOTAL MFD RURAL FUNDING]]</f>
        <v>0</v>
      </c>
      <c r="BA57" s="556"/>
      <c r="BB57" s="561">
        <f>SUM(CHOORTbl[[#This Row],[UNRESTRICTED ADF]],CHOORTbl[[#This Row],[Unrestricted Funds Requesting]])</f>
        <v>0</v>
      </c>
      <c r="BC57" s="556"/>
      <c r="BD57" s="561">
        <f>SUM(CHOORTbl[[#This Row],[MANUFACTURED ADF]],CHOORTbl[[#This Row],[Manufactured Home Funds Requesting]])</f>
        <v>0</v>
      </c>
      <c r="BE57" s="556"/>
      <c r="BF57" s="561">
        <f>SUM(CHOORTbl[[#This Row],[RURAL ADF]],CHOORTbl[[#This Row],[RURAL FUNDING REQUESTED]])</f>
        <v>0</v>
      </c>
      <c r="BG57" s="556"/>
      <c r="BH57" s="562">
        <f>SUM(CHOORTbl[[#This Row],[MFD RURAL ADF]],CHOORTbl[[#This Row],[MFD RURAL FUNDING REQUESTED]])</f>
        <v>0</v>
      </c>
    </row>
    <row r="58" spans="1:60" x14ac:dyDescent="0.35">
      <c r="A58" s="116"/>
      <c r="B58" s="5" t="s">
        <v>170</v>
      </c>
      <c r="C58" s="31" t="s">
        <v>513</v>
      </c>
      <c r="D58" s="109" t="str">
        <f>IF(SUM(CHOORTbl[[#This Row],[Unrestricted Repair Units]:[Unrestricted ADU Reconstruct Units]])=0,"",SUM(CHOORTbl[[#This Row],[Unrestricted Repair Units]:[Unrestricted ADU Reconstruct Units]]))</f>
        <v/>
      </c>
      <c r="E58" s="74" t="str">
        <f xml:space="preserve">
IF(CHOORTbl[[#This Row],[TOTAL UNRESTRICTED]]=0,"",
CHOORTbl[[#This Row],[TOTAL UNRESTRICTED]]*
IF(CH_OOR_UnrestrictedTotalRequested&lt;=5000000,1,
5000000/CH_OOR_UnrestrictedTotalRequested)
)</f>
        <v/>
      </c>
      <c r="F58" s="6" t="str">
        <f>IF(CHOORTbl[[#This Row],[ % OF TOTAL FUNDING]]=0,"",CHOORTbl[[#This Row],[ % OF TOTAL FUNDING]])</f>
        <v/>
      </c>
      <c r="G58" s="31" t="s">
        <v>513</v>
      </c>
      <c r="H58" s="109" t="str">
        <f>IF(SUM(CHOORTbl[[#This Row],[Manufactured Home Units]])=0,"",SUM(CHOORTbl[[#This Row],[Manufactured Home Units]]))</f>
        <v/>
      </c>
      <c r="I58" s="74" t="str">
        <f xml:space="preserve">
IF(CHOORTbl[[#This Row],[TOTAL MANUFACTURED]]=0,"",
CHOORTbl[[#This Row],[TOTAL MANUFACTURED]]*
IF(CH_OOR_ManufacturedTotalRequested&lt;=(5000000-E$61),1,
(5000000-E$61)/CH_OOR_ManufacturedTotalRequested)
)</f>
        <v/>
      </c>
      <c r="J58" s="6" t="str">
        <f>IF(CHOORTbl[[#This Row],[ % OF TOTAL FUNDING2]]=0,"",CHOORTbl[[#This Row],[ % OF TOTAL FUNDING2]])</f>
        <v/>
      </c>
      <c r="K58" s="31" t="s">
        <v>513</v>
      </c>
      <c r="L58" s="109" t="str">
        <f>IF(SUM(CHOORTbl[[#This Row],[RURAL AREA HOMES TO REPAIR2]:[RURAL AREA ADUS TO ADD OR RECONSTRUCT]])=0,"",SUM(CHOORTbl[[#This Row],[RURAL AREA HOMES TO REPAIR2]:[RURAL AREA ADUS TO ADD OR RECONSTRUCT]]))</f>
        <v/>
      </c>
      <c r="M58" s="74" t="str">
        <f xml:space="preserve">
IF(CHOORTbl[[#This Row],[TOTAL RURAL]]=0,"",
CHOORTbl[[#This Row],[TOTAL RURAL]]*
IF(CH_OOR_RuralTotalRequested&lt;=(5000000-E$61-I$61),1,
(5000000-E$61-I$61)/CH_OOR_RuralTotalRequested)
)</f>
        <v/>
      </c>
      <c r="N58" s="6" t="str">
        <f>IF(CHOORTbl[[#This Row],[ % OF TOTAL RURAL FUNDING]]=0,"",CHOORTbl[[#This Row],[ % OF TOTAL RURAL FUNDING]])</f>
        <v/>
      </c>
      <c r="O58" s="31" t="s">
        <v>513</v>
      </c>
      <c r="P58" s="109" t="str">
        <f>IF(SUM(CHOORTbl[[#This Row],[MFD RURAL UNITS]])=0,"",SUM(CHOORTbl[[#This Row],[MFD RURAL UNITS]]))</f>
        <v/>
      </c>
      <c r="Q58" s="74" t="str">
        <f xml:space="preserve">
IF(CHOORTbl[[#This Row],[TOTAL MFD RURAL]]=0,"",
CHOORTbl[[#This Row],[TOTAL MFD RURAL]]*
IF(CH_OOR_MFDRuralTotalRequested&lt;=(5000000-E$61-I$61-M$61),1,
(5000000-E$61-I$61-M$61)/CH_OOR_MFDRuralTotalRequested)
)</f>
        <v/>
      </c>
      <c r="R58" s="6" t="str">
        <f>IF(CHOORTbl[[#This Row],[ % OF TOTAL MFD RURAL FUNDING]]=0,"",CHOORTbl[[#This Row],[ % OF TOTAL MFD RURAL FUNDING]])</f>
        <v/>
      </c>
      <c r="S58" s="44" t="s">
        <v>513</v>
      </c>
      <c r="T58" s="116"/>
      <c r="U58" s="242"/>
      <c r="V58" s="745"/>
      <c r="W58" s="705"/>
      <c r="X58" s="242"/>
      <c r="Y58" s="242"/>
      <c r="Z58" s="242"/>
      <c r="AA58" s="118"/>
      <c r="AB58" s="6">
        <f>IF(CHOORTbl[[#This Row],[TOTAL UNRESTRICTED]]=0,0,CHOORTbl[[#This Row],[TOTAL UNRESTRICTED]]/SUM(CHOORTbl[TOTAL UNRESTRICTED]))</f>
        <v>0</v>
      </c>
      <c r="AC58" s="665">
        <f>IF(CHOORTbl[[#This Row],[ALL UNITS IN A HIGH OR HIGHEST RESOURCE AREA]]="Yes",10*CHOORTbl[[#This Row],[ % OF TOTAL FUNDING]],0)</f>
        <v>0</v>
      </c>
      <c r="AD58" s="665" cm="1">
        <f t="array" ref="AD58">INDEX(CountyScoresTbl[OOR Community Need],ROW(CHOORTbl[[#This Row],[COUNTY]])-2,1)*CHOORTbl[[#This Row],[ % OF TOTAL FUNDING]]</f>
        <v>0</v>
      </c>
      <c r="AE58" s="694" cm="1">
        <f t="array" ref="AE58">INDEX(CountyScoresTbl[OOR/ADU Total Feasibility Points Awarded],ROW(CHOORTbl[[#This Row],[COUNTY]])-2,1)*CHOORTbl[[#This Row],[ % OF TOTAL FUNDING]]</f>
        <v>0</v>
      </c>
      <c r="AF58" s="124"/>
      <c r="AG58" s="118"/>
      <c r="AH58" s="6">
        <f>IF(CHOORTbl[[#This Row],[TOTAL MANUFACTURED]]=0,0,CHOORTbl[[#This Row],[TOTAL MANUFACTURED]]/SUM(CHOORTbl[TOTAL MANUFACTURED]))</f>
        <v>0</v>
      </c>
      <c r="AI58" s="665">
        <f>IF(CHOORTbl[[#This Row],[ALL UNITS IN A HIGH OR HIGHEST RESOURCE AREA]]="Yes",10*CHOORTbl[[#This Row],[ % OF TOTAL FUNDING2]],0)</f>
        <v>0</v>
      </c>
      <c r="AJ58" s="665" cm="1">
        <f t="array" ref="AJ58">INDEX(CountyScoresTbl[OOR Community Need],ROW(CHOORTbl[[#This Row],[COUNTY]])-2,1)*CHOORTbl[[#This Row],[ % OF TOTAL FUNDING2]]</f>
        <v>0</v>
      </c>
      <c r="AK58" s="694" cm="1">
        <f t="array" ref="AK58">INDEX(CountyScoresTbl[OOR/ADU Total Feasibility Points Awarded],ROW(CHOORTbl[[#This Row],[COUNTY]])-2,1)*CHOORTbl[[#This Row],[ % OF TOTAL FUNDING2]]</f>
        <v>0</v>
      </c>
      <c r="AL58" s="124"/>
      <c r="AM58" s="119"/>
      <c r="AN58" s="119"/>
      <c r="AO58" s="119"/>
      <c r="AP58" s="118"/>
      <c r="AQ58" s="6">
        <f>IF(CHOORTbl[[#This Row],[TOTAL RURAL]]=0,0,CHOORTbl[[#This Row],[TOTAL RURAL]]/SUM(CHOORTbl[TOTAL RURAL]))</f>
        <v>0</v>
      </c>
      <c r="AR58" s="665">
        <f>IF(CHOORTbl[[#This Row],[ALL UNITS IN A HIGH OR HIGHEST RESOURCE AREA]]="Yes",10*CHOORTbl[[#This Row],[ % OF TOTAL RURAL FUNDING]],0)</f>
        <v>0</v>
      </c>
      <c r="AS58" s="665" cm="1">
        <f t="array" ref="AS58">INDEX(CountyScoresTbl[OOR Community Need],ROW(CHOORTbl[[#This Row],[COUNTY]])-2,1)*CHOORTbl[[#This Row],[ % OF TOTAL RURAL FUNDING]]</f>
        <v>0</v>
      </c>
      <c r="AT58" s="694" cm="1">
        <f t="array" ref="AT58">INDEX(CountyScoresTbl[OOR/ADU Total Feasibility Points Awarded],ROW(CHOORTbl[[#This Row],[COUNTY]])-2,1)*CHOORTbl[[#This Row],[ % OF TOTAL RURAL FUNDING]]</f>
        <v>0</v>
      </c>
      <c r="AU58" s="126"/>
      <c r="AV58" s="118"/>
      <c r="AW58" s="6">
        <f>IF(CHOORTbl[[#This Row],[TOTAL MFD RURAL]]=0,0,CHOORTbl[[#This Row],[TOTAL MFD RURAL]]/SUM(CHOORTbl[TOTAL MFD RURAL]))</f>
        <v>0</v>
      </c>
      <c r="AX58" s="665">
        <f>IF(CHOORTbl[[#This Row],[ALL UNITS IN A HIGH OR HIGHEST RESOURCE AREA]]="Yes",10*CHOORTbl[[#This Row],[ % OF TOTAL MFD RURAL FUNDING]],0)</f>
        <v>0</v>
      </c>
      <c r="AY58" s="665" cm="1">
        <f t="array" ref="AY58">INDEX(CountyScoresTbl[OOR Community Need],ROW(CHOORTbl[[#This Row],[COUNTY]])-2,1)*CHOORTbl[[#This Row],[ % OF TOTAL MFD RURAL FUNDING]]</f>
        <v>0</v>
      </c>
      <c r="AZ58" s="694" cm="1">
        <f t="array" ref="AZ58">INDEX(CountyScoresTbl[OOR/ADU Total Feasibility Points Awarded],ROW(CHOORTbl[[#This Row],[COUNTY]])-2,1)*CHOORTbl[[#This Row],[ % OF TOTAL MFD RURAL FUNDING]]</f>
        <v>0</v>
      </c>
      <c r="BA58" s="556"/>
      <c r="BB58" s="561">
        <f>SUM(CHOORTbl[[#This Row],[UNRESTRICTED ADF]],CHOORTbl[[#This Row],[Unrestricted Funds Requesting]])</f>
        <v>0</v>
      </c>
      <c r="BC58" s="556"/>
      <c r="BD58" s="561">
        <f>SUM(CHOORTbl[[#This Row],[MANUFACTURED ADF]],CHOORTbl[[#This Row],[Manufactured Home Funds Requesting]])</f>
        <v>0</v>
      </c>
      <c r="BE58" s="556"/>
      <c r="BF58" s="561">
        <f>SUM(CHOORTbl[[#This Row],[RURAL ADF]],CHOORTbl[[#This Row],[RURAL FUNDING REQUESTED]])</f>
        <v>0</v>
      </c>
      <c r="BG58" s="556"/>
      <c r="BH58" s="562">
        <f>SUM(CHOORTbl[[#This Row],[MFD RURAL ADF]],CHOORTbl[[#This Row],[MFD RURAL FUNDING REQUESTED]])</f>
        <v>0</v>
      </c>
    </row>
    <row r="59" spans="1:60" x14ac:dyDescent="0.35">
      <c r="A59" s="116"/>
      <c r="B59" s="5" t="s">
        <v>171</v>
      </c>
      <c r="C59" s="31" t="s">
        <v>513</v>
      </c>
      <c r="D59" s="109" t="str">
        <f>IF(SUM(CHOORTbl[[#This Row],[Unrestricted Repair Units]:[Unrestricted ADU Reconstruct Units]])=0,"",SUM(CHOORTbl[[#This Row],[Unrestricted Repair Units]:[Unrestricted ADU Reconstruct Units]]))</f>
        <v/>
      </c>
      <c r="E59" s="74" t="str">
        <f xml:space="preserve">
IF(CHOORTbl[[#This Row],[TOTAL UNRESTRICTED]]=0,"",
CHOORTbl[[#This Row],[TOTAL UNRESTRICTED]]*
IF(CH_OOR_UnrestrictedTotalRequested&lt;=5000000,1,
5000000/CH_OOR_UnrestrictedTotalRequested)
)</f>
        <v/>
      </c>
      <c r="F59" s="6" t="str">
        <f>IF(CHOORTbl[[#This Row],[ % OF TOTAL FUNDING]]=0,"",CHOORTbl[[#This Row],[ % OF TOTAL FUNDING]])</f>
        <v/>
      </c>
      <c r="G59" s="31" t="s">
        <v>513</v>
      </c>
      <c r="H59" s="109" t="str">
        <f>IF(SUM(CHOORTbl[[#This Row],[Manufactured Home Units]])=0,"",SUM(CHOORTbl[[#This Row],[Manufactured Home Units]]))</f>
        <v/>
      </c>
      <c r="I59" s="74" t="str">
        <f xml:space="preserve">
IF(CHOORTbl[[#This Row],[TOTAL MANUFACTURED]]=0,"",
CHOORTbl[[#This Row],[TOTAL MANUFACTURED]]*
IF(CH_OOR_ManufacturedTotalRequested&lt;=(5000000-E$61),1,
(5000000-E$61)/CH_OOR_ManufacturedTotalRequested)
)</f>
        <v/>
      </c>
      <c r="J59" s="6" t="str">
        <f>IF(CHOORTbl[[#This Row],[ % OF TOTAL FUNDING2]]=0,"",CHOORTbl[[#This Row],[ % OF TOTAL FUNDING2]])</f>
        <v/>
      </c>
      <c r="K59" s="31" t="s">
        <v>513</v>
      </c>
      <c r="L59" s="109" t="str">
        <f>IF(SUM(CHOORTbl[[#This Row],[RURAL AREA HOMES TO REPAIR2]:[RURAL AREA ADUS TO ADD OR RECONSTRUCT]])=0,"",SUM(CHOORTbl[[#This Row],[RURAL AREA HOMES TO REPAIR2]:[RURAL AREA ADUS TO ADD OR RECONSTRUCT]]))</f>
        <v/>
      </c>
      <c r="M59" s="74" t="str">
        <f xml:space="preserve">
IF(CHOORTbl[[#This Row],[TOTAL RURAL]]=0,"",
CHOORTbl[[#This Row],[TOTAL RURAL]]*
IF(CH_OOR_RuralTotalRequested&lt;=(5000000-E$61-I$61),1,
(5000000-E$61-I$61)/CH_OOR_RuralTotalRequested)
)</f>
        <v/>
      </c>
      <c r="N59" s="6" t="str">
        <f>IF(CHOORTbl[[#This Row],[ % OF TOTAL RURAL FUNDING]]=0,"",CHOORTbl[[#This Row],[ % OF TOTAL RURAL FUNDING]])</f>
        <v/>
      </c>
      <c r="O59" s="31" t="s">
        <v>513</v>
      </c>
      <c r="P59" s="109" t="str">
        <f>IF(SUM(CHOORTbl[[#This Row],[MFD RURAL UNITS]])=0,"",SUM(CHOORTbl[[#This Row],[MFD RURAL UNITS]]))</f>
        <v/>
      </c>
      <c r="Q59" s="74" t="str">
        <f xml:space="preserve">
IF(CHOORTbl[[#This Row],[TOTAL MFD RURAL]]=0,"",
CHOORTbl[[#This Row],[TOTAL MFD RURAL]]*
IF(CH_OOR_MFDRuralTotalRequested&lt;=(5000000-E$61-I$61-M$61),1,
(5000000-E$61-I$61-M$61)/CH_OOR_MFDRuralTotalRequested)
)</f>
        <v/>
      </c>
      <c r="R59" s="6" t="str">
        <f>IF(CHOORTbl[[#This Row],[ % OF TOTAL MFD RURAL FUNDING]]=0,"",CHOORTbl[[#This Row],[ % OF TOTAL MFD RURAL FUNDING]])</f>
        <v/>
      </c>
      <c r="S59" s="44" t="s">
        <v>513</v>
      </c>
      <c r="T59" s="116"/>
      <c r="U59" s="242"/>
      <c r="V59" s="745"/>
      <c r="W59" s="705"/>
      <c r="X59" s="242"/>
      <c r="Y59" s="242"/>
      <c r="Z59" s="242"/>
      <c r="AA59" s="118"/>
      <c r="AB59" s="6">
        <f>IF(CHOORTbl[[#This Row],[TOTAL UNRESTRICTED]]=0,0,CHOORTbl[[#This Row],[TOTAL UNRESTRICTED]]/SUM(CHOORTbl[TOTAL UNRESTRICTED]))</f>
        <v>0</v>
      </c>
      <c r="AC59" s="665">
        <f>IF(CHOORTbl[[#This Row],[ALL UNITS IN A HIGH OR HIGHEST RESOURCE AREA]]="Yes",10*CHOORTbl[[#This Row],[ % OF TOTAL FUNDING]],0)</f>
        <v>0</v>
      </c>
      <c r="AD59" s="665" cm="1">
        <f t="array" ref="AD59">INDEX(CountyScoresTbl[OOR Community Need],ROW(CHOORTbl[[#This Row],[COUNTY]])-2,1)*CHOORTbl[[#This Row],[ % OF TOTAL FUNDING]]</f>
        <v>0</v>
      </c>
      <c r="AE59" s="694" cm="1">
        <f t="array" ref="AE59">INDEX(CountyScoresTbl[OOR/ADU Total Feasibility Points Awarded],ROW(CHOORTbl[[#This Row],[COUNTY]])-2,1)*CHOORTbl[[#This Row],[ % OF TOTAL FUNDING]]</f>
        <v>0</v>
      </c>
      <c r="AF59" s="124"/>
      <c r="AG59" s="118"/>
      <c r="AH59" s="6">
        <f>IF(CHOORTbl[[#This Row],[TOTAL MANUFACTURED]]=0,0,CHOORTbl[[#This Row],[TOTAL MANUFACTURED]]/SUM(CHOORTbl[TOTAL MANUFACTURED]))</f>
        <v>0</v>
      </c>
      <c r="AI59" s="665">
        <f>IF(CHOORTbl[[#This Row],[ALL UNITS IN A HIGH OR HIGHEST RESOURCE AREA]]="Yes",10*CHOORTbl[[#This Row],[ % OF TOTAL FUNDING2]],0)</f>
        <v>0</v>
      </c>
      <c r="AJ59" s="665" cm="1">
        <f t="array" ref="AJ59">INDEX(CountyScoresTbl[OOR Community Need],ROW(CHOORTbl[[#This Row],[COUNTY]])-2,1)*CHOORTbl[[#This Row],[ % OF TOTAL FUNDING2]]</f>
        <v>0</v>
      </c>
      <c r="AK59" s="694" cm="1">
        <f t="array" ref="AK59">INDEX(CountyScoresTbl[OOR/ADU Total Feasibility Points Awarded],ROW(CHOORTbl[[#This Row],[COUNTY]])-2,1)*CHOORTbl[[#This Row],[ % OF TOTAL FUNDING2]]</f>
        <v>0</v>
      </c>
      <c r="AL59" s="124"/>
      <c r="AM59" s="119"/>
      <c r="AN59" s="119"/>
      <c r="AO59" s="119"/>
      <c r="AP59" s="118"/>
      <c r="AQ59" s="6">
        <f>IF(CHOORTbl[[#This Row],[TOTAL RURAL]]=0,0,CHOORTbl[[#This Row],[TOTAL RURAL]]/SUM(CHOORTbl[TOTAL RURAL]))</f>
        <v>0</v>
      </c>
      <c r="AR59" s="665">
        <f>IF(CHOORTbl[[#This Row],[ALL UNITS IN A HIGH OR HIGHEST RESOURCE AREA]]="Yes",10*CHOORTbl[[#This Row],[ % OF TOTAL RURAL FUNDING]],0)</f>
        <v>0</v>
      </c>
      <c r="AS59" s="665" cm="1">
        <f t="array" ref="AS59">INDEX(CountyScoresTbl[OOR Community Need],ROW(CHOORTbl[[#This Row],[COUNTY]])-2,1)*CHOORTbl[[#This Row],[ % OF TOTAL RURAL FUNDING]]</f>
        <v>0</v>
      </c>
      <c r="AT59" s="694" cm="1">
        <f t="array" ref="AT59">INDEX(CountyScoresTbl[OOR/ADU Total Feasibility Points Awarded],ROW(CHOORTbl[[#This Row],[COUNTY]])-2,1)*CHOORTbl[[#This Row],[ % OF TOTAL RURAL FUNDING]]</f>
        <v>0</v>
      </c>
      <c r="AU59" s="126"/>
      <c r="AV59" s="118"/>
      <c r="AW59" s="6">
        <f>IF(CHOORTbl[[#This Row],[TOTAL MFD RURAL]]=0,0,CHOORTbl[[#This Row],[TOTAL MFD RURAL]]/SUM(CHOORTbl[TOTAL MFD RURAL]))</f>
        <v>0</v>
      </c>
      <c r="AX59" s="665">
        <f>IF(CHOORTbl[[#This Row],[ALL UNITS IN A HIGH OR HIGHEST RESOURCE AREA]]="Yes",10*CHOORTbl[[#This Row],[ % OF TOTAL MFD RURAL FUNDING]],0)</f>
        <v>0</v>
      </c>
      <c r="AY59" s="665" cm="1">
        <f t="array" ref="AY59">INDEX(CountyScoresTbl[OOR Community Need],ROW(CHOORTbl[[#This Row],[COUNTY]])-2,1)*CHOORTbl[[#This Row],[ % OF TOTAL MFD RURAL FUNDING]]</f>
        <v>0</v>
      </c>
      <c r="AZ59" s="694" cm="1">
        <f t="array" ref="AZ59">INDEX(CountyScoresTbl[OOR/ADU Total Feasibility Points Awarded],ROW(CHOORTbl[[#This Row],[COUNTY]])-2,1)*CHOORTbl[[#This Row],[ % OF TOTAL MFD RURAL FUNDING]]</f>
        <v>0</v>
      </c>
      <c r="BA59" s="556"/>
      <c r="BB59" s="561">
        <f>SUM(CHOORTbl[[#This Row],[UNRESTRICTED ADF]],CHOORTbl[[#This Row],[Unrestricted Funds Requesting]])</f>
        <v>0</v>
      </c>
      <c r="BC59" s="556"/>
      <c r="BD59" s="561">
        <f>SUM(CHOORTbl[[#This Row],[MANUFACTURED ADF]],CHOORTbl[[#This Row],[Manufactured Home Funds Requesting]])</f>
        <v>0</v>
      </c>
      <c r="BE59" s="556"/>
      <c r="BF59" s="561">
        <f>SUM(CHOORTbl[[#This Row],[RURAL ADF]],CHOORTbl[[#This Row],[RURAL FUNDING REQUESTED]])</f>
        <v>0</v>
      </c>
      <c r="BG59" s="556"/>
      <c r="BH59" s="562">
        <f>SUM(CHOORTbl[[#This Row],[MFD RURAL ADF]],CHOORTbl[[#This Row],[MFD RURAL FUNDING REQUESTED]])</f>
        <v>0</v>
      </c>
    </row>
    <row r="60" spans="1:60" ht="15" thickBot="1" x14ac:dyDescent="0.4">
      <c r="A60" s="142"/>
      <c r="B60" s="143" t="s">
        <v>172</v>
      </c>
      <c r="C60" s="76" t="s">
        <v>513</v>
      </c>
      <c r="D60" s="144" t="str">
        <f>IF(SUM(CHOORTbl[[#This Row],[Unrestricted Repair Units]:[Unrestricted ADU Reconstruct Units]])=0,"",SUM(CHOORTbl[[#This Row],[Unrestricted Repair Units]:[Unrestricted ADU Reconstruct Units]]))</f>
        <v/>
      </c>
      <c r="E60" s="145" t="str">
        <f xml:space="preserve">
IF(CHOORTbl[[#This Row],[TOTAL UNRESTRICTED]]=0,"",
CHOORTbl[[#This Row],[TOTAL UNRESTRICTED]]*
IF(CH_OOR_UnrestrictedTotalRequested&lt;=5000000,1,
5000000/CH_OOR_UnrestrictedTotalRequested)
)</f>
        <v/>
      </c>
      <c r="F60" s="14" t="str">
        <f>IF(CHOORTbl[[#This Row],[ % OF TOTAL FUNDING]]=0,"",CHOORTbl[[#This Row],[ % OF TOTAL FUNDING]])</f>
        <v/>
      </c>
      <c r="G60" s="76" t="s">
        <v>513</v>
      </c>
      <c r="H60" s="144" t="str">
        <f>IF(SUM(CHOORTbl[[#This Row],[Manufactured Home Units]])=0,"",SUM(CHOORTbl[[#This Row],[Manufactured Home Units]]))</f>
        <v/>
      </c>
      <c r="I60" s="145" t="str">
        <f xml:space="preserve">
IF(CHOORTbl[[#This Row],[TOTAL MANUFACTURED]]=0,"",
CHOORTbl[[#This Row],[TOTAL MANUFACTURED]]*
IF(CH_OOR_ManufacturedTotalRequested&lt;=(5000000-E$61),1,
(5000000-E$61)/CH_OOR_ManufacturedTotalRequested)
)</f>
        <v/>
      </c>
      <c r="J60" s="14" t="str">
        <f>IF(CHOORTbl[[#This Row],[ % OF TOTAL FUNDING2]]=0,"",CHOORTbl[[#This Row],[ % OF TOTAL FUNDING2]])</f>
        <v/>
      </c>
      <c r="K60" s="76" t="s">
        <v>513</v>
      </c>
      <c r="L60" s="144" t="str">
        <f>IF(SUM(CHOORTbl[[#This Row],[RURAL AREA HOMES TO REPAIR2]:[RURAL AREA ADUS TO ADD OR RECONSTRUCT]])=0,"",SUM(CHOORTbl[[#This Row],[RURAL AREA HOMES TO REPAIR2]:[RURAL AREA ADUS TO ADD OR RECONSTRUCT]]))</f>
        <v/>
      </c>
      <c r="M60" s="145" t="str">
        <f xml:space="preserve">
IF(CHOORTbl[[#This Row],[TOTAL RURAL]]=0,"",
CHOORTbl[[#This Row],[TOTAL RURAL]]*
IF(CH_OOR_RuralTotalRequested&lt;=(5000000-E$61-I$61),1,
(5000000-E$61-I$61)/CH_OOR_RuralTotalRequested)
)</f>
        <v/>
      </c>
      <c r="N60" s="14" t="str">
        <f>IF(CHOORTbl[[#This Row],[ % OF TOTAL RURAL FUNDING]]=0,"",CHOORTbl[[#This Row],[ % OF TOTAL RURAL FUNDING]])</f>
        <v/>
      </c>
      <c r="O60" s="76" t="s">
        <v>513</v>
      </c>
      <c r="P60" s="144" t="str">
        <f>IF(SUM(CHOORTbl[[#This Row],[MFD RURAL UNITS]])=0,"",SUM(CHOORTbl[[#This Row],[MFD RURAL UNITS]]))</f>
        <v/>
      </c>
      <c r="Q60" s="145" t="str">
        <f xml:space="preserve">
IF(CHOORTbl[[#This Row],[TOTAL MFD RURAL]]=0,"",
CHOORTbl[[#This Row],[TOTAL MFD RURAL]]*
IF(CH_OOR_MFDRuralTotalRequested&lt;=(5000000-E$61-I$61-M$61),1,
(5000000-E$61-I$61-M$61)/CH_OOR_MFDRuralTotalRequested)
)</f>
        <v/>
      </c>
      <c r="R60" s="14" t="str">
        <f>IF(CHOORTbl[[#This Row],[ % OF TOTAL MFD RURAL FUNDING]]=0,"",CHOORTbl[[#This Row],[ % OF TOTAL MFD RURAL FUNDING]])</f>
        <v/>
      </c>
      <c r="S60" s="317" t="s">
        <v>513</v>
      </c>
      <c r="T60" s="746"/>
      <c r="U60" s="747"/>
      <c r="V60" s="748"/>
      <c r="W60" s="715"/>
      <c r="X60" s="251"/>
      <c r="Y60" s="251"/>
      <c r="Z60" s="251"/>
      <c r="AA60" s="751"/>
      <c r="AB60" s="14">
        <f>IF(CHOORTbl[[#This Row],[TOTAL UNRESTRICTED]]=0,0,CHOORTbl[[#This Row],[TOTAL UNRESTRICTED]]/SUM(CHOORTbl[TOTAL UNRESTRICTED]))</f>
        <v>0</v>
      </c>
      <c r="AC60" s="712">
        <f>IF(CHOORTbl[[#This Row],[ALL UNITS IN A HIGH OR HIGHEST RESOURCE AREA]]="Yes",10*CHOORTbl[[#This Row],[ % OF TOTAL FUNDING]],0)</f>
        <v>0</v>
      </c>
      <c r="AD60" s="712" cm="1">
        <f t="array" ref="AD60">INDEX(CountyScoresTbl[OOR Community Need],ROW(CHOORTbl[[#This Row],[COUNTY]])-2,1)*CHOORTbl[[#This Row],[ % OF TOTAL FUNDING]]</f>
        <v>0</v>
      </c>
      <c r="AE60" s="716" cm="1">
        <f t="array" ref="AE60">INDEX(CountyScoresTbl[OOR/ADU Total Feasibility Points Awarded],ROW(CHOORTbl[[#This Row],[COUNTY]])-2,1)*CHOORTbl[[#This Row],[ % OF TOTAL FUNDING]]</f>
        <v>0</v>
      </c>
      <c r="AF60" s="146"/>
      <c r="AG60" s="751"/>
      <c r="AH60" s="14">
        <f>IF(CHOORTbl[[#This Row],[TOTAL MANUFACTURED]]=0,0,CHOORTbl[[#This Row],[TOTAL MANUFACTURED]]/SUM(CHOORTbl[TOTAL MANUFACTURED]))</f>
        <v>0</v>
      </c>
      <c r="AI60" s="712">
        <f>IF(CHOORTbl[[#This Row],[ALL UNITS IN A HIGH OR HIGHEST RESOURCE AREA]]="Yes",10*CHOORTbl[[#This Row],[ % OF TOTAL FUNDING2]],0)</f>
        <v>0</v>
      </c>
      <c r="AJ60" s="712" cm="1">
        <f t="array" ref="AJ60">INDEX(CountyScoresTbl[OOR Community Need],ROW(CHOORTbl[[#This Row],[COUNTY]])-2,1)*CHOORTbl[[#This Row],[ % OF TOTAL FUNDING2]]</f>
        <v>0</v>
      </c>
      <c r="AK60" s="716" cm="1">
        <f t="array" ref="AK60">INDEX(CountyScoresTbl[OOR/ADU Total Feasibility Points Awarded],ROW(CHOORTbl[[#This Row],[COUNTY]])-2,1)*CHOORTbl[[#This Row],[ % OF TOTAL FUNDING2]]</f>
        <v>0</v>
      </c>
      <c r="AL60" s="146"/>
      <c r="AM60" s="147"/>
      <c r="AN60" s="147"/>
      <c r="AO60" s="147"/>
      <c r="AP60" s="751"/>
      <c r="AQ60" s="14">
        <f>IF(CHOORTbl[[#This Row],[TOTAL RURAL]]=0,0,CHOORTbl[[#This Row],[TOTAL RURAL]]/SUM(CHOORTbl[TOTAL RURAL]))</f>
        <v>0</v>
      </c>
      <c r="AR60" s="712">
        <f>IF(CHOORTbl[[#This Row],[ALL UNITS IN A HIGH OR HIGHEST RESOURCE AREA]]="Yes",10*CHOORTbl[[#This Row],[ % OF TOTAL RURAL FUNDING]],0)</f>
        <v>0</v>
      </c>
      <c r="AS60" s="712" cm="1">
        <f t="array" ref="AS60">INDEX(CountyScoresTbl[OOR Community Need],ROW(CHOORTbl[[#This Row],[COUNTY]])-2,1)*CHOORTbl[[#This Row],[ % OF TOTAL RURAL FUNDING]]</f>
        <v>0</v>
      </c>
      <c r="AT60" s="716" cm="1">
        <f t="array" ref="AT60">INDEX(CountyScoresTbl[OOR/ADU Total Feasibility Points Awarded],ROW(CHOORTbl[[#This Row],[COUNTY]])-2,1)*CHOORTbl[[#This Row],[ % OF TOTAL RURAL FUNDING]]</f>
        <v>0</v>
      </c>
      <c r="AU60" s="148"/>
      <c r="AV60" s="751"/>
      <c r="AW60" s="14">
        <f>IF(CHOORTbl[[#This Row],[TOTAL MFD RURAL]]=0,0,CHOORTbl[[#This Row],[TOTAL MFD RURAL]]/SUM(CHOORTbl[TOTAL MFD RURAL]))</f>
        <v>0</v>
      </c>
      <c r="AX60" s="712">
        <f>IF(CHOORTbl[[#This Row],[ALL UNITS IN A HIGH OR HIGHEST RESOURCE AREA]]="Yes",10*CHOORTbl[[#This Row],[ % OF TOTAL MFD RURAL FUNDING]],0)</f>
        <v>0</v>
      </c>
      <c r="AY60" s="712" cm="1">
        <f t="array" ref="AY60">INDEX(CountyScoresTbl[OOR Community Need],ROW(CHOORTbl[[#This Row],[COUNTY]])-2,1)*CHOORTbl[[#This Row],[ % OF TOTAL MFD RURAL FUNDING]]</f>
        <v>0</v>
      </c>
      <c r="AZ60" s="716" cm="1">
        <f t="array" ref="AZ60">INDEX(CountyScoresTbl[OOR/ADU Total Feasibility Points Awarded],ROW(CHOORTbl[[#This Row],[COUNTY]])-2,1)*CHOORTbl[[#This Row],[ % OF TOTAL MFD RURAL FUNDING]]</f>
        <v>0</v>
      </c>
      <c r="BA60" s="556"/>
      <c r="BB60" s="561">
        <f>SUM(CHOORTbl[[#This Row],[UNRESTRICTED ADF]],CHOORTbl[[#This Row],[Unrestricted Funds Requesting]])</f>
        <v>0</v>
      </c>
      <c r="BC60" s="556"/>
      <c r="BD60" s="561">
        <f>SUM(CHOORTbl[[#This Row],[MANUFACTURED ADF]],CHOORTbl[[#This Row],[Manufactured Home Funds Requesting]])</f>
        <v>0</v>
      </c>
      <c r="BE60" s="556"/>
      <c r="BF60" s="561">
        <f>SUM(CHOORTbl[[#This Row],[RURAL ADF]],CHOORTbl[[#This Row],[RURAL FUNDING REQUESTED]])</f>
        <v>0</v>
      </c>
      <c r="BG60" s="556"/>
      <c r="BH60" s="562">
        <f>SUM(CHOORTbl[[#This Row],[MFD RURAL ADF]],CHOORTbl[[#This Row],[MFD RURAL FUNDING REQUESTED]])</f>
        <v>0</v>
      </c>
    </row>
    <row r="61" spans="1:60" ht="15" thickBot="1" x14ac:dyDescent="0.4">
      <c r="A61" s="149"/>
      <c r="B61" s="287"/>
      <c r="C61" s="288"/>
      <c r="D61" s="287">
        <f>SUM(D$3:D$60)</f>
        <v>0</v>
      </c>
      <c r="E61" s="289">
        <f t="shared" ref="E61:AZ61" si="0">SUM(E$3:E$60)</f>
        <v>0</v>
      </c>
      <c r="F61" s="152">
        <f t="shared" si="0"/>
        <v>0</v>
      </c>
      <c r="G61" s="290"/>
      <c r="H61" s="287">
        <f t="shared" si="0"/>
        <v>0</v>
      </c>
      <c r="I61" s="289">
        <f t="shared" si="0"/>
        <v>0</v>
      </c>
      <c r="J61" s="312">
        <f t="shared" si="0"/>
        <v>0</v>
      </c>
      <c r="K61" s="290"/>
      <c r="L61" s="287">
        <f t="shared" si="0"/>
        <v>0</v>
      </c>
      <c r="M61" s="289">
        <f t="shared" si="0"/>
        <v>0</v>
      </c>
      <c r="N61" s="312">
        <f t="shared" si="0"/>
        <v>0</v>
      </c>
      <c r="O61" s="288"/>
      <c r="P61" s="287">
        <f t="shared" si="0"/>
        <v>0</v>
      </c>
      <c r="Q61" s="289">
        <f t="shared" si="0"/>
        <v>0</v>
      </c>
      <c r="R61" s="312">
        <f t="shared" si="0"/>
        <v>0</v>
      </c>
      <c r="S61" s="313"/>
      <c r="T61" s="47">
        <f>COUNTIF(T$3:T$60,"Yes")</f>
        <v>0</v>
      </c>
      <c r="U61" s="48">
        <f>COUNTIF(U$3:U$60,"Yes")</f>
        <v>0</v>
      </c>
      <c r="V61" s="749">
        <f>COUNTIF(V$3:V$60,"Yes")</f>
        <v>0</v>
      </c>
      <c r="W61" s="750">
        <f t="shared" si="0"/>
        <v>0</v>
      </c>
      <c r="X61" s="287">
        <f t="shared" si="0"/>
        <v>0</v>
      </c>
      <c r="Y61" s="287">
        <f t="shared" si="0"/>
        <v>0</v>
      </c>
      <c r="Z61" s="287">
        <f t="shared" si="0"/>
        <v>0</v>
      </c>
      <c r="AA61" s="289">
        <f t="shared" si="0"/>
        <v>0</v>
      </c>
      <c r="AB61" s="152">
        <f t="shared" si="0"/>
        <v>0</v>
      </c>
      <c r="AC61" s="753">
        <f t="shared" si="0"/>
        <v>0</v>
      </c>
      <c r="AD61" s="753">
        <f t="shared" si="0"/>
        <v>0</v>
      </c>
      <c r="AE61" s="754">
        <f t="shared" si="0"/>
        <v>0</v>
      </c>
      <c r="AF61" s="149">
        <f t="shared" si="0"/>
        <v>0</v>
      </c>
      <c r="AG61" s="289">
        <f t="shared" si="0"/>
        <v>0</v>
      </c>
      <c r="AH61" s="152">
        <f t="shared" si="0"/>
        <v>0</v>
      </c>
      <c r="AI61" s="753">
        <f t="shared" si="0"/>
        <v>0</v>
      </c>
      <c r="AJ61" s="753">
        <f t="shared" si="0"/>
        <v>0</v>
      </c>
      <c r="AK61" s="755">
        <f t="shared" si="0"/>
        <v>0</v>
      </c>
      <c r="AL61" s="149">
        <f t="shared" si="0"/>
        <v>0</v>
      </c>
      <c r="AM61" s="155">
        <f t="shared" si="0"/>
        <v>0</v>
      </c>
      <c r="AN61" s="155">
        <f t="shared" si="0"/>
        <v>0</v>
      </c>
      <c r="AO61" s="155">
        <f t="shared" si="0"/>
        <v>0</v>
      </c>
      <c r="AP61" s="289">
        <f t="shared" si="0"/>
        <v>0</v>
      </c>
      <c r="AQ61" s="152">
        <f t="shared" si="0"/>
        <v>0</v>
      </c>
      <c r="AR61" s="753">
        <f t="shared" si="0"/>
        <v>0</v>
      </c>
      <c r="AS61" s="753">
        <f t="shared" si="0"/>
        <v>0</v>
      </c>
      <c r="AT61" s="755">
        <f t="shared" si="0"/>
        <v>0</v>
      </c>
      <c r="AU61" s="156">
        <f t="shared" si="0"/>
        <v>0</v>
      </c>
      <c r="AV61" s="289">
        <f t="shared" si="0"/>
        <v>0</v>
      </c>
      <c r="AW61" s="152">
        <f t="shared" si="0"/>
        <v>0</v>
      </c>
      <c r="AX61" s="753">
        <f t="shared" si="0"/>
        <v>0</v>
      </c>
      <c r="AY61" s="753">
        <f t="shared" si="0"/>
        <v>0</v>
      </c>
      <c r="AZ61" s="755">
        <f t="shared" si="0"/>
        <v>0</v>
      </c>
      <c r="BA61" s="759">
        <f>SUM(BA$3:BA$60)</f>
        <v>0</v>
      </c>
      <c r="BB61" s="760">
        <f t="shared" ref="BB61:BH61" si="1">SUM(BB$3:BB$60)</f>
        <v>0</v>
      </c>
      <c r="BC61" s="759">
        <f t="shared" si="1"/>
        <v>0</v>
      </c>
      <c r="BD61" s="760">
        <f t="shared" si="1"/>
        <v>0</v>
      </c>
      <c r="BE61" s="759">
        <f t="shared" si="1"/>
        <v>0</v>
      </c>
      <c r="BF61" s="760">
        <f t="shared" si="1"/>
        <v>0</v>
      </c>
      <c r="BG61" s="759">
        <f t="shared" si="1"/>
        <v>0</v>
      </c>
      <c r="BH61" s="760">
        <f t="shared" si="1"/>
        <v>0</v>
      </c>
    </row>
  </sheetData>
  <sheetProtection formatCells="0" selectLockedCells="1"/>
  <dataConsolidate/>
  <mergeCells count="10">
    <mergeCell ref="AU1:AZ1"/>
    <mergeCell ref="P1:R1"/>
    <mergeCell ref="A1:B1"/>
    <mergeCell ref="AL1:AT1"/>
    <mergeCell ref="W1:AE1"/>
    <mergeCell ref="AF1:AK1"/>
    <mergeCell ref="D1:F1"/>
    <mergeCell ref="H1:J1"/>
    <mergeCell ref="L1:N1"/>
    <mergeCell ref="T1:V1"/>
  </mergeCells>
  <phoneticPr fontId="6" type="noConversion"/>
  <pageMargins left="0.7" right="0.7" top="0.75" bottom="0.75" header="0.3" footer="0.3"/>
  <pageSetup orientation="portrait"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CHSHTAData"/>
  <dimension ref="A1:BG61"/>
  <sheetViews>
    <sheetView zoomScale="70" zoomScaleNormal="70" workbookViewId="0">
      <selection activeCell="A3" sqref="A3"/>
    </sheetView>
  </sheetViews>
  <sheetFormatPr defaultColWidth="5.54296875" defaultRowHeight="14.5" x14ac:dyDescent="0.35"/>
  <cols>
    <col min="1" max="2" width="22.54296875" customWidth="1"/>
    <col min="3" max="3" width="1.54296875" customWidth="1"/>
    <col min="4" max="6" width="18.54296875" customWidth="1"/>
    <col min="7" max="7" width="1.54296875" customWidth="1"/>
    <col min="8" max="10" width="18.54296875" style="12" customWidth="1"/>
    <col min="11" max="11" width="1.54296875" customWidth="1"/>
    <col min="12" max="14" width="18.54296875" customWidth="1"/>
    <col min="15" max="15" width="1.54296875" customWidth="1"/>
    <col min="16" max="18" width="18.54296875" customWidth="1"/>
    <col min="19" max="19" width="1.54296875" customWidth="1"/>
    <col min="20" max="24" width="18.54296875" customWidth="1"/>
    <col min="25" max="26" width="18.54296875" style="10" customWidth="1"/>
    <col min="27" max="32" width="18.54296875" customWidth="1"/>
    <col min="33" max="34" width="18.54296875" style="11" customWidth="1"/>
    <col min="35" max="40" width="18.54296875" customWidth="1"/>
    <col min="41" max="42" width="18.54296875" style="11" customWidth="1"/>
    <col min="43" max="54" width="18.54296875" customWidth="1"/>
    <col min="55" max="59" width="19.453125" customWidth="1"/>
  </cols>
  <sheetData>
    <row r="1" spans="1:59" ht="21.5" thickBot="1" x14ac:dyDescent="0.4">
      <c r="A1" s="1397" t="s">
        <v>612</v>
      </c>
      <c r="B1" s="1398"/>
      <c r="C1" s="1399"/>
      <c r="D1" s="1397" t="s">
        <v>506</v>
      </c>
      <c r="E1" s="1398"/>
      <c r="F1" s="1398"/>
      <c r="G1" s="1399"/>
      <c r="H1" s="1397" t="s">
        <v>507</v>
      </c>
      <c r="I1" s="1398"/>
      <c r="J1" s="1398"/>
      <c r="K1" s="1399"/>
      <c r="L1" s="1397" t="s">
        <v>508</v>
      </c>
      <c r="M1" s="1398"/>
      <c r="N1" s="1398"/>
      <c r="O1" s="1399"/>
      <c r="P1" s="1397" t="s">
        <v>509</v>
      </c>
      <c r="Q1" s="1398"/>
      <c r="R1" s="1398"/>
      <c r="S1" s="1399"/>
      <c r="T1" s="1380" t="s">
        <v>510</v>
      </c>
      <c r="U1" s="1381"/>
      <c r="V1" s="1385"/>
      <c r="W1" s="1400" t="s">
        <v>506</v>
      </c>
      <c r="X1" s="1401"/>
      <c r="Y1" s="1401"/>
      <c r="Z1" s="1401"/>
      <c r="AA1" s="1401"/>
      <c r="AB1" s="1401"/>
      <c r="AC1" s="1401"/>
      <c r="AD1" s="1402"/>
      <c r="AE1" s="1398" t="s">
        <v>507</v>
      </c>
      <c r="AF1" s="1398"/>
      <c r="AG1" s="1398"/>
      <c r="AH1" s="1398"/>
      <c r="AI1" s="1398"/>
      <c r="AJ1" s="1398"/>
      <c r="AK1" s="1398"/>
      <c r="AL1" s="1398"/>
      <c r="AM1" s="1403" t="s">
        <v>508</v>
      </c>
      <c r="AN1" s="1404"/>
      <c r="AO1" s="1404"/>
      <c r="AP1" s="1404"/>
      <c r="AQ1" s="1404"/>
      <c r="AR1" s="1404"/>
      <c r="AS1" s="1404"/>
      <c r="AT1" s="1408"/>
      <c r="AU1" s="1380" t="s">
        <v>509</v>
      </c>
      <c r="AV1" s="1381"/>
      <c r="AW1" s="1381"/>
      <c r="AX1" s="1381"/>
      <c r="AY1" s="1381"/>
      <c r="AZ1" s="1381"/>
      <c r="BA1" s="1381"/>
      <c r="BB1" s="1381"/>
      <c r="BC1" s="403"/>
      <c r="BD1" s="1407"/>
      <c r="BE1" s="1407"/>
      <c r="BF1" s="1407"/>
      <c r="BG1" s="1407"/>
    </row>
    <row r="2" spans="1:59" ht="44" thickBot="1" x14ac:dyDescent="0.4">
      <c r="A2" s="99" t="s">
        <v>511</v>
      </c>
      <c r="B2" s="100" t="s">
        <v>512</v>
      </c>
      <c r="C2" s="101" t="s">
        <v>513</v>
      </c>
      <c r="D2" s="99" t="s">
        <v>514</v>
      </c>
      <c r="E2" s="171" t="s">
        <v>515</v>
      </c>
      <c r="F2" s="172" t="s">
        <v>516</v>
      </c>
      <c r="G2" s="101" t="s">
        <v>613</v>
      </c>
      <c r="H2" s="99" t="s">
        <v>518</v>
      </c>
      <c r="I2" s="171" t="s">
        <v>519</v>
      </c>
      <c r="J2" s="171" t="s">
        <v>520</v>
      </c>
      <c r="K2" s="101" t="s">
        <v>614</v>
      </c>
      <c r="L2" s="99" t="s">
        <v>522</v>
      </c>
      <c r="M2" s="171" t="s">
        <v>523</v>
      </c>
      <c r="N2" s="172" t="s">
        <v>524</v>
      </c>
      <c r="O2" s="101" t="s">
        <v>517</v>
      </c>
      <c r="P2" s="99" t="s">
        <v>526</v>
      </c>
      <c r="Q2" s="171" t="s">
        <v>615</v>
      </c>
      <c r="R2" s="172" t="s">
        <v>528</v>
      </c>
      <c r="S2" s="101" t="s">
        <v>521</v>
      </c>
      <c r="T2" s="104" t="s">
        <v>530</v>
      </c>
      <c r="U2" s="100" t="s">
        <v>531</v>
      </c>
      <c r="V2" s="134" t="s">
        <v>532</v>
      </c>
      <c r="W2" s="99" t="s">
        <v>534</v>
      </c>
      <c r="X2" s="100" t="s">
        <v>616</v>
      </c>
      <c r="Y2" s="100" t="s">
        <v>617</v>
      </c>
      <c r="Z2" s="136" t="s">
        <v>618</v>
      </c>
      <c r="AA2" s="136" t="s">
        <v>619</v>
      </c>
      <c r="AB2" s="136" t="s">
        <v>620</v>
      </c>
      <c r="AC2" s="136" t="s">
        <v>543</v>
      </c>
      <c r="AD2" s="173" t="s">
        <v>544</v>
      </c>
      <c r="AE2" s="141" t="s">
        <v>545</v>
      </c>
      <c r="AF2" s="100" t="s">
        <v>621</v>
      </c>
      <c r="AG2" s="100" t="s">
        <v>622</v>
      </c>
      <c r="AH2" s="136" t="s">
        <v>623</v>
      </c>
      <c r="AI2" s="136" t="s">
        <v>624</v>
      </c>
      <c r="AJ2" s="136" t="s">
        <v>625</v>
      </c>
      <c r="AK2" s="136" t="s">
        <v>554</v>
      </c>
      <c r="AL2" s="174" t="s">
        <v>555</v>
      </c>
      <c r="AM2" s="99" t="s">
        <v>556</v>
      </c>
      <c r="AN2" s="100" t="s">
        <v>626</v>
      </c>
      <c r="AO2" s="100" t="s">
        <v>627</v>
      </c>
      <c r="AP2" s="136" t="s">
        <v>628</v>
      </c>
      <c r="AQ2" s="136" t="s">
        <v>629</v>
      </c>
      <c r="AR2" s="136" t="s">
        <v>605</v>
      </c>
      <c r="AS2" s="136" t="s">
        <v>565</v>
      </c>
      <c r="AT2" s="174" t="s">
        <v>566</v>
      </c>
      <c r="AU2" s="99" t="s">
        <v>606</v>
      </c>
      <c r="AV2" s="100" t="s">
        <v>630</v>
      </c>
      <c r="AW2" s="100" t="s">
        <v>631</v>
      </c>
      <c r="AX2" s="136" t="s">
        <v>632</v>
      </c>
      <c r="AY2" s="136" t="s">
        <v>633</v>
      </c>
      <c r="AZ2" s="136" t="s">
        <v>609</v>
      </c>
      <c r="BA2" s="136" t="s">
        <v>610</v>
      </c>
      <c r="BB2" s="174" t="s">
        <v>611</v>
      </c>
      <c r="BC2" s="396" t="s">
        <v>578</v>
      </c>
      <c r="BD2" s="69" t="s">
        <v>541</v>
      </c>
      <c r="BE2" s="69" t="s">
        <v>552</v>
      </c>
      <c r="BF2" s="69" t="s">
        <v>563</v>
      </c>
      <c r="BG2" s="397" t="s">
        <v>634</v>
      </c>
    </row>
    <row r="3" spans="1:59" x14ac:dyDescent="0.35">
      <c r="A3" s="166"/>
      <c r="B3" s="178" t="s">
        <v>115</v>
      </c>
      <c r="C3" s="175" t="s">
        <v>513</v>
      </c>
      <c r="D3" s="180" t="str">
        <f>IF(CHSHTATbl[[#This Row],[UNRESTRICTED UNITS]]=0,"",CHSHTATbl[[#This Row],[UNRESTRICTED UNITS]])</f>
        <v/>
      </c>
      <c r="E3" s="181" t="str">
        <f xml:space="preserve">
IF(CHSHTATbl[[#This Row],[UNRESTRICTED TOTAL REQUESTED]]=0,"",
CHSHTATbl[[#This Row],[UNRESTRICTED TOTAL REQUESTED]]*
IF(CH_SHTA_UnrestrictedTotalRequested&lt;=500000,1,
500000/CH_SHTA_UnrestrictedTotalRequested)
)</f>
        <v/>
      </c>
      <c r="F3" s="182" t="str">
        <f>IF(CHSHTATbl[[#This Row],[UNRESTRICTED % OF FUNDING]]=0,"",CHSHTATbl[[#This Row],[UNRESTRICTED % OF FUNDING]])</f>
        <v/>
      </c>
      <c r="G3" s="175" t="s">
        <v>513</v>
      </c>
      <c r="H3" s="180" t="str">
        <f>IF(CHSHTATbl[[#This Row],[MANUFACTURED UNITS]]=0,"",CHSHTATbl[[#This Row],[MANUFACTURED UNITS]])</f>
        <v/>
      </c>
      <c r="I3" s="186" t="str">
        <f xml:space="preserve">
IF(CHSHTATbl[[#This Row],[MANUFACTURED TOTAL REQUESTED]]=0,"",
CHSHTATbl[[#This Row],[MANUFACTURED TOTAL REQUESTED]]*
IF(CH_SHTA_ManufacturedTotalRequested&lt;=(500000-E$61),1,
(500000-E$61)/CH_SHTA_ManufacturedTotalRequested)
)</f>
        <v/>
      </c>
      <c r="J3" s="182" t="str">
        <f>IF(CHSHTATbl[[#This Row],[MANUFACTURED % OF FUNDING]]=0,"",CHSHTATbl[[#This Row],[MANUFACTURED % OF FUNDING]])</f>
        <v/>
      </c>
      <c r="K3" s="175" t="s">
        <v>513</v>
      </c>
      <c r="L3" s="188" t="str">
        <f>IF(CHSHTATbl[[#This Row],[RURAL UNITS]]=0,"",CHSHTATbl[[#This Row],[RURAL UNITS]])</f>
        <v/>
      </c>
      <c r="M3" s="186" t="str">
        <f xml:space="preserve">
IF(CHSHTATbl[[#This Row],[RURAL TOTAL REQUESTED]]=0,"",
CHSHTATbl[[#This Row],[RURAL TOTAL REQUESTED]]*
IF(CH_SHTA_RuralTotalRequested&lt;=(500000-E$61-I$61),1,
(500000-E$61-I$61)/CH_SHTA_RuralTotalRequested)
)</f>
        <v/>
      </c>
      <c r="N3" s="189" t="str">
        <f>IF(CHSHTATbl[[#This Row],[RURAL % OF FUNDING]]=0,"",CHSHTATbl[[#This Row],[RURAL % OF FUNDING]])</f>
        <v/>
      </c>
      <c r="O3" s="176" t="s">
        <v>513</v>
      </c>
      <c r="P3" s="192" t="str">
        <f>IF(CHSHTATbl[[#This Row],[MFD RURAL UNITS]]=0,"",CHSHTATbl[[#This Row],[MFD RURAL UNITS]])</f>
        <v/>
      </c>
      <c r="Q3" s="186" t="str">
        <f xml:space="preserve">
IF(CHSHTATbl[[#This Row],[MFD RURAL TOTAL REQUESTED]]=0,"",
CHSHTATbl[[#This Row],[MFD RURAL TOTAL REQUESTED]]*
IF(CH_SHTA_MFDRuralTotalRequested&lt;=(500000-E$61-I$61-M$61),1,
(500000-E$61-I$61-M$61)/CH_SHTA_MFDRuralTotalRequested)
)</f>
        <v/>
      </c>
      <c r="R3" s="189" t="str">
        <f>IF(CHSHTATbl[[#This Row],[MFD RURAL % OF FUNDING]]=0,"",CHSHTATbl[[#This Row],[MFD RURAL % OF FUNDING]])</f>
        <v/>
      </c>
      <c r="S3" s="168"/>
      <c r="T3" s="157"/>
      <c r="U3" s="158"/>
      <c r="V3" s="194"/>
      <c r="W3" s="130"/>
      <c r="X3" s="160"/>
      <c r="Y3" s="195"/>
      <c r="Z3" s="98">
        <f t="shared" ref="Z3:Z34" si="0">SUM(X3:Y3)</f>
        <v>0</v>
      </c>
      <c r="AA3" s="61">
        <f>IF(CHSHTATbl[[#This Row],[UNRESTRICTED TOTAL REQUESTED]]=0,0,CHSHTATbl[[#This Row],[UNRESTRICTED TOTAL REQUESTED]]/CH_SHTA_UnrestrictedTotalRequested)</f>
        <v>0</v>
      </c>
      <c r="AB3" s="752">
        <f>IF(CHSHTATbl[[#This Row],[ALL UNITS IN A HIGH OR HIGHEST RESOURCE AREA]]="Yes",10*CHSHTATbl[[#This Row],[UNRESTRICTED % OF FUNDING]],0)</f>
        <v>0</v>
      </c>
      <c r="AC3" s="752" cm="1">
        <f t="array" ref="AC3">INDEX(CountyScoresTbl[Community Need Total Points],ROW(CHSHTATbl[[#This Row],[COUNTY]])-2,1)*CHSHTATbl[[#This Row],[UNRESTRICTED % OF FUNDING]]</f>
        <v>0</v>
      </c>
      <c r="AD3" s="752" cm="1">
        <f t="array" ref="AD3">INDEX(CountyScoresTbl[SHTA Total Feasibility Points Awarded],ROW(CHSHTATbl[[#This Row],[COUNTY]])-2,1)*CHSHTATbl[[#This Row],[UNRESTRICTED % OF FUNDING]]</f>
        <v>0</v>
      </c>
      <c r="AE3" s="133"/>
      <c r="AF3" s="160"/>
      <c r="AG3" s="195"/>
      <c r="AH3" s="98">
        <f t="shared" ref="AH3:AH34" si="1">SUM(AF3:AG3)</f>
        <v>0</v>
      </c>
      <c r="AI3" s="169">
        <f>IF(CHSHTATbl[[#This Row],[MANUFACTURED TOTAL REQUESTED]]=0,0,CHSHTATbl[[#This Row],[MANUFACTURED TOTAL REQUESTED]]/CH_SHTA_ManufacturedTotalRequested)</f>
        <v>0</v>
      </c>
      <c r="AJ3" s="696">
        <f>IF(CHSHTATbl[[#This Row],[ALL UNITS IN A HIGH OR HIGHEST RESOURCE AREA]]="Yes",10*CHSHTATbl[[#This Row],[MANUFACTURED % OF FUNDING]],0)</f>
        <v>0</v>
      </c>
      <c r="AK3" s="696" cm="1">
        <f t="array" ref="AK3">INDEX(CountyScoresTbl[Community Need Total Points],ROW(CHSHTATbl[[#This Row],[COUNTY]])-2,1)*CHSHTATbl[[#This Row],[MANUFACTURED % OF FUNDING]]</f>
        <v>0</v>
      </c>
      <c r="AL3" s="697" cm="1">
        <f t="array" ref="AL3">INDEX(CountyScoresTbl[SHTA Total Feasibility Points Awarded],ROW(CHSHTATbl[[#This Row],[COUNTY]])-2,1)*CHSHTATbl[[#This Row],[MANUFACTURED % OF FUNDING]]</f>
        <v>0</v>
      </c>
      <c r="AM3" s="130"/>
      <c r="AN3" s="160"/>
      <c r="AO3" s="195"/>
      <c r="AP3" s="98">
        <f t="shared" ref="AP3:AP34" si="2">SUM(AN3:AO3)</f>
        <v>0</v>
      </c>
      <c r="AQ3" s="61">
        <f>IF(CHSHTATbl[[#This Row],[RURAL TOTAL REQUESTED]]=0,0,CHSHTATbl[[#This Row],[RURAL TOTAL REQUESTED]]/CH_SHTA_RuralTotalRequested)</f>
        <v>0</v>
      </c>
      <c r="AR3" s="696">
        <f>IF(CHSHTATbl[[#This Row],[ALL UNITS IN A HIGH OR HIGHEST RESOURCE AREA]]="Yes",10*CHSHTATbl[[#This Row],[RURAL % OF FUNDING]],0)</f>
        <v>0</v>
      </c>
      <c r="AS3" s="696" cm="1">
        <f t="array" ref="AS3">INDEX(CountyScoresTbl[Community Need Total Points],ROW(CHSHTATbl[[#This Row],[COUNTY]])-2,1)*CHSHTATbl[[#This Row],[RURAL % OF FUNDING]]</f>
        <v>0</v>
      </c>
      <c r="AT3" s="697" cm="1">
        <f t="array" ref="AT3">INDEX(CountyScoresTbl[SHTA Total Feasibility Points Awarded],ROW(CHSHTATbl[[#This Row],[COUNTY]])-2,1)*CHSHTATbl[[#This Row],[RURAL % OF FUNDING]]</f>
        <v>0</v>
      </c>
      <c r="AU3" s="130"/>
      <c r="AV3" s="160"/>
      <c r="AW3" s="195"/>
      <c r="AX3" s="98">
        <f t="shared" ref="AX3:AX34" si="3">SUM(AV3:AW3)</f>
        <v>0</v>
      </c>
      <c r="AY3" s="61">
        <f>IF(CHSHTATbl[[#This Row],[MFD RURAL TOTAL REQUESTED]]=0,0,CHSHTATbl[[#This Row],[MFD RURAL TOTAL REQUESTED]]/CH_SHTA_MFDRuralTotalRequested)</f>
        <v>0</v>
      </c>
      <c r="AZ3" s="696">
        <f>IF(CHSHTATbl[[#This Row],[ALL UNITS IN A HIGH OR HIGHEST RESOURCE AREA]]="Yes",10*CHSHTATbl[[#This Row],[MFD RURAL % OF FUNDING]],0)</f>
        <v>0</v>
      </c>
      <c r="BA3" s="696" cm="1">
        <f t="array" ref="BA3">INDEX(CountyScoresTbl[Community Need Total Points],ROW(CHSHTATbl[[#This Row],[COUNTY]])-2,1)*CHSHTATbl[[#This Row],[MFD RURAL % OF FUNDING]]</f>
        <v>0</v>
      </c>
      <c r="BB3" s="697" cm="1">
        <f t="array" ref="BB3">INDEX(CountyScoresTbl[SHTA Total Feasibility Points Awarded],ROW(CHSHTATbl[[#This Row],[COUNTY]])-2,1)*CHSHTATbl[[#This Row],[MFD RURAL % OF FUNDING]]</f>
        <v>0</v>
      </c>
      <c r="BC3" s="761"/>
      <c r="BD3" s="762">
        <f>IF(CHSHTATbl[[#This Row],[INFILL SITE]]="Yes",5,3)*CHSHTATbl[[#This Row],[UNRESTRICTED % OF FUNDING]]</f>
        <v>0</v>
      </c>
      <c r="BE3" s="763">
        <f>IF(CHSHTATbl[[#This Row],[INFILL SITE]]="Yes",5,3)*CHSHTATbl[[#This Row],[MANUFACTURED % OF FUNDING]]</f>
        <v>0</v>
      </c>
      <c r="BF3" s="763">
        <f>IF(CHSHTATbl[[#This Row],[INFILL SITE]]="Yes",5,3)*CHSHTATbl[[#This Row],[RURAL % OF FUNDING]]</f>
        <v>0</v>
      </c>
      <c r="BG3" s="763">
        <f>IF(CHSHTATbl[[#This Row],[INFILL SITE]]="Yes",5,3)*CHSHTATbl[[#This Row],[MFD RURAL % OF FUNDING]]</f>
        <v>0</v>
      </c>
    </row>
    <row r="4" spans="1:59" x14ac:dyDescent="0.35">
      <c r="A4" s="167"/>
      <c r="B4" s="179" t="s">
        <v>116</v>
      </c>
      <c r="C4" s="177" t="s">
        <v>513</v>
      </c>
      <c r="D4" s="183" t="str">
        <f>IF(CHSHTATbl[[#This Row],[UNRESTRICTED UNITS]]=0,"",CHSHTATbl[[#This Row],[UNRESTRICTED UNITS]])</f>
        <v/>
      </c>
      <c r="E4" s="184" t="str">
        <f xml:space="preserve">
IF(CHSHTATbl[[#This Row],[UNRESTRICTED TOTAL REQUESTED]]=0,"",
CHSHTATbl[[#This Row],[UNRESTRICTED TOTAL REQUESTED]]*
IF(CH_SHTA_UnrestrictedTotalRequested&lt;=500000,1,
500000/CH_SHTA_UnrestrictedTotalRequested)
)</f>
        <v/>
      </c>
      <c r="F4" s="185" t="str">
        <f>IF(CHSHTATbl[[#This Row],[UNRESTRICTED % OF FUNDING]]=0,"",CHSHTATbl[[#This Row],[UNRESTRICTED % OF FUNDING]])</f>
        <v/>
      </c>
      <c r="G4" s="177" t="s">
        <v>513</v>
      </c>
      <c r="H4" s="183" t="str">
        <f>IF(CHSHTATbl[[#This Row],[MANUFACTURED UNITS]]=0,"",CHSHTATbl[[#This Row],[MANUFACTURED UNITS]])</f>
        <v/>
      </c>
      <c r="I4" s="187" t="str">
        <f xml:space="preserve">
IF(CHSHTATbl[[#This Row],[MANUFACTURED TOTAL REQUESTED]]=0,"",
CHSHTATbl[[#This Row],[MANUFACTURED TOTAL REQUESTED]]*
IF(CH_SHTA_ManufacturedTotalRequested&lt;=(500000-E$61),1,
(500000-E$61)/CH_SHTA_ManufacturedTotalRequested)
)</f>
        <v/>
      </c>
      <c r="J4" s="185" t="str">
        <f>IF(CHSHTATbl[[#This Row],[MANUFACTURED % OF FUNDING]]=0,"",CHSHTATbl[[#This Row],[MANUFACTURED % OF FUNDING]])</f>
        <v/>
      </c>
      <c r="K4" s="177" t="s">
        <v>513</v>
      </c>
      <c r="L4" s="190" t="str">
        <f>IF(CHSHTATbl[[#This Row],[RURAL UNITS]]=0,"",CHSHTATbl[[#This Row],[RURAL UNITS]])</f>
        <v/>
      </c>
      <c r="M4" s="187" t="str">
        <f xml:space="preserve">
IF(CHSHTATbl[[#This Row],[RURAL TOTAL REQUESTED]]=0,"",
CHSHTATbl[[#This Row],[RURAL TOTAL REQUESTED]]*
IF(CH_SHTA_RuralTotalRequested&lt;=(500000-E$61-I$61),1,
(500000-E$61-I$61)/CH_SHTA_RuralTotalRequested)
)</f>
        <v/>
      </c>
      <c r="N4" s="191" t="str">
        <f>IF(CHSHTATbl[[#This Row],[RURAL % OF FUNDING]]=0,"",CHSHTATbl[[#This Row],[RURAL % OF FUNDING]])</f>
        <v/>
      </c>
      <c r="O4" s="177" t="s">
        <v>513</v>
      </c>
      <c r="P4" s="193" t="str">
        <f>IF(CHSHTATbl[[#This Row],[MFD RURAL UNITS]]=0,"",CHSHTATbl[[#This Row],[MFD RURAL UNITS]])</f>
        <v/>
      </c>
      <c r="Q4" s="187" t="str">
        <f xml:space="preserve">
IF(CHSHTATbl[[#This Row],[MFD RURAL TOTAL REQUESTED]]=0,"",
CHSHTATbl[[#This Row],[MFD RURAL TOTAL REQUESTED]]*
IF(CH_SHTA_MFDRuralTotalRequested&lt;=(500000-E$61-I$61-M$61),1,
(500000-E$61-I$61-M$61)/CH_SHTA_MFDRuralTotalRequested)
)</f>
        <v/>
      </c>
      <c r="R4" s="191" t="str">
        <f>IF(CHSHTATbl[[#This Row],[MFD RURAL % OF FUNDING]]=0,"",CHSHTATbl[[#This Row],[MFD RURAL % OF FUNDING]])</f>
        <v/>
      </c>
      <c r="S4" s="31"/>
      <c r="T4" s="163"/>
      <c r="U4" s="164"/>
      <c r="V4" s="199"/>
      <c r="W4" s="123"/>
      <c r="X4" s="161"/>
      <c r="Y4" s="198"/>
      <c r="Z4" s="74">
        <f t="shared" si="0"/>
        <v>0</v>
      </c>
      <c r="AA4" s="6">
        <f>IF(CHSHTATbl[[#This Row],[UNRESTRICTED TOTAL REQUESTED]]=0,0,CHSHTATbl[[#This Row],[UNRESTRICTED TOTAL REQUESTED]]/CH_SHTA_UnrestrictedTotalRequested)</f>
        <v>0</v>
      </c>
      <c r="AB4" s="752">
        <f>IF(CHSHTATbl[[#This Row],[ALL UNITS IN A HIGH OR HIGHEST RESOURCE AREA]]="Yes",10*CHSHTATbl[[#This Row],[UNRESTRICTED % OF FUNDING]],0)</f>
        <v>0</v>
      </c>
      <c r="AC4" s="752" cm="1">
        <f t="array" ref="AC4">INDEX(CountyScoresTbl[Community Need Total Points],ROW(CHSHTATbl[[#This Row],[COUNTY]])-2,1)*CHSHTATbl[[#This Row],[UNRESTRICTED % OF FUNDING]]</f>
        <v>0</v>
      </c>
      <c r="AD4" s="752" cm="1">
        <f t="array" ref="AD4">INDEX(CountyScoresTbl[SHTA Total Feasibility Points Awarded],ROW(CHSHTATbl[[#This Row],[COUNTY]])-2,1)*CHSHTATbl[[#This Row],[UNRESTRICTED % OF FUNDING]]</f>
        <v>0</v>
      </c>
      <c r="AE4" s="125"/>
      <c r="AF4" s="161"/>
      <c r="AG4" s="198"/>
      <c r="AH4" s="74">
        <f t="shared" si="1"/>
        <v>0</v>
      </c>
      <c r="AI4" s="9">
        <f>IF(CHSHTATbl[[#This Row],[MANUFACTURED TOTAL REQUESTED]]=0,0,CHSHTATbl[[#This Row],[MANUFACTURED TOTAL REQUESTED]]/CH_SHTA_ManufacturedTotalRequested)</f>
        <v>0</v>
      </c>
      <c r="AJ4" s="665">
        <f>IF(CHSHTATbl[[#This Row],[ALL UNITS IN A HIGH OR HIGHEST RESOURCE AREA]]="Yes",10*CHSHTATbl[[#This Row],[MANUFACTURED % OF FUNDING]],0)</f>
        <v>0</v>
      </c>
      <c r="AK4" s="665" cm="1">
        <f t="array" ref="AK4">INDEX(CountyScoresTbl[Community Need Total Points],ROW(CHSHTATbl[[#This Row],[COUNTY]])-2,1)*CHSHTATbl[[#This Row],[MANUFACTURED % OF FUNDING]]</f>
        <v>0</v>
      </c>
      <c r="AL4" s="666" cm="1">
        <f t="array" ref="AL4">INDEX(CountyScoresTbl[SHTA Total Feasibility Points Awarded],ROW(CHSHTATbl[[#This Row],[COUNTY]])-2,1)*CHSHTATbl[[#This Row],[MANUFACTURED % OF FUNDING]]</f>
        <v>0</v>
      </c>
      <c r="AM4" s="123"/>
      <c r="AN4" s="161"/>
      <c r="AO4" s="198"/>
      <c r="AP4" s="74">
        <f t="shared" si="2"/>
        <v>0</v>
      </c>
      <c r="AQ4" s="6">
        <f>IF(CHSHTATbl[[#This Row],[RURAL TOTAL REQUESTED]]=0,0,CHSHTATbl[[#This Row],[RURAL TOTAL REQUESTED]]/CH_SHTA_RuralTotalRequested)</f>
        <v>0</v>
      </c>
      <c r="AR4" s="665">
        <f>IF(CHSHTATbl[[#This Row],[ALL UNITS IN A HIGH OR HIGHEST RESOURCE AREA]]="Yes",10*CHSHTATbl[[#This Row],[RURAL % OF FUNDING]],0)</f>
        <v>0</v>
      </c>
      <c r="AS4" s="665" cm="1">
        <f t="array" ref="AS4">INDEX(CountyScoresTbl[Community Need Total Points],ROW(CHSHTATbl[[#This Row],[COUNTY]])-2,1)*CHSHTATbl[[#This Row],[RURAL % OF FUNDING]]</f>
        <v>0</v>
      </c>
      <c r="AT4" s="666" cm="1">
        <f t="array" ref="AT4">INDEX(CountyScoresTbl[SHTA Total Feasibility Points Awarded],ROW(CHSHTATbl[[#This Row],[COUNTY]])-2,1)*CHSHTATbl[[#This Row],[RURAL % OF FUNDING]]</f>
        <v>0</v>
      </c>
      <c r="AU4" s="123"/>
      <c r="AV4" s="161"/>
      <c r="AW4" s="198"/>
      <c r="AX4" s="74">
        <f t="shared" si="3"/>
        <v>0</v>
      </c>
      <c r="AY4" s="6">
        <f>IF(CHSHTATbl[[#This Row],[MFD RURAL TOTAL REQUESTED]]=0,0,CHSHTATbl[[#This Row],[MFD RURAL TOTAL REQUESTED]]/CH_SHTA_MFDRuralTotalRequested)</f>
        <v>0</v>
      </c>
      <c r="AZ4" s="665">
        <f>IF(CHSHTATbl[[#This Row],[ALL UNITS IN A HIGH OR HIGHEST RESOURCE AREA]]="Yes",10*CHSHTATbl[[#This Row],[MFD RURAL % OF FUNDING]],0)</f>
        <v>0</v>
      </c>
      <c r="BA4" s="665" cm="1">
        <f t="array" ref="BA4">INDEX(CountyScoresTbl[Community Need Total Points],ROW(CHSHTATbl[[#This Row],[COUNTY]])-2,1)*CHSHTATbl[[#This Row],[MFD RURAL % OF FUNDING]]</f>
        <v>0</v>
      </c>
      <c r="BB4" s="666" cm="1">
        <f t="array" ref="BB4">INDEX(CountyScoresTbl[SHTA Total Feasibility Points Awarded],ROW(CHSHTATbl[[#This Row],[COUNTY]])-2,1)*CHSHTATbl[[#This Row],[MFD RURAL % OF FUNDING]]</f>
        <v>0</v>
      </c>
      <c r="BC4" s="764"/>
      <c r="BD4" s="765">
        <f>IF(CHSHTATbl[[#This Row],[INFILL SITE]]="Yes",5,3)*CHSHTATbl[[#This Row],[UNRESTRICTED % OF FUNDING]]</f>
        <v>0</v>
      </c>
      <c r="BE4" s="694">
        <f>IF(CHSHTATbl[[#This Row],[INFILL SITE]]="Yes",5,3)*CHSHTATbl[[#This Row],[MANUFACTURED % OF FUNDING]]</f>
        <v>0</v>
      </c>
      <c r="BF4" s="694">
        <f>IF(CHSHTATbl[[#This Row],[INFILL SITE]]="Yes",5,3)*CHSHTATbl[[#This Row],[RURAL % OF FUNDING]]</f>
        <v>0</v>
      </c>
      <c r="BG4" s="694">
        <f>IF(CHSHTATbl[[#This Row],[INFILL SITE]]="Yes",5,3)*CHSHTATbl[[#This Row],[MFD RURAL % OF FUNDING]]</f>
        <v>0</v>
      </c>
    </row>
    <row r="5" spans="1:59" x14ac:dyDescent="0.35">
      <c r="A5" s="167"/>
      <c r="B5" s="179" t="s">
        <v>117</v>
      </c>
      <c r="C5" s="177" t="s">
        <v>513</v>
      </c>
      <c r="D5" s="183" t="str">
        <f>IF(CHSHTATbl[[#This Row],[UNRESTRICTED UNITS]]=0,"",CHSHTATbl[[#This Row],[UNRESTRICTED UNITS]])</f>
        <v/>
      </c>
      <c r="E5" s="184" t="str">
        <f xml:space="preserve">
IF(CHSHTATbl[[#This Row],[UNRESTRICTED TOTAL REQUESTED]]=0,"",
CHSHTATbl[[#This Row],[UNRESTRICTED TOTAL REQUESTED]]*
IF(CH_SHTA_UnrestrictedTotalRequested&lt;=500000,1,
500000/CH_SHTA_UnrestrictedTotalRequested)
)</f>
        <v/>
      </c>
      <c r="F5" s="185" t="str">
        <f>IF(CHSHTATbl[[#This Row],[UNRESTRICTED % OF FUNDING]]=0,"",CHSHTATbl[[#This Row],[UNRESTRICTED % OF FUNDING]])</f>
        <v/>
      </c>
      <c r="G5" s="177" t="s">
        <v>513</v>
      </c>
      <c r="H5" s="183" t="str">
        <f>IF(CHSHTATbl[[#This Row],[MANUFACTURED UNITS]]=0,"",CHSHTATbl[[#This Row],[MANUFACTURED UNITS]])</f>
        <v/>
      </c>
      <c r="I5" s="187" t="str">
        <f xml:space="preserve">
IF(CHSHTATbl[[#This Row],[MANUFACTURED TOTAL REQUESTED]]=0,"",
CHSHTATbl[[#This Row],[MANUFACTURED TOTAL REQUESTED]]*
IF(CH_SHTA_ManufacturedTotalRequested&lt;=(500000-E$61),1,
(500000-E$61)/CH_SHTA_ManufacturedTotalRequested)
)</f>
        <v/>
      </c>
      <c r="J5" s="185" t="str">
        <f>IF(CHSHTATbl[[#This Row],[MANUFACTURED % OF FUNDING]]=0,"",CHSHTATbl[[#This Row],[MANUFACTURED % OF FUNDING]])</f>
        <v/>
      </c>
      <c r="K5" s="177" t="s">
        <v>513</v>
      </c>
      <c r="L5" s="190" t="str">
        <f>IF(CHSHTATbl[[#This Row],[RURAL UNITS]]=0,"",CHSHTATbl[[#This Row],[RURAL UNITS]])</f>
        <v/>
      </c>
      <c r="M5" s="187" t="str">
        <f xml:space="preserve">
IF(CHSHTATbl[[#This Row],[RURAL TOTAL REQUESTED]]=0,"",
CHSHTATbl[[#This Row],[RURAL TOTAL REQUESTED]]*
IF(CH_SHTA_RuralTotalRequested&lt;=(500000-E$61-I$61),1,
(500000-E$61-I$61)/CH_SHTA_RuralTotalRequested)
)</f>
        <v/>
      </c>
      <c r="N5" s="191" t="str">
        <f>IF(CHSHTATbl[[#This Row],[RURAL % OF FUNDING]]=0,"",CHSHTATbl[[#This Row],[RURAL % OF FUNDING]])</f>
        <v/>
      </c>
      <c r="O5" s="177" t="s">
        <v>513</v>
      </c>
      <c r="P5" s="193" t="str">
        <f>IF(CHSHTATbl[[#This Row],[MFD RURAL UNITS]]=0,"",CHSHTATbl[[#This Row],[MFD RURAL UNITS]])</f>
        <v/>
      </c>
      <c r="Q5" s="187" t="str">
        <f xml:space="preserve">
IF(CHSHTATbl[[#This Row],[MFD RURAL TOTAL REQUESTED]]=0,"",
CHSHTATbl[[#This Row],[MFD RURAL TOTAL REQUESTED]]*
IF(CH_SHTA_MFDRuralTotalRequested&lt;=(500000-E$61-I$61-M$61),1,
(500000-E$61-I$61-M$61)/CH_SHTA_MFDRuralTotalRequested)
)</f>
        <v/>
      </c>
      <c r="R5" s="191" t="str">
        <f>IF(CHSHTATbl[[#This Row],[MFD RURAL % OF FUNDING]]=0,"",CHSHTATbl[[#This Row],[MFD RURAL % OF FUNDING]])</f>
        <v/>
      </c>
      <c r="S5" s="31"/>
      <c r="T5" s="163"/>
      <c r="U5" s="164"/>
      <c r="V5" s="199"/>
      <c r="W5" s="123"/>
      <c r="X5" s="161"/>
      <c r="Y5" s="198"/>
      <c r="Z5" s="74">
        <f t="shared" si="0"/>
        <v>0</v>
      </c>
      <c r="AA5" s="6">
        <f>IF(CHSHTATbl[[#This Row],[UNRESTRICTED TOTAL REQUESTED]]=0,0,CHSHTATbl[[#This Row],[UNRESTRICTED TOTAL REQUESTED]]/CH_SHTA_UnrestrictedTotalRequested)</f>
        <v>0</v>
      </c>
      <c r="AB5" s="752">
        <f>IF(CHSHTATbl[[#This Row],[ALL UNITS IN A HIGH OR HIGHEST RESOURCE AREA]]="Yes",10*CHSHTATbl[[#This Row],[UNRESTRICTED % OF FUNDING]],0)</f>
        <v>0</v>
      </c>
      <c r="AC5" s="752" cm="1">
        <f t="array" ref="AC5">INDEX(CountyScoresTbl[Community Need Total Points],ROW(CHSHTATbl[[#This Row],[COUNTY]])-2,1)*CHSHTATbl[[#This Row],[UNRESTRICTED % OF FUNDING]]</f>
        <v>0</v>
      </c>
      <c r="AD5" s="752" cm="1">
        <f t="array" ref="AD5">INDEX(CountyScoresTbl[SHTA Total Feasibility Points Awarded],ROW(CHSHTATbl[[#This Row],[COUNTY]])-2,1)*CHSHTATbl[[#This Row],[UNRESTRICTED % OF FUNDING]]</f>
        <v>0</v>
      </c>
      <c r="AE5" s="125"/>
      <c r="AF5" s="161"/>
      <c r="AG5" s="198"/>
      <c r="AH5" s="74">
        <f t="shared" si="1"/>
        <v>0</v>
      </c>
      <c r="AI5" s="9">
        <f>IF(CHSHTATbl[[#This Row],[MANUFACTURED TOTAL REQUESTED]]=0,0,CHSHTATbl[[#This Row],[MANUFACTURED TOTAL REQUESTED]]/CH_SHTA_ManufacturedTotalRequested)</f>
        <v>0</v>
      </c>
      <c r="AJ5" s="665">
        <f>IF(CHSHTATbl[[#This Row],[ALL UNITS IN A HIGH OR HIGHEST RESOURCE AREA]]="Yes",10*CHSHTATbl[[#This Row],[MANUFACTURED % OF FUNDING]],0)</f>
        <v>0</v>
      </c>
      <c r="AK5" s="665" cm="1">
        <f t="array" ref="AK5">INDEX(CountyScoresTbl[Community Need Total Points],ROW(CHSHTATbl[[#This Row],[COUNTY]])-2,1)*CHSHTATbl[[#This Row],[MANUFACTURED % OF FUNDING]]</f>
        <v>0</v>
      </c>
      <c r="AL5" s="666" cm="1">
        <f t="array" ref="AL5">INDEX(CountyScoresTbl[SHTA Total Feasibility Points Awarded],ROW(CHSHTATbl[[#This Row],[COUNTY]])-2,1)*CHSHTATbl[[#This Row],[MANUFACTURED % OF FUNDING]]</f>
        <v>0</v>
      </c>
      <c r="AM5" s="123"/>
      <c r="AN5" s="161"/>
      <c r="AO5" s="198"/>
      <c r="AP5" s="74">
        <f t="shared" si="2"/>
        <v>0</v>
      </c>
      <c r="AQ5" s="6">
        <f>IF(CHSHTATbl[[#This Row],[RURAL TOTAL REQUESTED]]=0,0,CHSHTATbl[[#This Row],[RURAL TOTAL REQUESTED]]/CH_SHTA_RuralTotalRequested)</f>
        <v>0</v>
      </c>
      <c r="AR5" s="665">
        <f>IF(CHSHTATbl[[#This Row],[ALL UNITS IN A HIGH OR HIGHEST RESOURCE AREA]]="Yes",10*CHSHTATbl[[#This Row],[RURAL % OF FUNDING]],0)</f>
        <v>0</v>
      </c>
      <c r="AS5" s="665" cm="1">
        <f t="array" ref="AS5">INDEX(CountyScoresTbl[Community Need Total Points],ROW(CHSHTATbl[[#This Row],[COUNTY]])-2,1)*CHSHTATbl[[#This Row],[RURAL % OF FUNDING]]</f>
        <v>0</v>
      </c>
      <c r="AT5" s="666" cm="1">
        <f t="array" ref="AT5">INDEX(CountyScoresTbl[SHTA Total Feasibility Points Awarded],ROW(CHSHTATbl[[#This Row],[COUNTY]])-2,1)*CHSHTATbl[[#This Row],[RURAL % OF FUNDING]]</f>
        <v>0</v>
      </c>
      <c r="AU5" s="123"/>
      <c r="AV5" s="161"/>
      <c r="AW5" s="198"/>
      <c r="AX5" s="74">
        <f t="shared" si="3"/>
        <v>0</v>
      </c>
      <c r="AY5" s="6">
        <f>IF(CHSHTATbl[[#This Row],[MFD RURAL TOTAL REQUESTED]]=0,0,CHSHTATbl[[#This Row],[MFD RURAL TOTAL REQUESTED]]/CH_SHTA_MFDRuralTotalRequested)</f>
        <v>0</v>
      </c>
      <c r="AZ5" s="665">
        <f>IF(CHSHTATbl[[#This Row],[ALL UNITS IN A HIGH OR HIGHEST RESOURCE AREA]]="Yes",10*CHSHTATbl[[#This Row],[MFD RURAL % OF FUNDING]],0)</f>
        <v>0</v>
      </c>
      <c r="BA5" s="665" cm="1">
        <f t="array" ref="BA5">INDEX(CountyScoresTbl[Community Need Total Points],ROW(CHSHTATbl[[#This Row],[COUNTY]])-2,1)*CHSHTATbl[[#This Row],[MFD RURAL % OF FUNDING]]</f>
        <v>0</v>
      </c>
      <c r="BB5" s="666" cm="1">
        <f t="array" ref="BB5">INDEX(CountyScoresTbl[SHTA Total Feasibility Points Awarded],ROW(CHSHTATbl[[#This Row],[COUNTY]])-2,1)*CHSHTATbl[[#This Row],[MFD RURAL % OF FUNDING]]</f>
        <v>0</v>
      </c>
      <c r="BC5" s="764"/>
      <c r="BD5" s="765">
        <f>IF(CHSHTATbl[[#This Row],[INFILL SITE]]="Yes",5,3)*CHSHTATbl[[#This Row],[UNRESTRICTED % OF FUNDING]]</f>
        <v>0</v>
      </c>
      <c r="BE5" s="694">
        <f>IF(CHSHTATbl[[#This Row],[INFILL SITE]]="Yes",5,3)*CHSHTATbl[[#This Row],[MANUFACTURED % OF FUNDING]]</f>
        <v>0</v>
      </c>
      <c r="BF5" s="694">
        <f>IF(CHSHTATbl[[#This Row],[INFILL SITE]]="Yes",5,3)*CHSHTATbl[[#This Row],[RURAL % OF FUNDING]]</f>
        <v>0</v>
      </c>
      <c r="BG5" s="694">
        <f>IF(CHSHTATbl[[#This Row],[INFILL SITE]]="Yes",5,3)*CHSHTATbl[[#This Row],[MFD RURAL % OF FUNDING]]</f>
        <v>0</v>
      </c>
    </row>
    <row r="6" spans="1:59" x14ac:dyDescent="0.35">
      <c r="A6" s="124"/>
      <c r="B6" s="179" t="s">
        <v>118</v>
      </c>
      <c r="C6" s="177" t="s">
        <v>513</v>
      </c>
      <c r="D6" s="183" t="str">
        <f>IF(CHSHTATbl[[#This Row],[UNRESTRICTED UNITS]]=0,"",CHSHTATbl[[#This Row],[UNRESTRICTED UNITS]])</f>
        <v/>
      </c>
      <c r="E6" s="184" t="str">
        <f xml:space="preserve">
IF(CHSHTATbl[[#This Row],[UNRESTRICTED TOTAL REQUESTED]]=0,"",
CHSHTATbl[[#This Row],[UNRESTRICTED TOTAL REQUESTED]]*
IF(CH_SHTA_UnrestrictedTotalRequested&lt;=500000,1,
500000/CH_SHTA_UnrestrictedTotalRequested)
)</f>
        <v/>
      </c>
      <c r="F6" s="185" t="str">
        <f>IF(CHSHTATbl[[#This Row],[UNRESTRICTED % OF FUNDING]]=0,"",CHSHTATbl[[#This Row],[UNRESTRICTED % OF FUNDING]])</f>
        <v/>
      </c>
      <c r="G6" s="177" t="s">
        <v>513</v>
      </c>
      <c r="H6" s="183" t="str">
        <f>IF(CHSHTATbl[[#This Row],[MANUFACTURED UNITS]]=0,"",CHSHTATbl[[#This Row],[MANUFACTURED UNITS]])</f>
        <v/>
      </c>
      <c r="I6" s="187" t="str">
        <f xml:space="preserve">
IF(CHSHTATbl[[#This Row],[MANUFACTURED TOTAL REQUESTED]]=0,"",
CHSHTATbl[[#This Row],[MANUFACTURED TOTAL REQUESTED]]*
IF(CH_SHTA_ManufacturedTotalRequested&lt;=(500000-E$61),1,
(500000-E$61)/CH_SHTA_ManufacturedTotalRequested)
)</f>
        <v/>
      </c>
      <c r="J6" s="185" t="str">
        <f>IF(CHSHTATbl[[#This Row],[MANUFACTURED % OF FUNDING]]=0,"",CHSHTATbl[[#This Row],[MANUFACTURED % OF FUNDING]])</f>
        <v/>
      </c>
      <c r="K6" s="177" t="s">
        <v>513</v>
      </c>
      <c r="L6" s="190" t="str">
        <f>IF(CHSHTATbl[[#This Row],[RURAL UNITS]]=0,"",CHSHTATbl[[#This Row],[RURAL UNITS]])</f>
        <v/>
      </c>
      <c r="M6" s="187" t="str">
        <f xml:space="preserve">
IF(CHSHTATbl[[#This Row],[RURAL TOTAL REQUESTED]]=0,"",
CHSHTATbl[[#This Row],[RURAL TOTAL REQUESTED]]*
IF(CH_SHTA_RuralTotalRequested&lt;=(500000-E$61-I$61),1,
(500000-E$61-I$61)/CH_SHTA_RuralTotalRequested)
)</f>
        <v/>
      </c>
      <c r="N6" s="191" t="str">
        <f>IF(CHSHTATbl[[#This Row],[RURAL % OF FUNDING]]=0,"",CHSHTATbl[[#This Row],[RURAL % OF FUNDING]])</f>
        <v/>
      </c>
      <c r="O6" s="177" t="s">
        <v>513</v>
      </c>
      <c r="P6" s="193" t="str">
        <f>IF(CHSHTATbl[[#This Row],[MFD RURAL UNITS]]=0,"",CHSHTATbl[[#This Row],[MFD RURAL UNITS]])</f>
        <v/>
      </c>
      <c r="Q6" s="187" t="str">
        <f xml:space="preserve">
IF(CHSHTATbl[[#This Row],[MFD RURAL TOTAL REQUESTED]]=0,"",
CHSHTATbl[[#This Row],[MFD RURAL TOTAL REQUESTED]]*
IF(CH_SHTA_MFDRuralTotalRequested&lt;=(500000-E$61-I$61-M$61),1,
(500000-E$61-I$61-M$61)/CH_SHTA_MFDRuralTotalRequested)
)</f>
        <v/>
      </c>
      <c r="R6" s="191" t="str">
        <f>IF(CHSHTATbl[[#This Row],[MFD RURAL % OF FUNDING]]=0,"",CHSHTATbl[[#This Row],[MFD RURAL % OF FUNDING]])</f>
        <v/>
      </c>
      <c r="S6" s="31"/>
      <c r="T6" s="196"/>
      <c r="U6" s="119"/>
      <c r="V6" s="197"/>
      <c r="W6" s="123"/>
      <c r="X6" s="161"/>
      <c r="Y6" s="198"/>
      <c r="Z6" s="74">
        <f t="shared" si="0"/>
        <v>0</v>
      </c>
      <c r="AA6" s="6">
        <f>IF(CHSHTATbl[[#This Row],[UNRESTRICTED TOTAL REQUESTED]]=0,0,CHSHTATbl[[#This Row],[UNRESTRICTED TOTAL REQUESTED]]/CH_SHTA_UnrestrictedTotalRequested)</f>
        <v>0</v>
      </c>
      <c r="AB6" s="752">
        <f>IF(CHSHTATbl[[#This Row],[ALL UNITS IN A HIGH OR HIGHEST RESOURCE AREA]]="Yes",10*CHSHTATbl[[#This Row],[UNRESTRICTED % OF FUNDING]],0)</f>
        <v>0</v>
      </c>
      <c r="AC6" s="752" cm="1">
        <f t="array" ref="AC6">INDEX(CountyScoresTbl[Community Need Total Points],ROW(CHSHTATbl[[#This Row],[COUNTY]])-2,1)*CHSHTATbl[[#This Row],[UNRESTRICTED % OF FUNDING]]</f>
        <v>0</v>
      </c>
      <c r="AD6" s="752" cm="1">
        <f t="array" ref="AD6">INDEX(CountyScoresTbl[SHTA Total Feasibility Points Awarded],ROW(CHSHTATbl[[#This Row],[COUNTY]])-2,1)*CHSHTATbl[[#This Row],[UNRESTRICTED % OF FUNDING]]</f>
        <v>0</v>
      </c>
      <c r="AE6" s="125"/>
      <c r="AF6" s="161"/>
      <c r="AG6" s="198"/>
      <c r="AH6" s="74">
        <f t="shared" si="1"/>
        <v>0</v>
      </c>
      <c r="AI6" s="9">
        <f>IF(CHSHTATbl[[#This Row],[MANUFACTURED TOTAL REQUESTED]]=0,0,CHSHTATbl[[#This Row],[MANUFACTURED TOTAL REQUESTED]]/CH_SHTA_ManufacturedTotalRequested)</f>
        <v>0</v>
      </c>
      <c r="AJ6" s="665">
        <f>IF(CHSHTATbl[[#This Row],[ALL UNITS IN A HIGH OR HIGHEST RESOURCE AREA]]="Yes",10*CHSHTATbl[[#This Row],[MANUFACTURED % OF FUNDING]],0)</f>
        <v>0</v>
      </c>
      <c r="AK6" s="665" cm="1">
        <f t="array" ref="AK6">INDEX(CountyScoresTbl[Community Need Total Points],ROW(CHSHTATbl[[#This Row],[COUNTY]])-2,1)*CHSHTATbl[[#This Row],[MANUFACTURED % OF FUNDING]]</f>
        <v>0</v>
      </c>
      <c r="AL6" s="666" cm="1">
        <f t="array" ref="AL6">INDEX(CountyScoresTbl[SHTA Total Feasibility Points Awarded],ROW(CHSHTATbl[[#This Row],[COUNTY]])-2,1)*CHSHTATbl[[#This Row],[MANUFACTURED % OF FUNDING]]</f>
        <v>0</v>
      </c>
      <c r="AM6" s="123"/>
      <c r="AN6" s="161"/>
      <c r="AO6" s="198"/>
      <c r="AP6" s="74">
        <f t="shared" si="2"/>
        <v>0</v>
      </c>
      <c r="AQ6" s="6">
        <f>IF(CHSHTATbl[[#This Row],[RURAL TOTAL REQUESTED]]=0,0,CHSHTATbl[[#This Row],[RURAL TOTAL REQUESTED]]/CH_SHTA_RuralTotalRequested)</f>
        <v>0</v>
      </c>
      <c r="AR6" s="665">
        <f>IF(CHSHTATbl[[#This Row],[ALL UNITS IN A HIGH OR HIGHEST RESOURCE AREA]]="Yes",10*CHSHTATbl[[#This Row],[RURAL % OF FUNDING]],0)</f>
        <v>0</v>
      </c>
      <c r="AS6" s="665" cm="1">
        <f t="array" ref="AS6">INDEX(CountyScoresTbl[Community Need Total Points],ROW(CHSHTATbl[[#This Row],[COUNTY]])-2,1)*CHSHTATbl[[#This Row],[RURAL % OF FUNDING]]</f>
        <v>0</v>
      </c>
      <c r="AT6" s="666" cm="1">
        <f t="array" ref="AT6">INDEX(CountyScoresTbl[SHTA Total Feasibility Points Awarded],ROW(CHSHTATbl[[#This Row],[COUNTY]])-2,1)*CHSHTATbl[[#This Row],[RURAL % OF FUNDING]]</f>
        <v>0</v>
      </c>
      <c r="AU6" s="123"/>
      <c r="AV6" s="161"/>
      <c r="AW6" s="198"/>
      <c r="AX6" s="74">
        <f t="shared" si="3"/>
        <v>0</v>
      </c>
      <c r="AY6" s="6">
        <f>IF(CHSHTATbl[[#This Row],[MFD RURAL TOTAL REQUESTED]]=0,0,CHSHTATbl[[#This Row],[MFD RURAL TOTAL REQUESTED]]/CH_SHTA_MFDRuralTotalRequested)</f>
        <v>0</v>
      </c>
      <c r="AZ6" s="665">
        <f>IF(CHSHTATbl[[#This Row],[ALL UNITS IN A HIGH OR HIGHEST RESOURCE AREA]]="Yes",10*CHSHTATbl[[#This Row],[MFD RURAL % OF FUNDING]],0)</f>
        <v>0</v>
      </c>
      <c r="BA6" s="665" cm="1">
        <f t="array" ref="BA6">INDEX(CountyScoresTbl[Community Need Total Points],ROW(CHSHTATbl[[#This Row],[COUNTY]])-2,1)*CHSHTATbl[[#This Row],[MFD RURAL % OF FUNDING]]</f>
        <v>0</v>
      </c>
      <c r="BB6" s="666" cm="1">
        <f t="array" ref="BB6">INDEX(CountyScoresTbl[SHTA Total Feasibility Points Awarded],ROW(CHSHTATbl[[#This Row],[COUNTY]])-2,1)*CHSHTATbl[[#This Row],[MFD RURAL % OF FUNDING]]</f>
        <v>0</v>
      </c>
      <c r="BC6" s="764"/>
      <c r="BD6" s="765">
        <f>IF(CHSHTATbl[[#This Row],[INFILL SITE]]="Yes",5,3)*CHSHTATbl[[#This Row],[UNRESTRICTED % OF FUNDING]]</f>
        <v>0</v>
      </c>
      <c r="BE6" s="694">
        <f>IF(CHSHTATbl[[#This Row],[INFILL SITE]]="Yes",5,3)*CHSHTATbl[[#This Row],[MANUFACTURED % OF FUNDING]]</f>
        <v>0</v>
      </c>
      <c r="BF6" s="694">
        <f>IF(CHSHTATbl[[#This Row],[INFILL SITE]]="Yes",5,3)*CHSHTATbl[[#This Row],[RURAL % OF FUNDING]]</f>
        <v>0</v>
      </c>
      <c r="BG6" s="694">
        <f>IF(CHSHTATbl[[#This Row],[INFILL SITE]]="Yes",5,3)*CHSHTATbl[[#This Row],[MFD RURAL % OF FUNDING]]</f>
        <v>0</v>
      </c>
    </row>
    <row r="7" spans="1:59" x14ac:dyDescent="0.35">
      <c r="A7" s="124"/>
      <c r="B7" s="179" t="s">
        <v>119</v>
      </c>
      <c r="C7" s="177" t="s">
        <v>513</v>
      </c>
      <c r="D7" s="183" t="str">
        <f>IF(CHSHTATbl[[#This Row],[UNRESTRICTED UNITS]]=0,"",CHSHTATbl[[#This Row],[UNRESTRICTED UNITS]])</f>
        <v/>
      </c>
      <c r="E7" s="184" t="str">
        <f xml:space="preserve">
IF(CHSHTATbl[[#This Row],[UNRESTRICTED TOTAL REQUESTED]]=0,"",
CHSHTATbl[[#This Row],[UNRESTRICTED TOTAL REQUESTED]]*
IF(CH_SHTA_UnrestrictedTotalRequested&lt;=500000,1,
500000/CH_SHTA_UnrestrictedTotalRequested)
)</f>
        <v/>
      </c>
      <c r="F7" s="185" t="str">
        <f>IF(CHSHTATbl[[#This Row],[UNRESTRICTED % OF FUNDING]]=0,"",CHSHTATbl[[#This Row],[UNRESTRICTED % OF FUNDING]])</f>
        <v/>
      </c>
      <c r="G7" s="177" t="s">
        <v>513</v>
      </c>
      <c r="H7" s="183" t="str">
        <f>IF(CHSHTATbl[[#This Row],[MANUFACTURED UNITS]]=0,"",CHSHTATbl[[#This Row],[MANUFACTURED UNITS]])</f>
        <v/>
      </c>
      <c r="I7" s="187" t="str">
        <f xml:space="preserve">
IF(CHSHTATbl[[#This Row],[MANUFACTURED TOTAL REQUESTED]]=0,"",
CHSHTATbl[[#This Row],[MANUFACTURED TOTAL REQUESTED]]*
IF(CH_SHTA_ManufacturedTotalRequested&lt;=(500000-E$61),1,
(500000-E$61)/CH_SHTA_ManufacturedTotalRequested)
)</f>
        <v/>
      </c>
      <c r="J7" s="185" t="str">
        <f>IF(CHSHTATbl[[#This Row],[MANUFACTURED % OF FUNDING]]=0,"",CHSHTATbl[[#This Row],[MANUFACTURED % OF FUNDING]])</f>
        <v/>
      </c>
      <c r="K7" s="177" t="s">
        <v>513</v>
      </c>
      <c r="L7" s="190" t="str">
        <f>IF(CHSHTATbl[[#This Row],[RURAL UNITS]]=0,"",CHSHTATbl[[#This Row],[RURAL UNITS]])</f>
        <v/>
      </c>
      <c r="M7" s="187" t="str">
        <f xml:space="preserve">
IF(CHSHTATbl[[#This Row],[RURAL TOTAL REQUESTED]]=0,"",
CHSHTATbl[[#This Row],[RURAL TOTAL REQUESTED]]*
IF(CH_SHTA_RuralTotalRequested&lt;=(500000-E$61-I$61),1,
(500000-E$61-I$61)/CH_SHTA_RuralTotalRequested)
)</f>
        <v/>
      </c>
      <c r="N7" s="191" t="str">
        <f>IF(CHSHTATbl[[#This Row],[RURAL % OF FUNDING]]=0,"",CHSHTATbl[[#This Row],[RURAL % OF FUNDING]])</f>
        <v/>
      </c>
      <c r="O7" s="177" t="s">
        <v>513</v>
      </c>
      <c r="P7" s="193" t="str">
        <f>IF(CHSHTATbl[[#This Row],[MFD RURAL UNITS]]=0,"",CHSHTATbl[[#This Row],[MFD RURAL UNITS]])</f>
        <v/>
      </c>
      <c r="Q7" s="187" t="str">
        <f xml:space="preserve">
IF(CHSHTATbl[[#This Row],[MFD RURAL TOTAL REQUESTED]]=0,"",
CHSHTATbl[[#This Row],[MFD RURAL TOTAL REQUESTED]]*
IF(CH_SHTA_MFDRuralTotalRequested&lt;=(500000-E$61-I$61-M$61),1,
(500000-E$61-I$61-M$61)/CH_SHTA_MFDRuralTotalRequested)
)</f>
        <v/>
      </c>
      <c r="R7" s="191" t="str">
        <f>IF(CHSHTATbl[[#This Row],[MFD RURAL % OF FUNDING]]=0,"",CHSHTATbl[[#This Row],[MFD RURAL % OF FUNDING]])</f>
        <v/>
      </c>
      <c r="S7" s="31"/>
      <c r="T7" s="196"/>
      <c r="U7" s="119"/>
      <c r="V7" s="197"/>
      <c r="W7" s="123"/>
      <c r="X7" s="161"/>
      <c r="Y7" s="198"/>
      <c r="Z7" s="74">
        <f t="shared" si="0"/>
        <v>0</v>
      </c>
      <c r="AA7" s="6">
        <f>IF(CHSHTATbl[[#This Row],[UNRESTRICTED TOTAL REQUESTED]]=0,0,CHSHTATbl[[#This Row],[UNRESTRICTED TOTAL REQUESTED]]/CH_SHTA_UnrestrictedTotalRequested)</f>
        <v>0</v>
      </c>
      <c r="AB7" s="752">
        <f>IF(CHSHTATbl[[#This Row],[ALL UNITS IN A HIGH OR HIGHEST RESOURCE AREA]]="Yes",10*CHSHTATbl[[#This Row],[UNRESTRICTED % OF FUNDING]],0)</f>
        <v>0</v>
      </c>
      <c r="AC7" s="752" cm="1">
        <f t="array" ref="AC7">INDEX(CountyScoresTbl[Community Need Total Points],ROW(CHSHTATbl[[#This Row],[COUNTY]])-2,1)*CHSHTATbl[[#This Row],[UNRESTRICTED % OF FUNDING]]</f>
        <v>0</v>
      </c>
      <c r="AD7" s="752" cm="1">
        <f t="array" ref="AD7">INDEX(CountyScoresTbl[SHTA Total Feasibility Points Awarded],ROW(CHSHTATbl[[#This Row],[COUNTY]])-2,1)*CHSHTATbl[[#This Row],[UNRESTRICTED % OF FUNDING]]</f>
        <v>0</v>
      </c>
      <c r="AE7" s="125"/>
      <c r="AF7" s="161"/>
      <c r="AG7" s="198"/>
      <c r="AH7" s="74">
        <f t="shared" si="1"/>
        <v>0</v>
      </c>
      <c r="AI7" s="9">
        <f>IF(CHSHTATbl[[#This Row],[MANUFACTURED TOTAL REQUESTED]]=0,0,CHSHTATbl[[#This Row],[MANUFACTURED TOTAL REQUESTED]]/CH_SHTA_ManufacturedTotalRequested)</f>
        <v>0</v>
      </c>
      <c r="AJ7" s="665">
        <f>IF(CHSHTATbl[[#This Row],[ALL UNITS IN A HIGH OR HIGHEST RESOURCE AREA]]="Yes",10*CHSHTATbl[[#This Row],[MANUFACTURED % OF FUNDING]],0)</f>
        <v>0</v>
      </c>
      <c r="AK7" s="665" cm="1">
        <f t="array" ref="AK7">INDEX(CountyScoresTbl[Community Need Total Points],ROW(CHSHTATbl[[#This Row],[COUNTY]])-2,1)*CHSHTATbl[[#This Row],[MANUFACTURED % OF FUNDING]]</f>
        <v>0</v>
      </c>
      <c r="AL7" s="666" cm="1">
        <f t="array" ref="AL7">INDEX(CountyScoresTbl[SHTA Total Feasibility Points Awarded],ROW(CHSHTATbl[[#This Row],[COUNTY]])-2,1)*CHSHTATbl[[#This Row],[MANUFACTURED % OF FUNDING]]</f>
        <v>0</v>
      </c>
      <c r="AM7" s="123"/>
      <c r="AN7" s="161"/>
      <c r="AO7" s="198"/>
      <c r="AP7" s="74">
        <f t="shared" si="2"/>
        <v>0</v>
      </c>
      <c r="AQ7" s="6">
        <f>IF(CHSHTATbl[[#This Row],[RURAL TOTAL REQUESTED]]=0,0,CHSHTATbl[[#This Row],[RURAL TOTAL REQUESTED]]/CH_SHTA_RuralTotalRequested)</f>
        <v>0</v>
      </c>
      <c r="AR7" s="665">
        <f>IF(CHSHTATbl[[#This Row],[ALL UNITS IN A HIGH OR HIGHEST RESOURCE AREA]]="Yes",10*CHSHTATbl[[#This Row],[RURAL % OF FUNDING]],0)</f>
        <v>0</v>
      </c>
      <c r="AS7" s="665" cm="1">
        <f t="array" ref="AS7">INDEX(CountyScoresTbl[Community Need Total Points],ROW(CHSHTATbl[[#This Row],[COUNTY]])-2,1)*CHSHTATbl[[#This Row],[RURAL % OF FUNDING]]</f>
        <v>0</v>
      </c>
      <c r="AT7" s="666" cm="1">
        <f t="array" ref="AT7">INDEX(CountyScoresTbl[SHTA Total Feasibility Points Awarded],ROW(CHSHTATbl[[#This Row],[COUNTY]])-2,1)*CHSHTATbl[[#This Row],[RURAL % OF FUNDING]]</f>
        <v>0</v>
      </c>
      <c r="AU7" s="123"/>
      <c r="AV7" s="161"/>
      <c r="AW7" s="198"/>
      <c r="AX7" s="74">
        <f t="shared" si="3"/>
        <v>0</v>
      </c>
      <c r="AY7" s="6">
        <f>IF(CHSHTATbl[[#This Row],[MFD RURAL TOTAL REQUESTED]]=0,0,CHSHTATbl[[#This Row],[MFD RURAL TOTAL REQUESTED]]/CH_SHTA_MFDRuralTotalRequested)</f>
        <v>0</v>
      </c>
      <c r="AZ7" s="665">
        <f>IF(CHSHTATbl[[#This Row],[ALL UNITS IN A HIGH OR HIGHEST RESOURCE AREA]]="Yes",10*CHSHTATbl[[#This Row],[MFD RURAL % OF FUNDING]],0)</f>
        <v>0</v>
      </c>
      <c r="BA7" s="665" cm="1">
        <f t="array" ref="BA7">INDEX(CountyScoresTbl[Community Need Total Points],ROW(CHSHTATbl[[#This Row],[COUNTY]])-2,1)*CHSHTATbl[[#This Row],[MFD RURAL % OF FUNDING]]</f>
        <v>0</v>
      </c>
      <c r="BB7" s="666" cm="1">
        <f t="array" ref="BB7">INDEX(CountyScoresTbl[SHTA Total Feasibility Points Awarded],ROW(CHSHTATbl[[#This Row],[COUNTY]])-2,1)*CHSHTATbl[[#This Row],[MFD RURAL % OF FUNDING]]</f>
        <v>0</v>
      </c>
      <c r="BC7" s="764"/>
      <c r="BD7" s="765">
        <f>IF(CHSHTATbl[[#This Row],[INFILL SITE]]="Yes",5,3)*CHSHTATbl[[#This Row],[UNRESTRICTED % OF FUNDING]]</f>
        <v>0</v>
      </c>
      <c r="BE7" s="694">
        <f>IF(CHSHTATbl[[#This Row],[INFILL SITE]]="Yes",5,3)*CHSHTATbl[[#This Row],[MANUFACTURED % OF FUNDING]]</f>
        <v>0</v>
      </c>
      <c r="BF7" s="694">
        <f>IF(CHSHTATbl[[#This Row],[INFILL SITE]]="Yes",5,3)*CHSHTATbl[[#This Row],[RURAL % OF FUNDING]]</f>
        <v>0</v>
      </c>
      <c r="BG7" s="694">
        <f>IF(CHSHTATbl[[#This Row],[INFILL SITE]]="Yes",5,3)*CHSHTATbl[[#This Row],[MFD RURAL % OF FUNDING]]</f>
        <v>0</v>
      </c>
    </row>
    <row r="8" spans="1:59" x14ac:dyDescent="0.35">
      <c r="A8" s="124"/>
      <c r="B8" s="179" t="s">
        <v>120</v>
      </c>
      <c r="C8" s="177" t="s">
        <v>513</v>
      </c>
      <c r="D8" s="183" t="str">
        <f>IF(CHSHTATbl[[#This Row],[UNRESTRICTED UNITS]]=0,"",CHSHTATbl[[#This Row],[UNRESTRICTED UNITS]])</f>
        <v/>
      </c>
      <c r="E8" s="184" t="str">
        <f xml:space="preserve">
IF(CHSHTATbl[[#This Row],[UNRESTRICTED TOTAL REQUESTED]]=0,"",
CHSHTATbl[[#This Row],[UNRESTRICTED TOTAL REQUESTED]]*
IF(CH_SHTA_UnrestrictedTotalRequested&lt;=500000,1,
500000/CH_SHTA_UnrestrictedTotalRequested)
)</f>
        <v/>
      </c>
      <c r="F8" s="185" t="str">
        <f>IF(CHSHTATbl[[#This Row],[UNRESTRICTED % OF FUNDING]]=0,"",CHSHTATbl[[#This Row],[UNRESTRICTED % OF FUNDING]])</f>
        <v/>
      </c>
      <c r="G8" s="177" t="s">
        <v>513</v>
      </c>
      <c r="H8" s="183" t="str">
        <f>IF(CHSHTATbl[[#This Row],[MANUFACTURED UNITS]]=0,"",CHSHTATbl[[#This Row],[MANUFACTURED UNITS]])</f>
        <v/>
      </c>
      <c r="I8" s="187" t="str">
        <f xml:space="preserve">
IF(CHSHTATbl[[#This Row],[MANUFACTURED TOTAL REQUESTED]]=0,"",
CHSHTATbl[[#This Row],[MANUFACTURED TOTAL REQUESTED]]*
IF(CH_SHTA_ManufacturedTotalRequested&lt;=(500000-E$61),1,
(500000-E$61)/CH_SHTA_ManufacturedTotalRequested)
)</f>
        <v/>
      </c>
      <c r="J8" s="185" t="str">
        <f>IF(CHSHTATbl[[#This Row],[MANUFACTURED % OF FUNDING]]=0,"",CHSHTATbl[[#This Row],[MANUFACTURED % OF FUNDING]])</f>
        <v/>
      </c>
      <c r="K8" s="177" t="s">
        <v>513</v>
      </c>
      <c r="L8" s="190" t="str">
        <f>IF(CHSHTATbl[[#This Row],[RURAL UNITS]]=0,"",CHSHTATbl[[#This Row],[RURAL UNITS]])</f>
        <v/>
      </c>
      <c r="M8" s="187" t="str">
        <f xml:space="preserve">
IF(CHSHTATbl[[#This Row],[RURAL TOTAL REQUESTED]]=0,"",
CHSHTATbl[[#This Row],[RURAL TOTAL REQUESTED]]*
IF(CH_SHTA_RuralTotalRequested&lt;=(500000-E$61-I$61),1,
(500000-E$61-I$61)/CH_SHTA_RuralTotalRequested)
)</f>
        <v/>
      </c>
      <c r="N8" s="191" t="str">
        <f>IF(CHSHTATbl[[#This Row],[RURAL % OF FUNDING]]=0,"",CHSHTATbl[[#This Row],[RURAL % OF FUNDING]])</f>
        <v/>
      </c>
      <c r="O8" s="177" t="s">
        <v>513</v>
      </c>
      <c r="P8" s="193" t="str">
        <f>IF(CHSHTATbl[[#This Row],[MFD RURAL UNITS]]=0,"",CHSHTATbl[[#This Row],[MFD RURAL UNITS]])</f>
        <v/>
      </c>
      <c r="Q8" s="187" t="str">
        <f xml:space="preserve">
IF(CHSHTATbl[[#This Row],[MFD RURAL TOTAL REQUESTED]]=0,"",
CHSHTATbl[[#This Row],[MFD RURAL TOTAL REQUESTED]]*
IF(CH_SHTA_MFDRuralTotalRequested&lt;=(500000-E$61-I$61-M$61),1,
(500000-E$61-I$61-M$61)/CH_SHTA_MFDRuralTotalRequested)
)</f>
        <v/>
      </c>
      <c r="R8" s="191" t="str">
        <f>IF(CHSHTATbl[[#This Row],[MFD RURAL % OF FUNDING]]=0,"",CHSHTATbl[[#This Row],[MFD RURAL % OF FUNDING]])</f>
        <v/>
      </c>
      <c r="S8" s="31"/>
      <c r="T8" s="196"/>
      <c r="U8" s="119"/>
      <c r="V8" s="197"/>
      <c r="W8" s="123"/>
      <c r="X8" s="161"/>
      <c r="Y8" s="198"/>
      <c r="Z8" s="74">
        <f t="shared" si="0"/>
        <v>0</v>
      </c>
      <c r="AA8" s="6">
        <f>IF(CHSHTATbl[[#This Row],[UNRESTRICTED TOTAL REQUESTED]]=0,0,CHSHTATbl[[#This Row],[UNRESTRICTED TOTAL REQUESTED]]/CH_SHTA_UnrestrictedTotalRequested)</f>
        <v>0</v>
      </c>
      <c r="AB8" s="752">
        <f>IF(CHSHTATbl[[#This Row],[ALL UNITS IN A HIGH OR HIGHEST RESOURCE AREA]]="Yes",10*CHSHTATbl[[#This Row],[UNRESTRICTED % OF FUNDING]],0)</f>
        <v>0</v>
      </c>
      <c r="AC8" s="752" cm="1">
        <f t="array" ref="AC8">INDEX(CountyScoresTbl[Community Need Total Points],ROW(CHSHTATbl[[#This Row],[COUNTY]])-2,1)*CHSHTATbl[[#This Row],[UNRESTRICTED % OF FUNDING]]</f>
        <v>0</v>
      </c>
      <c r="AD8" s="752" cm="1">
        <f t="array" ref="AD8">INDEX(CountyScoresTbl[SHTA Total Feasibility Points Awarded],ROW(CHSHTATbl[[#This Row],[COUNTY]])-2,1)*CHSHTATbl[[#This Row],[UNRESTRICTED % OF FUNDING]]</f>
        <v>0</v>
      </c>
      <c r="AE8" s="125"/>
      <c r="AF8" s="161"/>
      <c r="AG8" s="198"/>
      <c r="AH8" s="74">
        <f t="shared" si="1"/>
        <v>0</v>
      </c>
      <c r="AI8" s="9">
        <f>IF(CHSHTATbl[[#This Row],[MANUFACTURED TOTAL REQUESTED]]=0,0,CHSHTATbl[[#This Row],[MANUFACTURED TOTAL REQUESTED]]/CH_SHTA_ManufacturedTotalRequested)</f>
        <v>0</v>
      </c>
      <c r="AJ8" s="665">
        <f>IF(CHSHTATbl[[#This Row],[ALL UNITS IN A HIGH OR HIGHEST RESOURCE AREA]]="Yes",10*CHSHTATbl[[#This Row],[MANUFACTURED % OF FUNDING]],0)</f>
        <v>0</v>
      </c>
      <c r="AK8" s="665" cm="1">
        <f t="array" ref="AK8">INDEX(CountyScoresTbl[Community Need Total Points],ROW(CHSHTATbl[[#This Row],[COUNTY]])-2,1)*CHSHTATbl[[#This Row],[MANUFACTURED % OF FUNDING]]</f>
        <v>0</v>
      </c>
      <c r="AL8" s="666" cm="1">
        <f t="array" ref="AL8">INDEX(CountyScoresTbl[SHTA Total Feasibility Points Awarded],ROW(CHSHTATbl[[#This Row],[COUNTY]])-2,1)*CHSHTATbl[[#This Row],[MANUFACTURED % OF FUNDING]]</f>
        <v>0</v>
      </c>
      <c r="AM8" s="123"/>
      <c r="AN8" s="161"/>
      <c r="AO8" s="198"/>
      <c r="AP8" s="74">
        <f t="shared" si="2"/>
        <v>0</v>
      </c>
      <c r="AQ8" s="6">
        <f>IF(CHSHTATbl[[#This Row],[RURAL TOTAL REQUESTED]]=0,0,CHSHTATbl[[#This Row],[RURAL TOTAL REQUESTED]]/CH_SHTA_RuralTotalRequested)</f>
        <v>0</v>
      </c>
      <c r="AR8" s="665">
        <f>IF(CHSHTATbl[[#This Row],[ALL UNITS IN A HIGH OR HIGHEST RESOURCE AREA]]="Yes",10*CHSHTATbl[[#This Row],[RURAL % OF FUNDING]],0)</f>
        <v>0</v>
      </c>
      <c r="AS8" s="665" cm="1">
        <f t="array" ref="AS8">INDEX(CountyScoresTbl[Community Need Total Points],ROW(CHSHTATbl[[#This Row],[COUNTY]])-2,1)*CHSHTATbl[[#This Row],[RURAL % OF FUNDING]]</f>
        <v>0</v>
      </c>
      <c r="AT8" s="666" cm="1">
        <f t="array" ref="AT8">INDEX(CountyScoresTbl[SHTA Total Feasibility Points Awarded],ROW(CHSHTATbl[[#This Row],[COUNTY]])-2,1)*CHSHTATbl[[#This Row],[RURAL % OF FUNDING]]</f>
        <v>0</v>
      </c>
      <c r="AU8" s="123"/>
      <c r="AV8" s="161"/>
      <c r="AW8" s="198"/>
      <c r="AX8" s="74">
        <f t="shared" si="3"/>
        <v>0</v>
      </c>
      <c r="AY8" s="6">
        <f>IF(CHSHTATbl[[#This Row],[MFD RURAL TOTAL REQUESTED]]=0,0,CHSHTATbl[[#This Row],[MFD RURAL TOTAL REQUESTED]]/CH_SHTA_MFDRuralTotalRequested)</f>
        <v>0</v>
      </c>
      <c r="AZ8" s="665">
        <f>IF(CHSHTATbl[[#This Row],[ALL UNITS IN A HIGH OR HIGHEST RESOURCE AREA]]="Yes",10*CHSHTATbl[[#This Row],[MFD RURAL % OF FUNDING]],0)</f>
        <v>0</v>
      </c>
      <c r="BA8" s="665" cm="1">
        <f t="array" ref="BA8">INDEX(CountyScoresTbl[Community Need Total Points],ROW(CHSHTATbl[[#This Row],[COUNTY]])-2,1)*CHSHTATbl[[#This Row],[MFD RURAL % OF FUNDING]]</f>
        <v>0</v>
      </c>
      <c r="BB8" s="666" cm="1">
        <f t="array" ref="BB8">INDEX(CountyScoresTbl[SHTA Total Feasibility Points Awarded],ROW(CHSHTATbl[[#This Row],[COUNTY]])-2,1)*CHSHTATbl[[#This Row],[MFD RURAL % OF FUNDING]]</f>
        <v>0</v>
      </c>
      <c r="BC8" s="764"/>
      <c r="BD8" s="765">
        <f>IF(CHSHTATbl[[#This Row],[INFILL SITE]]="Yes",5,3)*CHSHTATbl[[#This Row],[UNRESTRICTED % OF FUNDING]]</f>
        <v>0</v>
      </c>
      <c r="BE8" s="694">
        <f>IF(CHSHTATbl[[#This Row],[INFILL SITE]]="Yes",5,3)*CHSHTATbl[[#This Row],[MANUFACTURED % OF FUNDING]]</f>
        <v>0</v>
      </c>
      <c r="BF8" s="694">
        <f>IF(CHSHTATbl[[#This Row],[INFILL SITE]]="Yes",5,3)*CHSHTATbl[[#This Row],[RURAL % OF FUNDING]]</f>
        <v>0</v>
      </c>
      <c r="BG8" s="694">
        <f>IF(CHSHTATbl[[#This Row],[INFILL SITE]]="Yes",5,3)*CHSHTATbl[[#This Row],[MFD RURAL % OF FUNDING]]</f>
        <v>0</v>
      </c>
    </row>
    <row r="9" spans="1:59" x14ac:dyDescent="0.35">
      <c r="A9" s="167"/>
      <c r="B9" s="179" t="s">
        <v>121</v>
      </c>
      <c r="C9" s="177" t="s">
        <v>513</v>
      </c>
      <c r="D9" s="183" t="str">
        <f>IF(CHSHTATbl[[#This Row],[UNRESTRICTED UNITS]]=0,"",CHSHTATbl[[#This Row],[UNRESTRICTED UNITS]])</f>
        <v/>
      </c>
      <c r="E9" s="184" t="str">
        <f xml:space="preserve">
IF(CHSHTATbl[[#This Row],[UNRESTRICTED TOTAL REQUESTED]]=0,"",
CHSHTATbl[[#This Row],[UNRESTRICTED TOTAL REQUESTED]]*
IF(CH_SHTA_UnrestrictedTotalRequested&lt;=500000,1,
500000/CH_SHTA_UnrestrictedTotalRequested)
)</f>
        <v/>
      </c>
      <c r="F9" s="185" t="str">
        <f>IF(CHSHTATbl[[#This Row],[UNRESTRICTED % OF FUNDING]]=0,"",CHSHTATbl[[#This Row],[UNRESTRICTED % OF FUNDING]])</f>
        <v/>
      </c>
      <c r="G9" s="177" t="s">
        <v>513</v>
      </c>
      <c r="H9" s="183" t="str">
        <f>IF(CHSHTATbl[[#This Row],[MANUFACTURED UNITS]]=0,"",CHSHTATbl[[#This Row],[MANUFACTURED UNITS]])</f>
        <v/>
      </c>
      <c r="I9" s="187" t="str">
        <f xml:space="preserve">
IF(CHSHTATbl[[#This Row],[MANUFACTURED TOTAL REQUESTED]]=0,"",
CHSHTATbl[[#This Row],[MANUFACTURED TOTAL REQUESTED]]*
IF(CH_SHTA_ManufacturedTotalRequested&lt;=(500000-E$61),1,
(500000-E$61)/CH_SHTA_ManufacturedTotalRequested)
)</f>
        <v/>
      </c>
      <c r="J9" s="185" t="str">
        <f>IF(CHSHTATbl[[#This Row],[MANUFACTURED % OF FUNDING]]=0,"",CHSHTATbl[[#This Row],[MANUFACTURED % OF FUNDING]])</f>
        <v/>
      </c>
      <c r="K9" s="177" t="s">
        <v>513</v>
      </c>
      <c r="L9" s="190" t="str">
        <f>IF(CHSHTATbl[[#This Row],[RURAL UNITS]]=0,"",CHSHTATbl[[#This Row],[RURAL UNITS]])</f>
        <v/>
      </c>
      <c r="M9" s="187" t="str">
        <f xml:space="preserve">
IF(CHSHTATbl[[#This Row],[RURAL TOTAL REQUESTED]]=0,"",
CHSHTATbl[[#This Row],[RURAL TOTAL REQUESTED]]*
IF(CH_SHTA_RuralTotalRequested&lt;=(500000-E$61-I$61),1,
(500000-E$61-I$61)/CH_SHTA_RuralTotalRequested)
)</f>
        <v/>
      </c>
      <c r="N9" s="191" t="str">
        <f>IF(CHSHTATbl[[#This Row],[RURAL % OF FUNDING]]=0,"",CHSHTATbl[[#This Row],[RURAL % OF FUNDING]])</f>
        <v/>
      </c>
      <c r="O9" s="177" t="s">
        <v>513</v>
      </c>
      <c r="P9" s="193" t="str">
        <f>IF(CHSHTATbl[[#This Row],[MFD RURAL UNITS]]=0,"",CHSHTATbl[[#This Row],[MFD RURAL UNITS]])</f>
        <v/>
      </c>
      <c r="Q9" s="187" t="str">
        <f xml:space="preserve">
IF(CHSHTATbl[[#This Row],[MFD RURAL TOTAL REQUESTED]]=0,"",
CHSHTATbl[[#This Row],[MFD RURAL TOTAL REQUESTED]]*
IF(CH_SHTA_MFDRuralTotalRequested&lt;=(500000-E$61-I$61-M$61),1,
(500000-E$61-I$61-M$61)/CH_SHTA_MFDRuralTotalRequested)
)</f>
        <v/>
      </c>
      <c r="R9" s="191" t="str">
        <f>IF(CHSHTATbl[[#This Row],[MFD RURAL % OF FUNDING]]=0,"",CHSHTATbl[[#This Row],[MFD RURAL % OF FUNDING]])</f>
        <v/>
      </c>
      <c r="S9" s="31"/>
      <c r="T9" s="163"/>
      <c r="U9" s="164"/>
      <c r="V9" s="199"/>
      <c r="W9" s="123"/>
      <c r="X9" s="161"/>
      <c r="Y9" s="198"/>
      <c r="Z9" s="74">
        <f t="shared" si="0"/>
        <v>0</v>
      </c>
      <c r="AA9" s="6">
        <f>IF(CHSHTATbl[[#This Row],[UNRESTRICTED TOTAL REQUESTED]]=0,0,CHSHTATbl[[#This Row],[UNRESTRICTED TOTAL REQUESTED]]/CH_SHTA_UnrestrictedTotalRequested)</f>
        <v>0</v>
      </c>
      <c r="AB9" s="752">
        <f>IF(CHSHTATbl[[#This Row],[ALL UNITS IN A HIGH OR HIGHEST RESOURCE AREA]]="Yes",10*CHSHTATbl[[#This Row],[UNRESTRICTED % OF FUNDING]],0)</f>
        <v>0</v>
      </c>
      <c r="AC9" s="752" cm="1">
        <f t="array" ref="AC9">INDEX(CountyScoresTbl[Community Need Total Points],ROW(CHSHTATbl[[#This Row],[COUNTY]])-2,1)*CHSHTATbl[[#This Row],[UNRESTRICTED % OF FUNDING]]</f>
        <v>0</v>
      </c>
      <c r="AD9" s="752" cm="1">
        <f t="array" ref="AD9">INDEX(CountyScoresTbl[SHTA Total Feasibility Points Awarded],ROW(CHSHTATbl[[#This Row],[COUNTY]])-2,1)*CHSHTATbl[[#This Row],[UNRESTRICTED % OF FUNDING]]</f>
        <v>0</v>
      </c>
      <c r="AE9" s="125"/>
      <c r="AF9" s="161"/>
      <c r="AG9" s="198"/>
      <c r="AH9" s="74">
        <f t="shared" si="1"/>
        <v>0</v>
      </c>
      <c r="AI9" s="9">
        <f>IF(CHSHTATbl[[#This Row],[MANUFACTURED TOTAL REQUESTED]]=0,0,CHSHTATbl[[#This Row],[MANUFACTURED TOTAL REQUESTED]]/CH_SHTA_ManufacturedTotalRequested)</f>
        <v>0</v>
      </c>
      <c r="AJ9" s="665">
        <f>IF(CHSHTATbl[[#This Row],[ALL UNITS IN A HIGH OR HIGHEST RESOURCE AREA]]="Yes",10*CHSHTATbl[[#This Row],[MANUFACTURED % OF FUNDING]],0)</f>
        <v>0</v>
      </c>
      <c r="AK9" s="665" cm="1">
        <f t="array" ref="AK9">INDEX(CountyScoresTbl[Community Need Total Points],ROW(CHSHTATbl[[#This Row],[COUNTY]])-2,1)*CHSHTATbl[[#This Row],[MANUFACTURED % OF FUNDING]]</f>
        <v>0</v>
      </c>
      <c r="AL9" s="666" cm="1">
        <f t="array" ref="AL9">INDEX(CountyScoresTbl[SHTA Total Feasibility Points Awarded],ROW(CHSHTATbl[[#This Row],[COUNTY]])-2,1)*CHSHTATbl[[#This Row],[MANUFACTURED % OF FUNDING]]</f>
        <v>0</v>
      </c>
      <c r="AM9" s="123"/>
      <c r="AN9" s="161"/>
      <c r="AO9" s="198"/>
      <c r="AP9" s="74">
        <f t="shared" si="2"/>
        <v>0</v>
      </c>
      <c r="AQ9" s="6">
        <f>IF(CHSHTATbl[[#This Row],[RURAL TOTAL REQUESTED]]=0,0,CHSHTATbl[[#This Row],[RURAL TOTAL REQUESTED]]/CH_SHTA_RuralTotalRequested)</f>
        <v>0</v>
      </c>
      <c r="AR9" s="665">
        <f>IF(CHSHTATbl[[#This Row],[ALL UNITS IN A HIGH OR HIGHEST RESOURCE AREA]]="Yes",10*CHSHTATbl[[#This Row],[RURAL % OF FUNDING]],0)</f>
        <v>0</v>
      </c>
      <c r="AS9" s="665" cm="1">
        <f t="array" ref="AS9">INDEX(CountyScoresTbl[Community Need Total Points],ROW(CHSHTATbl[[#This Row],[COUNTY]])-2,1)*CHSHTATbl[[#This Row],[RURAL % OF FUNDING]]</f>
        <v>0</v>
      </c>
      <c r="AT9" s="666" cm="1">
        <f t="array" ref="AT9">INDEX(CountyScoresTbl[SHTA Total Feasibility Points Awarded],ROW(CHSHTATbl[[#This Row],[COUNTY]])-2,1)*CHSHTATbl[[#This Row],[RURAL % OF FUNDING]]</f>
        <v>0</v>
      </c>
      <c r="AU9" s="123"/>
      <c r="AV9" s="161"/>
      <c r="AW9" s="198"/>
      <c r="AX9" s="74">
        <f t="shared" si="3"/>
        <v>0</v>
      </c>
      <c r="AY9" s="6">
        <f>IF(CHSHTATbl[[#This Row],[MFD RURAL TOTAL REQUESTED]]=0,0,CHSHTATbl[[#This Row],[MFD RURAL TOTAL REQUESTED]]/CH_SHTA_MFDRuralTotalRequested)</f>
        <v>0</v>
      </c>
      <c r="AZ9" s="665">
        <f>IF(CHSHTATbl[[#This Row],[ALL UNITS IN A HIGH OR HIGHEST RESOURCE AREA]]="Yes",10*CHSHTATbl[[#This Row],[MFD RURAL % OF FUNDING]],0)</f>
        <v>0</v>
      </c>
      <c r="BA9" s="665" cm="1">
        <f t="array" ref="BA9">INDEX(CountyScoresTbl[Community Need Total Points],ROW(CHSHTATbl[[#This Row],[COUNTY]])-2,1)*CHSHTATbl[[#This Row],[MFD RURAL % OF FUNDING]]</f>
        <v>0</v>
      </c>
      <c r="BB9" s="666" cm="1">
        <f t="array" ref="BB9">INDEX(CountyScoresTbl[SHTA Total Feasibility Points Awarded],ROW(CHSHTATbl[[#This Row],[COUNTY]])-2,1)*CHSHTATbl[[#This Row],[MFD RURAL % OF FUNDING]]</f>
        <v>0</v>
      </c>
      <c r="BC9" s="764"/>
      <c r="BD9" s="765">
        <f>IF(CHSHTATbl[[#This Row],[INFILL SITE]]="Yes",5,3)*CHSHTATbl[[#This Row],[UNRESTRICTED % OF FUNDING]]</f>
        <v>0</v>
      </c>
      <c r="BE9" s="694">
        <f>IF(CHSHTATbl[[#This Row],[INFILL SITE]]="Yes",5,3)*CHSHTATbl[[#This Row],[MANUFACTURED % OF FUNDING]]</f>
        <v>0</v>
      </c>
      <c r="BF9" s="694">
        <f>IF(CHSHTATbl[[#This Row],[INFILL SITE]]="Yes",5,3)*CHSHTATbl[[#This Row],[RURAL % OF FUNDING]]</f>
        <v>0</v>
      </c>
      <c r="BG9" s="694">
        <f>IF(CHSHTATbl[[#This Row],[INFILL SITE]]="Yes",5,3)*CHSHTATbl[[#This Row],[MFD RURAL % OF FUNDING]]</f>
        <v>0</v>
      </c>
    </row>
    <row r="10" spans="1:59" x14ac:dyDescent="0.35">
      <c r="A10" s="167"/>
      <c r="B10" s="179" t="s">
        <v>122</v>
      </c>
      <c r="C10" s="177" t="s">
        <v>513</v>
      </c>
      <c r="D10" s="183" t="str">
        <f>IF(CHSHTATbl[[#This Row],[UNRESTRICTED UNITS]]=0,"",CHSHTATbl[[#This Row],[UNRESTRICTED UNITS]])</f>
        <v/>
      </c>
      <c r="E10" s="184" t="str">
        <f xml:space="preserve">
IF(CHSHTATbl[[#This Row],[UNRESTRICTED TOTAL REQUESTED]]=0,"",
CHSHTATbl[[#This Row],[UNRESTRICTED TOTAL REQUESTED]]*
IF(CH_SHTA_UnrestrictedTotalRequested&lt;=500000,1,
500000/CH_SHTA_UnrestrictedTotalRequested)
)</f>
        <v/>
      </c>
      <c r="F10" s="185" t="str">
        <f>IF(CHSHTATbl[[#This Row],[UNRESTRICTED % OF FUNDING]]=0,"",CHSHTATbl[[#This Row],[UNRESTRICTED % OF FUNDING]])</f>
        <v/>
      </c>
      <c r="G10" s="177" t="s">
        <v>513</v>
      </c>
      <c r="H10" s="183" t="str">
        <f>IF(CHSHTATbl[[#This Row],[MANUFACTURED UNITS]]=0,"",CHSHTATbl[[#This Row],[MANUFACTURED UNITS]])</f>
        <v/>
      </c>
      <c r="I10" s="187" t="str">
        <f xml:space="preserve">
IF(CHSHTATbl[[#This Row],[MANUFACTURED TOTAL REQUESTED]]=0,"",
CHSHTATbl[[#This Row],[MANUFACTURED TOTAL REQUESTED]]*
IF(CH_SHTA_ManufacturedTotalRequested&lt;=(500000-E$61),1,
(500000-E$61)/CH_SHTA_ManufacturedTotalRequested)
)</f>
        <v/>
      </c>
      <c r="J10" s="185" t="str">
        <f>IF(CHSHTATbl[[#This Row],[MANUFACTURED % OF FUNDING]]=0,"",CHSHTATbl[[#This Row],[MANUFACTURED % OF FUNDING]])</f>
        <v/>
      </c>
      <c r="K10" s="177" t="s">
        <v>513</v>
      </c>
      <c r="L10" s="190" t="str">
        <f>IF(CHSHTATbl[[#This Row],[RURAL UNITS]]=0,"",CHSHTATbl[[#This Row],[RURAL UNITS]])</f>
        <v/>
      </c>
      <c r="M10" s="187" t="str">
        <f xml:space="preserve">
IF(CHSHTATbl[[#This Row],[RURAL TOTAL REQUESTED]]=0,"",
CHSHTATbl[[#This Row],[RURAL TOTAL REQUESTED]]*
IF(CH_SHTA_RuralTotalRequested&lt;=(500000-E$61-I$61),1,
(500000-E$61-I$61)/CH_SHTA_RuralTotalRequested)
)</f>
        <v/>
      </c>
      <c r="N10" s="191" t="str">
        <f>IF(CHSHTATbl[[#This Row],[RURAL % OF FUNDING]]=0,"",CHSHTATbl[[#This Row],[RURAL % OF FUNDING]])</f>
        <v/>
      </c>
      <c r="O10" s="177" t="s">
        <v>513</v>
      </c>
      <c r="P10" s="193" t="str">
        <f>IF(CHSHTATbl[[#This Row],[MFD RURAL UNITS]]=0,"",CHSHTATbl[[#This Row],[MFD RURAL UNITS]])</f>
        <v/>
      </c>
      <c r="Q10" s="187" t="str">
        <f xml:space="preserve">
IF(CHSHTATbl[[#This Row],[MFD RURAL TOTAL REQUESTED]]=0,"",
CHSHTATbl[[#This Row],[MFD RURAL TOTAL REQUESTED]]*
IF(CH_SHTA_MFDRuralTotalRequested&lt;=(500000-E$61-I$61-M$61),1,
(500000-E$61-I$61-M$61)/CH_SHTA_MFDRuralTotalRequested)
)</f>
        <v/>
      </c>
      <c r="R10" s="191" t="str">
        <f>IF(CHSHTATbl[[#This Row],[MFD RURAL % OF FUNDING]]=0,"",CHSHTATbl[[#This Row],[MFD RURAL % OF FUNDING]])</f>
        <v/>
      </c>
      <c r="S10" s="31"/>
      <c r="T10" s="163"/>
      <c r="U10" s="164"/>
      <c r="V10" s="199"/>
      <c r="W10" s="123"/>
      <c r="X10" s="161"/>
      <c r="Y10" s="198"/>
      <c r="Z10" s="74">
        <f t="shared" si="0"/>
        <v>0</v>
      </c>
      <c r="AA10" s="6">
        <f>IF(CHSHTATbl[[#This Row],[UNRESTRICTED TOTAL REQUESTED]]=0,0,CHSHTATbl[[#This Row],[UNRESTRICTED TOTAL REQUESTED]]/CH_SHTA_UnrestrictedTotalRequested)</f>
        <v>0</v>
      </c>
      <c r="AB10" s="752">
        <f>IF(CHSHTATbl[[#This Row],[ALL UNITS IN A HIGH OR HIGHEST RESOURCE AREA]]="Yes",10*CHSHTATbl[[#This Row],[UNRESTRICTED % OF FUNDING]],0)</f>
        <v>0</v>
      </c>
      <c r="AC10" s="752" cm="1">
        <f t="array" ref="AC10">INDEX(CountyScoresTbl[Community Need Total Points],ROW(CHSHTATbl[[#This Row],[COUNTY]])-2,1)*CHSHTATbl[[#This Row],[UNRESTRICTED % OF FUNDING]]</f>
        <v>0</v>
      </c>
      <c r="AD10" s="752" cm="1">
        <f t="array" ref="AD10">INDEX(CountyScoresTbl[SHTA Total Feasibility Points Awarded],ROW(CHSHTATbl[[#This Row],[COUNTY]])-2,1)*CHSHTATbl[[#This Row],[UNRESTRICTED % OF FUNDING]]</f>
        <v>0</v>
      </c>
      <c r="AE10" s="125"/>
      <c r="AF10" s="161"/>
      <c r="AG10" s="198"/>
      <c r="AH10" s="74">
        <f t="shared" si="1"/>
        <v>0</v>
      </c>
      <c r="AI10" s="9">
        <f>IF(CHSHTATbl[[#This Row],[MANUFACTURED TOTAL REQUESTED]]=0,0,CHSHTATbl[[#This Row],[MANUFACTURED TOTAL REQUESTED]]/CH_SHTA_ManufacturedTotalRequested)</f>
        <v>0</v>
      </c>
      <c r="AJ10" s="665">
        <f>IF(CHSHTATbl[[#This Row],[ALL UNITS IN A HIGH OR HIGHEST RESOURCE AREA]]="Yes",10*CHSHTATbl[[#This Row],[MANUFACTURED % OF FUNDING]],0)</f>
        <v>0</v>
      </c>
      <c r="AK10" s="665" cm="1">
        <f t="array" ref="AK10">INDEX(CountyScoresTbl[Community Need Total Points],ROW(CHSHTATbl[[#This Row],[COUNTY]])-2,1)*CHSHTATbl[[#This Row],[MANUFACTURED % OF FUNDING]]</f>
        <v>0</v>
      </c>
      <c r="AL10" s="666" cm="1">
        <f t="array" ref="AL10">INDEX(CountyScoresTbl[SHTA Total Feasibility Points Awarded],ROW(CHSHTATbl[[#This Row],[COUNTY]])-2,1)*CHSHTATbl[[#This Row],[MANUFACTURED % OF FUNDING]]</f>
        <v>0</v>
      </c>
      <c r="AM10" s="123"/>
      <c r="AN10" s="161"/>
      <c r="AO10" s="198"/>
      <c r="AP10" s="74">
        <f t="shared" si="2"/>
        <v>0</v>
      </c>
      <c r="AQ10" s="6">
        <f>IF(CHSHTATbl[[#This Row],[RURAL TOTAL REQUESTED]]=0,0,CHSHTATbl[[#This Row],[RURAL TOTAL REQUESTED]]/CH_SHTA_RuralTotalRequested)</f>
        <v>0</v>
      </c>
      <c r="AR10" s="665">
        <f>IF(CHSHTATbl[[#This Row],[ALL UNITS IN A HIGH OR HIGHEST RESOURCE AREA]]="Yes",10*CHSHTATbl[[#This Row],[RURAL % OF FUNDING]],0)</f>
        <v>0</v>
      </c>
      <c r="AS10" s="665" cm="1">
        <f t="array" ref="AS10">INDEX(CountyScoresTbl[Community Need Total Points],ROW(CHSHTATbl[[#This Row],[COUNTY]])-2,1)*CHSHTATbl[[#This Row],[RURAL % OF FUNDING]]</f>
        <v>0</v>
      </c>
      <c r="AT10" s="666" cm="1">
        <f t="array" ref="AT10">INDEX(CountyScoresTbl[SHTA Total Feasibility Points Awarded],ROW(CHSHTATbl[[#This Row],[COUNTY]])-2,1)*CHSHTATbl[[#This Row],[RURAL % OF FUNDING]]</f>
        <v>0</v>
      </c>
      <c r="AU10" s="123"/>
      <c r="AV10" s="161"/>
      <c r="AW10" s="198"/>
      <c r="AX10" s="74">
        <f t="shared" si="3"/>
        <v>0</v>
      </c>
      <c r="AY10" s="6">
        <f>IF(CHSHTATbl[[#This Row],[MFD RURAL TOTAL REQUESTED]]=0,0,CHSHTATbl[[#This Row],[MFD RURAL TOTAL REQUESTED]]/CH_SHTA_MFDRuralTotalRequested)</f>
        <v>0</v>
      </c>
      <c r="AZ10" s="665">
        <f>IF(CHSHTATbl[[#This Row],[ALL UNITS IN A HIGH OR HIGHEST RESOURCE AREA]]="Yes",10*CHSHTATbl[[#This Row],[MFD RURAL % OF FUNDING]],0)</f>
        <v>0</v>
      </c>
      <c r="BA10" s="665" cm="1">
        <f t="array" ref="BA10">INDEX(CountyScoresTbl[Community Need Total Points],ROW(CHSHTATbl[[#This Row],[COUNTY]])-2,1)*CHSHTATbl[[#This Row],[MFD RURAL % OF FUNDING]]</f>
        <v>0</v>
      </c>
      <c r="BB10" s="666" cm="1">
        <f t="array" ref="BB10">INDEX(CountyScoresTbl[SHTA Total Feasibility Points Awarded],ROW(CHSHTATbl[[#This Row],[COUNTY]])-2,1)*CHSHTATbl[[#This Row],[MFD RURAL % OF FUNDING]]</f>
        <v>0</v>
      </c>
      <c r="BC10" s="764"/>
      <c r="BD10" s="765">
        <f>IF(CHSHTATbl[[#This Row],[INFILL SITE]]="Yes",5,3)*CHSHTATbl[[#This Row],[UNRESTRICTED % OF FUNDING]]</f>
        <v>0</v>
      </c>
      <c r="BE10" s="694">
        <f>IF(CHSHTATbl[[#This Row],[INFILL SITE]]="Yes",5,3)*CHSHTATbl[[#This Row],[MANUFACTURED % OF FUNDING]]</f>
        <v>0</v>
      </c>
      <c r="BF10" s="694">
        <f>IF(CHSHTATbl[[#This Row],[INFILL SITE]]="Yes",5,3)*CHSHTATbl[[#This Row],[RURAL % OF FUNDING]]</f>
        <v>0</v>
      </c>
      <c r="BG10" s="694">
        <f>IF(CHSHTATbl[[#This Row],[INFILL SITE]]="Yes",5,3)*CHSHTATbl[[#This Row],[MFD RURAL % OF FUNDING]]</f>
        <v>0</v>
      </c>
    </row>
    <row r="11" spans="1:59" x14ac:dyDescent="0.35">
      <c r="A11" s="167"/>
      <c r="B11" s="179" t="s">
        <v>123</v>
      </c>
      <c r="C11" s="177" t="s">
        <v>513</v>
      </c>
      <c r="D11" s="183" t="str">
        <f>IF(CHSHTATbl[[#This Row],[UNRESTRICTED UNITS]]=0,"",CHSHTATbl[[#This Row],[UNRESTRICTED UNITS]])</f>
        <v/>
      </c>
      <c r="E11" s="184" t="str">
        <f xml:space="preserve">
IF(CHSHTATbl[[#This Row],[UNRESTRICTED TOTAL REQUESTED]]=0,"",
CHSHTATbl[[#This Row],[UNRESTRICTED TOTAL REQUESTED]]*
IF(CH_SHTA_UnrestrictedTotalRequested&lt;=500000,1,
500000/CH_SHTA_UnrestrictedTotalRequested)
)</f>
        <v/>
      </c>
      <c r="F11" s="185" t="str">
        <f>IF(CHSHTATbl[[#This Row],[UNRESTRICTED % OF FUNDING]]=0,"",CHSHTATbl[[#This Row],[UNRESTRICTED % OF FUNDING]])</f>
        <v/>
      </c>
      <c r="G11" s="177" t="s">
        <v>513</v>
      </c>
      <c r="H11" s="183" t="str">
        <f>IF(CHSHTATbl[[#This Row],[MANUFACTURED UNITS]]=0,"",CHSHTATbl[[#This Row],[MANUFACTURED UNITS]])</f>
        <v/>
      </c>
      <c r="I11" s="187" t="str">
        <f xml:space="preserve">
IF(CHSHTATbl[[#This Row],[MANUFACTURED TOTAL REQUESTED]]=0,"",
CHSHTATbl[[#This Row],[MANUFACTURED TOTAL REQUESTED]]*
IF(CH_SHTA_ManufacturedTotalRequested&lt;=(500000-E$61),1,
(500000-E$61)/CH_SHTA_ManufacturedTotalRequested)
)</f>
        <v/>
      </c>
      <c r="J11" s="185" t="str">
        <f>IF(CHSHTATbl[[#This Row],[MANUFACTURED % OF FUNDING]]=0,"",CHSHTATbl[[#This Row],[MANUFACTURED % OF FUNDING]])</f>
        <v/>
      </c>
      <c r="K11" s="177" t="s">
        <v>513</v>
      </c>
      <c r="L11" s="190" t="str">
        <f>IF(CHSHTATbl[[#This Row],[RURAL UNITS]]=0,"",CHSHTATbl[[#This Row],[RURAL UNITS]])</f>
        <v/>
      </c>
      <c r="M11" s="187" t="str">
        <f xml:space="preserve">
IF(CHSHTATbl[[#This Row],[RURAL TOTAL REQUESTED]]=0,"",
CHSHTATbl[[#This Row],[RURAL TOTAL REQUESTED]]*
IF(CH_SHTA_RuralTotalRequested&lt;=(500000-E$61-I$61),1,
(500000-E$61-I$61)/CH_SHTA_RuralTotalRequested)
)</f>
        <v/>
      </c>
      <c r="N11" s="191" t="str">
        <f>IF(CHSHTATbl[[#This Row],[RURAL % OF FUNDING]]=0,"",CHSHTATbl[[#This Row],[RURAL % OF FUNDING]])</f>
        <v/>
      </c>
      <c r="O11" s="177" t="s">
        <v>513</v>
      </c>
      <c r="P11" s="193" t="str">
        <f>IF(CHSHTATbl[[#This Row],[MFD RURAL UNITS]]=0,"",CHSHTATbl[[#This Row],[MFD RURAL UNITS]])</f>
        <v/>
      </c>
      <c r="Q11" s="187" t="str">
        <f xml:space="preserve">
IF(CHSHTATbl[[#This Row],[MFD RURAL TOTAL REQUESTED]]=0,"",
CHSHTATbl[[#This Row],[MFD RURAL TOTAL REQUESTED]]*
IF(CH_SHTA_MFDRuralTotalRequested&lt;=(500000-E$61-I$61-M$61),1,
(500000-E$61-I$61-M$61)/CH_SHTA_MFDRuralTotalRequested)
)</f>
        <v/>
      </c>
      <c r="R11" s="191" t="str">
        <f>IF(CHSHTATbl[[#This Row],[MFD RURAL % OF FUNDING]]=0,"",CHSHTATbl[[#This Row],[MFD RURAL % OF FUNDING]])</f>
        <v/>
      </c>
      <c r="S11" s="31"/>
      <c r="T11" s="163"/>
      <c r="U11" s="164"/>
      <c r="V11" s="199"/>
      <c r="W11" s="123"/>
      <c r="X11" s="161"/>
      <c r="Y11" s="198"/>
      <c r="Z11" s="74">
        <f t="shared" si="0"/>
        <v>0</v>
      </c>
      <c r="AA11" s="6">
        <f>IF(CHSHTATbl[[#This Row],[UNRESTRICTED TOTAL REQUESTED]]=0,0,CHSHTATbl[[#This Row],[UNRESTRICTED TOTAL REQUESTED]]/CH_SHTA_UnrestrictedTotalRequested)</f>
        <v>0</v>
      </c>
      <c r="AB11" s="752">
        <f>IF(CHSHTATbl[[#This Row],[ALL UNITS IN A HIGH OR HIGHEST RESOURCE AREA]]="Yes",10*CHSHTATbl[[#This Row],[UNRESTRICTED % OF FUNDING]],0)</f>
        <v>0</v>
      </c>
      <c r="AC11" s="752" cm="1">
        <f t="array" ref="AC11">INDEX(CountyScoresTbl[Community Need Total Points],ROW(CHSHTATbl[[#This Row],[COUNTY]])-2,1)*CHSHTATbl[[#This Row],[UNRESTRICTED % OF FUNDING]]</f>
        <v>0</v>
      </c>
      <c r="AD11" s="752" cm="1">
        <f t="array" ref="AD11">INDEX(CountyScoresTbl[SHTA Total Feasibility Points Awarded],ROW(CHSHTATbl[[#This Row],[COUNTY]])-2,1)*CHSHTATbl[[#This Row],[UNRESTRICTED % OF FUNDING]]</f>
        <v>0</v>
      </c>
      <c r="AE11" s="125"/>
      <c r="AF11" s="161"/>
      <c r="AG11" s="198"/>
      <c r="AH11" s="74">
        <f t="shared" si="1"/>
        <v>0</v>
      </c>
      <c r="AI11" s="9">
        <f>IF(CHSHTATbl[[#This Row],[MANUFACTURED TOTAL REQUESTED]]=0,0,CHSHTATbl[[#This Row],[MANUFACTURED TOTAL REQUESTED]]/CH_SHTA_ManufacturedTotalRequested)</f>
        <v>0</v>
      </c>
      <c r="AJ11" s="665">
        <f>IF(CHSHTATbl[[#This Row],[ALL UNITS IN A HIGH OR HIGHEST RESOURCE AREA]]="Yes",10*CHSHTATbl[[#This Row],[MANUFACTURED % OF FUNDING]],0)</f>
        <v>0</v>
      </c>
      <c r="AK11" s="665" cm="1">
        <f t="array" ref="AK11">INDEX(CountyScoresTbl[Community Need Total Points],ROW(CHSHTATbl[[#This Row],[COUNTY]])-2,1)*CHSHTATbl[[#This Row],[MANUFACTURED % OF FUNDING]]</f>
        <v>0</v>
      </c>
      <c r="AL11" s="666" cm="1">
        <f t="array" ref="AL11">INDEX(CountyScoresTbl[SHTA Total Feasibility Points Awarded],ROW(CHSHTATbl[[#This Row],[COUNTY]])-2,1)*CHSHTATbl[[#This Row],[MANUFACTURED % OF FUNDING]]</f>
        <v>0</v>
      </c>
      <c r="AM11" s="123"/>
      <c r="AN11" s="161"/>
      <c r="AO11" s="198"/>
      <c r="AP11" s="74">
        <f t="shared" si="2"/>
        <v>0</v>
      </c>
      <c r="AQ11" s="6">
        <f>IF(CHSHTATbl[[#This Row],[RURAL TOTAL REQUESTED]]=0,0,CHSHTATbl[[#This Row],[RURAL TOTAL REQUESTED]]/CH_SHTA_RuralTotalRequested)</f>
        <v>0</v>
      </c>
      <c r="AR11" s="665">
        <f>IF(CHSHTATbl[[#This Row],[ALL UNITS IN A HIGH OR HIGHEST RESOURCE AREA]]="Yes",10*CHSHTATbl[[#This Row],[RURAL % OF FUNDING]],0)</f>
        <v>0</v>
      </c>
      <c r="AS11" s="665" cm="1">
        <f t="array" ref="AS11">INDEX(CountyScoresTbl[Community Need Total Points],ROW(CHSHTATbl[[#This Row],[COUNTY]])-2,1)*CHSHTATbl[[#This Row],[RURAL % OF FUNDING]]</f>
        <v>0</v>
      </c>
      <c r="AT11" s="666" cm="1">
        <f t="array" ref="AT11">INDEX(CountyScoresTbl[SHTA Total Feasibility Points Awarded],ROW(CHSHTATbl[[#This Row],[COUNTY]])-2,1)*CHSHTATbl[[#This Row],[RURAL % OF FUNDING]]</f>
        <v>0</v>
      </c>
      <c r="AU11" s="123"/>
      <c r="AV11" s="161"/>
      <c r="AW11" s="198"/>
      <c r="AX11" s="74">
        <f t="shared" si="3"/>
        <v>0</v>
      </c>
      <c r="AY11" s="6">
        <f>IF(CHSHTATbl[[#This Row],[MFD RURAL TOTAL REQUESTED]]=0,0,CHSHTATbl[[#This Row],[MFD RURAL TOTAL REQUESTED]]/CH_SHTA_MFDRuralTotalRequested)</f>
        <v>0</v>
      </c>
      <c r="AZ11" s="665">
        <f>IF(CHSHTATbl[[#This Row],[ALL UNITS IN A HIGH OR HIGHEST RESOURCE AREA]]="Yes",10*CHSHTATbl[[#This Row],[MFD RURAL % OF FUNDING]],0)</f>
        <v>0</v>
      </c>
      <c r="BA11" s="665" cm="1">
        <f t="array" ref="BA11">INDEX(CountyScoresTbl[Community Need Total Points],ROW(CHSHTATbl[[#This Row],[COUNTY]])-2,1)*CHSHTATbl[[#This Row],[MFD RURAL % OF FUNDING]]</f>
        <v>0</v>
      </c>
      <c r="BB11" s="666" cm="1">
        <f t="array" ref="BB11">INDEX(CountyScoresTbl[SHTA Total Feasibility Points Awarded],ROW(CHSHTATbl[[#This Row],[COUNTY]])-2,1)*CHSHTATbl[[#This Row],[MFD RURAL % OF FUNDING]]</f>
        <v>0</v>
      </c>
      <c r="BC11" s="764"/>
      <c r="BD11" s="765">
        <f>IF(CHSHTATbl[[#This Row],[INFILL SITE]]="Yes",5,3)*CHSHTATbl[[#This Row],[UNRESTRICTED % OF FUNDING]]</f>
        <v>0</v>
      </c>
      <c r="BE11" s="694">
        <f>IF(CHSHTATbl[[#This Row],[INFILL SITE]]="Yes",5,3)*CHSHTATbl[[#This Row],[MANUFACTURED % OF FUNDING]]</f>
        <v>0</v>
      </c>
      <c r="BF11" s="694">
        <f>IF(CHSHTATbl[[#This Row],[INFILL SITE]]="Yes",5,3)*CHSHTATbl[[#This Row],[RURAL % OF FUNDING]]</f>
        <v>0</v>
      </c>
      <c r="BG11" s="694">
        <f>IF(CHSHTATbl[[#This Row],[INFILL SITE]]="Yes",5,3)*CHSHTATbl[[#This Row],[MFD RURAL % OF FUNDING]]</f>
        <v>0</v>
      </c>
    </row>
    <row r="12" spans="1:59" x14ac:dyDescent="0.35">
      <c r="A12" s="124"/>
      <c r="B12" s="179" t="s">
        <v>124</v>
      </c>
      <c r="C12" s="177" t="s">
        <v>513</v>
      </c>
      <c r="D12" s="183" t="str">
        <f>IF(CHSHTATbl[[#This Row],[UNRESTRICTED UNITS]]=0,"",CHSHTATbl[[#This Row],[UNRESTRICTED UNITS]])</f>
        <v/>
      </c>
      <c r="E12" s="184" t="str">
        <f xml:space="preserve">
IF(CHSHTATbl[[#This Row],[UNRESTRICTED TOTAL REQUESTED]]=0,"",
CHSHTATbl[[#This Row],[UNRESTRICTED TOTAL REQUESTED]]*
IF(CH_SHTA_UnrestrictedTotalRequested&lt;=500000,1,
500000/CH_SHTA_UnrestrictedTotalRequested)
)</f>
        <v/>
      </c>
      <c r="F12" s="185" t="str">
        <f>IF(CHSHTATbl[[#This Row],[UNRESTRICTED % OF FUNDING]]=0,"",CHSHTATbl[[#This Row],[UNRESTRICTED % OF FUNDING]])</f>
        <v/>
      </c>
      <c r="G12" s="177" t="s">
        <v>513</v>
      </c>
      <c r="H12" s="183" t="str">
        <f>IF(CHSHTATbl[[#This Row],[MANUFACTURED UNITS]]=0,"",CHSHTATbl[[#This Row],[MANUFACTURED UNITS]])</f>
        <v/>
      </c>
      <c r="I12" s="187" t="str">
        <f xml:space="preserve">
IF(CHSHTATbl[[#This Row],[MANUFACTURED TOTAL REQUESTED]]=0,"",
CHSHTATbl[[#This Row],[MANUFACTURED TOTAL REQUESTED]]*
IF(CH_SHTA_ManufacturedTotalRequested&lt;=(500000-E$61),1,
(500000-E$61)/CH_SHTA_ManufacturedTotalRequested)
)</f>
        <v/>
      </c>
      <c r="J12" s="185" t="str">
        <f>IF(CHSHTATbl[[#This Row],[MANUFACTURED % OF FUNDING]]=0,"",CHSHTATbl[[#This Row],[MANUFACTURED % OF FUNDING]])</f>
        <v/>
      </c>
      <c r="K12" s="177" t="s">
        <v>513</v>
      </c>
      <c r="L12" s="190" t="str">
        <f>IF(CHSHTATbl[[#This Row],[RURAL UNITS]]=0,"",CHSHTATbl[[#This Row],[RURAL UNITS]])</f>
        <v/>
      </c>
      <c r="M12" s="187" t="str">
        <f xml:space="preserve">
IF(CHSHTATbl[[#This Row],[RURAL TOTAL REQUESTED]]=0,"",
CHSHTATbl[[#This Row],[RURAL TOTAL REQUESTED]]*
IF(CH_SHTA_RuralTotalRequested&lt;=(500000-E$61-I$61),1,
(500000-E$61-I$61)/CH_SHTA_RuralTotalRequested)
)</f>
        <v/>
      </c>
      <c r="N12" s="191" t="str">
        <f>IF(CHSHTATbl[[#This Row],[RURAL % OF FUNDING]]=0,"",CHSHTATbl[[#This Row],[RURAL % OF FUNDING]])</f>
        <v/>
      </c>
      <c r="O12" s="177" t="s">
        <v>513</v>
      </c>
      <c r="P12" s="193" t="str">
        <f>IF(CHSHTATbl[[#This Row],[MFD RURAL UNITS]]=0,"",CHSHTATbl[[#This Row],[MFD RURAL UNITS]])</f>
        <v/>
      </c>
      <c r="Q12" s="187" t="str">
        <f xml:space="preserve">
IF(CHSHTATbl[[#This Row],[MFD RURAL TOTAL REQUESTED]]=0,"",
CHSHTATbl[[#This Row],[MFD RURAL TOTAL REQUESTED]]*
IF(CH_SHTA_MFDRuralTotalRequested&lt;=(500000-E$61-I$61-M$61),1,
(500000-E$61-I$61-M$61)/CH_SHTA_MFDRuralTotalRequested)
)</f>
        <v/>
      </c>
      <c r="R12" s="191" t="str">
        <f>IF(CHSHTATbl[[#This Row],[MFD RURAL % OF FUNDING]]=0,"",CHSHTATbl[[#This Row],[MFD RURAL % OF FUNDING]])</f>
        <v/>
      </c>
      <c r="S12" s="31"/>
      <c r="T12" s="196"/>
      <c r="U12" s="119"/>
      <c r="V12" s="197"/>
      <c r="W12" s="123"/>
      <c r="X12" s="161"/>
      <c r="Y12" s="198"/>
      <c r="Z12" s="74">
        <f t="shared" si="0"/>
        <v>0</v>
      </c>
      <c r="AA12" s="6">
        <f>IF(CHSHTATbl[[#This Row],[UNRESTRICTED TOTAL REQUESTED]]=0,0,CHSHTATbl[[#This Row],[UNRESTRICTED TOTAL REQUESTED]]/CH_SHTA_UnrestrictedTotalRequested)</f>
        <v>0</v>
      </c>
      <c r="AB12" s="752">
        <f>IF(CHSHTATbl[[#This Row],[ALL UNITS IN A HIGH OR HIGHEST RESOURCE AREA]]="Yes",10*CHSHTATbl[[#This Row],[UNRESTRICTED % OF FUNDING]],0)</f>
        <v>0</v>
      </c>
      <c r="AC12" s="752" cm="1">
        <f t="array" ref="AC12">INDEX(CountyScoresTbl[Community Need Total Points],ROW(CHSHTATbl[[#This Row],[COUNTY]])-2,1)*CHSHTATbl[[#This Row],[UNRESTRICTED % OF FUNDING]]</f>
        <v>0</v>
      </c>
      <c r="AD12" s="752" cm="1">
        <f t="array" ref="AD12">INDEX(CountyScoresTbl[SHTA Total Feasibility Points Awarded],ROW(CHSHTATbl[[#This Row],[COUNTY]])-2,1)*CHSHTATbl[[#This Row],[UNRESTRICTED % OF FUNDING]]</f>
        <v>0</v>
      </c>
      <c r="AE12" s="125"/>
      <c r="AF12" s="161"/>
      <c r="AG12" s="198"/>
      <c r="AH12" s="74">
        <f t="shared" si="1"/>
        <v>0</v>
      </c>
      <c r="AI12" s="9">
        <f>IF(CHSHTATbl[[#This Row],[MANUFACTURED TOTAL REQUESTED]]=0,0,CHSHTATbl[[#This Row],[MANUFACTURED TOTAL REQUESTED]]/CH_SHTA_ManufacturedTotalRequested)</f>
        <v>0</v>
      </c>
      <c r="AJ12" s="665">
        <f>IF(CHSHTATbl[[#This Row],[ALL UNITS IN A HIGH OR HIGHEST RESOURCE AREA]]="Yes",10*CHSHTATbl[[#This Row],[MANUFACTURED % OF FUNDING]],0)</f>
        <v>0</v>
      </c>
      <c r="AK12" s="665" cm="1">
        <f t="array" ref="AK12">INDEX(CountyScoresTbl[Community Need Total Points],ROW(CHSHTATbl[[#This Row],[COUNTY]])-2,1)*CHSHTATbl[[#This Row],[MANUFACTURED % OF FUNDING]]</f>
        <v>0</v>
      </c>
      <c r="AL12" s="666" cm="1">
        <f t="array" ref="AL12">INDEX(CountyScoresTbl[SHTA Total Feasibility Points Awarded],ROW(CHSHTATbl[[#This Row],[COUNTY]])-2,1)*CHSHTATbl[[#This Row],[MANUFACTURED % OF FUNDING]]</f>
        <v>0</v>
      </c>
      <c r="AM12" s="123"/>
      <c r="AN12" s="161"/>
      <c r="AO12" s="198"/>
      <c r="AP12" s="74">
        <f t="shared" si="2"/>
        <v>0</v>
      </c>
      <c r="AQ12" s="6">
        <f>IF(CHSHTATbl[[#This Row],[RURAL TOTAL REQUESTED]]=0,0,CHSHTATbl[[#This Row],[RURAL TOTAL REQUESTED]]/CH_SHTA_RuralTotalRequested)</f>
        <v>0</v>
      </c>
      <c r="AR12" s="665">
        <f>IF(CHSHTATbl[[#This Row],[ALL UNITS IN A HIGH OR HIGHEST RESOURCE AREA]]="Yes",10*CHSHTATbl[[#This Row],[RURAL % OF FUNDING]],0)</f>
        <v>0</v>
      </c>
      <c r="AS12" s="665" cm="1">
        <f t="array" ref="AS12">INDEX(CountyScoresTbl[Community Need Total Points],ROW(CHSHTATbl[[#This Row],[COUNTY]])-2,1)*CHSHTATbl[[#This Row],[RURAL % OF FUNDING]]</f>
        <v>0</v>
      </c>
      <c r="AT12" s="666" cm="1">
        <f t="array" ref="AT12">INDEX(CountyScoresTbl[SHTA Total Feasibility Points Awarded],ROW(CHSHTATbl[[#This Row],[COUNTY]])-2,1)*CHSHTATbl[[#This Row],[RURAL % OF FUNDING]]</f>
        <v>0</v>
      </c>
      <c r="AU12" s="123"/>
      <c r="AV12" s="161"/>
      <c r="AW12" s="198"/>
      <c r="AX12" s="74">
        <f t="shared" si="3"/>
        <v>0</v>
      </c>
      <c r="AY12" s="6">
        <f>IF(CHSHTATbl[[#This Row],[MFD RURAL TOTAL REQUESTED]]=0,0,CHSHTATbl[[#This Row],[MFD RURAL TOTAL REQUESTED]]/CH_SHTA_MFDRuralTotalRequested)</f>
        <v>0</v>
      </c>
      <c r="AZ12" s="665">
        <f>IF(CHSHTATbl[[#This Row],[ALL UNITS IN A HIGH OR HIGHEST RESOURCE AREA]]="Yes",10*CHSHTATbl[[#This Row],[MFD RURAL % OF FUNDING]],0)</f>
        <v>0</v>
      </c>
      <c r="BA12" s="665" cm="1">
        <f t="array" ref="BA12">INDEX(CountyScoresTbl[Community Need Total Points],ROW(CHSHTATbl[[#This Row],[COUNTY]])-2,1)*CHSHTATbl[[#This Row],[MFD RURAL % OF FUNDING]]</f>
        <v>0</v>
      </c>
      <c r="BB12" s="666" cm="1">
        <f t="array" ref="BB12">INDEX(CountyScoresTbl[SHTA Total Feasibility Points Awarded],ROW(CHSHTATbl[[#This Row],[COUNTY]])-2,1)*CHSHTATbl[[#This Row],[MFD RURAL % OF FUNDING]]</f>
        <v>0</v>
      </c>
      <c r="BC12" s="764"/>
      <c r="BD12" s="765">
        <f>IF(CHSHTATbl[[#This Row],[INFILL SITE]]="Yes",5,3)*CHSHTATbl[[#This Row],[UNRESTRICTED % OF FUNDING]]</f>
        <v>0</v>
      </c>
      <c r="BE12" s="694">
        <f>IF(CHSHTATbl[[#This Row],[INFILL SITE]]="Yes",5,3)*CHSHTATbl[[#This Row],[MANUFACTURED % OF FUNDING]]</f>
        <v>0</v>
      </c>
      <c r="BF12" s="694">
        <f>IF(CHSHTATbl[[#This Row],[INFILL SITE]]="Yes",5,3)*CHSHTATbl[[#This Row],[RURAL % OF FUNDING]]</f>
        <v>0</v>
      </c>
      <c r="BG12" s="694">
        <f>IF(CHSHTATbl[[#This Row],[INFILL SITE]]="Yes",5,3)*CHSHTATbl[[#This Row],[MFD RURAL % OF FUNDING]]</f>
        <v>0</v>
      </c>
    </row>
    <row r="13" spans="1:59" x14ac:dyDescent="0.35">
      <c r="A13" s="124"/>
      <c r="B13" s="179" t="s">
        <v>125</v>
      </c>
      <c r="C13" s="177" t="s">
        <v>513</v>
      </c>
      <c r="D13" s="183" t="str">
        <f>IF(CHSHTATbl[[#This Row],[UNRESTRICTED UNITS]]=0,"",CHSHTATbl[[#This Row],[UNRESTRICTED UNITS]])</f>
        <v/>
      </c>
      <c r="E13" s="184" t="str">
        <f xml:space="preserve">
IF(CHSHTATbl[[#This Row],[UNRESTRICTED TOTAL REQUESTED]]=0,"",
CHSHTATbl[[#This Row],[UNRESTRICTED TOTAL REQUESTED]]*
IF(CH_SHTA_UnrestrictedTotalRequested&lt;=500000,1,
500000/CH_SHTA_UnrestrictedTotalRequested)
)</f>
        <v/>
      </c>
      <c r="F13" s="185" t="str">
        <f>IF(CHSHTATbl[[#This Row],[UNRESTRICTED % OF FUNDING]]=0,"",CHSHTATbl[[#This Row],[UNRESTRICTED % OF FUNDING]])</f>
        <v/>
      </c>
      <c r="G13" s="177" t="s">
        <v>513</v>
      </c>
      <c r="H13" s="183" t="str">
        <f>IF(CHSHTATbl[[#This Row],[MANUFACTURED UNITS]]=0,"",CHSHTATbl[[#This Row],[MANUFACTURED UNITS]])</f>
        <v/>
      </c>
      <c r="I13" s="187" t="str">
        <f xml:space="preserve">
IF(CHSHTATbl[[#This Row],[MANUFACTURED TOTAL REQUESTED]]=0,"",
CHSHTATbl[[#This Row],[MANUFACTURED TOTAL REQUESTED]]*
IF(CH_SHTA_ManufacturedTotalRequested&lt;=(500000-E$61),1,
(500000-E$61)/CH_SHTA_ManufacturedTotalRequested)
)</f>
        <v/>
      </c>
      <c r="J13" s="185" t="str">
        <f>IF(CHSHTATbl[[#This Row],[MANUFACTURED % OF FUNDING]]=0,"",CHSHTATbl[[#This Row],[MANUFACTURED % OF FUNDING]])</f>
        <v/>
      </c>
      <c r="K13" s="177" t="s">
        <v>513</v>
      </c>
      <c r="L13" s="190" t="str">
        <f>IF(CHSHTATbl[[#This Row],[RURAL UNITS]]=0,"",CHSHTATbl[[#This Row],[RURAL UNITS]])</f>
        <v/>
      </c>
      <c r="M13" s="187" t="str">
        <f xml:space="preserve">
IF(CHSHTATbl[[#This Row],[RURAL TOTAL REQUESTED]]=0,"",
CHSHTATbl[[#This Row],[RURAL TOTAL REQUESTED]]*
IF(CH_SHTA_RuralTotalRequested&lt;=(500000-E$61-I$61),1,
(500000-E$61-I$61)/CH_SHTA_RuralTotalRequested)
)</f>
        <v/>
      </c>
      <c r="N13" s="191" t="str">
        <f>IF(CHSHTATbl[[#This Row],[RURAL % OF FUNDING]]=0,"",CHSHTATbl[[#This Row],[RURAL % OF FUNDING]])</f>
        <v/>
      </c>
      <c r="O13" s="177" t="s">
        <v>513</v>
      </c>
      <c r="P13" s="193" t="str">
        <f>IF(CHSHTATbl[[#This Row],[MFD RURAL UNITS]]=0,"",CHSHTATbl[[#This Row],[MFD RURAL UNITS]])</f>
        <v/>
      </c>
      <c r="Q13" s="187" t="str">
        <f xml:space="preserve">
IF(CHSHTATbl[[#This Row],[MFD RURAL TOTAL REQUESTED]]=0,"",
CHSHTATbl[[#This Row],[MFD RURAL TOTAL REQUESTED]]*
IF(CH_SHTA_MFDRuralTotalRequested&lt;=(500000-E$61-I$61-M$61),1,
(500000-E$61-I$61-M$61)/CH_SHTA_MFDRuralTotalRequested)
)</f>
        <v/>
      </c>
      <c r="R13" s="191" t="str">
        <f>IF(CHSHTATbl[[#This Row],[MFD RURAL % OF FUNDING]]=0,"",CHSHTATbl[[#This Row],[MFD RURAL % OF FUNDING]])</f>
        <v/>
      </c>
      <c r="S13" s="31"/>
      <c r="T13" s="196"/>
      <c r="U13" s="119"/>
      <c r="V13" s="197"/>
      <c r="W13" s="123"/>
      <c r="X13" s="161"/>
      <c r="Y13" s="198"/>
      <c r="Z13" s="74">
        <f t="shared" si="0"/>
        <v>0</v>
      </c>
      <c r="AA13" s="6">
        <f>IF(CHSHTATbl[[#This Row],[UNRESTRICTED TOTAL REQUESTED]]=0,0,CHSHTATbl[[#This Row],[UNRESTRICTED TOTAL REQUESTED]]/CH_SHTA_UnrestrictedTotalRequested)</f>
        <v>0</v>
      </c>
      <c r="AB13" s="752">
        <f>IF(CHSHTATbl[[#This Row],[ALL UNITS IN A HIGH OR HIGHEST RESOURCE AREA]]="Yes",10*CHSHTATbl[[#This Row],[UNRESTRICTED % OF FUNDING]],0)</f>
        <v>0</v>
      </c>
      <c r="AC13" s="752" cm="1">
        <f t="array" ref="AC13">INDEX(CountyScoresTbl[Community Need Total Points],ROW(CHSHTATbl[[#This Row],[COUNTY]])-2,1)*CHSHTATbl[[#This Row],[UNRESTRICTED % OF FUNDING]]</f>
        <v>0</v>
      </c>
      <c r="AD13" s="752" cm="1">
        <f t="array" ref="AD13">INDEX(CountyScoresTbl[SHTA Total Feasibility Points Awarded],ROW(CHSHTATbl[[#This Row],[COUNTY]])-2,1)*CHSHTATbl[[#This Row],[UNRESTRICTED % OF FUNDING]]</f>
        <v>0</v>
      </c>
      <c r="AE13" s="125"/>
      <c r="AF13" s="161"/>
      <c r="AG13" s="198"/>
      <c r="AH13" s="74">
        <f t="shared" si="1"/>
        <v>0</v>
      </c>
      <c r="AI13" s="9">
        <f>IF(CHSHTATbl[[#This Row],[MANUFACTURED TOTAL REQUESTED]]=0,0,CHSHTATbl[[#This Row],[MANUFACTURED TOTAL REQUESTED]]/CH_SHTA_ManufacturedTotalRequested)</f>
        <v>0</v>
      </c>
      <c r="AJ13" s="665">
        <f>IF(CHSHTATbl[[#This Row],[ALL UNITS IN A HIGH OR HIGHEST RESOURCE AREA]]="Yes",10*CHSHTATbl[[#This Row],[MANUFACTURED % OF FUNDING]],0)</f>
        <v>0</v>
      </c>
      <c r="AK13" s="665" cm="1">
        <f t="array" ref="AK13">INDEX(CountyScoresTbl[Community Need Total Points],ROW(CHSHTATbl[[#This Row],[COUNTY]])-2,1)*CHSHTATbl[[#This Row],[MANUFACTURED % OF FUNDING]]</f>
        <v>0</v>
      </c>
      <c r="AL13" s="666" cm="1">
        <f t="array" ref="AL13">INDEX(CountyScoresTbl[SHTA Total Feasibility Points Awarded],ROW(CHSHTATbl[[#This Row],[COUNTY]])-2,1)*CHSHTATbl[[#This Row],[MANUFACTURED % OF FUNDING]]</f>
        <v>0</v>
      </c>
      <c r="AM13" s="123"/>
      <c r="AN13" s="161"/>
      <c r="AO13" s="198"/>
      <c r="AP13" s="74">
        <f t="shared" si="2"/>
        <v>0</v>
      </c>
      <c r="AQ13" s="6">
        <f>IF(CHSHTATbl[[#This Row],[RURAL TOTAL REQUESTED]]=0,0,CHSHTATbl[[#This Row],[RURAL TOTAL REQUESTED]]/CH_SHTA_RuralTotalRequested)</f>
        <v>0</v>
      </c>
      <c r="AR13" s="665">
        <f>IF(CHSHTATbl[[#This Row],[ALL UNITS IN A HIGH OR HIGHEST RESOURCE AREA]]="Yes",10*CHSHTATbl[[#This Row],[RURAL % OF FUNDING]],0)</f>
        <v>0</v>
      </c>
      <c r="AS13" s="665" cm="1">
        <f t="array" ref="AS13">INDEX(CountyScoresTbl[Community Need Total Points],ROW(CHSHTATbl[[#This Row],[COUNTY]])-2,1)*CHSHTATbl[[#This Row],[RURAL % OF FUNDING]]</f>
        <v>0</v>
      </c>
      <c r="AT13" s="666" cm="1">
        <f t="array" ref="AT13">INDEX(CountyScoresTbl[SHTA Total Feasibility Points Awarded],ROW(CHSHTATbl[[#This Row],[COUNTY]])-2,1)*CHSHTATbl[[#This Row],[RURAL % OF FUNDING]]</f>
        <v>0</v>
      </c>
      <c r="AU13" s="123"/>
      <c r="AV13" s="161"/>
      <c r="AW13" s="198"/>
      <c r="AX13" s="74">
        <f t="shared" si="3"/>
        <v>0</v>
      </c>
      <c r="AY13" s="6">
        <f>IF(CHSHTATbl[[#This Row],[MFD RURAL TOTAL REQUESTED]]=0,0,CHSHTATbl[[#This Row],[MFD RURAL TOTAL REQUESTED]]/CH_SHTA_MFDRuralTotalRequested)</f>
        <v>0</v>
      </c>
      <c r="AZ13" s="665">
        <f>IF(CHSHTATbl[[#This Row],[ALL UNITS IN A HIGH OR HIGHEST RESOURCE AREA]]="Yes",10*CHSHTATbl[[#This Row],[MFD RURAL % OF FUNDING]],0)</f>
        <v>0</v>
      </c>
      <c r="BA13" s="665" cm="1">
        <f t="array" ref="BA13">INDEX(CountyScoresTbl[Community Need Total Points],ROW(CHSHTATbl[[#This Row],[COUNTY]])-2,1)*CHSHTATbl[[#This Row],[MFD RURAL % OF FUNDING]]</f>
        <v>0</v>
      </c>
      <c r="BB13" s="666" cm="1">
        <f t="array" ref="BB13">INDEX(CountyScoresTbl[SHTA Total Feasibility Points Awarded],ROW(CHSHTATbl[[#This Row],[COUNTY]])-2,1)*CHSHTATbl[[#This Row],[MFD RURAL % OF FUNDING]]</f>
        <v>0</v>
      </c>
      <c r="BC13" s="764"/>
      <c r="BD13" s="765">
        <f>IF(CHSHTATbl[[#This Row],[INFILL SITE]]="Yes",5,3)*CHSHTATbl[[#This Row],[UNRESTRICTED % OF FUNDING]]</f>
        <v>0</v>
      </c>
      <c r="BE13" s="694">
        <f>IF(CHSHTATbl[[#This Row],[INFILL SITE]]="Yes",5,3)*CHSHTATbl[[#This Row],[MANUFACTURED % OF FUNDING]]</f>
        <v>0</v>
      </c>
      <c r="BF13" s="694">
        <f>IF(CHSHTATbl[[#This Row],[INFILL SITE]]="Yes",5,3)*CHSHTATbl[[#This Row],[RURAL % OF FUNDING]]</f>
        <v>0</v>
      </c>
      <c r="BG13" s="694">
        <f>IF(CHSHTATbl[[#This Row],[INFILL SITE]]="Yes",5,3)*CHSHTATbl[[#This Row],[MFD RURAL % OF FUNDING]]</f>
        <v>0</v>
      </c>
    </row>
    <row r="14" spans="1:59" x14ac:dyDescent="0.35">
      <c r="A14" s="167"/>
      <c r="B14" s="179" t="s">
        <v>126</v>
      </c>
      <c r="C14" s="177" t="s">
        <v>513</v>
      </c>
      <c r="D14" s="183" t="str">
        <f>IF(CHSHTATbl[[#This Row],[UNRESTRICTED UNITS]]=0,"",CHSHTATbl[[#This Row],[UNRESTRICTED UNITS]])</f>
        <v/>
      </c>
      <c r="E14" s="184" t="str">
        <f xml:space="preserve">
IF(CHSHTATbl[[#This Row],[UNRESTRICTED TOTAL REQUESTED]]=0,"",
CHSHTATbl[[#This Row],[UNRESTRICTED TOTAL REQUESTED]]*
IF(CH_SHTA_UnrestrictedTotalRequested&lt;=500000,1,
500000/CH_SHTA_UnrestrictedTotalRequested)
)</f>
        <v/>
      </c>
      <c r="F14" s="185" t="str">
        <f>IF(CHSHTATbl[[#This Row],[UNRESTRICTED % OF FUNDING]]=0,"",CHSHTATbl[[#This Row],[UNRESTRICTED % OF FUNDING]])</f>
        <v/>
      </c>
      <c r="G14" s="177" t="s">
        <v>513</v>
      </c>
      <c r="H14" s="183" t="str">
        <f>IF(CHSHTATbl[[#This Row],[MANUFACTURED UNITS]]=0,"",CHSHTATbl[[#This Row],[MANUFACTURED UNITS]])</f>
        <v/>
      </c>
      <c r="I14" s="187" t="str">
        <f xml:space="preserve">
IF(CHSHTATbl[[#This Row],[MANUFACTURED TOTAL REQUESTED]]=0,"",
CHSHTATbl[[#This Row],[MANUFACTURED TOTAL REQUESTED]]*
IF(CH_SHTA_ManufacturedTotalRequested&lt;=(500000-E$61),1,
(500000-E$61)/CH_SHTA_ManufacturedTotalRequested)
)</f>
        <v/>
      </c>
      <c r="J14" s="185" t="str">
        <f>IF(CHSHTATbl[[#This Row],[MANUFACTURED % OF FUNDING]]=0,"",CHSHTATbl[[#This Row],[MANUFACTURED % OF FUNDING]])</f>
        <v/>
      </c>
      <c r="K14" s="177" t="s">
        <v>513</v>
      </c>
      <c r="L14" s="190" t="str">
        <f>IF(CHSHTATbl[[#This Row],[RURAL UNITS]]=0,"",CHSHTATbl[[#This Row],[RURAL UNITS]])</f>
        <v/>
      </c>
      <c r="M14" s="187" t="str">
        <f xml:space="preserve">
IF(CHSHTATbl[[#This Row],[RURAL TOTAL REQUESTED]]=0,"",
CHSHTATbl[[#This Row],[RURAL TOTAL REQUESTED]]*
IF(CH_SHTA_RuralTotalRequested&lt;=(500000-E$61-I$61),1,
(500000-E$61-I$61)/CH_SHTA_RuralTotalRequested)
)</f>
        <v/>
      </c>
      <c r="N14" s="191" t="str">
        <f>IF(CHSHTATbl[[#This Row],[RURAL % OF FUNDING]]=0,"",CHSHTATbl[[#This Row],[RURAL % OF FUNDING]])</f>
        <v/>
      </c>
      <c r="O14" s="177" t="s">
        <v>513</v>
      </c>
      <c r="P14" s="193" t="str">
        <f>IF(CHSHTATbl[[#This Row],[MFD RURAL UNITS]]=0,"",CHSHTATbl[[#This Row],[MFD RURAL UNITS]])</f>
        <v/>
      </c>
      <c r="Q14" s="187" t="str">
        <f xml:space="preserve">
IF(CHSHTATbl[[#This Row],[MFD RURAL TOTAL REQUESTED]]=0,"",
CHSHTATbl[[#This Row],[MFD RURAL TOTAL REQUESTED]]*
IF(CH_SHTA_MFDRuralTotalRequested&lt;=(500000-E$61-I$61-M$61),1,
(500000-E$61-I$61-M$61)/CH_SHTA_MFDRuralTotalRequested)
)</f>
        <v/>
      </c>
      <c r="R14" s="191" t="str">
        <f>IF(CHSHTATbl[[#This Row],[MFD RURAL % OF FUNDING]]=0,"",CHSHTATbl[[#This Row],[MFD RURAL % OF FUNDING]])</f>
        <v/>
      </c>
      <c r="S14" s="31"/>
      <c r="T14" s="163"/>
      <c r="U14" s="164"/>
      <c r="V14" s="199"/>
      <c r="W14" s="123"/>
      <c r="X14" s="161"/>
      <c r="Y14" s="198"/>
      <c r="Z14" s="74">
        <f t="shared" si="0"/>
        <v>0</v>
      </c>
      <c r="AA14" s="6">
        <f>IF(CHSHTATbl[[#This Row],[UNRESTRICTED TOTAL REQUESTED]]=0,0,CHSHTATbl[[#This Row],[UNRESTRICTED TOTAL REQUESTED]]/CH_SHTA_UnrestrictedTotalRequested)</f>
        <v>0</v>
      </c>
      <c r="AB14" s="752">
        <f>IF(CHSHTATbl[[#This Row],[ALL UNITS IN A HIGH OR HIGHEST RESOURCE AREA]]="Yes",10*CHSHTATbl[[#This Row],[UNRESTRICTED % OF FUNDING]],0)</f>
        <v>0</v>
      </c>
      <c r="AC14" s="752" cm="1">
        <f t="array" ref="AC14">INDEX(CountyScoresTbl[Community Need Total Points],ROW(CHSHTATbl[[#This Row],[COUNTY]])-2,1)*CHSHTATbl[[#This Row],[UNRESTRICTED % OF FUNDING]]</f>
        <v>0</v>
      </c>
      <c r="AD14" s="752" cm="1">
        <f t="array" ref="AD14">INDEX(CountyScoresTbl[SHTA Total Feasibility Points Awarded],ROW(CHSHTATbl[[#This Row],[COUNTY]])-2,1)*CHSHTATbl[[#This Row],[UNRESTRICTED % OF FUNDING]]</f>
        <v>0</v>
      </c>
      <c r="AE14" s="125"/>
      <c r="AF14" s="161"/>
      <c r="AG14" s="198"/>
      <c r="AH14" s="74">
        <f t="shared" si="1"/>
        <v>0</v>
      </c>
      <c r="AI14" s="9">
        <f>IF(CHSHTATbl[[#This Row],[MANUFACTURED TOTAL REQUESTED]]=0,0,CHSHTATbl[[#This Row],[MANUFACTURED TOTAL REQUESTED]]/CH_SHTA_ManufacturedTotalRequested)</f>
        <v>0</v>
      </c>
      <c r="AJ14" s="665">
        <f>IF(CHSHTATbl[[#This Row],[ALL UNITS IN A HIGH OR HIGHEST RESOURCE AREA]]="Yes",10*CHSHTATbl[[#This Row],[MANUFACTURED % OF FUNDING]],0)</f>
        <v>0</v>
      </c>
      <c r="AK14" s="665" cm="1">
        <f t="array" ref="AK14">INDEX(CountyScoresTbl[Community Need Total Points],ROW(CHSHTATbl[[#This Row],[COUNTY]])-2,1)*CHSHTATbl[[#This Row],[MANUFACTURED % OF FUNDING]]</f>
        <v>0</v>
      </c>
      <c r="AL14" s="666" cm="1">
        <f t="array" ref="AL14">INDEX(CountyScoresTbl[SHTA Total Feasibility Points Awarded],ROW(CHSHTATbl[[#This Row],[COUNTY]])-2,1)*CHSHTATbl[[#This Row],[MANUFACTURED % OF FUNDING]]</f>
        <v>0</v>
      </c>
      <c r="AM14" s="123"/>
      <c r="AN14" s="161"/>
      <c r="AO14" s="198"/>
      <c r="AP14" s="74">
        <f t="shared" si="2"/>
        <v>0</v>
      </c>
      <c r="AQ14" s="6">
        <f>IF(CHSHTATbl[[#This Row],[RURAL TOTAL REQUESTED]]=0,0,CHSHTATbl[[#This Row],[RURAL TOTAL REQUESTED]]/CH_SHTA_RuralTotalRequested)</f>
        <v>0</v>
      </c>
      <c r="AR14" s="665">
        <f>IF(CHSHTATbl[[#This Row],[ALL UNITS IN A HIGH OR HIGHEST RESOURCE AREA]]="Yes",10*CHSHTATbl[[#This Row],[RURAL % OF FUNDING]],0)</f>
        <v>0</v>
      </c>
      <c r="AS14" s="665" cm="1">
        <f t="array" ref="AS14">INDEX(CountyScoresTbl[Community Need Total Points],ROW(CHSHTATbl[[#This Row],[COUNTY]])-2,1)*CHSHTATbl[[#This Row],[RURAL % OF FUNDING]]</f>
        <v>0</v>
      </c>
      <c r="AT14" s="666" cm="1">
        <f t="array" ref="AT14">INDEX(CountyScoresTbl[SHTA Total Feasibility Points Awarded],ROW(CHSHTATbl[[#This Row],[COUNTY]])-2,1)*CHSHTATbl[[#This Row],[RURAL % OF FUNDING]]</f>
        <v>0</v>
      </c>
      <c r="AU14" s="123"/>
      <c r="AV14" s="161"/>
      <c r="AW14" s="198"/>
      <c r="AX14" s="74">
        <f t="shared" si="3"/>
        <v>0</v>
      </c>
      <c r="AY14" s="6">
        <f>IF(CHSHTATbl[[#This Row],[MFD RURAL TOTAL REQUESTED]]=0,0,CHSHTATbl[[#This Row],[MFD RURAL TOTAL REQUESTED]]/CH_SHTA_MFDRuralTotalRequested)</f>
        <v>0</v>
      </c>
      <c r="AZ14" s="665">
        <f>IF(CHSHTATbl[[#This Row],[ALL UNITS IN A HIGH OR HIGHEST RESOURCE AREA]]="Yes",10*CHSHTATbl[[#This Row],[MFD RURAL % OF FUNDING]],0)</f>
        <v>0</v>
      </c>
      <c r="BA14" s="665" cm="1">
        <f t="array" ref="BA14">INDEX(CountyScoresTbl[Community Need Total Points],ROW(CHSHTATbl[[#This Row],[COUNTY]])-2,1)*CHSHTATbl[[#This Row],[MFD RURAL % OF FUNDING]]</f>
        <v>0</v>
      </c>
      <c r="BB14" s="666" cm="1">
        <f t="array" ref="BB14">INDEX(CountyScoresTbl[SHTA Total Feasibility Points Awarded],ROW(CHSHTATbl[[#This Row],[COUNTY]])-2,1)*CHSHTATbl[[#This Row],[MFD RURAL % OF FUNDING]]</f>
        <v>0</v>
      </c>
      <c r="BC14" s="764"/>
      <c r="BD14" s="765">
        <f>IF(CHSHTATbl[[#This Row],[INFILL SITE]]="Yes",5,3)*CHSHTATbl[[#This Row],[UNRESTRICTED % OF FUNDING]]</f>
        <v>0</v>
      </c>
      <c r="BE14" s="694">
        <f>IF(CHSHTATbl[[#This Row],[INFILL SITE]]="Yes",5,3)*CHSHTATbl[[#This Row],[MANUFACTURED % OF FUNDING]]</f>
        <v>0</v>
      </c>
      <c r="BF14" s="694">
        <f>IF(CHSHTATbl[[#This Row],[INFILL SITE]]="Yes",5,3)*CHSHTATbl[[#This Row],[RURAL % OF FUNDING]]</f>
        <v>0</v>
      </c>
      <c r="BG14" s="694">
        <f>IF(CHSHTATbl[[#This Row],[INFILL SITE]]="Yes",5,3)*CHSHTATbl[[#This Row],[MFD RURAL % OF FUNDING]]</f>
        <v>0</v>
      </c>
    </row>
    <row r="15" spans="1:59" x14ac:dyDescent="0.35">
      <c r="A15" s="167"/>
      <c r="B15" s="179" t="s">
        <v>127</v>
      </c>
      <c r="C15" s="177" t="s">
        <v>513</v>
      </c>
      <c r="D15" s="183" t="str">
        <f>IF(CHSHTATbl[[#This Row],[UNRESTRICTED UNITS]]=0,"",CHSHTATbl[[#This Row],[UNRESTRICTED UNITS]])</f>
        <v/>
      </c>
      <c r="E15" s="184" t="str">
        <f xml:space="preserve">
IF(CHSHTATbl[[#This Row],[UNRESTRICTED TOTAL REQUESTED]]=0,"",
CHSHTATbl[[#This Row],[UNRESTRICTED TOTAL REQUESTED]]*
IF(CH_SHTA_UnrestrictedTotalRequested&lt;=500000,1,
500000/CH_SHTA_UnrestrictedTotalRequested)
)</f>
        <v/>
      </c>
      <c r="F15" s="185" t="str">
        <f>IF(CHSHTATbl[[#This Row],[UNRESTRICTED % OF FUNDING]]=0,"",CHSHTATbl[[#This Row],[UNRESTRICTED % OF FUNDING]])</f>
        <v/>
      </c>
      <c r="G15" s="177" t="s">
        <v>513</v>
      </c>
      <c r="H15" s="183" t="str">
        <f>IF(CHSHTATbl[[#This Row],[MANUFACTURED UNITS]]=0,"",CHSHTATbl[[#This Row],[MANUFACTURED UNITS]])</f>
        <v/>
      </c>
      <c r="I15" s="187" t="str">
        <f xml:space="preserve">
IF(CHSHTATbl[[#This Row],[MANUFACTURED TOTAL REQUESTED]]=0,"",
CHSHTATbl[[#This Row],[MANUFACTURED TOTAL REQUESTED]]*
IF(CH_SHTA_ManufacturedTotalRequested&lt;=(500000-E$61),1,
(500000-E$61)/CH_SHTA_ManufacturedTotalRequested)
)</f>
        <v/>
      </c>
      <c r="J15" s="185" t="str">
        <f>IF(CHSHTATbl[[#This Row],[MANUFACTURED % OF FUNDING]]=0,"",CHSHTATbl[[#This Row],[MANUFACTURED % OF FUNDING]])</f>
        <v/>
      </c>
      <c r="K15" s="177" t="s">
        <v>513</v>
      </c>
      <c r="L15" s="190" t="str">
        <f>IF(CHSHTATbl[[#This Row],[RURAL UNITS]]=0,"",CHSHTATbl[[#This Row],[RURAL UNITS]])</f>
        <v/>
      </c>
      <c r="M15" s="187" t="str">
        <f xml:space="preserve">
IF(CHSHTATbl[[#This Row],[RURAL TOTAL REQUESTED]]=0,"",
CHSHTATbl[[#This Row],[RURAL TOTAL REQUESTED]]*
IF(CH_SHTA_RuralTotalRequested&lt;=(500000-E$61-I$61),1,
(500000-E$61-I$61)/CH_SHTA_RuralTotalRequested)
)</f>
        <v/>
      </c>
      <c r="N15" s="191" t="str">
        <f>IF(CHSHTATbl[[#This Row],[RURAL % OF FUNDING]]=0,"",CHSHTATbl[[#This Row],[RURAL % OF FUNDING]])</f>
        <v/>
      </c>
      <c r="O15" s="177" t="s">
        <v>513</v>
      </c>
      <c r="P15" s="193" t="str">
        <f>IF(CHSHTATbl[[#This Row],[MFD RURAL UNITS]]=0,"",CHSHTATbl[[#This Row],[MFD RURAL UNITS]])</f>
        <v/>
      </c>
      <c r="Q15" s="187" t="str">
        <f xml:space="preserve">
IF(CHSHTATbl[[#This Row],[MFD RURAL TOTAL REQUESTED]]=0,"",
CHSHTATbl[[#This Row],[MFD RURAL TOTAL REQUESTED]]*
IF(CH_SHTA_MFDRuralTotalRequested&lt;=(500000-E$61-I$61-M$61),1,
(500000-E$61-I$61-M$61)/CH_SHTA_MFDRuralTotalRequested)
)</f>
        <v/>
      </c>
      <c r="R15" s="191" t="str">
        <f>IF(CHSHTATbl[[#This Row],[MFD RURAL % OF FUNDING]]=0,"",CHSHTATbl[[#This Row],[MFD RURAL % OF FUNDING]])</f>
        <v/>
      </c>
      <c r="S15" s="31"/>
      <c r="T15" s="163"/>
      <c r="U15" s="164"/>
      <c r="V15" s="199"/>
      <c r="W15" s="123"/>
      <c r="X15" s="161"/>
      <c r="Y15" s="198"/>
      <c r="Z15" s="74">
        <f t="shared" si="0"/>
        <v>0</v>
      </c>
      <c r="AA15" s="6">
        <f>IF(CHSHTATbl[[#This Row],[UNRESTRICTED TOTAL REQUESTED]]=0,0,CHSHTATbl[[#This Row],[UNRESTRICTED TOTAL REQUESTED]]/CH_SHTA_UnrestrictedTotalRequested)</f>
        <v>0</v>
      </c>
      <c r="AB15" s="752">
        <f>IF(CHSHTATbl[[#This Row],[ALL UNITS IN A HIGH OR HIGHEST RESOURCE AREA]]="Yes",10*CHSHTATbl[[#This Row],[UNRESTRICTED % OF FUNDING]],0)</f>
        <v>0</v>
      </c>
      <c r="AC15" s="752" cm="1">
        <f t="array" ref="AC15">INDEX(CountyScoresTbl[Community Need Total Points],ROW(CHSHTATbl[[#This Row],[COUNTY]])-2,1)*CHSHTATbl[[#This Row],[UNRESTRICTED % OF FUNDING]]</f>
        <v>0</v>
      </c>
      <c r="AD15" s="752" cm="1">
        <f t="array" ref="AD15">INDEX(CountyScoresTbl[SHTA Total Feasibility Points Awarded],ROW(CHSHTATbl[[#This Row],[COUNTY]])-2,1)*CHSHTATbl[[#This Row],[UNRESTRICTED % OF FUNDING]]</f>
        <v>0</v>
      </c>
      <c r="AE15" s="125"/>
      <c r="AF15" s="161"/>
      <c r="AG15" s="198"/>
      <c r="AH15" s="74">
        <f t="shared" si="1"/>
        <v>0</v>
      </c>
      <c r="AI15" s="9">
        <f>IF(CHSHTATbl[[#This Row],[MANUFACTURED TOTAL REQUESTED]]=0,0,CHSHTATbl[[#This Row],[MANUFACTURED TOTAL REQUESTED]]/CH_SHTA_ManufacturedTotalRequested)</f>
        <v>0</v>
      </c>
      <c r="AJ15" s="665">
        <f>IF(CHSHTATbl[[#This Row],[ALL UNITS IN A HIGH OR HIGHEST RESOURCE AREA]]="Yes",10*CHSHTATbl[[#This Row],[MANUFACTURED % OF FUNDING]],0)</f>
        <v>0</v>
      </c>
      <c r="AK15" s="665" cm="1">
        <f t="array" ref="AK15">INDEX(CountyScoresTbl[Community Need Total Points],ROW(CHSHTATbl[[#This Row],[COUNTY]])-2,1)*CHSHTATbl[[#This Row],[MANUFACTURED % OF FUNDING]]</f>
        <v>0</v>
      </c>
      <c r="AL15" s="666" cm="1">
        <f t="array" ref="AL15">INDEX(CountyScoresTbl[SHTA Total Feasibility Points Awarded],ROW(CHSHTATbl[[#This Row],[COUNTY]])-2,1)*CHSHTATbl[[#This Row],[MANUFACTURED % OF FUNDING]]</f>
        <v>0</v>
      </c>
      <c r="AM15" s="123"/>
      <c r="AN15" s="161"/>
      <c r="AO15" s="198"/>
      <c r="AP15" s="74">
        <f t="shared" si="2"/>
        <v>0</v>
      </c>
      <c r="AQ15" s="6">
        <f>IF(CHSHTATbl[[#This Row],[RURAL TOTAL REQUESTED]]=0,0,CHSHTATbl[[#This Row],[RURAL TOTAL REQUESTED]]/CH_SHTA_RuralTotalRequested)</f>
        <v>0</v>
      </c>
      <c r="AR15" s="665">
        <f>IF(CHSHTATbl[[#This Row],[ALL UNITS IN A HIGH OR HIGHEST RESOURCE AREA]]="Yes",10*CHSHTATbl[[#This Row],[RURAL % OF FUNDING]],0)</f>
        <v>0</v>
      </c>
      <c r="AS15" s="665" cm="1">
        <f t="array" ref="AS15">INDEX(CountyScoresTbl[Community Need Total Points],ROW(CHSHTATbl[[#This Row],[COUNTY]])-2,1)*CHSHTATbl[[#This Row],[RURAL % OF FUNDING]]</f>
        <v>0</v>
      </c>
      <c r="AT15" s="666" cm="1">
        <f t="array" ref="AT15">INDEX(CountyScoresTbl[SHTA Total Feasibility Points Awarded],ROW(CHSHTATbl[[#This Row],[COUNTY]])-2,1)*CHSHTATbl[[#This Row],[RURAL % OF FUNDING]]</f>
        <v>0</v>
      </c>
      <c r="AU15" s="123"/>
      <c r="AV15" s="161"/>
      <c r="AW15" s="198"/>
      <c r="AX15" s="74">
        <f t="shared" si="3"/>
        <v>0</v>
      </c>
      <c r="AY15" s="6">
        <f>IF(CHSHTATbl[[#This Row],[MFD RURAL TOTAL REQUESTED]]=0,0,CHSHTATbl[[#This Row],[MFD RURAL TOTAL REQUESTED]]/CH_SHTA_MFDRuralTotalRequested)</f>
        <v>0</v>
      </c>
      <c r="AZ15" s="665">
        <f>IF(CHSHTATbl[[#This Row],[ALL UNITS IN A HIGH OR HIGHEST RESOURCE AREA]]="Yes",10*CHSHTATbl[[#This Row],[MFD RURAL % OF FUNDING]],0)</f>
        <v>0</v>
      </c>
      <c r="BA15" s="665" cm="1">
        <f t="array" ref="BA15">INDEX(CountyScoresTbl[Community Need Total Points],ROW(CHSHTATbl[[#This Row],[COUNTY]])-2,1)*CHSHTATbl[[#This Row],[MFD RURAL % OF FUNDING]]</f>
        <v>0</v>
      </c>
      <c r="BB15" s="666" cm="1">
        <f t="array" ref="BB15">INDEX(CountyScoresTbl[SHTA Total Feasibility Points Awarded],ROW(CHSHTATbl[[#This Row],[COUNTY]])-2,1)*CHSHTATbl[[#This Row],[MFD RURAL % OF FUNDING]]</f>
        <v>0</v>
      </c>
      <c r="BC15" s="764"/>
      <c r="BD15" s="765">
        <f>IF(CHSHTATbl[[#This Row],[INFILL SITE]]="Yes",5,3)*CHSHTATbl[[#This Row],[UNRESTRICTED % OF FUNDING]]</f>
        <v>0</v>
      </c>
      <c r="BE15" s="694">
        <f>IF(CHSHTATbl[[#This Row],[INFILL SITE]]="Yes",5,3)*CHSHTATbl[[#This Row],[MANUFACTURED % OF FUNDING]]</f>
        <v>0</v>
      </c>
      <c r="BF15" s="694">
        <f>IF(CHSHTATbl[[#This Row],[INFILL SITE]]="Yes",5,3)*CHSHTATbl[[#This Row],[RURAL % OF FUNDING]]</f>
        <v>0</v>
      </c>
      <c r="BG15" s="694">
        <f>IF(CHSHTATbl[[#This Row],[INFILL SITE]]="Yes",5,3)*CHSHTATbl[[#This Row],[MFD RURAL % OF FUNDING]]</f>
        <v>0</v>
      </c>
    </row>
    <row r="16" spans="1:59" x14ac:dyDescent="0.35">
      <c r="A16" s="167"/>
      <c r="B16" s="179" t="s">
        <v>128</v>
      </c>
      <c r="C16" s="177" t="s">
        <v>513</v>
      </c>
      <c r="D16" s="183" t="str">
        <f>IF(CHSHTATbl[[#This Row],[UNRESTRICTED UNITS]]=0,"",CHSHTATbl[[#This Row],[UNRESTRICTED UNITS]])</f>
        <v/>
      </c>
      <c r="E16" s="184" t="str">
        <f xml:space="preserve">
IF(CHSHTATbl[[#This Row],[UNRESTRICTED TOTAL REQUESTED]]=0,"",
CHSHTATbl[[#This Row],[UNRESTRICTED TOTAL REQUESTED]]*
IF(CH_SHTA_UnrestrictedTotalRequested&lt;=500000,1,
500000/CH_SHTA_UnrestrictedTotalRequested)
)</f>
        <v/>
      </c>
      <c r="F16" s="185" t="str">
        <f>IF(CHSHTATbl[[#This Row],[UNRESTRICTED % OF FUNDING]]=0,"",CHSHTATbl[[#This Row],[UNRESTRICTED % OF FUNDING]])</f>
        <v/>
      </c>
      <c r="G16" s="177" t="s">
        <v>513</v>
      </c>
      <c r="H16" s="183" t="str">
        <f>IF(CHSHTATbl[[#This Row],[MANUFACTURED UNITS]]=0,"",CHSHTATbl[[#This Row],[MANUFACTURED UNITS]])</f>
        <v/>
      </c>
      <c r="I16" s="187" t="str">
        <f xml:space="preserve">
IF(CHSHTATbl[[#This Row],[MANUFACTURED TOTAL REQUESTED]]=0,"",
CHSHTATbl[[#This Row],[MANUFACTURED TOTAL REQUESTED]]*
IF(CH_SHTA_ManufacturedTotalRequested&lt;=(500000-E$61),1,
(500000-E$61)/CH_SHTA_ManufacturedTotalRequested)
)</f>
        <v/>
      </c>
      <c r="J16" s="185" t="str">
        <f>IF(CHSHTATbl[[#This Row],[MANUFACTURED % OF FUNDING]]=0,"",CHSHTATbl[[#This Row],[MANUFACTURED % OF FUNDING]])</f>
        <v/>
      </c>
      <c r="K16" s="177" t="s">
        <v>513</v>
      </c>
      <c r="L16" s="190" t="str">
        <f>IF(CHSHTATbl[[#This Row],[RURAL UNITS]]=0,"",CHSHTATbl[[#This Row],[RURAL UNITS]])</f>
        <v/>
      </c>
      <c r="M16" s="187" t="str">
        <f xml:space="preserve">
IF(CHSHTATbl[[#This Row],[RURAL TOTAL REQUESTED]]=0,"",
CHSHTATbl[[#This Row],[RURAL TOTAL REQUESTED]]*
IF(CH_SHTA_RuralTotalRequested&lt;=(500000-E$61-I$61),1,
(500000-E$61-I$61)/CH_SHTA_RuralTotalRequested)
)</f>
        <v/>
      </c>
      <c r="N16" s="191" t="str">
        <f>IF(CHSHTATbl[[#This Row],[RURAL % OF FUNDING]]=0,"",CHSHTATbl[[#This Row],[RURAL % OF FUNDING]])</f>
        <v/>
      </c>
      <c r="O16" s="177" t="s">
        <v>513</v>
      </c>
      <c r="P16" s="193" t="str">
        <f>IF(CHSHTATbl[[#This Row],[MFD RURAL UNITS]]=0,"",CHSHTATbl[[#This Row],[MFD RURAL UNITS]])</f>
        <v/>
      </c>
      <c r="Q16" s="187" t="str">
        <f xml:space="preserve">
IF(CHSHTATbl[[#This Row],[MFD RURAL TOTAL REQUESTED]]=0,"",
CHSHTATbl[[#This Row],[MFD RURAL TOTAL REQUESTED]]*
IF(CH_SHTA_MFDRuralTotalRequested&lt;=(500000-E$61-I$61-M$61),1,
(500000-E$61-I$61-M$61)/CH_SHTA_MFDRuralTotalRequested)
)</f>
        <v/>
      </c>
      <c r="R16" s="191" t="str">
        <f>IF(CHSHTATbl[[#This Row],[MFD RURAL % OF FUNDING]]=0,"",CHSHTATbl[[#This Row],[MFD RURAL % OF FUNDING]])</f>
        <v/>
      </c>
      <c r="S16" s="31"/>
      <c r="T16" s="163"/>
      <c r="U16" s="164"/>
      <c r="V16" s="199"/>
      <c r="W16" s="123"/>
      <c r="X16" s="161"/>
      <c r="Y16" s="198"/>
      <c r="Z16" s="74">
        <f t="shared" si="0"/>
        <v>0</v>
      </c>
      <c r="AA16" s="6">
        <f>IF(CHSHTATbl[[#This Row],[UNRESTRICTED TOTAL REQUESTED]]=0,0,CHSHTATbl[[#This Row],[UNRESTRICTED TOTAL REQUESTED]]/CH_SHTA_UnrestrictedTotalRequested)</f>
        <v>0</v>
      </c>
      <c r="AB16" s="752">
        <f>IF(CHSHTATbl[[#This Row],[ALL UNITS IN A HIGH OR HIGHEST RESOURCE AREA]]="Yes",10*CHSHTATbl[[#This Row],[UNRESTRICTED % OF FUNDING]],0)</f>
        <v>0</v>
      </c>
      <c r="AC16" s="752" cm="1">
        <f t="array" ref="AC16">INDEX(CountyScoresTbl[Community Need Total Points],ROW(CHSHTATbl[[#This Row],[COUNTY]])-2,1)*CHSHTATbl[[#This Row],[UNRESTRICTED % OF FUNDING]]</f>
        <v>0</v>
      </c>
      <c r="AD16" s="752" cm="1">
        <f t="array" ref="AD16">INDEX(CountyScoresTbl[SHTA Total Feasibility Points Awarded],ROW(CHSHTATbl[[#This Row],[COUNTY]])-2,1)*CHSHTATbl[[#This Row],[UNRESTRICTED % OF FUNDING]]</f>
        <v>0</v>
      </c>
      <c r="AE16" s="125"/>
      <c r="AF16" s="161"/>
      <c r="AG16" s="198"/>
      <c r="AH16" s="74">
        <f t="shared" si="1"/>
        <v>0</v>
      </c>
      <c r="AI16" s="9">
        <f>IF(CHSHTATbl[[#This Row],[MANUFACTURED TOTAL REQUESTED]]=0,0,CHSHTATbl[[#This Row],[MANUFACTURED TOTAL REQUESTED]]/CH_SHTA_ManufacturedTotalRequested)</f>
        <v>0</v>
      </c>
      <c r="AJ16" s="665">
        <f>IF(CHSHTATbl[[#This Row],[ALL UNITS IN A HIGH OR HIGHEST RESOURCE AREA]]="Yes",10*CHSHTATbl[[#This Row],[MANUFACTURED % OF FUNDING]],0)</f>
        <v>0</v>
      </c>
      <c r="AK16" s="665" cm="1">
        <f t="array" ref="AK16">INDEX(CountyScoresTbl[Community Need Total Points],ROW(CHSHTATbl[[#This Row],[COUNTY]])-2,1)*CHSHTATbl[[#This Row],[MANUFACTURED % OF FUNDING]]</f>
        <v>0</v>
      </c>
      <c r="AL16" s="666" cm="1">
        <f t="array" ref="AL16">INDEX(CountyScoresTbl[SHTA Total Feasibility Points Awarded],ROW(CHSHTATbl[[#This Row],[COUNTY]])-2,1)*CHSHTATbl[[#This Row],[MANUFACTURED % OF FUNDING]]</f>
        <v>0</v>
      </c>
      <c r="AM16" s="123"/>
      <c r="AN16" s="161"/>
      <c r="AO16" s="198"/>
      <c r="AP16" s="74">
        <f t="shared" si="2"/>
        <v>0</v>
      </c>
      <c r="AQ16" s="6">
        <f>IF(CHSHTATbl[[#This Row],[RURAL TOTAL REQUESTED]]=0,0,CHSHTATbl[[#This Row],[RURAL TOTAL REQUESTED]]/CH_SHTA_RuralTotalRequested)</f>
        <v>0</v>
      </c>
      <c r="AR16" s="665">
        <f>IF(CHSHTATbl[[#This Row],[ALL UNITS IN A HIGH OR HIGHEST RESOURCE AREA]]="Yes",10*CHSHTATbl[[#This Row],[RURAL % OF FUNDING]],0)</f>
        <v>0</v>
      </c>
      <c r="AS16" s="665" cm="1">
        <f t="array" ref="AS16">INDEX(CountyScoresTbl[Community Need Total Points],ROW(CHSHTATbl[[#This Row],[COUNTY]])-2,1)*CHSHTATbl[[#This Row],[RURAL % OF FUNDING]]</f>
        <v>0</v>
      </c>
      <c r="AT16" s="666" cm="1">
        <f t="array" ref="AT16">INDEX(CountyScoresTbl[SHTA Total Feasibility Points Awarded],ROW(CHSHTATbl[[#This Row],[COUNTY]])-2,1)*CHSHTATbl[[#This Row],[RURAL % OF FUNDING]]</f>
        <v>0</v>
      </c>
      <c r="AU16" s="123"/>
      <c r="AV16" s="161"/>
      <c r="AW16" s="198"/>
      <c r="AX16" s="74">
        <f t="shared" si="3"/>
        <v>0</v>
      </c>
      <c r="AY16" s="6">
        <f>IF(CHSHTATbl[[#This Row],[MFD RURAL TOTAL REQUESTED]]=0,0,CHSHTATbl[[#This Row],[MFD RURAL TOTAL REQUESTED]]/CH_SHTA_MFDRuralTotalRequested)</f>
        <v>0</v>
      </c>
      <c r="AZ16" s="665">
        <f>IF(CHSHTATbl[[#This Row],[ALL UNITS IN A HIGH OR HIGHEST RESOURCE AREA]]="Yes",10*CHSHTATbl[[#This Row],[MFD RURAL % OF FUNDING]],0)</f>
        <v>0</v>
      </c>
      <c r="BA16" s="665" cm="1">
        <f t="array" ref="BA16">INDEX(CountyScoresTbl[Community Need Total Points],ROW(CHSHTATbl[[#This Row],[COUNTY]])-2,1)*CHSHTATbl[[#This Row],[MFD RURAL % OF FUNDING]]</f>
        <v>0</v>
      </c>
      <c r="BB16" s="666" cm="1">
        <f t="array" ref="BB16">INDEX(CountyScoresTbl[SHTA Total Feasibility Points Awarded],ROW(CHSHTATbl[[#This Row],[COUNTY]])-2,1)*CHSHTATbl[[#This Row],[MFD RURAL % OF FUNDING]]</f>
        <v>0</v>
      </c>
      <c r="BC16" s="764"/>
      <c r="BD16" s="765">
        <f>IF(CHSHTATbl[[#This Row],[INFILL SITE]]="Yes",5,3)*CHSHTATbl[[#This Row],[UNRESTRICTED % OF FUNDING]]</f>
        <v>0</v>
      </c>
      <c r="BE16" s="694">
        <f>IF(CHSHTATbl[[#This Row],[INFILL SITE]]="Yes",5,3)*CHSHTATbl[[#This Row],[MANUFACTURED % OF FUNDING]]</f>
        <v>0</v>
      </c>
      <c r="BF16" s="694">
        <f>IF(CHSHTATbl[[#This Row],[INFILL SITE]]="Yes",5,3)*CHSHTATbl[[#This Row],[RURAL % OF FUNDING]]</f>
        <v>0</v>
      </c>
      <c r="BG16" s="694">
        <f>IF(CHSHTATbl[[#This Row],[INFILL SITE]]="Yes",5,3)*CHSHTATbl[[#This Row],[MFD RURAL % OF FUNDING]]</f>
        <v>0</v>
      </c>
    </row>
    <row r="17" spans="1:59" x14ac:dyDescent="0.35">
      <c r="A17" s="167"/>
      <c r="B17" s="179" t="s">
        <v>129</v>
      </c>
      <c r="C17" s="177" t="s">
        <v>513</v>
      </c>
      <c r="D17" s="183" t="str">
        <f>IF(CHSHTATbl[[#This Row],[UNRESTRICTED UNITS]]=0,"",CHSHTATbl[[#This Row],[UNRESTRICTED UNITS]])</f>
        <v/>
      </c>
      <c r="E17" s="184" t="str">
        <f xml:space="preserve">
IF(CHSHTATbl[[#This Row],[UNRESTRICTED TOTAL REQUESTED]]=0,"",
CHSHTATbl[[#This Row],[UNRESTRICTED TOTAL REQUESTED]]*
IF(CH_SHTA_UnrestrictedTotalRequested&lt;=500000,1,
500000/CH_SHTA_UnrestrictedTotalRequested)
)</f>
        <v/>
      </c>
      <c r="F17" s="185" t="str">
        <f>IF(CHSHTATbl[[#This Row],[UNRESTRICTED % OF FUNDING]]=0,"",CHSHTATbl[[#This Row],[UNRESTRICTED % OF FUNDING]])</f>
        <v/>
      </c>
      <c r="G17" s="177" t="s">
        <v>513</v>
      </c>
      <c r="H17" s="183" t="str">
        <f>IF(CHSHTATbl[[#This Row],[MANUFACTURED UNITS]]=0,"",CHSHTATbl[[#This Row],[MANUFACTURED UNITS]])</f>
        <v/>
      </c>
      <c r="I17" s="187" t="str">
        <f xml:space="preserve">
IF(CHSHTATbl[[#This Row],[MANUFACTURED TOTAL REQUESTED]]=0,"",
CHSHTATbl[[#This Row],[MANUFACTURED TOTAL REQUESTED]]*
IF(CH_SHTA_ManufacturedTotalRequested&lt;=(500000-E$61),1,
(500000-E$61)/CH_SHTA_ManufacturedTotalRequested)
)</f>
        <v/>
      </c>
      <c r="J17" s="185" t="str">
        <f>IF(CHSHTATbl[[#This Row],[MANUFACTURED % OF FUNDING]]=0,"",CHSHTATbl[[#This Row],[MANUFACTURED % OF FUNDING]])</f>
        <v/>
      </c>
      <c r="K17" s="177" t="s">
        <v>513</v>
      </c>
      <c r="L17" s="190" t="str">
        <f>IF(CHSHTATbl[[#This Row],[RURAL UNITS]]=0,"",CHSHTATbl[[#This Row],[RURAL UNITS]])</f>
        <v/>
      </c>
      <c r="M17" s="187" t="str">
        <f xml:space="preserve">
IF(CHSHTATbl[[#This Row],[RURAL TOTAL REQUESTED]]=0,"",
CHSHTATbl[[#This Row],[RURAL TOTAL REQUESTED]]*
IF(CH_SHTA_RuralTotalRequested&lt;=(500000-E$61-I$61),1,
(500000-E$61-I$61)/CH_SHTA_RuralTotalRequested)
)</f>
        <v/>
      </c>
      <c r="N17" s="191" t="str">
        <f>IF(CHSHTATbl[[#This Row],[RURAL % OF FUNDING]]=0,"",CHSHTATbl[[#This Row],[RURAL % OF FUNDING]])</f>
        <v/>
      </c>
      <c r="O17" s="177" t="s">
        <v>513</v>
      </c>
      <c r="P17" s="193" t="str">
        <f>IF(CHSHTATbl[[#This Row],[MFD RURAL UNITS]]=0,"",CHSHTATbl[[#This Row],[MFD RURAL UNITS]])</f>
        <v/>
      </c>
      <c r="Q17" s="187" t="str">
        <f xml:space="preserve">
IF(CHSHTATbl[[#This Row],[MFD RURAL TOTAL REQUESTED]]=0,"",
CHSHTATbl[[#This Row],[MFD RURAL TOTAL REQUESTED]]*
IF(CH_SHTA_MFDRuralTotalRequested&lt;=(500000-E$61-I$61-M$61),1,
(500000-E$61-I$61-M$61)/CH_SHTA_MFDRuralTotalRequested)
)</f>
        <v/>
      </c>
      <c r="R17" s="191" t="str">
        <f>IF(CHSHTATbl[[#This Row],[MFD RURAL % OF FUNDING]]=0,"",CHSHTATbl[[#This Row],[MFD RURAL % OF FUNDING]])</f>
        <v/>
      </c>
      <c r="S17" s="31"/>
      <c r="T17" s="163"/>
      <c r="U17" s="164"/>
      <c r="V17" s="199"/>
      <c r="W17" s="123"/>
      <c r="X17" s="161"/>
      <c r="Y17" s="198"/>
      <c r="Z17" s="74">
        <f t="shared" si="0"/>
        <v>0</v>
      </c>
      <c r="AA17" s="6">
        <f>IF(CHSHTATbl[[#This Row],[UNRESTRICTED TOTAL REQUESTED]]=0,0,CHSHTATbl[[#This Row],[UNRESTRICTED TOTAL REQUESTED]]/CH_SHTA_UnrestrictedTotalRequested)</f>
        <v>0</v>
      </c>
      <c r="AB17" s="752">
        <f>IF(CHSHTATbl[[#This Row],[ALL UNITS IN A HIGH OR HIGHEST RESOURCE AREA]]="Yes",10*CHSHTATbl[[#This Row],[UNRESTRICTED % OF FUNDING]],0)</f>
        <v>0</v>
      </c>
      <c r="AC17" s="752" cm="1">
        <f t="array" ref="AC17">INDEX(CountyScoresTbl[Community Need Total Points],ROW(CHSHTATbl[[#This Row],[COUNTY]])-2,1)*CHSHTATbl[[#This Row],[UNRESTRICTED % OF FUNDING]]</f>
        <v>0</v>
      </c>
      <c r="AD17" s="752" cm="1">
        <f t="array" ref="AD17">INDEX(CountyScoresTbl[SHTA Total Feasibility Points Awarded],ROW(CHSHTATbl[[#This Row],[COUNTY]])-2,1)*CHSHTATbl[[#This Row],[UNRESTRICTED % OF FUNDING]]</f>
        <v>0</v>
      </c>
      <c r="AE17" s="125"/>
      <c r="AF17" s="161"/>
      <c r="AG17" s="198"/>
      <c r="AH17" s="74">
        <f t="shared" si="1"/>
        <v>0</v>
      </c>
      <c r="AI17" s="9">
        <f>IF(CHSHTATbl[[#This Row],[MANUFACTURED TOTAL REQUESTED]]=0,0,CHSHTATbl[[#This Row],[MANUFACTURED TOTAL REQUESTED]]/CH_SHTA_ManufacturedTotalRequested)</f>
        <v>0</v>
      </c>
      <c r="AJ17" s="665">
        <f>IF(CHSHTATbl[[#This Row],[ALL UNITS IN A HIGH OR HIGHEST RESOURCE AREA]]="Yes",10*CHSHTATbl[[#This Row],[MANUFACTURED % OF FUNDING]],0)</f>
        <v>0</v>
      </c>
      <c r="AK17" s="665" cm="1">
        <f t="array" ref="AK17">INDEX(CountyScoresTbl[Community Need Total Points],ROW(CHSHTATbl[[#This Row],[COUNTY]])-2,1)*CHSHTATbl[[#This Row],[MANUFACTURED % OF FUNDING]]</f>
        <v>0</v>
      </c>
      <c r="AL17" s="666" cm="1">
        <f t="array" ref="AL17">INDEX(CountyScoresTbl[SHTA Total Feasibility Points Awarded],ROW(CHSHTATbl[[#This Row],[COUNTY]])-2,1)*CHSHTATbl[[#This Row],[MANUFACTURED % OF FUNDING]]</f>
        <v>0</v>
      </c>
      <c r="AM17" s="123"/>
      <c r="AN17" s="161"/>
      <c r="AO17" s="198"/>
      <c r="AP17" s="74">
        <f t="shared" si="2"/>
        <v>0</v>
      </c>
      <c r="AQ17" s="6">
        <f>IF(CHSHTATbl[[#This Row],[RURAL TOTAL REQUESTED]]=0,0,CHSHTATbl[[#This Row],[RURAL TOTAL REQUESTED]]/CH_SHTA_RuralTotalRequested)</f>
        <v>0</v>
      </c>
      <c r="AR17" s="665">
        <f>IF(CHSHTATbl[[#This Row],[ALL UNITS IN A HIGH OR HIGHEST RESOURCE AREA]]="Yes",10*CHSHTATbl[[#This Row],[RURAL % OF FUNDING]],0)</f>
        <v>0</v>
      </c>
      <c r="AS17" s="665" cm="1">
        <f t="array" ref="AS17">INDEX(CountyScoresTbl[Community Need Total Points],ROW(CHSHTATbl[[#This Row],[COUNTY]])-2,1)*CHSHTATbl[[#This Row],[RURAL % OF FUNDING]]</f>
        <v>0</v>
      </c>
      <c r="AT17" s="666" cm="1">
        <f t="array" ref="AT17">INDEX(CountyScoresTbl[SHTA Total Feasibility Points Awarded],ROW(CHSHTATbl[[#This Row],[COUNTY]])-2,1)*CHSHTATbl[[#This Row],[RURAL % OF FUNDING]]</f>
        <v>0</v>
      </c>
      <c r="AU17" s="123"/>
      <c r="AV17" s="161"/>
      <c r="AW17" s="198"/>
      <c r="AX17" s="74">
        <f t="shared" si="3"/>
        <v>0</v>
      </c>
      <c r="AY17" s="6">
        <f>IF(CHSHTATbl[[#This Row],[MFD RURAL TOTAL REQUESTED]]=0,0,CHSHTATbl[[#This Row],[MFD RURAL TOTAL REQUESTED]]/CH_SHTA_MFDRuralTotalRequested)</f>
        <v>0</v>
      </c>
      <c r="AZ17" s="665">
        <f>IF(CHSHTATbl[[#This Row],[ALL UNITS IN A HIGH OR HIGHEST RESOURCE AREA]]="Yes",10*CHSHTATbl[[#This Row],[MFD RURAL % OF FUNDING]],0)</f>
        <v>0</v>
      </c>
      <c r="BA17" s="665" cm="1">
        <f t="array" ref="BA17">INDEX(CountyScoresTbl[Community Need Total Points],ROW(CHSHTATbl[[#This Row],[COUNTY]])-2,1)*CHSHTATbl[[#This Row],[MFD RURAL % OF FUNDING]]</f>
        <v>0</v>
      </c>
      <c r="BB17" s="666" cm="1">
        <f t="array" ref="BB17">INDEX(CountyScoresTbl[SHTA Total Feasibility Points Awarded],ROW(CHSHTATbl[[#This Row],[COUNTY]])-2,1)*CHSHTATbl[[#This Row],[MFD RURAL % OF FUNDING]]</f>
        <v>0</v>
      </c>
      <c r="BC17" s="764"/>
      <c r="BD17" s="765">
        <f>IF(CHSHTATbl[[#This Row],[INFILL SITE]]="Yes",5,3)*CHSHTATbl[[#This Row],[UNRESTRICTED % OF FUNDING]]</f>
        <v>0</v>
      </c>
      <c r="BE17" s="694">
        <f>IF(CHSHTATbl[[#This Row],[INFILL SITE]]="Yes",5,3)*CHSHTATbl[[#This Row],[MANUFACTURED % OF FUNDING]]</f>
        <v>0</v>
      </c>
      <c r="BF17" s="694">
        <f>IF(CHSHTATbl[[#This Row],[INFILL SITE]]="Yes",5,3)*CHSHTATbl[[#This Row],[RURAL % OF FUNDING]]</f>
        <v>0</v>
      </c>
      <c r="BG17" s="694">
        <f>IF(CHSHTATbl[[#This Row],[INFILL SITE]]="Yes",5,3)*CHSHTATbl[[#This Row],[MFD RURAL % OF FUNDING]]</f>
        <v>0</v>
      </c>
    </row>
    <row r="18" spans="1:59" x14ac:dyDescent="0.35">
      <c r="A18" s="167"/>
      <c r="B18" s="179" t="s">
        <v>130</v>
      </c>
      <c r="C18" s="177" t="s">
        <v>513</v>
      </c>
      <c r="D18" s="183" t="str">
        <f>IF(CHSHTATbl[[#This Row],[UNRESTRICTED UNITS]]=0,"",CHSHTATbl[[#This Row],[UNRESTRICTED UNITS]])</f>
        <v/>
      </c>
      <c r="E18" s="184" t="str">
        <f xml:space="preserve">
IF(CHSHTATbl[[#This Row],[UNRESTRICTED TOTAL REQUESTED]]=0,"",
CHSHTATbl[[#This Row],[UNRESTRICTED TOTAL REQUESTED]]*
IF(CH_SHTA_UnrestrictedTotalRequested&lt;=500000,1,
500000/CH_SHTA_UnrestrictedTotalRequested)
)</f>
        <v/>
      </c>
      <c r="F18" s="185" t="str">
        <f>IF(CHSHTATbl[[#This Row],[UNRESTRICTED % OF FUNDING]]=0,"",CHSHTATbl[[#This Row],[UNRESTRICTED % OF FUNDING]])</f>
        <v/>
      </c>
      <c r="G18" s="177" t="s">
        <v>513</v>
      </c>
      <c r="H18" s="183" t="str">
        <f>IF(CHSHTATbl[[#This Row],[MANUFACTURED UNITS]]=0,"",CHSHTATbl[[#This Row],[MANUFACTURED UNITS]])</f>
        <v/>
      </c>
      <c r="I18" s="187" t="str">
        <f xml:space="preserve">
IF(CHSHTATbl[[#This Row],[MANUFACTURED TOTAL REQUESTED]]=0,"",
CHSHTATbl[[#This Row],[MANUFACTURED TOTAL REQUESTED]]*
IF(CH_SHTA_ManufacturedTotalRequested&lt;=(500000-E$61),1,
(500000-E$61)/CH_SHTA_ManufacturedTotalRequested)
)</f>
        <v/>
      </c>
      <c r="J18" s="185" t="str">
        <f>IF(CHSHTATbl[[#This Row],[MANUFACTURED % OF FUNDING]]=0,"",CHSHTATbl[[#This Row],[MANUFACTURED % OF FUNDING]])</f>
        <v/>
      </c>
      <c r="K18" s="177" t="s">
        <v>513</v>
      </c>
      <c r="L18" s="190" t="str">
        <f>IF(CHSHTATbl[[#This Row],[RURAL UNITS]]=0,"",CHSHTATbl[[#This Row],[RURAL UNITS]])</f>
        <v/>
      </c>
      <c r="M18" s="187" t="str">
        <f xml:space="preserve">
IF(CHSHTATbl[[#This Row],[RURAL TOTAL REQUESTED]]=0,"",
CHSHTATbl[[#This Row],[RURAL TOTAL REQUESTED]]*
IF(CH_SHTA_RuralTotalRequested&lt;=(500000-E$61-I$61),1,
(500000-E$61-I$61)/CH_SHTA_RuralTotalRequested)
)</f>
        <v/>
      </c>
      <c r="N18" s="191" t="str">
        <f>IF(CHSHTATbl[[#This Row],[RURAL % OF FUNDING]]=0,"",CHSHTATbl[[#This Row],[RURAL % OF FUNDING]])</f>
        <v/>
      </c>
      <c r="O18" s="177" t="s">
        <v>513</v>
      </c>
      <c r="P18" s="193" t="str">
        <f>IF(CHSHTATbl[[#This Row],[MFD RURAL UNITS]]=0,"",CHSHTATbl[[#This Row],[MFD RURAL UNITS]])</f>
        <v/>
      </c>
      <c r="Q18" s="187" t="str">
        <f xml:space="preserve">
IF(CHSHTATbl[[#This Row],[MFD RURAL TOTAL REQUESTED]]=0,"",
CHSHTATbl[[#This Row],[MFD RURAL TOTAL REQUESTED]]*
IF(CH_SHTA_MFDRuralTotalRequested&lt;=(500000-E$61-I$61-M$61),1,
(500000-E$61-I$61-M$61)/CH_SHTA_MFDRuralTotalRequested)
)</f>
        <v/>
      </c>
      <c r="R18" s="191" t="str">
        <f>IF(CHSHTATbl[[#This Row],[MFD RURAL % OF FUNDING]]=0,"",CHSHTATbl[[#This Row],[MFD RURAL % OF FUNDING]])</f>
        <v/>
      </c>
      <c r="S18" s="31"/>
      <c r="T18" s="163"/>
      <c r="U18" s="164"/>
      <c r="V18" s="199"/>
      <c r="W18" s="123"/>
      <c r="X18" s="161"/>
      <c r="Y18" s="198"/>
      <c r="Z18" s="74">
        <f t="shared" si="0"/>
        <v>0</v>
      </c>
      <c r="AA18" s="6">
        <f>IF(CHSHTATbl[[#This Row],[UNRESTRICTED TOTAL REQUESTED]]=0,0,CHSHTATbl[[#This Row],[UNRESTRICTED TOTAL REQUESTED]]/CH_SHTA_UnrestrictedTotalRequested)</f>
        <v>0</v>
      </c>
      <c r="AB18" s="752">
        <f>IF(CHSHTATbl[[#This Row],[ALL UNITS IN A HIGH OR HIGHEST RESOURCE AREA]]="Yes",10*CHSHTATbl[[#This Row],[UNRESTRICTED % OF FUNDING]],0)</f>
        <v>0</v>
      </c>
      <c r="AC18" s="752" cm="1">
        <f t="array" ref="AC18">INDEX(CountyScoresTbl[Community Need Total Points],ROW(CHSHTATbl[[#This Row],[COUNTY]])-2,1)*CHSHTATbl[[#This Row],[UNRESTRICTED % OF FUNDING]]</f>
        <v>0</v>
      </c>
      <c r="AD18" s="752" cm="1">
        <f t="array" ref="AD18">INDEX(CountyScoresTbl[SHTA Total Feasibility Points Awarded],ROW(CHSHTATbl[[#This Row],[COUNTY]])-2,1)*CHSHTATbl[[#This Row],[UNRESTRICTED % OF FUNDING]]</f>
        <v>0</v>
      </c>
      <c r="AE18" s="125"/>
      <c r="AF18" s="161"/>
      <c r="AG18" s="198"/>
      <c r="AH18" s="74">
        <f t="shared" si="1"/>
        <v>0</v>
      </c>
      <c r="AI18" s="9">
        <f>IF(CHSHTATbl[[#This Row],[MANUFACTURED TOTAL REQUESTED]]=0,0,CHSHTATbl[[#This Row],[MANUFACTURED TOTAL REQUESTED]]/CH_SHTA_ManufacturedTotalRequested)</f>
        <v>0</v>
      </c>
      <c r="AJ18" s="665">
        <f>IF(CHSHTATbl[[#This Row],[ALL UNITS IN A HIGH OR HIGHEST RESOURCE AREA]]="Yes",10*CHSHTATbl[[#This Row],[MANUFACTURED % OF FUNDING]],0)</f>
        <v>0</v>
      </c>
      <c r="AK18" s="665" cm="1">
        <f t="array" ref="AK18">INDEX(CountyScoresTbl[Community Need Total Points],ROW(CHSHTATbl[[#This Row],[COUNTY]])-2,1)*CHSHTATbl[[#This Row],[MANUFACTURED % OF FUNDING]]</f>
        <v>0</v>
      </c>
      <c r="AL18" s="666" cm="1">
        <f t="array" ref="AL18">INDEX(CountyScoresTbl[SHTA Total Feasibility Points Awarded],ROW(CHSHTATbl[[#This Row],[COUNTY]])-2,1)*CHSHTATbl[[#This Row],[MANUFACTURED % OF FUNDING]]</f>
        <v>0</v>
      </c>
      <c r="AM18" s="123"/>
      <c r="AN18" s="161"/>
      <c r="AO18" s="198"/>
      <c r="AP18" s="74">
        <f t="shared" si="2"/>
        <v>0</v>
      </c>
      <c r="AQ18" s="6">
        <f>IF(CHSHTATbl[[#This Row],[RURAL TOTAL REQUESTED]]=0,0,CHSHTATbl[[#This Row],[RURAL TOTAL REQUESTED]]/CH_SHTA_RuralTotalRequested)</f>
        <v>0</v>
      </c>
      <c r="AR18" s="665">
        <f>IF(CHSHTATbl[[#This Row],[ALL UNITS IN A HIGH OR HIGHEST RESOURCE AREA]]="Yes",10*CHSHTATbl[[#This Row],[RURAL % OF FUNDING]],0)</f>
        <v>0</v>
      </c>
      <c r="AS18" s="665" cm="1">
        <f t="array" ref="AS18">INDEX(CountyScoresTbl[Community Need Total Points],ROW(CHSHTATbl[[#This Row],[COUNTY]])-2,1)*CHSHTATbl[[#This Row],[RURAL % OF FUNDING]]</f>
        <v>0</v>
      </c>
      <c r="AT18" s="666" cm="1">
        <f t="array" ref="AT18">INDEX(CountyScoresTbl[SHTA Total Feasibility Points Awarded],ROW(CHSHTATbl[[#This Row],[COUNTY]])-2,1)*CHSHTATbl[[#This Row],[RURAL % OF FUNDING]]</f>
        <v>0</v>
      </c>
      <c r="AU18" s="123"/>
      <c r="AV18" s="161"/>
      <c r="AW18" s="198"/>
      <c r="AX18" s="74">
        <f t="shared" si="3"/>
        <v>0</v>
      </c>
      <c r="AY18" s="6">
        <f>IF(CHSHTATbl[[#This Row],[MFD RURAL TOTAL REQUESTED]]=0,0,CHSHTATbl[[#This Row],[MFD RURAL TOTAL REQUESTED]]/CH_SHTA_MFDRuralTotalRequested)</f>
        <v>0</v>
      </c>
      <c r="AZ18" s="665">
        <f>IF(CHSHTATbl[[#This Row],[ALL UNITS IN A HIGH OR HIGHEST RESOURCE AREA]]="Yes",10*CHSHTATbl[[#This Row],[MFD RURAL % OF FUNDING]],0)</f>
        <v>0</v>
      </c>
      <c r="BA18" s="665" cm="1">
        <f t="array" ref="BA18">INDEX(CountyScoresTbl[Community Need Total Points],ROW(CHSHTATbl[[#This Row],[COUNTY]])-2,1)*CHSHTATbl[[#This Row],[MFD RURAL % OF FUNDING]]</f>
        <v>0</v>
      </c>
      <c r="BB18" s="666" cm="1">
        <f t="array" ref="BB18">INDEX(CountyScoresTbl[SHTA Total Feasibility Points Awarded],ROW(CHSHTATbl[[#This Row],[COUNTY]])-2,1)*CHSHTATbl[[#This Row],[MFD RURAL % OF FUNDING]]</f>
        <v>0</v>
      </c>
      <c r="BC18" s="764"/>
      <c r="BD18" s="765">
        <f>IF(CHSHTATbl[[#This Row],[INFILL SITE]]="Yes",5,3)*CHSHTATbl[[#This Row],[UNRESTRICTED % OF FUNDING]]</f>
        <v>0</v>
      </c>
      <c r="BE18" s="694">
        <f>IF(CHSHTATbl[[#This Row],[INFILL SITE]]="Yes",5,3)*CHSHTATbl[[#This Row],[MANUFACTURED % OF FUNDING]]</f>
        <v>0</v>
      </c>
      <c r="BF18" s="694">
        <f>IF(CHSHTATbl[[#This Row],[INFILL SITE]]="Yes",5,3)*CHSHTATbl[[#This Row],[RURAL % OF FUNDING]]</f>
        <v>0</v>
      </c>
      <c r="BG18" s="694">
        <f>IF(CHSHTATbl[[#This Row],[INFILL SITE]]="Yes",5,3)*CHSHTATbl[[#This Row],[MFD RURAL % OF FUNDING]]</f>
        <v>0</v>
      </c>
    </row>
    <row r="19" spans="1:59" x14ac:dyDescent="0.35">
      <c r="A19" s="167" t="s">
        <v>504</v>
      </c>
      <c r="B19" s="179" t="s">
        <v>131</v>
      </c>
      <c r="C19" s="177" t="s">
        <v>513</v>
      </c>
      <c r="D19" s="183" t="str">
        <f>IF(CHSHTATbl[[#This Row],[UNRESTRICTED UNITS]]=0,"",CHSHTATbl[[#This Row],[UNRESTRICTED UNITS]])</f>
        <v/>
      </c>
      <c r="E19" s="184" t="str">
        <f xml:space="preserve">
IF(CHSHTATbl[[#This Row],[UNRESTRICTED TOTAL REQUESTED]]=0,"",
CHSHTATbl[[#This Row],[UNRESTRICTED TOTAL REQUESTED]]*
IF(CH_SHTA_UnrestrictedTotalRequested&lt;=500000,1,
500000/CH_SHTA_UnrestrictedTotalRequested)
)</f>
        <v/>
      </c>
      <c r="F19" s="185" t="str">
        <f>IF(CHSHTATbl[[#This Row],[UNRESTRICTED % OF FUNDING]]=0,"",CHSHTATbl[[#This Row],[UNRESTRICTED % OF FUNDING]])</f>
        <v/>
      </c>
      <c r="G19" s="177" t="s">
        <v>513</v>
      </c>
      <c r="H19" s="183" t="str">
        <f>IF(CHSHTATbl[[#This Row],[MANUFACTURED UNITS]]=0,"",CHSHTATbl[[#This Row],[MANUFACTURED UNITS]])</f>
        <v/>
      </c>
      <c r="I19" s="187" t="str">
        <f xml:space="preserve">
IF(CHSHTATbl[[#This Row],[MANUFACTURED TOTAL REQUESTED]]=0,"",
CHSHTATbl[[#This Row],[MANUFACTURED TOTAL REQUESTED]]*
IF(CH_SHTA_ManufacturedTotalRequested&lt;=(500000-E$61),1,
(500000-E$61)/CH_SHTA_ManufacturedTotalRequested)
)</f>
        <v/>
      </c>
      <c r="J19" s="185" t="str">
        <f>IF(CHSHTATbl[[#This Row],[MANUFACTURED % OF FUNDING]]=0,"",CHSHTATbl[[#This Row],[MANUFACTURED % OF FUNDING]])</f>
        <v/>
      </c>
      <c r="K19" s="177" t="s">
        <v>513</v>
      </c>
      <c r="L19" s="190" t="str">
        <f>IF(CHSHTATbl[[#This Row],[RURAL UNITS]]=0,"",CHSHTATbl[[#This Row],[RURAL UNITS]])</f>
        <v/>
      </c>
      <c r="M19" s="187" t="str">
        <f xml:space="preserve">
IF(CHSHTATbl[[#This Row],[RURAL TOTAL REQUESTED]]=0,"",
CHSHTATbl[[#This Row],[RURAL TOTAL REQUESTED]]*
IF(CH_SHTA_RuralTotalRequested&lt;=(500000-E$61-I$61),1,
(500000-E$61-I$61)/CH_SHTA_RuralTotalRequested)
)</f>
        <v/>
      </c>
      <c r="N19" s="191" t="str">
        <f>IF(CHSHTATbl[[#This Row],[RURAL % OF FUNDING]]=0,"",CHSHTATbl[[#This Row],[RURAL % OF FUNDING]])</f>
        <v/>
      </c>
      <c r="O19" s="177" t="s">
        <v>513</v>
      </c>
      <c r="P19" s="193" t="str">
        <f>IF(CHSHTATbl[[#This Row],[MFD RURAL UNITS]]=0,"",CHSHTATbl[[#This Row],[MFD RURAL UNITS]])</f>
        <v/>
      </c>
      <c r="Q19" s="187" t="str">
        <f xml:space="preserve">
IF(CHSHTATbl[[#This Row],[MFD RURAL TOTAL REQUESTED]]=0,"",
CHSHTATbl[[#This Row],[MFD RURAL TOTAL REQUESTED]]*
IF(CH_SHTA_MFDRuralTotalRequested&lt;=(500000-E$61-I$61-M$61),1,
(500000-E$61-I$61-M$61)/CH_SHTA_MFDRuralTotalRequested)
)</f>
        <v/>
      </c>
      <c r="R19" s="191" t="str">
        <f>IF(CHSHTATbl[[#This Row],[MFD RURAL % OF FUNDING]]=0,"",CHSHTATbl[[#This Row],[MFD RURAL % OF FUNDING]])</f>
        <v/>
      </c>
      <c r="S19" s="31"/>
      <c r="T19" s="163" t="s">
        <v>504</v>
      </c>
      <c r="U19" s="164"/>
      <c r="V19" s="199" t="s">
        <v>504</v>
      </c>
      <c r="W19" s="123"/>
      <c r="X19" s="161"/>
      <c r="Y19" s="198"/>
      <c r="Z19" s="74">
        <f t="shared" si="0"/>
        <v>0</v>
      </c>
      <c r="AA19" s="6">
        <f>IF(CHSHTATbl[[#This Row],[UNRESTRICTED TOTAL REQUESTED]]=0,0,CHSHTATbl[[#This Row],[UNRESTRICTED TOTAL REQUESTED]]/CH_SHTA_UnrestrictedTotalRequested)</f>
        <v>0</v>
      </c>
      <c r="AB19" s="752">
        <f>IF(CHSHTATbl[[#This Row],[ALL UNITS IN A HIGH OR HIGHEST RESOURCE AREA]]="Yes",10*CHSHTATbl[[#This Row],[UNRESTRICTED % OF FUNDING]],0)</f>
        <v>0</v>
      </c>
      <c r="AC19" s="752" cm="1">
        <f t="array" ref="AC19">INDEX(CountyScoresTbl[Community Need Total Points],ROW(CHSHTATbl[[#This Row],[COUNTY]])-2,1)*CHSHTATbl[[#This Row],[UNRESTRICTED % OF FUNDING]]</f>
        <v>0</v>
      </c>
      <c r="AD19" s="752" cm="1">
        <f t="array" ref="AD19">INDEX(CountyScoresTbl[SHTA Total Feasibility Points Awarded],ROW(CHSHTATbl[[#This Row],[COUNTY]])-2,1)*CHSHTATbl[[#This Row],[UNRESTRICTED % OF FUNDING]]</f>
        <v>0</v>
      </c>
      <c r="AE19" s="125"/>
      <c r="AF19" s="161"/>
      <c r="AG19" s="198"/>
      <c r="AH19" s="74">
        <f t="shared" si="1"/>
        <v>0</v>
      </c>
      <c r="AI19" s="9">
        <f>IF(CHSHTATbl[[#This Row],[MANUFACTURED TOTAL REQUESTED]]=0,0,CHSHTATbl[[#This Row],[MANUFACTURED TOTAL REQUESTED]]/CH_SHTA_ManufacturedTotalRequested)</f>
        <v>0</v>
      </c>
      <c r="AJ19" s="665">
        <f>IF(CHSHTATbl[[#This Row],[ALL UNITS IN A HIGH OR HIGHEST RESOURCE AREA]]="Yes",10*CHSHTATbl[[#This Row],[MANUFACTURED % OF FUNDING]],0)</f>
        <v>0</v>
      </c>
      <c r="AK19" s="665" cm="1">
        <f t="array" ref="AK19">INDEX(CountyScoresTbl[Community Need Total Points],ROW(CHSHTATbl[[#This Row],[COUNTY]])-2,1)*CHSHTATbl[[#This Row],[MANUFACTURED % OF FUNDING]]</f>
        <v>0</v>
      </c>
      <c r="AL19" s="666" cm="1">
        <f t="array" ref="AL19">INDEX(CountyScoresTbl[SHTA Total Feasibility Points Awarded],ROW(CHSHTATbl[[#This Row],[COUNTY]])-2,1)*CHSHTATbl[[#This Row],[MANUFACTURED % OF FUNDING]]</f>
        <v>0</v>
      </c>
      <c r="AM19" s="123"/>
      <c r="AN19" s="161"/>
      <c r="AO19" s="198"/>
      <c r="AP19" s="74">
        <f t="shared" si="2"/>
        <v>0</v>
      </c>
      <c r="AQ19" s="6">
        <f>IF(CHSHTATbl[[#This Row],[RURAL TOTAL REQUESTED]]=0,0,CHSHTATbl[[#This Row],[RURAL TOTAL REQUESTED]]/CH_SHTA_RuralTotalRequested)</f>
        <v>0</v>
      </c>
      <c r="AR19" s="665">
        <f>IF(CHSHTATbl[[#This Row],[ALL UNITS IN A HIGH OR HIGHEST RESOURCE AREA]]="Yes",10*CHSHTATbl[[#This Row],[RURAL % OF FUNDING]],0)</f>
        <v>0</v>
      </c>
      <c r="AS19" s="665" cm="1">
        <f t="array" ref="AS19">INDEX(CountyScoresTbl[Community Need Total Points],ROW(CHSHTATbl[[#This Row],[COUNTY]])-2,1)*CHSHTATbl[[#This Row],[RURAL % OF FUNDING]]</f>
        <v>0</v>
      </c>
      <c r="AT19" s="666" cm="1">
        <f t="array" ref="AT19">INDEX(CountyScoresTbl[SHTA Total Feasibility Points Awarded],ROW(CHSHTATbl[[#This Row],[COUNTY]])-2,1)*CHSHTATbl[[#This Row],[RURAL % OF FUNDING]]</f>
        <v>0</v>
      </c>
      <c r="AU19" s="123"/>
      <c r="AV19" s="161"/>
      <c r="AW19" s="198"/>
      <c r="AX19" s="74">
        <f t="shared" si="3"/>
        <v>0</v>
      </c>
      <c r="AY19" s="6">
        <f>IF(CHSHTATbl[[#This Row],[MFD RURAL TOTAL REQUESTED]]=0,0,CHSHTATbl[[#This Row],[MFD RURAL TOTAL REQUESTED]]/CH_SHTA_MFDRuralTotalRequested)</f>
        <v>0</v>
      </c>
      <c r="AZ19" s="665">
        <f>IF(CHSHTATbl[[#This Row],[ALL UNITS IN A HIGH OR HIGHEST RESOURCE AREA]]="Yes",10*CHSHTATbl[[#This Row],[MFD RURAL % OF FUNDING]],0)</f>
        <v>0</v>
      </c>
      <c r="BA19" s="665" cm="1">
        <f t="array" ref="BA19">INDEX(CountyScoresTbl[Community Need Total Points],ROW(CHSHTATbl[[#This Row],[COUNTY]])-2,1)*CHSHTATbl[[#This Row],[MFD RURAL % OF FUNDING]]</f>
        <v>0</v>
      </c>
      <c r="BB19" s="666" cm="1">
        <f t="array" ref="BB19">INDEX(CountyScoresTbl[SHTA Total Feasibility Points Awarded],ROW(CHSHTATbl[[#This Row],[COUNTY]])-2,1)*CHSHTATbl[[#This Row],[MFD RURAL % OF FUNDING]]</f>
        <v>0</v>
      </c>
      <c r="BC19" s="764"/>
      <c r="BD19" s="765">
        <f>IF(CHSHTATbl[[#This Row],[INFILL SITE]]="Yes",5,3)*CHSHTATbl[[#This Row],[UNRESTRICTED % OF FUNDING]]</f>
        <v>0</v>
      </c>
      <c r="BE19" s="694">
        <f>IF(CHSHTATbl[[#This Row],[INFILL SITE]]="Yes",5,3)*CHSHTATbl[[#This Row],[MANUFACTURED % OF FUNDING]]</f>
        <v>0</v>
      </c>
      <c r="BF19" s="694">
        <f>IF(CHSHTATbl[[#This Row],[INFILL SITE]]="Yes",5,3)*CHSHTATbl[[#This Row],[RURAL % OF FUNDING]]</f>
        <v>0</v>
      </c>
      <c r="BG19" s="694">
        <f>IF(CHSHTATbl[[#This Row],[INFILL SITE]]="Yes",5,3)*CHSHTATbl[[#This Row],[MFD RURAL % OF FUNDING]]</f>
        <v>0</v>
      </c>
    </row>
    <row r="20" spans="1:59" x14ac:dyDescent="0.35">
      <c r="A20" s="124"/>
      <c r="B20" s="179" t="s">
        <v>132</v>
      </c>
      <c r="C20" s="177" t="s">
        <v>513</v>
      </c>
      <c r="D20" s="183" t="str">
        <f>IF(CHSHTATbl[[#This Row],[UNRESTRICTED UNITS]]=0,"",CHSHTATbl[[#This Row],[UNRESTRICTED UNITS]])</f>
        <v/>
      </c>
      <c r="E20" s="184" t="str">
        <f xml:space="preserve">
IF(CHSHTATbl[[#This Row],[UNRESTRICTED TOTAL REQUESTED]]=0,"",
CHSHTATbl[[#This Row],[UNRESTRICTED TOTAL REQUESTED]]*
IF(CH_SHTA_UnrestrictedTotalRequested&lt;=500000,1,
500000/CH_SHTA_UnrestrictedTotalRequested)
)</f>
        <v/>
      </c>
      <c r="F20" s="185" t="str">
        <f>IF(CHSHTATbl[[#This Row],[UNRESTRICTED % OF FUNDING]]=0,"",CHSHTATbl[[#This Row],[UNRESTRICTED % OF FUNDING]])</f>
        <v/>
      </c>
      <c r="G20" s="177" t="s">
        <v>513</v>
      </c>
      <c r="H20" s="183" t="str">
        <f>IF(CHSHTATbl[[#This Row],[MANUFACTURED UNITS]]=0,"",CHSHTATbl[[#This Row],[MANUFACTURED UNITS]])</f>
        <v/>
      </c>
      <c r="I20" s="187" t="str">
        <f xml:space="preserve">
IF(CHSHTATbl[[#This Row],[MANUFACTURED TOTAL REQUESTED]]=0,"",
CHSHTATbl[[#This Row],[MANUFACTURED TOTAL REQUESTED]]*
IF(CH_SHTA_ManufacturedTotalRequested&lt;=(500000-E$61),1,
(500000-E$61)/CH_SHTA_ManufacturedTotalRequested)
)</f>
        <v/>
      </c>
      <c r="J20" s="185" t="str">
        <f>IF(CHSHTATbl[[#This Row],[MANUFACTURED % OF FUNDING]]=0,"",CHSHTATbl[[#This Row],[MANUFACTURED % OF FUNDING]])</f>
        <v/>
      </c>
      <c r="K20" s="177" t="s">
        <v>513</v>
      </c>
      <c r="L20" s="190" t="str">
        <f>IF(CHSHTATbl[[#This Row],[RURAL UNITS]]=0,"",CHSHTATbl[[#This Row],[RURAL UNITS]])</f>
        <v/>
      </c>
      <c r="M20" s="187" t="str">
        <f xml:space="preserve">
IF(CHSHTATbl[[#This Row],[RURAL TOTAL REQUESTED]]=0,"",
CHSHTATbl[[#This Row],[RURAL TOTAL REQUESTED]]*
IF(CH_SHTA_RuralTotalRequested&lt;=(500000-E$61-I$61),1,
(500000-E$61-I$61)/CH_SHTA_RuralTotalRequested)
)</f>
        <v/>
      </c>
      <c r="N20" s="191" t="str">
        <f>IF(CHSHTATbl[[#This Row],[RURAL % OF FUNDING]]=0,"",CHSHTATbl[[#This Row],[RURAL % OF FUNDING]])</f>
        <v/>
      </c>
      <c r="O20" s="177" t="s">
        <v>513</v>
      </c>
      <c r="P20" s="193" t="str">
        <f>IF(CHSHTATbl[[#This Row],[MFD RURAL UNITS]]=0,"",CHSHTATbl[[#This Row],[MFD RURAL UNITS]])</f>
        <v/>
      </c>
      <c r="Q20" s="187" t="str">
        <f xml:space="preserve">
IF(CHSHTATbl[[#This Row],[MFD RURAL TOTAL REQUESTED]]=0,"",
CHSHTATbl[[#This Row],[MFD RURAL TOTAL REQUESTED]]*
IF(CH_SHTA_MFDRuralTotalRequested&lt;=(500000-E$61-I$61-M$61),1,
(500000-E$61-I$61-M$61)/CH_SHTA_MFDRuralTotalRequested)
)</f>
        <v/>
      </c>
      <c r="R20" s="191" t="str">
        <f>IF(CHSHTATbl[[#This Row],[MFD RURAL % OF FUNDING]]=0,"",CHSHTATbl[[#This Row],[MFD RURAL % OF FUNDING]])</f>
        <v/>
      </c>
      <c r="S20" s="31"/>
      <c r="T20" s="196"/>
      <c r="U20" s="119"/>
      <c r="V20" s="197"/>
      <c r="W20" s="123"/>
      <c r="X20" s="161"/>
      <c r="Y20" s="198"/>
      <c r="Z20" s="74">
        <f t="shared" si="0"/>
        <v>0</v>
      </c>
      <c r="AA20" s="6">
        <f>IF(CHSHTATbl[[#This Row],[UNRESTRICTED TOTAL REQUESTED]]=0,0,CHSHTATbl[[#This Row],[UNRESTRICTED TOTAL REQUESTED]]/CH_SHTA_UnrestrictedTotalRequested)</f>
        <v>0</v>
      </c>
      <c r="AB20" s="752">
        <f>IF(CHSHTATbl[[#This Row],[ALL UNITS IN A HIGH OR HIGHEST RESOURCE AREA]]="Yes",10*CHSHTATbl[[#This Row],[UNRESTRICTED % OF FUNDING]],0)</f>
        <v>0</v>
      </c>
      <c r="AC20" s="752" cm="1">
        <f t="array" ref="AC20">INDEX(CountyScoresTbl[Community Need Total Points],ROW(CHSHTATbl[[#This Row],[COUNTY]])-2,1)*CHSHTATbl[[#This Row],[UNRESTRICTED % OF FUNDING]]</f>
        <v>0</v>
      </c>
      <c r="AD20" s="752" cm="1">
        <f t="array" ref="AD20">INDEX(CountyScoresTbl[SHTA Total Feasibility Points Awarded],ROW(CHSHTATbl[[#This Row],[COUNTY]])-2,1)*CHSHTATbl[[#This Row],[UNRESTRICTED % OF FUNDING]]</f>
        <v>0</v>
      </c>
      <c r="AE20" s="125"/>
      <c r="AF20" s="161"/>
      <c r="AG20" s="198"/>
      <c r="AH20" s="74">
        <f t="shared" si="1"/>
        <v>0</v>
      </c>
      <c r="AI20" s="9">
        <f>IF(CHSHTATbl[[#This Row],[MANUFACTURED TOTAL REQUESTED]]=0,0,CHSHTATbl[[#This Row],[MANUFACTURED TOTAL REQUESTED]]/CH_SHTA_ManufacturedTotalRequested)</f>
        <v>0</v>
      </c>
      <c r="AJ20" s="665">
        <f>IF(CHSHTATbl[[#This Row],[ALL UNITS IN A HIGH OR HIGHEST RESOURCE AREA]]="Yes",10*CHSHTATbl[[#This Row],[MANUFACTURED % OF FUNDING]],0)</f>
        <v>0</v>
      </c>
      <c r="AK20" s="665" cm="1">
        <f t="array" ref="AK20">INDEX(CountyScoresTbl[Community Need Total Points],ROW(CHSHTATbl[[#This Row],[COUNTY]])-2,1)*CHSHTATbl[[#This Row],[MANUFACTURED % OF FUNDING]]</f>
        <v>0</v>
      </c>
      <c r="AL20" s="666" cm="1">
        <f t="array" ref="AL20">INDEX(CountyScoresTbl[SHTA Total Feasibility Points Awarded],ROW(CHSHTATbl[[#This Row],[COUNTY]])-2,1)*CHSHTATbl[[#This Row],[MANUFACTURED % OF FUNDING]]</f>
        <v>0</v>
      </c>
      <c r="AM20" s="123"/>
      <c r="AN20" s="161"/>
      <c r="AO20" s="198"/>
      <c r="AP20" s="74">
        <f t="shared" si="2"/>
        <v>0</v>
      </c>
      <c r="AQ20" s="6">
        <f>IF(CHSHTATbl[[#This Row],[RURAL TOTAL REQUESTED]]=0,0,CHSHTATbl[[#This Row],[RURAL TOTAL REQUESTED]]/CH_SHTA_RuralTotalRequested)</f>
        <v>0</v>
      </c>
      <c r="AR20" s="665">
        <f>IF(CHSHTATbl[[#This Row],[ALL UNITS IN A HIGH OR HIGHEST RESOURCE AREA]]="Yes",10*CHSHTATbl[[#This Row],[RURAL % OF FUNDING]],0)</f>
        <v>0</v>
      </c>
      <c r="AS20" s="665" cm="1">
        <f t="array" ref="AS20">INDEX(CountyScoresTbl[Community Need Total Points],ROW(CHSHTATbl[[#This Row],[COUNTY]])-2,1)*CHSHTATbl[[#This Row],[RURAL % OF FUNDING]]</f>
        <v>0</v>
      </c>
      <c r="AT20" s="666" cm="1">
        <f t="array" ref="AT20">INDEX(CountyScoresTbl[SHTA Total Feasibility Points Awarded],ROW(CHSHTATbl[[#This Row],[COUNTY]])-2,1)*CHSHTATbl[[#This Row],[RURAL % OF FUNDING]]</f>
        <v>0</v>
      </c>
      <c r="AU20" s="123"/>
      <c r="AV20" s="161"/>
      <c r="AW20" s="198"/>
      <c r="AX20" s="74">
        <f t="shared" si="3"/>
        <v>0</v>
      </c>
      <c r="AY20" s="6">
        <f>IF(CHSHTATbl[[#This Row],[MFD RURAL TOTAL REQUESTED]]=0,0,CHSHTATbl[[#This Row],[MFD RURAL TOTAL REQUESTED]]/CH_SHTA_MFDRuralTotalRequested)</f>
        <v>0</v>
      </c>
      <c r="AZ20" s="665">
        <f>IF(CHSHTATbl[[#This Row],[ALL UNITS IN A HIGH OR HIGHEST RESOURCE AREA]]="Yes",10*CHSHTATbl[[#This Row],[MFD RURAL % OF FUNDING]],0)</f>
        <v>0</v>
      </c>
      <c r="BA20" s="665" cm="1">
        <f t="array" ref="BA20">INDEX(CountyScoresTbl[Community Need Total Points],ROW(CHSHTATbl[[#This Row],[COUNTY]])-2,1)*CHSHTATbl[[#This Row],[MFD RURAL % OF FUNDING]]</f>
        <v>0</v>
      </c>
      <c r="BB20" s="666" cm="1">
        <f t="array" ref="BB20">INDEX(CountyScoresTbl[SHTA Total Feasibility Points Awarded],ROW(CHSHTATbl[[#This Row],[COUNTY]])-2,1)*CHSHTATbl[[#This Row],[MFD RURAL % OF FUNDING]]</f>
        <v>0</v>
      </c>
      <c r="BC20" s="764"/>
      <c r="BD20" s="765">
        <f>IF(CHSHTATbl[[#This Row],[INFILL SITE]]="Yes",5,3)*CHSHTATbl[[#This Row],[UNRESTRICTED % OF FUNDING]]</f>
        <v>0</v>
      </c>
      <c r="BE20" s="694">
        <f>IF(CHSHTATbl[[#This Row],[INFILL SITE]]="Yes",5,3)*CHSHTATbl[[#This Row],[MANUFACTURED % OF FUNDING]]</f>
        <v>0</v>
      </c>
      <c r="BF20" s="694">
        <f>IF(CHSHTATbl[[#This Row],[INFILL SITE]]="Yes",5,3)*CHSHTATbl[[#This Row],[RURAL % OF FUNDING]]</f>
        <v>0</v>
      </c>
      <c r="BG20" s="694">
        <f>IF(CHSHTATbl[[#This Row],[INFILL SITE]]="Yes",5,3)*CHSHTATbl[[#This Row],[MFD RURAL % OF FUNDING]]</f>
        <v>0</v>
      </c>
    </row>
    <row r="21" spans="1:59" x14ac:dyDescent="0.35">
      <c r="A21" s="167"/>
      <c r="B21" s="179" t="s">
        <v>133</v>
      </c>
      <c r="C21" s="177" t="s">
        <v>513</v>
      </c>
      <c r="D21" s="183" t="str">
        <f>IF(CHSHTATbl[[#This Row],[UNRESTRICTED UNITS]]=0,"",CHSHTATbl[[#This Row],[UNRESTRICTED UNITS]])</f>
        <v/>
      </c>
      <c r="E21" s="184" t="str">
        <f xml:space="preserve">
IF(CHSHTATbl[[#This Row],[UNRESTRICTED TOTAL REQUESTED]]=0,"",
CHSHTATbl[[#This Row],[UNRESTRICTED TOTAL REQUESTED]]*
IF(CH_SHTA_UnrestrictedTotalRequested&lt;=500000,1,
500000/CH_SHTA_UnrestrictedTotalRequested)
)</f>
        <v/>
      </c>
      <c r="F21" s="185" t="str">
        <f>IF(CHSHTATbl[[#This Row],[UNRESTRICTED % OF FUNDING]]=0,"",CHSHTATbl[[#This Row],[UNRESTRICTED % OF FUNDING]])</f>
        <v/>
      </c>
      <c r="G21" s="177" t="s">
        <v>513</v>
      </c>
      <c r="H21" s="183" t="str">
        <f>IF(CHSHTATbl[[#This Row],[MANUFACTURED UNITS]]=0,"",CHSHTATbl[[#This Row],[MANUFACTURED UNITS]])</f>
        <v/>
      </c>
      <c r="I21" s="187" t="str">
        <f xml:space="preserve">
IF(CHSHTATbl[[#This Row],[MANUFACTURED TOTAL REQUESTED]]=0,"",
CHSHTATbl[[#This Row],[MANUFACTURED TOTAL REQUESTED]]*
IF(CH_SHTA_ManufacturedTotalRequested&lt;=(500000-E$61),1,
(500000-E$61)/CH_SHTA_ManufacturedTotalRequested)
)</f>
        <v/>
      </c>
      <c r="J21" s="185" t="str">
        <f>IF(CHSHTATbl[[#This Row],[MANUFACTURED % OF FUNDING]]=0,"",CHSHTATbl[[#This Row],[MANUFACTURED % OF FUNDING]])</f>
        <v/>
      </c>
      <c r="K21" s="177" t="s">
        <v>513</v>
      </c>
      <c r="L21" s="190" t="str">
        <f>IF(CHSHTATbl[[#This Row],[RURAL UNITS]]=0,"",CHSHTATbl[[#This Row],[RURAL UNITS]])</f>
        <v/>
      </c>
      <c r="M21" s="187" t="str">
        <f xml:space="preserve">
IF(CHSHTATbl[[#This Row],[RURAL TOTAL REQUESTED]]=0,"",
CHSHTATbl[[#This Row],[RURAL TOTAL REQUESTED]]*
IF(CH_SHTA_RuralTotalRequested&lt;=(500000-E$61-I$61),1,
(500000-E$61-I$61)/CH_SHTA_RuralTotalRequested)
)</f>
        <v/>
      </c>
      <c r="N21" s="191" t="str">
        <f>IF(CHSHTATbl[[#This Row],[RURAL % OF FUNDING]]=0,"",CHSHTATbl[[#This Row],[RURAL % OF FUNDING]])</f>
        <v/>
      </c>
      <c r="O21" s="177" t="s">
        <v>513</v>
      </c>
      <c r="P21" s="193" t="str">
        <f>IF(CHSHTATbl[[#This Row],[MFD RURAL UNITS]]=0,"",CHSHTATbl[[#This Row],[MFD RURAL UNITS]])</f>
        <v/>
      </c>
      <c r="Q21" s="187" t="str">
        <f xml:space="preserve">
IF(CHSHTATbl[[#This Row],[MFD RURAL TOTAL REQUESTED]]=0,"",
CHSHTATbl[[#This Row],[MFD RURAL TOTAL REQUESTED]]*
IF(CH_SHTA_MFDRuralTotalRequested&lt;=(500000-E$61-I$61-M$61),1,
(500000-E$61-I$61-M$61)/CH_SHTA_MFDRuralTotalRequested)
)</f>
        <v/>
      </c>
      <c r="R21" s="191" t="str">
        <f>IF(CHSHTATbl[[#This Row],[MFD RURAL % OF FUNDING]]=0,"",CHSHTATbl[[#This Row],[MFD RURAL % OF FUNDING]])</f>
        <v/>
      </c>
      <c r="S21" s="31"/>
      <c r="T21" s="163"/>
      <c r="U21" s="164"/>
      <c r="V21" s="199"/>
      <c r="W21" s="123"/>
      <c r="X21" s="161"/>
      <c r="Y21" s="198"/>
      <c r="Z21" s="74">
        <f t="shared" si="0"/>
        <v>0</v>
      </c>
      <c r="AA21" s="6">
        <f>IF(CHSHTATbl[[#This Row],[UNRESTRICTED TOTAL REQUESTED]]=0,0,CHSHTATbl[[#This Row],[UNRESTRICTED TOTAL REQUESTED]]/CH_SHTA_UnrestrictedTotalRequested)</f>
        <v>0</v>
      </c>
      <c r="AB21" s="752">
        <f>IF(CHSHTATbl[[#This Row],[ALL UNITS IN A HIGH OR HIGHEST RESOURCE AREA]]="Yes",10*CHSHTATbl[[#This Row],[UNRESTRICTED % OF FUNDING]],0)</f>
        <v>0</v>
      </c>
      <c r="AC21" s="752" cm="1">
        <f t="array" ref="AC21">INDEX(CountyScoresTbl[Community Need Total Points],ROW(CHSHTATbl[[#This Row],[COUNTY]])-2,1)*CHSHTATbl[[#This Row],[UNRESTRICTED % OF FUNDING]]</f>
        <v>0</v>
      </c>
      <c r="AD21" s="752" cm="1">
        <f t="array" ref="AD21">INDEX(CountyScoresTbl[SHTA Total Feasibility Points Awarded],ROW(CHSHTATbl[[#This Row],[COUNTY]])-2,1)*CHSHTATbl[[#This Row],[UNRESTRICTED % OF FUNDING]]</f>
        <v>0</v>
      </c>
      <c r="AE21" s="125"/>
      <c r="AF21" s="161"/>
      <c r="AG21" s="198"/>
      <c r="AH21" s="74">
        <f t="shared" si="1"/>
        <v>0</v>
      </c>
      <c r="AI21" s="9">
        <f>IF(CHSHTATbl[[#This Row],[MANUFACTURED TOTAL REQUESTED]]=0,0,CHSHTATbl[[#This Row],[MANUFACTURED TOTAL REQUESTED]]/CH_SHTA_ManufacturedTotalRequested)</f>
        <v>0</v>
      </c>
      <c r="AJ21" s="665">
        <f>IF(CHSHTATbl[[#This Row],[ALL UNITS IN A HIGH OR HIGHEST RESOURCE AREA]]="Yes",10*CHSHTATbl[[#This Row],[MANUFACTURED % OF FUNDING]],0)</f>
        <v>0</v>
      </c>
      <c r="AK21" s="665" cm="1">
        <f t="array" ref="AK21">INDEX(CountyScoresTbl[Community Need Total Points],ROW(CHSHTATbl[[#This Row],[COUNTY]])-2,1)*CHSHTATbl[[#This Row],[MANUFACTURED % OF FUNDING]]</f>
        <v>0</v>
      </c>
      <c r="AL21" s="666" cm="1">
        <f t="array" ref="AL21">INDEX(CountyScoresTbl[SHTA Total Feasibility Points Awarded],ROW(CHSHTATbl[[#This Row],[COUNTY]])-2,1)*CHSHTATbl[[#This Row],[MANUFACTURED % OF FUNDING]]</f>
        <v>0</v>
      </c>
      <c r="AM21" s="123"/>
      <c r="AN21" s="161"/>
      <c r="AO21" s="198"/>
      <c r="AP21" s="74">
        <f t="shared" si="2"/>
        <v>0</v>
      </c>
      <c r="AQ21" s="6">
        <f>IF(CHSHTATbl[[#This Row],[RURAL TOTAL REQUESTED]]=0,0,CHSHTATbl[[#This Row],[RURAL TOTAL REQUESTED]]/CH_SHTA_RuralTotalRequested)</f>
        <v>0</v>
      </c>
      <c r="AR21" s="665">
        <f>IF(CHSHTATbl[[#This Row],[ALL UNITS IN A HIGH OR HIGHEST RESOURCE AREA]]="Yes",10*CHSHTATbl[[#This Row],[RURAL % OF FUNDING]],0)</f>
        <v>0</v>
      </c>
      <c r="AS21" s="665" cm="1">
        <f t="array" ref="AS21">INDEX(CountyScoresTbl[Community Need Total Points],ROW(CHSHTATbl[[#This Row],[COUNTY]])-2,1)*CHSHTATbl[[#This Row],[RURAL % OF FUNDING]]</f>
        <v>0</v>
      </c>
      <c r="AT21" s="666" cm="1">
        <f t="array" ref="AT21">INDEX(CountyScoresTbl[SHTA Total Feasibility Points Awarded],ROW(CHSHTATbl[[#This Row],[COUNTY]])-2,1)*CHSHTATbl[[#This Row],[RURAL % OF FUNDING]]</f>
        <v>0</v>
      </c>
      <c r="AU21" s="123"/>
      <c r="AV21" s="161"/>
      <c r="AW21" s="198"/>
      <c r="AX21" s="74">
        <f t="shared" si="3"/>
        <v>0</v>
      </c>
      <c r="AY21" s="6">
        <f>IF(CHSHTATbl[[#This Row],[MFD RURAL TOTAL REQUESTED]]=0,0,CHSHTATbl[[#This Row],[MFD RURAL TOTAL REQUESTED]]/CH_SHTA_MFDRuralTotalRequested)</f>
        <v>0</v>
      </c>
      <c r="AZ21" s="665">
        <f>IF(CHSHTATbl[[#This Row],[ALL UNITS IN A HIGH OR HIGHEST RESOURCE AREA]]="Yes",10*CHSHTATbl[[#This Row],[MFD RURAL % OF FUNDING]],0)</f>
        <v>0</v>
      </c>
      <c r="BA21" s="665" cm="1">
        <f t="array" ref="BA21">INDEX(CountyScoresTbl[Community Need Total Points],ROW(CHSHTATbl[[#This Row],[COUNTY]])-2,1)*CHSHTATbl[[#This Row],[MFD RURAL % OF FUNDING]]</f>
        <v>0</v>
      </c>
      <c r="BB21" s="666" cm="1">
        <f t="array" ref="BB21">INDEX(CountyScoresTbl[SHTA Total Feasibility Points Awarded],ROW(CHSHTATbl[[#This Row],[COUNTY]])-2,1)*CHSHTATbl[[#This Row],[MFD RURAL % OF FUNDING]]</f>
        <v>0</v>
      </c>
      <c r="BC21" s="764"/>
      <c r="BD21" s="765">
        <f>IF(CHSHTATbl[[#This Row],[INFILL SITE]]="Yes",5,3)*CHSHTATbl[[#This Row],[UNRESTRICTED % OF FUNDING]]</f>
        <v>0</v>
      </c>
      <c r="BE21" s="694">
        <f>IF(CHSHTATbl[[#This Row],[INFILL SITE]]="Yes",5,3)*CHSHTATbl[[#This Row],[MANUFACTURED % OF FUNDING]]</f>
        <v>0</v>
      </c>
      <c r="BF21" s="694">
        <f>IF(CHSHTATbl[[#This Row],[INFILL SITE]]="Yes",5,3)*CHSHTATbl[[#This Row],[RURAL % OF FUNDING]]</f>
        <v>0</v>
      </c>
      <c r="BG21" s="694">
        <f>IF(CHSHTATbl[[#This Row],[INFILL SITE]]="Yes",5,3)*CHSHTATbl[[#This Row],[MFD RURAL % OF FUNDING]]</f>
        <v>0</v>
      </c>
    </row>
    <row r="22" spans="1:59" x14ac:dyDescent="0.35">
      <c r="A22" s="124"/>
      <c r="B22" s="179" t="s">
        <v>134</v>
      </c>
      <c r="C22" s="177" t="s">
        <v>513</v>
      </c>
      <c r="D22" s="183" t="str">
        <f>IF(CHSHTATbl[[#This Row],[UNRESTRICTED UNITS]]=0,"",CHSHTATbl[[#This Row],[UNRESTRICTED UNITS]])</f>
        <v/>
      </c>
      <c r="E22" s="184" t="str">
        <f xml:space="preserve">
IF(CHSHTATbl[[#This Row],[UNRESTRICTED TOTAL REQUESTED]]=0,"",
CHSHTATbl[[#This Row],[UNRESTRICTED TOTAL REQUESTED]]*
IF(CH_SHTA_UnrestrictedTotalRequested&lt;=500000,1,
500000/CH_SHTA_UnrestrictedTotalRequested)
)</f>
        <v/>
      </c>
      <c r="F22" s="185" t="str">
        <f>IF(CHSHTATbl[[#This Row],[UNRESTRICTED % OF FUNDING]]=0,"",CHSHTATbl[[#This Row],[UNRESTRICTED % OF FUNDING]])</f>
        <v/>
      </c>
      <c r="G22" s="177" t="s">
        <v>513</v>
      </c>
      <c r="H22" s="183" t="str">
        <f>IF(CHSHTATbl[[#This Row],[MANUFACTURED UNITS]]=0,"",CHSHTATbl[[#This Row],[MANUFACTURED UNITS]])</f>
        <v/>
      </c>
      <c r="I22" s="187" t="str">
        <f xml:space="preserve">
IF(CHSHTATbl[[#This Row],[MANUFACTURED TOTAL REQUESTED]]=0,"",
CHSHTATbl[[#This Row],[MANUFACTURED TOTAL REQUESTED]]*
IF(CH_SHTA_ManufacturedTotalRequested&lt;=(500000-E$61),1,
(500000-E$61)/CH_SHTA_ManufacturedTotalRequested)
)</f>
        <v/>
      </c>
      <c r="J22" s="185" t="str">
        <f>IF(CHSHTATbl[[#This Row],[MANUFACTURED % OF FUNDING]]=0,"",CHSHTATbl[[#This Row],[MANUFACTURED % OF FUNDING]])</f>
        <v/>
      </c>
      <c r="K22" s="177" t="s">
        <v>513</v>
      </c>
      <c r="L22" s="190" t="str">
        <f>IF(CHSHTATbl[[#This Row],[RURAL UNITS]]=0,"",CHSHTATbl[[#This Row],[RURAL UNITS]])</f>
        <v/>
      </c>
      <c r="M22" s="187" t="str">
        <f xml:space="preserve">
IF(CHSHTATbl[[#This Row],[RURAL TOTAL REQUESTED]]=0,"",
CHSHTATbl[[#This Row],[RURAL TOTAL REQUESTED]]*
IF(CH_SHTA_RuralTotalRequested&lt;=(500000-E$61-I$61),1,
(500000-E$61-I$61)/CH_SHTA_RuralTotalRequested)
)</f>
        <v/>
      </c>
      <c r="N22" s="191" t="str">
        <f>IF(CHSHTATbl[[#This Row],[RURAL % OF FUNDING]]=0,"",CHSHTATbl[[#This Row],[RURAL % OF FUNDING]])</f>
        <v/>
      </c>
      <c r="O22" s="177" t="s">
        <v>513</v>
      </c>
      <c r="P22" s="193" t="str">
        <f>IF(CHSHTATbl[[#This Row],[MFD RURAL UNITS]]=0,"",CHSHTATbl[[#This Row],[MFD RURAL UNITS]])</f>
        <v/>
      </c>
      <c r="Q22" s="187" t="str">
        <f xml:space="preserve">
IF(CHSHTATbl[[#This Row],[MFD RURAL TOTAL REQUESTED]]=0,"",
CHSHTATbl[[#This Row],[MFD RURAL TOTAL REQUESTED]]*
IF(CH_SHTA_MFDRuralTotalRequested&lt;=(500000-E$61-I$61-M$61),1,
(500000-E$61-I$61-M$61)/CH_SHTA_MFDRuralTotalRequested)
)</f>
        <v/>
      </c>
      <c r="R22" s="191" t="str">
        <f>IF(CHSHTATbl[[#This Row],[MFD RURAL % OF FUNDING]]=0,"",CHSHTATbl[[#This Row],[MFD RURAL % OF FUNDING]])</f>
        <v/>
      </c>
      <c r="S22" s="31"/>
      <c r="T22" s="196"/>
      <c r="U22" s="119"/>
      <c r="V22" s="197"/>
      <c r="W22" s="123"/>
      <c r="X22" s="161"/>
      <c r="Y22" s="198"/>
      <c r="Z22" s="74">
        <f t="shared" si="0"/>
        <v>0</v>
      </c>
      <c r="AA22" s="6">
        <f>IF(CHSHTATbl[[#This Row],[UNRESTRICTED TOTAL REQUESTED]]=0,0,CHSHTATbl[[#This Row],[UNRESTRICTED TOTAL REQUESTED]]/CH_SHTA_UnrestrictedTotalRequested)</f>
        <v>0</v>
      </c>
      <c r="AB22" s="752">
        <f>IF(CHSHTATbl[[#This Row],[ALL UNITS IN A HIGH OR HIGHEST RESOURCE AREA]]="Yes",10*CHSHTATbl[[#This Row],[UNRESTRICTED % OF FUNDING]],0)</f>
        <v>0</v>
      </c>
      <c r="AC22" s="752" cm="1">
        <f t="array" ref="AC22">INDEX(CountyScoresTbl[Community Need Total Points],ROW(CHSHTATbl[[#This Row],[COUNTY]])-2,1)*CHSHTATbl[[#This Row],[UNRESTRICTED % OF FUNDING]]</f>
        <v>0</v>
      </c>
      <c r="AD22" s="752" cm="1">
        <f t="array" ref="AD22">INDEX(CountyScoresTbl[SHTA Total Feasibility Points Awarded],ROW(CHSHTATbl[[#This Row],[COUNTY]])-2,1)*CHSHTATbl[[#This Row],[UNRESTRICTED % OF FUNDING]]</f>
        <v>0</v>
      </c>
      <c r="AE22" s="125"/>
      <c r="AF22" s="161"/>
      <c r="AG22" s="198"/>
      <c r="AH22" s="74">
        <f t="shared" si="1"/>
        <v>0</v>
      </c>
      <c r="AI22" s="9">
        <f>IF(CHSHTATbl[[#This Row],[MANUFACTURED TOTAL REQUESTED]]=0,0,CHSHTATbl[[#This Row],[MANUFACTURED TOTAL REQUESTED]]/CH_SHTA_ManufacturedTotalRequested)</f>
        <v>0</v>
      </c>
      <c r="AJ22" s="665">
        <f>IF(CHSHTATbl[[#This Row],[ALL UNITS IN A HIGH OR HIGHEST RESOURCE AREA]]="Yes",10*CHSHTATbl[[#This Row],[MANUFACTURED % OF FUNDING]],0)</f>
        <v>0</v>
      </c>
      <c r="AK22" s="665" cm="1">
        <f t="array" ref="AK22">INDEX(CountyScoresTbl[Community Need Total Points],ROW(CHSHTATbl[[#This Row],[COUNTY]])-2,1)*CHSHTATbl[[#This Row],[MANUFACTURED % OF FUNDING]]</f>
        <v>0</v>
      </c>
      <c r="AL22" s="666" cm="1">
        <f t="array" ref="AL22">INDEX(CountyScoresTbl[SHTA Total Feasibility Points Awarded],ROW(CHSHTATbl[[#This Row],[COUNTY]])-2,1)*CHSHTATbl[[#This Row],[MANUFACTURED % OF FUNDING]]</f>
        <v>0</v>
      </c>
      <c r="AM22" s="123"/>
      <c r="AN22" s="161"/>
      <c r="AO22" s="198"/>
      <c r="AP22" s="74">
        <f t="shared" si="2"/>
        <v>0</v>
      </c>
      <c r="AQ22" s="6">
        <f>IF(CHSHTATbl[[#This Row],[RURAL TOTAL REQUESTED]]=0,0,CHSHTATbl[[#This Row],[RURAL TOTAL REQUESTED]]/CH_SHTA_RuralTotalRequested)</f>
        <v>0</v>
      </c>
      <c r="AR22" s="665">
        <f>IF(CHSHTATbl[[#This Row],[ALL UNITS IN A HIGH OR HIGHEST RESOURCE AREA]]="Yes",10*CHSHTATbl[[#This Row],[RURAL % OF FUNDING]],0)</f>
        <v>0</v>
      </c>
      <c r="AS22" s="665" cm="1">
        <f t="array" ref="AS22">INDEX(CountyScoresTbl[Community Need Total Points],ROW(CHSHTATbl[[#This Row],[COUNTY]])-2,1)*CHSHTATbl[[#This Row],[RURAL % OF FUNDING]]</f>
        <v>0</v>
      </c>
      <c r="AT22" s="666" cm="1">
        <f t="array" ref="AT22">INDEX(CountyScoresTbl[SHTA Total Feasibility Points Awarded],ROW(CHSHTATbl[[#This Row],[COUNTY]])-2,1)*CHSHTATbl[[#This Row],[RURAL % OF FUNDING]]</f>
        <v>0</v>
      </c>
      <c r="AU22" s="123"/>
      <c r="AV22" s="161"/>
      <c r="AW22" s="198"/>
      <c r="AX22" s="74">
        <f t="shared" si="3"/>
        <v>0</v>
      </c>
      <c r="AY22" s="6">
        <f>IF(CHSHTATbl[[#This Row],[MFD RURAL TOTAL REQUESTED]]=0,0,CHSHTATbl[[#This Row],[MFD RURAL TOTAL REQUESTED]]/CH_SHTA_MFDRuralTotalRequested)</f>
        <v>0</v>
      </c>
      <c r="AZ22" s="665">
        <f>IF(CHSHTATbl[[#This Row],[ALL UNITS IN A HIGH OR HIGHEST RESOURCE AREA]]="Yes",10*CHSHTATbl[[#This Row],[MFD RURAL % OF FUNDING]],0)</f>
        <v>0</v>
      </c>
      <c r="BA22" s="665" cm="1">
        <f t="array" ref="BA22">INDEX(CountyScoresTbl[Community Need Total Points],ROW(CHSHTATbl[[#This Row],[COUNTY]])-2,1)*CHSHTATbl[[#This Row],[MFD RURAL % OF FUNDING]]</f>
        <v>0</v>
      </c>
      <c r="BB22" s="666" cm="1">
        <f t="array" ref="BB22">INDEX(CountyScoresTbl[SHTA Total Feasibility Points Awarded],ROW(CHSHTATbl[[#This Row],[COUNTY]])-2,1)*CHSHTATbl[[#This Row],[MFD RURAL % OF FUNDING]]</f>
        <v>0</v>
      </c>
      <c r="BC22" s="764"/>
      <c r="BD22" s="765">
        <f>IF(CHSHTATbl[[#This Row],[INFILL SITE]]="Yes",5,3)*CHSHTATbl[[#This Row],[UNRESTRICTED % OF FUNDING]]</f>
        <v>0</v>
      </c>
      <c r="BE22" s="694">
        <f>IF(CHSHTATbl[[#This Row],[INFILL SITE]]="Yes",5,3)*CHSHTATbl[[#This Row],[MANUFACTURED % OF FUNDING]]</f>
        <v>0</v>
      </c>
      <c r="BF22" s="694">
        <f>IF(CHSHTATbl[[#This Row],[INFILL SITE]]="Yes",5,3)*CHSHTATbl[[#This Row],[RURAL % OF FUNDING]]</f>
        <v>0</v>
      </c>
      <c r="BG22" s="694">
        <f>IF(CHSHTATbl[[#This Row],[INFILL SITE]]="Yes",5,3)*CHSHTATbl[[#This Row],[MFD RURAL % OF FUNDING]]</f>
        <v>0</v>
      </c>
    </row>
    <row r="23" spans="1:59" x14ac:dyDescent="0.35">
      <c r="A23" s="167"/>
      <c r="B23" s="179" t="s">
        <v>135</v>
      </c>
      <c r="C23" s="177" t="s">
        <v>513</v>
      </c>
      <c r="D23" s="183" t="str">
        <f>IF(CHSHTATbl[[#This Row],[UNRESTRICTED UNITS]]=0,"",CHSHTATbl[[#This Row],[UNRESTRICTED UNITS]])</f>
        <v/>
      </c>
      <c r="E23" s="184" t="str">
        <f xml:space="preserve">
IF(CHSHTATbl[[#This Row],[UNRESTRICTED TOTAL REQUESTED]]=0,"",
CHSHTATbl[[#This Row],[UNRESTRICTED TOTAL REQUESTED]]*
IF(CH_SHTA_UnrestrictedTotalRequested&lt;=500000,1,
500000/CH_SHTA_UnrestrictedTotalRequested)
)</f>
        <v/>
      </c>
      <c r="F23" s="185" t="str">
        <f>IF(CHSHTATbl[[#This Row],[UNRESTRICTED % OF FUNDING]]=0,"",CHSHTATbl[[#This Row],[UNRESTRICTED % OF FUNDING]])</f>
        <v/>
      </c>
      <c r="G23" s="177" t="s">
        <v>513</v>
      </c>
      <c r="H23" s="183" t="str">
        <f>IF(CHSHTATbl[[#This Row],[MANUFACTURED UNITS]]=0,"",CHSHTATbl[[#This Row],[MANUFACTURED UNITS]])</f>
        <v/>
      </c>
      <c r="I23" s="187" t="str">
        <f xml:space="preserve">
IF(CHSHTATbl[[#This Row],[MANUFACTURED TOTAL REQUESTED]]=0,"",
CHSHTATbl[[#This Row],[MANUFACTURED TOTAL REQUESTED]]*
IF(CH_SHTA_ManufacturedTotalRequested&lt;=(500000-E$61),1,
(500000-E$61)/CH_SHTA_ManufacturedTotalRequested)
)</f>
        <v/>
      </c>
      <c r="J23" s="185" t="str">
        <f>IF(CHSHTATbl[[#This Row],[MANUFACTURED % OF FUNDING]]=0,"",CHSHTATbl[[#This Row],[MANUFACTURED % OF FUNDING]])</f>
        <v/>
      </c>
      <c r="K23" s="177" t="s">
        <v>513</v>
      </c>
      <c r="L23" s="190" t="str">
        <f>IF(CHSHTATbl[[#This Row],[RURAL UNITS]]=0,"",CHSHTATbl[[#This Row],[RURAL UNITS]])</f>
        <v/>
      </c>
      <c r="M23" s="187" t="str">
        <f xml:space="preserve">
IF(CHSHTATbl[[#This Row],[RURAL TOTAL REQUESTED]]=0,"",
CHSHTATbl[[#This Row],[RURAL TOTAL REQUESTED]]*
IF(CH_SHTA_RuralTotalRequested&lt;=(500000-E$61-I$61),1,
(500000-E$61-I$61)/CH_SHTA_RuralTotalRequested)
)</f>
        <v/>
      </c>
      <c r="N23" s="191" t="str">
        <f>IF(CHSHTATbl[[#This Row],[RURAL % OF FUNDING]]=0,"",CHSHTATbl[[#This Row],[RURAL % OF FUNDING]])</f>
        <v/>
      </c>
      <c r="O23" s="177" t="s">
        <v>513</v>
      </c>
      <c r="P23" s="193" t="str">
        <f>IF(CHSHTATbl[[#This Row],[MFD RURAL UNITS]]=0,"",CHSHTATbl[[#This Row],[MFD RURAL UNITS]])</f>
        <v/>
      </c>
      <c r="Q23" s="187" t="str">
        <f xml:space="preserve">
IF(CHSHTATbl[[#This Row],[MFD RURAL TOTAL REQUESTED]]=0,"",
CHSHTATbl[[#This Row],[MFD RURAL TOTAL REQUESTED]]*
IF(CH_SHTA_MFDRuralTotalRequested&lt;=(500000-E$61-I$61-M$61),1,
(500000-E$61-I$61-M$61)/CH_SHTA_MFDRuralTotalRequested)
)</f>
        <v/>
      </c>
      <c r="R23" s="191" t="str">
        <f>IF(CHSHTATbl[[#This Row],[MFD RURAL % OF FUNDING]]=0,"",CHSHTATbl[[#This Row],[MFD RURAL % OF FUNDING]])</f>
        <v/>
      </c>
      <c r="S23" s="31"/>
      <c r="T23" s="163"/>
      <c r="U23" s="164"/>
      <c r="V23" s="199"/>
      <c r="W23" s="123"/>
      <c r="X23" s="161"/>
      <c r="Y23" s="198"/>
      <c r="Z23" s="74">
        <f t="shared" si="0"/>
        <v>0</v>
      </c>
      <c r="AA23" s="6">
        <f>IF(CHSHTATbl[[#This Row],[UNRESTRICTED TOTAL REQUESTED]]=0,0,CHSHTATbl[[#This Row],[UNRESTRICTED TOTAL REQUESTED]]/CH_SHTA_UnrestrictedTotalRequested)</f>
        <v>0</v>
      </c>
      <c r="AB23" s="752">
        <f>IF(CHSHTATbl[[#This Row],[ALL UNITS IN A HIGH OR HIGHEST RESOURCE AREA]]="Yes",10*CHSHTATbl[[#This Row],[UNRESTRICTED % OF FUNDING]],0)</f>
        <v>0</v>
      </c>
      <c r="AC23" s="752" cm="1">
        <f t="array" ref="AC23">INDEX(CountyScoresTbl[Community Need Total Points],ROW(CHSHTATbl[[#This Row],[COUNTY]])-2,1)*CHSHTATbl[[#This Row],[UNRESTRICTED % OF FUNDING]]</f>
        <v>0</v>
      </c>
      <c r="AD23" s="752" cm="1">
        <f t="array" ref="AD23">INDEX(CountyScoresTbl[SHTA Total Feasibility Points Awarded],ROW(CHSHTATbl[[#This Row],[COUNTY]])-2,1)*CHSHTATbl[[#This Row],[UNRESTRICTED % OF FUNDING]]</f>
        <v>0</v>
      </c>
      <c r="AE23" s="125"/>
      <c r="AF23" s="161"/>
      <c r="AG23" s="198"/>
      <c r="AH23" s="74">
        <f t="shared" si="1"/>
        <v>0</v>
      </c>
      <c r="AI23" s="9">
        <f>IF(CHSHTATbl[[#This Row],[MANUFACTURED TOTAL REQUESTED]]=0,0,CHSHTATbl[[#This Row],[MANUFACTURED TOTAL REQUESTED]]/CH_SHTA_ManufacturedTotalRequested)</f>
        <v>0</v>
      </c>
      <c r="AJ23" s="665">
        <f>IF(CHSHTATbl[[#This Row],[ALL UNITS IN A HIGH OR HIGHEST RESOURCE AREA]]="Yes",10*CHSHTATbl[[#This Row],[MANUFACTURED % OF FUNDING]],0)</f>
        <v>0</v>
      </c>
      <c r="AK23" s="665" cm="1">
        <f t="array" ref="AK23">INDEX(CountyScoresTbl[Community Need Total Points],ROW(CHSHTATbl[[#This Row],[COUNTY]])-2,1)*CHSHTATbl[[#This Row],[MANUFACTURED % OF FUNDING]]</f>
        <v>0</v>
      </c>
      <c r="AL23" s="666" cm="1">
        <f t="array" ref="AL23">INDEX(CountyScoresTbl[SHTA Total Feasibility Points Awarded],ROW(CHSHTATbl[[#This Row],[COUNTY]])-2,1)*CHSHTATbl[[#This Row],[MANUFACTURED % OF FUNDING]]</f>
        <v>0</v>
      </c>
      <c r="AM23" s="123"/>
      <c r="AN23" s="161"/>
      <c r="AO23" s="198"/>
      <c r="AP23" s="74">
        <f t="shared" si="2"/>
        <v>0</v>
      </c>
      <c r="AQ23" s="6">
        <f>IF(CHSHTATbl[[#This Row],[RURAL TOTAL REQUESTED]]=0,0,CHSHTATbl[[#This Row],[RURAL TOTAL REQUESTED]]/CH_SHTA_RuralTotalRequested)</f>
        <v>0</v>
      </c>
      <c r="AR23" s="665">
        <f>IF(CHSHTATbl[[#This Row],[ALL UNITS IN A HIGH OR HIGHEST RESOURCE AREA]]="Yes",10*CHSHTATbl[[#This Row],[RURAL % OF FUNDING]],0)</f>
        <v>0</v>
      </c>
      <c r="AS23" s="665" cm="1">
        <f t="array" ref="AS23">INDEX(CountyScoresTbl[Community Need Total Points],ROW(CHSHTATbl[[#This Row],[COUNTY]])-2,1)*CHSHTATbl[[#This Row],[RURAL % OF FUNDING]]</f>
        <v>0</v>
      </c>
      <c r="AT23" s="666" cm="1">
        <f t="array" ref="AT23">INDEX(CountyScoresTbl[SHTA Total Feasibility Points Awarded],ROW(CHSHTATbl[[#This Row],[COUNTY]])-2,1)*CHSHTATbl[[#This Row],[RURAL % OF FUNDING]]</f>
        <v>0</v>
      </c>
      <c r="AU23" s="123"/>
      <c r="AV23" s="161"/>
      <c r="AW23" s="198"/>
      <c r="AX23" s="74">
        <f t="shared" si="3"/>
        <v>0</v>
      </c>
      <c r="AY23" s="6">
        <f>IF(CHSHTATbl[[#This Row],[MFD RURAL TOTAL REQUESTED]]=0,0,CHSHTATbl[[#This Row],[MFD RURAL TOTAL REQUESTED]]/CH_SHTA_MFDRuralTotalRequested)</f>
        <v>0</v>
      </c>
      <c r="AZ23" s="665">
        <f>IF(CHSHTATbl[[#This Row],[ALL UNITS IN A HIGH OR HIGHEST RESOURCE AREA]]="Yes",10*CHSHTATbl[[#This Row],[MFD RURAL % OF FUNDING]],0)</f>
        <v>0</v>
      </c>
      <c r="BA23" s="665" cm="1">
        <f t="array" ref="BA23">INDEX(CountyScoresTbl[Community Need Total Points],ROW(CHSHTATbl[[#This Row],[COUNTY]])-2,1)*CHSHTATbl[[#This Row],[MFD RURAL % OF FUNDING]]</f>
        <v>0</v>
      </c>
      <c r="BB23" s="666" cm="1">
        <f t="array" ref="BB23">INDEX(CountyScoresTbl[SHTA Total Feasibility Points Awarded],ROW(CHSHTATbl[[#This Row],[COUNTY]])-2,1)*CHSHTATbl[[#This Row],[MFD RURAL % OF FUNDING]]</f>
        <v>0</v>
      </c>
      <c r="BC23" s="764"/>
      <c r="BD23" s="765">
        <f>IF(CHSHTATbl[[#This Row],[INFILL SITE]]="Yes",5,3)*CHSHTATbl[[#This Row],[UNRESTRICTED % OF FUNDING]]</f>
        <v>0</v>
      </c>
      <c r="BE23" s="694">
        <f>IF(CHSHTATbl[[#This Row],[INFILL SITE]]="Yes",5,3)*CHSHTATbl[[#This Row],[MANUFACTURED % OF FUNDING]]</f>
        <v>0</v>
      </c>
      <c r="BF23" s="694">
        <f>IF(CHSHTATbl[[#This Row],[INFILL SITE]]="Yes",5,3)*CHSHTATbl[[#This Row],[RURAL % OF FUNDING]]</f>
        <v>0</v>
      </c>
      <c r="BG23" s="694">
        <f>IF(CHSHTATbl[[#This Row],[INFILL SITE]]="Yes",5,3)*CHSHTATbl[[#This Row],[MFD RURAL % OF FUNDING]]</f>
        <v>0</v>
      </c>
    </row>
    <row r="24" spans="1:59" x14ac:dyDescent="0.35">
      <c r="A24" s="167"/>
      <c r="B24" s="179" t="s">
        <v>136</v>
      </c>
      <c r="C24" s="177" t="s">
        <v>513</v>
      </c>
      <c r="D24" s="183" t="str">
        <f>IF(CHSHTATbl[[#This Row],[UNRESTRICTED UNITS]]=0,"",CHSHTATbl[[#This Row],[UNRESTRICTED UNITS]])</f>
        <v/>
      </c>
      <c r="E24" s="184" t="str">
        <f xml:space="preserve">
IF(CHSHTATbl[[#This Row],[UNRESTRICTED TOTAL REQUESTED]]=0,"",
CHSHTATbl[[#This Row],[UNRESTRICTED TOTAL REQUESTED]]*
IF(CH_SHTA_UnrestrictedTotalRequested&lt;=500000,1,
500000/CH_SHTA_UnrestrictedTotalRequested)
)</f>
        <v/>
      </c>
      <c r="F24" s="185" t="str">
        <f>IF(CHSHTATbl[[#This Row],[UNRESTRICTED % OF FUNDING]]=0,"",CHSHTATbl[[#This Row],[UNRESTRICTED % OF FUNDING]])</f>
        <v/>
      </c>
      <c r="G24" s="177" t="s">
        <v>513</v>
      </c>
      <c r="H24" s="183" t="str">
        <f>IF(CHSHTATbl[[#This Row],[MANUFACTURED UNITS]]=0,"",CHSHTATbl[[#This Row],[MANUFACTURED UNITS]])</f>
        <v/>
      </c>
      <c r="I24" s="187" t="str">
        <f xml:space="preserve">
IF(CHSHTATbl[[#This Row],[MANUFACTURED TOTAL REQUESTED]]=0,"",
CHSHTATbl[[#This Row],[MANUFACTURED TOTAL REQUESTED]]*
IF(CH_SHTA_ManufacturedTotalRequested&lt;=(500000-E$61),1,
(500000-E$61)/CH_SHTA_ManufacturedTotalRequested)
)</f>
        <v/>
      </c>
      <c r="J24" s="185" t="str">
        <f>IF(CHSHTATbl[[#This Row],[MANUFACTURED % OF FUNDING]]=0,"",CHSHTATbl[[#This Row],[MANUFACTURED % OF FUNDING]])</f>
        <v/>
      </c>
      <c r="K24" s="177" t="s">
        <v>513</v>
      </c>
      <c r="L24" s="190" t="str">
        <f>IF(CHSHTATbl[[#This Row],[RURAL UNITS]]=0,"",CHSHTATbl[[#This Row],[RURAL UNITS]])</f>
        <v/>
      </c>
      <c r="M24" s="187" t="str">
        <f xml:space="preserve">
IF(CHSHTATbl[[#This Row],[RURAL TOTAL REQUESTED]]=0,"",
CHSHTATbl[[#This Row],[RURAL TOTAL REQUESTED]]*
IF(CH_SHTA_RuralTotalRequested&lt;=(500000-E$61-I$61),1,
(500000-E$61-I$61)/CH_SHTA_RuralTotalRequested)
)</f>
        <v/>
      </c>
      <c r="N24" s="191" t="str">
        <f>IF(CHSHTATbl[[#This Row],[RURAL % OF FUNDING]]=0,"",CHSHTATbl[[#This Row],[RURAL % OF FUNDING]])</f>
        <v/>
      </c>
      <c r="O24" s="177" t="s">
        <v>513</v>
      </c>
      <c r="P24" s="193" t="str">
        <f>IF(CHSHTATbl[[#This Row],[MFD RURAL UNITS]]=0,"",CHSHTATbl[[#This Row],[MFD RURAL UNITS]])</f>
        <v/>
      </c>
      <c r="Q24" s="187" t="str">
        <f xml:space="preserve">
IF(CHSHTATbl[[#This Row],[MFD RURAL TOTAL REQUESTED]]=0,"",
CHSHTATbl[[#This Row],[MFD RURAL TOTAL REQUESTED]]*
IF(CH_SHTA_MFDRuralTotalRequested&lt;=(500000-E$61-I$61-M$61),1,
(500000-E$61-I$61-M$61)/CH_SHTA_MFDRuralTotalRequested)
)</f>
        <v/>
      </c>
      <c r="R24" s="191" t="str">
        <f>IF(CHSHTATbl[[#This Row],[MFD RURAL % OF FUNDING]]=0,"",CHSHTATbl[[#This Row],[MFD RURAL % OF FUNDING]])</f>
        <v/>
      </c>
      <c r="S24" s="31"/>
      <c r="T24" s="163"/>
      <c r="U24" s="164"/>
      <c r="V24" s="199"/>
      <c r="W24" s="123"/>
      <c r="X24" s="161"/>
      <c r="Y24" s="198"/>
      <c r="Z24" s="74">
        <f t="shared" si="0"/>
        <v>0</v>
      </c>
      <c r="AA24" s="6">
        <f>IF(CHSHTATbl[[#This Row],[UNRESTRICTED TOTAL REQUESTED]]=0,0,CHSHTATbl[[#This Row],[UNRESTRICTED TOTAL REQUESTED]]/CH_SHTA_UnrestrictedTotalRequested)</f>
        <v>0</v>
      </c>
      <c r="AB24" s="752">
        <f>IF(CHSHTATbl[[#This Row],[ALL UNITS IN A HIGH OR HIGHEST RESOURCE AREA]]="Yes",10*CHSHTATbl[[#This Row],[UNRESTRICTED % OF FUNDING]],0)</f>
        <v>0</v>
      </c>
      <c r="AC24" s="752" cm="1">
        <f t="array" ref="AC24">INDEX(CountyScoresTbl[Community Need Total Points],ROW(CHSHTATbl[[#This Row],[COUNTY]])-2,1)*CHSHTATbl[[#This Row],[UNRESTRICTED % OF FUNDING]]</f>
        <v>0</v>
      </c>
      <c r="AD24" s="752" cm="1">
        <f t="array" ref="AD24">INDEX(CountyScoresTbl[SHTA Total Feasibility Points Awarded],ROW(CHSHTATbl[[#This Row],[COUNTY]])-2,1)*CHSHTATbl[[#This Row],[UNRESTRICTED % OF FUNDING]]</f>
        <v>0</v>
      </c>
      <c r="AE24" s="125"/>
      <c r="AF24" s="161"/>
      <c r="AG24" s="198"/>
      <c r="AH24" s="74">
        <f t="shared" si="1"/>
        <v>0</v>
      </c>
      <c r="AI24" s="9">
        <f>IF(CHSHTATbl[[#This Row],[MANUFACTURED TOTAL REQUESTED]]=0,0,CHSHTATbl[[#This Row],[MANUFACTURED TOTAL REQUESTED]]/CH_SHTA_ManufacturedTotalRequested)</f>
        <v>0</v>
      </c>
      <c r="AJ24" s="665">
        <f>IF(CHSHTATbl[[#This Row],[ALL UNITS IN A HIGH OR HIGHEST RESOURCE AREA]]="Yes",10*CHSHTATbl[[#This Row],[MANUFACTURED % OF FUNDING]],0)</f>
        <v>0</v>
      </c>
      <c r="AK24" s="665" cm="1">
        <f t="array" ref="AK24">INDEX(CountyScoresTbl[Community Need Total Points],ROW(CHSHTATbl[[#This Row],[COUNTY]])-2,1)*CHSHTATbl[[#This Row],[MANUFACTURED % OF FUNDING]]</f>
        <v>0</v>
      </c>
      <c r="AL24" s="666" cm="1">
        <f t="array" ref="AL24">INDEX(CountyScoresTbl[SHTA Total Feasibility Points Awarded],ROW(CHSHTATbl[[#This Row],[COUNTY]])-2,1)*CHSHTATbl[[#This Row],[MANUFACTURED % OF FUNDING]]</f>
        <v>0</v>
      </c>
      <c r="AM24" s="123"/>
      <c r="AN24" s="161"/>
      <c r="AO24" s="198"/>
      <c r="AP24" s="74">
        <f t="shared" si="2"/>
        <v>0</v>
      </c>
      <c r="AQ24" s="6">
        <f>IF(CHSHTATbl[[#This Row],[RURAL TOTAL REQUESTED]]=0,0,CHSHTATbl[[#This Row],[RURAL TOTAL REQUESTED]]/CH_SHTA_RuralTotalRequested)</f>
        <v>0</v>
      </c>
      <c r="AR24" s="665">
        <f>IF(CHSHTATbl[[#This Row],[ALL UNITS IN A HIGH OR HIGHEST RESOURCE AREA]]="Yes",10*CHSHTATbl[[#This Row],[RURAL % OF FUNDING]],0)</f>
        <v>0</v>
      </c>
      <c r="AS24" s="665" cm="1">
        <f t="array" ref="AS24">INDEX(CountyScoresTbl[Community Need Total Points],ROW(CHSHTATbl[[#This Row],[COUNTY]])-2,1)*CHSHTATbl[[#This Row],[RURAL % OF FUNDING]]</f>
        <v>0</v>
      </c>
      <c r="AT24" s="666" cm="1">
        <f t="array" ref="AT24">INDEX(CountyScoresTbl[SHTA Total Feasibility Points Awarded],ROW(CHSHTATbl[[#This Row],[COUNTY]])-2,1)*CHSHTATbl[[#This Row],[RURAL % OF FUNDING]]</f>
        <v>0</v>
      </c>
      <c r="AU24" s="123"/>
      <c r="AV24" s="161"/>
      <c r="AW24" s="198"/>
      <c r="AX24" s="74">
        <f t="shared" si="3"/>
        <v>0</v>
      </c>
      <c r="AY24" s="6">
        <f>IF(CHSHTATbl[[#This Row],[MFD RURAL TOTAL REQUESTED]]=0,0,CHSHTATbl[[#This Row],[MFD RURAL TOTAL REQUESTED]]/CH_SHTA_MFDRuralTotalRequested)</f>
        <v>0</v>
      </c>
      <c r="AZ24" s="665">
        <f>IF(CHSHTATbl[[#This Row],[ALL UNITS IN A HIGH OR HIGHEST RESOURCE AREA]]="Yes",10*CHSHTATbl[[#This Row],[MFD RURAL % OF FUNDING]],0)</f>
        <v>0</v>
      </c>
      <c r="BA24" s="665" cm="1">
        <f t="array" ref="BA24">INDEX(CountyScoresTbl[Community Need Total Points],ROW(CHSHTATbl[[#This Row],[COUNTY]])-2,1)*CHSHTATbl[[#This Row],[MFD RURAL % OF FUNDING]]</f>
        <v>0</v>
      </c>
      <c r="BB24" s="666" cm="1">
        <f t="array" ref="BB24">INDEX(CountyScoresTbl[SHTA Total Feasibility Points Awarded],ROW(CHSHTATbl[[#This Row],[COUNTY]])-2,1)*CHSHTATbl[[#This Row],[MFD RURAL % OF FUNDING]]</f>
        <v>0</v>
      </c>
      <c r="BC24" s="764"/>
      <c r="BD24" s="765">
        <f>IF(CHSHTATbl[[#This Row],[INFILL SITE]]="Yes",5,3)*CHSHTATbl[[#This Row],[UNRESTRICTED % OF FUNDING]]</f>
        <v>0</v>
      </c>
      <c r="BE24" s="694">
        <f>IF(CHSHTATbl[[#This Row],[INFILL SITE]]="Yes",5,3)*CHSHTATbl[[#This Row],[MANUFACTURED % OF FUNDING]]</f>
        <v>0</v>
      </c>
      <c r="BF24" s="694">
        <f>IF(CHSHTATbl[[#This Row],[INFILL SITE]]="Yes",5,3)*CHSHTATbl[[#This Row],[RURAL % OF FUNDING]]</f>
        <v>0</v>
      </c>
      <c r="BG24" s="694">
        <f>IF(CHSHTATbl[[#This Row],[INFILL SITE]]="Yes",5,3)*CHSHTATbl[[#This Row],[MFD RURAL % OF FUNDING]]</f>
        <v>0</v>
      </c>
    </row>
    <row r="25" spans="1:59" x14ac:dyDescent="0.35">
      <c r="A25" s="124"/>
      <c r="B25" s="179" t="s">
        <v>137</v>
      </c>
      <c r="C25" s="177" t="s">
        <v>513</v>
      </c>
      <c r="D25" s="183" t="str">
        <f>IF(CHSHTATbl[[#This Row],[UNRESTRICTED UNITS]]=0,"",CHSHTATbl[[#This Row],[UNRESTRICTED UNITS]])</f>
        <v/>
      </c>
      <c r="E25" s="184" t="str">
        <f xml:space="preserve">
IF(CHSHTATbl[[#This Row],[UNRESTRICTED TOTAL REQUESTED]]=0,"",
CHSHTATbl[[#This Row],[UNRESTRICTED TOTAL REQUESTED]]*
IF(CH_SHTA_UnrestrictedTotalRequested&lt;=500000,1,
500000/CH_SHTA_UnrestrictedTotalRequested)
)</f>
        <v/>
      </c>
      <c r="F25" s="185" t="str">
        <f>IF(CHSHTATbl[[#This Row],[UNRESTRICTED % OF FUNDING]]=0,"",CHSHTATbl[[#This Row],[UNRESTRICTED % OF FUNDING]])</f>
        <v/>
      </c>
      <c r="G25" s="177" t="s">
        <v>513</v>
      </c>
      <c r="H25" s="183" t="str">
        <f>IF(CHSHTATbl[[#This Row],[MANUFACTURED UNITS]]=0,"",CHSHTATbl[[#This Row],[MANUFACTURED UNITS]])</f>
        <v/>
      </c>
      <c r="I25" s="187" t="str">
        <f xml:space="preserve">
IF(CHSHTATbl[[#This Row],[MANUFACTURED TOTAL REQUESTED]]=0,"",
CHSHTATbl[[#This Row],[MANUFACTURED TOTAL REQUESTED]]*
IF(CH_SHTA_ManufacturedTotalRequested&lt;=(500000-E$61),1,
(500000-E$61)/CH_SHTA_ManufacturedTotalRequested)
)</f>
        <v/>
      </c>
      <c r="J25" s="185" t="str">
        <f>IF(CHSHTATbl[[#This Row],[MANUFACTURED % OF FUNDING]]=0,"",CHSHTATbl[[#This Row],[MANUFACTURED % OF FUNDING]])</f>
        <v/>
      </c>
      <c r="K25" s="177" t="s">
        <v>513</v>
      </c>
      <c r="L25" s="190" t="str">
        <f>IF(CHSHTATbl[[#This Row],[RURAL UNITS]]=0,"",CHSHTATbl[[#This Row],[RURAL UNITS]])</f>
        <v/>
      </c>
      <c r="M25" s="187" t="str">
        <f xml:space="preserve">
IF(CHSHTATbl[[#This Row],[RURAL TOTAL REQUESTED]]=0,"",
CHSHTATbl[[#This Row],[RURAL TOTAL REQUESTED]]*
IF(CH_SHTA_RuralTotalRequested&lt;=(500000-E$61-I$61),1,
(500000-E$61-I$61)/CH_SHTA_RuralTotalRequested)
)</f>
        <v/>
      </c>
      <c r="N25" s="191" t="str">
        <f>IF(CHSHTATbl[[#This Row],[RURAL % OF FUNDING]]=0,"",CHSHTATbl[[#This Row],[RURAL % OF FUNDING]])</f>
        <v/>
      </c>
      <c r="O25" s="177" t="s">
        <v>513</v>
      </c>
      <c r="P25" s="193" t="str">
        <f>IF(CHSHTATbl[[#This Row],[MFD RURAL UNITS]]=0,"",CHSHTATbl[[#This Row],[MFD RURAL UNITS]])</f>
        <v/>
      </c>
      <c r="Q25" s="187" t="str">
        <f xml:space="preserve">
IF(CHSHTATbl[[#This Row],[MFD RURAL TOTAL REQUESTED]]=0,"",
CHSHTATbl[[#This Row],[MFD RURAL TOTAL REQUESTED]]*
IF(CH_SHTA_MFDRuralTotalRequested&lt;=(500000-E$61-I$61-M$61),1,
(500000-E$61-I$61-M$61)/CH_SHTA_MFDRuralTotalRequested)
)</f>
        <v/>
      </c>
      <c r="R25" s="191" t="str">
        <f>IF(CHSHTATbl[[#This Row],[MFD RURAL % OF FUNDING]]=0,"",CHSHTATbl[[#This Row],[MFD RURAL % OF FUNDING]])</f>
        <v/>
      </c>
      <c r="S25" s="31"/>
      <c r="T25" s="196"/>
      <c r="U25" s="119"/>
      <c r="V25" s="197"/>
      <c r="W25" s="123"/>
      <c r="X25" s="161"/>
      <c r="Y25" s="198"/>
      <c r="Z25" s="74">
        <f t="shared" si="0"/>
        <v>0</v>
      </c>
      <c r="AA25" s="6">
        <f>IF(CHSHTATbl[[#This Row],[UNRESTRICTED TOTAL REQUESTED]]=0,0,CHSHTATbl[[#This Row],[UNRESTRICTED TOTAL REQUESTED]]/CH_SHTA_UnrestrictedTotalRequested)</f>
        <v>0</v>
      </c>
      <c r="AB25" s="752">
        <f>IF(CHSHTATbl[[#This Row],[ALL UNITS IN A HIGH OR HIGHEST RESOURCE AREA]]="Yes",10*CHSHTATbl[[#This Row],[UNRESTRICTED % OF FUNDING]],0)</f>
        <v>0</v>
      </c>
      <c r="AC25" s="752" cm="1">
        <f t="array" ref="AC25">INDEX(CountyScoresTbl[Community Need Total Points],ROW(CHSHTATbl[[#This Row],[COUNTY]])-2,1)*CHSHTATbl[[#This Row],[UNRESTRICTED % OF FUNDING]]</f>
        <v>0</v>
      </c>
      <c r="AD25" s="752" cm="1">
        <f t="array" ref="AD25">INDEX(CountyScoresTbl[SHTA Total Feasibility Points Awarded],ROW(CHSHTATbl[[#This Row],[COUNTY]])-2,1)*CHSHTATbl[[#This Row],[UNRESTRICTED % OF FUNDING]]</f>
        <v>0</v>
      </c>
      <c r="AE25" s="125"/>
      <c r="AF25" s="161"/>
      <c r="AG25" s="198"/>
      <c r="AH25" s="74">
        <f t="shared" si="1"/>
        <v>0</v>
      </c>
      <c r="AI25" s="9">
        <f>IF(CHSHTATbl[[#This Row],[MANUFACTURED TOTAL REQUESTED]]=0,0,CHSHTATbl[[#This Row],[MANUFACTURED TOTAL REQUESTED]]/CH_SHTA_ManufacturedTotalRequested)</f>
        <v>0</v>
      </c>
      <c r="AJ25" s="665">
        <f>IF(CHSHTATbl[[#This Row],[ALL UNITS IN A HIGH OR HIGHEST RESOURCE AREA]]="Yes",10*CHSHTATbl[[#This Row],[MANUFACTURED % OF FUNDING]],0)</f>
        <v>0</v>
      </c>
      <c r="AK25" s="665" cm="1">
        <f t="array" ref="AK25">INDEX(CountyScoresTbl[Community Need Total Points],ROW(CHSHTATbl[[#This Row],[COUNTY]])-2,1)*CHSHTATbl[[#This Row],[MANUFACTURED % OF FUNDING]]</f>
        <v>0</v>
      </c>
      <c r="AL25" s="666" cm="1">
        <f t="array" ref="AL25">INDEX(CountyScoresTbl[SHTA Total Feasibility Points Awarded],ROW(CHSHTATbl[[#This Row],[COUNTY]])-2,1)*CHSHTATbl[[#This Row],[MANUFACTURED % OF FUNDING]]</f>
        <v>0</v>
      </c>
      <c r="AM25" s="123"/>
      <c r="AN25" s="161"/>
      <c r="AO25" s="198"/>
      <c r="AP25" s="74">
        <f t="shared" si="2"/>
        <v>0</v>
      </c>
      <c r="AQ25" s="6">
        <f>IF(CHSHTATbl[[#This Row],[RURAL TOTAL REQUESTED]]=0,0,CHSHTATbl[[#This Row],[RURAL TOTAL REQUESTED]]/CH_SHTA_RuralTotalRequested)</f>
        <v>0</v>
      </c>
      <c r="AR25" s="665">
        <f>IF(CHSHTATbl[[#This Row],[ALL UNITS IN A HIGH OR HIGHEST RESOURCE AREA]]="Yes",10*CHSHTATbl[[#This Row],[RURAL % OF FUNDING]],0)</f>
        <v>0</v>
      </c>
      <c r="AS25" s="665" cm="1">
        <f t="array" ref="AS25">INDEX(CountyScoresTbl[Community Need Total Points],ROW(CHSHTATbl[[#This Row],[COUNTY]])-2,1)*CHSHTATbl[[#This Row],[RURAL % OF FUNDING]]</f>
        <v>0</v>
      </c>
      <c r="AT25" s="666" cm="1">
        <f t="array" ref="AT25">INDEX(CountyScoresTbl[SHTA Total Feasibility Points Awarded],ROW(CHSHTATbl[[#This Row],[COUNTY]])-2,1)*CHSHTATbl[[#This Row],[RURAL % OF FUNDING]]</f>
        <v>0</v>
      </c>
      <c r="AU25" s="123"/>
      <c r="AV25" s="161"/>
      <c r="AW25" s="198"/>
      <c r="AX25" s="74">
        <f t="shared" si="3"/>
        <v>0</v>
      </c>
      <c r="AY25" s="6">
        <f>IF(CHSHTATbl[[#This Row],[MFD RURAL TOTAL REQUESTED]]=0,0,CHSHTATbl[[#This Row],[MFD RURAL TOTAL REQUESTED]]/CH_SHTA_MFDRuralTotalRequested)</f>
        <v>0</v>
      </c>
      <c r="AZ25" s="665">
        <f>IF(CHSHTATbl[[#This Row],[ALL UNITS IN A HIGH OR HIGHEST RESOURCE AREA]]="Yes",10*CHSHTATbl[[#This Row],[MFD RURAL % OF FUNDING]],0)</f>
        <v>0</v>
      </c>
      <c r="BA25" s="665" cm="1">
        <f t="array" ref="BA25">INDEX(CountyScoresTbl[Community Need Total Points],ROW(CHSHTATbl[[#This Row],[COUNTY]])-2,1)*CHSHTATbl[[#This Row],[MFD RURAL % OF FUNDING]]</f>
        <v>0</v>
      </c>
      <c r="BB25" s="666" cm="1">
        <f t="array" ref="BB25">INDEX(CountyScoresTbl[SHTA Total Feasibility Points Awarded],ROW(CHSHTATbl[[#This Row],[COUNTY]])-2,1)*CHSHTATbl[[#This Row],[MFD RURAL % OF FUNDING]]</f>
        <v>0</v>
      </c>
      <c r="BC25" s="764"/>
      <c r="BD25" s="765">
        <f>IF(CHSHTATbl[[#This Row],[INFILL SITE]]="Yes",5,3)*CHSHTATbl[[#This Row],[UNRESTRICTED % OF FUNDING]]</f>
        <v>0</v>
      </c>
      <c r="BE25" s="694">
        <f>IF(CHSHTATbl[[#This Row],[INFILL SITE]]="Yes",5,3)*CHSHTATbl[[#This Row],[MANUFACTURED % OF FUNDING]]</f>
        <v>0</v>
      </c>
      <c r="BF25" s="694">
        <f>IF(CHSHTATbl[[#This Row],[INFILL SITE]]="Yes",5,3)*CHSHTATbl[[#This Row],[RURAL % OF FUNDING]]</f>
        <v>0</v>
      </c>
      <c r="BG25" s="694">
        <f>IF(CHSHTATbl[[#This Row],[INFILL SITE]]="Yes",5,3)*CHSHTATbl[[#This Row],[MFD RURAL % OF FUNDING]]</f>
        <v>0</v>
      </c>
    </row>
    <row r="26" spans="1:59" x14ac:dyDescent="0.35">
      <c r="A26" s="124"/>
      <c r="B26" s="179" t="s">
        <v>138</v>
      </c>
      <c r="C26" s="177" t="s">
        <v>513</v>
      </c>
      <c r="D26" s="183" t="str">
        <f>IF(CHSHTATbl[[#This Row],[UNRESTRICTED UNITS]]=0,"",CHSHTATbl[[#This Row],[UNRESTRICTED UNITS]])</f>
        <v/>
      </c>
      <c r="E26" s="184" t="str">
        <f xml:space="preserve">
IF(CHSHTATbl[[#This Row],[UNRESTRICTED TOTAL REQUESTED]]=0,"",
CHSHTATbl[[#This Row],[UNRESTRICTED TOTAL REQUESTED]]*
IF(CH_SHTA_UnrestrictedTotalRequested&lt;=500000,1,
500000/CH_SHTA_UnrestrictedTotalRequested)
)</f>
        <v/>
      </c>
      <c r="F26" s="185" t="str">
        <f>IF(CHSHTATbl[[#This Row],[UNRESTRICTED % OF FUNDING]]=0,"",CHSHTATbl[[#This Row],[UNRESTRICTED % OF FUNDING]])</f>
        <v/>
      </c>
      <c r="G26" s="177" t="s">
        <v>513</v>
      </c>
      <c r="H26" s="183" t="str">
        <f>IF(CHSHTATbl[[#This Row],[MANUFACTURED UNITS]]=0,"",CHSHTATbl[[#This Row],[MANUFACTURED UNITS]])</f>
        <v/>
      </c>
      <c r="I26" s="187" t="str">
        <f xml:space="preserve">
IF(CHSHTATbl[[#This Row],[MANUFACTURED TOTAL REQUESTED]]=0,"",
CHSHTATbl[[#This Row],[MANUFACTURED TOTAL REQUESTED]]*
IF(CH_SHTA_ManufacturedTotalRequested&lt;=(500000-E$61),1,
(500000-E$61)/CH_SHTA_ManufacturedTotalRequested)
)</f>
        <v/>
      </c>
      <c r="J26" s="185" t="str">
        <f>IF(CHSHTATbl[[#This Row],[MANUFACTURED % OF FUNDING]]=0,"",CHSHTATbl[[#This Row],[MANUFACTURED % OF FUNDING]])</f>
        <v/>
      </c>
      <c r="K26" s="177" t="s">
        <v>513</v>
      </c>
      <c r="L26" s="190" t="str">
        <f>IF(CHSHTATbl[[#This Row],[RURAL UNITS]]=0,"",CHSHTATbl[[#This Row],[RURAL UNITS]])</f>
        <v/>
      </c>
      <c r="M26" s="187" t="str">
        <f xml:space="preserve">
IF(CHSHTATbl[[#This Row],[RURAL TOTAL REQUESTED]]=0,"",
CHSHTATbl[[#This Row],[RURAL TOTAL REQUESTED]]*
IF(CH_SHTA_RuralTotalRequested&lt;=(500000-E$61-I$61),1,
(500000-E$61-I$61)/CH_SHTA_RuralTotalRequested)
)</f>
        <v/>
      </c>
      <c r="N26" s="191" t="str">
        <f>IF(CHSHTATbl[[#This Row],[RURAL % OF FUNDING]]=0,"",CHSHTATbl[[#This Row],[RURAL % OF FUNDING]])</f>
        <v/>
      </c>
      <c r="O26" s="177" t="s">
        <v>513</v>
      </c>
      <c r="P26" s="193" t="str">
        <f>IF(CHSHTATbl[[#This Row],[MFD RURAL UNITS]]=0,"",CHSHTATbl[[#This Row],[MFD RURAL UNITS]])</f>
        <v/>
      </c>
      <c r="Q26" s="187" t="str">
        <f xml:space="preserve">
IF(CHSHTATbl[[#This Row],[MFD RURAL TOTAL REQUESTED]]=0,"",
CHSHTATbl[[#This Row],[MFD RURAL TOTAL REQUESTED]]*
IF(CH_SHTA_MFDRuralTotalRequested&lt;=(500000-E$61-I$61-M$61),1,
(500000-E$61-I$61-M$61)/CH_SHTA_MFDRuralTotalRequested)
)</f>
        <v/>
      </c>
      <c r="R26" s="191" t="str">
        <f>IF(CHSHTATbl[[#This Row],[MFD RURAL % OF FUNDING]]=0,"",CHSHTATbl[[#This Row],[MFD RURAL % OF FUNDING]])</f>
        <v/>
      </c>
      <c r="S26" s="31"/>
      <c r="T26" s="196"/>
      <c r="U26" s="119"/>
      <c r="V26" s="197"/>
      <c r="W26" s="123"/>
      <c r="X26" s="161"/>
      <c r="Y26" s="198"/>
      <c r="Z26" s="74">
        <f t="shared" si="0"/>
        <v>0</v>
      </c>
      <c r="AA26" s="6">
        <f>IF(CHSHTATbl[[#This Row],[UNRESTRICTED TOTAL REQUESTED]]=0,0,CHSHTATbl[[#This Row],[UNRESTRICTED TOTAL REQUESTED]]/CH_SHTA_UnrestrictedTotalRequested)</f>
        <v>0</v>
      </c>
      <c r="AB26" s="752">
        <f>IF(CHSHTATbl[[#This Row],[ALL UNITS IN A HIGH OR HIGHEST RESOURCE AREA]]="Yes",10*CHSHTATbl[[#This Row],[UNRESTRICTED % OF FUNDING]],0)</f>
        <v>0</v>
      </c>
      <c r="AC26" s="752" cm="1">
        <f t="array" ref="AC26">INDEX(CountyScoresTbl[Community Need Total Points],ROW(CHSHTATbl[[#This Row],[COUNTY]])-2,1)*CHSHTATbl[[#This Row],[UNRESTRICTED % OF FUNDING]]</f>
        <v>0</v>
      </c>
      <c r="AD26" s="752" cm="1">
        <f t="array" ref="AD26">INDEX(CountyScoresTbl[SHTA Total Feasibility Points Awarded],ROW(CHSHTATbl[[#This Row],[COUNTY]])-2,1)*CHSHTATbl[[#This Row],[UNRESTRICTED % OF FUNDING]]</f>
        <v>0</v>
      </c>
      <c r="AE26" s="125"/>
      <c r="AF26" s="161"/>
      <c r="AG26" s="198"/>
      <c r="AH26" s="74">
        <f t="shared" si="1"/>
        <v>0</v>
      </c>
      <c r="AI26" s="9">
        <f>IF(CHSHTATbl[[#This Row],[MANUFACTURED TOTAL REQUESTED]]=0,0,CHSHTATbl[[#This Row],[MANUFACTURED TOTAL REQUESTED]]/CH_SHTA_ManufacturedTotalRequested)</f>
        <v>0</v>
      </c>
      <c r="AJ26" s="665">
        <f>IF(CHSHTATbl[[#This Row],[ALL UNITS IN A HIGH OR HIGHEST RESOURCE AREA]]="Yes",10*CHSHTATbl[[#This Row],[MANUFACTURED % OF FUNDING]],0)</f>
        <v>0</v>
      </c>
      <c r="AK26" s="665" cm="1">
        <f t="array" ref="AK26">INDEX(CountyScoresTbl[Community Need Total Points],ROW(CHSHTATbl[[#This Row],[COUNTY]])-2,1)*CHSHTATbl[[#This Row],[MANUFACTURED % OF FUNDING]]</f>
        <v>0</v>
      </c>
      <c r="AL26" s="666" cm="1">
        <f t="array" ref="AL26">INDEX(CountyScoresTbl[SHTA Total Feasibility Points Awarded],ROW(CHSHTATbl[[#This Row],[COUNTY]])-2,1)*CHSHTATbl[[#This Row],[MANUFACTURED % OF FUNDING]]</f>
        <v>0</v>
      </c>
      <c r="AM26" s="123"/>
      <c r="AN26" s="161"/>
      <c r="AO26" s="198"/>
      <c r="AP26" s="74">
        <f t="shared" si="2"/>
        <v>0</v>
      </c>
      <c r="AQ26" s="6">
        <f>IF(CHSHTATbl[[#This Row],[RURAL TOTAL REQUESTED]]=0,0,CHSHTATbl[[#This Row],[RURAL TOTAL REQUESTED]]/CH_SHTA_RuralTotalRequested)</f>
        <v>0</v>
      </c>
      <c r="AR26" s="665">
        <f>IF(CHSHTATbl[[#This Row],[ALL UNITS IN A HIGH OR HIGHEST RESOURCE AREA]]="Yes",10*CHSHTATbl[[#This Row],[RURAL % OF FUNDING]],0)</f>
        <v>0</v>
      </c>
      <c r="AS26" s="665" cm="1">
        <f t="array" ref="AS26">INDEX(CountyScoresTbl[Community Need Total Points],ROW(CHSHTATbl[[#This Row],[COUNTY]])-2,1)*CHSHTATbl[[#This Row],[RURAL % OF FUNDING]]</f>
        <v>0</v>
      </c>
      <c r="AT26" s="666" cm="1">
        <f t="array" ref="AT26">INDEX(CountyScoresTbl[SHTA Total Feasibility Points Awarded],ROW(CHSHTATbl[[#This Row],[COUNTY]])-2,1)*CHSHTATbl[[#This Row],[RURAL % OF FUNDING]]</f>
        <v>0</v>
      </c>
      <c r="AU26" s="123"/>
      <c r="AV26" s="161"/>
      <c r="AW26" s="198"/>
      <c r="AX26" s="74">
        <f t="shared" si="3"/>
        <v>0</v>
      </c>
      <c r="AY26" s="6">
        <f>IF(CHSHTATbl[[#This Row],[MFD RURAL TOTAL REQUESTED]]=0,0,CHSHTATbl[[#This Row],[MFD RURAL TOTAL REQUESTED]]/CH_SHTA_MFDRuralTotalRequested)</f>
        <v>0</v>
      </c>
      <c r="AZ26" s="665">
        <f>IF(CHSHTATbl[[#This Row],[ALL UNITS IN A HIGH OR HIGHEST RESOURCE AREA]]="Yes",10*CHSHTATbl[[#This Row],[MFD RURAL % OF FUNDING]],0)</f>
        <v>0</v>
      </c>
      <c r="BA26" s="665" cm="1">
        <f t="array" ref="BA26">INDEX(CountyScoresTbl[Community Need Total Points],ROW(CHSHTATbl[[#This Row],[COUNTY]])-2,1)*CHSHTATbl[[#This Row],[MFD RURAL % OF FUNDING]]</f>
        <v>0</v>
      </c>
      <c r="BB26" s="666" cm="1">
        <f t="array" ref="BB26">INDEX(CountyScoresTbl[SHTA Total Feasibility Points Awarded],ROW(CHSHTATbl[[#This Row],[COUNTY]])-2,1)*CHSHTATbl[[#This Row],[MFD RURAL % OF FUNDING]]</f>
        <v>0</v>
      </c>
      <c r="BC26" s="764"/>
      <c r="BD26" s="765">
        <f>IF(CHSHTATbl[[#This Row],[INFILL SITE]]="Yes",5,3)*CHSHTATbl[[#This Row],[UNRESTRICTED % OF FUNDING]]</f>
        <v>0</v>
      </c>
      <c r="BE26" s="694">
        <f>IF(CHSHTATbl[[#This Row],[INFILL SITE]]="Yes",5,3)*CHSHTATbl[[#This Row],[MANUFACTURED % OF FUNDING]]</f>
        <v>0</v>
      </c>
      <c r="BF26" s="694">
        <f>IF(CHSHTATbl[[#This Row],[INFILL SITE]]="Yes",5,3)*CHSHTATbl[[#This Row],[RURAL % OF FUNDING]]</f>
        <v>0</v>
      </c>
      <c r="BG26" s="694">
        <f>IF(CHSHTATbl[[#This Row],[INFILL SITE]]="Yes",5,3)*CHSHTATbl[[#This Row],[MFD RURAL % OF FUNDING]]</f>
        <v>0</v>
      </c>
    </row>
    <row r="27" spans="1:59" x14ac:dyDescent="0.35">
      <c r="A27" s="167" t="s">
        <v>504</v>
      </c>
      <c r="B27" s="179" t="s">
        <v>139</v>
      </c>
      <c r="C27" s="177" t="s">
        <v>513</v>
      </c>
      <c r="D27" s="183" t="str">
        <f>IF(CHSHTATbl[[#This Row],[UNRESTRICTED UNITS]]=0,"",CHSHTATbl[[#This Row],[UNRESTRICTED UNITS]])</f>
        <v/>
      </c>
      <c r="E27" s="184" t="str">
        <f xml:space="preserve">
IF(CHSHTATbl[[#This Row],[UNRESTRICTED TOTAL REQUESTED]]=0,"",
CHSHTATbl[[#This Row],[UNRESTRICTED TOTAL REQUESTED]]*
IF(CH_SHTA_UnrestrictedTotalRequested&lt;=500000,1,
500000/CH_SHTA_UnrestrictedTotalRequested)
)</f>
        <v/>
      </c>
      <c r="F27" s="185" t="str">
        <f>IF(CHSHTATbl[[#This Row],[UNRESTRICTED % OF FUNDING]]=0,"",CHSHTATbl[[#This Row],[UNRESTRICTED % OF FUNDING]])</f>
        <v/>
      </c>
      <c r="G27" s="177" t="s">
        <v>513</v>
      </c>
      <c r="H27" s="183" t="str">
        <f>IF(CHSHTATbl[[#This Row],[MANUFACTURED UNITS]]=0,"",CHSHTATbl[[#This Row],[MANUFACTURED UNITS]])</f>
        <v/>
      </c>
      <c r="I27" s="187" t="str">
        <f xml:space="preserve">
IF(CHSHTATbl[[#This Row],[MANUFACTURED TOTAL REQUESTED]]=0,"",
CHSHTATbl[[#This Row],[MANUFACTURED TOTAL REQUESTED]]*
IF(CH_SHTA_ManufacturedTotalRequested&lt;=(500000-E$61),1,
(500000-E$61)/CH_SHTA_ManufacturedTotalRequested)
)</f>
        <v/>
      </c>
      <c r="J27" s="185" t="str">
        <f>IF(CHSHTATbl[[#This Row],[MANUFACTURED % OF FUNDING]]=0,"",CHSHTATbl[[#This Row],[MANUFACTURED % OF FUNDING]])</f>
        <v/>
      </c>
      <c r="K27" s="177" t="s">
        <v>513</v>
      </c>
      <c r="L27" s="190" t="str">
        <f>IF(CHSHTATbl[[#This Row],[RURAL UNITS]]=0,"",CHSHTATbl[[#This Row],[RURAL UNITS]])</f>
        <v/>
      </c>
      <c r="M27" s="187" t="str">
        <f xml:space="preserve">
IF(CHSHTATbl[[#This Row],[RURAL TOTAL REQUESTED]]=0,"",
CHSHTATbl[[#This Row],[RURAL TOTAL REQUESTED]]*
IF(CH_SHTA_RuralTotalRequested&lt;=(500000-E$61-I$61),1,
(500000-E$61-I$61)/CH_SHTA_RuralTotalRequested)
)</f>
        <v/>
      </c>
      <c r="N27" s="191" t="str">
        <f>IF(CHSHTATbl[[#This Row],[RURAL % OF FUNDING]]=0,"",CHSHTATbl[[#This Row],[RURAL % OF FUNDING]])</f>
        <v/>
      </c>
      <c r="O27" s="177" t="s">
        <v>513</v>
      </c>
      <c r="P27" s="193" t="str">
        <f>IF(CHSHTATbl[[#This Row],[MFD RURAL UNITS]]=0,"",CHSHTATbl[[#This Row],[MFD RURAL UNITS]])</f>
        <v/>
      </c>
      <c r="Q27" s="187" t="str">
        <f xml:space="preserve">
IF(CHSHTATbl[[#This Row],[MFD RURAL TOTAL REQUESTED]]=0,"",
CHSHTATbl[[#This Row],[MFD RURAL TOTAL REQUESTED]]*
IF(CH_SHTA_MFDRuralTotalRequested&lt;=(500000-E$61-I$61-M$61),1,
(500000-E$61-I$61-M$61)/CH_SHTA_MFDRuralTotalRequested)
)</f>
        <v/>
      </c>
      <c r="R27" s="191" t="str">
        <f>IF(CHSHTATbl[[#This Row],[MFD RURAL % OF FUNDING]]=0,"",CHSHTATbl[[#This Row],[MFD RURAL % OF FUNDING]])</f>
        <v/>
      </c>
      <c r="S27" s="31"/>
      <c r="T27" s="163"/>
      <c r="U27" s="164"/>
      <c r="V27" s="199"/>
      <c r="W27" s="123"/>
      <c r="X27" s="161"/>
      <c r="Y27" s="198"/>
      <c r="Z27" s="74">
        <f t="shared" si="0"/>
        <v>0</v>
      </c>
      <c r="AA27" s="6">
        <f>IF(CHSHTATbl[[#This Row],[UNRESTRICTED TOTAL REQUESTED]]=0,0,CHSHTATbl[[#This Row],[UNRESTRICTED TOTAL REQUESTED]]/CH_SHTA_UnrestrictedTotalRequested)</f>
        <v>0</v>
      </c>
      <c r="AB27" s="752">
        <f>IF(CHSHTATbl[[#This Row],[ALL UNITS IN A HIGH OR HIGHEST RESOURCE AREA]]="Yes",10*CHSHTATbl[[#This Row],[UNRESTRICTED % OF FUNDING]],0)</f>
        <v>0</v>
      </c>
      <c r="AC27" s="752" cm="1">
        <f t="array" ref="AC27">INDEX(CountyScoresTbl[Community Need Total Points],ROW(CHSHTATbl[[#This Row],[COUNTY]])-2,1)*CHSHTATbl[[#This Row],[UNRESTRICTED % OF FUNDING]]</f>
        <v>0</v>
      </c>
      <c r="AD27" s="752" cm="1">
        <f t="array" ref="AD27">INDEX(CountyScoresTbl[SHTA Total Feasibility Points Awarded],ROW(CHSHTATbl[[#This Row],[COUNTY]])-2,1)*CHSHTATbl[[#This Row],[UNRESTRICTED % OF FUNDING]]</f>
        <v>0</v>
      </c>
      <c r="AE27" s="125"/>
      <c r="AF27" s="161"/>
      <c r="AG27" s="198"/>
      <c r="AH27" s="74">
        <f t="shared" si="1"/>
        <v>0</v>
      </c>
      <c r="AI27" s="9">
        <f>IF(CHSHTATbl[[#This Row],[MANUFACTURED TOTAL REQUESTED]]=0,0,CHSHTATbl[[#This Row],[MANUFACTURED TOTAL REQUESTED]]/CH_SHTA_ManufacturedTotalRequested)</f>
        <v>0</v>
      </c>
      <c r="AJ27" s="665">
        <f>IF(CHSHTATbl[[#This Row],[ALL UNITS IN A HIGH OR HIGHEST RESOURCE AREA]]="Yes",10*CHSHTATbl[[#This Row],[MANUFACTURED % OF FUNDING]],0)</f>
        <v>0</v>
      </c>
      <c r="AK27" s="665" cm="1">
        <f t="array" ref="AK27">INDEX(CountyScoresTbl[Community Need Total Points],ROW(CHSHTATbl[[#This Row],[COUNTY]])-2,1)*CHSHTATbl[[#This Row],[MANUFACTURED % OF FUNDING]]</f>
        <v>0</v>
      </c>
      <c r="AL27" s="666" cm="1">
        <f t="array" ref="AL27">INDEX(CountyScoresTbl[SHTA Total Feasibility Points Awarded],ROW(CHSHTATbl[[#This Row],[COUNTY]])-2,1)*CHSHTATbl[[#This Row],[MANUFACTURED % OF FUNDING]]</f>
        <v>0</v>
      </c>
      <c r="AM27" s="123"/>
      <c r="AN27" s="161"/>
      <c r="AO27" s="198"/>
      <c r="AP27" s="74">
        <f t="shared" si="2"/>
        <v>0</v>
      </c>
      <c r="AQ27" s="6">
        <f>IF(CHSHTATbl[[#This Row],[RURAL TOTAL REQUESTED]]=0,0,CHSHTATbl[[#This Row],[RURAL TOTAL REQUESTED]]/CH_SHTA_RuralTotalRequested)</f>
        <v>0</v>
      </c>
      <c r="AR27" s="665">
        <f>IF(CHSHTATbl[[#This Row],[ALL UNITS IN A HIGH OR HIGHEST RESOURCE AREA]]="Yes",10*CHSHTATbl[[#This Row],[RURAL % OF FUNDING]],0)</f>
        <v>0</v>
      </c>
      <c r="AS27" s="665" cm="1">
        <f t="array" ref="AS27">INDEX(CountyScoresTbl[Community Need Total Points],ROW(CHSHTATbl[[#This Row],[COUNTY]])-2,1)*CHSHTATbl[[#This Row],[RURAL % OF FUNDING]]</f>
        <v>0</v>
      </c>
      <c r="AT27" s="666" cm="1">
        <f t="array" ref="AT27">INDEX(CountyScoresTbl[SHTA Total Feasibility Points Awarded],ROW(CHSHTATbl[[#This Row],[COUNTY]])-2,1)*CHSHTATbl[[#This Row],[RURAL % OF FUNDING]]</f>
        <v>0</v>
      </c>
      <c r="AU27" s="123"/>
      <c r="AV27" s="161"/>
      <c r="AW27" s="198"/>
      <c r="AX27" s="74">
        <f t="shared" si="3"/>
        <v>0</v>
      </c>
      <c r="AY27" s="6">
        <f>IF(CHSHTATbl[[#This Row],[MFD RURAL TOTAL REQUESTED]]=0,0,CHSHTATbl[[#This Row],[MFD RURAL TOTAL REQUESTED]]/CH_SHTA_MFDRuralTotalRequested)</f>
        <v>0</v>
      </c>
      <c r="AZ27" s="665">
        <f>IF(CHSHTATbl[[#This Row],[ALL UNITS IN A HIGH OR HIGHEST RESOURCE AREA]]="Yes",10*CHSHTATbl[[#This Row],[MFD RURAL % OF FUNDING]],0)</f>
        <v>0</v>
      </c>
      <c r="BA27" s="665" cm="1">
        <f t="array" ref="BA27">INDEX(CountyScoresTbl[Community Need Total Points],ROW(CHSHTATbl[[#This Row],[COUNTY]])-2,1)*CHSHTATbl[[#This Row],[MFD RURAL % OF FUNDING]]</f>
        <v>0</v>
      </c>
      <c r="BB27" s="666" cm="1">
        <f t="array" ref="BB27">INDEX(CountyScoresTbl[SHTA Total Feasibility Points Awarded],ROW(CHSHTATbl[[#This Row],[COUNTY]])-2,1)*CHSHTATbl[[#This Row],[MFD RURAL % OF FUNDING]]</f>
        <v>0</v>
      </c>
      <c r="BC27" s="764"/>
      <c r="BD27" s="765">
        <f>IF(CHSHTATbl[[#This Row],[INFILL SITE]]="Yes",5,3)*CHSHTATbl[[#This Row],[UNRESTRICTED % OF FUNDING]]</f>
        <v>0</v>
      </c>
      <c r="BE27" s="694">
        <f>IF(CHSHTATbl[[#This Row],[INFILL SITE]]="Yes",5,3)*CHSHTATbl[[#This Row],[MANUFACTURED % OF FUNDING]]</f>
        <v>0</v>
      </c>
      <c r="BF27" s="694">
        <f>IF(CHSHTATbl[[#This Row],[INFILL SITE]]="Yes",5,3)*CHSHTATbl[[#This Row],[RURAL % OF FUNDING]]</f>
        <v>0</v>
      </c>
      <c r="BG27" s="694">
        <f>IF(CHSHTATbl[[#This Row],[INFILL SITE]]="Yes",5,3)*CHSHTATbl[[#This Row],[MFD RURAL % OF FUNDING]]</f>
        <v>0</v>
      </c>
    </row>
    <row r="28" spans="1:59" x14ac:dyDescent="0.35">
      <c r="A28" s="124"/>
      <c r="B28" s="179" t="s">
        <v>140</v>
      </c>
      <c r="C28" s="177" t="s">
        <v>513</v>
      </c>
      <c r="D28" s="183" t="str">
        <f>IF(CHSHTATbl[[#This Row],[UNRESTRICTED UNITS]]=0,"",CHSHTATbl[[#This Row],[UNRESTRICTED UNITS]])</f>
        <v/>
      </c>
      <c r="E28" s="184" t="str">
        <f xml:space="preserve">
IF(CHSHTATbl[[#This Row],[UNRESTRICTED TOTAL REQUESTED]]=0,"",
CHSHTATbl[[#This Row],[UNRESTRICTED TOTAL REQUESTED]]*
IF(CH_SHTA_UnrestrictedTotalRequested&lt;=500000,1,
500000/CH_SHTA_UnrestrictedTotalRequested)
)</f>
        <v/>
      </c>
      <c r="F28" s="185" t="str">
        <f>IF(CHSHTATbl[[#This Row],[UNRESTRICTED % OF FUNDING]]=0,"",CHSHTATbl[[#This Row],[UNRESTRICTED % OF FUNDING]])</f>
        <v/>
      </c>
      <c r="G28" s="177" t="s">
        <v>513</v>
      </c>
      <c r="H28" s="183" t="str">
        <f>IF(CHSHTATbl[[#This Row],[MANUFACTURED UNITS]]=0,"",CHSHTATbl[[#This Row],[MANUFACTURED UNITS]])</f>
        <v/>
      </c>
      <c r="I28" s="187" t="str">
        <f xml:space="preserve">
IF(CHSHTATbl[[#This Row],[MANUFACTURED TOTAL REQUESTED]]=0,"",
CHSHTATbl[[#This Row],[MANUFACTURED TOTAL REQUESTED]]*
IF(CH_SHTA_ManufacturedTotalRequested&lt;=(500000-E$61),1,
(500000-E$61)/CH_SHTA_ManufacturedTotalRequested)
)</f>
        <v/>
      </c>
      <c r="J28" s="185" t="str">
        <f>IF(CHSHTATbl[[#This Row],[MANUFACTURED % OF FUNDING]]=0,"",CHSHTATbl[[#This Row],[MANUFACTURED % OF FUNDING]])</f>
        <v/>
      </c>
      <c r="K28" s="177" t="s">
        <v>513</v>
      </c>
      <c r="L28" s="190" t="str">
        <f>IF(CHSHTATbl[[#This Row],[RURAL UNITS]]=0,"",CHSHTATbl[[#This Row],[RURAL UNITS]])</f>
        <v/>
      </c>
      <c r="M28" s="187" t="str">
        <f xml:space="preserve">
IF(CHSHTATbl[[#This Row],[RURAL TOTAL REQUESTED]]=0,"",
CHSHTATbl[[#This Row],[RURAL TOTAL REQUESTED]]*
IF(CH_SHTA_RuralTotalRequested&lt;=(500000-E$61-I$61),1,
(500000-E$61-I$61)/CH_SHTA_RuralTotalRequested)
)</f>
        <v/>
      </c>
      <c r="N28" s="191" t="str">
        <f>IF(CHSHTATbl[[#This Row],[RURAL % OF FUNDING]]=0,"",CHSHTATbl[[#This Row],[RURAL % OF FUNDING]])</f>
        <v/>
      </c>
      <c r="O28" s="177" t="s">
        <v>513</v>
      </c>
      <c r="P28" s="193" t="str">
        <f>IF(CHSHTATbl[[#This Row],[MFD RURAL UNITS]]=0,"",CHSHTATbl[[#This Row],[MFD RURAL UNITS]])</f>
        <v/>
      </c>
      <c r="Q28" s="187" t="str">
        <f xml:space="preserve">
IF(CHSHTATbl[[#This Row],[MFD RURAL TOTAL REQUESTED]]=0,"",
CHSHTATbl[[#This Row],[MFD RURAL TOTAL REQUESTED]]*
IF(CH_SHTA_MFDRuralTotalRequested&lt;=(500000-E$61-I$61-M$61),1,
(500000-E$61-I$61-M$61)/CH_SHTA_MFDRuralTotalRequested)
)</f>
        <v/>
      </c>
      <c r="R28" s="191" t="str">
        <f>IF(CHSHTATbl[[#This Row],[MFD RURAL % OF FUNDING]]=0,"",CHSHTATbl[[#This Row],[MFD RURAL % OF FUNDING]])</f>
        <v/>
      </c>
      <c r="S28" s="31"/>
      <c r="T28" s="196"/>
      <c r="U28" s="119"/>
      <c r="V28" s="197"/>
      <c r="W28" s="123"/>
      <c r="X28" s="161"/>
      <c r="Y28" s="198"/>
      <c r="Z28" s="74">
        <f t="shared" si="0"/>
        <v>0</v>
      </c>
      <c r="AA28" s="6">
        <f>IF(CHSHTATbl[[#This Row],[UNRESTRICTED TOTAL REQUESTED]]=0,0,CHSHTATbl[[#This Row],[UNRESTRICTED TOTAL REQUESTED]]/CH_SHTA_UnrestrictedTotalRequested)</f>
        <v>0</v>
      </c>
      <c r="AB28" s="752">
        <f>IF(CHSHTATbl[[#This Row],[ALL UNITS IN A HIGH OR HIGHEST RESOURCE AREA]]="Yes",10*CHSHTATbl[[#This Row],[UNRESTRICTED % OF FUNDING]],0)</f>
        <v>0</v>
      </c>
      <c r="AC28" s="752" cm="1">
        <f t="array" ref="AC28">INDEX(CountyScoresTbl[Community Need Total Points],ROW(CHSHTATbl[[#This Row],[COUNTY]])-2,1)*CHSHTATbl[[#This Row],[UNRESTRICTED % OF FUNDING]]</f>
        <v>0</v>
      </c>
      <c r="AD28" s="752" cm="1">
        <f t="array" ref="AD28">INDEX(CountyScoresTbl[SHTA Total Feasibility Points Awarded],ROW(CHSHTATbl[[#This Row],[COUNTY]])-2,1)*CHSHTATbl[[#This Row],[UNRESTRICTED % OF FUNDING]]</f>
        <v>0</v>
      </c>
      <c r="AE28" s="125"/>
      <c r="AF28" s="161"/>
      <c r="AG28" s="198"/>
      <c r="AH28" s="74">
        <f t="shared" si="1"/>
        <v>0</v>
      </c>
      <c r="AI28" s="9">
        <f>IF(CHSHTATbl[[#This Row],[MANUFACTURED TOTAL REQUESTED]]=0,0,CHSHTATbl[[#This Row],[MANUFACTURED TOTAL REQUESTED]]/CH_SHTA_ManufacturedTotalRequested)</f>
        <v>0</v>
      </c>
      <c r="AJ28" s="665">
        <f>IF(CHSHTATbl[[#This Row],[ALL UNITS IN A HIGH OR HIGHEST RESOURCE AREA]]="Yes",10*CHSHTATbl[[#This Row],[MANUFACTURED % OF FUNDING]],0)</f>
        <v>0</v>
      </c>
      <c r="AK28" s="665" cm="1">
        <f t="array" ref="AK28">INDEX(CountyScoresTbl[Community Need Total Points],ROW(CHSHTATbl[[#This Row],[COUNTY]])-2,1)*CHSHTATbl[[#This Row],[MANUFACTURED % OF FUNDING]]</f>
        <v>0</v>
      </c>
      <c r="AL28" s="666" cm="1">
        <f t="array" ref="AL28">INDEX(CountyScoresTbl[SHTA Total Feasibility Points Awarded],ROW(CHSHTATbl[[#This Row],[COUNTY]])-2,1)*CHSHTATbl[[#This Row],[MANUFACTURED % OF FUNDING]]</f>
        <v>0</v>
      </c>
      <c r="AM28" s="123"/>
      <c r="AN28" s="161"/>
      <c r="AO28" s="198"/>
      <c r="AP28" s="74">
        <f t="shared" si="2"/>
        <v>0</v>
      </c>
      <c r="AQ28" s="6">
        <f>IF(CHSHTATbl[[#This Row],[RURAL TOTAL REQUESTED]]=0,0,CHSHTATbl[[#This Row],[RURAL TOTAL REQUESTED]]/CH_SHTA_RuralTotalRequested)</f>
        <v>0</v>
      </c>
      <c r="AR28" s="665">
        <f>IF(CHSHTATbl[[#This Row],[ALL UNITS IN A HIGH OR HIGHEST RESOURCE AREA]]="Yes",10*CHSHTATbl[[#This Row],[RURAL % OF FUNDING]],0)</f>
        <v>0</v>
      </c>
      <c r="AS28" s="665" cm="1">
        <f t="array" ref="AS28">INDEX(CountyScoresTbl[Community Need Total Points],ROW(CHSHTATbl[[#This Row],[COUNTY]])-2,1)*CHSHTATbl[[#This Row],[RURAL % OF FUNDING]]</f>
        <v>0</v>
      </c>
      <c r="AT28" s="666" cm="1">
        <f t="array" ref="AT28">INDEX(CountyScoresTbl[SHTA Total Feasibility Points Awarded],ROW(CHSHTATbl[[#This Row],[COUNTY]])-2,1)*CHSHTATbl[[#This Row],[RURAL % OF FUNDING]]</f>
        <v>0</v>
      </c>
      <c r="AU28" s="123"/>
      <c r="AV28" s="161"/>
      <c r="AW28" s="198"/>
      <c r="AX28" s="74">
        <f t="shared" si="3"/>
        <v>0</v>
      </c>
      <c r="AY28" s="6">
        <f>IF(CHSHTATbl[[#This Row],[MFD RURAL TOTAL REQUESTED]]=0,0,CHSHTATbl[[#This Row],[MFD RURAL TOTAL REQUESTED]]/CH_SHTA_MFDRuralTotalRequested)</f>
        <v>0</v>
      </c>
      <c r="AZ28" s="665">
        <f>IF(CHSHTATbl[[#This Row],[ALL UNITS IN A HIGH OR HIGHEST RESOURCE AREA]]="Yes",10*CHSHTATbl[[#This Row],[MFD RURAL % OF FUNDING]],0)</f>
        <v>0</v>
      </c>
      <c r="BA28" s="665" cm="1">
        <f t="array" ref="BA28">INDEX(CountyScoresTbl[Community Need Total Points],ROW(CHSHTATbl[[#This Row],[COUNTY]])-2,1)*CHSHTATbl[[#This Row],[MFD RURAL % OF FUNDING]]</f>
        <v>0</v>
      </c>
      <c r="BB28" s="666" cm="1">
        <f t="array" ref="BB28">INDEX(CountyScoresTbl[SHTA Total Feasibility Points Awarded],ROW(CHSHTATbl[[#This Row],[COUNTY]])-2,1)*CHSHTATbl[[#This Row],[MFD RURAL % OF FUNDING]]</f>
        <v>0</v>
      </c>
      <c r="BC28" s="764"/>
      <c r="BD28" s="765">
        <f>IF(CHSHTATbl[[#This Row],[INFILL SITE]]="Yes",5,3)*CHSHTATbl[[#This Row],[UNRESTRICTED % OF FUNDING]]</f>
        <v>0</v>
      </c>
      <c r="BE28" s="694">
        <f>IF(CHSHTATbl[[#This Row],[INFILL SITE]]="Yes",5,3)*CHSHTATbl[[#This Row],[MANUFACTURED % OF FUNDING]]</f>
        <v>0</v>
      </c>
      <c r="BF28" s="694">
        <f>IF(CHSHTATbl[[#This Row],[INFILL SITE]]="Yes",5,3)*CHSHTATbl[[#This Row],[RURAL % OF FUNDING]]</f>
        <v>0</v>
      </c>
      <c r="BG28" s="694">
        <f>IF(CHSHTATbl[[#This Row],[INFILL SITE]]="Yes",5,3)*CHSHTATbl[[#This Row],[MFD RURAL % OF FUNDING]]</f>
        <v>0</v>
      </c>
    </row>
    <row r="29" spans="1:59" x14ac:dyDescent="0.35">
      <c r="A29" s="167"/>
      <c r="B29" s="179" t="s">
        <v>141</v>
      </c>
      <c r="C29" s="177" t="s">
        <v>513</v>
      </c>
      <c r="D29" s="183" t="str">
        <f>IF(CHSHTATbl[[#This Row],[UNRESTRICTED UNITS]]=0,"",CHSHTATbl[[#This Row],[UNRESTRICTED UNITS]])</f>
        <v/>
      </c>
      <c r="E29" s="184" t="str">
        <f xml:space="preserve">
IF(CHSHTATbl[[#This Row],[UNRESTRICTED TOTAL REQUESTED]]=0,"",
CHSHTATbl[[#This Row],[UNRESTRICTED TOTAL REQUESTED]]*
IF(CH_SHTA_UnrestrictedTotalRequested&lt;=500000,1,
500000/CH_SHTA_UnrestrictedTotalRequested)
)</f>
        <v/>
      </c>
      <c r="F29" s="185" t="str">
        <f>IF(CHSHTATbl[[#This Row],[UNRESTRICTED % OF FUNDING]]=0,"",CHSHTATbl[[#This Row],[UNRESTRICTED % OF FUNDING]])</f>
        <v/>
      </c>
      <c r="G29" s="177" t="s">
        <v>513</v>
      </c>
      <c r="H29" s="183" t="str">
        <f>IF(CHSHTATbl[[#This Row],[MANUFACTURED UNITS]]=0,"",CHSHTATbl[[#This Row],[MANUFACTURED UNITS]])</f>
        <v/>
      </c>
      <c r="I29" s="187" t="str">
        <f xml:space="preserve">
IF(CHSHTATbl[[#This Row],[MANUFACTURED TOTAL REQUESTED]]=0,"",
CHSHTATbl[[#This Row],[MANUFACTURED TOTAL REQUESTED]]*
IF(CH_SHTA_ManufacturedTotalRequested&lt;=(500000-E$61),1,
(500000-E$61)/CH_SHTA_ManufacturedTotalRequested)
)</f>
        <v/>
      </c>
      <c r="J29" s="185" t="str">
        <f>IF(CHSHTATbl[[#This Row],[MANUFACTURED % OF FUNDING]]=0,"",CHSHTATbl[[#This Row],[MANUFACTURED % OF FUNDING]])</f>
        <v/>
      </c>
      <c r="K29" s="177" t="s">
        <v>513</v>
      </c>
      <c r="L29" s="190" t="str">
        <f>IF(CHSHTATbl[[#This Row],[RURAL UNITS]]=0,"",CHSHTATbl[[#This Row],[RURAL UNITS]])</f>
        <v/>
      </c>
      <c r="M29" s="187" t="str">
        <f xml:space="preserve">
IF(CHSHTATbl[[#This Row],[RURAL TOTAL REQUESTED]]=0,"",
CHSHTATbl[[#This Row],[RURAL TOTAL REQUESTED]]*
IF(CH_SHTA_RuralTotalRequested&lt;=(500000-E$61-I$61),1,
(500000-E$61-I$61)/CH_SHTA_RuralTotalRequested)
)</f>
        <v/>
      </c>
      <c r="N29" s="191" t="str">
        <f>IF(CHSHTATbl[[#This Row],[RURAL % OF FUNDING]]=0,"",CHSHTATbl[[#This Row],[RURAL % OF FUNDING]])</f>
        <v/>
      </c>
      <c r="O29" s="177" t="s">
        <v>513</v>
      </c>
      <c r="P29" s="193" t="str">
        <f>IF(CHSHTATbl[[#This Row],[MFD RURAL UNITS]]=0,"",CHSHTATbl[[#This Row],[MFD RURAL UNITS]])</f>
        <v/>
      </c>
      <c r="Q29" s="187" t="str">
        <f xml:space="preserve">
IF(CHSHTATbl[[#This Row],[MFD RURAL TOTAL REQUESTED]]=0,"",
CHSHTATbl[[#This Row],[MFD RURAL TOTAL REQUESTED]]*
IF(CH_SHTA_MFDRuralTotalRequested&lt;=(500000-E$61-I$61-M$61),1,
(500000-E$61-I$61-M$61)/CH_SHTA_MFDRuralTotalRequested)
)</f>
        <v/>
      </c>
      <c r="R29" s="191" t="str">
        <f>IF(CHSHTATbl[[#This Row],[MFD RURAL % OF FUNDING]]=0,"",CHSHTATbl[[#This Row],[MFD RURAL % OF FUNDING]])</f>
        <v/>
      </c>
      <c r="S29" s="31"/>
      <c r="T29" s="163"/>
      <c r="U29" s="164"/>
      <c r="V29" s="199"/>
      <c r="W29" s="123"/>
      <c r="X29" s="161"/>
      <c r="Y29" s="198"/>
      <c r="Z29" s="74">
        <f t="shared" si="0"/>
        <v>0</v>
      </c>
      <c r="AA29" s="6">
        <f>IF(CHSHTATbl[[#This Row],[UNRESTRICTED TOTAL REQUESTED]]=0,0,CHSHTATbl[[#This Row],[UNRESTRICTED TOTAL REQUESTED]]/CH_SHTA_UnrestrictedTotalRequested)</f>
        <v>0</v>
      </c>
      <c r="AB29" s="752">
        <f>IF(CHSHTATbl[[#This Row],[ALL UNITS IN A HIGH OR HIGHEST RESOURCE AREA]]="Yes",10*CHSHTATbl[[#This Row],[UNRESTRICTED % OF FUNDING]],0)</f>
        <v>0</v>
      </c>
      <c r="AC29" s="752" cm="1">
        <f t="array" ref="AC29">INDEX(CountyScoresTbl[Community Need Total Points],ROW(CHSHTATbl[[#This Row],[COUNTY]])-2,1)*CHSHTATbl[[#This Row],[UNRESTRICTED % OF FUNDING]]</f>
        <v>0</v>
      </c>
      <c r="AD29" s="752" cm="1">
        <f t="array" ref="AD29">INDEX(CountyScoresTbl[SHTA Total Feasibility Points Awarded],ROW(CHSHTATbl[[#This Row],[COUNTY]])-2,1)*CHSHTATbl[[#This Row],[UNRESTRICTED % OF FUNDING]]</f>
        <v>0</v>
      </c>
      <c r="AE29" s="125"/>
      <c r="AF29" s="161"/>
      <c r="AG29" s="198"/>
      <c r="AH29" s="74">
        <f t="shared" si="1"/>
        <v>0</v>
      </c>
      <c r="AI29" s="9">
        <f>IF(CHSHTATbl[[#This Row],[MANUFACTURED TOTAL REQUESTED]]=0,0,CHSHTATbl[[#This Row],[MANUFACTURED TOTAL REQUESTED]]/CH_SHTA_ManufacturedTotalRequested)</f>
        <v>0</v>
      </c>
      <c r="AJ29" s="665">
        <f>IF(CHSHTATbl[[#This Row],[ALL UNITS IN A HIGH OR HIGHEST RESOURCE AREA]]="Yes",10*CHSHTATbl[[#This Row],[MANUFACTURED % OF FUNDING]],0)</f>
        <v>0</v>
      </c>
      <c r="AK29" s="665" cm="1">
        <f t="array" ref="AK29">INDEX(CountyScoresTbl[Community Need Total Points],ROW(CHSHTATbl[[#This Row],[COUNTY]])-2,1)*CHSHTATbl[[#This Row],[MANUFACTURED % OF FUNDING]]</f>
        <v>0</v>
      </c>
      <c r="AL29" s="666" cm="1">
        <f t="array" ref="AL29">INDEX(CountyScoresTbl[SHTA Total Feasibility Points Awarded],ROW(CHSHTATbl[[#This Row],[COUNTY]])-2,1)*CHSHTATbl[[#This Row],[MANUFACTURED % OF FUNDING]]</f>
        <v>0</v>
      </c>
      <c r="AM29" s="123"/>
      <c r="AN29" s="161"/>
      <c r="AO29" s="198"/>
      <c r="AP29" s="74">
        <f t="shared" si="2"/>
        <v>0</v>
      </c>
      <c r="AQ29" s="6">
        <f>IF(CHSHTATbl[[#This Row],[RURAL TOTAL REQUESTED]]=0,0,CHSHTATbl[[#This Row],[RURAL TOTAL REQUESTED]]/CH_SHTA_RuralTotalRequested)</f>
        <v>0</v>
      </c>
      <c r="AR29" s="665">
        <f>IF(CHSHTATbl[[#This Row],[ALL UNITS IN A HIGH OR HIGHEST RESOURCE AREA]]="Yes",10*CHSHTATbl[[#This Row],[RURAL % OF FUNDING]],0)</f>
        <v>0</v>
      </c>
      <c r="AS29" s="665" cm="1">
        <f t="array" ref="AS29">INDEX(CountyScoresTbl[Community Need Total Points],ROW(CHSHTATbl[[#This Row],[COUNTY]])-2,1)*CHSHTATbl[[#This Row],[RURAL % OF FUNDING]]</f>
        <v>0</v>
      </c>
      <c r="AT29" s="666" cm="1">
        <f t="array" ref="AT29">INDEX(CountyScoresTbl[SHTA Total Feasibility Points Awarded],ROW(CHSHTATbl[[#This Row],[COUNTY]])-2,1)*CHSHTATbl[[#This Row],[RURAL % OF FUNDING]]</f>
        <v>0</v>
      </c>
      <c r="AU29" s="123"/>
      <c r="AV29" s="161"/>
      <c r="AW29" s="198"/>
      <c r="AX29" s="74">
        <f t="shared" si="3"/>
        <v>0</v>
      </c>
      <c r="AY29" s="6">
        <f>IF(CHSHTATbl[[#This Row],[MFD RURAL TOTAL REQUESTED]]=0,0,CHSHTATbl[[#This Row],[MFD RURAL TOTAL REQUESTED]]/CH_SHTA_MFDRuralTotalRequested)</f>
        <v>0</v>
      </c>
      <c r="AZ29" s="665">
        <f>IF(CHSHTATbl[[#This Row],[ALL UNITS IN A HIGH OR HIGHEST RESOURCE AREA]]="Yes",10*CHSHTATbl[[#This Row],[MFD RURAL % OF FUNDING]],0)</f>
        <v>0</v>
      </c>
      <c r="BA29" s="665" cm="1">
        <f t="array" ref="BA29">INDEX(CountyScoresTbl[Community Need Total Points],ROW(CHSHTATbl[[#This Row],[COUNTY]])-2,1)*CHSHTATbl[[#This Row],[MFD RURAL % OF FUNDING]]</f>
        <v>0</v>
      </c>
      <c r="BB29" s="666" cm="1">
        <f t="array" ref="BB29">INDEX(CountyScoresTbl[SHTA Total Feasibility Points Awarded],ROW(CHSHTATbl[[#This Row],[COUNTY]])-2,1)*CHSHTATbl[[#This Row],[MFD RURAL % OF FUNDING]]</f>
        <v>0</v>
      </c>
      <c r="BC29" s="764"/>
      <c r="BD29" s="765">
        <f>IF(CHSHTATbl[[#This Row],[INFILL SITE]]="Yes",5,3)*CHSHTATbl[[#This Row],[UNRESTRICTED % OF FUNDING]]</f>
        <v>0</v>
      </c>
      <c r="BE29" s="694">
        <f>IF(CHSHTATbl[[#This Row],[INFILL SITE]]="Yes",5,3)*CHSHTATbl[[#This Row],[MANUFACTURED % OF FUNDING]]</f>
        <v>0</v>
      </c>
      <c r="BF29" s="694">
        <f>IF(CHSHTATbl[[#This Row],[INFILL SITE]]="Yes",5,3)*CHSHTATbl[[#This Row],[RURAL % OF FUNDING]]</f>
        <v>0</v>
      </c>
      <c r="BG29" s="694">
        <f>IF(CHSHTATbl[[#This Row],[INFILL SITE]]="Yes",5,3)*CHSHTATbl[[#This Row],[MFD RURAL % OF FUNDING]]</f>
        <v>0</v>
      </c>
    </row>
    <row r="30" spans="1:59" x14ac:dyDescent="0.35">
      <c r="A30" s="124"/>
      <c r="B30" s="179" t="s">
        <v>142</v>
      </c>
      <c r="C30" s="177" t="s">
        <v>513</v>
      </c>
      <c r="D30" s="183" t="str">
        <f>IF(CHSHTATbl[[#This Row],[UNRESTRICTED UNITS]]=0,"",CHSHTATbl[[#This Row],[UNRESTRICTED UNITS]])</f>
        <v/>
      </c>
      <c r="E30" s="184" t="str">
        <f xml:space="preserve">
IF(CHSHTATbl[[#This Row],[UNRESTRICTED TOTAL REQUESTED]]=0,"",
CHSHTATbl[[#This Row],[UNRESTRICTED TOTAL REQUESTED]]*
IF(CH_SHTA_UnrestrictedTotalRequested&lt;=500000,1,
500000/CH_SHTA_UnrestrictedTotalRequested)
)</f>
        <v/>
      </c>
      <c r="F30" s="185" t="str">
        <f>IF(CHSHTATbl[[#This Row],[UNRESTRICTED % OF FUNDING]]=0,"",CHSHTATbl[[#This Row],[UNRESTRICTED % OF FUNDING]])</f>
        <v/>
      </c>
      <c r="G30" s="177" t="s">
        <v>513</v>
      </c>
      <c r="H30" s="183" t="str">
        <f>IF(CHSHTATbl[[#This Row],[MANUFACTURED UNITS]]=0,"",CHSHTATbl[[#This Row],[MANUFACTURED UNITS]])</f>
        <v/>
      </c>
      <c r="I30" s="187" t="str">
        <f xml:space="preserve">
IF(CHSHTATbl[[#This Row],[MANUFACTURED TOTAL REQUESTED]]=0,"",
CHSHTATbl[[#This Row],[MANUFACTURED TOTAL REQUESTED]]*
IF(CH_SHTA_ManufacturedTotalRequested&lt;=(500000-E$61),1,
(500000-E$61)/CH_SHTA_ManufacturedTotalRequested)
)</f>
        <v/>
      </c>
      <c r="J30" s="185" t="str">
        <f>IF(CHSHTATbl[[#This Row],[MANUFACTURED % OF FUNDING]]=0,"",CHSHTATbl[[#This Row],[MANUFACTURED % OF FUNDING]])</f>
        <v/>
      </c>
      <c r="K30" s="177" t="s">
        <v>513</v>
      </c>
      <c r="L30" s="190" t="str">
        <f>IF(CHSHTATbl[[#This Row],[RURAL UNITS]]=0,"",CHSHTATbl[[#This Row],[RURAL UNITS]])</f>
        <v/>
      </c>
      <c r="M30" s="187" t="str">
        <f xml:space="preserve">
IF(CHSHTATbl[[#This Row],[RURAL TOTAL REQUESTED]]=0,"",
CHSHTATbl[[#This Row],[RURAL TOTAL REQUESTED]]*
IF(CH_SHTA_RuralTotalRequested&lt;=(500000-E$61-I$61),1,
(500000-E$61-I$61)/CH_SHTA_RuralTotalRequested)
)</f>
        <v/>
      </c>
      <c r="N30" s="191" t="str">
        <f>IF(CHSHTATbl[[#This Row],[RURAL % OF FUNDING]]=0,"",CHSHTATbl[[#This Row],[RURAL % OF FUNDING]])</f>
        <v/>
      </c>
      <c r="O30" s="177" t="s">
        <v>513</v>
      </c>
      <c r="P30" s="193" t="str">
        <f>IF(CHSHTATbl[[#This Row],[MFD RURAL UNITS]]=0,"",CHSHTATbl[[#This Row],[MFD RURAL UNITS]])</f>
        <v/>
      </c>
      <c r="Q30" s="187" t="str">
        <f xml:space="preserve">
IF(CHSHTATbl[[#This Row],[MFD RURAL TOTAL REQUESTED]]=0,"",
CHSHTATbl[[#This Row],[MFD RURAL TOTAL REQUESTED]]*
IF(CH_SHTA_MFDRuralTotalRequested&lt;=(500000-E$61-I$61-M$61),1,
(500000-E$61-I$61-M$61)/CH_SHTA_MFDRuralTotalRequested)
)</f>
        <v/>
      </c>
      <c r="R30" s="191" t="str">
        <f>IF(CHSHTATbl[[#This Row],[MFD RURAL % OF FUNDING]]=0,"",CHSHTATbl[[#This Row],[MFD RURAL % OF FUNDING]])</f>
        <v/>
      </c>
      <c r="S30" s="31"/>
      <c r="T30" s="196"/>
      <c r="U30" s="119"/>
      <c r="V30" s="197"/>
      <c r="W30" s="123"/>
      <c r="X30" s="161"/>
      <c r="Y30" s="198"/>
      <c r="Z30" s="74">
        <f t="shared" si="0"/>
        <v>0</v>
      </c>
      <c r="AA30" s="6">
        <f>IF(CHSHTATbl[[#This Row],[UNRESTRICTED TOTAL REQUESTED]]=0,0,CHSHTATbl[[#This Row],[UNRESTRICTED TOTAL REQUESTED]]/CH_SHTA_UnrestrictedTotalRequested)</f>
        <v>0</v>
      </c>
      <c r="AB30" s="752">
        <f>IF(CHSHTATbl[[#This Row],[ALL UNITS IN A HIGH OR HIGHEST RESOURCE AREA]]="Yes",10*CHSHTATbl[[#This Row],[UNRESTRICTED % OF FUNDING]],0)</f>
        <v>0</v>
      </c>
      <c r="AC30" s="752" cm="1">
        <f t="array" ref="AC30">INDEX(CountyScoresTbl[Community Need Total Points],ROW(CHSHTATbl[[#This Row],[COUNTY]])-2,1)*CHSHTATbl[[#This Row],[UNRESTRICTED % OF FUNDING]]</f>
        <v>0</v>
      </c>
      <c r="AD30" s="752" cm="1">
        <f t="array" ref="AD30">INDEX(CountyScoresTbl[SHTA Total Feasibility Points Awarded],ROW(CHSHTATbl[[#This Row],[COUNTY]])-2,1)*CHSHTATbl[[#This Row],[UNRESTRICTED % OF FUNDING]]</f>
        <v>0</v>
      </c>
      <c r="AE30" s="125"/>
      <c r="AF30" s="161"/>
      <c r="AG30" s="198"/>
      <c r="AH30" s="74">
        <f t="shared" si="1"/>
        <v>0</v>
      </c>
      <c r="AI30" s="9">
        <f>IF(CHSHTATbl[[#This Row],[MANUFACTURED TOTAL REQUESTED]]=0,0,CHSHTATbl[[#This Row],[MANUFACTURED TOTAL REQUESTED]]/CH_SHTA_ManufacturedTotalRequested)</f>
        <v>0</v>
      </c>
      <c r="AJ30" s="665">
        <f>IF(CHSHTATbl[[#This Row],[ALL UNITS IN A HIGH OR HIGHEST RESOURCE AREA]]="Yes",10*CHSHTATbl[[#This Row],[MANUFACTURED % OF FUNDING]],0)</f>
        <v>0</v>
      </c>
      <c r="AK30" s="665" cm="1">
        <f t="array" ref="AK30">INDEX(CountyScoresTbl[Community Need Total Points],ROW(CHSHTATbl[[#This Row],[COUNTY]])-2,1)*CHSHTATbl[[#This Row],[MANUFACTURED % OF FUNDING]]</f>
        <v>0</v>
      </c>
      <c r="AL30" s="666" cm="1">
        <f t="array" ref="AL30">INDEX(CountyScoresTbl[SHTA Total Feasibility Points Awarded],ROW(CHSHTATbl[[#This Row],[COUNTY]])-2,1)*CHSHTATbl[[#This Row],[MANUFACTURED % OF FUNDING]]</f>
        <v>0</v>
      </c>
      <c r="AM30" s="123"/>
      <c r="AN30" s="161"/>
      <c r="AO30" s="198"/>
      <c r="AP30" s="74">
        <f t="shared" si="2"/>
        <v>0</v>
      </c>
      <c r="AQ30" s="6">
        <f>IF(CHSHTATbl[[#This Row],[RURAL TOTAL REQUESTED]]=0,0,CHSHTATbl[[#This Row],[RURAL TOTAL REQUESTED]]/CH_SHTA_RuralTotalRequested)</f>
        <v>0</v>
      </c>
      <c r="AR30" s="665">
        <f>IF(CHSHTATbl[[#This Row],[ALL UNITS IN A HIGH OR HIGHEST RESOURCE AREA]]="Yes",10*CHSHTATbl[[#This Row],[RURAL % OF FUNDING]],0)</f>
        <v>0</v>
      </c>
      <c r="AS30" s="665" cm="1">
        <f t="array" ref="AS30">INDEX(CountyScoresTbl[Community Need Total Points],ROW(CHSHTATbl[[#This Row],[COUNTY]])-2,1)*CHSHTATbl[[#This Row],[RURAL % OF FUNDING]]</f>
        <v>0</v>
      </c>
      <c r="AT30" s="666" cm="1">
        <f t="array" ref="AT30">INDEX(CountyScoresTbl[SHTA Total Feasibility Points Awarded],ROW(CHSHTATbl[[#This Row],[COUNTY]])-2,1)*CHSHTATbl[[#This Row],[RURAL % OF FUNDING]]</f>
        <v>0</v>
      </c>
      <c r="AU30" s="123"/>
      <c r="AV30" s="161"/>
      <c r="AW30" s="198"/>
      <c r="AX30" s="74">
        <f t="shared" si="3"/>
        <v>0</v>
      </c>
      <c r="AY30" s="6">
        <f>IF(CHSHTATbl[[#This Row],[MFD RURAL TOTAL REQUESTED]]=0,0,CHSHTATbl[[#This Row],[MFD RURAL TOTAL REQUESTED]]/CH_SHTA_MFDRuralTotalRequested)</f>
        <v>0</v>
      </c>
      <c r="AZ30" s="665">
        <f>IF(CHSHTATbl[[#This Row],[ALL UNITS IN A HIGH OR HIGHEST RESOURCE AREA]]="Yes",10*CHSHTATbl[[#This Row],[MFD RURAL % OF FUNDING]],0)</f>
        <v>0</v>
      </c>
      <c r="BA30" s="665" cm="1">
        <f t="array" ref="BA30">INDEX(CountyScoresTbl[Community Need Total Points],ROW(CHSHTATbl[[#This Row],[COUNTY]])-2,1)*CHSHTATbl[[#This Row],[MFD RURAL % OF FUNDING]]</f>
        <v>0</v>
      </c>
      <c r="BB30" s="666" cm="1">
        <f t="array" ref="BB30">INDEX(CountyScoresTbl[SHTA Total Feasibility Points Awarded],ROW(CHSHTATbl[[#This Row],[COUNTY]])-2,1)*CHSHTATbl[[#This Row],[MFD RURAL % OF FUNDING]]</f>
        <v>0</v>
      </c>
      <c r="BC30" s="764"/>
      <c r="BD30" s="765">
        <f>IF(CHSHTATbl[[#This Row],[INFILL SITE]]="Yes",5,3)*CHSHTATbl[[#This Row],[UNRESTRICTED % OF FUNDING]]</f>
        <v>0</v>
      </c>
      <c r="BE30" s="694">
        <f>IF(CHSHTATbl[[#This Row],[INFILL SITE]]="Yes",5,3)*CHSHTATbl[[#This Row],[MANUFACTURED % OF FUNDING]]</f>
        <v>0</v>
      </c>
      <c r="BF30" s="694">
        <f>IF(CHSHTATbl[[#This Row],[INFILL SITE]]="Yes",5,3)*CHSHTATbl[[#This Row],[RURAL % OF FUNDING]]</f>
        <v>0</v>
      </c>
      <c r="BG30" s="694">
        <f>IF(CHSHTATbl[[#This Row],[INFILL SITE]]="Yes",5,3)*CHSHTATbl[[#This Row],[MFD RURAL % OF FUNDING]]</f>
        <v>0</v>
      </c>
    </row>
    <row r="31" spans="1:59" x14ac:dyDescent="0.35">
      <c r="A31" s="167"/>
      <c r="B31" s="179" t="s">
        <v>143</v>
      </c>
      <c r="C31" s="177" t="s">
        <v>513</v>
      </c>
      <c r="D31" s="183" t="str">
        <f>IF(CHSHTATbl[[#This Row],[UNRESTRICTED UNITS]]=0,"",CHSHTATbl[[#This Row],[UNRESTRICTED UNITS]])</f>
        <v/>
      </c>
      <c r="E31" s="184" t="str">
        <f xml:space="preserve">
IF(CHSHTATbl[[#This Row],[UNRESTRICTED TOTAL REQUESTED]]=0,"",
CHSHTATbl[[#This Row],[UNRESTRICTED TOTAL REQUESTED]]*
IF(CH_SHTA_UnrestrictedTotalRequested&lt;=500000,1,
500000/CH_SHTA_UnrestrictedTotalRequested)
)</f>
        <v/>
      </c>
      <c r="F31" s="185" t="str">
        <f>IF(CHSHTATbl[[#This Row],[UNRESTRICTED % OF FUNDING]]=0,"",CHSHTATbl[[#This Row],[UNRESTRICTED % OF FUNDING]])</f>
        <v/>
      </c>
      <c r="G31" s="177" t="s">
        <v>513</v>
      </c>
      <c r="H31" s="183" t="str">
        <f>IF(CHSHTATbl[[#This Row],[MANUFACTURED UNITS]]=0,"",CHSHTATbl[[#This Row],[MANUFACTURED UNITS]])</f>
        <v/>
      </c>
      <c r="I31" s="187" t="str">
        <f xml:space="preserve">
IF(CHSHTATbl[[#This Row],[MANUFACTURED TOTAL REQUESTED]]=0,"",
CHSHTATbl[[#This Row],[MANUFACTURED TOTAL REQUESTED]]*
IF(CH_SHTA_ManufacturedTotalRequested&lt;=(500000-E$61),1,
(500000-E$61)/CH_SHTA_ManufacturedTotalRequested)
)</f>
        <v/>
      </c>
      <c r="J31" s="185" t="str">
        <f>IF(CHSHTATbl[[#This Row],[MANUFACTURED % OF FUNDING]]=0,"",CHSHTATbl[[#This Row],[MANUFACTURED % OF FUNDING]])</f>
        <v/>
      </c>
      <c r="K31" s="177" t="s">
        <v>513</v>
      </c>
      <c r="L31" s="190" t="str">
        <f>IF(CHSHTATbl[[#This Row],[RURAL UNITS]]=0,"",CHSHTATbl[[#This Row],[RURAL UNITS]])</f>
        <v/>
      </c>
      <c r="M31" s="187" t="str">
        <f xml:space="preserve">
IF(CHSHTATbl[[#This Row],[RURAL TOTAL REQUESTED]]=0,"",
CHSHTATbl[[#This Row],[RURAL TOTAL REQUESTED]]*
IF(CH_SHTA_RuralTotalRequested&lt;=(500000-E$61-I$61),1,
(500000-E$61-I$61)/CH_SHTA_RuralTotalRequested)
)</f>
        <v/>
      </c>
      <c r="N31" s="191" t="str">
        <f>IF(CHSHTATbl[[#This Row],[RURAL % OF FUNDING]]=0,"",CHSHTATbl[[#This Row],[RURAL % OF FUNDING]])</f>
        <v/>
      </c>
      <c r="O31" s="177" t="s">
        <v>513</v>
      </c>
      <c r="P31" s="193" t="str">
        <f>IF(CHSHTATbl[[#This Row],[MFD RURAL UNITS]]=0,"",CHSHTATbl[[#This Row],[MFD RURAL UNITS]])</f>
        <v/>
      </c>
      <c r="Q31" s="187" t="str">
        <f xml:space="preserve">
IF(CHSHTATbl[[#This Row],[MFD RURAL TOTAL REQUESTED]]=0,"",
CHSHTATbl[[#This Row],[MFD RURAL TOTAL REQUESTED]]*
IF(CH_SHTA_MFDRuralTotalRequested&lt;=(500000-E$61-I$61-M$61),1,
(500000-E$61-I$61-M$61)/CH_SHTA_MFDRuralTotalRequested)
)</f>
        <v/>
      </c>
      <c r="R31" s="191" t="str">
        <f>IF(CHSHTATbl[[#This Row],[MFD RURAL % OF FUNDING]]=0,"",CHSHTATbl[[#This Row],[MFD RURAL % OF FUNDING]])</f>
        <v/>
      </c>
      <c r="S31" s="31"/>
      <c r="T31" s="163"/>
      <c r="U31" s="164"/>
      <c r="V31" s="199"/>
      <c r="W31" s="123"/>
      <c r="X31" s="161"/>
      <c r="Y31" s="198"/>
      <c r="Z31" s="74">
        <f t="shared" si="0"/>
        <v>0</v>
      </c>
      <c r="AA31" s="6">
        <f>IF(CHSHTATbl[[#This Row],[UNRESTRICTED TOTAL REQUESTED]]=0,0,CHSHTATbl[[#This Row],[UNRESTRICTED TOTAL REQUESTED]]/CH_SHTA_UnrestrictedTotalRequested)</f>
        <v>0</v>
      </c>
      <c r="AB31" s="752">
        <f>IF(CHSHTATbl[[#This Row],[ALL UNITS IN A HIGH OR HIGHEST RESOURCE AREA]]="Yes",10*CHSHTATbl[[#This Row],[UNRESTRICTED % OF FUNDING]],0)</f>
        <v>0</v>
      </c>
      <c r="AC31" s="752" cm="1">
        <f t="array" ref="AC31">INDEX(CountyScoresTbl[Community Need Total Points],ROW(CHSHTATbl[[#This Row],[COUNTY]])-2,1)*CHSHTATbl[[#This Row],[UNRESTRICTED % OF FUNDING]]</f>
        <v>0</v>
      </c>
      <c r="AD31" s="752" cm="1">
        <f t="array" ref="AD31">INDEX(CountyScoresTbl[SHTA Total Feasibility Points Awarded],ROW(CHSHTATbl[[#This Row],[COUNTY]])-2,1)*CHSHTATbl[[#This Row],[UNRESTRICTED % OF FUNDING]]</f>
        <v>0</v>
      </c>
      <c r="AE31" s="125"/>
      <c r="AF31" s="161"/>
      <c r="AG31" s="198"/>
      <c r="AH31" s="74">
        <f t="shared" si="1"/>
        <v>0</v>
      </c>
      <c r="AI31" s="9">
        <f>IF(CHSHTATbl[[#This Row],[MANUFACTURED TOTAL REQUESTED]]=0,0,CHSHTATbl[[#This Row],[MANUFACTURED TOTAL REQUESTED]]/CH_SHTA_ManufacturedTotalRequested)</f>
        <v>0</v>
      </c>
      <c r="AJ31" s="665">
        <f>IF(CHSHTATbl[[#This Row],[ALL UNITS IN A HIGH OR HIGHEST RESOURCE AREA]]="Yes",10*CHSHTATbl[[#This Row],[MANUFACTURED % OF FUNDING]],0)</f>
        <v>0</v>
      </c>
      <c r="AK31" s="665" cm="1">
        <f t="array" ref="AK31">INDEX(CountyScoresTbl[Community Need Total Points],ROW(CHSHTATbl[[#This Row],[COUNTY]])-2,1)*CHSHTATbl[[#This Row],[MANUFACTURED % OF FUNDING]]</f>
        <v>0</v>
      </c>
      <c r="AL31" s="666" cm="1">
        <f t="array" ref="AL31">INDEX(CountyScoresTbl[SHTA Total Feasibility Points Awarded],ROW(CHSHTATbl[[#This Row],[COUNTY]])-2,1)*CHSHTATbl[[#This Row],[MANUFACTURED % OF FUNDING]]</f>
        <v>0</v>
      </c>
      <c r="AM31" s="123"/>
      <c r="AN31" s="161"/>
      <c r="AO31" s="198"/>
      <c r="AP31" s="74">
        <f t="shared" si="2"/>
        <v>0</v>
      </c>
      <c r="AQ31" s="6">
        <f>IF(CHSHTATbl[[#This Row],[RURAL TOTAL REQUESTED]]=0,0,CHSHTATbl[[#This Row],[RURAL TOTAL REQUESTED]]/CH_SHTA_RuralTotalRequested)</f>
        <v>0</v>
      </c>
      <c r="AR31" s="665">
        <f>IF(CHSHTATbl[[#This Row],[ALL UNITS IN A HIGH OR HIGHEST RESOURCE AREA]]="Yes",10*CHSHTATbl[[#This Row],[RURAL % OF FUNDING]],0)</f>
        <v>0</v>
      </c>
      <c r="AS31" s="665" cm="1">
        <f t="array" ref="AS31">INDEX(CountyScoresTbl[Community Need Total Points],ROW(CHSHTATbl[[#This Row],[COUNTY]])-2,1)*CHSHTATbl[[#This Row],[RURAL % OF FUNDING]]</f>
        <v>0</v>
      </c>
      <c r="AT31" s="666" cm="1">
        <f t="array" ref="AT31">INDEX(CountyScoresTbl[SHTA Total Feasibility Points Awarded],ROW(CHSHTATbl[[#This Row],[COUNTY]])-2,1)*CHSHTATbl[[#This Row],[RURAL % OF FUNDING]]</f>
        <v>0</v>
      </c>
      <c r="AU31" s="123"/>
      <c r="AV31" s="161"/>
      <c r="AW31" s="198"/>
      <c r="AX31" s="74">
        <f t="shared" si="3"/>
        <v>0</v>
      </c>
      <c r="AY31" s="6">
        <f>IF(CHSHTATbl[[#This Row],[MFD RURAL TOTAL REQUESTED]]=0,0,CHSHTATbl[[#This Row],[MFD RURAL TOTAL REQUESTED]]/CH_SHTA_MFDRuralTotalRequested)</f>
        <v>0</v>
      </c>
      <c r="AZ31" s="665">
        <f>IF(CHSHTATbl[[#This Row],[ALL UNITS IN A HIGH OR HIGHEST RESOURCE AREA]]="Yes",10*CHSHTATbl[[#This Row],[MFD RURAL % OF FUNDING]],0)</f>
        <v>0</v>
      </c>
      <c r="BA31" s="665" cm="1">
        <f t="array" ref="BA31">INDEX(CountyScoresTbl[Community Need Total Points],ROW(CHSHTATbl[[#This Row],[COUNTY]])-2,1)*CHSHTATbl[[#This Row],[MFD RURAL % OF FUNDING]]</f>
        <v>0</v>
      </c>
      <c r="BB31" s="666" cm="1">
        <f t="array" ref="BB31">INDEX(CountyScoresTbl[SHTA Total Feasibility Points Awarded],ROW(CHSHTATbl[[#This Row],[COUNTY]])-2,1)*CHSHTATbl[[#This Row],[MFD RURAL % OF FUNDING]]</f>
        <v>0</v>
      </c>
      <c r="BC31" s="764"/>
      <c r="BD31" s="765">
        <f>IF(CHSHTATbl[[#This Row],[INFILL SITE]]="Yes",5,3)*CHSHTATbl[[#This Row],[UNRESTRICTED % OF FUNDING]]</f>
        <v>0</v>
      </c>
      <c r="BE31" s="694">
        <f>IF(CHSHTATbl[[#This Row],[INFILL SITE]]="Yes",5,3)*CHSHTATbl[[#This Row],[MANUFACTURED % OF FUNDING]]</f>
        <v>0</v>
      </c>
      <c r="BF31" s="694">
        <f>IF(CHSHTATbl[[#This Row],[INFILL SITE]]="Yes",5,3)*CHSHTATbl[[#This Row],[RURAL % OF FUNDING]]</f>
        <v>0</v>
      </c>
      <c r="BG31" s="694">
        <f>IF(CHSHTATbl[[#This Row],[INFILL SITE]]="Yes",5,3)*CHSHTATbl[[#This Row],[MFD RURAL % OF FUNDING]]</f>
        <v>0</v>
      </c>
    </row>
    <row r="32" spans="1:59" x14ac:dyDescent="0.35">
      <c r="A32" s="124"/>
      <c r="B32" s="179" t="s">
        <v>144</v>
      </c>
      <c r="C32" s="177" t="s">
        <v>513</v>
      </c>
      <c r="D32" s="183" t="str">
        <f>IF(CHSHTATbl[[#This Row],[UNRESTRICTED UNITS]]=0,"",CHSHTATbl[[#This Row],[UNRESTRICTED UNITS]])</f>
        <v/>
      </c>
      <c r="E32" s="184" t="str">
        <f xml:space="preserve">
IF(CHSHTATbl[[#This Row],[UNRESTRICTED TOTAL REQUESTED]]=0,"",
CHSHTATbl[[#This Row],[UNRESTRICTED TOTAL REQUESTED]]*
IF(CH_SHTA_UnrestrictedTotalRequested&lt;=500000,1,
500000/CH_SHTA_UnrestrictedTotalRequested)
)</f>
        <v/>
      </c>
      <c r="F32" s="185" t="str">
        <f>IF(CHSHTATbl[[#This Row],[UNRESTRICTED % OF FUNDING]]=0,"",CHSHTATbl[[#This Row],[UNRESTRICTED % OF FUNDING]])</f>
        <v/>
      </c>
      <c r="G32" s="177" t="s">
        <v>513</v>
      </c>
      <c r="H32" s="183" t="str">
        <f>IF(CHSHTATbl[[#This Row],[MANUFACTURED UNITS]]=0,"",CHSHTATbl[[#This Row],[MANUFACTURED UNITS]])</f>
        <v/>
      </c>
      <c r="I32" s="187" t="str">
        <f xml:space="preserve">
IF(CHSHTATbl[[#This Row],[MANUFACTURED TOTAL REQUESTED]]=0,"",
CHSHTATbl[[#This Row],[MANUFACTURED TOTAL REQUESTED]]*
IF(CH_SHTA_ManufacturedTotalRequested&lt;=(500000-E$61),1,
(500000-E$61)/CH_SHTA_ManufacturedTotalRequested)
)</f>
        <v/>
      </c>
      <c r="J32" s="185" t="str">
        <f>IF(CHSHTATbl[[#This Row],[MANUFACTURED % OF FUNDING]]=0,"",CHSHTATbl[[#This Row],[MANUFACTURED % OF FUNDING]])</f>
        <v/>
      </c>
      <c r="K32" s="177" t="s">
        <v>513</v>
      </c>
      <c r="L32" s="190" t="str">
        <f>IF(CHSHTATbl[[#This Row],[RURAL UNITS]]=0,"",CHSHTATbl[[#This Row],[RURAL UNITS]])</f>
        <v/>
      </c>
      <c r="M32" s="187" t="str">
        <f xml:space="preserve">
IF(CHSHTATbl[[#This Row],[RURAL TOTAL REQUESTED]]=0,"",
CHSHTATbl[[#This Row],[RURAL TOTAL REQUESTED]]*
IF(CH_SHTA_RuralTotalRequested&lt;=(500000-E$61-I$61),1,
(500000-E$61-I$61)/CH_SHTA_RuralTotalRequested)
)</f>
        <v/>
      </c>
      <c r="N32" s="191" t="str">
        <f>IF(CHSHTATbl[[#This Row],[RURAL % OF FUNDING]]=0,"",CHSHTATbl[[#This Row],[RURAL % OF FUNDING]])</f>
        <v/>
      </c>
      <c r="O32" s="177" t="s">
        <v>513</v>
      </c>
      <c r="P32" s="193" t="str">
        <f>IF(CHSHTATbl[[#This Row],[MFD RURAL UNITS]]=0,"",CHSHTATbl[[#This Row],[MFD RURAL UNITS]])</f>
        <v/>
      </c>
      <c r="Q32" s="187" t="str">
        <f xml:space="preserve">
IF(CHSHTATbl[[#This Row],[MFD RURAL TOTAL REQUESTED]]=0,"",
CHSHTATbl[[#This Row],[MFD RURAL TOTAL REQUESTED]]*
IF(CH_SHTA_MFDRuralTotalRequested&lt;=(500000-E$61-I$61-M$61),1,
(500000-E$61-I$61-M$61)/CH_SHTA_MFDRuralTotalRequested)
)</f>
        <v/>
      </c>
      <c r="R32" s="191" t="str">
        <f>IF(CHSHTATbl[[#This Row],[MFD RURAL % OF FUNDING]]=0,"",CHSHTATbl[[#This Row],[MFD RURAL % OF FUNDING]])</f>
        <v/>
      </c>
      <c r="S32" s="31"/>
      <c r="T32" s="196"/>
      <c r="U32" s="119"/>
      <c r="V32" s="197"/>
      <c r="W32" s="123"/>
      <c r="X32" s="161"/>
      <c r="Y32" s="198"/>
      <c r="Z32" s="74">
        <f t="shared" si="0"/>
        <v>0</v>
      </c>
      <c r="AA32" s="6">
        <f>IF(CHSHTATbl[[#This Row],[UNRESTRICTED TOTAL REQUESTED]]=0,0,CHSHTATbl[[#This Row],[UNRESTRICTED TOTAL REQUESTED]]/CH_SHTA_UnrestrictedTotalRequested)</f>
        <v>0</v>
      </c>
      <c r="AB32" s="752">
        <f>IF(CHSHTATbl[[#This Row],[ALL UNITS IN A HIGH OR HIGHEST RESOURCE AREA]]="Yes",10*CHSHTATbl[[#This Row],[UNRESTRICTED % OF FUNDING]],0)</f>
        <v>0</v>
      </c>
      <c r="AC32" s="752" cm="1">
        <f t="array" ref="AC32">INDEX(CountyScoresTbl[Community Need Total Points],ROW(CHSHTATbl[[#This Row],[COUNTY]])-2,1)*CHSHTATbl[[#This Row],[UNRESTRICTED % OF FUNDING]]</f>
        <v>0</v>
      </c>
      <c r="AD32" s="752" cm="1">
        <f t="array" ref="AD32">INDEX(CountyScoresTbl[SHTA Total Feasibility Points Awarded],ROW(CHSHTATbl[[#This Row],[COUNTY]])-2,1)*CHSHTATbl[[#This Row],[UNRESTRICTED % OF FUNDING]]</f>
        <v>0</v>
      </c>
      <c r="AE32" s="125"/>
      <c r="AF32" s="161"/>
      <c r="AG32" s="198"/>
      <c r="AH32" s="74">
        <f t="shared" si="1"/>
        <v>0</v>
      </c>
      <c r="AI32" s="9">
        <f>IF(CHSHTATbl[[#This Row],[MANUFACTURED TOTAL REQUESTED]]=0,0,CHSHTATbl[[#This Row],[MANUFACTURED TOTAL REQUESTED]]/CH_SHTA_ManufacturedTotalRequested)</f>
        <v>0</v>
      </c>
      <c r="AJ32" s="665">
        <f>IF(CHSHTATbl[[#This Row],[ALL UNITS IN A HIGH OR HIGHEST RESOURCE AREA]]="Yes",10*CHSHTATbl[[#This Row],[MANUFACTURED % OF FUNDING]],0)</f>
        <v>0</v>
      </c>
      <c r="AK32" s="665" cm="1">
        <f t="array" ref="AK32">INDEX(CountyScoresTbl[Community Need Total Points],ROW(CHSHTATbl[[#This Row],[COUNTY]])-2,1)*CHSHTATbl[[#This Row],[MANUFACTURED % OF FUNDING]]</f>
        <v>0</v>
      </c>
      <c r="AL32" s="666" cm="1">
        <f t="array" ref="AL32">INDEX(CountyScoresTbl[SHTA Total Feasibility Points Awarded],ROW(CHSHTATbl[[#This Row],[COUNTY]])-2,1)*CHSHTATbl[[#This Row],[MANUFACTURED % OF FUNDING]]</f>
        <v>0</v>
      </c>
      <c r="AM32" s="123"/>
      <c r="AN32" s="161"/>
      <c r="AO32" s="198"/>
      <c r="AP32" s="74">
        <f t="shared" si="2"/>
        <v>0</v>
      </c>
      <c r="AQ32" s="6">
        <f>IF(CHSHTATbl[[#This Row],[RURAL TOTAL REQUESTED]]=0,0,CHSHTATbl[[#This Row],[RURAL TOTAL REQUESTED]]/CH_SHTA_RuralTotalRequested)</f>
        <v>0</v>
      </c>
      <c r="AR32" s="665">
        <f>IF(CHSHTATbl[[#This Row],[ALL UNITS IN A HIGH OR HIGHEST RESOURCE AREA]]="Yes",10*CHSHTATbl[[#This Row],[RURAL % OF FUNDING]],0)</f>
        <v>0</v>
      </c>
      <c r="AS32" s="665" cm="1">
        <f t="array" ref="AS32">INDEX(CountyScoresTbl[Community Need Total Points],ROW(CHSHTATbl[[#This Row],[COUNTY]])-2,1)*CHSHTATbl[[#This Row],[RURAL % OF FUNDING]]</f>
        <v>0</v>
      </c>
      <c r="AT32" s="666" cm="1">
        <f t="array" ref="AT32">INDEX(CountyScoresTbl[SHTA Total Feasibility Points Awarded],ROW(CHSHTATbl[[#This Row],[COUNTY]])-2,1)*CHSHTATbl[[#This Row],[RURAL % OF FUNDING]]</f>
        <v>0</v>
      </c>
      <c r="AU32" s="123"/>
      <c r="AV32" s="161"/>
      <c r="AW32" s="198"/>
      <c r="AX32" s="74">
        <f t="shared" si="3"/>
        <v>0</v>
      </c>
      <c r="AY32" s="6">
        <f>IF(CHSHTATbl[[#This Row],[MFD RURAL TOTAL REQUESTED]]=0,0,CHSHTATbl[[#This Row],[MFD RURAL TOTAL REQUESTED]]/CH_SHTA_MFDRuralTotalRequested)</f>
        <v>0</v>
      </c>
      <c r="AZ32" s="665">
        <f>IF(CHSHTATbl[[#This Row],[ALL UNITS IN A HIGH OR HIGHEST RESOURCE AREA]]="Yes",10*CHSHTATbl[[#This Row],[MFD RURAL % OF FUNDING]],0)</f>
        <v>0</v>
      </c>
      <c r="BA32" s="665" cm="1">
        <f t="array" ref="BA32">INDEX(CountyScoresTbl[Community Need Total Points],ROW(CHSHTATbl[[#This Row],[COUNTY]])-2,1)*CHSHTATbl[[#This Row],[MFD RURAL % OF FUNDING]]</f>
        <v>0</v>
      </c>
      <c r="BB32" s="666" cm="1">
        <f t="array" ref="BB32">INDEX(CountyScoresTbl[SHTA Total Feasibility Points Awarded],ROW(CHSHTATbl[[#This Row],[COUNTY]])-2,1)*CHSHTATbl[[#This Row],[MFD RURAL % OF FUNDING]]</f>
        <v>0</v>
      </c>
      <c r="BC32" s="764"/>
      <c r="BD32" s="765">
        <f>IF(CHSHTATbl[[#This Row],[INFILL SITE]]="Yes",5,3)*CHSHTATbl[[#This Row],[UNRESTRICTED % OF FUNDING]]</f>
        <v>0</v>
      </c>
      <c r="BE32" s="694">
        <f>IF(CHSHTATbl[[#This Row],[INFILL SITE]]="Yes",5,3)*CHSHTATbl[[#This Row],[MANUFACTURED % OF FUNDING]]</f>
        <v>0</v>
      </c>
      <c r="BF32" s="694">
        <f>IF(CHSHTATbl[[#This Row],[INFILL SITE]]="Yes",5,3)*CHSHTATbl[[#This Row],[RURAL % OF FUNDING]]</f>
        <v>0</v>
      </c>
      <c r="BG32" s="694">
        <f>IF(CHSHTATbl[[#This Row],[INFILL SITE]]="Yes",5,3)*CHSHTATbl[[#This Row],[MFD RURAL % OF FUNDING]]</f>
        <v>0</v>
      </c>
    </row>
    <row r="33" spans="1:59" x14ac:dyDescent="0.35">
      <c r="A33" s="124"/>
      <c r="B33" s="179" t="s">
        <v>145</v>
      </c>
      <c r="C33" s="177" t="s">
        <v>513</v>
      </c>
      <c r="D33" s="183" t="str">
        <f>IF(CHSHTATbl[[#This Row],[UNRESTRICTED UNITS]]=0,"",CHSHTATbl[[#This Row],[UNRESTRICTED UNITS]])</f>
        <v/>
      </c>
      <c r="E33" s="184" t="str">
        <f xml:space="preserve">
IF(CHSHTATbl[[#This Row],[UNRESTRICTED TOTAL REQUESTED]]=0,"",
CHSHTATbl[[#This Row],[UNRESTRICTED TOTAL REQUESTED]]*
IF(CH_SHTA_UnrestrictedTotalRequested&lt;=500000,1,
500000/CH_SHTA_UnrestrictedTotalRequested)
)</f>
        <v/>
      </c>
      <c r="F33" s="185" t="str">
        <f>IF(CHSHTATbl[[#This Row],[UNRESTRICTED % OF FUNDING]]=0,"",CHSHTATbl[[#This Row],[UNRESTRICTED % OF FUNDING]])</f>
        <v/>
      </c>
      <c r="G33" s="177" t="s">
        <v>513</v>
      </c>
      <c r="H33" s="183" t="str">
        <f>IF(CHSHTATbl[[#This Row],[MANUFACTURED UNITS]]=0,"",CHSHTATbl[[#This Row],[MANUFACTURED UNITS]])</f>
        <v/>
      </c>
      <c r="I33" s="187" t="str">
        <f xml:space="preserve">
IF(CHSHTATbl[[#This Row],[MANUFACTURED TOTAL REQUESTED]]=0,"",
CHSHTATbl[[#This Row],[MANUFACTURED TOTAL REQUESTED]]*
IF(CH_SHTA_ManufacturedTotalRequested&lt;=(500000-E$61),1,
(500000-E$61)/CH_SHTA_ManufacturedTotalRequested)
)</f>
        <v/>
      </c>
      <c r="J33" s="185" t="str">
        <f>IF(CHSHTATbl[[#This Row],[MANUFACTURED % OF FUNDING]]=0,"",CHSHTATbl[[#This Row],[MANUFACTURED % OF FUNDING]])</f>
        <v/>
      </c>
      <c r="K33" s="177" t="s">
        <v>513</v>
      </c>
      <c r="L33" s="190" t="str">
        <f>IF(CHSHTATbl[[#This Row],[RURAL UNITS]]=0,"",CHSHTATbl[[#This Row],[RURAL UNITS]])</f>
        <v/>
      </c>
      <c r="M33" s="187" t="str">
        <f xml:space="preserve">
IF(CHSHTATbl[[#This Row],[RURAL TOTAL REQUESTED]]=0,"",
CHSHTATbl[[#This Row],[RURAL TOTAL REQUESTED]]*
IF(CH_SHTA_RuralTotalRequested&lt;=(500000-E$61-I$61),1,
(500000-E$61-I$61)/CH_SHTA_RuralTotalRequested)
)</f>
        <v/>
      </c>
      <c r="N33" s="191" t="str">
        <f>IF(CHSHTATbl[[#This Row],[RURAL % OF FUNDING]]=0,"",CHSHTATbl[[#This Row],[RURAL % OF FUNDING]])</f>
        <v/>
      </c>
      <c r="O33" s="177" t="s">
        <v>513</v>
      </c>
      <c r="P33" s="193" t="str">
        <f>IF(CHSHTATbl[[#This Row],[MFD RURAL UNITS]]=0,"",CHSHTATbl[[#This Row],[MFD RURAL UNITS]])</f>
        <v/>
      </c>
      <c r="Q33" s="187" t="str">
        <f xml:space="preserve">
IF(CHSHTATbl[[#This Row],[MFD RURAL TOTAL REQUESTED]]=0,"",
CHSHTATbl[[#This Row],[MFD RURAL TOTAL REQUESTED]]*
IF(CH_SHTA_MFDRuralTotalRequested&lt;=(500000-E$61-I$61-M$61),1,
(500000-E$61-I$61-M$61)/CH_SHTA_MFDRuralTotalRequested)
)</f>
        <v/>
      </c>
      <c r="R33" s="191" t="str">
        <f>IF(CHSHTATbl[[#This Row],[MFD RURAL % OF FUNDING]]=0,"",CHSHTATbl[[#This Row],[MFD RURAL % OF FUNDING]])</f>
        <v/>
      </c>
      <c r="S33" s="31"/>
      <c r="T33" s="196"/>
      <c r="U33" s="119"/>
      <c r="V33" s="197"/>
      <c r="W33" s="123"/>
      <c r="X33" s="161"/>
      <c r="Y33" s="198"/>
      <c r="Z33" s="74">
        <f t="shared" si="0"/>
        <v>0</v>
      </c>
      <c r="AA33" s="6">
        <f>IF(CHSHTATbl[[#This Row],[UNRESTRICTED TOTAL REQUESTED]]=0,0,CHSHTATbl[[#This Row],[UNRESTRICTED TOTAL REQUESTED]]/CH_SHTA_UnrestrictedTotalRequested)</f>
        <v>0</v>
      </c>
      <c r="AB33" s="752">
        <f>IF(CHSHTATbl[[#This Row],[ALL UNITS IN A HIGH OR HIGHEST RESOURCE AREA]]="Yes",10*CHSHTATbl[[#This Row],[UNRESTRICTED % OF FUNDING]],0)</f>
        <v>0</v>
      </c>
      <c r="AC33" s="752" cm="1">
        <f t="array" ref="AC33">INDEX(CountyScoresTbl[Community Need Total Points],ROW(CHSHTATbl[[#This Row],[COUNTY]])-2,1)*CHSHTATbl[[#This Row],[UNRESTRICTED % OF FUNDING]]</f>
        <v>0</v>
      </c>
      <c r="AD33" s="752" cm="1">
        <f t="array" ref="AD33">INDEX(CountyScoresTbl[SHTA Total Feasibility Points Awarded],ROW(CHSHTATbl[[#This Row],[COUNTY]])-2,1)*CHSHTATbl[[#This Row],[UNRESTRICTED % OF FUNDING]]</f>
        <v>0</v>
      </c>
      <c r="AE33" s="125"/>
      <c r="AF33" s="161"/>
      <c r="AG33" s="198"/>
      <c r="AH33" s="74">
        <f t="shared" si="1"/>
        <v>0</v>
      </c>
      <c r="AI33" s="9">
        <f>IF(CHSHTATbl[[#This Row],[MANUFACTURED TOTAL REQUESTED]]=0,0,CHSHTATbl[[#This Row],[MANUFACTURED TOTAL REQUESTED]]/CH_SHTA_ManufacturedTotalRequested)</f>
        <v>0</v>
      </c>
      <c r="AJ33" s="665">
        <f>IF(CHSHTATbl[[#This Row],[ALL UNITS IN A HIGH OR HIGHEST RESOURCE AREA]]="Yes",10*CHSHTATbl[[#This Row],[MANUFACTURED % OF FUNDING]],0)</f>
        <v>0</v>
      </c>
      <c r="AK33" s="665" cm="1">
        <f t="array" ref="AK33">INDEX(CountyScoresTbl[Community Need Total Points],ROW(CHSHTATbl[[#This Row],[COUNTY]])-2,1)*CHSHTATbl[[#This Row],[MANUFACTURED % OF FUNDING]]</f>
        <v>0</v>
      </c>
      <c r="AL33" s="666" cm="1">
        <f t="array" ref="AL33">INDEX(CountyScoresTbl[SHTA Total Feasibility Points Awarded],ROW(CHSHTATbl[[#This Row],[COUNTY]])-2,1)*CHSHTATbl[[#This Row],[MANUFACTURED % OF FUNDING]]</f>
        <v>0</v>
      </c>
      <c r="AM33" s="123"/>
      <c r="AN33" s="161"/>
      <c r="AO33" s="198"/>
      <c r="AP33" s="74">
        <f t="shared" si="2"/>
        <v>0</v>
      </c>
      <c r="AQ33" s="6">
        <f>IF(CHSHTATbl[[#This Row],[RURAL TOTAL REQUESTED]]=0,0,CHSHTATbl[[#This Row],[RURAL TOTAL REQUESTED]]/CH_SHTA_RuralTotalRequested)</f>
        <v>0</v>
      </c>
      <c r="AR33" s="665">
        <f>IF(CHSHTATbl[[#This Row],[ALL UNITS IN A HIGH OR HIGHEST RESOURCE AREA]]="Yes",10*CHSHTATbl[[#This Row],[RURAL % OF FUNDING]],0)</f>
        <v>0</v>
      </c>
      <c r="AS33" s="665" cm="1">
        <f t="array" ref="AS33">INDEX(CountyScoresTbl[Community Need Total Points],ROW(CHSHTATbl[[#This Row],[COUNTY]])-2,1)*CHSHTATbl[[#This Row],[RURAL % OF FUNDING]]</f>
        <v>0</v>
      </c>
      <c r="AT33" s="666" cm="1">
        <f t="array" ref="AT33">INDEX(CountyScoresTbl[SHTA Total Feasibility Points Awarded],ROW(CHSHTATbl[[#This Row],[COUNTY]])-2,1)*CHSHTATbl[[#This Row],[RURAL % OF FUNDING]]</f>
        <v>0</v>
      </c>
      <c r="AU33" s="123"/>
      <c r="AV33" s="161"/>
      <c r="AW33" s="198"/>
      <c r="AX33" s="74">
        <f t="shared" si="3"/>
        <v>0</v>
      </c>
      <c r="AY33" s="6">
        <f>IF(CHSHTATbl[[#This Row],[MFD RURAL TOTAL REQUESTED]]=0,0,CHSHTATbl[[#This Row],[MFD RURAL TOTAL REQUESTED]]/CH_SHTA_MFDRuralTotalRequested)</f>
        <v>0</v>
      </c>
      <c r="AZ33" s="665">
        <f>IF(CHSHTATbl[[#This Row],[ALL UNITS IN A HIGH OR HIGHEST RESOURCE AREA]]="Yes",10*CHSHTATbl[[#This Row],[MFD RURAL % OF FUNDING]],0)</f>
        <v>0</v>
      </c>
      <c r="BA33" s="665" cm="1">
        <f t="array" ref="BA33">INDEX(CountyScoresTbl[Community Need Total Points],ROW(CHSHTATbl[[#This Row],[COUNTY]])-2,1)*CHSHTATbl[[#This Row],[MFD RURAL % OF FUNDING]]</f>
        <v>0</v>
      </c>
      <c r="BB33" s="666" cm="1">
        <f t="array" ref="BB33">INDEX(CountyScoresTbl[SHTA Total Feasibility Points Awarded],ROW(CHSHTATbl[[#This Row],[COUNTY]])-2,1)*CHSHTATbl[[#This Row],[MFD RURAL % OF FUNDING]]</f>
        <v>0</v>
      </c>
      <c r="BC33" s="764"/>
      <c r="BD33" s="765">
        <f>IF(CHSHTATbl[[#This Row],[INFILL SITE]]="Yes",5,3)*CHSHTATbl[[#This Row],[UNRESTRICTED % OF FUNDING]]</f>
        <v>0</v>
      </c>
      <c r="BE33" s="694">
        <f>IF(CHSHTATbl[[#This Row],[INFILL SITE]]="Yes",5,3)*CHSHTATbl[[#This Row],[MANUFACTURED % OF FUNDING]]</f>
        <v>0</v>
      </c>
      <c r="BF33" s="694">
        <f>IF(CHSHTATbl[[#This Row],[INFILL SITE]]="Yes",5,3)*CHSHTATbl[[#This Row],[RURAL % OF FUNDING]]</f>
        <v>0</v>
      </c>
      <c r="BG33" s="694">
        <f>IF(CHSHTATbl[[#This Row],[INFILL SITE]]="Yes",5,3)*CHSHTATbl[[#This Row],[MFD RURAL % OF FUNDING]]</f>
        <v>0</v>
      </c>
    </row>
    <row r="34" spans="1:59" x14ac:dyDescent="0.35">
      <c r="A34" s="124"/>
      <c r="B34" s="179" t="s">
        <v>146</v>
      </c>
      <c r="C34" s="177" t="s">
        <v>513</v>
      </c>
      <c r="D34" s="183" t="str">
        <f>IF(CHSHTATbl[[#This Row],[UNRESTRICTED UNITS]]=0,"",CHSHTATbl[[#This Row],[UNRESTRICTED UNITS]])</f>
        <v/>
      </c>
      <c r="E34" s="184" t="str">
        <f xml:space="preserve">
IF(CHSHTATbl[[#This Row],[UNRESTRICTED TOTAL REQUESTED]]=0,"",
CHSHTATbl[[#This Row],[UNRESTRICTED TOTAL REQUESTED]]*
IF(CH_SHTA_UnrestrictedTotalRequested&lt;=500000,1,
500000/CH_SHTA_UnrestrictedTotalRequested)
)</f>
        <v/>
      </c>
      <c r="F34" s="185" t="str">
        <f>IF(CHSHTATbl[[#This Row],[UNRESTRICTED % OF FUNDING]]=0,"",CHSHTATbl[[#This Row],[UNRESTRICTED % OF FUNDING]])</f>
        <v/>
      </c>
      <c r="G34" s="177" t="s">
        <v>513</v>
      </c>
      <c r="H34" s="183" t="str">
        <f>IF(CHSHTATbl[[#This Row],[MANUFACTURED UNITS]]=0,"",CHSHTATbl[[#This Row],[MANUFACTURED UNITS]])</f>
        <v/>
      </c>
      <c r="I34" s="187" t="str">
        <f xml:space="preserve">
IF(CHSHTATbl[[#This Row],[MANUFACTURED TOTAL REQUESTED]]=0,"",
CHSHTATbl[[#This Row],[MANUFACTURED TOTAL REQUESTED]]*
IF(CH_SHTA_ManufacturedTotalRequested&lt;=(500000-E$61),1,
(500000-E$61)/CH_SHTA_ManufacturedTotalRequested)
)</f>
        <v/>
      </c>
      <c r="J34" s="185" t="str">
        <f>IF(CHSHTATbl[[#This Row],[MANUFACTURED % OF FUNDING]]=0,"",CHSHTATbl[[#This Row],[MANUFACTURED % OF FUNDING]])</f>
        <v/>
      </c>
      <c r="K34" s="177" t="s">
        <v>513</v>
      </c>
      <c r="L34" s="190" t="str">
        <f>IF(CHSHTATbl[[#This Row],[RURAL UNITS]]=0,"",CHSHTATbl[[#This Row],[RURAL UNITS]])</f>
        <v/>
      </c>
      <c r="M34" s="187" t="str">
        <f xml:space="preserve">
IF(CHSHTATbl[[#This Row],[RURAL TOTAL REQUESTED]]=0,"",
CHSHTATbl[[#This Row],[RURAL TOTAL REQUESTED]]*
IF(CH_SHTA_RuralTotalRequested&lt;=(500000-E$61-I$61),1,
(500000-E$61-I$61)/CH_SHTA_RuralTotalRequested)
)</f>
        <v/>
      </c>
      <c r="N34" s="191" t="str">
        <f>IF(CHSHTATbl[[#This Row],[RURAL % OF FUNDING]]=0,"",CHSHTATbl[[#This Row],[RURAL % OF FUNDING]])</f>
        <v/>
      </c>
      <c r="O34" s="177" t="s">
        <v>513</v>
      </c>
      <c r="P34" s="193" t="str">
        <f>IF(CHSHTATbl[[#This Row],[MFD RURAL UNITS]]=0,"",CHSHTATbl[[#This Row],[MFD RURAL UNITS]])</f>
        <v/>
      </c>
      <c r="Q34" s="187" t="str">
        <f xml:space="preserve">
IF(CHSHTATbl[[#This Row],[MFD RURAL TOTAL REQUESTED]]=0,"",
CHSHTATbl[[#This Row],[MFD RURAL TOTAL REQUESTED]]*
IF(CH_SHTA_MFDRuralTotalRequested&lt;=(500000-E$61-I$61-M$61),1,
(500000-E$61-I$61-M$61)/CH_SHTA_MFDRuralTotalRequested)
)</f>
        <v/>
      </c>
      <c r="R34" s="191" t="str">
        <f>IF(CHSHTATbl[[#This Row],[MFD RURAL % OF FUNDING]]=0,"",CHSHTATbl[[#This Row],[MFD RURAL % OF FUNDING]])</f>
        <v/>
      </c>
      <c r="S34" s="31"/>
      <c r="T34" s="196"/>
      <c r="U34" s="119"/>
      <c r="V34" s="197"/>
      <c r="W34" s="123"/>
      <c r="X34" s="161"/>
      <c r="Y34" s="198"/>
      <c r="Z34" s="74">
        <f t="shared" si="0"/>
        <v>0</v>
      </c>
      <c r="AA34" s="6">
        <f>IF(CHSHTATbl[[#This Row],[UNRESTRICTED TOTAL REQUESTED]]=0,0,CHSHTATbl[[#This Row],[UNRESTRICTED TOTAL REQUESTED]]/CH_SHTA_UnrestrictedTotalRequested)</f>
        <v>0</v>
      </c>
      <c r="AB34" s="752">
        <f>IF(CHSHTATbl[[#This Row],[ALL UNITS IN A HIGH OR HIGHEST RESOURCE AREA]]="Yes",10*CHSHTATbl[[#This Row],[UNRESTRICTED % OF FUNDING]],0)</f>
        <v>0</v>
      </c>
      <c r="AC34" s="752" cm="1">
        <f t="array" ref="AC34">INDEX(CountyScoresTbl[Community Need Total Points],ROW(CHSHTATbl[[#This Row],[COUNTY]])-2,1)*CHSHTATbl[[#This Row],[UNRESTRICTED % OF FUNDING]]</f>
        <v>0</v>
      </c>
      <c r="AD34" s="752" cm="1">
        <f t="array" ref="AD34">INDEX(CountyScoresTbl[SHTA Total Feasibility Points Awarded],ROW(CHSHTATbl[[#This Row],[COUNTY]])-2,1)*CHSHTATbl[[#This Row],[UNRESTRICTED % OF FUNDING]]</f>
        <v>0</v>
      </c>
      <c r="AE34" s="125"/>
      <c r="AF34" s="161"/>
      <c r="AG34" s="198"/>
      <c r="AH34" s="74">
        <f t="shared" si="1"/>
        <v>0</v>
      </c>
      <c r="AI34" s="9">
        <f>IF(CHSHTATbl[[#This Row],[MANUFACTURED TOTAL REQUESTED]]=0,0,CHSHTATbl[[#This Row],[MANUFACTURED TOTAL REQUESTED]]/CH_SHTA_ManufacturedTotalRequested)</f>
        <v>0</v>
      </c>
      <c r="AJ34" s="665">
        <f>IF(CHSHTATbl[[#This Row],[ALL UNITS IN A HIGH OR HIGHEST RESOURCE AREA]]="Yes",10*CHSHTATbl[[#This Row],[MANUFACTURED % OF FUNDING]],0)</f>
        <v>0</v>
      </c>
      <c r="AK34" s="665" cm="1">
        <f t="array" ref="AK34">INDEX(CountyScoresTbl[Community Need Total Points],ROW(CHSHTATbl[[#This Row],[COUNTY]])-2,1)*CHSHTATbl[[#This Row],[MANUFACTURED % OF FUNDING]]</f>
        <v>0</v>
      </c>
      <c r="AL34" s="666" cm="1">
        <f t="array" ref="AL34">INDEX(CountyScoresTbl[SHTA Total Feasibility Points Awarded],ROW(CHSHTATbl[[#This Row],[COUNTY]])-2,1)*CHSHTATbl[[#This Row],[MANUFACTURED % OF FUNDING]]</f>
        <v>0</v>
      </c>
      <c r="AM34" s="123"/>
      <c r="AN34" s="161"/>
      <c r="AO34" s="198"/>
      <c r="AP34" s="74">
        <f t="shared" si="2"/>
        <v>0</v>
      </c>
      <c r="AQ34" s="6">
        <f>IF(CHSHTATbl[[#This Row],[RURAL TOTAL REQUESTED]]=0,0,CHSHTATbl[[#This Row],[RURAL TOTAL REQUESTED]]/CH_SHTA_RuralTotalRequested)</f>
        <v>0</v>
      </c>
      <c r="AR34" s="665">
        <f>IF(CHSHTATbl[[#This Row],[ALL UNITS IN A HIGH OR HIGHEST RESOURCE AREA]]="Yes",10*CHSHTATbl[[#This Row],[RURAL % OF FUNDING]],0)</f>
        <v>0</v>
      </c>
      <c r="AS34" s="665" cm="1">
        <f t="array" ref="AS34">INDEX(CountyScoresTbl[Community Need Total Points],ROW(CHSHTATbl[[#This Row],[COUNTY]])-2,1)*CHSHTATbl[[#This Row],[RURAL % OF FUNDING]]</f>
        <v>0</v>
      </c>
      <c r="AT34" s="666" cm="1">
        <f t="array" ref="AT34">INDEX(CountyScoresTbl[SHTA Total Feasibility Points Awarded],ROW(CHSHTATbl[[#This Row],[COUNTY]])-2,1)*CHSHTATbl[[#This Row],[RURAL % OF FUNDING]]</f>
        <v>0</v>
      </c>
      <c r="AU34" s="123"/>
      <c r="AV34" s="161"/>
      <c r="AW34" s="198"/>
      <c r="AX34" s="74">
        <f t="shared" si="3"/>
        <v>0</v>
      </c>
      <c r="AY34" s="6">
        <f>IF(CHSHTATbl[[#This Row],[MFD RURAL TOTAL REQUESTED]]=0,0,CHSHTATbl[[#This Row],[MFD RURAL TOTAL REQUESTED]]/CH_SHTA_MFDRuralTotalRequested)</f>
        <v>0</v>
      </c>
      <c r="AZ34" s="665">
        <f>IF(CHSHTATbl[[#This Row],[ALL UNITS IN A HIGH OR HIGHEST RESOURCE AREA]]="Yes",10*CHSHTATbl[[#This Row],[MFD RURAL % OF FUNDING]],0)</f>
        <v>0</v>
      </c>
      <c r="BA34" s="665" cm="1">
        <f t="array" ref="BA34">INDEX(CountyScoresTbl[Community Need Total Points],ROW(CHSHTATbl[[#This Row],[COUNTY]])-2,1)*CHSHTATbl[[#This Row],[MFD RURAL % OF FUNDING]]</f>
        <v>0</v>
      </c>
      <c r="BB34" s="666" cm="1">
        <f t="array" ref="BB34">INDEX(CountyScoresTbl[SHTA Total Feasibility Points Awarded],ROW(CHSHTATbl[[#This Row],[COUNTY]])-2,1)*CHSHTATbl[[#This Row],[MFD RURAL % OF FUNDING]]</f>
        <v>0</v>
      </c>
      <c r="BC34" s="764"/>
      <c r="BD34" s="765">
        <f>IF(CHSHTATbl[[#This Row],[INFILL SITE]]="Yes",5,3)*CHSHTATbl[[#This Row],[UNRESTRICTED % OF FUNDING]]</f>
        <v>0</v>
      </c>
      <c r="BE34" s="694">
        <f>IF(CHSHTATbl[[#This Row],[INFILL SITE]]="Yes",5,3)*CHSHTATbl[[#This Row],[MANUFACTURED % OF FUNDING]]</f>
        <v>0</v>
      </c>
      <c r="BF34" s="694">
        <f>IF(CHSHTATbl[[#This Row],[INFILL SITE]]="Yes",5,3)*CHSHTATbl[[#This Row],[RURAL % OF FUNDING]]</f>
        <v>0</v>
      </c>
      <c r="BG34" s="694">
        <f>IF(CHSHTATbl[[#This Row],[INFILL SITE]]="Yes",5,3)*CHSHTATbl[[#This Row],[MFD RURAL % OF FUNDING]]</f>
        <v>0</v>
      </c>
    </row>
    <row r="35" spans="1:59" x14ac:dyDescent="0.35">
      <c r="A35" s="124"/>
      <c r="B35" s="179" t="s">
        <v>147</v>
      </c>
      <c r="C35" s="177" t="s">
        <v>513</v>
      </c>
      <c r="D35" s="183" t="str">
        <f>IF(CHSHTATbl[[#This Row],[UNRESTRICTED UNITS]]=0,"",CHSHTATbl[[#This Row],[UNRESTRICTED UNITS]])</f>
        <v/>
      </c>
      <c r="E35" s="184" t="str">
        <f xml:space="preserve">
IF(CHSHTATbl[[#This Row],[UNRESTRICTED TOTAL REQUESTED]]=0,"",
CHSHTATbl[[#This Row],[UNRESTRICTED TOTAL REQUESTED]]*
IF(CH_SHTA_UnrestrictedTotalRequested&lt;=500000,1,
500000/CH_SHTA_UnrestrictedTotalRequested)
)</f>
        <v/>
      </c>
      <c r="F35" s="185" t="str">
        <f>IF(CHSHTATbl[[#This Row],[UNRESTRICTED % OF FUNDING]]=0,"",CHSHTATbl[[#This Row],[UNRESTRICTED % OF FUNDING]])</f>
        <v/>
      </c>
      <c r="G35" s="177" t="s">
        <v>513</v>
      </c>
      <c r="H35" s="183" t="str">
        <f>IF(CHSHTATbl[[#This Row],[MANUFACTURED UNITS]]=0,"",CHSHTATbl[[#This Row],[MANUFACTURED UNITS]])</f>
        <v/>
      </c>
      <c r="I35" s="187" t="str">
        <f xml:space="preserve">
IF(CHSHTATbl[[#This Row],[MANUFACTURED TOTAL REQUESTED]]=0,"",
CHSHTATbl[[#This Row],[MANUFACTURED TOTAL REQUESTED]]*
IF(CH_SHTA_ManufacturedTotalRequested&lt;=(500000-E$61),1,
(500000-E$61)/CH_SHTA_ManufacturedTotalRequested)
)</f>
        <v/>
      </c>
      <c r="J35" s="185" t="str">
        <f>IF(CHSHTATbl[[#This Row],[MANUFACTURED % OF FUNDING]]=0,"",CHSHTATbl[[#This Row],[MANUFACTURED % OF FUNDING]])</f>
        <v/>
      </c>
      <c r="K35" s="177" t="s">
        <v>513</v>
      </c>
      <c r="L35" s="190" t="str">
        <f>IF(CHSHTATbl[[#This Row],[RURAL UNITS]]=0,"",CHSHTATbl[[#This Row],[RURAL UNITS]])</f>
        <v/>
      </c>
      <c r="M35" s="187" t="str">
        <f xml:space="preserve">
IF(CHSHTATbl[[#This Row],[RURAL TOTAL REQUESTED]]=0,"",
CHSHTATbl[[#This Row],[RURAL TOTAL REQUESTED]]*
IF(CH_SHTA_RuralTotalRequested&lt;=(500000-E$61-I$61),1,
(500000-E$61-I$61)/CH_SHTA_RuralTotalRequested)
)</f>
        <v/>
      </c>
      <c r="N35" s="191" t="str">
        <f>IF(CHSHTATbl[[#This Row],[RURAL % OF FUNDING]]=0,"",CHSHTATbl[[#This Row],[RURAL % OF FUNDING]])</f>
        <v/>
      </c>
      <c r="O35" s="177" t="s">
        <v>513</v>
      </c>
      <c r="P35" s="193" t="str">
        <f>IF(CHSHTATbl[[#This Row],[MFD RURAL UNITS]]=0,"",CHSHTATbl[[#This Row],[MFD RURAL UNITS]])</f>
        <v/>
      </c>
      <c r="Q35" s="187" t="str">
        <f xml:space="preserve">
IF(CHSHTATbl[[#This Row],[MFD RURAL TOTAL REQUESTED]]=0,"",
CHSHTATbl[[#This Row],[MFD RURAL TOTAL REQUESTED]]*
IF(CH_SHTA_MFDRuralTotalRequested&lt;=(500000-E$61-I$61-M$61),1,
(500000-E$61-I$61-M$61)/CH_SHTA_MFDRuralTotalRequested)
)</f>
        <v/>
      </c>
      <c r="R35" s="191" t="str">
        <f>IF(CHSHTATbl[[#This Row],[MFD RURAL % OF FUNDING]]=0,"",CHSHTATbl[[#This Row],[MFD RURAL % OF FUNDING]])</f>
        <v/>
      </c>
      <c r="S35" s="31"/>
      <c r="T35" s="196"/>
      <c r="U35" s="119"/>
      <c r="V35" s="197"/>
      <c r="W35" s="123"/>
      <c r="X35" s="161"/>
      <c r="Y35" s="198"/>
      <c r="Z35" s="74">
        <f t="shared" ref="Z35:Z60" si="4">SUM(X35:Y35)</f>
        <v>0</v>
      </c>
      <c r="AA35" s="6">
        <f>IF(CHSHTATbl[[#This Row],[UNRESTRICTED TOTAL REQUESTED]]=0,0,CHSHTATbl[[#This Row],[UNRESTRICTED TOTAL REQUESTED]]/CH_SHTA_UnrestrictedTotalRequested)</f>
        <v>0</v>
      </c>
      <c r="AB35" s="752">
        <f>IF(CHSHTATbl[[#This Row],[ALL UNITS IN A HIGH OR HIGHEST RESOURCE AREA]]="Yes",10*CHSHTATbl[[#This Row],[UNRESTRICTED % OF FUNDING]],0)</f>
        <v>0</v>
      </c>
      <c r="AC35" s="752" cm="1">
        <f t="array" ref="AC35">INDEX(CountyScoresTbl[Community Need Total Points],ROW(CHSHTATbl[[#This Row],[COUNTY]])-2,1)*CHSHTATbl[[#This Row],[UNRESTRICTED % OF FUNDING]]</f>
        <v>0</v>
      </c>
      <c r="AD35" s="752" cm="1">
        <f t="array" ref="AD35">INDEX(CountyScoresTbl[SHTA Total Feasibility Points Awarded],ROW(CHSHTATbl[[#This Row],[COUNTY]])-2,1)*CHSHTATbl[[#This Row],[UNRESTRICTED % OF FUNDING]]</f>
        <v>0</v>
      </c>
      <c r="AE35" s="125"/>
      <c r="AF35" s="161"/>
      <c r="AG35" s="198"/>
      <c r="AH35" s="74">
        <f t="shared" ref="AH35:AH60" si="5">SUM(AF35:AG35)</f>
        <v>0</v>
      </c>
      <c r="AI35" s="9">
        <f>IF(CHSHTATbl[[#This Row],[MANUFACTURED TOTAL REQUESTED]]=0,0,CHSHTATbl[[#This Row],[MANUFACTURED TOTAL REQUESTED]]/CH_SHTA_ManufacturedTotalRequested)</f>
        <v>0</v>
      </c>
      <c r="AJ35" s="665">
        <f>IF(CHSHTATbl[[#This Row],[ALL UNITS IN A HIGH OR HIGHEST RESOURCE AREA]]="Yes",10*CHSHTATbl[[#This Row],[MANUFACTURED % OF FUNDING]],0)</f>
        <v>0</v>
      </c>
      <c r="AK35" s="665" cm="1">
        <f t="array" ref="AK35">INDEX(CountyScoresTbl[Community Need Total Points],ROW(CHSHTATbl[[#This Row],[COUNTY]])-2,1)*CHSHTATbl[[#This Row],[MANUFACTURED % OF FUNDING]]</f>
        <v>0</v>
      </c>
      <c r="AL35" s="666" cm="1">
        <f t="array" ref="AL35">INDEX(CountyScoresTbl[SHTA Total Feasibility Points Awarded],ROW(CHSHTATbl[[#This Row],[COUNTY]])-2,1)*CHSHTATbl[[#This Row],[MANUFACTURED % OF FUNDING]]</f>
        <v>0</v>
      </c>
      <c r="AM35" s="123"/>
      <c r="AN35" s="161"/>
      <c r="AO35" s="198"/>
      <c r="AP35" s="74">
        <f t="shared" ref="AP35:AP60" si="6">SUM(AN35:AO35)</f>
        <v>0</v>
      </c>
      <c r="AQ35" s="6">
        <f>IF(CHSHTATbl[[#This Row],[RURAL TOTAL REQUESTED]]=0,0,CHSHTATbl[[#This Row],[RURAL TOTAL REQUESTED]]/CH_SHTA_RuralTotalRequested)</f>
        <v>0</v>
      </c>
      <c r="AR35" s="665">
        <f>IF(CHSHTATbl[[#This Row],[ALL UNITS IN A HIGH OR HIGHEST RESOURCE AREA]]="Yes",10*CHSHTATbl[[#This Row],[RURAL % OF FUNDING]],0)</f>
        <v>0</v>
      </c>
      <c r="AS35" s="665" cm="1">
        <f t="array" ref="AS35">INDEX(CountyScoresTbl[Community Need Total Points],ROW(CHSHTATbl[[#This Row],[COUNTY]])-2,1)*CHSHTATbl[[#This Row],[RURAL % OF FUNDING]]</f>
        <v>0</v>
      </c>
      <c r="AT35" s="666" cm="1">
        <f t="array" ref="AT35">INDEX(CountyScoresTbl[SHTA Total Feasibility Points Awarded],ROW(CHSHTATbl[[#This Row],[COUNTY]])-2,1)*CHSHTATbl[[#This Row],[RURAL % OF FUNDING]]</f>
        <v>0</v>
      </c>
      <c r="AU35" s="123"/>
      <c r="AV35" s="161"/>
      <c r="AW35" s="198"/>
      <c r="AX35" s="74">
        <f t="shared" ref="AX35:AX60" si="7">SUM(AV35:AW35)</f>
        <v>0</v>
      </c>
      <c r="AY35" s="6">
        <f>IF(CHSHTATbl[[#This Row],[MFD RURAL TOTAL REQUESTED]]=0,0,CHSHTATbl[[#This Row],[MFD RURAL TOTAL REQUESTED]]/CH_SHTA_MFDRuralTotalRequested)</f>
        <v>0</v>
      </c>
      <c r="AZ35" s="665">
        <f>IF(CHSHTATbl[[#This Row],[ALL UNITS IN A HIGH OR HIGHEST RESOURCE AREA]]="Yes",10*CHSHTATbl[[#This Row],[MFD RURAL % OF FUNDING]],0)</f>
        <v>0</v>
      </c>
      <c r="BA35" s="665" cm="1">
        <f t="array" ref="BA35">INDEX(CountyScoresTbl[Community Need Total Points],ROW(CHSHTATbl[[#This Row],[COUNTY]])-2,1)*CHSHTATbl[[#This Row],[MFD RURAL % OF FUNDING]]</f>
        <v>0</v>
      </c>
      <c r="BB35" s="666" cm="1">
        <f t="array" ref="BB35">INDEX(CountyScoresTbl[SHTA Total Feasibility Points Awarded],ROW(CHSHTATbl[[#This Row],[COUNTY]])-2,1)*CHSHTATbl[[#This Row],[MFD RURAL % OF FUNDING]]</f>
        <v>0</v>
      </c>
      <c r="BC35" s="764"/>
      <c r="BD35" s="765">
        <f>IF(CHSHTATbl[[#This Row],[INFILL SITE]]="Yes",5,3)*CHSHTATbl[[#This Row],[UNRESTRICTED % OF FUNDING]]</f>
        <v>0</v>
      </c>
      <c r="BE35" s="694">
        <f>IF(CHSHTATbl[[#This Row],[INFILL SITE]]="Yes",5,3)*CHSHTATbl[[#This Row],[MANUFACTURED % OF FUNDING]]</f>
        <v>0</v>
      </c>
      <c r="BF35" s="694">
        <f>IF(CHSHTATbl[[#This Row],[INFILL SITE]]="Yes",5,3)*CHSHTATbl[[#This Row],[RURAL % OF FUNDING]]</f>
        <v>0</v>
      </c>
      <c r="BG35" s="694">
        <f>IF(CHSHTATbl[[#This Row],[INFILL SITE]]="Yes",5,3)*CHSHTATbl[[#This Row],[MFD RURAL % OF FUNDING]]</f>
        <v>0</v>
      </c>
    </row>
    <row r="36" spans="1:59" x14ac:dyDescent="0.35">
      <c r="A36" s="124"/>
      <c r="B36" s="179" t="s">
        <v>148</v>
      </c>
      <c r="C36" s="177" t="s">
        <v>513</v>
      </c>
      <c r="D36" s="183" t="str">
        <f>IF(CHSHTATbl[[#This Row],[UNRESTRICTED UNITS]]=0,"",CHSHTATbl[[#This Row],[UNRESTRICTED UNITS]])</f>
        <v/>
      </c>
      <c r="E36" s="184" t="str">
        <f xml:space="preserve">
IF(CHSHTATbl[[#This Row],[UNRESTRICTED TOTAL REQUESTED]]=0,"",
CHSHTATbl[[#This Row],[UNRESTRICTED TOTAL REQUESTED]]*
IF(CH_SHTA_UnrestrictedTotalRequested&lt;=500000,1,
500000/CH_SHTA_UnrestrictedTotalRequested)
)</f>
        <v/>
      </c>
      <c r="F36" s="185" t="str">
        <f>IF(CHSHTATbl[[#This Row],[UNRESTRICTED % OF FUNDING]]=0,"",CHSHTATbl[[#This Row],[UNRESTRICTED % OF FUNDING]])</f>
        <v/>
      </c>
      <c r="G36" s="177" t="s">
        <v>513</v>
      </c>
      <c r="H36" s="183" t="str">
        <f>IF(CHSHTATbl[[#This Row],[MANUFACTURED UNITS]]=0,"",CHSHTATbl[[#This Row],[MANUFACTURED UNITS]])</f>
        <v/>
      </c>
      <c r="I36" s="187" t="str">
        <f xml:space="preserve">
IF(CHSHTATbl[[#This Row],[MANUFACTURED TOTAL REQUESTED]]=0,"",
CHSHTATbl[[#This Row],[MANUFACTURED TOTAL REQUESTED]]*
IF(CH_SHTA_ManufacturedTotalRequested&lt;=(500000-E$61),1,
(500000-E$61)/CH_SHTA_ManufacturedTotalRequested)
)</f>
        <v/>
      </c>
      <c r="J36" s="185" t="str">
        <f>IF(CHSHTATbl[[#This Row],[MANUFACTURED % OF FUNDING]]=0,"",CHSHTATbl[[#This Row],[MANUFACTURED % OF FUNDING]])</f>
        <v/>
      </c>
      <c r="K36" s="177" t="s">
        <v>513</v>
      </c>
      <c r="L36" s="190" t="str">
        <f>IF(CHSHTATbl[[#This Row],[RURAL UNITS]]=0,"",CHSHTATbl[[#This Row],[RURAL UNITS]])</f>
        <v/>
      </c>
      <c r="M36" s="187" t="str">
        <f xml:space="preserve">
IF(CHSHTATbl[[#This Row],[RURAL TOTAL REQUESTED]]=0,"",
CHSHTATbl[[#This Row],[RURAL TOTAL REQUESTED]]*
IF(CH_SHTA_RuralTotalRequested&lt;=(500000-E$61-I$61),1,
(500000-E$61-I$61)/CH_SHTA_RuralTotalRequested)
)</f>
        <v/>
      </c>
      <c r="N36" s="191" t="str">
        <f>IF(CHSHTATbl[[#This Row],[RURAL % OF FUNDING]]=0,"",CHSHTATbl[[#This Row],[RURAL % OF FUNDING]])</f>
        <v/>
      </c>
      <c r="O36" s="177" t="s">
        <v>513</v>
      </c>
      <c r="P36" s="193" t="str">
        <f>IF(CHSHTATbl[[#This Row],[MFD RURAL UNITS]]=0,"",CHSHTATbl[[#This Row],[MFD RURAL UNITS]])</f>
        <v/>
      </c>
      <c r="Q36" s="187" t="str">
        <f xml:space="preserve">
IF(CHSHTATbl[[#This Row],[MFD RURAL TOTAL REQUESTED]]=0,"",
CHSHTATbl[[#This Row],[MFD RURAL TOTAL REQUESTED]]*
IF(CH_SHTA_MFDRuralTotalRequested&lt;=(500000-E$61-I$61-M$61),1,
(500000-E$61-I$61-M$61)/CH_SHTA_MFDRuralTotalRequested)
)</f>
        <v/>
      </c>
      <c r="R36" s="191" t="str">
        <f>IF(CHSHTATbl[[#This Row],[MFD RURAL % OF FUNDING]]=0,"",CHSHTATbl[[#This Row],[MFD RURAL % OF FUNDING]])</f>
        <v/>
      </c>
      <c r="S36" s="31"/>
      <c r="T36" s="196"/>
      <c r="U36" s="119"/>
      <c r="V36" s="197"/>
      <c r="W36" s="123"/>
      <c r="X36" s="161"/>
      <c r="Y36" s="198"/>
      <c r="Z36" s="74">
        <f t="shared" si="4"/>
        <v>0</v>
      </c>
      <c r="AA36" s="6">
        <f>IF(CHSHTATbl[[#This Row],[UNRESTRICTED TOTAL REQUESTED]]=0,0,CHSHTATbl[[#This Row],[UNRESTRICTED TOTAL REQUESTED]]/CH_SHTA_UnrestrictedTotalRequested)</f>
        <v>0</v>
      </c>
      <c r="AB36" s="752">
        <f>IF(CHSHTATbl[[#This Row],[ALL UNITS IN A HIGH OR HIGHEST RESOURCE AREA]]="Yes",10*CHSHTATbl[[#This Row],[UNRESTRICTED % OF FUNDING]],0)</f>
        <v>0</v>
      </c>
      <c r="AC36" s="752" cm="1">
        <f t="array" ref="AC36">INDEX(CountyScoresTbl[Community Need Total Points],ROW(CHSHTATbl[[#This Row],[COUNTY]])-2,1)*CHSHTATbl[[#This Row],[UNRESTRICTED % OF FUNDING]]</f>
        <v>0</v>
      </c>
      <c r="AD36" s="752" cm="1">
        <f t="array" ref="AD36">INDEX(CountyScoresTbl[SHTA Total Feasibility Points Awarded],ROW(CHSHTATbl[[#This Row],[COUNTY]])-2,1)*CHSHTATbl[[#This Row],[UNRESTRICTED % OF FUNDING]]</f>
        <v>0</v>
      </c>
      <c r="AE36" s="125"/>
      <c r="AF36" s="161"/>
      <c r="AG36" s="198"/>
      <c r="AH36" s="74">
        <f t="shared" si="5"/>
        <v>0</v>
      </c>
      <c r="AI36" s="9">
        <f>IF(CHSHTATbl[[#This Row],[MANUFACTURED TOTAL REQUESTED]]=0,0,CHSHTATbl[[#This Row],[MANUFACTURED TOTAL REQUESTED]]/CH_SHTA_ManufacturedTotalRequested)</f>
        <v>0</v>
      </c>
      <c r="AJ36" s="665">
        <f>IF(CHSHTATbl[[#This Row],[ALL UNITS IN A HIGH OR HIGHEST RESOURCE AREA]]="Yes",10*CHSHTATbl[[#This Row],[MANUFACTURED % OF FUNDING]],0)</f>
        <v>0</v>
      </c>
      <c r="AK36" s="665" cm="1">
        <f t="array" ref="AK36">INDEX(CountyScoresTbl[Community Need Total Points],ROW(CHSHTATbl[[#This Row],[COUNTY]])-2,1)*CHSHTATbl[[#This Row],[MANUFACTURED % OF FUNDING]]</f>
        <v>0</v>
      </c>
      <c r="AL36" s="666" cm="1">
        <f t="array" ref="AL36">INDEX(CountyScoresTbl[SHTA Total Feasibility Points Awarded],ROW(CHSHTATbl[[#This Row],[COUNTY]])-2,1)*CHSHTATbl[[#This Row],[MANUFACTURED % OF FUNDING]]</f>
        <v>0</v>
      </c>
      <c r="AM36" s="123"/>
      <c r="AN36" s="161"/>
      <c r="AO36" s="198"/>
      <c r="AP36" s="74">
        <f t="shared" si="6"/>
        <v>0</v>
      </c>
      <c r="AQ36" s="6">
        <f>IF(CHSHTATbl[[#This Row],[RURAL TOTAL REQUESTED]]=0,0,CHSHTATbl[[#This Row],[RURAL TOTAL REQUESTED]]/CH_SHTA_RuralTotalRequested)</f>
        <v>0</v>
      </c>
      <c r="AR36" s="665">
        <f>IF(CHSHTATbl[[#This Row],[ALL UNITS IN A HIGH OR HIGHEST RESOURCE AREA]]="Yes",10*CHSHTATbl[[#This Row],[RURAL % OF FUNDING]],0)</f>
        <v>0</v>
      </c>
      <c r="AS36" s="665" cm="1">
        <f t="array" ref="AS36">INDEX(CountyScoresTbl[Community Need Total Points],ROW(CHSHTATbl[[#This Row],[COUNTY]])-2,1)*CHSHTATbl[[#This Row],[RURAL % OF FUNDING]]</f>
        <v>0</v>
      </c>
      <c r="AT36" s="666" cm="1">
        <f t="array" ref="AT36">INDEX(CountyScoresTbl[SHTA Total Feasibility Points Awarded],ROW(CHSHTATbl[[#This Row],[COUNTY]])-2,1)*CHSHTATbl[[#This Row],[RURAL % OF FUNDING]]</f>
        <v>0</v>
      </c>
      <c r="AU36" s="123"/>
      <c r="AV36" s="161"/>
      <c r="AW36" s="198"/>
      <c r="AX36" s="74">
        <f t="shared" si="7"/>
        <v>0</v>
      </c>
      <c r="AY36" s="6">
        <f>IF(CHSHTATbl[[#This Row],[MFD RURAL TOTAL REQUESTED]]=0,0,CHSHTATbl[[#This Row],[MFD RURAL TOTAL REQUESTED]]/CH_SHTA_MFDRuralTotalRequested)</f>
        <v>0</v>
      </c>
      <c r="AZ36" s="665">
        <f>IF(CHSHTATbl[[#This Row],[ALL UNITS IN A HIGH OR HIGHEST RESOURCE AREA]]="Yes",10*CHSHTATbl[[#This Row],[MFD RURAL % OF FUNDING]],0)</f>
        <v>0</v>
      </c>
      <c r="BA36" s="665" cm="1">
        <f t="array" ref="BA36">INDEX(CountyScoresTbl[Community Need Total Points],ROW(CHSHTATbl[[#This Row],[COUNTY]])-2,1)*CHSHTATbl[[#This Row],[MFD RURAL % OF FUNDING]]</f>
        <v>0</v>
      </c>
      <c r="BB36" s="666" cm="1">
        <f t="array" ref="BB36">INDEX(CountyScoresTbl[SHTA Total Feasibility Points Awarded],ROW(CHSHTATbl[[#This Row],[COUNTY]])-2,1)*CHSHTATbl[[#This Row],[MFD RURAL % OF FUNDING]]</f>
        <v>0</v>
      </c>
      <c r="BC36" s="764"/>
      <c r="BD36" s="765">
        <f>IF(CHSHTATbl[[#This Row],[INFILL SITE]]="Yes",5,3)*CHSHTATbl[[#This Row],[UNRESTRICTED % OF FUNDING]]</f>
        <v>0</v>
      </c>
      <c r="BE36" s="694">
        <f>IF(CHSHTATbl[[#This Row],[INFILL SITE]]="Yes",5,3)*CHSHTATbl[[#This Row],[MANUFACTURED % OF FUNDING]]</f>
        <v>0</v>
      </c>
      <c r="BF36" s="694">
        <f>IF(CHSHTATbl[[#This Row],[INFILL SITE]]="Yes",5,3)*CHSHTATbl[[#This Row],[RURAL % OF FUNDING]]</f>
        <v>0</v>
      </c>
      <c r="BG36" s="694">
        <f>IF(CHSHTATbl[[#This Row],[INFILL SITE]]="Yes",5,3)*CHSHTATbl[[#This Row],[MFD RURAL % OF FUNDING]]</f>
        <v>0</v>
      </c>
    </row>
    <row r="37" spans="1:59" x14ac:dyDescent="0.35">
      <c r="A37" s="124"/>
      <c r="B37" s="179" t="s">
        <v>149</v>
      </c>
      <c r="C37" s="177" t="s">
        <v>513</v>
      </c>
      <c r="D37" s="183" t="str">
        <f>IF(CHSHTATbl[[#This Row],[UNRESTRICTED UNITS]]=0,"",CHSHTATbl[[#This Row],[UNRESTRICTED UNITS]])</f>
        <v/>
      </c>
      <c r="E37" s="184" t="str">
        <f xml:space="preserve">
IF(CHSHTATbl[[#This Row],[UNRESTRICTED TOTAL REQUESTED]]=0,"",
CHSHTATbl[[#This Row],[UNRESTRICTED TOTAL REQUESTED]]*
IF(CH_SHTA_UnrestrictedTotalRequested&lt;=500000,1,
500000/CH_SHTA_UnrestrictedTotalRequested)
)</f>
        <v/>
      </c>
      <c r="F37" s="185" t="str">
        <f>IF(CHSHTATbl[[#This Row],[UNRESTRICTED % OF FUNDING]]=0,"",CHSHTATbl[[#This Row],[UNRESTRICTED % OF FUNDING]])</f>
        <v/>
      </c>
      <c r="G37" s="177" t="s">
        <v>513</v>
      </c>
      <c r="H37" s="183" t="str">
        <f>IF(CHSHTATbl[[#This Row],[MANUFACTURED UNITS]]=0,"",CHSHTATbl[[#This Row],[MANUFACTURED UNITS]])</f>
        <v/>
      </c>
      <c r="I37" s="187" t="str">
        <f xml:space="preserve">
IF(CHSHTATbl[[#This Row],[MANUFACTURED TOTAL REQUESTED]]=0,"",
CHSHTATbl[[#This Row],[MANUFACTURED TOTAL REQUESTED]]*
IF(CH_SHTA_ManufacturedTotalRequested&lt;=(500000-E$61),1,
(500000-E$61)/CH_SHTA_ManufacturedTotalRequested)
)</f>
        <v/>
      </c>
      <c r="J37" s="185" t="str">
        <f>IF(CHSHTATbl[[#This Row],[MANUFACTURED % OF FUNDING]]=0,"",CHSHTATbl[[#This Row],[MANUFACTURED % OF FUNDING]])</f>
        <v/>
      </c>
      <c r="K37" s="177" t="s">
        <v>513</v>
      </c>
      <c r="L37" s="190" t="str">
        <f>IF(CHSHTATbl[[#This Row],[RURAL UNITS]]=0,"",CHSHTATbl[[#This Row],[RURAL UNITS]])</f>
        <v/>
      </c>
      <c r="M37" s="187" t="str">
        <f xml:space="preserve">
IF(CHSHTATbl[[#This Row],[RURAL TOTAL REQUESTED]]=0,"",
CHSHTATbl[[#This Row],[RURAL TOTAL REQUESTED]]*
IF(CH_SHTA_RuralTotalRequested&lt;=(500000-E$61-I$61),1,
(500000-E$61-I$61)/CH_SHTA_RuralTotalRequested)
)</f>
        <v/>
      </c>
      <c r="N37" s="191" t="str">
        <f>IF(CHSHTATbl[[#This Row],[RURAL % OF FUNDING]]=0,"",CHSHTATbl[[#This Row],[RURAL % OF FUNDING]])</f>
        <v/>
      </c>
      <c r="O37" s="177" t="s">
        <v>513</v>
      </c>
      <c r="P37" s="193" t="str">
        <f>IF(CHSHTATbl[[#This Row],[MFD RURAL UNITS]]=0,"",CHSHTATbl[[#This Row],[MFD RURAL UNITS]])</f>
        <v/>
      </c>
      <c r="Q37" s="187" t="str">
        <f xml:space="preserve">
IF(CHSHTATbl[[#This Row],[MFD RURAL TOTAL REQUESTED]]=0,"",
CHSHTATbl[[#This Row],[MFD RURAL TOTAL REQUESTED]]*
IF(CH_SHTA_MFDRuralTotalRequested&lt;=(500000-E$61-I$61-M$61),1,
(500000-E$61-I$61-M$61)/CH_SHTA_MFDRuralTotalRequested)
)</f>
        <v/>
      </c>
      <c r="R37" s="191" t="str">
        <f>IF(CHSHTATbl[[#This Row],[MFD RURAL % OF FUNDING]]=0,"",CHSHTATbl[[#This Row],[MFD RURAL % OF FUNDING]])</f>
        <v/>
      </c>
      <c r="S37" s="31"/>
      <c r="T37" s="196"/>
      <c r="U37" s="119"/>
      <c r="V37" s="197"/>
      <c r="W37" s="123"/>
      <c r="X37" s="161"/>
      <c r="Y37" s="198"/>
      <c r="Z37" s="74">
        <f t="shared" si="4"/>
        <v>0</v>
      </c>
      <c r="AA37" s="6">
        <f>IF(CHSHTATbl[[#This Row],[UNRESTRICTED TOTAL REQUESTED]]=0,0,CHSHTATbl[[#This Row],[UNRESTRICTED TOTAL REQUESTED]]/CH_SHTA_UnrestrictedTotalRequested)</f>
        <v>0</v>
      </c>
      <c r="AB37" s="752">
        <f>IF(CHSHTATbl[[#This Row],[ALL UNITS IN A HIGH OR HIGHEST RESOURCE AREA]]="Yes",10*CHSHTATbl[[#This Row],[UNRESTRICTED % OF FUNDING]],0)</f>
        <v>0</v>
      </c>
      <c r="AC37" s="752" cm="1">
        <f t="array" ref="AC37">INDEX(CountyScoresTbl[Community Need Total Points],ROW(CHSHTATbl[[#This Row],[COUNTY]])-2,1)*CHSHTATbl[[#This Row],[UNRESTRICTED % OF FUNDING]]</f>
        <v>0</v>
      </c>
      <c r="AD37" s="752" cm="1">
        <f t="array" ref="AD37">INDEX(CountyScoresTbl[SHTA Total Feasibility Points Awarded],ROW(CHSHTATbl[[#This Row],[COUNTY]])-2,1)*CHSHTATbl[[#This Row],[UNRESTRICTED % OF FUNDING]]</f>
        <v>0</v>
      </c>
      <c r="AE37" s="125"/>
      <c r="AF37" s="161"/>
      <c r="AG37" s="198"/>
      <c r="AH37" s="74">
        <f t="shared" si="5"/>
        <v>0</v>
      </c>
      <c r="AI37" s="9">
        <f>IF(CHSHTATbl[[#This Row],[MANUFACTURED TOTAL REQUESTED]]=0,0,CHSHTATbl[[#This Row],[MANUFACTURED TOTAL REQUESTED]]/CH_SHTA_ManufacturedTotalRequested)</f>
        <v>0</v>
      </c>
      <c r="AJ37" s="665">
        <f>IF(CHSHTATbl[[#This Row],[ALL UNITS IN A HIGH OR HIGHEST RESOURCE AREA]]="Yes",10*CHSHTATbl[[#This Row],[MANUFACTURED % OF FUNDING]],0)</f>
        <v>0</v>
      </c>
      <c r="AK37" s="665" cm="1">
        <f t="array" ref="AK37">INDEX(CountyScoresTbl[Community Need Total Points],ROW(CHSHTATbl[[#This Row],[COUNTY]])-2,1)*CHSHTATbl[[#This Row],[MANUFACTURED % OF FUNDING]]</f>
        <v>0</v>
      </c>
      <c r="AL37" s="666" cm="1">
        <f t="array" ref="AL37">INDEX(CountyScoresTbl[SHTA Total Feasibility Points Awarded],ROW(CHSHTATbl[[#This Row],[COUNTY]])-2,1)*CHSHTATbl[[#This Row],[MANUFACTURED % OF FUNDING]]</f>
        <v>0</v>
      </c>
      <c r="AM37" s="123"/>
      <c r="AN37" s="161"/>
      <c r="AO37" s="198"/>
      <c r="AP37" s="74">
        <f t="shared" si="6"/>
        <v>0</v>
      </c>
      <c r="AQ37" s="6">
        <f>IF(CHSHTATbl[[#This Row],[RURAL TOTAL REQUESTED]]=0,0,CHSHTATbl[[#This Row],[RURAL TOTAL REQUESTED]]/CH_SHTA_RuralTotalRequested)</f>
        <v>0</v>
      </c>
      <c r="AR37" s="665">
        <f>IF(CHSHTATbl[[#This Row],[ALL UNITS IN A HIGH OR HIGHEST RESOURCE AREA]]="Yes",10*CHSHTATbl[[#This Row],[RURAL % OF FUNDING]],0)</f>
        <v>0</v>
      </c>
      <c r="AS37" s="665" cm="1">
        <f t="array" ref="AS37">INDEX(CountyScoresTbl[Community Need Total Points],ROW(CHSHTATbl[[#This Row],[COUNTY]])-2,1)*CHSHTATbl[[#This Row],[RURAL % OF FUNDING]]</f>
        <v>0</v>
      </c>
      <c r="AT37" s="666" cm="1">
        <f t="array" ref="AT37">INDEX(CountyScoresTbl[SHTA Total Feasibility Points Awarded],ROW(CHSHTATbl[[#This Row],[COUNTY]])-2,1)*CHSHTATbl[[#This Row],[RURAL % OF FUNDING]]</f>
        <v>0</v>
      </c>
      <c r="AU37" s="123"/>
      <c r="AV37" s="161"/>
      <c r="AW37" s="198"/>
      <c r="AX37" s="74">
        <f t="shared" si="7"/>
        <v>0</v>
      </c>
      <c r="AY37" s="6">
        <f>IF(CHSHTATbl[[#This Row],[MFD RURAL TOTAL REQUESTED]]=0,0,CHSHTATbl[[#This Row],[MFD RURAL TOTAL REQUESTED]]/CH_SHTA_MFDRuralTotalRequested)</f>
        <v>0</v>
      </c>
      <c r="AZ37" s="665">
        <f>IF(CHSHTATbl[[#This Row],[ALL UNITS IN A HIGH OR HIGHEST RESOURCE AREA]]="Yes",10*CHSHTATbl[[#This Row],[MFD RURAL % OF FUNDING]],0)</f>
        <v>0</v>
      </c>
      <c r="BA37" s="665" cm="1">
        <f t="array" ref="BA37">INDEX(CountyScoresTbl[Community Need Total Points],ROW(CHSHTATbl[[#This Row],[COUNTY]])-2,1)*CHSHTATbl[[#This Row],[MFD RURAL % OF FUNDING]]</f>
        <v>0</v>
      </c>
      <c r="BB37" s="666" cm="1">
        <f t="array" ref="BB37">INDEX(CountyScoresTbl[SHTA Total Feasibility Points Awarded],ROW(CHSHTATbl[[#This Row],[COUNTY]])-2,1)*CHSHTATbl[[#This Row],[MFD RURAL % OF FUNDING]]</f>
        <v>0</v>
      </c>
      <c r="BC37" s="764"/>
      <c r="BD37" s="765">
        <f>IF(CHSHTATbl[[#This Row],[INFILL SITE]]="Yes",5,3)*CHSHTATbl[[#This Row],[UNRESTRICTED % OF FUNDING]]</f>
        <v>0</v>
      </c>
      <c r="BE37" s="694">
        <f>IF(CHSHTATbl[[#This Row],[INFILL SITE]]="Yes",5,3)*CHSHTATbl[[#This Row],[MANUFACTURED % OF FUNDING]]</f>
        <v>0</v>
      </c>
      <c r="BF37" s="694">
        <f>IF(CHSHTATbl[[#This Row],[INFILL SITE]]="Yes",5,3)*CHSHTATbl[[#This Row],[RURAL % OF FUNDING]]</f>
        <v>0</v>
      </c>
      <c r="BG37" s="694">
        <f>IF(CHSHTATbl[[#This Row],[INFILL SITE]]="Yes",5,3)*CHSHTATbl[[#This Row],[MFD RURAL % OF FUNDING]]</f>
        <v>0</v>
      </c>
    </row>
    <row r="38" spans="1:59" x14ac:dyDescent="0.35">
      <c r="A38" s="124"/>
      <c r="B38" s="179" t="s">
        <v>150</v>
      </c>
      <c r="C38" s="177" t="s">
        <v>513</v>
      </c>
      <c r="D38" s="183" t="str">
        <f>IF(CHSHTATbl[[#This Row],[UNRESTRICTED UNITS]]=0,"",CHSHTATbl[[#This Row],[UNRESTRICTED UNITS]])</f>
        <v/>
      </c>
      <c r="E38" s="184" t="str">
        <f xml:space="preserve">
IF(CHSHTATbl[[#This Row],[UNRESTRICTED TOTAL REQUESTED]]=0,"",
CHSHTATbl[[#This Row],[UNRESTRICTED TOTAL REQUESTED]]*
IF(CH_SHTA_UnrestrictedTotalRequested&lt;=500000,1,
500000/CH_SHTA_UnrestrictedTotalRequested)
)</f>
        <v/>
      </c>
      <c r="F38" s="185" t="str">
        <f>IF(CHSHTATbl[[#This Row],[UNRESTRICTED % OF FUNDING]]=0,"",CHSHTATbl[[#This Row],[UNRESTRICTED % OF FUNDING]])</f>
        <v/>
      </c>
      <c r="G38" s="177" t="s">
        <v>513</v>
      </c>
      <c r="H38" s="183" t="str">
        <f>IF(CHSHTATbl[[#This Row],[MANUFACTURED UNITS]]=0,"",CHSHTATbl[[#This Row],[MANUFACTURED UNITS]])</f>
        <v/>
      </c>
      <c r="I38" s="187" t="str">
        <f xml:space="preserve">
IF(CHSHTATbl[[#This Row],[MANUFACTURED TOTAL REQUESTED]]=0,"",
CHSHTATbl[[#This Row],[MANUFACTURED TOTAL REQUESTED]]*
IF(CH_SHTA_ManufacturedTotalRequested&lt;=(500000-E$61),1,
(500000-E$61)/CH_SHTA_ManufacturedTotalRequested)
)</f>
        <v/>
      </c>
      <c r="J38" s="185" t="str">
        <f>IF(CHSHTATbl[[#This Row],[MANUFACTURED % OF FUNDING]]=0,"",CHSHTATbl[[#This Row],[MANUFACTURED % OF FUNDING]])</f>
        <v/>
      </c>
      <c r="K38" s="177" t="s">
        <v>513</v>
      </c>
      <c r="L38" s="190" t="str">
        <f>IF(CHSHTATbl[[#This Row],[RURAL UNITS]]=0,"",CHSHTATbl[[#This Row],[RURAL UNITS]])</f>
        <v/>
      </c>
      <c r="M38" s="187" t="str">
        <f xml:space="preserve">
IF(CHSHTATbl[[#This Row],[RURAL TOTAL REQUESTED]]=0,"",
CHSHTATbl[[#This Row],[RURAL TOTAL REQUESTED]]*
IF(CH_SHTA_RuralTotalRequested&lt;=(500000-E$61-I$61),1,
(500000-E$61-I$61)/CH_SHTA_RuralTotalRequested)
)</f>
        <v/>
      </c>
      <c r="N38" s="191" t="str">
        <f>IF(CHSHTATbl[[#This Row],[RURAL % OF FUNDING]]=0,"",CHSHTATbl[[#This Row],[RURAL % OF FUNDING]])</f>
        <v/>
      </c>
      <c r="O38" s="177" t="s">
        <v>513</v>
      </c>
      <c r="P38" s="193" t="str">
        <f>IF(CHSHTATbl[[#This Row],[MFD RURAL UNITS]]=0,"",CHSHTATbl[[#This Row],[MFD RURAL UNITS]])</f>
        <v/>
      </c>
      <c r="Q38" s="187" t="str">
        <f xml:space="preserve">
IF(CHSHTATbl[[#This Row],[MFD RURAL TOTAL REQUESTED]]=0,"",
CHSHTATbl[[#This Row],[MFD RURAL TOTAL REQUESTED]]*
IF(CH_SHTA_MFDRuralTotalRequested&lt;=(500000-E$61-I$61-M$61),1,
(500000-E$61-I$61-M$61)/CH_SHTA_MFDRuralTotalRequested)
)</f>
        <v/>
      </c>
      <c r="R38" s="191" t="str">
        <f>IF(CHSHTATbl[[#This Row],[MFD RURAL % OF FUNDING]]=0,"",CHSHTATbl[[#This Row],[MFD RURAL % OF FUNDING]])</f>
        <v/>
      </c>
      <c r="S38" s="31"/>
      <c r="T38" s="196"/>
      <c r="U38" s="119"/>
      <c r="V38" s="197"/>
      <c r="W38" s="123"/>
      <c r="X38" s="161"/>
      <c r="Y38" s="198"/>
      <c r="Z38" s="74">
        <f t="shared" si="4"/>
        <v>0</v>
      </c>
      <c r="AA38" s="6">
        <f>IF(CHSHTATbl[[#This Row],[UNRESTRICTED TOTAL REQUESTED]]=0,0,CHSHTATbl[[#This Row],[UNRESTRICTED TOTAL REQUESTED]]/CH_SHTA_UnrestrictedTotalRequested)</f>
        <v>0</v>
      </c>
      <c r="AB38" s="752">
        <f>IF(CHSHTATbl[[#This Row],[ALL UNITS IN A HIGH OR HIGHEST RESOURCE AREA]]="Yes",10*CHSHTATbl[[#This Row],[UNRESTRICTED % OF FUNDING]],0)</f>
        <v>0</v>
      </c>
      <c r="AC38" s="752" cm="1">
        <f t="array" ref="AC38">INDEX(CountyScoresTbl[Community Need Total Points],ROW(CHSHTATbl[[#This Row],[COUNTY]])-2,1)*CHSHTATbl[[#This Row],[UNRESTRICTED % OF FUNDING]]</f>
        <v>0</v>
      </c>
      <c r="AD38" s="752" cm="1">
        <f t="array" ref="AD38">INDEX(CountyScoresTbl[SHTA Total Feasibility Points Awarded],ROW(CHSHTATbl[[#This Row],[COUNTY]])-2,1)*CHSHTATbl[[#This Row],[UNRESTRICTED % OF FUNDING]]</f>
        <v>0</v>
      </c>
      <c r="AE38" s="125"/>
      <c r="AF38" s="161"/>
      <c r="AG38" s="198"/>
      <c r="AH38" s="74">
        <f t="shared" si="5"/>
        <v>0</v>
      </c>
      <c r="AI38" s="9">
        <f>IF(CHSHTATbl[[#This Row],[MANUFACTURED TOTAL REQUESTED]]=0,0,CHSHTATbl[[#This Row],[MANUFACTURED TOTAL REQUESTED]]/CH_SHTA_ManufacturedTotalRequested)</f>
        <v>0</v>
      </c>
      <c r="AJ38" s="665">
        <f>IF(CHSHTATbl[[#This Row],[ALL UNITS IN A HIGH OR HIGHEST RESOURCE AREA]]="Yes",10*CHSHTATbl[[#This Row],[MANUFACTURED % OF FUNDING]],0)</f>
        <v>0</v>
      </c>
      <c r="AK38" s="665" cm="1">
        <f t="array" ref="AK38">INDEX(CountyScoresTbl[Community Need Total Points],ROW(CHSHTATbl[[#This Row],[COUNTY]])-2,1)*CHSHTATbl[[#This Row],[MANUFACTURED % OF FUNDING]]</f>
        <v>0</v>
      </c>
      <c r="AL38" s="666" cm="1">
        <f t="array" ref="AL38">INDEX(CountyScoresTbl[SHTA Total Feasibility Points Awarded],ROW(CHSHTATbl[[#This Row],[COUNTY]])-2,1)*CHSHTATbl[[#This Row],[MANUFACTURED % OF FUNDING]]</f>
        <v>0</v>
      </c>
      <c r="AM38" s="123"/>
      <c r="AN38" s="161"/>
      <c r="AO38" s="198"/>
      <c r="AP38" s="74">
        <f t="shared" si="6"/>
        <v>0</v>
      </c>
      <c r="AQ38" s="6">
        <f>IF(CHSHTATbl[[#This Row],[RURAL TOTAL REQUESTED]]=0,0,CHSHTATbl[[#This Row],[RURAL TOTAL REQUESTED]]/CH_SHTA_RuralTotalRequested)</f>
        <v>0</v>
      </c>
      <c r="AR38" s="665">
        <f>IF(CHSHTATbl[[#This Row],[ALL UNITS IN A HIGH OR HIGHEST RESOURCE AREA]]="Yes",10*CHSHTATbl[[#This Row],[RURAL % OF FUNDING]],0)</f>
        <v>0</v>
      </c>
      <c r="AS38" s="665" cm="1">
        <f t="array" ref="AS38">INDEX(CountyScoresTbl[Community Need Total Points],ROW(CHSHTATbl[[#This Row],[COUNTY]])-2,1)*CHSHTATbl[[#This Row],[RURAL % OF FUNDING]]</f>
        <v>0</v>
      </c>
      <c r="AT38" s="666" cm="1">
        <f t="array" ref="AT38">INDEX(CountyScoresTbl[SHTA Total Feasibility Points Awarded],ROW(CHSHTATbl[[#This Row],[COUNTY]])-2,1)*CHSHTATbl[[#This Row],[RURAL % OF FUNDING]]</f>
        <v>0</v>
      </c>
      <c r="AU38" s="123"/>
      <c r="AV38" s="161"/>
      <c r="AW38" s="198"/>
      <c r="AX38" s="74">
        <f t="shared" si="7"/>
        <v>0</v>
      </c>
      <c r="AY38" s="6">
        <f>IF(CHSHTATbl[[#This Row],[MFD RURAL TOTAL REQUESTED]]=0,0,CHSHTATbl[[#This Row],[MFD RURAL TOTAL REQUESTED]]/CH_SHTA_MFDRuralTotalRequested)</f>
        <v>0</v>
      </c>
      <c r="AZ38" s="665">
        <f>IF(CHSHTATbl[[#This Row],[ALL UNITS IN A HIGH OR HIGHEST RESOURCE AREA]]="Yes",10*CHSHTATbl[[#This Row],[MFD RURAL % OF FUNDING]],0)</f>
        <v>0</v>
      </c>
      <c r="BA38" s="665" cm="1">
        <f t="array" ref="BA38">INDEX(CountyScoresTbl[Community Need Total Points],ROW(CHSHTATbl[[#This Row],[COUNTY]])-2,1)*CHSHTATbl[[#This Row],[MFD RURAL % OF FUNDING]]</f>
        <v>0</v>
      </c>
      <c r="BB38" s="666" cm="1">
        <f t="array" ref="BB38">INDEX(CountyScoresTbl[SHTA Total Feasibility Points Awarded],ROW(CHSHTATbl[[#This Row],[COUNTY]])-2,1)*CHSHTATbl[[#This Row],[MFD RURAL % OF FUNDING]]</f>
        <v>0</v>
      </c>
      <c r="BC38" s="764"/>
      <c r="BD38" s="765">
        <f>IF(CHSHTATbl[[#This Row],[INFILL SITE]]="Yes",5,3)*CHSHTATbl[[#This Row],[UNRESTRICTED % OF FUNDING]]</f>
        <v>0</v>
      </c>
      <c r="BE38" s="694">
        <f>IF(CHSHTATbl[[#This Row],[INFILL SITE]]="Yes",5,3)*CHSHTATbl[[#This Row],[MANUFACTURED % OF FUNDING]]</f>
        <v>0</v>
      </c>
      <c r="BF38" s="694">
        <f>IF(CHSHTATbl[[#This Row],[INFILL SITE]]="Yes",5,3)*CHSHTATbl[[#This Row],[RURAL % OF FUNDING]]</f>
        <v>0</v>
      </c>
      <c r="BG38" s="694">
        <f>IF(CHSHTATbl[[#This Row],[INFILL SITE]]="Yes",5,3)*CHSHTATbl[[#This Row],[MFD RURAL % OF FUNDING]]</f>
        <v>0</v>
      </c>
    </row>
    <row r="39" spans="1:59" x14ac:dyDescent="0.35">
      <c r="A39" s="124"/>
      <c r="B39" s="179" t="s">
        <v>151</v>
      </c>
      <c r="C39" s="177" t="s">
        <v>513</v>
      </c>
      <c r="D39" s="183" t="str">
        <f>IF(CHSHTATbl[[#This Row],[UNRESTRICTED UNITS]]=0,"",CHSHTATbl[[#This Row],[UNRESTRICTED UNITS]])</f>
        <v/>
      </c>
      <c r="E39" s="184" t="str">
        <f xml:space="preserve">
IF(CHSHTATbl[[#This Row],[UNRESTRICTED TOTAL REQUESTED]]=0,"",
CHSHTATbl[[#This Row],[UNRESTRICTED TOTAL REQUESTED]]*
IF(CH_SHTA_UnrestrictedTotalRequested&lt;=500000,1,
500000/CH_SHTA_UnrestrictedTotalRequested)
)</f>
        <v/>
      </c>
      <c r="F39" s="185" t="str">
        <f>IF(CHSHTATbl[[#This Row],[UNRESTRICTED % OF FUNDING]]=0,"",CHSHTATbl[[#This Row],[UNRESTRICTED % OF FUNDING]])</f>
        <v/>
      </c>
      <c r="G39" s="177" t="s">
        <v>513</v>
      </c>
      <c r="H39" s="183" t="str">
        <f>IF(CHSHTATbl[[#This Row],[MANUFACTURED UNITS]]=0,"",CHSHTATbl[[#This Row],[MANUFACTURED UNITS]])</f>
        <v/>
      </c>
      <c r="I39" s="187" t="str">
        <f xml:space="preserve">
IF(CHSHTATbl[[#This Row],[MANUFACTURED TOTAL REQUESTED]]=0,"",
CHSHTATbl[[#This Row],[MANUFACTURED TOTAL REQUESTED]]*
IF(CH_SHTA_ManufacturedTotalRequested&lt;=(500000-E$61),1,
(500000-E$61)/CH_SHTA_ManufacturedTotalRequested)
)</f>
        <v/>
      </c>
      <c r="J39" s="185" t="str">
        <f>IF(CHSHTATbl[[#This Row],[MANUFACTURED % OF FUNDING]]=0,"",CHSHTATbl[[#This Row],[MANUFACTURED % OF FUNDING]])</f>
        <v/>
      </c>
      <c r="K39" s="177" t="s">
        <v>513</v>
      </c>
      <c r="L39" s="190" t="str">
        <f>IF(CHSHTATbl[[#This Row],[RURAL UNITS]]=0,"",CHSHTATbl[[#This Row],[RURAL UNITS]])</f>
        <v/>
      </c>
      <c r="M39" s="187" t="str">
        <f xml:space="preserve">
IF(CHSHTATbl[[#This Row],[RURAL TOTAL REQUESTED]]=0,"",
CHSHTATbl[[#This Row],[RURAL TOTAL REQUESTED]]*
IF(CH_SHTA_RuralTotalRequested&lt;=(500000-E$61-I$61),1,
(500000-E$61-I$61)/CH_SHTA_RuralTotalRequested)
)</f>
        <v/>
      </c>
      <c r="N39" s="191" t="str">
        <f>IF(CHSHTATbl[[#This Row],[RURAL % OF FUNDING]]=0,"",CHSHTATbl[[#This Row],[RURAL % OF FUNDING]])</f>
        <v/>
      </c>
      <c r="O39" s="177" t="s">
        <v>513</v>
      </c>
      <c r="P39" s="193" t="str">
        <f>IF(CHSHTATbl[[#This Row],[MFD RURAL UNITS]]=0,"",CHSHTATbl[[#This Row],[MFD RURAL UNITS]])</f>
        <v/>
      </c>
      <c r="Q39" s="187" t="str">
        <f xml:space="preserve">
IF(CHSHTATbl[[#This Row],[MFD RURAL TOTAL REQUESTED]]=0,"",
CHSHTATbl[[#This Row],[MFD RURAL TOTAL REQUESTED]]*
IF(CH_SHTA_MFDRuralTotalRequested&lt;=(500000-E$61-I$61-M$61),1,
(500000-E$61-I$61-M$61)/CH_SHTA_MFDRuralTotalRequested)
)</f>
        <v/>
      </c>
      <c r="R39" s="191" t="str">
        <f>IF(CHSHTATbl[[#This Row],[MFD RURAL % OF FUNDING]]=0,"",CHSHTATbl[[#This Row],[MFD RURAL % OF FUNDING]])</f>
        <v/>
      </c>
      <c r="S39" s="31"/>
      <c r="T39" s="196"/>
      <c r="U39" s="119"/>
      <c r="V39" s="197"/>
      <c r="W39" s="123"/>
      <c r="X39" s="161"/>
      <c r="Y39" s="198"/>
      <c r="Z39" s="74">
        <f t="shared" si="4"/>
        <v>0</v>
      </c>
      <c r="AA39" s="6">
        <f>IF(CHSHTATbl[[#This Row],[UNRESTRICTED TOTAL REQUESTED]]=0,0,CHSHTATbl[[#This Row],[UNRESTRICTED TOTAL REQUESTED]]/CH_SHTA_UnrestrictedTotalRequested)</f>
        <v>0</v>
      </c>
      <c r="AB39" s="752">
        <f>IF(CHSHTATbl[[#This Row],[ALL UNITS IN A HIGH OR HIGHEST RESOURCE AREA]]="Yes",10*CHSHTATbl[[#This Row],[UNRESTRICTED % OF FUNDING]],0)</f>
        <v>0</v>
      </c>
      <c r="AC39" s="752" cm="1">
        <f t="array" ref="AC39">INDEX(CountyScoresTbl[Community Need Total Points],ROW(CHSHTATbl[[#This Row],[COUNTY]])-2,1)*CHSHTATbl[[#This Row],[UNRESTRICTED % OF FUNDING]]</f>
        <v>0</v>
      </c>
      <c r="AD39" s="752" cm="1">
        <f t="array" ref="AD39">INDEX(CountyScoresTbl[SHTA Total Feasibility Points Awarded],ROW(CHSHTATbl[[#This Row],[COUNTY]])-2,1)*CHSHTATbl[[#This Row],[UNRESTRICTED % OF FUNDING]]</f>
        <v>0</v>
      </c>
      <c r="AE39" s="125"/>
      <c r="AF39" s="161"/>
      <c r="AG39" s="198"/>
      <c r="AH39" s="74">
        <f t="shared" si="5"/>
        <v>0</v>
      </c>
      <c r="AI39" s="9">
        <f>IF(CHSHTATbl[[#This Row],[MANUFACTURED TOTAL REQUESTED]]=0,0,CHSHTATbl[[#This Row],[MANUFACTURED TOTAL REQUESTED]]/CH_SHTA_ManufacturedTotalRequested)</f>
        <v>0</v>
      </c>
      <c r="AJ39" s="665">
        <f>IF(CHSHTATbl[[#This Row],[ALL UNITS IN A HIGH OR HIGHEST RESOURCE AREA]]="Yes",10*CHSHTATbl[[#This Row],[MANUFACTURED % OF FUNDING]],0)</f>
        <v>0</v>
      </c>
      <c r="AK39" s="665" cm="1">
        <f t="array" ref="AK39">INDEX(CountyScoresTbl[Community Need Total Points],ROW(CHSHTATbl[[#This Row],[COUNTY]])-2,1)*CHSHTATbl[[#This Row],[MANUFACTURED % OF FUNDING]]</f>
        <v>0</v>
      </c>
      <c r="AL39" s="666" cm="1">
        <f t="array" ref="AL39">INDEX(CountyScoresTbl[SHTA Total Feasibility Points Awarded],ROW(CHSHTATbl[[#This Row],[COUNTY]])-2,1)*CHSHTATbl[[#This Row],[MANUFACTURED % OF FUNDING]]</f>
        <v>0</v>
      </c>
      <c r="AM39" s="123"/>
      <c r="AN39" s="161"/>
      <c r="AO39" s="198"/>
      <c r="AP39" s="74">
        <f t="shared" si="6"/>
        <v>0</v>
      </c>
      <c r="AQ39" s="6">
        <f>IF(CHSHTATbl[[#This Row],[RURAL TOTAL REQUESTED]]=0,0,CHSHTATbl[[#This Row],[RURAL TOTAL REQUESTED]]/CH_SHTA_RuralTotalRequested)</f>
        <v>0</v>
      </c>
      <c r="AR39" s="665">
        <f>IF(CHSHTATbl[[#This Row],[ALL UNITS IN A HIGH OR HIGHEST RESOURCE AREA]]="Yes",10*CHSHTATbl[[#This Row],[RURAL % OF FUNDING]],0)</f>
        <v>0</v>
      </c>
      <c r="AS39" s="665" cm="1">
        <f t="array" ref="AS39">INDEX(CountyScoresTbl[Community Need Total Points],ROW(CHSHTATbl[[#This Row],[COUNTY]])-2,1)*CHSHTATbl[[#This Row],[RURAL % OF FUNDING]]</f>
        <v>0</v>
      </c>
      <c r="AT39" s="666" cm="1">
        <f t="array" ref="AT39">INDEX(CountyScoresTbl[SHTA Total Feasibility Points Awarded],ROW(CHSHTATbl[[#This Row],[COUNTY]])-2,1)*CHSHTATbl[[#This Row],[RURAL % OF FUNDING]]</f>
        <v>0</v>
      </c>
      <c r="AU39" s="123"/>
      <c r="AV39" s="161"/>
      <c r="AW39" s="198"/>
      <c r="AX39" s="74">
        <f t="shared" si="7"/>
        <v>0</v>
      </c>
      <c r="AY39" s="6">
        <f>IF(CHSHTATbl[[#This Row],[MFD RURAL TOTAL REQUESTED]]=0,0,CHSHTATbl[[#This Row],[MFD RURAL TOTAL REQUESTED]]/CH_SHTA_MFDRuralTotalRequested)</f>
        <v>0</v>
      </c>
      <c r="AZ39" s="665">
        <f>IF(CHSHTATbl[[#This Row],[ALL UNITS IN A HIGH OR HIGHEST RESOURCE AREA]]="Yes",10*CHSHTATbl[[#This Row],[MFD RURAL % OF FUNDING]],0)</f>
        <v>0</v>
      </c>
      <c r="BA39" s="665" cm="1">
        <f t="array" ref="BA39">INDEX(CountyScoresTbl[Community Need Total Points],ROW(CHSHTATbl[[#This Row],[COUNTY]])-2,1)*CHSHTATbl[[#This Row],[MFD RURAL % OF FUNDING]]</f>
        <v>0</v>
      </c>
      <c r="BB39" s="666" cm="1">
        <f t="array" ref="BB39">INDEX(CountyScoresTbl[SHTA Total Feasibility Points Awarded],ROW(CHSHTATbl[[#This Row],[COUNTY]])-2,1)*CHSHTATbl[[#This Row],[MFD RURAL % OF FUNDING]]</f>
        <v>0</v>
      </c>
      <c r="BC39" s="764"/>
      <c r="BD39" s="765">
        <f>IF(CHSHTATbl[[#This Row],[INFILL SITE]]="Yes",5,3)*CHSHTATbl[[#This Row],[UNRESTRICTED % OF FUNDING]]</f>
        <v>0</v>
      </c>
      <c r="BE39" s="694">
        <f>IF(CHSHTATbl[[#This Row],[INFILL SITE]]="Yes",5,3)*CHSHTATbl[[#This Row],[MANUFACTURED % OF FUNDING]]</f>
        <v>0</v>
      </c>
      <c r="BF39" s="694">
        <f>IF(CHSHTATbl[[#This Row],[INFILL SITE]]="Yes",5,3)*CHSHTATbl[[#This Row],[RURAL % OF FUNDING]]</f>
        <v>0</v>
      </c>
      <c r="BG39" s="694">
        <f>IF(CHSHTATbl[[#This Row],[INFILL SITE]]="Yes",5,3)*CHSHTATbl[[#This Row],[MFD RURAL % OF FUNDING]]</f>
        <v>0</v>
      </c>
    </row>
    <row r="40" spans="1:59" x14ac:dyDescent="0.35">
      <c r="A40" s="124"/>
      <c r="B40" s="179" t="s">
        <v>152</v>
      </c>
      <c r="C40" s="177" t="s">
        <v>513</v>
      </c>
      <c r="D40" s="183" t="str">
        <f>IF(CHSHTATbl[[#This Row],[UNRESTRICTED UNITS]]=0,"",CHSHTATbl[[#This Row],[UNRESTRICTED UNITS]])</f>
        <v/>
      </c>
      <c r="E40" s="184" t="str">
        <f xml:space="preserve">
IF(CHSHTATbl[[#This Row],[UNRESTRICTED TOTAL REQUESTED]]=0,"",
CHSHTATbl[[#This Row],[UNRESTRICTED TOTAL REQUESTED]]*
IF(CH_SHTA_UnrestrictedTotalRequested&lt;=500000,1,
500000/CH_SHTA_UnrestrictedTotalRequested)
)</f>
        <v/>
      </c>
      <c r="F40" s="185" t="str">
        <f>IF(CHSHTATbl[[#This Row],[UNRESTRICTED % OF FUNDING]]=0,"",CHSHTATbl[[#This Row],[UNRESTRICTED % OF FUNDING]])</f>
        <v/>
      </c>
      <c r="G40" s="177" t="s">
        <v>513</v>
      </c>
      <c r="H40" s="183" t="str">
        <f>IF(CHSHTATbl[[#This Row],[MANUFACTURED UNITS]]=0,"",CHSHTATbl[[#This Row],[MANUFACTURED UNITS]])</f>
        <v/>
      </c>
      <c r="I40" s="187" t="str">
        <f xml:space="preserve">
IF(CHSHTATbl[[#This Row],[MANUFACTURED TOTAL REQUESTED]]=0,"",
CHSHTATbl[[#This Row],[MANUFACTURED TOTAL REQUESTED]]*
IF(CH_SHTA_ManufacturedTotalRequested&lt;=(500000-E$61),1,
(500000-E$61)/CH_SHTA_ManufacturedTotalRequested)
)</f>
        <v/>
      </c>
      <c r="J40" s="185" t="str">
        <f>IF(CHSHTATbl[[#This Row],[MANUFACTURED % OF FUNDING]]=0,"",CHSHTATbl[[#This Row],[MANUFACTURED % OF FUNDING]])</f>
        <v/>
      </c>
      <c r="K40" s="177" t="s">
        <v>513</v>
      </c>
      <c r="L40" s="190" t="str">
        <f>IF(CHSHTATbl[[#This Row],[RURAL UNITS]]=0,"",CHSHTATbl[[#This Row],[RURAL UNITS]])</f>
        <v/>
      </c>
      <c r="M40" s="187" t="str">
        <f xml:space="preserve">
IF(CHSHTATbl[[#This Row],[RURAL TOTAL REQUESTED]]=0,"",
CHSHTATbl[[#This Row],[RURAL TOTAL REQUESTED]]*
IF(CH_SHTA_RuralTotalRequested&lt;=(500000-E$61-I$61),1,
(500000-E$61-I$61)/CH_SHTA_RuralTotalRequested)
)</f>
        <v/>
      </c>
      <c r="N40" s="191" t="str">
        <f>IF(CHSHTATbl[[#This Row],[RURAL % OF FUNDING]]=0,"",CHSHTATbl[[#This Row],[RURAL % OF FUNDING]])</f>
        <v/>
      </c>
      <c r="O40" s="177" t="s">
        <v>513</v>
      </c>
      <c r="P40" s="193" t="str">
        <f>IF(CHSHTATbl[[#This Row],[MFD RURAL UNITS]]=0,"",CHSHTATbl[[#This Row],[MFD RURAL UNITS]])</f>
        <v/>
      </c>
      <c r="Q40" s="187" t="str">
        <f xml:space="preserve">
IF(CHSHTATbl[[#This Row],[MFD RURAL TOTAL REQUESTED]]=0,"",
CHSHTATbl[[#This Row],[MFD RURAL TOTAL REQUESTED]]*
IF(CH_SHTA_MFDRuralTotalRequested&lt;=(500000-E$61-I$61-M$61),1,
(500000-E$61-I$61-M$61)/CH_SHTA_MFDRuralTotalRequested)
)</f>
        <v/>
      </c>
      <c r="R40" s="191" t="str">
        <f>IF(CHSHTATbl[[#This Row],[MFD RURAL % OF FUNDING]]=0,"",CHSHTATbl[[#This Row],[MFD RURAL % OF FUNDING]])</f>
        <v/>
      </c>
      <c r="S40" s="31"/>
      <c r="T40" s="196"/>
      <c r="U40" s="119"/>
      <c r="V40" s="197"/>
      <c r="W40" s="123"/>
      <c r="X40" s="161"/>
      <c r="Y40" s="198"/>
      <c r="Z40" s="74">
        <f t="shared" si="4"/>
        <v>0</v>
      </c>
      <c r="AA40" s="6">
        <f>IF(CHSHTATbl[[#This Row],[UNRESTRICTED TOTAL REQUESTED]]=0,0,CHSHTATbl[[#This Row],[UNRESTRICTED TOTAL REQUESTED]]/CH_SHTA_UnrestrictedTotalRequested)</f>
        <v>0</v>
      </c>
      <c r="AB40" s="752">
        <f>IF(CHSHTATbl[[#This Row],[ALL UNITS IN A HIGH OR HIGHEST RESOURCE AREA]]="Yes",10*CHSHTATbl[[#This Row],[UNRESTRICTED % OF FUNDING]],0)</f>
        <v>0</v>
      </c>
      <c r="AC40" s="752" cm="1">
        <f t="array" ref="AC40">INDEX(CountyScoresTbl[Community Need Total Points],ROW(CHSHTATbl[[#This Row],[COUNTY]])-2,1)*CHSHTATbl[[#This Row],[UNRESTRICTED % OF FUNDING]]</f>
        <v>0</v>
      </c>
      <c r="AD40" s="752" cm="1">
        <f t="array" ref="AD40">INDEX(CountyScoresTbl[SHTA Total Feasibility Points Awarded],ROW(CHSHTATbl[[#This Row],[COUNTY]])-2,1)*CHSHTATbl[[#This Row],[UNRESTRICTED % OF FUNDING]]</f>
        <v>0</v>
      </c>
      <c r="AE40" s="125"/>
      <c r="AF40" s="161"/>
      <c r="AG40" s="198"/>
      <c r="AH40" s="74">
        <f t="shared" si="5"/>
        <v>0</v>
      </c>
      <c r="AI40" s="9">
        <f>IF(CHSHTATbl[[#This Row],[MANUFACTURED TOTAL REQUESTED]]=0,0,CHSHTATbl[[#This Row],[MANUFACTURED TOTAL REQUESTED]]/CH_SHTA_ManufacturedTotalRequested)</f>
        <v>0</v>
      </c>
      <c r="AJ40" s="665">
        <f>IF(CHSHTATbl[[#This Row],[ALL UNITS IN A HIGH OR HIGHEST RESOURCE AREA]]="Yes",10*CHSHTATbl[[#This Row],[MANUFACTURED % OF FUNDING]],0)</f>
        <v>0</v>
      </c>
      <c r="AK40" s="665" cm="1">
        <f t="array" ref="AK40">INDEX(CountyScoresTbl[Community Need Total Points],ROW(CHSHTATbl[[#This Row],[COUNTY]])-2,1)*CHSHTATbl[[#This Row],[MANUFACTURED % OF FUNDING]]</f>
        <v>0</v>
      </c>
      <c r="AL40" s="666" cm="1">
        <f t="array" ref="AL40">INDEX(CountyScoresTbl[SHTA Total Feasibility Points Awarded],ROW(CHSHTATbl[[#This Row],[COUNTY]])-2,1)*CHSHTATbl[[#This Row],[MANUFACTURED % OF FUNDING]]</f>
        <v>0</v>
      </c>
      <c r="AM40" s="123"/>
      <c r="AN40" s="161"/>
      <c r="AO40" s="198"/>
      <c r="AP40" s="74">
        <f t="shared" si="6"/>
        <v>0</v>
      </c>
      <c r="AQ40" s="6">
        <f>IF(CHSHTATbl[[#This Row],[RURAL TOTAL REQUESTED]]=0,0,CHSHTATbl[[#This Row],[RURAL TOTAL REQUESTED]]/CH_SHTA_RuralTotalRequested)</f>
        <v>0</v>
      </c>
      <c r="AR40" s="665">
        <f>IF(CHSHTATbl[[#This Row],[ALL UNITS IN A HIGH OR HIGHEST RESOURCE AREA]]="Yes",10*CHSHTATbl[[#This Row],[RURAL % OF FUNDING]],0)</f>
        <v>0</v>
      </c>
      <c r="AS40" s="665" cm="1">
        <f t="array" ref="AS40">INDEX(CountyScoresTbl[Community Need Total Points],ROW(CHSHTATbl[[#This Row],[COUNTY]])-2,1)*CHSHTATbl[[#This Row],[RURAL % OF FUNDING]]</f>
        <v>0</v>
      </c>
      <c r="AT40" s="666" cm="1">
        <f t="array" ref="AT40">INDEX(CountyScoresTbl[SHTA Total Feasibility Points Awarded],ROW(CHSHTATbl[[#This Row],[COUNTY]])-2,1)*CHSHTATbl[[#This Row],[RURAL % OF FUNDING]]</f>
        <v>0</v>
      </c>
      <c r="AU40" s="123"/>
      <c r="AV40" s="161"/>
      <c r="AW40" s="198"/>
      <c r="AX40" s="74">
        <f t="shared" si="7"/>
        <v>0</v>
      </c>
      <c r="AY40" s="6">
        <f>IF(CHSHTATbl[[#This Row],[MFD RURAL TOTAL REQUESTED]]=0,0,CHSHTATbl[[#This Row],[MFD RURAL TOTAL REQUESTED]]/CH_SHTA_MFDRuralTotalRequested)</f>
        <v>0</v>
      </c>
      <c r="AZ40" s="665">
        <f>IF(CHSHTATbl[[#This Row],[ALL UNITS IN A HIGH OR HIGHEST RESOURCE AREA]]="Yes",10*CHSHTATbl[[#This Row],[MFD RURAL % OF FUNDING]],0)</f>
        <v>0</v>
      </c>
      <c r="BA40" s="665" cm="1">
        <f t="array" ref="BA40">INDEX(CountyScoresTbl[Community Need Total Points],ROW(CHSHTATbl[[#This Row],[COUNTY]])-2,1)*CHSHTATbl[[#This Row],[MFD RURAL % OF FUNDING]]</f>
        <v>0</v>
      </c>
      <c r="BB40" s="666" cm="1">
        <f t="array" ref="BB40">INDEX(CountyScoresTbl[SHTA Total Feasibility Points Awarded],ROW(CHSHTATbl[[#This Row],[COUNTY]])-2,1)*CHSHTATbl[[#This Row],[MFD RURAL % OF FUNDING]]</f>
        <v>0</v>
      </c>
      <c r="BC40" s="764"/>
      <c r="BD40" s="765">
        <f>IF(CHSHTATbl[[#This Row],[INFILL SITE]]="Yes",5,3)*CHSHTATbl[[#This Row],[UNRESTRICTED % OF FUNDING]]</f>
        <v>0</v>
      </c>
      <c r="BE40" s="694">
        <f>IF(CHSHTATbl[[#This Row],[INFILL SITE]]="Yes",5,3)*CHSHTATbl[[#This Row],[MANUFACTURED % OF FUNDING]]</f>
        <v>0</v>
      </c>
      <c r="BF40" s="694">
        <f>IF(CHSHTATbl[[#This Row],[INFILL SITE]]="Yes",5,3)*CHSHTATbl[[#This Row],[RURAL % OF FUNDING]]</f>
        <v>0</v>
      </c>
      <c r="BG40" s="694">
        <f>IF(CHSHTATbl[[#This Row],[INFILL SITE]]="Yes",5,3)*CHSHTATbl[[#This Row],[MFD RURAL % OF FUNDING]]</f>
        <v>0</v>
      </c>
    </row>
    <row r="41" spans="1:59" x14ac:dyDescent="0.35">
      <c r="A41" s="124"/>
      <c r="B41" s="179" t="s">
        <v>153</v>
      </c>
      <c r="C41" s="177" t="s">
        <v>513</v>
      </c>
      <c r="D41" s="183" t="str">
        <f>IF(CHSHTATbl[[#This Row],[UNRESTRICTED UNITS]]=0,"",CHSHTATbl[[#This Row],[UNRESTRICTED UNITS]])</f>
        <v/>
      </c>
      <c r="E41" s="184" t="str">
        <f xml:space="preserve">
IF(CHSHTATbl[[#This Row],[UNRESTRICTED TOTAL REQUESTED]]=0,"",
CHSHTATbl[[#This Row],[UNRESTRICTED TOTAL REQUESTED]]*
IF(CH_SHTA_UnrestrictedTotalRequested&lt;=500000,1,
500000/CH_SHTA_UnrestrictedTotalRequested)
)</f>
        <v/>
      </c>
      <c r="F41" s="185" t="str">
        <f>IF(CHSHTATbl[[#This Row],[UNRESTRICTED % OF FUNDING]]=0,"",CHSHTATbl[[#This Row],[UNRESTRICTED % OF FUNDING]])</f>
        <v/>
      </c>
      <c r="G41" s="177" t="s">
        <v>513</v>
      </c>
      <c r="H41" s="183" t="str">
        <f>IF(CHSHTATbl[[#This Row],[MANUFACTURED UNITS]]=0,"",CHSHTATbl[[#This Row],[MANUFACTURED UNITS]])</f>
        <v/>
      </c>
      <c r="I41" s="187" t="str">
        <f xml:space="preserve">
IF(CHSHTATbl[[#This Row],[MANUFACTURED TOTAL REQUESTED]]=0,"",
CHSHTATbl[[#This Row],[MANUFACTURED TOTAL REQUESTED]]*
IF(CH_SHTA_ManufacturedTotalRequested&lt;=(500000-E$61),1,
(500000-E$61)/CH_SHTA_ManufacturedTotalRequested)
)</f>
        <v/>
      </c>
      <c r="J41" s="185" t="str">
        <f>IF(CHSHTATbl[[#This Row],[MANUFACTURED % OF FUNDING]]=0,"",CHSHTATbl[[#This Row],[MANUFACTURED % OF FUNDING]])</f>
        <v/>
      </c>
      <c r="K41" s="177" t="s">
        <v>513</v>
      </c>
      <c r="L41" s="190" t="str">
        <f>IF(CHSHTATbl[[#This Row],[RURAL UNITS]]=0,"",CHSHTATbl[[#This Row],[RURAL UNITS]])</f>
        <v/>
      </c>
      <c r="M41" s="187" t="str">
        <f xml:space="preserve">
IF(CHSHTATbl[[#This Row],[RURAL TOTAL REQUESTED]]=0,"",
CHSHTATbl[[#This Row],[RURAL TOTAL REQUESTED]]*
IF(CH_SHTA_RuralTotalRequested&lt;=(500000-E$61-I$61),1,
(500000-E$61-I$61)/CH_SHTA_RuralTotalRequested)
)</f>
        <v/>
      </c>
      <c r="N41" s="191" t="str">
        <f>IF(CHSHTATbl[[#This Row],[RURAL % OF FUNDING]]=0,"",CHSHTATbl[[#This Row],[RURAL % OF FUNDING]])</f>
        <v/>
      </c>
      <c r="O41" s="177" t="s">
        <v>513</v>
      </c>
      <c r="P41" s="193" t="str">
        <f>IF(CHSHTATbl[[#This Row],[MFD RURAL UNITS]]=0,"",CHSHTATbl[[#This Row],[MFD RURAL UNITS]])</f>
        <v/>
      </c>
      <c r="Q41" s="187" t="str">
        <f xml:space="preserve">
IF(CHSHTATbl[[#This Row],[MFD RURAL TOTAL REQUESTED]]=0,"",
CHSHTATbl[[#This Row],[MFD RURAL TOTAL REQUESTED]]*
IF(CH_SHTA_MFDRuralTotalRequested&lt;=(500000-E$61-I$61-M$61),1,
(500000-E$61-I$61-M$61)/CH_SHTA_MFDRuralTotalRequested)
)</f>
        <v/>
      </c>
      <c r="R41" s="191" t="str">
        <f>IF(CHSHTATbl[[#This Row],[MFD RURAL % OF FUNDING]]=0,"",CHSHTATbl[[#This Row],[MFD RURAL % OF FUNDING]])</f>
        <v/>
      </c>
      <c r="S41" s="31"/>
      <c r="T41" s="196"/>
      <c r="U41" s="119"/>
      <c r="V41" s="197"/>
      <c r="W41" s="123"/>
      <c r="X41" s="161"/>
      <c r="Y41" s="198"/>
      <c r="Z41" s="74">
        <f t="shared" si="4"/>
        <v>0</v>
      </c>
      <c r="AA41" s="6">
        <f>IF(CHSHTATbl[[#This Row],[UNRESTRICTED TOTAL REQUESTED]]=0,0,CHSHTATbl[[#This Row],[UNRESTRICTED TOTAL REQUESTED]]/CH_SHTA_UnrestrictedTotalRequested)</f>
        <v>0</v>
      </c>
      <c r="AB41" s="752">
        <f>IF(CHSHTATbl[[#This Row],[ALL UNITS IN A HIGH OR HIGHEST RESOURCE AREA]]="Yes",10*CHSHTATbl[[#This Row],[UNRESTRICTED % OF FUNDING]],0)</f>
        <v>0</v>
      </c>
      <c r="AC41" s="752" cm="1">
        <f t="array" ref="AC41">INDEX(CountyScoresTbl[Community Need Total Points],ROW(CHSHTATbl[[#This Row],[COUNTY]])-2,1)*CHSHTATbl[[#This Row],[UNRESTRICTED % OF FUNDING]]</f>
        <v>0</v>
      </c>
      <c r="AD41" s="752" cm="1">
        <f t="array" ref="AD41">INDEX(CountyScoresTbl[SHTA Total Feasibility Points Awarded],ROW(CHSHTATbl[[#This Row],[COUNTY]])-2,1)*CHSHTATbl[[#This Row],[UNRESTRICTED % OF FUNDING]]</f>
        <v>0</v>
      </c>
      <c r="AE41" s="125"/>
      <c r="AF41" s="161"/>
      <c r="AG41" s="198"/>
      <c r="AH41" s="74">
        <f t="shared" si="5"/>
        <v>0</v>
      </c>
      <c r="AI41" s="9">
        <f>IF(CHSHTATbl[[#This Row],[MANUFACTURED TOTAL REQUESTED]]=0,0,CHSHTATbl[[#This Row],[MANUFACTURED TOTAL REQUESTED]]/CH_SHTA_ManufacturedTotalRequested)</f>
        <v>0</v>
      </c>
      <c r="AJ41" s="665">
        <f>IF(CHSHTATbl[[#This Row],[ALL UNITS IN A HIGH OR HIGHEST RESOURCE AREA]]="Yes",10*CHSHTATbl[[#This Row],[MANUFACTURED % OF FUNDING]],0)</f>
        <v>0</v>
      </c>
      <c r="AK41" s="665" cm="1">
        <f t="array" ref="AK41">INDEX(CountyScoresTbl[Community Need Total Points],ROW(CHSHTATbl[[#This Row],[COUNTY]])-2,1)*CHSHTATbl[[#This Row],[MANUFACTURED % OF FUNDING]]</f>
        <v>0</v>
      </c>
      <c r="AL41" s="666" cm="1">
        <f t="array" ref="AL41">INDEX(CountyScoresTbl[SHTA Total Feasibility Points Awarded],ROW(CHSHTATbl[[#This Row],[COUNTY]])-2,1)*CHSHTATbl[[#This Row],[MANUFACTURED % OF FUNDING]]</f>
        <v>0</v>
      </c>
      <c r="AM41" s="123"/>
      <c r="AN41" s="161"/>
      <c r="AO41" s="198"/>
      <c r="AP41" s="74">
        <f t="shared" si="6"/>
        <v>0</v>
      </c>
      <c r="AQ41" s="6">
        <f>IF(CHSHTATbl[[#This Row],[RURAL TOTAL REQUESTED]]=0,0,CHSHTATbl[[#This Row],[RURAL TOTAL REQUESTED]]/CH_SHTA_RuralTotalRequested)</f>
        <v>0</v>
      </c>
      <c r="AR41" s="665">
        <f>IF(CHSHTATbl[[#This Row],[ALL UNITS IN A HIGH OR HIGHEST RESOURCE AREA]]="Yes",10*CHSHTATbl[[#This Row],[RURAL % OF FUNDING]],0)</f>
        <v>0</v>
      </c>
      <c r="AS41" s="665" cm="1">
        <f t="array" ref="AS41">INDEX(CountyScoresTbl[Community Need Total Points],ROW(CHSHTATbl[[#This Row],[COUNTY]])-2,1)*CHSHTATbl[[#This Row],[RURAL % OF FUNDING]]</f>
        <v>0</v>
      </c>
      <c r="AT41" s="666" cm="1">
        <f t="array" ref="AT41">INDEX(CountyScoresTbl[SHTA Total Feasibility Points Awarded],ROW(CHSHTATbl[[#This Row],[COUNTY]])-2,1)*CHSHTATbl[[#This Row],[RURAL % OF FUNDING]]</f>
        <v>0</v>
      </c>
      <c r="AU41" s="123"/>
      <c r="AV41" s="161"/>
      <c r="AW41" s="198"/>
      <c r="AX41" s="74">
        <f t="shared" si="7"/>
        <v>0</v>
      </c>
      <c r="AY41" s="6">
        <f>IF(CHSHTATbl[[#This Row],[MFD RURAL TOTAL REQUESTED]]=0,0,CHSHTATbl[[#This Row],[MFD RURAL TOTAL REQUESTED]]/CH_SHTA_MFDRuralTotalRequested)</f>
        <v>0</v>
      </c>
      <c r="AZ41" s="665">
        <f>IF(CHSHTATbl[[#This Row],[ALL UNITS IN A HIGH OR HIGHEST RESOURCE AREA]]="Yes",10*CHSHTATbl[[#This Row],[MFD RURAL % OF FUNDING]],0)</f>
        <v>0</v>
      </c>
      <c r="BA41" s="665" cm="1">
        <f t="array" ref="BA41">INDEX(CountyScoresTbl[Community Need Total Points],ROW(CHSHTATbl[[#This Row],[COUNTY]])-2,1)*CHSHTATbl[[#This Row],[MFD RURAL % OF FUNDING]]</f>
        <v>0</v>
      </c>
      <c r="BB41" s="666" cm="1">
        <f t="array" ref="BB41">INDEX(CountyScoresTbl[SHTA Total Feasibility Points Awarded],ROW(CHSHTATbl[[#This Row],[COUNTY]])-2,1)*CHSHTATbl[[#This Row],[MFD RURAL % OF FUNDING]]</f>
        <v>0</v>
      </c>
      <c r="BC41" s="764"/>
      <c r="BD41" s="765">
        <f>IF(CHSHTATbl[[#This Row],[INFILL SITE]]="Yes",5,3)*CHSHTATbl[[#This Row],[UNRESTRICTED % OF FUNDING]]</f>
        <v>0</v>
      </c>
      <c r="BE41" s="694">
        <f>IF(CHSHTATbl[[#This Row],[INFILL SITE]]="Yes",5,3)*CHSHTATbl[[#This Row],[MANUFACTURED % OF FUNDING]]</f>
        <v>0</v>
      </c>
      <c r="BF41" s="694">
        <f>IF(CHSHTATbl[[#This Row],[INFILL SITE]]="Yes",5,3)*CHSHTATbl[[#This Row],[RURAL % OF FUNDING]]</f>
        <v>0</v>
      </c>
      <c r="BG41" s="694">
        <f>IF(CHSHTATbl[[#This Row],[INFILL SITE]]="Yes",5,3)*CHSHTATbl[[#This Row],[MFD RURAL % OF FUNDING]]</f>
        <v>0</v>
      </c>
    </row>
    <row r="42" spans="1:59" x14ac:dyDescent="0.35">
      <c r="A42" s="124"/>
      <c r="B42" s="179" t="s">
        <v>154</v>
      </c>
      <c r="C42" s="177" t="s">
        <v>513</v>
      </c>
      <c r="D42" s="183" t="str">
        <f>IF(CHSHTATbl[[#This Row],[UNRESTRICTED UNITS]]=0,"",CHSHTATbl[[#This Row],[UNRESTRICTED UNITS]])</f>
        <v/>
      </c>
      <c r="E42" s="184" t="str">
        <f xml:space="preserve">
IF(CHSHTATbl[[#This Row],[UNRESTRICTED TOTAL REQUESTED]]=0,"",
CHSHTATbl[[#This Row],[UNRESTRICTED TOTAL REQUESTED]]*
IF(CH_SHTA_UnrestrictedTotalRequested&lt;=500000,1,
500000/CH_SHTA_UnrestrictedTotalRequested)
)</f>
        <v/>
      </c>
      <c r="F42" s="185" t="str">
        <f>IF(CHSHTATbl[[#This Row],[UNRESTRICTED % OF FUNDING]]=0,"",CHSHTATbl[[#This Row],[UNRESTRICTED % OF FUNDING]])</f>
        <v/>
      </c>
      <c r="G42" s="177" t="s">
        <v>513</v>
      </c>
      <c r="H42" s="183" t="str">
        <f>IF(CHSHTATbl[[#This Row],[MANUFACTURED UNITS]]=0,"",CHSHTATbl[[#This Row],[MANUFACTURED UNITS]])</f>
        <v/>
      </c>
      <c r="I42" s="187" t="str">
        <f xml:space="preserve">
IF(CHSHTATbl[[#This Row],[MANUFACTURED TOTAL REQUESTED]]=0,"",
CHSHTATbl[[#This Row],[MANUFACTURED TOTAL REQUESTED]]*
IF(CH_SHTA_ManufacturedTotalRequested&lt;=(500000-E$61),1,
(500000-E$61)/CH_SHTA_ManufacturedTotalRequested)
)</f>
        <v/>
      </c>
      <c r="J42" s="185" t="str">
        <f>IF(CHSHTATbl[[#This Row],[MANUFACTURED % OF FUNDING]]=0,"",CHSHTATbl[[#This Row],[MANUFACTURED % OF FUNDING]])</f>
        <v/>
      </c>
      <c r="K42" s="177" t="s">
        <v>513</v>
      </c>
      <c r="L42" s="190" t="str">
        <f>IF(CHSHTATbl[[#This Row],[RURAL UNITS]]=0,"",CHSHTATbl[[#This Row],[RURAL UNITS]])</f>
        <v/>
      </c>
      <c r="M42" s="187" t="str">
        <f xml:space="preserve">
IF(CHSHTATbl[[#This Row],[RURAL TOTAL REQUESTED]]=0,"",
CHSHTATbl[[#This Row],[RURAL TOTAL REQUESTED]]*
IF(CH_SHTA_RuralTotalRequested&lt;=(500000-E$61-I$61),1,
(500000-E$61-I$61)/CH_SHTA_RuralTotalRequested)
)</f>
        <v/>
      </c>
      <c r="N42" s="191" t="str">
        <f>IF(CHSHTATbl[[#This Row],[RURAL % OF FUNDING]]=0,"",CHSHTATbl[[#This Row],[RURAL % OF FUNDING]])</f>
        <v/>
      </c>
      <c r="O42" s="177" t="s">
        <v>513</v>
      </c>
      <c r="P42" s="193" t="str">
        <f>IF(CHSHTATbl[[#This Row],[MFD RURAL UNITS]]=0,"",CHSHTATbl[[#This Row],[MFD RURAL UNITS]])</f>
        <v/>
      </c>
      <c r="Q42" s="187" t="str">
        <f xml:space="preserve">
IF(CHSHTATbl[[#This Row],[MFD RURAL TOTAL REQUESTED]]=0,"",
CHSHTATbl[[#This Row],[MFD RURAL TOTAL REQUESTED]]*
IF(CH_SHTA_MFDRuralTotalRequested&lt;=(500000-E$61-I$61-M$61),1,
(500000-E$61-I$61-M$61)/CH_SHTA_MFDRuralTotalRequested)
)</f>
        <v/>
      </c>
      <c r="R42" s="191" t="str">
        <f>IF(CHSHTATbl[[#This Row],[MFD RURAL % OF FUNDING]]=0,"",CHSHTATbl[[#This Row],[MFD RURAL % OF FUNDING]])</f>
        <v/>
      </c>
      <c r="S42" s="31"/>
      <c r="T42" s="196"/>
      <c r="U42" s="119"/>
      <c r="V42" s="197"/>
      <c r="W42" s="123"/>
      <c r="X42" s="161"/>
      <c r="Y42" s="198"/>
      <c r="Z42" s="74">
        <f t="shared" si="4"/>
        <v>0</v>
      </c>
      <c r="AA42" s="6">
        <f>IF(CHSHTATbl[[#This Row],[UNRESTRICTED TOTAL REQUESTED]]=0,0,CHSHTATbl[[#This Row],[UNRESTRICTED TOTAL REQUESTED]]/CH_SHTA_UnrestrictedTotalRequested)</f>
        <v>0</v>
      </c>
      <c r="AB42" s="752">
        <f>IF(CHSHTATbl[[#This Row],[ALL UNITS IN A HIGH OR HIGHEST RESOURCE AREA]]="Yes",10*CHSHTATbl[[#This Row],[UNRESTRICTED % OF FUNDING]],0)</f>
        <v>0</v>
      </c>
      <c r="AC42" s="752" cm="1">
        <f t="array" ref="AC42">INDEX(CountyScoresTbl[Community Need Total Points],ROW(CHSHTATbl[[#This Row],[COUNTY]])-2,1)*CHSHTATbl[[#This Row],[UNRESTRICTED % OF FUNDING]]</f>
        <v>0</v>
      </c>
      <c r="AD42" s="752" cm="1">
        <f t="array" ref="AD42">INDEX(CountyScoresTbl[SHTA Total Feasibility Points Awarded],ROW(CHSHTATbl[[#This Row],[COUNTY]])-2,1)*CHSHTATbl[[#This Row],[UNRESTRICTED % OF FUNDING]]</f>
        <v>0</v>
      </c>
      <c r="AE42" s="125"/>
      <c r="AF42" s="161"/>
      <c r="AG42" s="198"/>
      <c r="AH42" s="74">
        <f t="shared" si="5"/>
        <v>0</v>
      </c>
      <c r="AI42" s="9">
        <f>IF(CHSHTATbl[[#This Row],[MANUFACTURED TOTAL REQUESTED]]=0,0,CHSHTATbl[[#This Row],[MANUFACTURED TOTAL REQUESTED]]/CH_SHTA_ManufacturedTotalRequested)</f>
        <v>0</v>
      </c>
      <c r="AJ42" s="665">
        <f>IF(CHSHTATbl[[#This Row],[ALL UNITS IN A HIGH OR HIGHEST RESOURCE AREA]]="Yes",10*CHSHTATbl[[#This Row],[MANUFACTURED % OF FUNDING]],0)</f>
        <v>0</v>
      </c>
      <c r="AK42" s="665" cm="1">
        <f t="array" ref="AK42">INDEX(CountyScoresTbl[Community Need Total Points],ROW(CHSHTATbl[[#This Row],[COUNTY]])-2,1)*CHSHTATbl[[#This Row],[MANUFACTURED % OF FUNDING]]</f>
        <v>0</v>
      </c>
      <c r="AL42" s="666" cm="1">
        <f t="array" ref="AL42">INDEX(CountyScoresTbl[SHTA Total Feasibility Points Awarded],ROW(CHSHTATbl[[#This Row],[COUNTY]])-2,1)*CHSHTATbl[[#This Row],[MANUFACTURED % OF FUNDING]]</f>
        <v>0</v>
      </c>
      <c r="AM42" s="123"/>
      <c r="AN42" s="161"/>
      <c r="AO42" s="198"/>
      <c r="AP42" s="74">
        <f t="shared" si="6"/>
        <v>0</v>
      </c>
      <c r="AQ42" s="6">
        <f>IF(CHSHTATbl[[#This Row],[RURAL TOTAL REQUESTED]]=0,0,CHSHTATbl[[#This Row],[RURAL TOTAL REQUESTED]]/CH_SHTA_RuralTotalRequested)</f>
        <v>0</v>
      </c>
      <c r="AR42" s="665">
        <f>IF(CHSHTATbl[[#This Row],[ALL UNITS IN A HIGH OR HIGHEST RESOURCE AREA]]="Yes",10*CHSHTATbl[[#This Row],[RURAL % OF FUNDING]],0)</f>
        <v>0</v>
      </c>
      <c r="AS42" s="665" cm="1">
        <f t="array" ref="AS42">INDEX(CountyScoresTbl[Community Need Total Points],ROW(CHSHTATbl[[#This Row],[COUNTY]])-2,1)*CHSHTATbl[[#This Row],[RURAL % OF FUNDING]]</f>
        <v>0</v>
      </c>
      <c r="AT42" s="666" cm="1">
        <f t="array" ref="AT42">INDEX(CountyScoresTbl[SHTA Total Feasibility Points Awarded],ROW(CHSHTATbl[[#This Row],[COUNTY]])-2,1)*CHSHTATbl[[#This Row],[RURAL % OF FUNDING]]</f>
        <v>0</v>
      </c>
      <c r="AU42" s="123"/>
      <c r="AV42" s="161"/>
      <c r="AW42" s="198"/>
      <c r="AX42" s="74">
        <f t="shared" si="7"/>
        <v>0</v>
      </c>
      <c r="AY42" s="6">
        <f>IF(CHSHTATbl[[#This Row],[MFD RURAL TOTAL REQUESTED]]=0,0,CHSHTATbl[[#This Row],[MFD RURAL TOTAL REQUESTED]]/CH_SHTA_MFDRuralTotalRequested)</f>
        <v>0</v>
      </c>
      <c r="AZ42" s="665">
        <f>IF(CHSHTATbl[[#This Row],[ALL UNITS IN A HIGH OR HIGHEST RESOURCE AREA]]="Yes",10*CHSHTATbl[[#This Row],[MFD RURAL % OF FUNDING]],0)</f>
        <v>0</v>
      </c>
      <c r="BA42" s="665" cm="1">
        <f t="array" ref="BA42">INDEX(CountyScoresTbl[Community Need Total Points],ROW(CHSHTATbl[[#This Row],[COUNTY]])-2,1)*CHSHTATbl[[#This Row],[MFD RURAL % OF FUNDING]]</f>
        <v>0</v>
      </c>
      <c r="BB42" s="666" cm="1">
        <f t="array" ref="BB42">INDEX(CountyScoresTbl[SHTA Total Feasibility Points Awarded],ROW(CHSHTATbl[[#This Row],[COUNTY]])-2,1)*CHSHTATbl[[#This Row],[MFD RURAL % OF FUNDING]]</f>
        <v>0</v>
      </c>
      <c r="BC42" s="764"/>
      <c r="BD42" s="765">
        <f>IF(CHSHTATbl[[#This Row],[INFILL SITE]]="Yes",5,3)*CHSHTATbl[[#This Row],[UNRESTRICTED % OF FUNDING]]</f>
        <v>0</v>
      </c>
      <c r="BE42" s="694">
        <f>IF(CHSHTATbl[[#This Row],[INFILL SITE]]="Yes",5,3)*CHSHTATbl[[#This Row],[MANUFACTURED % OF FUNDING]]</f>
        <v>0</v>
      </c>
      <c r="BF42" s="694">
        <f>IF(CHSHTATbl[[#This Row],[INFILL SITE]]="Yes",5,3)*CHSHTATbl[[#This Row],[RURAL % OF FUNDING]]</f>
        <v>0</v>
      </c>
      <c r="BG42" s="694">
        <f>IF(CHSHTATbl[[#This Row],[INFILL SITE]]="Yes",5,3)*CHSHTATbl[[#This Row],[MFD RURAL % OF FUNDING]]</f>
        <v>0</v>
      </c>
    </row>
    <row r="43" spans="1:59" x14ac:dyDescent="0.35">
      <c r="A43" s="124"/>
      <c r="B43" s="179" t="s">
        <v>155</v>
      </c>
      <c r="C43" s="177" t="s">
        <v>513</v>
      </c>
      <c r="D43" s="183" t="str">
        <f>IF(CHSHTATbl[[#This Row],[UNRESTRICTED UNITS]]=0,"",CHSHTATbl[[#This Row],[UNRESTRICTED UNITS]])</f>
        <v/>
      </c>
      <c r="E43" s="184" t="str">
        <f xml:space="preserve">
IF(CHSHTATbl[[#This Row],[UNRESTRICTED TOTAL REQUESTED]]=0,"",
CHSHTATbl[[#This Row],[UNRESTRICTED TOTAL REQUESTED]]*
IF(CH_SHTA_UnrestrictedTotalRequested&lt;=500000,1,
500000/CH_SHTA_UnrestrictedTotalRequested)
)</f>
        <v/>
      </c>
      <c r="F43" s="185" t="str">
        <f>IF(CHSHTATbl[[#This Row],[UNRESTRICTED % OF FUNDING]]=0,"",CHSHTATbl[[#This Row],[UNRESTRICTED % OF FUNDING]])</f>
        <v/>
      </c>
      <c r="G43" s="177" t="s">
        <v>513</v>
      </c>
      <c r="H43" s="183" t="str">
        <f>IF(CHSHTATbl[[#This Row],[MANUFACTURED UNITS]]=0,"",CHSHTATbl[[#This Row],[MANUFACTURED UNITS]])</f>
        <v/>
      </c>
      <c r="I43" s="187" t="str">
        <f xml:space="preserve">
IF(CHSHTATbl[[#This Row],[MANUFACTURED TOTAL REQUESTED]]=0,"",
CHSHTATbl[[#This Row],[MANUFACTURED TOTAL REQUESTED]]*
IF(CH_SHTA_ManufacturedTotalRequested&lt;=(500000-E$61),1,
(500000-E$61)/CH_SHTA_ManufacturedTotalRequested)
)</f>
        <v/>
      </c>
      <c r="J43" s="185" t="str">
        <f>IF(CHSHTATbl[[#This Row],[MANUFACTURED % OF FUNDING]]=0,"",CHSHTATbl[[#This Row],[MANUFACTURED % OF FUNDING]])</f>
        <v/>
      </c>
      <c r="K43" s="177" t="s">
        <v>513</v>
      </c>
      <c r="L43" s="190" t="str">
        <f>IF(CHSHTATbl[[#This Row],[RURAL UNITS]]=0,"",CHSHTATbl[[#This Row],[RURAL UNITS]])</f>
        <v/>
      </c>
      <c r="M43" s="187" t="str">
        <f xml:space="preserve">
IF(CHSHTATbl[[#This Row],[RURAL TOTAL REQUESTED]]=0,"",
CHSHTATbl[[#This Row],[RURAL TOTAL REQUESTED]]*
IF(CH_SHTA_RuralTotalRequested&lt;=(500000-E$61-I$61),1,
(500000-E$61-I$61)/CH_SHTA_RuralTotalRequested)
)</f>
        <v/>
      </c>
      <c r="N43" s="191" t="str">
        <f>IF(CHSHTATbl[[#This Row],[RURAL % OF FUNDING]]=0,"",CHSHTATbl[[#This Row],[RURAL % OF FUNDING]])</f>
        <v/>
      </c>
      <c r="O43" s="177" t="s">
        <v>513</v>
      </c>
      <c r="P43" s="193" t="str">
        <f>IF(CHSHTATbl[[#This Row],[MFD RURAL UNITS]]=0,"",CHSHTATbl[[#This Row],[MFD RURAL UNITS]])</f>
        <v/>
      </c>
      <c r="Q43" s="187" t="str">
        <f xml:space="preserve">
IF(CHSHTATbl[[#This Row],[MFD RURAL TOTAL REQUESTED]]=0,"",
CHSHTATbl[[#This Row],[MFD RURAL TOTAL REQUESTED]]*
IF(CH_SHTA_MFDRuralTotalRequested&lt;=(500000-E$61-I$61-M$61),1,
(500000-E$61-I$61-M$61)/CH_SHTA_MFDRuralTotalRequested)
)</f>
        <v/>
      </c>
      <c r="R43" s="191" t="str">
        <f>IF(CHSHTATbl[[#This Row],[MFD RURAL % OF FUNDING]]=0,"",CHSHTATbl[[#This Row],[MFD RURAL % OF FUNDING]])</f>
        <v/>
      </c>
      <c r="S43" s="31"/>
      <c r="T43" s="196"/>
      <c r="U43" s="119"/>
      <c r="V43" s="197"/>
      <c r="W43" s="123"/>
      <c r="X43" s="161"/>
      <c r="Y43" s="198"/>
      <c r="Z43" s="74">
        <f t="shared" si="4"/>
        <v>0</v>
      </c>
      <c r="AA43" s="6">
        <f>IF(CHSHTATbl[[#This Row],[UNRESTRICTED TOTAL REQUESTED]]=0,0,CHSHTATbl[[#This Row],[UNRESTRICTED TOTAL REQUESTED]]/CH_SHTA_UnrestrictedTotalRequested)</f>
        <v>0</v>
      </c>
      <c r="AB43" s="752">
        <f>IF(CHSHTATbl[[#This Row],[ALL UNITS IN A HIGH OR HIGHEST RESOURCE AREA]]="Yes",10*CHSHTATbl[[#This Row],[UNRESTRICTED % OF FUNDING]],0)</f>
        <v>0</v>
      </c>
      <c r="AC43" s="752" cm="1">
        <f t="array" ref="AC43">INDEX(CountyScoresTbl[Community Need Total Points],ROW(CHSHTATbl[[#This Row],[COUNTY]])-2,1)*CHSHTATbl[[#This Row],[UNRESTRICTED % OF FUNDING]]</f>
        <v>0</v>
      </c>
      <c r="AD43" s="752" cm="1">
        <f t="array" ref="AD43">INDEX(CountyScoresTbl[SHTA Total Feasibility Points Awarded],ROW(CHSHTATbl[[#This Row],[COUNTY]])-2,1)*CHSHTATbl[[#This Row],[UNRESTRICTED % OF FUNDING]]</f>
        <v>0</v>
      </c>
      <c r="AE43" s="125"/>
      <c r="AF43" s="161"/>
      <c r="AG43" s="198"/>
      <c r="AH43" s="74">
        <f t="shared" si="5"/>
        <v>0</v>
      </c>
      <c r="AI43" s="9">
        <f>IF(CHSHTATbl[[#This Row],[MANUFACTURED TOTAL REQUESTED]]=0,0,CHSHTATbl[[#This Row],[MANUFACTURED TOTAL REQUESTED]]/CH_SHTA_ManufacturedTotalRequested)</f>
        <v>0</v>
      </c>
      <c r="AJ43" s="665">
        <f>IF(CHSHTATbl[[#This Row],[ALL UNITS IN A HIGH OR HIGHEST RESOURCE AREA]]="Yes",10*CHSHTATbl[[#This Row],[MANUFACTURED % OF FUNDING]],0)</f>
        <v>0</v>
      </c>
      <c r="AK43" s="665" cm="1">
        <f t="array" ref="AK43">INDEX(CountyScoresTbl[Community Need Total Points],ROW(CHSHTATbl[[#This Row],[COUNTY]])-2,1)*CHSHTATbl[[#This Row],[MANUFACTURED % OF FUNDING]]</f>
        <v>0</v>
      </c>
      <c r="AL43" s="666" cm="1">
        <f t="array" ref="AL43">INDEX(CountyScoresTbl[SHTA Total Feasibility Points Awarded],ROW(CHSHTATbl[[#This Row],[COUNTY]])-2,1)*CHSHTATbl[[#This Row],[MANUFACTURED % OF FUNDING]]</f>
        <v>0</v>
      </c>
      <c r="AM43" s="123"/>
      <c r="AN43" s="161"/>
      <c r="AO43" s="198"/>
      <c r="AP43" s="74">
        <f t="shared" si="6"/>
        <v>0</v>
      </c>
      <c r="AQ43" s="6">
        <f>IF(CHSHTATbl[[#This Row],[RURAL TOTAL REQUESTED]]=0,0,CHSHTATbl[[#This Row],[RURAL TOTAL REQUESTED]]/CH_SHTA_RuralTotalRequested)</f>
        <v>0</v>
      </c>
      <c r="AR43" s="665">
        <f>IF(CHSHTATbl[[#This Row],[ALL UNITS IN A HIGH OR HIGHEST RESOURCE AREA]]="Yes",10*CHSHTATbl[[#This Row],[RURAL % OF FUNDING]],0)</f>
        <v>0</v>
      </c>
      <c r="AS43" s="665" cm="1">
        <f t="array" ref="AS43">INDEX(CountyScoresTbl[Community Need Total Points],ROW(CHSHTATbl[[#This Row],[COUNTY]])-2,1)*CHSHTATbl[[#This Row],[RURAL % OF FUNDING]]</f>
        <v>0</v>
      </c>
      <c r="AT43" s="666" cm="1">
        <f t="array" ref="AT43">INDEX(CountyScoresTbl[SHTA Total Feasibility Points Awarded],ROW(CHSHTATbl[[#This Row],[COUNTY]])-2,1)*CHSHTATbl[[#This Row],[RURAL % OF FUNDING]]</f>
        <v>0</v>
      </c>
      <c r="AU43" s="123"/>
      <c r="AV43" s="161"/>
      <c r="AW43" s="198"/>
      <c r="AX43" s="74">
        <f t="shared" si="7"/>
        <v>0</v>
      </c>
      <c r="AY43" s="6">
        <f>IF(CHSHTATbl[[#This Row],[MFD RURAL TOTAL REQUESTED]]=0,0,CHSHTATbl[[#This Row],[MFD RURAL TOTAL REQUESTED]]/CH_SHTA_MFDRuralTotalRequested)</f>
        <v>0</v>
      </c>
      <c r="AZ43" s="665">
        <f>IF(CHSHTATbl[[#This Row],[ALL UNITS IN A HIGH OR HIGHEST RESOURCE AREA]]="Yes",10*CHSHTATbl[[#This Row],[MFD RURAL % OF FUNDING]],0)</f>
        <v>0</v>
      </c>
      <c r="BA43" s="665" cm="1">
        <f t="array" ref="BA43">INDEX(CountyScoresTbl[Community Need Total Points],ROW(CHSHTATbl[[#This Row],[COUNTY]])-2,1)*CHSHTATbl[[#This Row],[MFD RURAL % OF FUNDING]]</f>
        <v>0</v>
      </c>
      <c r="BB43" s="666" cm="1">
        <f t="array" ref="BB43">INDEX(CountyScoresTbl[SHTA Total Feasibility Points Awarded],ROW(CHSHTATbl[[#This Row],[COUNTY]])-2,1)*CHSHTATbl[[#This Row],[MFD RURAL % OF FUNDING]]</f>
        <v>0</v>
      </c>
      <c r="BC43" s="764"/>
      <c r="BD43" s="765">
        <f>IF(CHSHTATbl[[#This Row],[INFILL SITE]]="Yes",5,3)*CHSHTATbl[[#This Row],[UNRESTRICTED % OF FUNDING]]</f>
        <v>0</v>
      </c>
      <c r="BE43" s="694">
        <f>IF(CHSHTATbl[[#This Row],[INFILL SITE]]="Yes",5,3)*CHSHTATbl[[#This Row],[MANUFACTURED % OF FUNDING]]</f>
        <v>0</v>
      </c>
      <c r="BF43" s="694">
        <f>IF(CHSHTATbl[[#This Row],[INFILL SITE]]="Yes",5,3)*CHSHTATbl[[#This Row],[RURAL % OF FUNDING]]</f>
        <v>0</v>
      </c>
      <c r="BG43" s="694">
        <f>IF(CHSHTATbl[[#This Row],[INFILL SITE]]="Yes",5,3)*CHSHTATbl[[#This Row],[MFD RURAL % OF FUNDING]]</f>
        <v>0</v>
      </c>
    </row>
    <row r="44" spans="1:59" x14ac:dyDescent="0.35">
      <c r="A44" s="124"/>
      <c r="B44" s="179" t="s">
        <v>156</v>
      </c>
      <c r="C44" s="177" t="s">
        <v>513</v>
      </c>
      <c r="D44" s="183" t="str">
        <f>IF(CHSHTATbl[[#This Row],[UNRESTRICTED UNITS]]=0,"",CHSHTATbl[[#This Row],[UNRESTRICTED UNITS]])</f>
        <v/>
      </c>
      <c r="E44" s="184" t="str">
        <f xml:space="preserve">
IF(CHSHTATbl[[#This Row],[UNRESTRICTED TOTAL REQUESTED]]=0,"",
CHSHTATbl[[#This Row],[UNRESTRICTED TOTAL REQUESTED]]*
IF(CH_SHTA_UnrestrictedTotalRequested&lt;=500000,1,
500000/CH_SHTA_UnrestrictedTotalRequested)
)</f>
        <v/>
      </c>
      <c r="F44" s="185" t="str">
        <f>IF(CHSHTATbl[[#This Row],[UNRESTRICTED % OF FUNDING]]=0,"",CHSHTATbl[[#This Row],[UNRESTRICTED % OF FUNDING]])</f>
        <v/>
      </c>
      <c r="G44" s="177" t="s">
        <v>513</v>
      </c>
      <c r="H44" s="183" t="str">
        <f>IF(CHSHTATbl[[#This Row],[MANUFACTURED UNITS]]=0,"",CHSHTATbl[[#This Row],[MANUFACTURED UNITS]])</f>
        <v/>
      </c>
      <c r="I44" s="187" t="str">
        <f xml:space="preserve">
IF(CHSHTATbl[[#This Row],[MANUFACTURED TOTAL REQUESTED]]=0,"",
CHSHTATbl[[#This Row],[MANUFACTURED TOTAL REQUESTED]]*
IF(CH_SHTA_ManufacturedTotalRequested&lt;=(500000-E$61),1,
(500000-E$61)/CH_SHTA_ManufacturedTotalRequested)
)</f>
        <v/>
      </c>
      <c r="J44" s="185" t="str">
        <f>IF(CHSHTATbl[[#This Row],[MANUFACTURED % OF FUNDING]]=0,"",CHSHTATbl[[#This Row],[MANUFACTURED % OF FUNDING]])</f>
        <v/>
      </c>
      <c r="K44" s="177" t="s">
        <v>513</v>
      </c>
      <c r="L44" s="190" t="str">
        <f>IF(CHSHTATbl[[#This Row],[RURAL UNITS]]=0,"",CHSHTATbl[[#This Row],[RURAL UNITS]])</f>
        <v/>
      </c>
      <c r="M44" s="187" t="str">
        <f xml:space="preserve">
IF(CHSHTATbl[[#This Row],[RURAL TOTAL REQUESTED]]=0,"",
CHSHTATbl[[#This Row],[RURAL TOTAL REQUESTED]]*
IF(CH_SHTA_RuralTotalRequested&lt;=(500000-E$61-I$61),1,
(500000-E$61-I$61)/CH_SHTA_RuralTotalRequested)
)</f>
        <v/>
      </c>
      <c r="N44" s="191" t="str">
        <f>IF(CHSHTATbl[[#This Row],[RURAL % OF FUNDING]]=0,"",CHSHTATbl[[#This Row],[RURAL % OF FUNDING]])</f>
        <v/>
      </c>
      <c r="O44" s="177" t="s">
        <v>513</v>
      </c>
      <c r="P44" s="193" t="str">
        <f>IF(CHSHTATbl[[#This Row],[MFD RURAL UNITS]]=0,"",CHSHTATbl[[#This Row],[MFD RURAL UNITS]])</f>
        <v/>
      </c>
      <c r="Q44" s="187" t="str">
        <f xml:space="preserve">
IF(CHSHTATbl[[#This Row],[MFD RURAL TOTAL REQUESTED]]=0,"",
CHSHTATbl[[#This Row],[MFD RURAL TOTAL REQUESTED]]*
IF(CH_SHTA_MFDRuralTotalRequested&lt;=(500000-E$61-I$61-M$61),1,
(500000-E$61-I$61-M$61)/CH_SHTA_MFDRuralTotalRequested)
)</f>
        <v/>
      </c>
      <c r="R44" s="191" t="str">
        <f>IF(CHSHTATbl[[#This Row],[MFD RURAL % OF FUNDING]]=0,"",CHSHTATbl[[#This Row],[MFD RURAL % OF FUNDING]])</f>
        <v/>
      </c>
      <c r="S44" s="31"/>
      <c r="T44" s="196"/>
      <c r="U44" s="119"/>
      <c r="V44" s="197"/>
      <c r="W44" s="123"/>
      <c r="X44" s="161"/>
      <c r="Y44" s="198"/>
      <c r="Z44" s="74">
        <f t="shared" si="4"/>
        <v>0</v>
      </c>
      <c r="AA44" s="6">
        <f>IF(CHSHTATbl[[#This Row],[UNRESTRICTED TOTAL REQUESTED]]=0,0,CHSHTATbl[[#This Row],[UNRESTRICTED TOTAL REQUESTED]]/CH_SHTA_UnrestrictedTotalRequested)</f>
        <v>0</v>
      </c>
      <c r="AB44" s="752">
        <f>IF(CHSHTATbl[[#This Row],[ALL UNITS IN A HIGH OR HIGHEST RESOURCE AREA]]="Yes",10*CHSHTATbl[[#This Row],[UNRESTRICTED % OF FUNDING]],0)</f>
        <v>0</v>
      </c>
      <c r="AC44" s="752" cm="1">
        <f t="array" ref="AC44">INDEX(CountyScoresTbl[Community Need Total Points],ROW(CHSHTATbl[[#This Row],[COUNTY]])-2,1)*CHSHTATbl[[#This Row],[UNRESTRICTED % OF FUNDING]]</f>
        <v>0</v>
      </c>
      <c r="AD44" s="752" cm="1">
        <f t="array" ref="AD44">INDEX(CountyScoresTbl[SHTA Total Feasibility Points Awarded],ROW(CHSHTATbl[[#This Row],[COUNTY]])-2,1)*CHSHTATbl[[#This Row],[UNRESTRICTED % OF FUNDING]]</f>
        <v>0</v>
      </c>
      <c r="AE44" s="125"/>
      <c r="AF44" s="161"/>
      <c r="AG44" s="198"/>
      <c r="AH44" s="74">
        <f t="shared" si="5"/>
        <v>0</v>
      </c>
      <c r="AI44" s="9">
        <f>IF(CHSHTATbl[[#This Row],[MANUFACTURED TOTAL REQUESTED]]=0,0,CHSHTATbl[[#This Row],[MANUFACTURED TOTAL REQUESTED]]/CH_SHTA_ManufacturedTotalRequested)</f>
        <v>0</v>
      </c>
      <c r="AJ44" s="665">
        <f>IF(CHSHTATbl[[#This Row],[ALL UNITS IN A HIGH OR HIGHEST RESOURCE AREA]]="Yes",10*CHSHTATbl[[#This Row],[MANUFACTURED % OF FUNDING]],0)</f>
        <v>0</v>
      </c>
      <c r="AK44" s="665" cm="1">
        <f t="array" ref="AK44">INDEX(CountyScoresTbl[Community Need Total Points],ROW(CHSHTATbl[[#This Row],[COUNTY]])-2,1)*CHSHTATbl[[#This Row],[MANUFACTURED % OF FUNDING]]</f>
        <v>0</v>
      </c>
      <c r="AL44" s="666" cm="1">
        <f t="array" ref="AL44">INDEX(CountyScoresTbl[SHTA Total Feasibility Points Awarded],ROW(CHSHTATbl[[#This Row],[COUNTY]])-2,1)*CHSHTATbl[[#This Row],[MANUFACTURED % OF FUNDING]]</f>
        <v>0</v>
      </c>
      <c r="AM44" s="123"/>
      <c r="AN44" s="161"/>
      <c r="AO44" s="198"/>
      <c r="AP44" s="74">
        <f t="shared" si="6"/>
        <v>0</v>
      </c>
      <c r="AQ44" s="6">
        <f>IF(CHSHTATbl[[#This Row],[RURAL TOTAL REQUESTED]]=0,0,CHSHTATbl[[#This Row],[RURAL TOTAL REQUESTED]]/CH_SHTA_RuralTotalRequested)</f>
        <v>0</v>
      </c>
      <c r="AR44" s="665">
        <f>IF(CHSHTATbl[[#This Row],[ALL UNITS IN A HIGH OR HIGHEST RESOURCE AREA]]="Yes",10*CHSHTATbl[[#This Row],[RURAL % OF FUNDING]],0)</f>
        <v>0</v>
      </c>
      <c r="AS44" s="665" cm="1">
        <f t="array" ref="AS44">INDEX(CountyScoresTbl[Community Need Total Points],ROW(CHSHTATbl[[#This Row],[COUNTY]])-2,1)*CHSHTATbl[[#This Row],[RURAL % OF FUNDING]]</f>
        <v>0</v>
      </c>
      <c r="AT44" s="666" cm="1">
        <f t="array" ref="AT44">INDEX(CountyScoresTbl[SHTA Total Feasibility Points Awarded],ROW(CHSHTATbl[[#This Row],[COUNTY]])-2,1)*CHSHTATbl[[#This Row],[RURAL % OF FUNDING]]</f>
        <v>0</v>
      </c>
      <c r="AU44" s="123"/>
      <c r="AV44" s="161"/>
      <c r="AW44" s="198"/>
      <c r="AX44" s="74">
        <f t="shared" si="7"/>
        <v>0</v>
      </c>
      <c r="AY44" s="6">
        <f>IF(CHSHTATbl[[#This Row],[MFD RURAL TOTAL REQUESTED]]=0,0,CHSHTATbl[[#This Row],[MFD RURAL TOTAL REQUESTED]]/CH_SHTA_MFDRuralTotalRequested)</f>
        <v>0</v>
      </c>
      <c r="AZ44" s="665">
        <f>IF(CHSHTATbl[[#This Row],[ALL UNITS IN A HIGH OR HIGHEST RESOURCE AREA]]="Yes",10*CHSHTATbl[[#This Row],[MFD RURAL % OF FUNDING]],0)</f>
        <v>0</v>
      </c>
      <c r="BA44" s="665" cm="1">
        <f t="array" ref="BA44">INDEX(CountyScoresTbl[Community Need Total Points],ROW(CHSHTATbl[[#This Row],[COUNTY]])-2,1)*CHSHTATbl[[#This Row],[MFD RURAL % OF FUNDING]]</f>
        <v>0</v>
      </c>
      <c r="BB44" s="666" cm="1">
        <f t="array" ref="BB44">INDEX(CountyScoresTbl[SHTA Total Feasibility Points Awarded],ROW(CHSHTATbl[[#This Row],[COUNTY]])-2,1)*CHSHTATbl[[#This Row],[MFD RURAL % OF FUNDING]]</f>
        <v>0</v>
      </c>
      <c r="BC44" s="764"/>
      <c r="BD44" s="765">
        <f>IF(CHSHTATbl[[#This Row],[INFILL SITE]]="Yes",5,3)*CHSHTATbl[[#This Row],[UNRESTRICTED % OF FUNDING]]</f>
        <v>0</v>
      </c>
      <c r="BE44" s="694">
        <f>IF(CHSHTATbl[[#This Row],[INFILL SITE]]="Yes",5,3)*CHSHTATbl[[#This Row],[MANUFACTURED % OF FUNDING]]</f>
        <v>0</v>
      </c>
      <c r="BF44" s="694">
        <f>IF(CHSHTATbl[[#This Row],[INFILL SITE]]="Yes",5,3)*CHSHTATbl[[#This Row],[RURAL % OF FUNDING]]</f>
        <v>0</v>
      </c>
      <c r="BG44" s="694">
        <f>IF(CHSHTATbl[[#This Row],[INFILL SITE]]="Yes",5,3)*CHSHTATbl[[#This Row],[MFD RURAL % OF FUNDING]]</f>
        <v>0</v>
      </c>
    </row>
    <row r="45" spans="1:59" x14ac:dyDescent="0.35">
      <c r="A45" s="124"/>
      <c r="B45" s="179" t="s">
        <v>157</v>
      </c>
      <c r="C45" s="177" t="s">
        <v>513</v>
      </c>
      <c r="D45" s="183" t="str">
        <f>IF(CHSHTATbl[[#This Row],[UNRESTRICTED UNITS]]=0,"",CHSHTATbl[[#This Row],[UNRESTRICTED UNITS]])</f>
        <v/>
      </c>
      <c r="E45" s="184" t="str">
        <f xml:space="preserve">
IF(CHSHTATbl[[#This Row],[UNRESTRICTED TOTAL REQUESTED]]=0,"",
CHSHTATbl[[#This Row],[UNRESTRICTED TOTAL REQUESTED]]*
IF(CH_SHTA_UnrestrictedTotalRequested&lt;=500000,1,
500000/CH_SHTA_UnrestrictedTotalRequested)
)</f>
        <v/>
      </c>
      <c r="F45" s="185" t="str">
        <f>IF(CHSHTATbl[[#This Row],[UNRESTRICTED % OF FUNDING]]=0,"",CHSHTATbl[[#This Row],[UNRESTRICTED % OF FUNDING]])</f>
        <v/>
      </c>
      <c r="G45" s="177" t="s">
        <v>513</v>
      </c>
      <c r="H45" s="183" t="str">
        <f>IF(CHSHTATbl[[#This Row],[MANUFACTURED UNITS]]=0,"",CHSHTATbl[[#This Row],[MANUFACTURED UNITS]])</f>
        <v/>
      </c>
      <c r="I45" s="187" t="str">
        <f xml:space="preserve">
IF(CHSHTATbl[[#This Row],[MANUFACTURED TOTAL REQUESTED]]=0,"",
CHSHTATbl[[#This Row],[MANUFACTURED TOTAL REQUESTED]]*
IF(CH_SHTA_ManufacturedTotalRequested&lt;=(500000-E$61),1,
(500000-E$61)/CH_SHTA_ManufacturedTotalRequested)
)</f>
        <v/>
      </c>
      <c r="J45" s="185" t="str">
        <f>IF(CHSHTATbl[[#This Row],[MANUFACTURED % OF FUNDING]]=0,"",CHSHTATbl[[#This Row],[MANUFACTURED % OF FUNDING]])</f>
        <v/>
      </c>
      <c r="K45" s="177" t="s">
        <v>513</v>
      </c>
      <c r="L45" s="190" t="str">
        <f>IF(CHSHTATbl[[#This Row],[RURAL UNITS]]=0,"",CHSHTATbl[[#This Row],[RURAL UNITS]])</f>
        <v/>
      </c>
      <c r="M45" s="187" t="str">
        <f xml:space="preserve">
IF(CHSHTATbl[[#This Row],[RURAL TOTAL REQUESTED]]=0,"",
CHSHTATbl[[#This Row],[RURAL TOTAL REQUESTED]]*
IF(CH_SHTA_RuralTotalRequested&lt;=(500000-E$61-I$61),1,
(500000-E$61-I$61)/CH_SHTA_RuralTotalRequested)
)</f>
        <v/>
      </c>
      <c r="N45" s="191" t="str">
        <f>IF(CHSHTATbl[[#This Row],[RURAL % OF FUNDING]]=0,"",CHSHTATbl[[#This Row],[RURAL % OF FUNDING]])</f>
        <v/>
      </c>
      <c r="O45" s="177" t="s">
        <v>513</v>
      </c>
      <c r="P45" s="193" t="str">
        <f>IF(CHSHTATbl[[#This Row],[MFD RURAL UNITS]]=0,"",CHSHTATbl[[#This Row],[MFD RURAL UNITS]])</f>
        <v/>
      </c>
      <c r="Q45" s="187" t="str">
        <f xml:space="preserve">
IF(CHSHTATbl[[#This Row],[MFD RURAL TOTAL REQUESTED]]=0,"",
CHSHTATbl[[#This Row],[MFD RURAL TOTAL REQUESTED]]*
IF(CH_SHTA_MFDRuralTotalRequested&lt;=(500000-E$61-I$61-M$61),1,
(500000-E$61-I$61-M$61)/CH_SHTA_MFDRuralTotalRequested)
)</f>
        <v/>
      </c>
      <c r="R45" s="191" t="str">
        <f>IF(CHSHTATbl[[#This Row],[MFD RURAL % OF FUNDING]]=0,"",CHSHTATbl[[#This Row],[MFD RURAL % OF FUNDING]])</f>
        <v/>
      </c>
      <c r="S45" s="31"/>
      <c r="T45" s="196"/>
      <c r="U45" s="119"/>
      <c r="V45" s="197"/>
      <c r="W45" s="123"/>
      <c r="X45" s="161"/>
      <c r="Y45" s="198"/>
      <c r="Z45" s="74">
        <f t="shared" si="4"/>
        <v>0</v>
      </c>
      <c r="AA45" s="6">
        <f>IF(CHSHTATbl[[#This Row],[UNRESTRICTED TOTAL REQUESTED]]=0,0,CHSHTATbl[[#This Row],[UNRESTRICTED TOTAL REQUESTED]]/CH_SHTA_UnrestrictedTotalRequested)</f>
        <v>0</v>
      </c>
      <c r="AB45" s="752">
        <f>IF(CHSHTATbl[[#This Row],[ALL UNITS IN A HIGH OR HIGHEST RESOURCE AREA]]="Yes",10*CHSHTATbl[[#This Row],[UNRESTRICTED % OF FUNDING]],0)</f>
        <v>0</v>
      </c>
      <c r="AC45" s="752" cm="1">
        <f t="array" ref="AC45">INDEX(CountyScoresTbl[Community Need Total Points],ROW(CHSHTATbl[[#This Row],[COUNTY]])-2,1)*CHSHTATbl[[#This Row],[UNRESTRICTED % OF FUNDING]]</f>
        <v>0</v>
      </c>
      <c r="AD45" s="752" cm="1">
        <f t="array" ref="AD45">INDEX(CountyScoresTbl[SHTA Total Feasibility Points Awarded],ROW(CHSHTATbl[[#This Row],[COUNTY]])-2,1)*CHSHTATbl[[#This Row],[UNRESTRICTED % OF FUNDING]]</f>
        <v>0</v>
      </c>
      <c r="AE45" s="125"/>
      <c r="AF45" s="161"/>
      <c r="AG45" s="198"/>
      <c r="AH45" s="74">
        <f t="shared" si="5"/>
        <v>0</v>
      </c>
      <c r="AI45" s="9">
        <f>IF(CHSHTATbl[[#This Row],[MANUFACTURED TOTAL REQUESTED]]=0,0,CHSHTATbl[[#This Row],[MANUFACTURED TOTAL REQUESTED]]/CH_SHTA_ManufacturedTotalRequested)</f>
        <v>0</v>
      </c>
      <c r="AJ45" s="665">
        <f>IF(CHSHTATbl[[#This Row],[ALL UNITS IN A HIGH OR HIGHEST RESOURCE AREA]]="Yes",10*CHSHTATbl[[#This Row],[MANUFACTURED % OF FUNDING]],0)</f>
        <v>0</v>
      </c>
      <c r="AK45" s="665" cm="1">
        <f t="array" ref="AK45">INDEX(CountyScoresTbl[Community Need Total Points],ROW(CHSHTATbl[[#This Row],[COUNTY]])-2,1)*CHSHTATbl[[#This Row],[MANUFACTURED % OF FUNDING]]</f>
        <v>0</v>
      </c>
      <c r="AL45" s="666" cm="1">
        <f t="array" ref="AL45">INDEX(CountyScoresTbl[SHTA Total Feasibility Points Awarded],ROW(CHSHTATbl[[#This Row],[COUNTY]])-2,1)*CHSHTATbl[[#This Row],[MANUFACTURED % OF FUNDING]]</f>
        <v>0</v>
      </c>
      <c r="AM45" s="123"/>
      <c r="AN45" s="161"/>
      <c r="AO45" s="198"/>
      <c r="AP45" s="74">
        <f t="shared" si="6"/>
        <v>0</v>
      </c>
      <c r="AQ45" s="6">
        <f>IF(CHSHTATbl[[#This Row],[RURAL TOTAL REQUESTED]]=0,0,CHSHTATbl[[#This Row],[RURAL TOTAL REQUESTED]]/CH_SHTA_RuralTotalRequested)</f>
        <v>0</v>
      </c>
      <c r="AR45" s="665">
        <f>IF(CHSHTATbl[[#This Row],[ALL UNITS IN A HIGH OR HIGHEST RESOURCE AREA]]="Yes",10*CHSHTATbl[[#This Row],[RURAL % OF FUNDING]],0)</f>
        <v>0</v>
      </c>
      <c r="AS45" s="665" cm="1">
        <f t="array" ref="AS45">INDEX(CountyScoresTbl[Community Need Total Points],ROW(CHSHTATbl[[#This Row],[COUNTY]])-2,1)*CHSHTATbl[[#This Row],[RURAL % OF FUNDING]]</f>
        <v>0</v>
      </c>
      <c r="AT45" s="666" cm="1">
        <f t="array" ref="AT45">INDEX(CountyScoresTbl[SHTA Total Feasibility Points Awarded],ROW(CHSHTATbl[[#This Row],[COUNTY]])-2,1)*CHSHTATbl[[#This Row],[RURAL % OF FUNDING]]</f>
        <v>0</v>
      </c>
      <c r="AU45" s="123"/>
      <c r="AV45" s="161"/>
      <c r="AW45" s="198"/>
      <c r="AX45" s="74">
        <f t="shared" si="7"/>
        <v>0</v>
      </c>
      <c r="AY45" s="6">
        <f>IF(CHSHTATbl[[#This Row],[MFD RURAL TOTAL REQUESTED]]=0,0,CHSHTATbl[[#This Row],[MFD RURAL TOTAL REQUESTED]]/CH_SHTA_MFDRuralTotalRequested)</f>
        <v>0</v>
      </c>
      <c r="AZ45" s="665">
        <f>IF(CHSHTATbl[[#This Row],[ALL UNITS IN A HIGH OR HIGHEST RESOURCE AREA]]="Yes",10*CHSHTATbl[[#This Row],[MFD RURAL % OF FUNDING]],0)</f>
        <v>0</v>
      </c>
      <c r="BA45" s="665" cm="1">
        <f t="array" ref="BA45">INDEX(CountyScoresTbl[Community Need Total Points],ROW(CHSHTATbl[[#This Row],[COUNTY]])-2,1)*CHSHTATbl[[#This Row],[MFD RURAL % OF FUNDING]]</f>
        <v>0</v>
      </c>
      <c r="BB45" s="666" cm="1">
        <f t="array" ref="BB45">INDEX(CountyScoresTbl[SHTA Total Feasibility Points Awarded],ROW(CHSHTATbl[[#This Row],[COUNTY]])-2,1)*CHSHTATbl[[#This Row],[MFD RURAL % OF FUNDING]]</f>
        <v>0</v>
      </c>
      <c r="BC45" s="764"/>
      <c r="BD45" s="765">
        <f>IF(CHSHTATbl[[#This Row],[INFILL SITE]]="Yes",5,3)*CHSHTATbl[[#This Row],[UNRESTRICTED % OF FUNDING]]</f>
        <v>0</v>
      </c>
      <c r="BE45" s="694">
        <f>IF(CHSHTATbl[[#This Row],[INFILL SITE]]="Yes",5,3)*CHSHTATbl[[#This Row],[MANUFACTURED % OF FUNDING]]</f>
        <v>0</v>
      </c>
      <c r="BF45" s="694">
        <f>IF(CHSHTATbl[[#This Row],[INFILL SITE]]="Yes",5,3)*CHSHTATbl[[#This Row],[RURAL % OF FUNDING]]</f>
        <v>0</v>
      </c>
      <c r="BG45" s="694">
        <f>IF(CHSHTATbl[[#This Row],[INFILL SITE]]="Yes",5,3)*CHSHTATbl[[#This Row],[MFD RURAL % OF FUNDING]]</f>
        <v>0</v>
      </c>
    </row>
    <row r="46" spans="1:59" x14ac:dyDescent="0.35">
      <c r="A46" s="167" t="s">
        <v>504</v>
      </c>
      <c r="B46" s="179" t="s">
        <v>158</v>
      </c>
      <c r="C46" s="177" t="s">
        <v>513</v>
      </c>
      <c r="D46" s="183" t="str">
        <f>IF(CHSHTATbl[[#This Row],[UNRESTRICTED UNITS]]=0,"",CHSHTATbl[[#This Row],[UNRESTRICTED UNITS]])</f>
        <v/>
      </c>
      <c r="E46" s="184" t="str">
        <f xml:space="preserve">
IF(CHSHTATbl[[#This Row],[UNRESTRICTED TOTAL REQUESTED]]=0,"",
CHSHTATbl[[#This Row],[UNRESTRICTED TOTAL REQUESTED]]*
IF(CH_SHTA_UnrestrictedTotalRequested&lt;=500000,1,
500000/CH_SHTA_UnrestrictedTotalRequested)
)</f>
        <v/>
      </c>
      <c r="F46" s="185" t="str">
        <f>IF(CHSHTATbl[[#This Row],[UNRESTRICTED % OF FUNDING]]=0,"",CHSHTATbl[[#This Row],[UNRESTRICTED % OF FUNDING]])</f>
        <v/>
      </c>
      <c r="G46" s="177" t="s">
        <v>513</v>
      </c>
      <c r="H46" s="183" t="str">
        <f>IF(CHSHTATbl[[#This Row],[MANUFACTURED UNITS]]=0,"",CHSHTATbl[[#This Row],[MANUFACTURED UNITS]])</f>
        <v/>
      </c>
      <c r="I46" s="187" t="str">
        <f xml:space="preserve">
IF(CHSHTATbl[[#This Row],[MANUFACTURED TOTAL REQUESTED]]=0,"",
CHSHTATbl[[#This Row],[MANUFACTURED TOTAL REQUESTED]]*
IF(CH_SHTA_ManufacturedTotalRequested&lt;=(500000-E$61),1,
(500000-E$61)/CH_SHTA_ManufacturedTotalRequested)
)</f>
        <v/>
      </c>
      <c r="J46" s="185" t="str">
        <f>IF(CHSHTATbl[[#This Row],[MANUFACTURED % OF FUNDING]]=0,"",CHSHTATbl[[#This Row],[MANUFACTURED % OF FUNDING]])</f>
        <v/>
      </c>
      <c r="K46" s="177" t="s">
        <v>513</v>
      </c>
      <c r="L46" s="190" t="str">
        <f>IF(CHSHTATbl[[#This Row],[RURAL UNITS]]=0,"",CHSHTATbl[[#This Row],[RURAL UNITS]])</f>
        <v/>
      </c>
      <c r="M46" s="187" t="str">
        <f xml:space="preserve">
IF(CHSHTATbl[[#This Row],[RURAL TOTAL REQUESTED]]=0,"",
CHSHTATbl[[#This Row],[RURAL TOTAL REQUESTED]]*
IF(CH_SHTA_RuralTotalRequested&lt;=(500000-E$61-I$61),1,
(500000-E$61-I$61)/CH_SHTA_RuralTotalRequested)
)</f>
        <v/>
      </c>
      <c r="N46" s="191" t="str">
        <f>IF(CHSHTATbl[[#This Row],[RURAL % OF FUNDING]]=0,"",CHSHTATbl[[#This Row],[RURAL % OF FUNDING]])</f>
        <v/>
      </c>
      <c r="O46" s="177" t="s">
        <v>513</v>
      </c>
      <c r="P46" s="193" t="str">
        <f>IF(CHSHTATbl[[#This Row],[MFD RURAL UNITS]]=0,"",CHSHTATbl[[#This Row],[MFD RURAL UNITS]])</f>
        <v/>
      </c>
      <c r="Q46" s="187" t="str">
        <f xml:space="preserve">
IF(CHSHTATbl[[#This Row],[MFD RURAL TOTAL REQUESTED]]=0,"",
CHSHTATbl[[#This Row],[MFD RURAL TOTAL REQUESTED]]*
IF(CH_SHTA_MFDRuralTotalRequested&lt;=(500000-E$61-I$61-M$61),1,
(500000-E$61-I$61-M$61)/CH_SHTA_MFDRuralTotalRequested)
)</f>
        <v/>
      </c>
      <c r="R46" s="191" t="str">
        <f>IF(CHSHTATbl[[#This Row],[MFD RURAL % OF FUNDING]]=0,"",CHSHTATbl[[#This Row],[MFD RURAL % OF FUNDING]])</f>
        <v/>
      </c>
      <c r="S46" s="31"/>
      <c r="T46" s="163" t="s">
        <v>504</v>
      </c>
      <c r="U46" s="164"/>
      <c r="V46" s="199"/>
      <c r="W46" s="123"/>
      <c r="X46" s="161"/>
      <c r="Y46" s="198"/>
      <c r="Z46" s="74">
        <f t="shared" si="4"/>
        <v>0</v>
      </c>
      <c r="AA46" s="6">
        <f>IF(CHSHTATbl[[#This Row],[UNRESTRICTED TOTAL REQUESTED]]=0,0,CHSHTATbl[[#This Row],[UNRESTRICTED TOTAL REQUESTED]]/CH_SHTA_UnrestrictedTotalRequested)</f>
        <v>0</v>
      </c>
      <c r="AB46" s="752">
        <f>IF(CHSHTATbl[[#This Row],[ALL UNITS IN A HIGH OR HIGHEST RESOURCE AREA]]="Yes",10*CHSHTATbl[[#This Row],[UNRESTRICTED % OF FUNDING]],0)</f>
        <v>0</v>
      </c>
      <c r="AC46" s="752" cm="1">
        <f t="array" ref="AC46">INDEX(CountyScoresTbl[Community Need Total Points],ROW(CHSHTATbl[[#This Row],[COUNTY]])-2,1)*CHSHTATbl[[#This Row],[UNRESTRICTED % OF FUNDING]]</f>
        <v>0</v>
      </c>
      <c r="AD46" s="752" cm="1">
        <f t="array" ref="AD46">INDEX(CountyScoresTbl[SHTA Total Feasibility Points Awarded],ROW(CHSHTATbl[[#This Row],[COUNTY]])-2,1)*CHSHTATbl[[#This Row],[UNRESTRICTED % OF FUNDING]]</f>
        <v>0</v>
      </c>
      <c r="AE46" s="125"/>
      <c r="AF46" s="161"/>
      <c r="AG46" s="198"/>
      <c r="AH46" s="74">
        <f t="shared" si="5"/>
        <v>0</v>
      </c>
      <c r="AI46" s="9">
        <f>IF(CHSHTATbl[[#This Row],[MANUFACTURED TOTAL REQUESTED]]=0,0,CHSHTATbl[[#This Row],[MANUFACTURED TOTAL REQUESTED]]/CH_SHTA_ManufacturedTotalRequested)</f>
        <v>0</v>
      </c>
      <c r="AJ46" s="665">
        <f>IF(CHSHTATbl[[#This Row],[ALL UNITS IN A HIGH OR HIGHEST RESOURCE AREA]]="Yes",10*CHSHTATbl[[#This Row],[MANUFACTURED % OF FUNDING]],0)</f>
        <v>0</v>
      </c>
      <c r="AK46" s="665" cm="1">
        <f t="array" ref="AK46">INDEX(CountyScoresTbl[Community Need Total Points],ROW(CHSHTATbl[[#This Row],[COUNTY]])-2,1)*CHSHTATbl[[#This Row],[MANUFACTURED % OF FUNDING]]</f>
        <v>0</v>
      </c>
      <c r="AL46" s="666" cm="1">
        <f t="array" ref="AL46">INDEX(CountyScoresTbl[SHTA Total Feasibility Points Awarded],ROW(CHSHTATbl[[#This Row],[COUNTY]])-2,1)*CHSHTATbl[[#This Row],[MANUFACTURED % OF FUNDING]]</f>
        <v>0</v>
      </c>
      <c r="AM46" s="123"/>
      <c r="AN46" s="161"/>
      <c r="AO46" s="198"/>
      <c r="AP46" s="74">
        <f t="shared" si="6"/>
        <v>0</v>
      </c>
      <c r="AQ46" s="6">
        <f>IF(CHSHTATbl[[#This Row],[RURAL TOTAL REQUESTED]]=0,0,CHSHTATbl[[#This Row],[RURAL TOTAL REQUESTED]]/CH_SHTA_RuralTotalRequested)</f>
        <v>0</v>
      </c>
      <c r="AR46" s="665">
        <f>IF(CHSHTATbl[[#This Row],[ALL UNITS IN A HIGH OR HIGHEST RESOURCE AREA]]="Yes",10*CHSHTATbl[[#This Row],[RURAL % OF FUNDING]],0)</f>
        <v>0</v>
      </c>
      <c r="AS46" s="665" cm="1">
        <f t="array" ref="AS46">INDEX(CountyScoresTbl[Community Need Total Points],ROW(CHSHTATbl[[#This Row],[COUNTY]])-2,1)*CHSHTATbl[[#This Row],[RURAL % OF FUNDING]]</f>
        <v>0</v>
      </c>
      <c r="AT46" s="666" cm="1">
        <f t="array" ref="AT46">INDEX(CountyScoresTbl[SHTA Total Feasibility Points Awarded],ROW(CHSHTATbl[[#This Row],[COUNTY]])-2,1)*CHSHTATbl[[#This Row],[RURAL % OF FUNDING]]</f>
        <v>0</v>
      </c>
      <c r="AU46" s="123"/>
      <c r="AV46" s="161"/>
      <c r="AW46" s="198"/>
      <c r="AX46" s="74">
        <f t="shared" si="7"/>
        <v>0</v>
      </c>
      <c r="AY46" s="6">
        <f>IF(CHSHTATbl[[#This Row],[MFD RURAL TOTAL REQUESTED]]=0,0,CHSHTATbl[[#This Row],[MFD RURAL TOTAL REQUESTED]]/CH_SHTA_MFDRuralTotalRequested)</f>
        <v>0</v>
      </c>
      <c r="AZ46" s="665">
        <f>IF(CHSHTATbl[[#This Row],[ALL UNITS IN A HIGH OR HIGHEST RESOURCE AREA]]="Yes",10*CHSHTATbl[[#This Row],[MFD RURAL % OF FUNDING]],0)</f>
        <v>0</v>
      </c>
      <c r="BA46" s="665" cm="1">
        <f t="array" ref="BA46">INDEX(CountyScoresTbl[Community Need Total Points],ROW(CHSHTATbl[[#This Row],[COUNTY]])-2,1)*CHSHTATbl[[#This Row],[MFD RURAL % OF FUNDING]]</f>
        <v>0</v>
      </c>
      <c r="BB46" s="666" cm="1">
        <f t="array" ref="BB46">INDEX(CountyScoresTbl[SHTA Total Feasibility Points Awarded],ROW(CHSHTATbl[[#This Row],[COUNTY]])-2,1)*CHSHTATbl[[#This Row],[MFD RURAL % OF FUNDING]]</f>
        <v>0</v>
      </c>
      <c r="BC46" s="764"/>
      <c r="BD46" s="765">
        <f>IF(CHSHTATbl[[#This Row],[INFILL SITE]]="Yes",5,3)*CHSHTATbl[[#This Row],[UNRESTRICTED % OF FUNDING]]</f>
        <v>0</v>
      </c>
      <c r="BE46" s="694">
        <f>IF(CHSHTATbl[[#This Row],[INFILL SITE]]="Yes",5,3)*CHSHTATbl[[#This Row],[MANUFACTURED % OF FUNDING]]</f>
        <v>0</v>
      </c>
      <c r="BF46" s="694">
        <f>IF(CHSHTATbl[[#This Row],[INFILL SITE]]="Yes",5,3)*CHSHTATbl[[#This Row],[RURAL % OF FUNDING]]</f>
        <v>0</v>
      </c>
      <c r="BG46" s="694">
        <f>IF(CHSHTATbl[[#This Row],[INFILL SITE]]="Yes",5,3)*CHSHTATbl[[#This Row],[MFD RURAL % OF FUNDING]]</f>
        <v>0</v>
      </c>
    </row>
    <row r="47" spans="1:59" x14ac:dyDescent="0.35">
      <c r="A47" s="124"/>
      <c r="B47" s="179" t="s">
        <v>159</v>
      </c>
      <c r="C47" s="177" t="s">
        <v>513</v>
      </c>
      <c r="D47" s="183" t="str">
        <f>IF(CHSHTATbl[[#This Row],[UNRESTRICTED UNITS]]=0,"",CHSHTATbl[[#This Row],[UNRESTRICTED UNITS]])</f>
        <v/>
      </c>
      <c r="E47" s="184" t="str">
        <f xml:space="preserve">
IF(CHSHTATbl[[#This Row],[UNRESTRICTED TOTAL REQUESTED]]=0,"",
CHSHTATbl[[#This Row],[UNRESTRICTED TOTAL REQUESTED]]*
IF(CH_SHTA_UnrestrictedTotalRequested&lt;=500000,1,
500000/CH_SHTA_UnrestrictedTotalRequested)
)</f>
        <v/>
      </c>
      <c r="F47" s="185" t="str">
        <f>IF(CHSHTATbl[[#This Row],[UNRESTRICTED % OF FUNDING]]=0,"",CHSHTATbl[[#This Row],[UNRESTRICTED % OF FUNDING]])</f>
        <v/>
      </c>
      <c r="G47" s="177" t="s">
        <v>513</v>
      </c>
      <c r="H47" s="183" t="str">
        <f>IF(CHSHTATbl[[#This Row],[MANUFACTURED UNITS]]=0,"",CHSHTATbl[[#This Row],[MANUFACTURED UNITS]])</f>
        <v/>
      </c>
      <c r="I47" s="187" t="str">
        <f xml:space="preserve">
IF(CHSHTATbl[[#This Row],[MANUFACTURED TOTAL REQUESTED]]=0,"",
CHSHTATbl[[#This Row],[MANUFACTURED TOTAL REQUESTED]]*
IF(CH_SHTA_ManufacturedTotalRequested&lt;=(500000-E$61),1,
(500000-E$61)/CH_SHTA_ManufacturedTotalRequested)
)</f>
        <v/>
      </c>
      <c r="J47" s="185" t="str">
        <f>IF(CHSHTATbl[[#This Row],[MANUFACTURED % OF FUNDING]]=0,"",CHSHTATbl[[#This Row],[MANUFACTURED % OF FUNDING]])</f>
        <v/>
      </c>
      <c r="K47" s="177" t="s">
        <v>513</v>
      </c>
      <c r="L47" s="190" t="str">
        <f>IF(CHSHTATbl[[#This Row],[RURAL UNITS]]=0,"",CHSHTATbl[[#This Row],[RURAL UNITS]])</f>
        <v/>
      </c>
      <c r="M47" s="187" t="str">
        <f xml:space="preserve">
IF(CHSHTATbl[[#This Row],[RURAL TOTAL REQUESTED]]=0,"",
CHSHTATbl[[#This Row],[RURAL TOTAL REQUESTED]]*
IF(CH_SHTA_RuralTotalRequested&lt;=(500000-E$61-I$61),1,
(500000-E$61-I$61)/CH_SHTA_RuralTotalRequested)
)</f>
        <v/>
      </c>
      <c r="N47" s="191" t="str">
        <f>IF(CHSHTATbl[[#This Row],[RURAL % OF FUNDING]]=0,"",CHSHTATbl[[#This Row],[RURAL % OF FUNDING]])</f>
        <v/>
      </c>
      <c r="O47" s="177" t="s">
        <v>513</v>
      </c>
      <c r="P47" s="193" t="str">
        <f>IF(CHSHTATbl[[#This Row],[MFD RURAL UNITS]]=0,"",CHSHTATbl[[#This Row],[MFD RURAL UNITS]])</f>
        <v/>
      </c>
      <c r="Q47" s="187" t="str">
        <f xml:space="preserve">
IF(CHSHTATbl[[#This Row],[MFD RURAL TOTAL REQUESTED]]=0,"",
CHSHTATbl[[#This Row],[MFD RURAL TOTAL REQUESTED]]*
IF(CH_SHTA_MFDRuralTotalRequested&lt;=(500000-E$61-I$61-M$61),1,
(500000-E$61-I$61-M$61)/CH_SHTA_MFDRuralTotalRequested)
)</f>
        <v/>
      </c>
      <c r="R47" s="191" t="str">
        <f>IF(CHSHTATbl[[#This Row],[MFD RURAL % OF FUNDING]]=0,"",CHSHTATbl[[#This Row],[MFD RURAL % OF FUNDING]])</f>
        <v/>
      </c>
      <c r="S47" s="31"/>
      <c r="T47" s="196"/>
      <c r="U47" s="119"/>
      <c r="V47" s="197"/>
      <c r="W47" s="123"/>
      <c r="X47" s="161"/>
      <c r="Y47" s="198"/>
      <c r="Z47" s="74">
        <f t="shared" si="4"/>
        <v>0</v>
      </c>
      <c r="AA47" s="6">
        <f>IF(CHSHTATbl[[#This Row],[UNRESTRICTED TOTAL REQUESTED]]=0,0,CHSHTATbl[[#This Row],[UNRESTRICTED TOTAL REQUESTED]]/CH_SHTA_UnrestrictedTotalRequested)</f>
        <v>0</v>
      </c>
      <c r="AB47" s="752">
        <f>IF(CHSHTATbl[[#This Row],[ALL UNITS IN A HIGH OR HIGHEST RESOURCE AREA]]="Yes",10*CHSHTATbl[[#This Row],[UNRESTRICTED % OF FUNDING]],0)</f>
        <v>0</v>
      </c>
      <c r="AC47" s="752" cm="1">
        <f t="array" ref="AC47">INDEX(CountyScoresTbl[Community Need Total Points],ROW(CHSHTATbl[[#This Row],[COUNTY]])-2,1)*CHSHTATbl[[#This Row],[UNRESTRICTED % OF FUNDING]]</f>
        <v>0</v>
      </c>
      <c r="AD47" s="752" cm="1">
        <f t="array" ref="AD47">INDEX(CountyScoresTbl[SHTA Total Feasibility Points Awarded],ROW(CHSHTATbl[[#This Row],[COUNTY]])-2,1)*CHSHTATbl[[#This Row],[UNRESTRICTED % OF FUNDING]]</f>
        <v>0</v>
      </c>
      <c r="AE47" s="125"/>
      <c r="AF47" s="161"/>
      <c r="AG47" s="198"/>
      <c r="AH47" s="74">
        <f t="shared" si="5"/>
        <v>0</v>
      </c>
      <c r="AI47" s="9">
        <f>IF(CHSHTATbl[[#This Row],[MANUFACTURED TOTAL REQUESTED]]=0,0,CHSHTATbl[[#This Row],[MANUFACTURED TOTAL REQUESTED]]/CH_SHTA_ManufacturedTotalRequested)</f>
        <v>0</v>
      </c>
      <c r="AJ47" s="665">
        <f>IF(CHSHTATbl[[#This Row],[ALL UNITS IN A HIGH OR HIGHEST RESOURCE AREA]]="Yes",10*CHSHTATbl[[#This Row],[MANUFACTURED % OF FUNDING]],0)</f>
        <v>0</v>
      </c>
      <c r="AK47" s="665" cm="1">
        <f t="array" ref="AK47">INDEX(CountyScoresTbl[Community Need Total Points],ROW(CHSHTATbl[[#This Row],[COUNTY]])-2,1)*CHSHTATbl[[#This Row],[MANUFACTURED % OF FUNDING]]</f>
        <v>0</v>
      </c>
      <c r="AL47" s="666" cm="1">
        <f t="array" ref="AL47">INDEX(CountyScoresTbl[SHTA Total Feasibility Points Awarded],ROW(CHSHTATbl[[#This Row],[COUNTY]])-2,1)*CHSHTATbl[[#This Row],[MANUFACTURED % OF FUNDING]]</f>
        <v>0</v>
      </c>
      <c r="AM47" s="123"/>
      <c r="AN47" s="161"/>
      <c r="AO47" s="198"/>
      <c r="AP47" s="74">
        <f t="shared" si="6"/>
        <v>0</v>
      </c>
      <c r="AQ47" s="6">
        <f>IF(CHSHTATbl[[#This Row],[RURAL TOTAL REQUESTED]]=0,0,CHSHTATbl[[#This Row],[RURAL TOTAL REQUESTED]]/CH_SHTA_RuralTotalRequested)</f>
        <v>0</v>
      </c>
      <c r="AR47" s="665">
        <f>IF(CHSHTATbl[[#This Row],[ALL UNITS IN A HIGH OR HIGHEST RESOURCE AREA]]="Yes",10*CHSHTATbl[[#This Row],[RURAL % OF FUNDING]],0)</f>
        <v>0</v>
      </c>
      <c r="AS47" s="665" cm="1">
        <f t="array" ref="AS47">INDEX(CountyScoresTbl[Community Need Total Points],ROW(CHSHTATbl[[#This Row],[COUNTY]])-2,1)*CHSHTATbl[[#This Row],[RURAL % OF FUNDING]]</f>
        <v>0</v>
      </c>
      <c r="AT47" s="666" cm="1">
        <f t="array" ref="AT47">INDEX(CountyScoresTbl[SHTA Total Feasibility Points Awarded],ROW(CHSHTATbl[[#This Row],[COUNTY]])-2,1)*CHSHTATbl[[#This Row],[RURAL % OF FUNDING]]</f>
        <v>0</v>
      </c>
      <c r="AU47" s="123"/>
      <c r="AV47" s="161"/>
      <c r="AW47" s="198"/>
      <c r="AX47" s="74">
        <f t="shared" si="7"/>
        <v>0</v>
      </c>
      <c r="AY47" s="6">
        <f>IF(CHSHTATbl[[#This Row],[MFD RURAL TOTAL REQUESTED]]=0,0,CHSHTATbl[[#This Row],[MFD RURAL TOTAL REQUESTED]]/CH_SHTA_MFDRuralTotalRequested)</f>
        <v>0</v>
      </c>
      <c r="AZ47" s="665">
        <f>IF(CHSHTATbl[[#This Row],[ALL UNITS IN A HIGH OR HIGHEST RESOURCE AREA]]="Yes",10*CHSHTATbl[[#This Row],[MFD RURAL % OF FUNDING]],0)</f>
        <v>0</v>
      </c>
      <c r="BA47" s="665" cm="1">
        <f t="array" ref="BA47">INDEX(CountyScoresTbl[Community Need Total Points],ROW(CHSHTATbl[[#This Row],[COUNTY]])-2,1)*CHSHTATbl[[#This Row],[MFD RURAL % OF FUNDING]]</f>
        <v>0</v>
      </c>
      <c r="BB47" s="666" cm="1">
        <f t="array" ref="BB47">INDEX(CountyScoresTbl[SHTA Total Feasibility Points Awarded],ROW(CHSHTATbl[[#This Row],[COUNTY]])-2,1)*CHSHTATbl[[#This Row],[MFD RURAL % OF FUNDING]]</f>
        <v>0</v>
      </c>
      <c r="BC47" s="764"/>
      <c r="BD47" s="765">
        <f>IF(CHSHTATbl[[#This Row],[INFILL SITE]]="Yes",5,3)*CHSHTATbl[[#This Row],[UNRESTRICTED % OF FUNDING]]</f>
        <v>0</v>
      </c>
      <c r="BE47" s="694">
        <f>IF(CHSHTATbl[[#This Row],[INFILL SITE]]="Yes",5,3)*CHSHTATbl[[#This Row],[MANUFACTURED % OF FUNDING]]</f>
        <v>0</v>
      </c>
      <c r="BF47" s="694">
        <f>IF(CHSHTATbl[[#This Row],[INFILL SITE]]="Yes",5,3)*CHSHTATbl[[#This Row],[RURAL % OF FUNDING]]</f>
        <v>0</v>
      </c>
      <c r="BG47" s="694">
        <f>IF(CHSHTATbl[[#This Row],[INFILL SITE]]="Yes",5,3)*CHSHTATbl[[#This Row],[MFD RURAL % OF FUNDING]]</f>
        <v>0</v>
      </c>
    </row>
    <row r="48" spans="1:59" x14ac:dyDescent="0.35">
      <c r="A48" s="124"/>
      <c r="B48" s="179" t="s">
        <v>160</v>
      </c>
      <c r="C48" s="177" t="s">
        <v>513</v>
      </c>
      <c r="D48" s="183" t="str">
        <f>IF(CHSHTATbl[[#This Row],[UNRESTRICTED UNITS]]=0,"",CHSHTATbl[[#This Row],[UNRESTRICTED UNITS]])</f>
        <v/>
      </c>
      <c r="E48" s="184" t="str">
        <f xml:space="preserve">
IF(CHSHTATbl[[#This Row],[UNRESTRICTED TOTAL REQUESTED]]=0,"",
CHSHTATbl[[#This Row],[UNRESTRICTED TOTAL REQUESTED]]*
IF(CH_SHTA_UnrestrictedTotalRequested&lt;=500000,1,
500000/CH_SHTA_UnrestrictedTotalRequested)
)</f>
        <v/>
      </c>
      <c r="F48" s="185" t="str">
        <f>IF(CHSHTATbl[[#This Row],[UNRESTRICTED % OF FUNDING]]=0,"",CHSHTATbl[[#This Row],[UNRESTRICTED % OF FUNDING]])</f>
        <v/>
      </c>
      <c r="G48" s="177" t="s">
        <v>513</v>
      </c>
      <c r="H48" s="183" t="str">
        <f>IF(CHSHTATbl[[#This Row],[MANUFACTURED UNITS]]=0,"",CHSHTATbl[[#This Row],[MANUFACTURED UNITS]])</f>
        <v/>
      </c>
      <c r="I48" s="187" t="str">
        <f xml:space="preserve">
IF(CHSHTATbl[[#This Row],[MANUFACTURED TOTAL REQUESTED]]=0,"",
CHSHTATbl[[#This Row],[MANUFACTURED TOTAL REQUESTED]]*
IF(CH_SHTA_ManufacturedTotalRequested&lt;=(500000-E$61),1,
(500000-E$61)/CH_SHTA_ManufacturedTotalRequested)
)</f>
        <v/>
      </c>
      <c r="J48" s="185" t="str">
        <f>IF(CHSHTATbl[[#This Row],[MANUFACTURED % OF FUNDING]]=0,"",CHSHTATbl[[#This Row],[MANUFACTURED % OF FUNDING]])</f>
        <v/>
      </c>
      <c r="K48" s="177" t="s">
        <v>513</v>
      </c>
      <c r="L48" s="190" t="str">
        <f>IF(CHSHTATbl[[#This Row],[RURAL UNITS]]=0,"",CHSHTATbl[[#This Row],[RURAL UNITS]])</f>
        <v/>
      </c>
      <c r="M48" s="187" t="str">
        <f xml:space="preserve">
IF(CHSHTATbl[[#This Row],[RURAL TOTAL REQUESTED]]=0,"",
CHSHTATbl[[#This Row],[RURAL TOTAL REQUESTED]]*
IF(CH_SHTA_RuralTotalRequested&lt;=(500000-E$61-I$61),1,
(500000-E$61-I$61)/CH_SHTA_RuralTotalRequested)
)</f>
        <v/>
      </c>
      <c r="N48" s="191" t="str">
        <f>IF(CHSHTATbl[[#This Row],[RURAL % OF FUNDING]]=0,"",CHSHTATbl[[#This Row],[RURAL % OF FUNDING]])</f>
        <v/>
      </c>
      <c r="O48" s="177" t="s">
        <v>513</v>
      </c>
      <c r="P48" s="193" t="str">
        <f>IF(CHSHTATbl[[#This Row],[MFD RURAL UNITS]]=0,"",CHSHTATbl[[#This Row],[MFD RURAL UNITS]])</f>
        <v/>
      </c>
      <c r="Q48" s="187" t="str">
        <f xml:space="preserve">
IF(CHSHTATbl[[#This Row],[MFD RURAL TOTAL REQUESTED]]=0,"",
CHSHTATbl[[#This Row],[MFD RURAL TOTAL REQUESTED]]*
IF(CH_SHTA_MFDRuralTotalRequested&lt;=(500000-E$61-I$61-M$61),1,
(500000-E$61-I$61-M$61)/CH_SHTA_MFDRuralTotalRequested)
)</f>
        <v/>
      </c>
      <c r="R48" s="191" t="str">
        <f>IF(CHSHTATbl[[#This Row],[MFD RURAL % OF FUNDING]]=0,"",CHSHTATbl[[#This Row],[MFD RURAL % OF FUNDING]])</f>
        <v/>
      </c>
      <c r="S48" s="31"/>
      <c r="T48" s="196"/>
      <c r="U48" s="119"/>
      <c r="V48" s="197"/>
      <c r="W48" s="123"/>
      <c r="X48" s="161"/>
      <c r="Y48" s="198"/>
      <c r="Z48" s="74">
        <f t="shared" si="4"/>
        <v>0</v>
      </c>
      <c r="AA48" s="6">
        <f>IF(CHSHTATbl[[#This Row],[UNRESTRICTED TOTAL REQUESTED]]=0,0,CHSHTATbl[[#This Row],[UNRESTRICTED TOTAL REQUESTED]]/CH_SHTA_UnrestrictedTotalRequested)</f>
        <v>0</v>
      </c>
      <c r="AB48" s="752">
        <f>IF(CHSHTATbl[[#This Row],[ALL UNITS IN A HIGH OR HIGHEST RESOURCE AREA]]="Yes",10*CHSHTATbl[[#This Row],[UNRESTRICTED % OF FUNDING]],0)</f>
        <v>0</v>
      </c>
      <c r="AC48" s="752" cm="1">
        <f t="array" ref="AC48">INDEX(CountyScoresTbl[Community Need Total Points],ROW(CHSHTATbl[[#This Row],[COUNTY]])-2,1)*CHSHTATbl[[#This Row],[UNRESTRICTED % OF FUNDING]]</f>
        <v>0</v>
      </c>
      <c r="AD48" s="752" cm="1">
        <f t="array" ref="AD48">INDEX(CountyScoresTbl[SHTA Total Feasibility Points Awarded],ROW(CHSHTATbl[[#This Row],[COUNTY]])-2,1)*CHSHTATbl[[#This Row],[UNRESTRICTED % OF FUNDING]]</f>
        <v>0</v>
      </c>
      <c r="AE48" s="125"/>
      <c r="AF48" s="161"/>
      <c r="AG48" s="198"/>
      <c r="AH48" s="74">
        <f t="shared" si="5"/>
        <v>0</v>
      </c>
      <c r="AI48" s="9">
        <f>IF(CHSHTATbl[[#This Row],[MANUFACTURED TOTAL REQUESTED]]=0,0,CHSHTATbl[[#This Row],[MANUFACTURED TOTAL REQUESTED]]/CH_SHTA_ManufacturedTotalRequested)</f>
        <v>0</v>
      </c>
      <c r="AJ48" s="665">
        <f>IF(CHSHTATbl[[#This Row],[ALL UNITS IN A HIGH OR HIGHEST RESOURCE AREA]]="Yes",10*CHSHTATbl[[#This Row],[MANUFACTURED % OF FUNDING]],0)</f>
        <v>0</v>
      </c>
      <c r="AK48" s="665" cm="1">
        <f t="array" ref="AK48">INDEX(CountyScoresTbl[Community Need Total Points],ROW(CHSHTATbl[[#This Row],[COUNTY]])-2,1)*CHSHTATbl[[#This Row],[MANUFACTURED % OF FUNDING]]</f>
        <v>0</v>
      </c>
      <c r="AL48" s="666" cm="1">
        <f t="array" ref="AL48">INDEX(CountyScoresTbl[SHTA Total Feasibility Points Awarded],ROW(CHSHTATbl[[#This Row],[COUNTY]])-2,1)*CHSHTATbl[[#This Row],[MANUFACTURED % OF FUNDING]]</f>
        <v>0</v>
      </c>
      <c r="AM48" s="123"/>
      <c r="AN48" s="161"/>
      <c r="AO48" s="198"/>
      <c r="AP48" s="74">
        <f t="shared" si="6"/>
        <v>0</v>
      </c>
      <c r="AQ48" s="6">
        <f>IF(CHSHTATbl[[#This Row],[RURAL TOTAL REQUESTED]]=0,0,CHSHTATbl[[#This Row],[RURAL TOTAL REQUESTED]]/CH_SHTA_RuralTotalRequested)</f>
        <v>0</v>
      </c>
      <c r="AR48" s="665">
        <f>IF(CHSHTATbl[[#This Row],[ALL UNITS IN A HIGH OR HIGHEST RESOURCE AREA]]="Yes",10*CHSHTATbl[[#This Row],[RURAL % OF FUNDING]],0)</f>
        <v>0</v>
      </c>
      <c r="AS48" s="665" cm="1">
        <f t="array" ref="AS48">INDEX(CountyScoresTbl[Community Need Total Points],ROW(CHSHTATbl[[#This Row],[COUNTY]])-2,1)*CHSHTATbl[[#This Row],[RURAL % OF FUNDING]]</f>
        <v>0</v>
      </c>
      <c r="AT48" s="666" cm="1">
        <f t="array" ref="AT48">INDEX(CountyScoresTbl[SHTA Total Feasibility Points Awarded],ROW(CHSHTATbl[[#This Row],[COUNTY]])-2,1)*CHSHTATbl[[#This Row],[RURAL % OF FUNDING]]</f>
        <v>0</v>
      </c>
      <c r="AU48" s="123"/>
      <c r="AV48" s="161"/>
      <c r="AW48" s="198"/>
      <c r="AX48" s="74">
        <f t="shared" si="7"/>
        <v>0</v>
      </c>
      <c r="AY48" s="6">
        <f>IF(CHSHTATbl[[#This Row],[MFD RURAL TOTAL REQUESTED]]=0,0,CHSHTATbl[[#This Row],[MFD RURAL TOTAL REQUESTED]]/CH_SHTA_MFDRuralTotalRequested)</f>
        <v>0</v>
      </c>
      <c r="AZ48" s="665">
        <f>IF(CHSHTATbl[[#This Row],[ALL UNITS IN A HIGH OR HIGHEST RESOURCE AREA]]="Yes",10*CHSHTATbl[[#This Row],[MFD RURAL % OF FUNDING]],0)</f>
        <v>0</v>
      </c>
      <c r="BA48" s="665" cm="1">
        <f t="array" ref="BA48">INDEX(CountyScoresTbl[Community Need Total Points],ROW(CHSHTATbl[[#This Row],[COUNTY]])-2,1)*CHSHTATbl[[#This Row],[MFD RURAL % OF FUNDING]]</f>
        <v>0</v>
      </c>
      <c r="BB48" s="666" cm="1">
        <f t="array" ref="BB48">INDEX(CountyScoresTbl[SHTA Total Feasibility Points Awarded],ROW(CHSHTATbl[[#This Row],[COUNTY]])-2,1)*CHSHTATbl[[#This Row],[MFD RURAL % OF FUNDING]]</f>
        <v>0</v>
      </c>
      <c r="BC48" s="764"/>
      <c r="BD48" s="765">
        <f>IF(CHSHTATbl[[#This Row],[INFILL SITE]]="Yes",5,3)*CHSHTATbl[[#This Row],[UNRESTRICTED % OF FUNDING]]</f>
        <v>0</v>
      </c>
      <c r="BE48" s="694">
        <f>IF(CHSHTATbl[[#This Row],[INFILL SITE]]="Yes",5,3)*CHSHTATbl[[#This Row],[MANUFACTURED % OF FUNDING]]</f>
        <v>0</v>
      </c>
      <c r="BF48" s="694">
        <f>IF(CHSHTATbl[[#This Row],[INFILL SITE]]="Yes",5,3)*CHSHTATbl[[#This Row],[RURAL % OF FUNDING]]</f>
        <v>0</v>
      </c>
      <c r="BG48" s="694">
        <f>IF(CHSHTATbl[[#This Row],[INFILL SITE]]="Yes",5,3)*CHSHTATbl[[#This Row],[MFD RURAL % OF FUNDING]]</f>
        <v>0</v>
      </c>
    </row>
    <row r="49" spans="1:59" x14ac:dyDescent="0.35">
      <c r="A49" s="124"/>
      <c r="B49" s="179" t="s">
        <v>161</v>
      </c>
      <c r="C49" s="177" t="s">
        <v>513</v>
      </c>
      <c r="D49" s="183" t="str">
        <f>IF(CHSHTATbl[[#This Row],[UNRESTRICTED UNITS]]=0,"",CHSHTATbl[[#This Row],[UNRESTRICTED UNITS]])</f>
        <v/>
      </c>
      <c r="E49" s="184" t="str">
        <f xml:space="preserve">
IF(CHSHTATbl[[#This Row],[UNRESTRICTED TOTAL REQUESTED]]=0,"",
CHSHTATbl[[#This Row],[UNRESTRICTED TOTAL REQUESTED]]*
IF(CH_SHTA_UnrestrictedTotalRequested&lt;=500000,1,
500000/CH_SHTA_UnrestrictedTotalRequested)
)</f>
        <v/>
      </c>
      <c r="F49" s="185" t="str">
        <f>IF(CHSHTATbl[[#This Row],[UNRESTRICTED % OF FUNDING]]=0,"",CHSHTATbl[[#This Row],[UNRESTRICTED % OF FUNDING]])</f>
        <v/>
      </c>
      <c r="G49" s="177" t="s">
        <v>513</v>
      </c>
      <c r="H49" s="183" t="str">
        <f>IF(CHSHTATbl[[#This Row],[MANUFACTURED UNITS]]=0,"",CHSHTATbl[[#This Row],[MANUFACTURED UNITS]])</f>
        <v/>
      </c>
      <c r="I49" s="187" t="str">
        <f xml:space="preserve">
IF(CHSHTATbl[[#This Row],[MANUFACTURED TOTAL REQUESTED]]=0,"",
CHSHTATbl[[#This Row],[MANUFACTURED TOTAL REQUESTED]]*
IF(CH_SHTA_ManufacturedTotalRequested&lt;=(500000-E$61),1,
(500000-E$61)/CH_SHTA_ManufacturedTotalRequested)
)</f>
        <v/>
      </c>
      <c r="J49" s="185" t="str">
        <f>IF(CHSHTATbl[[#This Row],[MANUFACTURED % OF FUNDING]]=0,"",CHSHTATbl[[#This Row],[MANUFACTURED % OF FUNDING]])</f>
        <v/>
      </c>
      <c r="K49" s="177" t="s">
        <v>513</v>
      </c>
      <c r="L49" s="190" t="str">
        <f>IF(CHSHTATbl[[#This Row],[RURAL UNITS]]=0,"",CHSHTATbl[[#This Row],[RURAL UNITS]])</f>
        <v/>
      </c>
      <c r="M49" s="187" t="str">
        <f xml:space="preserve">
IF(CHSHTATbl[[#This Row],[RURAL TOTAL REQUESTED]]=0,"",
CHSHTATbl[[#This Row],[RURAL TOTAL REQUESTED]]*
IF(CH_SHTA_RuralTotalRequested&lt;=(500000-E$61-I$61),1,
(500000-E$61-I$61)/CH_SHTA_RuralTotalRequested)
)</f>
        <v/>
      </c>
      <c r="N49" s="191" t="str">
        <f>IF(CHSHTATbl[[#This Row],[RURAL % OF FUNDING]]=0,"",CHSHTATbl[[#This Row],[RURAL % OF FUNDING]])</f>
        <v/>
      </c>
      <c r="O49" s="177" t="s">
        <v>513</v>
      </c>
      <c r="P49" s="193" t="str">
        <f>IF(CHSHTATbl[[#This Row],[MFD RURAL UNITS]]=0,"",CHSHTATbl[[#This Row],[MFD RURAL UNITS]])</f>
        <v/>
      </c>
      <c r="Q49" s="187" t="str">
        <f xml:space="preserve">
IF(CHSHTATbl[[#This Row],[MFD RURAL TOTAL REQUESTED]]=0,"",
CHSHTATbl[[#This Row],[MFD RURAL TOTAL REQUESTED]]*
IF(CH_SHTA_MFDRuralTotalRequested&lt;=(500000-E$61-I$61-M$61),1,
(500000-E$61-I$61-M$61)/CH_SHTA_MFDRuralTotalRequested)
)</f>
        <v/>
      </c>
      <c r="R49" s="191" t="str">
        <f>IF(CHSHTATbl[[#This Row],[MFD RURAL % OF FUNDING]]=0,"",CHSHTATbl[[#This Row],[MFD RURAL % OF FUNDING]])</f>
        <v/>
      </c>
      <c r="S49" s="31"/>
      <c r="T49" s="196"/>
      <c r="U49" s="119"/>
      <c r="V49" s="197"/>
      <c r="W49" s="123"/>
      <c r="X49" s="161"/>
      <c r="Y49" s="198"/>
      <c r="Z49" s="74">
        <f t="shared" si="4"/>
        <v>0</v>
      </c>
      <c r="AA49" s="6">
        <f>IF(CHSHTATbl[[#This Row],[UNRESTRICTED TOTAL REQUESTED]]=0,0,CHSHTATbl[[#This Row],[UNRESTRICTED TOTAL REQUESTED]]/CH_SHTA_UnrestrictedTotalRequested)</f>
        <v>0</v>
      </c>
      <c r="AB49" s="752">
        <f>IF(CHSHTATbl[[#This Row],[ALL UNITS IN A HIGH OR HIGHEST RESOURCE AREA]]="Yes",10*CHSHTATbl[[#This Row],[UNRESTRICTED % OF FUNDING]],0)</f>
        <v>0</v>
      </c>
      <c r="AC49" s="752" cm="1">
        <f t="array" ref="AC49">INDEX(CountyScoresTbl[Community Need Total Points],ROW(CHSHTATbl[[#This Row],[COUNTY]])-2,1)*CHSHTATbl[[#This Row],[UNRESTRICTED % OF FUNDING]]</f>
        <v>0</v>
      </c>
      <c r="AD49" s="752" cm="1">
        <f t="array" ref="AD49">INDEX(CountyScoresTbl[SHTA Total Feasibility Points Awarded],ROW(CHSHTATbl[[#This Row],[COUNTY]])-2,1)*CHSHTATbl[[#This Row],[UNRESTRICTED % OF FUNDING]]</f>
        <v>0</v>
      </c>
      <c r="AE49" s="125"/>
      <c r="AF49" s="161"/>
      <c r="AG49" s="198"/>
      <c r="AH49" s="74">
        <f t="shared" si="5"/>
        <v>0</v>
      </c>
      <c r="AI49" s="9">
        <f>IF(CHSHTATbl[[#This Row],[MANUFACTURED TOTAL REQUESTED]]=0,0,CHSHTATbl[[#This Row],[MANUFACTURED TOTAL REQUESTED]]/CH_SHTA_ManufacturedTotalRequested)</f>
        <v>0</v>
      </c>
      <c r="AJ49" s="665">
        <f>IF(CHSHTATbl[[#This Row],[ALL UNITS IN A HIGH OR HIGHEST RESOURCE AREA]]="Yes",10*CHSHTATbl[[#This Row],[MANUFACTURED % OF FUNDING]],0)</f>
        <v>0</v>
      </c>
      <c r="AK49" s="665" cm="1">
        <f t="array" ref="AK49">INDEX(CountyScoresTbl[Community Need Total Points],ROW(CHSHTATbl[[#This Row],[COUNTY]])-2,1)*CHSHTATbl[[#This Row],[MANUFACTURED % OF FUNDING]]</f>
        <v>0</v>
      </c>
      <c r="AL49" s="666" cm="1">
        <f t="array" ref="AL49">INDEX(CountyScoresTbl[SHTA Total Feasibility Points Awarded],ROW(CHSHTATbl[[#This Row],[COUNTY]])-2,1)*CHSHTATbl[[#This Row],[MANUFACTURED % OF FUNDING]]</f>
        <v>0</v>
      </c>
      <c r="AM49" s="123"/>
      <c r="AN49" s="161"/>
      <c r="AO49" s="198"/>
      <c r="AP49" s="74">
        <f t="shared" si="6"/>
        <v>0</v>
      </c>
      <c r="AQ49" s="6">
        <f>IF(CHSHTATbl[[#This Row],[RURAL TOTAL REQUESTED]]=0,0,CHSHTATbl[[#This Row],[RURAL TOTAL REQUESTED]]/CH_SHTA_RuralTotalRequested)</f>
        <v>0</v>
      </c>
      <c r="AR49" s="665">
        <f>IF(CHSHTATbl[[#This Row],[ALL UNITS IN A HIGH OR HIGHEST RESOURCE AREA]]="Yes",10*CHSHTATbl[[#This Row],[RURAL % OF FUNDING]],0)</f>
        <v>0</v>
      </c>
      <c r="AS49" s="665" cm="1">
        <f t="array" ref="AS49">INDEX(CountyScoresTbl[Community Need Total Points],ROW(CHSHTATbl[[#This Row],[COUNTY]])-2,1)*CHSHTATbl[[#This Row],[RURAL % OF FUNDING]]</f>
        <v>0</v>
      </c>
      <c r="AT49" s="666" cm="1">
        <f t="array" ref="AT49">INDEX(CountyScoresTbl[SHTA Total Feasibility Points Awarded],ROW(CHSHTATbl[[#This Row],[COUNTY]])-2,1)*CHSHTATbl[[#This Row],[RURAL % OF FUNDING]]</f>
        <v>0</v>
      </c>
      <c r="AU49" s="123"/>
      <c r="AV49" s="161"/>
      <c r="AW49" s="198"/>
      <c r="AX49" s="74">
        <f t="shared" si="7"/>
        <v>0</v>
      </c>
      <c r="AY49" s="6">
        <f>IF(CHSHTATbl[[#This Row],[MFD RURAL TOTAL REQUESTED]]=0,0,CHSHTATbl[[#This Row],[MFD RURAL TOTAL REQUESTED]]/CH_SHTA_MFDRuralTotalRequested)</f>
        <v>0</v>
      </c>
      <c r="AZ49" s="665">
        <f>IF(CHSHTATbl[[#This Row],[ALL UNITS IN A HIGH OR HIGHEST RESOURCE AREA]]="Yes",10*CHSHTATbl[[#This Row],[MFD RURAL % OF FUNDING]],0)</f>
        <v>0</v>
      </c>
      <c r="BA49" s="665" cm="1">
        <f t="array" ref="BA49">INDEX(CountyScoresTbl[Community Need Total Points],ROW(CHSHTATbl[[#This Row],[COUNTY]])-2,1)*CHSHTATbl[[#This Row],[MFD RURAL % OF FUNDING]]</f>
        <v>0</v>
      </c>
      <c r="BB49" s="666" cm="1">
        <f t="array" ref="BB49">INDEX(CountyScoresTbl[SHTA Total Feasibility Points Awarded],ROW(CHSHTATbl[[#This Row],[COUNTY]])-2,1)*CHSHTATbl[[#This Row],[MFD RURAL % OF FUNDING]]</f>
        <v>0</v>
      </c>
      <c r="BC49" s="764"/>
      <c r="BD49" s="765">
        <f>IF(CHSHTATbl[[#This Row],[INFILL SITE]]="Yes",5,3)*CHSHTATbl[[#This Row],[UNRESTRICTED % OF FUNDING]]</f>
        <v>0</v>
      </c>
      <c r="BE49" s="694">
        <f>IF(CHSHTATbl[[#This Row],[INFILL SITE]]="Yes",5,3)*CHSHTATbl[[#This Row],[MANUFACTURED % OF FUNDING]]</f>
        <v>0</v>
      </c>
      <c r="BF49" s="694">
        <f>IF(CHSHTATbl[[#This Row],[INFILL SITE]]="Yes",5,3)*CHSHTATbl[[#This Row],[RURAL % OF FUNDING]]</f>
        <v>0</v>
      </c>
      <c r="BG49" s="694">
        <f>IF(CHSHTATbl[[#This Row],[INFILL SITE]]="Yes",5,3)*CHSHTATbl[[#This Row],[MFD RURAL % OF FUNDING]]</f>
        <v>0</v>
      </c>
    </row>
    <row r="50" spans="1:59" x14ac:dyDescent="0.35">
      <c r="A50" s="124"/>
      <c r="B50" s="179" t="s">
        <v>162</v>
      </c>
      <c r="C50" s="177" t="s">
        <v>513</v>
      </c>
      <c r="D50" s="183" t="str">
        <f>IF(CHSHTATbl[[#This Row],[UNRESTRICTED UNITS]]=0,"",CHSHTATbl[[#This Row],[UNRESTRICTED UNITS]])</f>
        <v/>
      </c>
      <c r="E50" s="184" t="str">
        <f xml:space="preserve">
IF(CHSHTATbl[[#This Row],[UNRESTRICTED TOTAL REQUESTED]]=0,"",
CHSHTATbl[[#This Row],[UNRESTRICTED TOTAL REQUESTED]]*
IF(CH_SHTA_UnrestrictedTotalRequested&lt;=500000,1,
500000/CH_SHTA_UnrestrictedTotalRequested)
)</f>
        <v/>
      </c>
      <c r="F50" s="185" t="str">
        <f>IF(CHSHTATbl[[#This Row],[UNRESTRICTED % OF FUNDING]]=0,"",CHSHTATbl[[#This Row],[UNRESTRICTED % OF FUNDING]])</f>
        <v/>
      </c>
      <c r="G50" s="177" t="s">
        <v>513</v>
      </c>
      <c r="H50" s="183" t="str">
        <f>IF(CHSHTATbl[[#This Row],[MANUFACTURED UNITS]]=0,"",CHSHTATbl[[#This Row],[MANUFACTURED UNITS]])</f>
        <v/>
      </c>
      <c r="I50" s="187" t="str">
        <f xml:space="preserve">
IF(CHSHTATbl[[#This Row],[MANUFACTURED TOTAL REQUESTED]]=0,"",
CHSHTATbl[[#This Row],[MANUFACTURED TOTAL REQUESTED]]*
IF(CH_SHTA_ManufacturedTotalRequested&lt;=(500000-E$61),1,
(500000-E$61)/CH_SHTA_ManufacturedTotalRequested)
)</f>
        <v/>
      </c>
      <c r="J50" s="185" t="str">
        <f>IF(CHSHTATbl[[#This Row],[MANUFACTURED % OF FUNDING]]=0,"",CHSHTATbl[[#This Row],[MANUFACTURED % OF FUNDING]])</f>
        <v/>
      </c>
      <c r="K50" s="177" t="s">
        <v>513</v>
      </c>
      <c r="L50" s="190" t="str">
        <f>IF(CHSHTATbl[[#This Row],[RURAL UNITS]]=0,"",CHSHTATbl[[#This Row],[RURAL UNITS]])</f>
        <v/>
      </c>
      <c r="M50" s="187" t="str">
        <f xml:space="preserve">
IF(CHSHTATbl[[#This Row],[RURAL TOTAL REQUESTED]]=0,"",
CHSHTATbl[[#This Row],[RURAL TOTAL REQUESTED]]*
IF(CH_SHTA_RuralTotalRequested&lt;=(500000-E$61-I$61),1,
(500000-E$61-I$61)/CH_SHTA_RuralTotalRequested)
)</f>
        <v/>
      </c>
      <c r="N50" s="191" t="str">
        <f>IF(CHSHTATbl[[#This Row],[RURAL % OF FUNDING]]=0,"",CHSHTATbl[[#This Row],[RURAL % OF FUNDING]])</f>
        <v/>
      </c>
      <c r="O50" s="177" t="s">
        <v>513</v>
      </c>
      <c r="P50" s="193" t="str">
        <f>IF(CHSHTATbl[[#This Row],[MFD RURAL UNITS]]=0,"",CHSHTATbl[[#This Row],[MFD RURAL UNITS]])</f>
        <v/>
      </c>
      <c r="Q50" s="187" t="str">
        <f xml:space="preserve">
IF(CHSHTATbl[[#This Row],[MFD RURAL TOTAL REQUESTED]]=0,"",
CHSHTATbl[[#This Row],[MFD RURAL TOTAL REQUESTED]]*
IF(CH_SHTA_MFDRuralTotalRequested&lt;=(500000-E$61-I$61-M$61),1,
(500000-E$61-I$61-M$61)/CH_SHTA_MFDRuralTotalRequested)
)</f>
        <v/>
      </c>
      <c r="R50" s="191" t="str">
        <f>IF(CHSHTATbl[[#This Row],[MFD RURAL % OF FUNDING]]=0,"",CHSHTATbl[[#This Row],[MFD RURAL % OF FUNDING]])</f>
        <v/>
      </c>
      <c r="S50" s="31"/>
      <c r="T50" s="196"/>
      <c r="U50" s="119"/>
      <c r="V50" s="197"/>
      <c r="W50" s="123"/>
      <c r="X50" s="161"/>
      <c r="Y50" s="198"/>
      <c r="Z50" s="74">
        <f t="shared" si="4"/>
        <v>0</v>
      </c>
      <c r="AA50" s="6">
        <f>IF(CHSHTATbl[[#This Row],[UNRESTRICTED TOTAL REQUESTED]]=0,0,CHSHTATbl[[#This Row],[UNRESTRICTED TOTAL REQUESTED]]/CH_SHTA_UnrestrictedTotalRequested)</f>
        <v>0</v>
      </c>
      <c r="AB50" s="752">
        <f>IF(CHSHTATbl[[#This Row],[ALL UNITS IN A HIGH OR HIGHEST RESOURCE AREA]]="Yes",10*CHSHTATbl[[#This Row],[UNRESTRICTED % OF FUNDING]],0)</f>
        <v>0</v>
      </c>
      <c r="AC50" s="752" cm="1">
        <f t="array" ref="AC50">INDEX(CountyScoresTbl[Community Need Total Points],ROW(CHSHTATbl[[#This Row],[COUNTY]])-2,1)*CHSHTATbl[[#This Row],[UNRESTRICTED % OF FUNDING]]</f>
        <v>0</v>
      </c>
      <c r="AD50" s="752" cm="1">
        <f t="array" ref="AD50">INDEX(CountyScoresTbl[SHTA Total Feasibility Points Awarded],ROW(CHSHTATbl[[#This Row],[COUNTY]])-2,1)*CHSHTATbl[[#This Row],[UNRESTRICTED % OF FUNDING]]</f>
        <v>0</v>
      </c>
      <c r="AE50" s="125"/>
      <c r="AF50" s="161"/>
      <c r="AG50" s="198"/>
      <c r="AH50" s="74">
        <f t="shared" si="5"/>
        <v>0</v>
      </c>
      <c r="AI50" s="9">
        <f>IF(CHSHTATbl[[#This Row],[MANUFACTURED TOTAL REQUESTED]]=0,0,CHSHTATbl[[#This Row],[MANUFACTURED TOTAL REQUESTED]]/CH_SHTA_ManufacturedTotalRequested)</f>
        <v>0</v>
      </c>
      <c r="AJ50" s="665">
        <f>IF(CHSHTATbl[[#This Row],[ALL UNITS IN A HIGH OR HIGHEST RESOURCE AREA]]="Yes",10*CHSHTATbl[[#This Row],[MANUFACTURED % OF FUNDING]],0)</f>
        <v>0</v>
      </c>
      <c r="AK50" s="665" cm="1">
        <f t="array" ref="AK50">INDEX(CountyScoresTbl[Community Need Total Points],ROW(CHSHTATbl[[#This Row],[COUNTY]])-2,1)*CHSHTATbl[[#This Row],[MANUFACTURED % OF FUNDING]]</f>
        <v>0</v>
      </c>
      <c r="AL50" s="666" cm="1">
        <f t="array" ref="AL50">INDEX(CountyScoresTbl[SHTA Total Feasibility Points Awarded],ROW(CHSHTATbl[[#This Row],[COUNTY]])-2,1)*CHSHTATbl[[#This Row],[MANUFACTURED % OF FUNDING]]</f>
        <v>0</v>
      </c>
      <c r="AM50" s="123"/>
      <c r="AN50" s="161"/>
      <c r="AO50" s="198"/>
      <c r="AP50" s="74">
        <f t="shared" si="6"/>
        <v>0</v>
      </c>
      <c r="AQ50" s="6">
        <f>IF(CHSHTATbl[[#This Row],[RURAL TOTAL REQUESTED]]=0,0,CHSHTATbl[[#This Row],[RURAL TOTAL REQUESTED]]/CH_SHTA_RuralTotalRequested)</f>
        <v>0</v>
      </c>
      <c r="AR50" s="665">
        <f>IF(CHSHTATbl[[#This Row],[ALL UNITS IN A HIGH OR HIGHEST RESOURCE AREA]]="Yes",10*CHSHTATbl[[#This Row],[RURAL % OF FUNDING]],0)</f>
        <v>0</v>
      </c>
      <c r="AS50" s="665" cm="1">
        <f t="array" ref="AS50">INDEX(CountyScoresTbl[Community Need Total Points],ROW(CHSHTATbl[[#This Row],[COUNTY]])-2,1)*CHSHTATbl[[#This Row],[RURAL % OF FUNDING]]</f>
        <v>0</v>
      </c>
      <c r="AT50" s="666" cm="1">
        <f t="array" ref="AT50">INDEX(CountyScoresTbl[SHTA Total Feasibility Points Awarded],ROW(CHSHTATbl[[#This Row],[COUNTY]])-2,1)*CHSHTATbl[[#This Row],[RURAL % OF FUNDING]]</f>
        <v>0</v>
      </c>
      <c r="AU50" s="123"/>
      <c r="AV50" s="161"/>
      <c r="AW50" s="198"/>
      <c r="AX50" s="74">
        <f t="shared" si="7"/>
        <v>0</v>
      </c>
      <c r="AY50" s="6">
        <f>IF(CHSHTATbl[[#This Row],[MFD RURAL TOTAL REQUESTED]]=0,0,CHSHTATbl[[#This Row],[MFD RURAL TOTAL REQUESTED]]/CH_SHTA_MFDRuralTotalRequested)</f>
        <v>0</v>
      </c>
      <c r="AZ50" s="665">
        <f>IF(CHSHTATbl[[#This Row],[ALL UNITS IN A HIGH OR HIGHEST RESOURCE AREA]]="Yes",10*CHSHTATbl[[#This Row],[MFD RURAL % OF FUNDING]],0)</f>
        <v>0</v>
      </c>
      <c r="BA50" s="665" cm="1">
        <f t="array" ref="BA50">INDEX(CountyScoresTbl[Community Need Total Points],ROW(CHSHTATbl[[#This Row],[COUNTY]])-2,1)*CHSHTATbl[[#This Row],[MFD RURAL % OF FUNDING]]</f>
        <v>0</v>
      </c>
      <c r="BB50" s="666" cm="1">
        <f t="array" ref="BB50">INDEX(CountyScoresTbl[SHTA Total Feasibility Points Awarded],ROW(CHSHTATbl[[#This Row],[COUNTY]])-2,1)*CHSHTATbl[[#This Row],[MFD RURAL % OF FUNDING]]</f>
        <v>0</v>
      </c>
      <c r="BC50" s="764"/>
      <c r="BD50" s="765">
        <f>IF(CHSHTATbl[[#This Row],[INFILL SITE]]="Yes",5,3)*CHSHTATbl[[#This Row],[UNRESTRICTED % OF FUNDING]]</f>
        <v>0</v>
      </c>
      <c r="BE50" s="694">
        <f>IF(CHSHTATbl[[#This Row],[INFILL SITE]]="Yes",5,3)*CHSHTATbl[[#This Row],[MANUFACTURED % OF FUNDING]]</f>
        <v>0</v>
      </c>
      <c r="BF50" s="694">
        <f>IF(CHSHTATbl[[#This Row],[INFILL SITE]]="Yes",5,3)*CHSHTATbl[[#This Row],[RURAL % OF FUNDING]]</f>
        <v>0</v>
      </c>
      <c r="BG50" s="694">
        <f>IF(CHSHTATbl[[#This Row],[INFILL SITE]]="Yes",5,3)*CHSHTATbl[[#This Row],[MFD RURAL % OF FUNDING]]</f>
        <v>0</v>
      </c>
    </row>
    <row r="51" spans="1:59" x14ac:dyDescent="0.35">
      <c r="A51" s="124"/>
      <c r="B51" s="179" t="s">
        <v>163</v>
      </c>
      <c r="C51" s="177" t="s">
        <v>513</v>
      </c>
      <c r="D51" s="183" t="str">
        <f>IF(CHSHTATbl[[#This Row],[UNRESTRICTED UNITS]]=0,"",CHSHTATbl[[#This Row],[UNRESTRICTED UNITS]])</f>
        <v/>
      </c>
      <c r="E51" s="184" t="str">
        <f xml:space="preserve">
IF(CHSHTATbl[[#This Row],[UNRESTRICTED TOTAL REQUESTED]]=0,"",
CHSHTATbl[[#This Row],[UNRESTRICTED TOTAL REQUESTED]]*
IF(CH_SHTA_UnrestrictedTotalRequested&lt;=500000,1,
500000/CH_SHTA_UnrestrictedTotalRequested)
)</f>
        <v/>
      </c>
      <c r="F51" s="185" t="str">
        <f>IF(CHSHTATbl[[#This Row],[UNRESTRICTED % OF FUNDING]]=0,"",CHSHTATbl[[#This Row],[UNRESTRICTED % OF FUNDING]])</f>
        <v/>
      </c>
      <c r="G51" s="177" t="s">
        <v>513</v>
      </c>
      <c r="H51" s="183" t="str">
        <f>IF(CHSHTATbl[[#This Row],[MANUFACTURED UNITS]]=0,"",CHSHTATbl[[#This Row],[MANUFACTURED UNITS]])</f>
        <v/>
      </c>
      <c r="I51" s="187" t="str">
        <f xml:space="preserve">
IF(CHSHTATbl[[#This Row],[MANUFACTURED TOTAL REQUESTED]]=0,"",
CHSHTATbl[[#This Row],[MANUFACTURED TOTAL REQUESTED]]*
IF(CH_SHTA_ManufacturedTotalRequested&lt;=(500000-E$61),1,
(500000-E$61)/CH_SHTA_ManufacturedTotalRequested)
)</f>
        <v/>
      </c>
      <c r="J51" s="185" t="str">
        <f>IF(CHSHTATbl[[#This Row],[MANUFACTURED % OF FUNDING]]=0,"",CHSHTATbl[[#This Row],[MANUFACTURED % OF FUNDING]])</f>
        <v/>
      </c>
      <c r="K51" s="177" t="s">
        <v>513</v>
      </c>
      <c r="L51" s="190" t="str">
        <f>IF(CHSHTATbl[[#This Row],[RURAL UNITS]]=0,"",CHSHTATbl[[#This Row],[RURAL UNITS]])</f>
        <v/>
      </c>
      <c r="M51" s="187" t="str">
        <f xml:space="preserve">
IF(CHSHTATbl[[#This Row],[RURAL TOTAL REQUESTED]]=0,"",
CHSHTATbl[[#This Row],[RURAL TOTAL REQUESTED]]*
IF(CH_SHTA_RuralTotalRequested&lt;=(500000-E$61-I$61),1,
(500000-E$61-I$61)/CH_SHTA_RuralTotalRequested)
)</f>
        <v/>
      </c>
      <c r="N51" s="191" t="str">
        <f>IF(CHSHTATbl[[#This Row],[RURAL % OF FUNDING]]=0,"",CHSHTATbl[[#This Row],[RURAL % OF FUNDING]])</f>
        <v/>
      </c>
      <c r="O51" s="177" t="s">
        <v>513</v>
      </c>
      <c r="P51" s="193" t="str">
        <f>IF(CHSHTATbl[[#This Row],[MFD RURAL UNITS]]=0,"",CHSHTATbl[[#This Row],[MFD RURAL UNITS]])</f>
        <v/>
      </c>
      <c r="Q51" s="187" t="str">
        <f xml:space="preserve">
IF(CHSHTATbl[[#This Row],[MFD RURAL TOTAL REQUESTED]]=0,"",
CHSHTATbl[[#This Row],[MFD RURAL TOTAL REQUESTED]]*
IF(CH_SHTA_MFDRuralTotalRequested&lt;=(500000-E$61-I$61-M$61),1,
(500000-E$61-I$61-M$61)/CH_SHTA_MFDRuralTotalRequested)
)</f>
        <v/>
      </c>
      <c r="R51" s="191" t="str">
        <f>IF(CHSHTATbl[[#This Row],[MFD RURAL % OF FUNDING]]=0,"",CHSHTATbl[[#This Row],[MFD RURAL % OF FUNDING]])</f>
        <v/>
      </c>
      <c r="S51" s="31"/>
      <c r="T51" s="196"/>
      <c r="U51" s="119"/>
      <c r="V51" s="197"/>
      <c r="W51" s="123"/>
      <c r="X51" s="161"/>
      <c r="Y51" s="198"/>
      <c r="Z51" s="74">
        <f t="shared" si="4"/>
        <v>0</v>
      </c>
      <c r="AA51" s="6">
        <f>IF(CHSHTATbl[[#This Row],[UNRESTRICTED TOTAL REQUESTED]]=0,0,CHSHTATbl[[#This Row],[UNRESTRICTED TOTAL REQUESTED]]/CH_SHTA_UnrestrictedTotalRequested)</f>
        <v>0</v>
      </c>
      <c r="AB51" s="752">
        <f>IF(CHSHTATbl[[#This Row],[ALL UNITS IN A HIGH OR HIGHEST RESOURCE AREA]]="Yes",10*CHSHTATbl[[#This Row],[UNRESTRICTED % OF FUNDING]],0)</f>
        <v>0</v>
      </c>
      <c r="AC51" s="752" cm="1">
        <f t="array" ref="AC51">INDEX(CountyScoresTbl[Community Need Total Points],ROW(CHSHTATbl[[#This Row],[COUNTY]])-2,1)*CHSHTATbl[[#This Row],[UNRESTRICTED % OF FUNDING]]</f>
        <v>0</v>
      </c>
      <c r="AD51" s="752" cm="1">
        <f t="array" ref="AD51">INDEX(CountyScoresTbl[SHTA Total Feasibility Points Awarded],ROW(CHSHTATbl[[#This Row],[COUNTY]])-2,1)*CHSHTATbl[[#This Row],[UNRESTRICTED % OF FUNDING]]</f>
        <v>0</v>
      </c>
      <c r="AE51" s="125"/>
      <c r="AF51" s="161"/>
      <c r="AG51" s="198"/>
      <c r="AH51" s="74">
        <f t="shared" si="5"/>
        <v>0</v>
      </c>
      <c r="AI51" s="9">
        <f>IF(CHSHTATbl[[#This Row],[MANUFACTURED TOTAL REQUESTED]]=0,0,CHSHTATbl[[#This Row],[MANUFACTURED TOTAL REQUESTED]]/CH_SHTA_ManufacturedTotalRequested)</f>
        <v>0</v>
      </c>
      <c r="AJ51" s="665">
        <f>IF(CHSHTATbl[[#This Row],[ALL UNITS IN A HIGH OR HIGHEST RESOURCE AREA]]="Yes",10*CHSHTATbl[[#This Row],[MANUFACTURED % OF FUNDING]],0)</f>
        <v>0</v>
      </c>
      <c r="AK51" s="665" cm="1">
        <f t="array" ref="AK51">INDEX(CountyScoresTbl[Community Need Total Points],ROW(CHSHTATbl[[#This Row],[COUNTY]])-2,1)*CHSHTATbl[[#This Row],[MANUFACTURED % OF FUNDING]]</f>
        <v>0</v>
      </c>
      <c r="AL51" s="666" cm="1">
        <f t="array" ref="AL51">INDEX(CountyScoresTbl[SHTA Total Feasibility Points Awarded],ROW(CHSHTATbl[[#This Row],[COUNTY]])-2,1)*CHSHTATbl[[#This Row],[MANUFACTURED % OF FUNDING]]</f>
        <v>0</v>
      </c>
      <c r="AM51" s="123"/>
      <c r="AN51" s="161"/>
      <c r="AO51" s="198"/>
      <c r="AP51" s="74">
        <f t="shared" si="6"/>
        <v>0</v>
      </c>
      <c r="AQ51" s="6">
        <f>IF(CHSHTATbl[[#This Row],[RURAL TOTAL REQUESTED]]=0,0,CHSHTATbl[[#This Row],[RURAL TOTAL REQUESTED]]/CH_SHTA_RuralTotalRequested)</f>
        <v>0</v>
      </c>
      <c r="AR51" s="665">
        <f>IF(CHSHTATbl[[#This Row],[ALL UNITS IN A HIGH OR HIGHEST RESOURCE AREA]]="Yes",10*CHSHTATbl[[#This Row],[RURAL % OF FUNDING]],0)</f>
        <v>0</v>
      </c>
      <c r="AS51" s="665" cm="1">
        <f t="array" ref="AS51">INDEX(CountyScoresTbl[Community Need Total Points],ROW(CHSHTATbl[[#This Row],[COUNTY]])-2,1)*CHSHTATbl[[#This Row],[RURAL % OF FUNDING]]</f>
        <v>0</v>
      </c>
      <c r="AT51" s="666" cm="1">
        <f t="array" ref="AT51">INDEX(CountyScoresTbl[SHTA Total Feasibility Points Awarded],ROW(CHSHTATbl[[#This Row],[COUNTY]])-2,1)*CHSHTATbl[[#This Row],[RURAL % OF FUNDING]]</f>
        <v>0</v>
      </c>
      <c r="AU51" s="123"/>
      <c r="AV51" s="161"/>
      <c r="AW51" s="198"/>
      <c r="AX51" s="74">
        <f t="shared" si="7"/>
        <v>0</v>
      </c>
      <c r="AY51" s="6">
        <f>IF(CHSHTATbl[[#This Row],[MFD RURAL TOTAL REQUESTED]]=0,0,CHSHTATbl[[#This Row],[MFD RURAL TOTAL REQUESTED]]/CH_SHTA_MFDRuralTotalRequested)</f>
        <v>0</v>
      </c>
      <c r="AZ51" s="665">
        <f>IF(CHSHTATbl[[#This Row],[ALL UNITS IN A HIGH OR HIGHEST RESOURCE AREA]]="Yes",10*CHSHTATbl[[#This Row],[MFD RURAL % OF FUNDING]],0)</f>
        <v>0</v>
      </c>
      <c r="BA51" s="665" cm="1">
        <f t="array" ref="BA51">INDEX(CountyScoresTbl[Community Need Total Points],ROW(CHSHTATbl[[#This Row],[COUNTY]])-2,1)*CHSHTATbl[[#This Row],[MFD RURAL % OF FUNDING]]</f>
        <v>0</v>
      </c>
      <c r="BB51" s="666" cm="1">
        <f t="array" ref="BB51">INDEX(CountyScoresTbl[SHTA Total Feasibility Points Awarded],ROW(CHSHTATbl[[#This Row],[COUNTY]])-2,1)*CHSHTATbl[[#This Row],[MFD RURAL % OF FUNDING]]</f>
        <v>0</v>
      </c>
      <c r="BC51" s="764"/>
      <c r="BD51" s="765">
        <f>IF(CHSHTATbl[[#This Row],[INFILL SITE]]="Yes",5,3)*CHSHTATbl[[#This Row],[UNRESTRICTED % OF FUNDING]]</f>
        <v>0</v>
      </c>
      <c r="BE51" s="694">
        <f>IF(CHSHTATbl[[#This Row],[INFILL SITE]]="Yes",5,3)*CHSHTATbl[[#This Row],[MANUFACTURED % OF FUNDING]]</f>
        <v>0</v>
      </c>
      <c r="BF51" s="694">
        <f>IF(CHSHTATbl[[#This Row],[INFILL SITE]]="Yes",5,3)*CHSHTATbl[[#This Row],[RURAL % OF FUNDING]]</f>
        <v>0</v>
      </c>
      <c r="BG51" s="694">
        <f>IF(CHSHTATbl[[#This Row],[INFILL SITE]]="Yes",5,3)*CHSHTATbl[[#This Row],[MFD RURAL % OF FUNDING]]</f>
        <v>0</v>
      </c>
    </row>
    <row r="52" spans="1:59" x14ac:dyDescent="0.35">
      <c r="A52" s="124"/>
      <c r="B52" s="179" t="s">
        <v>164</v>
      </c>
      <c r="C52" s="177" t="s">
        <v>513</v>
      </c>
      <c r="D52" s="183" t="str">
        <f>IF(CHSHTATbl[[#This Row],[UNRESTRICTED UNITS]]=0,"",CHSHTATbl[[#This Row],[UNRESTRICTED UNITS]])</f>
        <v/>
      </c>
      <c r="E52" s="184" t="str">
        <f xml:space="preserve">
IF(CHSHTATbl[[#This Row],[UNRESTRICTED TOTAL REQUESTED]]=0,"",
CHSHTATbl[[#This Row],[UNRESTRICTED TOTAL REQUESTED]]*
IF(CH_SHTA_UnrestrictedTotalRequested&lt;=500000,1,
500000/CH_SHTA_UnrestrictedTotalRequested)
)</f>
        <v/>
      </c>
      <c r="F52" s="185" t="str">
        <f>IF(CHSHTATbl[[#This Row],[UNRESTRICTED % OF FUNDING]]=0,"",CHSHTATbl[[#This Row],[UNRESTRICTED % OF FUNDING]])</f>
        <v/>
      </c>
      <c r="G52" s="177" t="s">
        <v>513</v>
      </c>
      <c r="H52" s="183" t="str">
        <f>IF(CHSHTATbl[[#This Row],[MANUFACTURED UNITS]]=0,"",CHSHTATbl[[#This Row],[MANUFACTURED UNITS]])</f>
        <v/>
      </c>
      <c r="I52" s="187" t="str">
        <f xml:space="preserve">
IF(CHSHTATbl[[#This Row],[MANUFACTURED TOTAL REQUESTED]]=0,"",
CHSHTATbl[[#This Row],[MANUFACTURED TOTAL REQUESTED]]*
IF(CH_SHTA_ManufacturedTotalRequested&lt;=(500000-E$61),1,
(500000-E$61)/CH_SHTA_ManufacturedTotalRequested)
)</f>
        <v/>
      </c>
      <c r="J52" s="185" t="str">
        <f>IF(CHSHTATbl[[#This Row],[MANUFACTURED % OF FUNDING]]=0,"",CHSHTATbl[[#This Row],[MANUFACTURED % OF FUNDING]])</f>
        <v/>
      </c>
      <c r="K52" s="177" t="s">
        <v>513</v>
      </c>
      <c r="L52" s="190" t="str">
        <f>IF(CHSHTATbl[[#This Row],[RURAL UNITS]]=0,"",CHSHTATbl[[#This Row],[RURAL UNITS]])</f>
        <v/>
      </c>
      <c r="M52" s="187" t="str">
        <f xml:space="preserve">
IF(CHSHTATbl[[#This Row],[RURAL TOTAL REQUESTED]]=0,"",
CHSHTATbl[[#This Row],[RURAL TOTAL REQUESTED]]*
IF(CH_SHTA_RuralTotalRequested&lt;=(500000-E$61-I$61),1,
(500000-E$61-I$61)/CH_SHTA_RuralTotalRequested)
)</f>
        <v/>
      </c>
      <c r="N52" s="191" t="str">
        <f>IF(CHSHTATbl[[#This Row],[RURAL % OF FUNDING]]=0,"",CHSHTATbl[[#This Row],[RURAL % OF FUNDING]])</f>
        <v/>
      </c>
      <c r="O52" s="177" t="s">
        <v>513</v>
      </c>
      <c r="P52" s="193" t="str">
        <f>IF(CHSHTATbl[[#This Row],[MFD RURAL UNITS]]=0,"",CHSHTATbl[[#This Row],[MFD RURAL UNITS]])</f>
        <v/>
      </c>
      <c r="Q52" s="187" t="str">
        <f xml:space="preserve">
IF(CHSHTATbl[[#This Row],[MFD RURAL TOTAL REQUESTED]]=0,"",
CHSHTATbl[[#This Row],[MFD RURAL TOTAL REQUESTED]]*
IF(CH_SHTA_MFDRuralTotalRequested&lt;=(500000-E$61-I$61-M$61),1,
(500000-E$61-I$61-M$61)/CH_SHTA_MFDRuralTotalRequested)
)</f>
        <v/>
      </c>
      <c r="R52" s="191" t="str">
        <f>IF(CHSHTATbl[[#This Row],[MFD RURAL % OF FUNDING]]=0,"",CHSHTATbl[[#This Row],[MFD RURAL % OF FUNDING]])</f>
        <v/>
      </c>
      <c r="S52" s="31"/>
      <c r="T52" s="196"/>
      <c r="U52" s="119"/>
      <c r="V52" s="197"/>
      <c r="W52" s="123"/>
      <c r="X52" s="161"/>
      <c r="Y52" s="198"/>
      <c r="Z52" s="74">
        <f t="shared" si="4"/>
        <v>0</v>
      </c>
      <c r="AA52" s="6">
        <f>IF(CHSHTATbl[[#This Row],[UNRESTRICTED TOTAL REQUESTED]]=0,0,CHSHTATbl[[#This Row],[UNRESTRICTED TOTAL REQUESTED]]/CH_SHTA_UnrestrictedTotalRequested)</f>
        <v>0</v>
      </c>
      <c r="AB52" s="752">
        <f>IF(CHSHTATbl[[#This Row],[ALL UNITS IN A HIGH OR HIGHEST RESOURCE AREA]]="Yes",10*CHSHTATbl[[#This Row],[UNRESTRICTED % OF FUNDING]],0)</f>
        <v>0</v>
      </c>
      <c r="AC52" s="752" cm="1">
        <f t="array" ref="AC52">INDEX(CountyScoresTbl[Community Need Total Points],ROW(CHSHTATbl[[#This Row],[COUNTY]])-2,1)*CHSHTATbl[[#This Row],[UNRESTRICTED % OF FUNDING]]</f>
        <v>0</v>
      </c>
      <c r="AD52" s="752" cm="1">
        <f t="array" ref="AD52">INDEX(CountyScoresTbl[SHTA Total Feasibility Points Awarded],ROW(CHSHTATbl[[#This Row],[COUNTY]])-2,1)*CHSHTATbl[[#This Row],[UNRESTRICTED % OF FUNDING]]</f>
        <v>0</v>
      </c>
      <c r="AE52" s="125"/>
      <c r="AF52" s="161"/>
      <c r="AG52" s="198"/>
      <c r="AH52" s="74">
        <f t="shared" si="5"/>
        <v>0</v>
      </c>
      <c r="AI52" s="9">
        <f>IF(CHSHTATbl[[#This Row],[MANUFACTURED TOTAL REQUESTED]]=0,0,CHSHTATbl[[#This Row],[MANUFACTURED TOTAL REQUESTED]]/CH_SHTA_ManufacturedTotalRequested)</f>
        <v>0</v>
      </c>
      <c r="AJ52" s="665">
        <f>IF(CHSHTATbl[[#This Row],[ALL UNITS IN A HIGH OR HIGHEST RESOURCE AREA]]="Yes",10*CHSHTATbl[[#This Row],[MANUFACTURED % OF FUNDING]],0)</f>
        <v>0</v>
      </c>
      <c r="AK52" s="665" cm="1">
        <f t="array" ref="AK52">INDEX(CountyScoresTbl[Community Need Total Points],ROW(CHSHTATbl[[#This Row],[COUNTY]])-2,1)*CHSHTATbl[[#This Row],[MANUFACTURED % OF FUNDING]]</f>
        <v>0</v>
      </c>
      <c r="AL52" s="666" cm="1">
        <f t="array" ref="AL52">INDEX(CountyScoresTbl[SHTA Total Feasibility Points Awarded],ROW(CHSHTATbl[[#This Row],[COUNTY]])-2,1)*CHSHTATbl[[#This Row],[MANUFACTURED % OF FUNDING]]</f>
        <v>0</v>
      </c>
      <c r="AM52" s="123"/>
      <c r="AN52" s="161"/>
      <c r="AO52" s="198"/>
      <c r="AP52" s="74">
        <f t="shared" si="6"/>
        <v>0</v>
      </c>
      <c r="AQ52" s="6">
        <f>IF(CHSHTATbl[[#This Row],[RURAL TOTAL REQUESTED]]=0,0,CHSHTATbl[[#This Row],[RURAL TOTAL REQUESTED]]/CH_SHTA_RuralTotalRequested)</f>
        <v>0</v>
      </c>
      <c r="AR52" s="665">
        <f>IF(CHSHTATbl[[#This Row],[ALL UNITS IN A HIGH OR HIGHEST RESOURCE AREA]]="Yes",10*CHSHTATbl[[#This Row],[RURAL % OF FUNDING]],0)</f>
        <v>0</v>
      </c>
      <c r="AS52" s="665" cm="1">
        <f t="array" ref="AS52">INDEX(CountyScoresTbl[Community Need Total Points],ROW(CHSHTATbl[[#This Row],[COUNTY]])-2,1)*CHSHTATbl[[#This Row],[RURAL % OF FUNDING]]</f>
        <v>0</v>
      </c>
      <c r="AT52" s="666" cm="1">
        <f t="array" ref="AT52">INDEX(CountyScoresTbl[SHTA Total Feasibility Points Awarded],ROW(CHSHTATbl[[#This Row],[COUNTY]])-2,1)*CHSHTATbl[[#This Row],[RURAL % OF FUNDING]]</f>
        <v>0</v>
      </c>
      <c r="AU52" s="123"/>
      <c r="AV52" s="161"/>
      <c r="AW52" s="198"/>
      <c r="AX52" s="74">
        <f t="shared" si="7"/>
        <v>0</v>
      </c>
      <c r="AY52" s="6">
        <f>IF(CHSHTATbl[[#This Row],[MFD RURAL TOTAL REQUESTED]]=0,0,CHSHTATbl[[#This Row],[MFD RURAL TOTAL REQUESTED]]/CH_SHTA_MFDRuralTotalRequested)</f>
        <v>0</v>
      </c>
      <c r="AZ52" s="665">
        <f>IF(CHSHTATbl[[#This Row],[ALL UNITS IN A HIGH OR HIGHEST RESOURCE AREA]]="Yes",10*CHSHTATbl[[#This Row],[MFD RURAL % OF FUNDING]],0)</f>
        <v>0</v>
      </c>
      <c r="BA52" s="665" cm="1">
        <f t="array" ref="BA52">INDEX(CountyScoresTbl[Community Need Total Points],ROW(CHSHTATbl[[#This Row],[COUNTY]])-2,1)*CHSHTATbl[[#This Row],[MFD RURAL % OF FUNDING]]</f>
        <v>0</v>
      </c>
      <c r="BB52" s="666" cm="1">
        <f t="array" ref="BB52">INDEX(CountyScoresTbl[SHTA Total Feasibility Points Awarded],ROW(CHSHTATbl[[#This Row],[COUNTY]])-2,1)*CHSHTATbl[[#This Row],[MFD RURAL % OF FUNDING]]</f>
        <v>0</v>
      </c>
      <c r="BC52" s="764"/>
      <c r="BD52" s="765">
        <f>IF(CHSHTATbl[[#This Row],[INFILL SITE]]="Yes",5,3)*CHSHTATbl[[#This Row],[UNRESTRICTED % OF FUNDING]]</f>
        <v>0</v>
      </c>
      <c r="BE52" s="694">
        <f>IF(CHSHTATbl[[#This Row],[INFILL SITE]]="Yes",5,3)*CHSHTATbl[[#This Row],[MANUFACTURED % OF FUNDING]]</f>
        <v>0</v>
      </c>
      <c r="BF52" s="694">
        <f>IF(CHSHTATbl[[#This Row],[INFILL SITE]]="Yes",5,3)*CHSHTATbl[[#This Row],[RURAL % OF FUNDING]]</f>
        <v>0</v>
      </c>
      <c r="BG52" s="694">
        <f>IF(CHSHTATbl[[#This Row],[INFILL SITE]]="Yes",5,3)*CHSHTATbl[[#This Row],[MFD RURAL % OF FUNDING]]</f>
        <v>0</v>
      </c>
    </row>
    <row r="53" spans="1:59" x14ac:dyDescent="0.35">
      <c r="A53" s="124"/>
      <c r="B53" s="179" t="s">
        <v>165</v>
      </c>
      <c r="C53" s="177" t="s">
        <v>513</v>
      </c>
      <c r="D53" s="183" t="str">
        <f>IF(CHSHTATbl[[#This Row],[UNRESTRICTED UNITS]]=0,"",CHSHTATbl[[#This Row],[UNRESTRICTED UNITS]])</f>
        <v/>
      </c>
      <c r="E53" s="184" t="str">
        <f xml:space="preserve">
IF(CHSHTATbl[[#This Row],[UNRESTRICTED TOTAL REQUESTED]]=0,"",
CHSHTATbl[[#This Row],[UNRESTRICTED TOTAL REQUESTED]]*
IF(CH_SHTA_UnrestrictedTotalRequested&lt;=500000,1,
500000/CH_SHTA_UnrestrictedTotalRequested)
)</f>
        <v/>
      </c>
      <c r="F53" s="185" t="str">
        <f>IF(CHSHTATbl[[#This Row],[UNRESTRICTED % OF FUNDING]]=0,"",CHSHTATbl[[#This Row],[UNRESTRICTED % OF FUNDING]])</f>
        <v/>
      </c>
      <c r="G53" s="177" t="s">
        <v>513</v>
      </c>
      <c r="H53" s="183" t="str">
        <f>IF(CHSHTATbl[[#This Row],[MANUFACTURED UNITS]]=0,"",CHSHTATbl[[#This Row],[MANUFACTURED UNITS]])</f>
        <v/>
      </c>
      <c r="I53" s="187" t="str">
        <f xml:space="preserve">
IF(CHSHTATbl[[#This Row],[MANUFACTURED TOTAL REQUESTED]]=0,"",
CHSHTATbl[[#This Row],[MANUFACTURED TOTAL REQUESTED]]*
IF(CH_SHTA_ManufacturedTotalRequested&lt;=(500000-E$61),1,
(500000-E$61)/CH_SHTA_ManufacturedTotalRequested)
)</f>
        <v/>
      </c>
      <c r="J53" s="185" t="str">
        <f>IF(CHSHTATbl[[#This Row],[MANUFACTURED % OF FUNDING]]=0,"",CHSHTATbl[[#This Row],[MANUFACTURED % OF FUNDING]])</f>
        <v/>
      </c>
      <c r="K53" s="177" t="s">
        <v>513</v>
      </c>
      <c r="L53" s="190" t="str">
        <f>IF(CHSHTATbl[[#This Row],[RURAL UNITS]]=0,"",CHSHTATbl[[#This Row],[RURAL UNITS]])</f>
        <v/>
      </c>
      <c r="M53" s="187" t="str">
        <f xml:space="preserve">
IF(CHSHTATbl[[#This Row],[RURAL TOTAL REQUESTED]]=0,"",
CHSHTATbl[[#This Row],[RURAL TOTAL REQUESTED]]*
IF(CH_SHTA_RuralTotalRequested&lt;=(500000-E$61-I$61),1,
(500000-E$61-I$61)/CH_SHTA_RuralTotalRequested)
)</f>
        <v/>
      </c>
      <c r="N53" s="191" t="str">
        <f>IF(CHSHTATbl[[#This Row],[RURAL % OF FUNDING]]=0,"",CHSHTATbl[[#This Row],[RURAL % OF FUNDING]])</f>
        <v/>
      </c>
      <c r="O53" s="177" t="s">
        <v>513</v>
      </c>
      <c r="P53" s="193" t="str">
        <f>IF(CHSHTATbl[[#This Row],[MFD RURAL UNITS]]=0,"",CHSHTATbl[[#This Row],[MFD RURAL UNITS]])</f>
        <v/>
      </c>
      <c r="Q53" s="187" t="str">
        <f xml:space="preserve">
IF(CHSHTATbl[[#This Row],[MFD RURAL TOTAL REQUESTED]]=0,"",
CHSHTATbl[[#This Row],[MFD RURAL TOTAL REQUESTED]]*
IF(CH_SHTA_MFDRuralTotalRequested&lt;=(500000-E$61-I$61-M$61),1,
(500000-E$61-I$61-M$61)/CH_SHTA_MFDRuralTotalRequested)
)</f>
        <v/>
      </c>
      <c r="R53" s="191" t="str">
        <f>IF(CHSHTATbl[[#This Row],[MFD RURAL % OF FUNDING]]=0,"",CHSHTATbl[[#This Row],[MFD RURAL % OF FUNDING]])</f>
        <v/>
      </c>
      <c r="S53" s="31"/>
      <c r="T53" s="196"/>
      <c r="U53" s="119"/>
      <c r="V53" s="197"/>
      <c r="W53" s="123"/>
      <c r="X53" s="161"/>
      <c r="Y53" s="198"/>
      <c r="Z53" s="74">
        <f t="shared" si="4"/>
        <v>0</v>
      </c>
      <c r="AA53" s="6">
        <f>IF(CHSHTATbl[[#This Row],[UNRESTRICTED TOTAL REQUESTED]]=0,0,CHSHTATbl[[#This Row],[UNRESTRICTED TOTAL REQUESTED]]/CH_SHTA_UnrestrictedTotalRequested)</f>
        <v>0</v>
      </c>
      <c r="AB53" s="752">
        <f>IF(CHSHTATbl[[#This Row],[ALL UNITS IN A HIGH OR HIGHEST RESOURCE AREA]]="Yes",10*CHSHTATbl[[#This Row],[UNRESTRICTED % OF FUNDING]],0)</f>
        <v>0</v>
      </c>
      <c r="AC53" s="752" cm="1">
        <f t="array" ref="AC53">INDEX(CountyScoresTbl[Community Need Total Points],ROW(CHSHTATbl[[#This Row],[COUNTY]])-2,1)*CHSHTATbl[[#This Row],[UNRESTRICTED % OF FUNDING]]</f>
        <v>0</v>
      </c>
      <c r="AD53" s="752" cm="1">
        <f t="array" ref="AD53">INDEX(CountyScoresTbl[SHTA Total Feasibility Points Awarded],ROW(CHSHTATbl[[#This Row],[COUNTY]])-2,1)*CHSHTATbl[[#This Row],[UNRESTRICTED % OF FUNDING]]</f>
        <v>0</v>
      </c>
      <c r="AE53" s="125"/>
      <c r="AF53" s="161"/>
      <c r="AG53" s="198"/>
      <c r="AH53" s="74">
        <f t="shared" si="5"/>
        <v>0</v>
      </c>
      <c r="AI53" s="9">
        <f>IF(CHSHTATbl[[#This Row],[MANUFACTURED TOTAL REQUESTED]]=0,0,CHSHTATbl[[#This Row],[MANUFACTURED TOTAL REQUESTED]]/CH_SHTA_ManufacturedTotalRequested)</f>
        <v>0</v>
      </c>
      <c r="AJ53" s="665">
        <f>IF(CHSHTATbl[[#This Row],[ALL UNITS IN A HIGH OR HIGHEST RESOURCE AREA]]="Yes",10*CHSHTATbl[[#This Row],[MANUFACTURED % OF FUNDING]],0)</f>
        <v>0</v>
      </c>
      <c r="AK53" s="665" cm="1">
        <f t="array" ref="AK53">INDEX(CountyScoresTbl[Community Need Total Points],ROW(CHSHTATbl[[#This Row],[COUNTY]])-2,1)*CHSHTATbl[[#This Row],[MANUFACTURED % OF FUNDING]]</f>
        <v>0</v>
      </c>
      <c r="AL53" s="666" cm="1">
        <f t="array" ref="AL53">INDEX(CountyScoresTbl[SHTA Total Feasibility Points Awarded],ROW(CHSHTATbl[[#This Row],[COUNTY]])-2,1)*CHSHTATbl[[#This Row],[MANUFACTURED % OF FUNDING]]</f>
        <v>0</v>
      </c>
      <c r="AM53" s="123"/>
      <c r="AN53" s="161"/>
      <c r="AO53" s="198"/>
      <c r="AP53" s="74">
        <f t="shared" si="6"/>
        <v>0</v>
      </c>
      <c r="AQ53" s="6">
        <f>IF(CHSHTATbl[[#This Row],[RURAL TOTAL REQUESTED]]=0,0,CHSHTATbl[[#This Row],[RURAL TOTAL REQUESTED]]/CH_SHTA_RuralTotalRequested)</f>
        <v>0</v>
      </c>
      <c r="AR53" s="665">
        <f>IF(CHSHTATbl[[#This Row],[ALL UNITS IN A HIGH OR HIGHEST RESOURCE AREA]]="Yes",10*CHSHTATbl[[#This Row],[RURAL % OF FUNDING]],0)</f>
        <v>0</v>
      </c>
      <c r="AS53" s="665" cm="1">
        <f t="array" ref="AS53">INDEX(CountyScoresTbl[Community Need Total Points],ROW(CHSHTATbl[[#This Row],[COUNTY]])-2,1)*CHSHTATbl[[#This Row],[RURAL % OF FUNDING]]</f>
        <v>0</v>
      </c>
      <c r="AT53" s="666" cm="1">
        <f t="array" ref="AT53">INDEX(CountyScoresTbl[SHTA Total Feasibility Points Awarded],ROW(CHSHTATbl[[#This Row],[COUNTY]])-2,1)*CHSHTATbl[[#This Row],[RURAL % OF FUNDING]]</f>
        <v>0</v>
      </c>
      <c r="AU53" s="123"/>
      <c r="AV53" s="161"/>
      <c r="AW53" s="198"/>
      <c r="AX53" s="74">
        <f t="shared" si="7"/>
        <v>0</v>
      </c>
      <c r="AY53" s="6">
        <f>IF(CHSHTATbl[[#This Row],[MFD RURAL TOTAL REQUESTED]]=0,0,CHSHTATbl[[#This Row],[MFD RURAL TOTAL REQUESTED]]/CH_SHTA_MFDRuralTotalRequested)</f>
        <v>0</v>
      </c>
      <c r="AZ53" s="665">
        <f>IF(CHSHTATbl[[#This Row],[ALL UNITS IN A HIGH OR HIGHEST RESOURCE AREA]]="Yes",10*CHSHTATbl[[#This Row],[MFD RURAL % OF FUNDING]],0)</f>
        <v>0</v>
      </c>
      <c r="BA53" s="665" cm="1">
        <f t="array" ref="BA53">INDEX(CountyScoresTbl[Community Need Total Points],ROW(CHSHTATbl[[#This Row],[COUNTY]])-2,1)*CHSHTATbl[[#This Row],[MFD RURAL % OF FUNDING]]</f>
        <v>0</v>
      </c>
      <c r="BB53" s="666" cm="1">
        <f t="array" ref="BB53">INDEX(CountyScoresTbl[SHTA Total Feasibility Points Awarded],ROW(CHSHTATbl[[#This Row],[COUNTY]])-2,1)*CHSHTATbl[[#This Row],[MFD RURAL % OF FUNDING]]</f>
        <v>0</v>
      </c>
      <c r="BC53" s="764"/>
      <c r="BD53" s="765">
        <f>IF(CHSHTATbl[[#This Row],[INFILL SITE]]="Yes",5,3)*CHSHTATbl[[#This Row],[UNRESTRICTED % OF FUNDING]]</f>
        <v>0</v>
      </c>
      <c r="BE53" s="694">
        <f>IF(CHSHTATbl[[#This Row],[INFILL SITE]]="Yes",5,3)*CHSHTATbl[[#This Row],[MANUFACTURED % OF FUNDING]]</f>
        <v>0</v>
      </c>
      <c r="BF53" s="694">
        <f>IF(CHSHTATbl[[#This Row],[INFILL SITE]]="Yes",5,3)*CHSHTATbl[[#This Row],[RURAL % OF FUNDING]]</f>
        <v>0</v>
      </c>
      <c r="BG53" s="694">
        <f>IF(CHSHTATbl[[#This Row],[INFILL SITE]]="Yes",5,3)*CHSHTATbl[[#This Row],[MFD RURAL % OF FUNDING]]</f>
        <v>0</v>
      </c>
    </row>
    <row r="54" spans="1:59" x14ac:dyDescent="0.35">
      <c r="A54" s="167"/>
      <c r="B54" s="179" t="s">
        <v>166</v>
      </c>
      <c r="C54" s="177" t="s">
        <v>513</v>
      </c>
      <c r="D54" s="183" t="str">
        <f>IF(CHSHTATbl[[#This Row],[UNRESTRICTED UNITS]]=0,"",CHSHTATbl[[#This Row],[UNRESTRICTED UNITS]])</f>
        <v/>
      </c>
      <c r="E54" s="184" t="str">
        <f xml:space="preserve">
IF(CHSHTATbl[[#This Row],[UNRESTRICTED TOTAL REQUESTED]]=0,"",
CHSHTATbl[[#This Row],[UNRESTRICTED TOTAL REQUESTED]]*
IF(CH_SHTA_UnrestrictedTotalRequested&lt;=500000,1,
500000/CH_SHTA_UnrestrictedTotalRequested)
)</f>
        <v/>
      </c>
      <c r="F54" s="185" t="str">
        <f>IF(CHSHTATbl[[#This Row],[UNRESTRICTED % OF FUNDING]]=0,"",CHSHTATbl[[#This Row],[UNRESTRICTED % OF FUNDING]])</f>
        <v/>
      </c>
      <c r="G54" s="177" t="s">
        <v>513</v>
      </c>
      <c r="H54" s="183" t="str">
        <f>IF(CHSHTATbl[[#This Row],[MANUFACTURED UNITS]]=0,"",CHSHTATbl[[#This Row],[MANUFACTURED UNITS]])</f>
        <v/>
      </c>
      <c r="I54" s="187" t="str">
        <f xml:space="preserve">
IF(CHSHTATbl[[#This Row],[MANUFACTURED TOTAL REQUESTED]]=0,"",
CHSHTATbl[[#This Row],[MANUFACTURED TOTAL REQUESTED]]*
IF(CH_SHTA_ManufacturedTotalRequested&lt;=(500000-E$61),1,
(500000-E$61)/CH_SHTA_ManufacturedTotalRequested)
)</f>
        <v/>
      </c>
      <c r="J54" s="185" t="str">
        <f>IF(CHSHTATbl[[#This Row],[MANUFACTURED % OF FUNDING]]=0,"",CHSHTATbl[[#This Row],[MANUFACTURED % OF FUNDING]])</f>
        <v/>
      </c>
      <c r="K54" s="177" t="s">
        <v>513</v>
      </c>
      <c r="L54" s="190" t="str">
        <f>IF(CHSHTATbl[[#This Row],[RURAL UNITS]]=0,"",CHSHTATbl[[#This Row],[RURAL UNITS]])</f>
        <v/>
      </c>
      <c r="M54" s="187" t="str">
        <f xml:space="preserve">
IF(CHSHTATbl[[#This Row],[RURAL TOTAL REQUESTED]]=0,"",
CHSHTATbl[[#This Row],[RURAL TOTAL REQUESTED]]*
IF(CH_SHTA_RuralTotalRequested&lt;=(500000-E$61-I$61),1,
(500000-E$61-I$61)/CH_SHTA_RuralTotalRequested)
)</f>
        <v/>
      </c>
      <c r="N54" s="191" t="str">
        <f>IF(CHSHTATbl[[#This Row],[RURAL % OF FUNDING]]=0,"",CHSHTATbl[[#This Row],[RURAL % OF FUNDING]])</f>
        <v/>
      </c>
      <c r="O54" s="177" t="s">
        <v>513</v>
      </c>
      <c r="P54" s="193" t="str">
        <f>IF(CHSHTATbl[[#This Row],[MFD RURAL UNITS]]=0,"",CHSHTATbl[[#This Row],[MFD RURAL UNITS]])</f>
        <v/>
      </c>
      <c r="Q54" s="187" t="str">
        <f xml:space="preserve">
IF(CHSHTATbl[[#This Row],[MFD RURAL TOTAL REQUESTED]]=0,"",
CHSHTATbl[[#This Row],[MFD RURAL TOTAL REQUESTED]]*
IF(CH_SHTA_MFDRuralTotalRequested&lt;=(500000-E$61-I$61-M$61),1,
(500000-E$61-I$61-M$61)/CH_SHTA_MFDRuralTotalRequested)
)</f>
        <v/>
      </c>
      <c r="R54" s="191" t="str">
        <f>IF(CHSHTATbl[[#This Row],[MFD RURAL % OF FUNDING]]=0,"",CHSHTATbl[[#This Row],[MFD RURAL % OF FUNDING]])</f>
        <v/>
      </c>
      <c r="S54" s="31"/>
      <c r="T54" s="163"/>
      <c r="U54" s="164"/>
      <c r="V54" s="199"/>
      <c r="W54" s="123"/>
      <c r="X54" s="161"/>
      <c r="Y54" s="198"/>
      <c r="Z54" s="74">
        <f t="shared" si="4"/>
        <v>0</v>
      </c>
      <c r="AA54" s="6">
        <f>IF(CHSHTATbl[[#This Row],[UNRESTRICTED TOTAL REQUESTED]]=0,0,CHSHTATbl[[#This Row],[UNRESTRICTED TOTAL REQUESTED]]/CH_SHTA_UnrestrictedTotalRequested)</f>
        <v>0</v>
      </c>
      <c r="AB54" s="752">
        <f>IF(CHSHTATbl[[#This Row],[ALL UNITS IN A HIGH OR HIGHEST RESOURCE AREA]]="Yes",10*CHSHTATbl[[#This Row],[UNRESTRICTED % OF FUNDING]],0)</f>
        <v>0</v>
      </c>
      <c r="AC54" s="752" cm="1">
        <f t="array" ref="AC54">INDEX(CountyScoresTbl[Community Need Total Points],ROW(CHSHTATbl[[#This Row],[COUNTY]])-2,1)*CHSHTATbl[[#This Row],[UNRESTRICTED % OF FUNDING]]</f>
        <v>0</v>
      </c>
      <c r="AD54" s="752" cm="1">
        <f t="array" ref="AD54">INDEX(CountyScoresTbl[SHTA Total Feasibility Points Awarded],ROW(CHSHTATbl[[#This Row],[COUNTY]])-2,1)*CHSHTATbl[[#This Row],[UNRESTRICTED % OF FUNDING]]</f>
        <v>0</v>
      </c>
      <c r="AE54" s="125"/>
      <c r="AF54" s="161"/>
      <c r="AG54" s="198"/>
      <c r="AH54" s="74">
        <f t="shared" si="5"/>
        <v>0</v>
      </c>
      <c r="AI54" s="9">
        <f>IF(CHSHTATbl[[#This Row],[MANUFACTURED TOTAL REQUESTED]]=0,0,CHSHTATbl[[#This Row],[MANUFACTURED TOTAL REQUESTED]]/CH_SHTA_ManufacturedTotalRequested)</f>
        <v>0</v>
      </c>
      <c r="AJ54" s="665">
        <f>IF(CHSHTATbl[[#This Row],[ALL UNITS IN A HIGH OR HIGHEST RESOURCE AREA]]="Yes",10*CHSHTATbl[[#This Row],[MANUFACTURED % OF FUNDING]],0)</f>
        <v>0</v>
      </c>
      <c r="AK54" s="665" cm="1">
        <f t="array" ref="AK54">INDEX(CountyScoresTbl[Community Need Total Points],ROW(CHSHTATbl[[#This Row],[COUNTY]])-2,1)*CHSHTATbl[[#This Row],[MANUFACTURED % OF FUNDING]]</f>
        <v>0</v>
      </c>
      <c r="AL54" s="666" cm="1">
        <f t="array" ref="AL54">INDEX(CountyScoresTbl[SHTA Total Feasibility Points Awarded],ROW(CHSHTATbl[[#This Row],[COUNTY]])-2,1)*CHSHTATbl[[#This Row],[MANUFACTURED % OF FUNDING]]</f>
        <v>0</v>
      </c>
      <c r="AM54" s="123"/>
      <c r="AN54" s="161"/>
      <c r="AO54" s="198"/>
      <c r="AP54" s="74">
        <f t="shared" si="6"/>
        <v>0</v>
      </c>
      <c r="AQ54" s="6">
        <f>IF(CHSHTATbl[[#This Row],[RURAL TOTAL REQUESTED]]=0,0,CHSHTATbl[[#This Row],[RURAL TOTAL REQUESTED]]/CH_SHTA_RuralTotalRequested)</f>
        <v>0</v>
      </c>
      <c r="AR54" s="665">
        <f>IF(CHSHTATbl[[#This Row],[ALL UNITS IN A HIGH OR HIGHEST RESOURCE AREA]]="Yes",10*CHSHTATbl[[#This Row],[RURAL % OF FUNDING]],0)</f>
        <v>0</v>
      </c>
      <c r="AS54" s="665" cm="1">
        <f t="array" ref="AS54">INDEX(CountyScoresTbl[Community Need Total Points],ROW(CHSHTATbl[[#This Row],[COUNTY]])-2,1)*CHSHTATbl[[#This Row],[RURAL % OF FUNDING]]</f>
        <v>0</v>
      </c>
      <c r="AT54" s="666" cm="1">
        <f t="array" ref="AT54">INDEX(CountyScoresTbl[SHTA Total Feasibility Points Awarded],ROW(CHSHTATbl[[#This Row],[COUNTY]])-2,1)*CHSHTATbl[[#This Row],[RURAL % OF FUNDING]]</f>
        <v>0</v>
      </c>
      <c r="AU54" s="123"/>
      <c r="AV54" s="161"/>
      <c r="AW54" s="198"/>
      <c r="AX54" s="74">
        <f t="shared" si="7"/>
        <v>0</v>
      </c>
      <c r="AY54" s="6">
        <f>IF(CHSHTATbl[[#This Row],[MFD RURAL TOTAL REQUESTED]]=0,0,CHSHTATbl[[#This Row],[MFD RURAL TOTAL REQUESTED]]/CH_SHTA_MFDRuralTotalRequested)</f>
        <v>0</v>
      </c>
      <c r="AZ54" s="665">
        <f>IF(CHSHTATbl[[#This Row],[ALL UNITS IN A HIGH OR HIGHEST RESOURCE AREA]]="Yes",10*CHSHTATbl[[#This Row],[MFD RURAL % OF FUNDING]],0)</f>
        <v>0</v>
      </c>
      <c r="BA54" s="665" cm="1">
        <f t="array" ref="BA54">INDEX(CountyScoresTbl[Community Need Total Points],ROW(CHSHTATbl[[#This Row],[COUNTY]])-2,1)*CHSHTATbl[[#This Row],[MFD RURAL % OF FUNDING]]</f>
        <v>0</v>
      </c>
      <c r="BB54" s="666" cm="1">
        <f t="array" ref="BB54">INDEX(CountyScoresTbl[SHTA Total Feasibility Points Awarded],ROW(CHSHTATbl[[#This Row],[COUNTY]])-2,1)*CHSHTATbl[[#This Row],[MFD RURAL % OF FUNDING]]</f>
        <v>0</v>
      </c>
      <c r="BC54" s="764"/>
      <c r="BD54" s="765">
        <f>IF(CHSHTATbl[[#This Row],[INFILL SITE]]="Yes",5,3)*CHSHTATbl[[#This Row],[UNRESTRICTED % OF FUNDING]]</f>
        <v>0</v>
      </c>
      <c r="BE54" s="694">
        <f>IF(CHSHTATbl[[#This Row],[INFILL SITE]]="Yes",5,3)*CHSHTATbl[[#This Row],[MANUFACTURED % OF FUNDING]]</f>
        <v>0</v>
      </c>
      <c r="BF54" s="694">
        <f>IF(CHSHTATbl[[#This Row],[INFILL SITE]]="Yes",5,3)*CHSHTATbl[[#This Row],[RURAL % OF FUNDING]]</f>
        <v>0</v>
      </c>
      <c r="BG54" s="694">
        <f>IF(CHSHTATbl[[#This Row],[INFILL SITE]]="Yes",5,3)*CHSHTATbl[[#This Row],[MFD RURAL % OF FUNDING]]</f>
        <v>0</v>
      </c>
    </row>
    <row r="55" spans="1:59" x14ac:dyDescent="0.35">
      <c r="A55" s="124"/>
      <c r="B55" s="179" t="s">
        <v>167</v>
      </c>
      <c r="C55" s="177" t="s">
        <v>513</v>
      </c>
      <c r="D55" s="183" t="str">
        <f>IF(CHSHTATbl[[#This Row],[UNRESTRICTED UNITS]]=0,"",CHSHTATbl[[#This Row],[UNRESTRICTED UNITS]])</f>
        <v/>
      </c>
      <c r="E55" s="184" t="str">
        <f xml:space="preserve">
IF(CHSHTATbl[[#This Row],[UNRESTRICTED TOTAL REQUESTED]]=0,"",
CHSHTATbl[[#This Row],[UNRESTRICTED TOTAL REQUESTED]]*
IF(CH_SHTA_UnrestrictedTotalRequested&lt;=500000,1,
500000/CH_SHTA_UnrestrictedTotalRequested)
)</f>
        <v/>
      </c>
      <c r="F55" s="185" t="str">
        <f>IF(CHSHTATbl[[#This Row],[UNRESTRICTED % OF FUNDING]]=0,"",CHSHTATbl[[#This Row],[UNRESTRICTED % OF FUNDING]])</f>
        <v/>
      </c>
      <c r="G55" s="177" t="s">
        <v>513</v>
      </c>
      <c r="H55" s="183" t="str">
        <f>IF(CHSHTATbl[[#This Row],[MANUFACTURED UNITS]]=0,"",CHSHTATbl[[#This Row],[MANUFACTURED UNITS]])</f>
        <v/>
      </c>
      <c r="I55" s="187" t="str">
        <f xml:space="preserve">
IF(CHSHTATbl[[#This Row],[MANUFACTURED TOTAL REQUESTED]]=0,"",
CHSHTATbl[[#This Row],[MANUFACTURED TOTAL REQUESTED]]*
IF(CH_SHTA_ManufacturedTotalRequested&lt;=(500000-E$61),1,
(500000-E$61)/CH_SHTA_ManufacturedTotalRequested)
)</f>
        <v/>
      </c>
      <c r="J55" s="185" t="str">
        <f>IF(CHSHTATbl[[#This Row],[MANUFACTURED % OF FUNDING]]=0,"",CHSHTATbl[[#This Row],[MANUFACTURED % OF FUNDING]])</f>
        <v/>
      </c>
      <c r="K55" s="177" t="s">
        <v>513</v>
      </c>
      <c r="L55" s="190" t="str">
        <f>IF(CHSHTATbl[[#This Row],[RURAL UNITS]]=0,"",CHSHTATbl[[#This Row],[RURAL UNITS]])</f>
        <v/>
      </c>
      <c r="M55" s="187" t="str">
        <f xml:space="preserve">
IF(CHSHTATbl[[#This Row],[RURAL TOTAL REQUESTED]]=0,"",
CHSHTATbl[[#This Row],[RURAL TOTAL REQUESTED]]*
IF(CH_SHTA_RuralTotalRequested&lt;=(500000-E$61-I$61),1,
(500000-E$61-I$61)/CH_SHTA_RuralTotalRequested)
)</f>
        <v/>
      </c>
      <c r="N55" s="191" t="str">
        <f>IF(CHSHTATbl[[#This Row],[RURAL % OF FUNDING]]=0,"",CHSHTATbl[[#This Row],[RURAL % OF FUNDING]])</f>
        <v/>
      </c>
      <c r="O55" s="177" t="s">
        <v>513</v>
      </c>
      <c r="P55" s="193" t="str">
        <f>IF(CHSHTATbl[[#This Row],[MFD RURAL UNITS]]=0,"",CHSHTATbl[[#This Row],[MFD RURAL UNITS]])</f>
        <v/>
      </c>
      <c r="Q55" s="187" t="str">
        <f xml:space="preserve">
IF(CHSHTATbl[[#This Row],[MFD RURAL TOTAL REQUESTED]]=0,"",
CHSHTATbl[[#This Row],[MFD RURAL TOTAL REQUESTED]]*
IF(CH_SHTA_MFDRuralTotalRequested&lt;=(500000-E$61-I$61-M$61),1,
(500000-E$61-I$61-M$61)/CH_SHTA_MFDRuralTotalRequested)
)</f>
        <v/>
      </c>
      <c r="R55" s="191" t="str">
        <f>IF(CHSHTATbl[[#This Row],[MFD RURAL % OF FUNDING]]=0,"",CHSHTATbl[[#This Row],[MFD RURAL % OF FUNDING]])</f>
        <v/>
      </c>
      <c r="S55" s="31"/>
      <c r="T55" s="196"/>
      <c r="U55" s="119"/>
      <c r="V55" s="197"/>
      <c r="W55" s="123"/>
      <c r="X55" s="161"/>
      <c r="Y55" s="198"/>
      <c r="Z55" s="74">
        <f t="shared" si="4"/>
        <v>0</v>
      </c>
      <c r="AA55" s="6">
        <f>IF(CHSHTATbl[[#This Row],[UNRESTRICTED TOTAL REQUESTED]]=0,0,CHSHTATbl[[#This Row],[UNRESTRICTED TOTAL REQUESTED]]/CH_SHTA_UnrestrictedTotalRequested)</f>
        <v>0</v>
      </c>
      <c r="AB55" s="752">
        <f>IF(CHSHTATbl[[#This Row],[ALL UNITS IN A HIGH OR HIGHEST RESOURCE AREA]]="Yes",10*CHSHTATbl[[#This Row],[UNRESTRICTED % OF FUNDING]],0)</f>
        <v>0</v>
      </c>
      <c r="AC55" s="752" cm="1">
        <f t="array" ref="AC55">INDEX(CountyScoresTbl[Community Need Total Points],ROW(CHSHTATbl[[#This Row],[COUNTY]])-2,1)*CHSHTATbl[[#This Row],[UNRESTRICTED % OF FUNDING]]</f>
        <v>0</v>
      </c>
      <c r="AD55" s="752" cm="1">
        <f t="array" ref="AD55">INDEX(CountyScoresTbl[SHTA Total Feasibility Points Awarded],ROW(CHSHTATbl[[#This Row],[COUNTY]])-2,1)*CHSHTATbl[[#This Row],[UNRESTRICTED % OF FUNDING]]</f>
        <v>0</v>
      </c>
      <c r="AE55" s="125"/>
      <c r="AF55" s="161"/>
      <c r="AG55" s="198"/>
      <c r="AH55" s="74">
        <f t="shared" si="5"/>
        <v>0</v>
      </c>
      <c r="AI55" s="9">
        <f>IF(CHSHTATbl[[#This Row],[MANUFACTURED TOTAL REQUESTED]]=0,0,CHSHTATbl[[#This Row],[MANUFACTURED TOTAL REQUESTED]]/CH_SHTA_ManufacturedTotalRequested)</f>
        <v>0</v>
      </c>
      <c r="AJ55" s="665">
        <f>IF(CHSHTATbl[[#This Row],[ALL UNITS IN A HIGH OR HIGHEST RESOURCE AREA]]="Yes",10*CHSHTATbl[[#This Row],[MANUFACTURED % OF FUNDING]],0)</f>
        <v>0</v>
      </c>
      <c r="AK55" s="665" cm="1">
        <f t="array" ref="AK55">INDEX(CountyScoresTbl[Community Need Total Points],ROW(CHSHTATbl[[#This Row],[COUNTY]])-2,1)*CHSHTATbl[[#This Row],[MANUFACTURED % OF FUNDING]]</f>
        <v>0</v>
      </c>
      <c r="AL55" s="666" cm="1">
        <f t="array" ref="AL55">INDEX(CountyScoresTbl[SHTA Total Feasibility Points Awarded],ROW(CHSHTATbl[[#This Row],[COUNTY]])-2,1)*CHSHTATbl[[#This Row],[MANUFACTURED % OF FUNDING]]</f>
        <v>0</v>
      </c>
      <c r="AM55" s="123"/>
      <c r="AN55" s="161"/>
      <c r="AO55" s="198"/>
      <c r="AP55" s="74">
        <f t="shared" si="6"/>
        <v>0</v>
      </c>
      <c r="AQ55" s="6">
        <f>IF(CHSHTATbl[[#This Row],[RURAL TOTAL REQUESTED]]=0,0,CHSHTATbl[[#This Row],[RURAL TOTAL REQUESTED]]/CH_SHTA_RuralTotalRequested)</f>
        <v>0</v>
      </c>
      <c r="AR55" s="665">
        <f>IF(CHSHTATbl[[#This Row],[ALL UNITS IN A HIGH OR HIGHEST RESOURCE AREA]]="Yes",10*CHSHTATbl[[#This Row],[RURAL % OF FUNDING]],0)</f>
        <v>0</v>
      </c>
      <c r="AS55" s="665" cm="1">
        <f t="array" ref="AS55">INDEX(CountyScoresTbl[Community Need Total Points],ROW(CHSHTATbl[[#This Row],[COUNTY]])-2,1)*CHSHTATbl[[#This Row],[RURAL % OF FUNDING]]</f>
        <v>0</v>
      </c>
      <c r="AT55" s="666" cm="1">
        <f t="array" ref="AT55">INDEX(CountyScoresTbl[SHTA Total Feasibility Points Awarded],ROW(CHSHTATbl[[#This Row],[COUNTY]])-2,1)*CHSHTATbl[[#This Row],[RURAL % OF FUNDING]]</f>
        <v>0</v>
      </c>
      <c r="AU55" s="123"/>
      <c r="AV55" s="161"/>
      <c r="AW55" s="198"/>
      <c r="AX55" s="74">
        <f t="shared" si="7"/>
        <v>0</v>
      </c>
      <c r="AY55" s="6">
        <f>IF(CHSHTATbl[[#This Row],[MFD RURAL TOTAL REQUESTED]]=0,0,CHSHTATbl[[#This Row],[MFD RURAL TOTAL REQUESTED]]/CH_SHTA_MFDRuralTotalRequested)</f>
        <v>0</v>
      </c>
      <c r="AZ55" s="665">
        <f>IF(CHSHTATbl[[#This Row],[ALL UNITS IN A HIGH OR HIGHEST RESOURCE AREA]]="Yes",10*CHSHTATbl[[#This Row],[MFD RURAL % OF FUNDING]],0)</f>
        <v>0</v>
      </c>
      <c r="BA55" s="665" cm="1">
        <f t="array" ref="BA55">INDEX(CountyScoresTbl[Community Need Total Points],ROW(CHSHTATbl[[#This Row],[COUNTY]])-2,1)*CHSHTATbl[[#This Row],[MFD RURAL % OF FUNDING]]</f>
        <v>0</v>
      </c>
      <c r="BB55" s="666" cm="1">
        <f t="array" ref="BB55">INDEX(CountyScoresTbl[SHTA Total Feasibility Points Awarded],ROW(CHSHTATbl[[#This Row],[COUNTY]])-2,1)*CHSHTATbl[[#This Row],[MFD RURAL % OF FUNDING]]</f>
        <v>0</v>
      </c>
      <c r="BC55" s="764"/>
      <c r="BD55" s="765">
        <f>IF(CHSHTATbl[[#This Row],[INFILL SITE]]="Yes",5,3)*CHSHTATbl[[#This Row],[UNRESTRICTED % OF FUNDING]]</f>
        <v>0</v>
      </c>
      <c r="BE55" s="694">
        <f>IF(CHSHTATbl[[#This Row],[INFILL SITE]]="Yes",5,3)*CHSHTATbl[[#This Row],[MANUFACTURED % OF FUNDING]]</f>
        <v>0</v>
      </c>
      <c r="BF55" s="694">
        <f>IF(CHSHTATbl[[#This Row],[INFILL SITE]]="Yes",5,3)*CHSHTATbl[[#This Row],[RURAL % OF FUNDING]]</f>
        <v>0</v>
      </c>
      <c r="BG55" s="694">
        <f>IF(CHSHTATbl[[#This Row],[INFILL SITE]]="Yes",5,3)*CHSHTATbl[[#This Row],[MFD RURAL % OF FUNDING]]</f>
        <v>0</v>
      </c>
    </row>
    <row r="56" spans="1:59" x14ac:dyDescent="0.35">
      <c r="A56" s="124"/>
      <c r="B56" s="179" t="s">
        <v>168</v>
      </c>
      <c r="C56" s="177" t="s">
        <v>513</v>
      </c>
      <c r="D56" s="183" t="str">
        <f>IF(CHSHTATbl[[#This Row],[UNRESTRICTED UNITS]]=0,"",CHSHTATbl[[#This Row],[UNRESTRICTED UNITS]])</f>
        <v/>
      </c>
      <c r="E56" s="184" t="str">
        <f xml:space="preserve">
IF(CHSHTATbl[[#This Row],[UNRESTRICTED TOTAL REQUESTED]]=0,"",
CHSHTATbl[[#This Row],[UNRESTRICTED TOTAL REQUESTED]]*
IF(CH_SHTA_UnrestrictedTotalRequested&lt;=500000,1,
500000/CH_SHTA_UnrestrictedTotalRequested)
)</f>
        <v/>
      </c>
      <c r="F56" s="185" t="str">
        <f>IF(CHSHTATbl[[#This Row],[UNRESTRICTED % OF FUNDING]]=0,"",CHSHTATbl[[#This Row],[UNRESTRICTED % OF FUNDING]])</f>
        <v/>
      </c>
      <c r="G56" s="177" t="s">
        <v>513</v>
      </c>
      <c r="H56" s="183" t="str">
        <f>IF(CHSHTATbl[[#This Row],[MANUFACTURED UNITS]]=0,"",CHSHTATbl[[#This Row],[MANUFACTURED UNITS]])</f>
        <v/>
      </c>
      <c r="I56" s="187" t="str">
        <f xml:space="preserve">
IF(CHSHTATbl[[#This Row],[MANUFACTURED TOTAL REQUESTED]]=0,"",
CHSHTATbl[[#This Row],[MANUFACTURED TOTAL REQUESTED]]*
IF(CH_SHTA_ManufacturedTotalRequested&lt;=(500000-E$61),1,
(500000-E$61)/CH_SHTA_ManufacturedTotalRequested)
)</f>
        <v/>
      </c>
      <c r="J56" s="185" t="str">
        <f>IF(CHSHTATbl[[#This Row],[MANUFACTURED % OF FUNDING]]=0,"",CHSHTATbl[[#This Row],[MANUFACTURED % OF FUNDING]])</f>
        <v/>
      </c>
      <c r="K56" s="177" t="s">
        <v>513</v>
      </c>
      <c r="L56" s="190" t="str">
        <f>IF(CHSHTATbl[[#This Row],[RURAL UNITS]]=0,"",CHSHTATbl[[#This Row],[RURAL UNITS]])</f>
        <v/>
      </c>
      <c r="M56" s="187" t="str">
        <f xml:space="preserve">
IF(CHSHTATbl[[#This Row],[RURAL TOTAL REQUESTED]]=0,"",
CHSHTATbl[[#This Row],[RURAL TOTAL REQUESTED]]*
IF(CH_SHTA_RuralTotalRequested&lt;=(500000-E$61-I$61),1,
(500000-E$61-I$61)/CH_SHTA_RuralTotalRequested)
)</f>
        <v/>
      </c>
      <c r="N56" s="191" t="str">
        <f>IF(CHSHTATbl[[#This Row],[RURAL % OF FUNDING]]=0,"",CHSHTATbl[[#This Row],[RURAL % OF FUNDING]])</f>
        <v/>
      </c>
      <c r="O56" s="177" t="s">
        <v>513</v>
      </c>
      <c r="P56" s="193" t="str">
        <f>IF(CHSHTATbl[[#This Row],[MFD RURAL UNITS]]=0,"",CHSHTATbl[[#This Row],[MFD RURAL UNITS]])</f>
        <v/>
      </c>
      <c r="Q56" s="187" t="str">
        <f xml:space="preserve">
IF(CHSHTATbl[[#This Row],[MFD RURAL TOTAL REQUESTED]]=0,"",
CHSHTATbl[[#This Row],[MFD RURAL TOTAL REQUESTED]]*
IF(CH_SHTA_MFDRuralTotalRequested&lt;=(500000-E$61-I$61-M$61),1,
(500000-E$61-I$61-M$61)/CH_SHTA_MFDRuralTotalRequested)
)</f>
        <v/>
      </c>
      <c r="R56" s="191" t="str">
        <f>IF(CHSHTATbl[[#This Row],[MFD RURAL % OF FUNDING]]=0,"",CHSHTATbl[[#This Row],[MFD RURAL % OF FUNDING]])</f>
        <v/>
      </c>
      <c r="S56" s="31"/>
      <c r="T56" s="196"/>
      <c r="U56" s="119"/>
      <c r="V56" s="197"/>
      <c r="W56" s="123"/>
      <c r="X56" s="161"/>
      <c r="Y56" s="198"/>
      <c r="Z56" s="74">
        <f t="shared" si="4"/>
        <v>0</v>
      </c>
      <c r="AA56" s="6">
        <f>IF(CHSHTATbl[[#This Row],[UNRESTRICTED TOTAL REQUESTED]]=0,0,CHSHTATbl[[#This Row],[UNRESTRICTED TOTAL REQUESTED]]/CH_SHTA_UnrestrictedTotalRequested)</f>
        <v>0</v>
      </c>
      <c r="AB56" s="752">
        <f>IF(CHSHTATbl[[#This Row],[ALL UNITS IN A HIGH OR HIGHEST RESOURCE AREA]]="Yes",10*CHSHTATbl[[#This Row],[UNRESTRICTED % OF FUNDING]],0)</f>
        <v>0</v>
      </c>
      <c r="AC56" s="752" cm="1">
        <f t="array" ref="AC56">INDEX(CountyScoresTbl[Community Need Total Points],ROW(CHSHTATbl[[#This Row],[COUNTY]])-2,1)*CHSHTATbl[[#This Row],[UNRESTRICTED % OF FUNDING]]</f>
        <v>0</v>
      </c>
      <c r="AD56" s="752" cm="1">
        <f t="array" ref="AD56">INDEX(CountyScoresTbl[SHTA Total Feasibility Points Awarded],ROW(CHSHTATbl[[#This Row],[COUNTY]])-2,1)*CHSHTATbl[[#This Row],[UNRESTRICTED % OF FUNDING]]</f>
        <v>0</v>
      </c>
      <c r="AE56" s="125"/>
      <c r="AF56" s="161"/>
      <c r="AG56" s="198"/>
      <c r="AH56" s="74">
        <f t="shared" si="5"/>
        <v>0</v>
      </c>
      <c r="AI56" s="9">
        <f>IF(CHSHTATbl[[#This Row],[MANUFACTURED TOTAL REQUESTED]]=0,0,CHSHTATbl[[#This Row],[MANUFACTURED TOTAL REQUESTED]]/CH_SHTA_ManufacturedTotalRequested)</f>
        <v>0</v>
      </c>
      <c r="AJ56" s="665">
        <f>IF(CHSHTATbl[[#This Row],[ALL UNITS IN A HIGH OR HIGHEST RESOURCE AREA]]="Yes",10*CHSHTATbl[[#This Row],[MANUFACTURED % OF FUNDING]],0)</f>
        <v>0</v>
      </c>
      <c r="AK56" s="665" cm="1">
        <f t="array" ref="AK56">INDEX(CountyScoresTbl[Community Need Total Points],ROW(CHSHTATbl[[#This Row],[COUNTY]])-2,1)*CHSHTATbl[[#This Row],[MANUFACTURED % OF FUNDING]]</f>
        <v>0</v>
      </c>
      <c r="AL56" s="666" cm="1">
        <f t="array" ref="AL56">INDEX(CountyScoresTbl[SHTA Total Feasibility Points Awarded],ROW(CHSHTATbl[[#This Row],[COUNTY]])-2,1)*CHSHTATbl[[#This Row],[MANUFACTURED % OF FUNDING]]</f>
        <v>0</v>
      </c>
      <c r="AM56" s="123"/>
      <c r="AN56" s="161"/>
      <c r="AO56" s="198"/>
      <c r="AP56" s="74">
        <f t="shared" si="6"/>
        <v>0</v>
      </c>
      <c r="AQ56" s="6">
        <f>IF(CHSHTATbl[[#This Row],[RURAL TOTAL REQUESTED]]=0,0,CHSHTATbl[[#This Row],[RURAL TOTAL REQUESTED]]/CH_SHTA_RuralTotalRequested)</f>
        <v>0</v>
      </c>
      <c r="AR56" s="665">
        <f>IF(CHSHTATbl[[#This Row],[ALL UNITS IN A HIGH OR HIGHEST RESOURCE AREA]]="Yes",10*CHSHTATbl[[#This Row],[RURAL % OF FUNDING]],0)</f>
        <v>0</v>
      </c>
      <c r="AS56" s="665" cm="1">
        <f t="array" ref="AS56">INDEX(CountyScoresTbl[Community Need Total Points],ROW(CHSHTATbl[[#This Row],[COUNTY]])-2,1)*CHSHTATbl[[#This Row],[RURAL % OF FUNDING]]</f>
        <v>0</v>
      </c>
      <c r="AT56" s="666" cm="1">
        <f t="array" ref="AT56">INDEX(CountyScoresTbl[SHTA Total Feasibility Points Awarded],ROW(CHSHTATbl[[#This Row],[COUNTY]])-2,1)*CHSHTATbl[[#This Row],[RURAL % OF FUNDING]]</f>
        <v>0</v>
      </c>
      <c r="AU56" s="123"/>
      <c r="AV56" s="161"/>
      <c r="AW56" s="198"/>
      <c r="AX56" s="74">
        <f t="shared" si="7"/>
        <v>0</v>
      </c>
      <c r="AY56" s="6">
        <f>IF(CHSHTATbl[[#This Row],[MFD RURAL TOTAL REQUESTED]]=0,0,CHSHTATbl[[#This Row],[MFD RURAL TOTAL REQUESTED]]/CH_SHTA_MFDRuralTotalRequested)</f>
        <v>0</v>
      </c>
      <c r="AZ56" s="665">
        <f>IF(CHSHTATbl[[#This Row],[ALL UNITS IN A HIGH OR HIGHEST RESOURCE AREA]]="Yes",10*CHSHTATbl[[#This Row],[MFD RURAL % OF FUNDING]],0)</f>
        <v>0</v>
      </c>
      <c r="BA56" s="665" cm="1">
        <f t="array" ref="BA56">INDEX(CountyScoresTbl[Community Need Total Points],ROW(CHSHTATbl[[#This Row],[COUNTY]])-2,1)*CHSHTATbl[[#This Row],[MFD RURAL % OF FUNDING]]</f>
        <v>0</v>
      </c>
      <c r="BB56" s="666" cm="1">
        <f t="array" ref="BB56">INDEX(CountyScoresTbl[SHTA Total Feasibility Points Awarded],ROW(CHSHTATbl[[#This Row],[COUNTY]])-2,1)*CHSHTATbl[[#This Row],[MFD RURAL % OF FUNDING]]</f>
        <v>0</v>
      </c>
      <c r="BC56" s="764"/>
      <c r="BD56" s="765">
        <f>IF(CHSHTATbl[[#This Row],[INFILL SITE]]="Yes",5,3)*CHSHTATbl[[#This Row],[UNRESTRICTED % OF FUNDING]]</f>
        <v>0</v>
      </c>
      <c r="BE56" s="694">
        <f>IF(CHSHTATbl[[#This Row],[INFILL SITE]]="Yes",5,3)*CHSHTATbl[[#This Row],[MANUFACTURED % OF FUNDING]]</f>
        <v>0</v>
      </c>
      <c r="BF56" s="694">
        <f>IF(CHSHTATbl[[#This Row],[INFILL SITE]]="Yes",5,3)*CHSHTATbl[[#This Row],[RURAL % OF FUNDING]]</f>
        <v>0</v>
      </c>
      <c r="BG56" s="694">
        <f>IF(CHSHTATbl[[#This Row],[INFILL SITE]]="Yes",5,3)*CHSHTATbl[[#This Row],[MFD RURAL % OF FUNDING]]</f>
        <v>0</v>
      </c>
    </row>
    <row r="57" spans="1:59" x14ac:dyDescent="0.35">
      <c r="A57" s="124"/>
      <c r="B57" s="179" t="s">
        <v>169</v>
      </c>
      <c r="C57" s="177" t="s">
        <v>513</v>
      </c>
      <c r="D57" s="183" t="str">
        <f>IF(CHSHTATbl[[#This Row],[UNRESTRICTED UNITS]]=0,"",CHSHTATbl[[#This Row],[UNRESTRICTED UNITS]])</f>
        <v/>
      </c>
      <c r="E57" s="184" t="str">
        <f xml:space="preserve">
IF(CHSHTATbl[[#This Row],[UNRESTRICTED TOTAL REQUESTED]]=0,"",
CHSHTATbl[[#This Row],[UNRESTRICTED TOTAL REQUESTED]]*
IF(CH_SHTA_UnrestrictedTotalRequested&lt;=500000,1,
500000/CH_SHTA_UnrestrictedTotalRequested)
)</f>
        <v/>
      </c>
      <c r="F57" s="185" t="str">
        <f>IF(CHSHTATbl[[#This Row],[UNRESTRICTED % OF FUNDING]]=0,"",CHSHTATbl[[#This Row],[UNRESTRICTED % OF FUNDING]])</f>
        <v/>
      </c>
      <c r="G57" s="177" t="s">
        <v>513</v>
      </c>
      <c r="H57" s="183" t="str">
        <f>IF(CHSHTATbl[[#This Row],[MANUFACTURED UNITS]]=0,"",CHSHTATbl[[#This Row],[MANUFACTURED UNITS]])</f>
        <v/>
      </c>
      <c r="I57" s="187" t="str">
        <f xml:space="preserve">
IF(CHSHTATbl[[#This Row],[MANUFACTURED TOTAL REQUESTED]]=0,"",
CHSHTATbl[[#This Row],[MANUFACTURED TOTAL REQUESTED]]*
IF(CH_SHTA_ManufacturedTotalRequested&lt;=(500000-E$61),1,
(500000-E$61)/CH_SHTA_ManufacturedTotalRequested)
)</f>
        <v/>
      </c>
      <c r="J57" s="185" t="str">
        <f>IF(CHSHTATbl[[#This Row],[MANUFACTURED % OF FUNDING]]=0,"",CHSHTATbl[[#This Row],[MANUFACTURED % OF FUNDING]])</f>
        <v/>
      </c>
      <c r="K57" s="177" t="s">
        <v>513</v>
      </c>
      <c r="L57" s="190" t="str">
        <f>IF(CHSHTATbl[[#This Row],[RURAL UNITS]]=0,"",CHSHTATbl[[#This Row],[RURAL UNITS]])</f>
        <v/>
      </c>
      <c r="M57" s="187" t="str">
        <f xml:space="preserve">
IF(CHSHTATbl[[#This Row],[RURAL TOTAL REQUESTED]]=0,"",
CHSHTATbl[[#This Row],[RURAL TOTAL REQUESTED]]*
IF(CH_SHTA_RuralTotalRequested&lt;=(500000-E$61-I$61),1,
(500000-E$61-I$61)/CH_SHTA_RuralTotalRequested)
)</f>
        <v/>
      </c>
      <c r="N57" s="191" t="str">
        <f>IF(CHSHTATbl[[#This Row],[RURAL % OF FUNDING]]=0,"",CHSHTATbl[[#This Row],[RURAL % OF FUNDING]])</f>
        <v/>
      </c>
      <c r="O57" s="177" t="s">
        <v>513</v>
      </c>
      <c r="P57" s="193" t="str">
        <f>IF(CHSHTATbl[[#This Row],[MFD RURAL UNITS]]=0,"",CHSHTATbl[[#This Row],[MFD RURAL UNITS]])</f>
        <v/>
      </c>
      <c r="Q57" s="187" t="str">
        <f xml:space="preserve">
IF(CHSHTATbl[[#This Row],[MFD RURAL TOTAL REQUESTED]]=0,"",
CHSHTATbl[[#This Row],[MFD RURAL TOTAL REQUESTED]]*
IF(CH_SHTA_MFDRuralTotalRequested&lt;=(500000-E$61-I$61-M$61),1,
(500000-E$61-I$61-M$61)/CH_SHTA_MFDRuralTotalRequested)
)</f>
        <v/>
      </c>
      <c r="R57" s="191" t="str">
        <f>IF(CHSHTATbl[[#This Row],[MFD RURAL % OF FUNDING]]=0,"",CHSHTATbl[[#This Row],[MFD RURAL % OF FUNDING]])</f>
        <v/>
      </c>
      <c r="S57" s="31"/>
      <c r="T57" s="196"/>
      <c r="U57" s="119"/>
      <c r="V57" s="197"/>
      <c r="W57" s="123"/>
      <c r="X57" s="161"/>
      <c r="Y57" s="198"/>
      <c r="Z57" s="74">
        <f t="shared" si="4"/>
        <v>0</v>
      </c>
      <c r="AA57" s="6">
        <f>IF(CHSHTATbl[[#This Row],[UNRESTRICTED TOTAL REQUESTED]]=0,0,CHSHTATbl[[#This Row],[UNRESTRICTED TOTAL REQUESTED]]/CH_SHTA_UnrestrictedTotalRequested)</f>
        <v>0</v>
      </c>
      <c r="AB57" s="752">
        <f>IF(CHSHTATbl[[#This Row],[ALL UNITS IN A HIGH OR HIGHEST RESOURCE AREA]]="Yes",10*CHSHTATbl[[#This Row],[UNRESTRICTED % OF FUNDING]],0)</f>
        <v>0</v>
      </c>
      <c r="AC57" s="752" cm="1">
        <f t="array" ref="AC57">INDEX(CountyScoresTbl[Community Need Total Points],ROW(CHSHTATbl[[#This Row],[COUNTY]])-2,1)*CHSHTATbl[[#This Row],[UNRESTRICTED % OF FUNDING]]</f>
        <v>0</v>
      </c>
      <c r="AD57" s="752" cm="1">
        <f t="array" ref="AD57">INDEX(CountyScoresTbl[SHTA Total Feasibility Points Awarded],ROW(CHSHTATbl[[#This Row],[COUNTY]])-2,1)*CHSHTATbl[[#This Row],[UNRESTRICTED % OF FUNDING]]</f>
        <v>0</v>
      </c>
      <c r="AE57" s="125"/>
      <c r="AF57" s="161"/>
      <c r="AG57" s="198"/>
      <c r="AH57" s="74">
        <f t="shared" si="5"/>
        <v>0</v>
      </c>
      <c r="AI57" s="9">
        <f>IF(CHSHTATbl[[#This Row],[MANUFACTURED TOTAL REQUESTED]]=0,0,CHSHTATbl[[#This Row],[MANUFACTURED TOTAL REQUESTED]]/CH_SHTA_ManufacturedTotalRequested)</f>
        <v>0</v>
      </c>
      <c r="AJ57" s="665">
        <f>IF(CHSHTATbl[[#This Row],[ALL UNITS IN A HIGH OR HIGHEST RESOURCE AREA]]="Yes",10*CHSHTATbl[[#This Row],[MANUFACTURED % OF FUNDING]],0)</f>
        <v>0</v>
      </c>
      <c r="AK57" s="665" cm="1">
        <f t="array" ref="AK57">INDEX(CountyScoresTbl[Community Need Total Points],ROW(CHSHTATbl[[#This Row],[COUNTY]])-2,1)*CHSHTATbl[[#This Row],[MANUFACTURED % OF FUNDING]]</f>
        <v>0</v>
      </c>
      <c r="AL57" s="666" cm="1">
        <f t="array" ref="AL57">INDEX(CountyScoresTbl[SHTA Total Feasibility Points Awarded],ROW(CHSHTATbl[[#This Row],[COUNTY]])-2,1)*CHSHTATbl[[#This Row],[MANUFACTURED % OF FUNDING]]</f>
        <v>0</v>
      </c>
      <c r="AM57" s="123"/>
      <c r="AN57" s="161"/>
      <c r="AO57" s="198"/>
      <c r="AP57" s="74">
        <f t="shared" si="6"/>
        <v>0</v>
      </c>
      <c r="AQ57" s="6">
        <f>IF(CHSHTATbl[[#This Row],[RURAL TOTAL REQUESTED]]=0,0,CHSHTATbl[[#This Row],[RURAL TOTAL REQUESTED]]/CH_SHTA_RuralTotalRequested)</f>
        <v>0</v>
      </c>
      <c r="AR57" s="665">
        <f>IF(CHSHTATbl[[#This Row],[ALL UNITS IN A HIGH OR HIGHEST RESOURCE AREA]]="Yes",10*CHSHTATbl[[#This Row],[RURAL % OF FUNDING]],0)</f>
        <v>0</v>
      </c>
      <c r="AS57" s="665" cm="1">
        <f t="array" ref="AS57">INDEX(CountyScoresTbl[Community Need Total Points],ROW(CHSHTATbl[[#This Row],[COUNTY]])-2,1)*CHSHTATbl[[#This Row],[RURAL % OF FUNDING]]</f>
        <v>0</v>
      </c>
      <c r="AT57" s="666" cm="1">
        <f t="array" ref="AT57">INDEX(CountyScoresTbl[SHTA Total Feasibility Points Awarded],ROW(CHSHTATbl[[#This Row],[COUNTY]])-2,1)*CHSHTATbl[[#This Row],[RURAL % OF FUNDING]]</f>
        <v>0</v>
      </c>
      <c r="AU57" s="123"/>
      <c r="AV57" s="161"/>
      <c r="AW57" s="198"/>
      <c r="AX57" s="74">
        <f t="shared" si="7"/>
        <v>0</v>
      </c>
      <c r="AY57" s="6">
        <f>IF(CHSHTATbl[[#This Row],[MFD RURAL TOTAL REQUESTED]]=0,0,CHSHTATbl[[#This Row],[MFD RURAL TOTAL REQUESTED]]/CH_SHTA_MFDRuralTotalRequested)</f>
        <v>0</v>
      </c>
      <c r="AZ57" s="665">
        <f>IF(CHSHTATbl[[#This Row],[ALL UNITS IN A HIGH OR HIGHEST RESOURCE AREA]]="Yes",10*CHSHTATbl[[#This Row],[MFD RURAL % OF FUNDING]],0)</f>
        <v>0</v>
      </c>
      <c r="BA57" s="665" cm="1">
        <f t="array" ref="BA57">INDEX(CountyScoresTbl[Community Need Total Points],ROW(CHSHTATbl[[#This Row],[COUNTY]])-2,1)*CHSHTATbl[[#This Row],[MFD RURAL % OF FUNDING]]</f>
        <v>0</v>
      </c>
      <c r="BB57" s="666" cm="1">
        <f t="array" ref="BB57">INDEX(CountyScoresTbl[SHTA Total Feasibility Points Awarded],ROW(CHSHTATbl[[#This Row],[COUNTY]])-2,1)*CHSHTATbl[[#This Row],[MFD RURAL % OF FUNDING]]</f>
        <v>0</v>
      </c>
      <c r="BC57" s="764"/>
      <c r="BD57" s="765">
        <f>IF(CHSHTATbl[[#This Row],[INFILL SITE]]="Yes",5,3)*CHSHTATbl[[#This Row],[UNRESTRICTED % OF FUNDING]]</f>
        <v>0</v>
      </c>
      <c r="BE57" s="694">
        <f>IF(CHSHTATbl[[#This Row],[INFILL SITE]]="Yes",5,3)*CHSHTATbl[[#This Row],[MANUFACTURED % OF FUNDING]]</f>
        <v>0</v>
      </c>
      <c r="BF57" s="694">
        <f>IF(CHSHTATbl[[#This Row],[INFILL SITE]]="Yes",5,3)*CHSHTATbl[[#This Row],[RURAL % OF FUNDING]]</f>
        <v>0</v>
      </c>
      <c r="BG57" s="694">
        <f>IF(CHSHTATbl[[#This Row],[INFILL SITE]]="Yes",5,3)*CHSHTATbl[[#This Row],[MFD RURAL % OF FUNDING]]</f>
        <v>0</v>
      </c>
    </row>
    <row r="58" spans="1:59" x14ac:dyDescent="0.35">
      <c r="A58" s="124"/>
      <c r="B58" s="179" t="s">
        <v>170</v>
      </c>
      <c r="C58" s="177" t="s">
        <v>513</v>
      </c>
      <c r="D58" s="183" t="str">
        <f>IF(CHSHTATbl[[#This Row],[UNRESTRICTED UNITS]]=0,"",CHSHTATbl[[#This Row],[UNRESTRICTED UNITS]])</f>
        <v/>
      </c>
      <c r="E58" s="184" t="str">
        <f xml:space="preserve">
IF(CHSHTATbl[[#This Row],[UNRESTRICTED TOTAL REQUESTED]]=0,"",
CHSHTATbl[[#This Row],[UNRESTRICTED TOTAL REQUESTED]]*
IF(CH_SHTA_UnrestrictedTotalRequested&lt;=500000,1,
500000/CH_SHTA_UnrestrictedTotalRequested)
)</f>
        <v/>
      </c>
      <c r="F58" s="185" t="str">
        <f>IF(CHSHTATbl[[#This Row],[UNRESTRICTED % OF FUNDING]]=0,"",CHSHTATbl[[#This Row],[UNRESTRICTED % OF FUNDING]])</f>
        <v/>
      </c>
      <c r="G58" s="177" t="s">
        <v>513</v>
      </c>
      <c r="H58" s="183" t="str">
        <f>IF(CHSHTATbl[[#This Row],[MANUFACTURED UNITS]]=0,"",CHSHTATbl[[#This Row],[MANUFACTURED UNITS]])</f>
        <v/>
      </c>
      <c r="I58" s="187" t="str">
        <f xml:space="preserve">
IF(CHSHTATbl[[#This Row],[MANUFACTURED TOTAL REQUESTED]]=0,"",
CHSHTATbl[[#This Row],[MANUFACTURED TOTAL REQUESTED]]*
IF(CH_SHTA_ManufacturedTotalRequested&lt;=(500000-E$61),1,
(500000-E$61)/CH_SHTA_ManufacturedTotalRequested)
)</f>
        <v/>
      </c>
      <c r="J58" s="185" t="str">
        <f>IF(CHSHTATbl[[#This Row],[MANUFACTURED % OF FUNDING]]=0,"",CHSHTATbl[[#This Row],[MANUFACTURED % OF FUNDING]])</f>
        <v/>
      </c>
      <c r="K58" s="177" t="s">
        <v>513</v>
      </c>
      <c r="L58" s="190" t="str">
        <f>IF(CHSHTATbl[[#This Row],[RURAL UNITS]]=0,"",CHSHTATbl[[#This Row],[RURAL UNITS]])</f>
        <v/>
      </c>
      <c r="M58" s="187" t="str">
        <f xml:space="preserve">
IF(CHSHTATbl[[#This Row],[RURAL TOTAL REQUESTED]]=0,"",
CHSHTATbl[[#This Row],[RURAL TOTAL REQUESTED]]*
IF(CH_SHTA_RuralTotalRequested&lt;=(500000-E$61-I$61),1,
(500000-E$61-I$61)/CH_SHTA_RuralTotalRequested)
)</f>
        <v/>
      </c>
      <c r="N58" s="191" t="str">
        <f>IF(CHSHTATbl[[#This Row],[RURAL % OF FUNDING]]=0,"",CHSHTATbl[[#This Row],[RURAL % OF FUNDING]])</f>
        <v/>
      </c>
      <c r="O58" s="177" t="s">
        <v>513</v>
      </c>
      <c r="P58" s="193" t="str">
        <f>IF(CHSHTATbl[[#This Row],[MFD RURAL UNITS]]=0,"",CHSHTATbl[[#This Row],[MFD RURAL UNITS]])</f>
        <v/>
      </c>
      <c r="Q58" s="187" t="str">
        <f xml:space="preserve">
IF(CHSHTATbl[[#This Row],[MFD RURAL TOTAL REQUESTED]]=0,"",
CHSHTATbl[[#This Row],[MFD RURAL TOTAL REQUESTED]]*
IF(CH_SHTA_MFDRuralTotalRequested&lt;=(500000-E$61-I$61-M$61),1,
(500000-E$61-I$61-M$61)/CH_SHTA_MFDRuralTotalRequested)
)</f>
        <v/>
      </c>
      <c r="R58" s="191" t="str">
        <f>IF(CHSHTATbl[[#This Row],[MFD RURAL % OF FUNDING]]=0,"",CHSHTATbl[[#This Row],[MFD RURAL % OF FUNDING]])</f>
        <v/>
      </c>
      <c r="S58" s="31"/>
      <c r="T58" s="196"/>
      <c r="U58" s="119"/>
      <c r="V58" s="197"/>
      <c r="W58" s="123"/>
      <c r="X58" s="161"/>
      <c r="Y58" s="198"/>
      <c r="Z58" s="74">
        <f t="shared" si="4"/>
        <v>0</v>
      </c>
      <c r="AA58" s="6">
        <f>IF(CHSHTATbl[[#This Row],[UNRESTRICTED TOTAL REQUESTED]]=0,0,CHSHTATbl[[#This Row],[UNRESTRICTED TOTAL REQUESTED]]/CH_SHTA_UnrestrictedTotalRequested)</f>
        <v>0</v>
      </c>
      <c r="AB58" s="752">
        <f>IF(CHSHTATbl[[#This Row],[ALL UNITS IN A HIGH OR HIGHEST RESOURCE AREA]]="Yes",10*CHSHTATbl[[#This Row],[UNRESTRICTED % OF FUNDING]],0)</f>
        <v>0</v>
      </c>
      <c r="AC58" s="752" cm="1">
        <f t="array" ref="AC58">INDEX(CountyScoresTbl[Community Need Total Points],ROW(CHSHTATbl[[#This Row],[COUNTY]])-2,1)*CHSHTATbl[[#This Row],[UNRESTRICTED % OF FUNDING]]</f>
        <v>0</v>
      </c>
      <c r="AD58" s="752" cm="1">
        <f t="array" ref="AD58">INDEX(CountyScoresTbl[SHTA Total Feasibility Points Awarded],ROW(CHSHTATbl[[#This Row],[COUNTY]])-2,1)*CHSHTATbl[[#This Row],[UNRESTRICTED % OF FUNDING]]</f>
        <v>0</v>
      </c>
      <c r="AE58" s="125"/>
      <c r="AF58" s="161"/>
      <c r="AG58" s="198"/>
      <c r="AH58" s="74">
        <f t="shared" si="5"/>
        <v>0</v>
      </c>
      <c r="AI58" s="9">
        <f>IF(CHSHTATbl[[#This Row],[MANUFACTURED TOTAL REQUESTED]]=0,0,CHSHTATbl[[#This Row],[MANUFACTURED TOTAL REQUESTED]]/CH_SHTA_ManufacturedTotalRequested)</f>
        <v>0</v>
      </c>
      <c r="AJ58" s="665">
        <f>IF(CHSHTATbl[[#This Row],[ALL UNITS IN A HIGH OR HIGHEST RESOURCE AREA]]="Yes",10*CHSHTATbl[[#This Row],[MANUFACTURED % OF FUNDING]],0)</f>
        <v>0</v>
      </c>
      <c r="AK58" s="665" cm="1">
        <f t="array" ref="AK58">INDEX(CountyScoresTbl[Community Need Total Points],ROW(CHSHTATbl[[#This Row],[COUNTY]])-2,1)*CHSHTATbl[[#This Row],[MANUFACTURED % OF FUNDING]]</f>
        <v>0</v>
      </c>
      <c r="AL58" s="666" cm="1">
        <f t="array" ref="AL58">INDEX(CountyScoresTbl[SHTA Total Feasibility Points Awarded],ROW(CHSHTATbl[[#This Row],[COUNTY]])-2,1)*CHSHTATbl[[#This Row],[MANUFACTURED % OF FUNDING]]</f>
        <v>0</v>
      </c>
      <c r="AM58" s="123"/>
      <c r="AN58" s="161"/>
      <c r="AO58" s="198"/>
      <c r="AP58" s="74">
        <f t="shared" si="6"/>
        <v>0</v>
      </c>
      <c r="AQ58" s="6">
        <f>IF(CHSHTATbl[[#This Row],[RURAL TOTAL REQUESTED]]=0,0,CHSHTATbl[[#This Row],[RURAL TOTAL REQUESTED]]/CH_SHTA_RuralTotalRequested)</f>
        <v>0</v>
      </c>
      <c r="AR58" s="665">
        <f>IF(CHSHTATbl[[#This Row],[ALL UNITS IN A HIGH OR HIGHEST RESOURCE AREA]]="Yes",10*CHSHTATbl[[#This Row],[RURAL % OF FUNDING]],0)</f>
        <v>0</v>
      </c>
      <c r="AS58" s="665" cm="1">
        <f t="array" ref="AS58">INDEX(CountyScoresTbl[Community Need Total Points],ROW(CHSHTATbl[[#This Row],[COUNTY]])-2,1)*CHSHTATbl[[#This Row],[RURAL % OF FUNDING]]</f>
        <v>0</v>
      </c>
      <c r="AT58" s="666" cm="1">
        <f t="array" ref="AT58">INDEX(CountyScoresTbl[SHTA Total Feasibility Points Awarded],ROW(CHSHTATbl[[#This Row],[COUNTY]])-2,1)*CHSHTATbl[[#This Row],[RURAL % OF FUNDING]]</f>
        <v>0</v>
      </c>
      <c r="AU58" s="123"/>
      <c r="AV58" s="161"/>
      <c r="AW58" s="198"/>
      <c r="AX58" s="74">
        <f t="shared" si="7"/>
        <v>0</v>
      </c>
      <c r="AY58" s="6">
        <f>IF(CHSHTATbl[[#This Row],[MFD RURAL TOTAL REQUESTED]]=0,0,CHSHTATbl[[#This Row],[MFD RURAL TOTAL REQUESTED]]/CH_SHTA_MFDRuralTotalRequested)</f>
        <v>0</v>
      </c>
      <c r="AZ58" s="665">
        <f>IF(CHSHTATbl[[#This Row],[ALL UNITS IN A HIGH OR HIGHEST RESOURCE AREA]]="Yes",10*CHSHTATbl[[#This Row],[MFD RURAL % OF FUNDING]],0)</f>
        <v>0</v>
      </c>
      <c r="BA58" s="665" cm="1">
        <f t="array" ref="BA58">INDEX(CountyScoresTbl[Community Need Total Points],ROW(CHSHTATbl[[#This Row],[COUNTY]])-2,1)*CHSHTATbl[[#This Row],[MFD RURAL % OF FUNDING]]</f>
        <v>0</v>
      </c>
      <c r="BB58" s="666" cm="1">
        <f t="array" ref="BB58">INDEX(CountyScoresTbl[SHTA Total Feasibility Points Awarded],ROW(CHSHTATbl[[#This Row],[COUNTY]])-2,1)*CHSHTATbl[[#This Row],[MFD RURAL % OF FUNDING]]</f>
        <v>0</v>
      </c>
      <c r="BC58" s="764"/>
      <c r="BD58" s="765">
        <f>IF(CHSHTATbl[[#This Row],[INFILL SITE]]="Yes",5,3)*CHSHTATbl[[#This Row],[UNRESTRICTED % OF FUNDING]]</f>
        <v>0</v>
      </c>
      <c r="BE58" s="694">
        <f>IF(CHSHTATbl[[#This Row],[INFILL SITE]]="Yes",5,3)*CHSHTATbl[[#This Row],[MANUFACTURED % OF FUNDING]]</f>
        <v>0</v>
      </c>
      <c r="BF58" s="694">
        <f>IF(CHSHTATbl[[#This Row],[INFILL SITE]]="Yes",5,3)*CHSHTATbl[[#This Row],[RURAL % OF FUNDING]]</f>
        <v>0</v>
      </c>
      <c r="BG58" s="694">
        <f>IF(CHSHTATbl[[#This Row],[INFILL SITE]]="Yes",5,3)*CHSHTATbl[[#This Row],[MFD RURAL % OF FUNDING]]</f>
        <v>0</v>
      </c>
    </row>
    <row r="59" spans="1:59" x14ac:dyDescent="0.35">
      <c r="A59" s="124"/>
      <c r="B59" s="179" t="s">
        <v>171</v>
      </c>
      <c r="C59" s="177" t="s">
        <v>513</v>
      </c>
      <c r="D59" s="183" t="str">
        <f>IF(CHSHTATbl[[#This Row],[UNRESTRICTED UNITS]]=0,"",CHSHTATbl[[#This Row],[UNRESTRICTED UNITS]])</f>
        <v/>
      </c>
      <c r="E59" s="184" t="str">
        <f xml:space="preserve">
IF(CHSHTATbl[[#This Row],[UNRESTRICTED TOTAL REQUESTED]]=0,"",
CHSHTATbl[[#This Row],[UNRESTRICTED TOTAL REQUESTED]]*
IF(CH_SHTA_UnrestrictedTotalRequested&lt;=500000,1,
500000/CH_SHTA_UnrestrictedTotalRequested)
)</f>
        <v/>
      </c>
      <c r="F59" s="185" t="str">
        <f>IF(CHSHTATbl[[#This Row],[UNRESTRICTED % OF FUNDING]]=0,"",CHSHTATbl[[#This Row],[UNRESTRICTED % OF FUNDING]])</f>
        <v/>
      </c>
      <c r="G59" s="177" t="s">
        <v>513</v>
      </c>
      <c r="H59" s="183" t="str">
        <f>IF(CHSHTATbl[[#This Row],[MANUFACTURED UNITS]]=0,"",CHSHTATbl[[#This Row],[MANUFACTURED UNITS]])</f>
        <v/>
      </c>
      <c r="I59" s="187" t="str">
        <f xml:space="preserve">
IF(CHSHTATbl[[#This Row],[MANUFACTURED TOTAL REQUESTED]]=0,"",
CHSHTATbl[[#This Row],[MANUFACTURED TOTAL REQUESTED]]*
IF(CH_SHTA_ManufacturedTotalRequested&lt;=(500000-E$61),1,
(500000-E$61)/CH_SHTA_ManufacturedTotalRequested)
)</f>
        <v/>
      </c>
      <c r="J59" s="185" t="str">
        <f>IF(CHSHTATbl[[#This Row],[MANUFACTURED % OF FUNDING]]=0,"",CHSHTATbl[[#This Row],[MANUFACTURED % OF FUNDING]])</f>
        <v/>
      </c>
      <c r="K59" s="177" t="s">
        <v>513</v>
      </c>
      <c r="L59" s="190" t="str">
        <f>IF(CHSHTATbl[[#This Row],[RURAL UNITS]]=0,"",CHSHTATbl[[#This Row],[RURAL UNITS]])</f>
        <v/>
      </c>
      <c r="M59" s="187" t="str">
        <f xml:space="preserve">
IF(CHSHTATbl[[#This Row],[RURAL TOTAL REQUESTED]]=0,"",
CHSHTATbl[[#This Row],[RURAL TOTAL REQUESTED]]*
IF(CH_SHTA_RuralTotalRequested&lt;=(500000-E$61-I$61),1,
(500000-E$61-I$61)/CH_SHTA_RuralTotalRequested)
)</f>
        <v/>
      </c>
      <c r="N59" s="191" t="str">
        <f>IF(CHSHTATbl[[#This Row],[RURAL % OF FUNDING]]=0,"",CHSHTATbl[[#This Row],[RURAL % OF FUNDING]])</f>
        <v/>
      </c>
      <c r="O59" s="177" t="s">
        <v>513</v>
      </c>
      <c r="P59" s="193" t="str">
        <f>IF(CHSHTATbl[[#This Row],[MFD RURAL UNITS]]=0,"",CHSHTATbl[[#This Row],[MFD RURAL UNITS]])</f>
        <v/>
      </c>
      <c r="Q59" s="187" t="str">
        <f xml:space="preserve">
IF(CHSHTATbl[[#This Row],[MFD RURAL TOTAL REQUESTED]]=0,"",
CHSHTATbl[[#This Row],[MFD RURAL TOTAL REQUESTED]]*
IF(CH_SHTA_MFDRuralTotalRequested&lt;=(500000-E$61-I$61-M$61),1,
(500000-E$61-I$61-M$61)/CH_SHTA_MFDRuralTotalRequested)
)</f>
        <v/>
      </c>
      <c r="R59" s="191" t="str">
        <f>IF(CHSHTATbl[[#This Row],[MFD RURAL % OF FUNDING]]=0,"",CHSHTATbl[[#This Row],[MFD RURAL % OF FUNDING]])</f>
        <v/>
      </c>
      <c r="S59" s="31"/>
      <c r="T59" s="196"/>
      <c r="U59" s="119"/>
      <c r="V59" s="197"/>
      <c r="W59" s="123"/>
      <c r="X59" s="161"/>
      <c r="Y59" s="198"/>
      <c r="Z59" s="74">
        <f t="shared" si="4"/>
        <v>0</v>
      </c>
      <c r="AA59" s="6">
        <f>IF(CHSHTATbl[[#This Row],[UNRESTRICTED TOTAL REQUESTED]]=0,0,CHSHTATbl[[#This Row],[UNRESTRICTED TOTAL REQUESTED]]/CH_SHTA_UnrestrictedTotalRequested)</f>
        <v>0</v>
      </c>
      <c r="AB59" s="752">
        <f>IF(CHSHTATbl[[#This Row],[ALL UNITS IN A HIGH OR HIGHEST RESOURCE AREA]]="Yes",10*CHSHTATbl[[#This Row],[UNRESTRICTED % OF FUNDING]],0)</f>
        <v>0</v>
      </c>
      <c r="AC59" s="752" cm="1">
        <f t="array" ref="AC59">INDEX(CountyScoresTbl[Community Need Total Points],ROW(CHSHTATbl[[#This Row],[COUNTY]])-2,1)*CHSHTATbl[[#This Row],[UNRESTRICTED % OF FUNDING]]</f>
        <v>0</v>
      </c>
      <c r="AD59" s="752" cm="1">
        <f t="array" ref="AD59">INDEX(CountyScoresTbl[SHTA Total Feasibility Points Awarded],ROW(CHSHTATbl[[#This Row],[COUNTY]])-2,1)*CHSHTATbl[[#This Row],[UNRESTRICTED % OF FUNDING]]</f>
        <v>0</v>
      </c>
      <c r="AE59" s="125"/>
      <c r="AF59" s="161"/>
      <c r="AG59" s="198"/>
      <c r="AH59" s="74">
        <f t="shared" si="5"/>
        <v>0</v>
      </c>
      <c r="AI59" s="9">
        <f>IF(CHSHTATbl[[#This Row],[MANUFACTURED TOTAL REQUESTED]]=0,0,CHSHTATbl[[#This Row],[MANUFACTURED TOTAL REQUESTED]]/CH_SHTA_ManufacturedTotalRequested)</f>
        <v>0</v>
      </c>
      <c r="AJ59" s="665">
        <f>IF(CHSHTATbl[[#This Row],[ALL UNITS IN A HIGH OR HIGHEST RESOURCE AREA]]="Yes",10*CHSHTATbl[[#This Row],[MANUFACTURED % OF FUNDING]],0)</f>
        <v>0</v>
      </c>
      <c r="AK59" s="665" cm="1">
        <f t="array" ref="AK59">INDEX(CountyScoresTbl[Community Need Total Points],ROW(CHSHTATbl[[#This Row],[COUNTY]])-2,1)*CHSHTATbl[[#This Row],[MANUFACTURED % OF FUNDING]]</f>
        <v>0</v>
      </c>
      <c r="AL59" s="666" cm="1">
        <f t="array" ref="AL59">INDEX(CountyScoresTbl[SHTA Total Feasibility Points Awarded],ROW(CHSHTATbl[[#This Row],[COUNTY]])-2,1)*CHSHTATbl[[#This Row],[MANUFACTURED % OF FUNDING]]</f>
        <v>0</v>
      </c>
      <c r="AM59" s="123"/>
      <c r="AN59" s="161"/>
      <c r="AO59" s="198"/>
      <c r="AP59" s="74">
        <f t="shared" si="6"/>
        <v>0</v>
      </c>
      <c r="AQ59" s="6">
        <f>IF(CHSHTATbl[[#This Row],[RURAL TOTAL REQUESTED]]=0,0,CHSHTATbl[[#This Row],[RURAL TOTAL REQUESTED]]/CH_SHTA_RuralTotalRequested)</f>
        <v>0</v>
      </c>
      <c r="AR59" s="665">
        <f>IF(CHSHTATbl[[#This Row],[ALL UNITS IN A HIGH OR HIGHEST RESOURCE AREA]]="Yes",10*CHSHTATbl[[#This Row],[RURAL % OF FUNDING]],0)</f>
        <v>0</v>
      </c>
      <c r="AS59" s="665" cm="1">
        <f t="array" ref="AS59">INDEX(CountyScoresTbl[Community Need Total Points],ROW(CHSHTATbl[[#This Row],[COUNTY]])-2,1)*CHSHTATbl[[#This Row],[RURAL % OF FUNDING]]</f>
        <v>0</v>
      </c>
      <c r="AT59" s="666" cm="1">
        <f t="array" ref="AT59">INDEX(CountyScoresTbl[SHTA Total Feasibility Points Awarded],ROW(CHSHTATbl[[#This Row],[COUNTY]])-2,1)*CHSHTATbl[[#This Row],[RURAL % OF FUNDING]]</f>
        <v>0</v>
      </c>
      <c r="AU59" s="123"/>
      <c r="AV59" s="161"/>
      <c r="AW59" s="198"/>
      <c r="AX59" s="74">
        <f t="shared" si="7"/>
        <v>0</v>
      </c>
      <c r="AY59" s="6">
        <f>IF(CHSHTATbl[[#This Row],[MFD RURAL TOTAL REQUESTED]]=0,0,CHSHTATbl[[#This Row],[MFD RURAL TOTAL REQUESTED]]/CH_SHTA_MFDRuralTotalRequested)</f>
        <v>0</v>
      </c>
      <c r="AZ59" s="665">
        <f>IF(CHSHTATbl[[#This Row],[ALL UNITS IN A HIGH OR HIGHEST RESOURCE AREA]]="Yes",10*CHSHTATbl[[#This Row],[MFD RURAL % OF FUNDING]],0)</f>
        <v>0</v>
      </c>
      <c r="BA59" s="665" cm="1">
        <f t="array" ref="BA59">INDEX(CountyScoresTbl[Community Need Total Points],ROW(CHSHTATbl[[#This Row],[COUNTY]])-2,1)*CHSHTATbl[[#This Row],[MFD RURAL % OF FUNDING]]</f>
        <v>0</v>
      </c>
      <c r="BB59" s="666" cm="1">
        <f t="array" ref="BB59">INDEX(CountyScoresTbl[SHTA Total Feasibility Points Awarded],ROW(CHSHTATbl[[#This Row],[COUNTY]])-2,1)*CHSHTATbl[[#This Row],[MFD RURAL % OF FUNDING]]</f>
        <v>0</v>
      </c>
      <c r="BC59" s="764"/>
      <c r="BD59" s="765">
        <f>IF(CHSHTATbl[[#This Row],[INFILL SITE]]="Yes",5,3)*CHSHTATbl[[#This Row],[UNRESTRICTED % OF FUNDING]]</f>
        <v>0</v>
      </c>
      <c r="BE59" s="694">
        <f>IF(CHSHTATbl[[#This Row],[INFILL SITE]]="Yes",5,3)*CHSHTATbl[[#This Row],[MANUFACTURED % OF FUNDING]]</f>
        <v>0</v>
      </c>
      <c r="BF59" s="694">
        <f>IF(CHSHTATbl[[#This Row],[INFILL SITE]]="Yes",5,3)*CHSHTATbl[[#This Row],[RURAL % OF FUNDING]]</f>
        <v>0</v>
      </c>
      <c r="BG59" s="694">
        <f>IF(CHSHTATbl[[#This Row],[INFILL SITE]]="Yes",5,3)*CHSHTATbl[[#This Row],[MFD RURAL % OF FUNDING]]</f>
        <v>0</v>
      </c>
    </row>
    <row r="60" spans="1:59" ht="15" thickBot="1" x14ac:dyDescent="0.4">
      <c r="A60" s="146"/>
      <c r="B60" s="211" t="s">
        <v>172</v>
      </c>
      <c r="C60" s="212" t="s">
        <v>513</v>
      </c>
      <c r="D60" s="213" t="str">
        <f>IF(CHSHTATbl[[#This Row],[UNRESTRICTED UNITS]]=0,"",CHSHTATbl[[#This Row],[UNRESTRICTED UNITS]])</f>
        <v/>
      </c>
      <c r="E60" s="214" t="str">
        <f xml:space="preserve">
IF(CHSHTATbl[[#This Row],[UNRESTRICTED TOTAL REQUESTED]]=0,"",
CHSHTATbl[[#This Row],[UNRESTRICTED TOTAL REQUESTED]]*
IF(CH_SHTA_UnrestrictedTotalRequested&lt;=500000,1,
500000/CH_SHTA_UnrestrictedTotalRequested)
)</f>
        <v/>
      </c>
      <c r="F60" s="215" t="str">
        <f>IF(CHSHTATbl[[#This Row],[UNRESTRICTED % OF FUNDING]]=0,"",CHSHTATbl[[#This Row],[UNRESTRICTED % OF FUNDING]])</f>
        <v/>
      </c>
      <c r="G60" s="212" t="s">
        <v>513</v>
      </c>
      <c r="H60" s="213" t="str">
        <f>IF(CHSHTATbl[[#This Row],[MANUFACTURED UNITS]]=0,"",CHSHTATbl[[#This Row],[MANUFACTURED UNITS]])</f>
        <v/>
      </c>
      <c r="I60" s="216" t="str">
        <f xml:space="preserve">
IF(CHSHTATbl[[#This Row],[MANUFACTURED TOTAL REQUESTED]]=0,"",
CHSHTATbl[[#This Row],[MANUFACTURED TOTAL REQUESTED]]*
IF(CH_SHTA_ManufacturedTotalRequested&lt;=(500000-E$61),1,
(500000-E$61)/CH_SHTA_ManufacturedTotalRequested)
)</f>
        <v/>
      </c>
      <c r="J60" s="215" t="str">
        <f>IF(CHSHTATbl[[#This Row],[MANUFACTURED % OF FUNDING]]=0,"",CHSHTATbl[[#This Row],[MANUFACTURED % OF FUNDING]])</f>
        <v/>
      </c>
      <c r="K60" s="212" t="s">
        <v>513</v>
      </c>
      <c r="L60" s="217" t="str">
        <f>IF(CHSHTATbl[[#This Row],[RURAL UNITS]]=0,"",CHSHTATbl[[#This Row],[RURAL UNITS]])</f>
        <v/>
      </c>
      <c r="M60" s="216" t="str">
        <f xml:space="preserve">
IF(CHSHTATbl[[#This Row],[RURAL TOTAL REQUESTED]]=0,"",
CHSHTATbl[[#This Row],[RURAL TOTAL REQUESTED]]*
IF(CH_SHTA_RuralTotalRequested&lt;=(500000-E$61-I$61),1,
(500000-E$61-I$61)/CH_SHTA_RuralTotalRequested)
)</f>
        <v/>
      </c>
      <c r="N60" s="218" t="str">
        <f>IF(CHSHTATbl[[#This Row],[RURAL % OF FUNDING]]=0,"",CHSHTATbl[[#This Row],[RURAL % OF FUNDING]])</f>
        <v/>
      </c>
      <c r="O60" s="212" t="s">
        <v>513</v>
      </c>
      <c r="P60" s="219" t="str">
        <f>IF(CHSHTATbl[[#This Row],[MFD RURAL UNITS]]=0,"",CHSHTATbl[[#This Row],[MFD RURAL UNITS]])</f>
        <v/>
      </c>
      <c r="Q60" s="216" t="str">
        <f xml:space="preserve">
IF(CHSHTATbl[[#This Row],[MFD RURAL TOTAL REQUESTED]]=0,"",
CHSHTATbl[[#This Row],[MFD RURAL TOTAL REQUESTED]]*
IF(CH_SHTA_MFDRuralTotalRequested&lt;=(500000-E$61-I$61-M$61),1,
(500000-E$61-I$61-M$61)/CH_SHTA_MFDRuralTotalRequested)
)</f>
        <v/>
      </c>
      <c r="R60" s="218" t="str">
        <f>IF(CHSHTATbl[[#This Row],[MFD RURAL % OF FUNDING]]=0,"",CHSHTATbl[[#This Row],[MFD RURAL % OF FUNDING]])</f>
        <v/>
      </c>
      <c r="S60" s="76"/>
      <c r="T60" s="200"/>
      <c r="U60" s="147"/>
      <c r="V60" s="201"/>
      <c r="W60" s="202"/>
      <c r="X60" s="203"/>
      <c r="Y60" s="204"/>
      <c r="Z60" s="145">
        <f t="shared" si="4"/>
        <v>0</v>
      </c>
      <c r="AA60" s="14">
        <f>IF(CHSHTATbl[[#This Row],[UNRESTRICTED TOTAL REQUESTED]]=0,0,CHSHTATbl[[#This Row],[UNRESTRICTED TOTAL REQUESTED]]/CH_SHTA_UnrestrictedTotalRequested)</f>
        <v>0</v>
      </c>
      <c r="AB60" s="752">
        <f>IF(CHSHTATbl[[#This Row],[ALL UNITS IN A HIGH OR HIGHEST RESOURCE AREA]]="Yes",10*CHSHTATbl[[#This Row],[UNRESTRICTED % OF FUNDING]],0)</f>
        <v>0</v>
      </c>
      <c r="AC60" s="752" cm="1">
        <f t="array" ref="AC60">INDEX(CountyScoresTbl[Community Need Total Points],ROW(CHSHTATbl[[#This Row],[COUNTY]])-2,1)*CHSHTATbl[[#This Row],[UNRESTRICTED % OF FUNDING]]</f>
        <v>0</v>
      </c>
      <c r="AD60" s="752" cm="1">
        <f t="array" ref="AD60">INDEX(CountyScoresTbl[SHTA Total Feasibility Points Awarded],ROW(CHSHTATbl[[#This Row],[COUNTY]])-2,1)*CHSHTATbl[[#This Row],[UNRESTRICTED % OF FUNDING]]</f>
        <v>0</v>
      </c>
      <c r="AE60" s="210"/>
      <c r="AF60" s="203"/>
      <c r="AG60" s="204"/>
      <c r="AH60" s="145">
        <f t="shared" si="5"/>
        <v>0</v>
      </c>
      <c r="AI60" s="205">
        <f>IF(CHSHTATbl[[#This Row],[MANUFACTURED TOTAL REQUESTED]]=0,0,CHSHTATbl[[#This Row],[MANUFACTURED TOTAL REQUESTED]]/CH_SHTA_ManufacturedTotalRequested)</f>
        <v>0</v>
      </c>
      <c r="AJ60" s="712">
        <f>IF(CHSHTATbl[[#This Row],[ALL UNITS IN A HIGH OR HIGHEST RESOURCE AREA]]="Yes",10*CHSHTATbl[[#This Row],[MANUFACTURED % OF FUNDING]],0)</f>
        <v>0</v>
      </c>
      <c r="AK60" s="712" cm="1">
        <f t="array" ref="AK60">INDEX(CountyScoresTbl[Community Need Total Points],ROW(CHSHTATbl[[#This Row],[COUNTY]])-2,1)*CHSHTATbl[[#This Row],[MANUFACTURED % OF FUNDING]]</f>
        <v>0</v>
      </c>
      <c r="AL60" s="713" cm="1">
        <f t="array" ref="AL60">INDEX(CountyScoresTbl[SHTA Total Feasibility Points Awarded],ROW(CHSHTATbl[[#This Row],[COUNTY]])-2,1)*CHSHTATbl[[#This Row],[MANUFACTURED % OF FUNDING]]</f>
        <v>0</v>
      </c>
      <c r="AM60" s="202"/>
      <c r="AN60" s="203"/>
      <c r="AO60" s="204"/>
      <c r="AP60" s="145">
        <f t="shared" si="6"/>
        <v>0</v>
      </c>
      <c r="AQ60" s="14">
        <f>IF(CHSHTATbl[[#This Row],[RURAL TOTAL REQUESTED]]=0,0,CHSHTATbl[[#This Row],[RURAL TOTAL REQUESTED]]/CH_SHTA_RuralTotalRequested)</f>
        <v>0</v>
      </c>
      <c r="AR60" s="712">
        <f>IF(CHSHTATbl[[#This Row],[ALL UNITS IN A HIGH OR HIGHEST RESOURCE AREA]]="Yes",10*CHSHTATbl[[#This Row],[RURAL % OF FUNDING]],0)</f>
        <v>0</v>
      </c>
      <c r="AS60" s="712" cm="1">
        <f t="array" ref="AS60">INDEX(CountyScoresTbl[Community Need Total Points],ROW(CHSHTATbl[[#This Row],[COUNTY]])-2,1)*CHSHTATbl[[#This Row],[RURAL % OF FUNDING]]</f>
        <v>0</v>
      </c>
      <c r="AT60" s="713" cm="1">
        <f t="array" ref="AT60">INDEX(CountyScoresTbl[SHTA Total Feasibility Points Awarded],ROW(CHSHTATbl[[#This Row],[COUNTY]])-2,1)*CHSHTATbl[[#This Row],[RURAL % OF FUNDING]]</f>
        <v>0</v>
      </c>
      <c r="AU60" s="202"/>
      <c r="AV60" s="203"/>
      <c r="AW60" s="204"/>
      <c r="AX60" s="145">
        <f t="shared" si="7"/>
        <v>0</v>
      </c>
      <c r="AY60" s="14">
        <f>IF(CHSHTATbl[[#This Row],[MFD RURAL TOTAL REQUESTED]]=0,0,CHSHTATbl[[#This Row],[MFD RURAL TOTAL REQUESTED]]/CH_SHTA_MFDRuralTotalRequested)</f>
        <v>0</v>
      </c>
      <c r="AZ60" s="712">
        <f>IF(CHSHTATbl[[#This Row],[ALL UNITS IN A HIGH OR HIGHEST RESOURCE AREA]]="Yes",10*CHSHTATbl[[#This Row],[MFD RURAL % OF FUNDING]],0)</f>
        <v>0</v>
      </c>
      <c r="BA60" s="712" cm="1">
        <f t="array" ref="BA60">INDEX(CountyScoresTbl[Community Need Total Points],ROW(CHSHTATbl[[#This Row],[COUNTY]])-2,1)*CHSHTATbl[[#This Row],[MFD RURAL % OF FUNDING]]</f>
        <v>0</v>
      </c>
      <c r="BB60" s="713" cm="1">
        <f t="array" ref="BB60">INDEX(CountyScoresTbl[SHTA Total Feasibility Points Awarded],ROW(CHSHTATbl[[#This Row],[COUNTY]])-2,1)*CHSHTATbl[[#This Row],[MFD RURAL % OF FUNDING]]</f>
        <v>0</v>
      </c>
      <c r="BC60" s="766"/>
      <c r="BD60" s="767">
        <f>IF(CHSHTATbl[[#This Row],[INFILL SITE]]="Yes",5,3)*CHSHTATbl[[#This Row],[UNRESTRICTED % OF FUNDING]]</f>
        <v>0</v>
      </c>
      <c r="BE60" s="716">
        <f>IF(CHSHTATbl[[#This Row],[INFILL SITE]]="Yes",5,3)*CHSHTATbl[[#This Row],[MANUFACTURED % OF FUNDING]]</f>
        <v>0</v>
      </c>
      <c r="BF60" s="716">
        <f>IF(CHSHTATbl[[#This Row],[INFILL SITE]]="Yes",5,3)*CHSHTATbl[[#This Row],[RURAL % OF FUNDING]]</f>
        <v>0</v>
      </c>
      <c r="BG60" s="716">
        <f>IF(CHSHTATbl[[#This Row],[INFILL SITE]]="Yes",5,3)*CHSHTATbl[[#This Row],[MFD RURAL % OF FUNDING]]</f>
        <v>0</v>
      </c>
    </row>
    <row r="61" spans="1:59" s="662" customFormat="1" ht="15" thickBot="1" x14ac:dyDescent="0.4">
      <c r="A61" s="209"/>
      <c r="B61" s="682"/>
      <c r="C61" s="220"/>
      <c r="D61" s="769">
        <f>SUM(D$3:D$60)</f>
        <v>0</v>
      </c>
      <c r="E61" s="770">
        <f>SUM(E$3:E$60)</f>
        <v>0</v>
      </c>
      <c r="F61" s="771">
        <f>SUM(F$3:F$60)</f>
        <v>0</v>
      </c>
      <c r="G61" s="772"/>
      <c r="H61" s="769">
        <f>SUM(H$3:H$60)</f>
        <v>0</v>
      </c>
      <c r="I61" s="773">
        <f>SUM(I$3:I$60)</f>
        <v>0</v>
      </c>
      <c r="J61" s="771">
        <f>SUM(J$3:J$60)</f>
        <v>0</v>
      </c>
      <c r="K61" s="772"/>
      <c r="L61" s="774">
        <f>SUM(L$3:L$60)</f>
        <v>0</v>
      </c>
      <c r="M61" s="773">
        <f>SUM(M$3:M$60)</f>
        <v>0</v>
      </c>
      <c r="N61" s="775">
        <f>SUM(N$3:N$60)</f>
        <v>0</v>
      </c>
      <c r="O61" s="776"/>
      <c r="P61" s="777">
        <f>SUM(P$3:P$60)</f>
        <v>0</v>
      </c>
      <c r="Q61" s="773">
        <f>SUM(Q$3:Q$60)</f>
        <v>0</v>
      </c>
      <c r="R61" s="775">
        <f>SUM(R$3:R$60)</f>
        <v>0</v>
      </c>
      <c r="S61" s="220"/>
      <c r="T61" s="778">
        <f>COUNTIF(T$3:T$60,"Yes")</f>
        <v>0</v>
      </c>
      <c r="U61" s="207">
        <f>COUNTIF(U$3:U$60,"Yes")</f>
        <v>0</v>
      </c>
      <c r="V61" s="779">
        <f>COUNTIF(V$3:V$60,"Yes")</f>
        <v>0</v>
      </c>
      <c r="W61" s="780">
        <f t="shared" ref="W61:BG61" si="8">SUM(W$3:W$60)</f>
        <v>0</v>
      </c>
      <c r="X61" s="151">
        <f t="shared" si="8"/>
        <v>0</v>
      </c>
      <c r="Y61" s="97">
        <f t="shared" si="8"/>
        <v>0</v>
      </c>
      <c r="Z61" s="97">
        <f t="shared" si="8"/>
        <v>0</v>
      </c>
      <c r="AA61" s="208">
        <f t="shared" si="8"/>
        <v>0</v>
      </c>
      <c r="AB61" s="720">
        <f t="shared" si="8"/>
        <v>0</v>
      </c>
      <c r="AC61" s="720">
        <f t="shared" si="8"/>
        <v>0</v>
      </c>
      <c r="AD61" s="723">
        <f t="shared" si="8"/>
        <v>0</v>
      </c>
      <c r="AE61" s="722">
        <f t="shared" si="8"/>
        <v>0</v>
      </c>
      <c r="AF61" s="307">
        <f t="shared" si="8"/>
        <v>0</v>
      </c>
      <c r="AG61" s="307">
        <f t="shared" si="8"/>
        <v>0</v>
      </c>
      <c r="AH61" s="97">
        <f t="shared" si="8"/>
        <v>0</v>
      </c>
      <c r="AI61" s="208">
        <f t="shared" si="8"/>
        <v>0</v>
      </c>
      <c r="AJ61" s="720">
        <f t="shared" si="8"/>
        <v>0</v>
      </c>
      <c r="AK61" s="720">
        <f t="shared" si="8"/>
        <v>0</v>
      </c>
      <c r="AL61" s="721">
        <f t="shared" si="8"/>
        <v>0</v>
      </c>
      <c r="AM61" s="209">
        <f t="shared" si="8"/>
        <v>0</v>
      </c>
      <c r="AN61" s="307">
        <f t="shared" si="8"/>
        <v>0</v>
      </c>
      <c r="AO61" s="307">
        <f t="shared" si="8"/>
        <v>0</v>
      </c>
      <c r="AP61" s="97">
        <f t="shared" si="8"/>
        <v>0</v>
      </c>
      <c r="AQ61" s="208">
        <f t="shared" si="8"/>
        <v>0</v>
      </c>
      <c r="AR61" s="720">
        <f t="shared" si="8"/>
        <v>0</v>
      </c>
      <c r="AS61" s="720">
        <f t="shared" si="8"/>
        <v>0</v>
      </c>
      <c r="AT61" s="721">
        <f t="shared" si="8"/>
        <v>0</v>
      </c>
      <c r="AU61" s="209">
        <f t="shared" si="8"/>
        <v>0</v>
      </c>
      <c r="AV61" s="307">
        <f t="shared" si="8"/>
        <v>0</v>
      </c>
      <c r="AW61" s="307">
        <f t="shared" si="8"/>
        <v>0</v>
      </c>
      <c r="AX61" s="97">
        <f t="shared" si="8"/>
        <v>0</v>
      </c>
      <c r="AY61" s="208">
        <f t="shared" si="8"/>
        <v>0</v>
      </c>
      <c r="AZ61" s="720">
        <f t="shared" si="8"/>
        <v>0</v>
      </c>
      <c r="BA61" s="720">
        <f t="shared" si="8"/>
        <v>0</v>
      </c>
      <c r="BB61" s="721">
        <f t="shared" si="8"/>
        <v>0</v>
      </c>
      <c r="BC61" s="768">
        <f>COUNTIF(BC$3:BC$60,"Yes")</f>
        <v>0</v>
      </c>
      <c r="BD61" s="781">
        <f t="shared" si="8"/>
        <v>0</v>
      </c>
      <c r="BE61" s="723">
        <f t="shared" si="8"/>
        <v>0</v>
      </c>
      <c r="BF61" s="723">
        <f t="shared" si="8"/>
        <v>0</v>
      </c>
      <c r="BG61" s="723">
        <f t="shared" si="8"/>
        <v>0</v>
      </c>
    </row>
  </sheetData>
  <sheetProtection formatCells="0" selectLockedCells="1"/>
  <dataConsolidate/>
  <mergeCells count="11">
    <mergeCell ref="BD1:BG1"/>
    <mergeCell ref="AU1:BB1"/>
    <mergeCell ref="AM1:AT1"/>
    <mergeCell ref="AE1:AL1"/>
    <mergeCell ref="A1:C1"/>
    <mergeCell ref="D1:G1"/>
    <mergeCell ref="H1:K1"/>
    <mergeCell ref="L1:O1"/>
    <mergeCell ref="W1:AD1"/>
    <mergeCell ref="P1:S1"/>
    <mergeCell ref="T1:V1"/>
  </mergeCells>
  <phoneticPr fontId="6" type="noConversion"/>
  <pageMargins left="0.7" right="0.7" top="0.75" bottom="0.75" header="0.3" footer="0.3"/>
  <pageSetup orientation="portrait" r:id="rId1"/>
  <ignoredErrors>
    <ignoredError sqref="BC61" formula="1"/>
  </ignoredErrors>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CHSHData"/>
  <dimension ref="A1:U61"/>
  <sheetViews>
    <sheetView zoomScale="70" zoomScaleNormal="70" workbookViewId="0">
      <selection activeCell="L3" sqref="L3"/>
    </sheetView>
  </sheetViews>
  <sheetFormatPr defaultColWidth="5.54296875" defaultRowHeight="14.5" x14ac:dyDescent="0.35"/>
  <cols>
    <col min="1" max="2" width="22.54296875" customWidth="1"/>
    <col min="3" max="3" width="1.54296875" customWidth="1"/>
    <col min="4" max="5" width="18.54296875" customWidth="1"/>
    <col min="6" max="6" width="1.54296875" customWidth="1"/>
    <col min="7" max="8" width="18.54296875" customWidth="1"/>
    <col min="9" max="9" width="1.54296875" customWidth="1"/>
    <col min="10" max="21" width="18.54296875" customWidth="1"/>
  </cols>
  <sheetData>
    <row r="1" spans="1:21" ht="21.5" thickBot="1" x14ac:dyDescent="0.4">
      <c r="A1" s="1380" t="s">
        <v>635</v>
      </c>
      <c r="B1" s="1381"/>
      <c r="C1" s="1385"/>
      <c r="D1" s="1375" t="s">
        <v>506</v>
      </c>
      <c r="E1" s="1376"/>
      <c r="F1" s="1377"/>
      <c r="G1" s="1375" t="s">
        <v>508</v>
      </c>
      <c r="H1" s="1376"/>
      <c r="I1" s="1377"/>
      <c r="J1" s="1380" t="s">
        <v>510</v>
      </c>
      <c r="K1" s="1381"/>
      <c r="L1" s="1375" t="s">
        <v>506</v>
      </c>
      <c r="M1" s="1376"/>
      <c r="N1" s="1376"/>
      <c r="O1" s="1376"/>
      <c r="P1" s="1377"/>
      <c r="Q1" s="1375" t="s">
        <v>508</v>
      </c>
      <c r="R1" s="1376"/>
      <c r="S1" s="1376"/>
      <c r="T1" s="1376"/>
      <c r="U1" s="1377"/>
    </row>
    <row r="2" spans="1:21" ht="44" thickBot="1" x14ac:dyDescent="0.4">
      <c r="A2" s="62" t="s">
        <v>511</v>
      </c>
      <c r="B2" s="63" t="s">
        <v>512</v>
      </c>
      <c r="C2" s="64" t="s">
        <v>513</v>
      </c>
      <c r="D2" s="235" t="s">
        <v>636</v>
      </c>
      <c r="E2" s="66" t="s">
        <v>516</v>
      </c>
      <c r="F2" s="64" t="s">
        <v>580</v>
      </c>
      <c r="G2" s="236" t="s">
        <v>637</v>
      </c>
      <c r="H2" s="66" t="s">
        <v>520</v>
      </c>
      <c r="I2" s="64" t="s">
        <v>581</v>
      </c>
      <c r="J2" s="237" t="s">
        <v>530</v>
      </c>
      <c r="K2" s="63" t="s">
        <v>532</v>
      </c>
      <c r="L2" s="238" t="s">
        <v>638</v>
      </c>
      <c r="M2" s="69" t="s">
        <v>639</v>
      </c>
      <c r="N2" s="27" t="s">
        <v>640</v>
      </c>
      <c r="O2" s="27" t="s">
        <v>641</v>
      </c>
      <c r="P2" s="28" t="s">
        <v>642</v>
      </c>
      <c r="Q2" s="239" t="s">
        <v>643</v>
      </c>
      <c r="R2" s="69" t="s">
        <v>644</v>
      </c>
      <c r="S2" s="27" t="s">
        <v>645</v>
      </c>
      <c r="T2" s="27" t="s">
        <v>646</v>
      </c>
      <c r="U2" s="28" t="s">
        <v>647</v>
      </c>
    </row>
    <row r="3" spans="1:21" x14ac:dyDescent="0.35">
      <c r="A3" s="166"/>
      <c r="B3" s="37" t="s">
        <v>115</v>
      </c>
      <c r="C3" s="58" t="s">
        <v>513</v>
      </c>
      <c r="D3" s="231" t="str">
        <f>IF(CHSHTbl[[#This Row],[TOTAL REQUESTED]]=0,"",CHSHTbl[[#This Row],[TOTAL REQUESTED]]*
IF(L$61&lt;=300000,1,
300000/L$61))</f>
        <v/>
      </c>
      <c r="E3" s="61" t="str">
        <f>IF(CHSHTbl[[#This Row],[FUNDING %]]=0,"",CHSHTbl[[#This Row],[FUNDING %]])</f>
        <v/>
      </c>
      <c r="F3" s="58" t="s">
        <v>513</v>
      </c>
      <c r="G3" s="231" t="str">
        <f>IF(CHSHTbl[[#This Row],[TOTAL REQUESTED2]]=0,"",CHSHTbl[[#This Row],[TOTAL REQUESTED2]]*
IF(CH_SH_RuralTotalRequested&lt;=(300000-D$61),1,(300000-D$61)/CH_SH_RuralTotalRequested)
)</f>
        <v/>
      </c>
      <c r="H3" s="61" t="str">
        <f>IF(CHSHTbl[[#This Row],[FUNDING %2]]=0,"",CHSHTbl[[#This Row],[FUNDING %2]])</f>
        <v/>
      </c>
      <c r="I3" s="58" t="s">
        <v>513</v>
      </c>
      <c r="J3" s="232"/>
      <c r="K3" s="158"/>
      <c r="L3" s="233"/>
      <c r="M3" s="61">
        <f>IF(CHSHTbl[[#This Row],[TOTAL REQUESTED]]=0,0,CHSHTbl[[#This Row],[TOTAL REQUESTED]]/CH_SH_UnrestrictedTotalRequested)</f>
        <v>0</v>
      </c>
      <c r="N3" s="696">
        <f>IF(CHSHTbl[[#This Row],[ALL UNITS IN A HIGH OR HIGHEST RESOURCE AREA]]="Yes",10*CHSHTbl[[#This Row],[FUNDING %]],0)</f>
        <v>0</v>
      </c>
      <c r="O3" s="696" cm="1">
        <f t="array" ref="O3">INDEX(CountyScoresTbl[Community Need Total Points],ROW(CHSHTbl[[#This Row],[COUNTY]])-2,1)*CHSHTbl[[#This Row],[FUNDING %]]</f>
        <v>0</v>
      </c>
      <c r="P3" s="752" cm="1">
        <f t="array" ref="P3">INDEX(CountyScoresTbl[SHTA Total Feasibility Points Awarded],ROW(CHSHTbl[[#This Row],[COUNTY]])-2,1)*CHSHTbl[[#This Row],[FUNDING %]]</f>
        <v>0</v>
      </c>
      <c r="Q3" s="234"/>
      <c r="R3" s="61">
        <f>IF(CHSHTbl[[#This Row],[TOTAL REQUESTED2]]=0,0,CHSHTbl[[#This Row],[TOTAL REQUESTED2]]/CH_SH_RuralTotalRequested)</f>
        <v>0</v>
      </c>
      <c r="S3" s="696">
        <f>IF(CHSHTbl[[#This Row],[ALL UNITS IN A HIGH OR HIGHEST RESOURCE AREA]]="Yes",10*CHSHTbl[[#This Row],[FUNDING %2]],0)</f>
        <v>0</v>
      </c>
      <c r="T3" s="696" cm="1">
        <f t="array" ref="T3">INDEX(CountyScoresTbl[Community Need Total Points],ROW(CHSHTbl[[#This Row],[COUNTY]])-2,1)*CHSHTbl[[#This Row],[FUNDING %2]]</f>
        <v>0</v>
      </c>
      <c r="U3" s="752" cm="1">
        <f t="array" ref="U3">INDEX(CountyScoresTbl[SHTA Total Feasibility Points Awarded],ROW(CHSHTbl[[#This Row],[COUNTY]])-2,1)*CHSHTbl[[#This Row],[FUNDING %2]]</f>
        <v>0</v>
      </c>
    </row>
    <row r="4" spans="1:21" x14ac:dyDescent="0.35">
      <c r="A4" s="167"/>
      <c r="B4" s="5" t="s">
        <v>116</v>
      </c>
      <c r="C4" s="31" t="s">
        <v>513</v>
      </c>
      <c r="D4" s="224" t="str">
        <f>IF(CHSHTbl[[#This Row],[TOTAL REQUESTED]]=0,"",CHSHTbl[[#This Row],[TOTAL REQUESTED]]*
IF(L$61&lt;=300000,1,
300000/L$61))</f>
        <v/>
      </c>
      <c r="E4" s="6" t="str">
        <f>IF(CHSHTbl[[#This Row],[FUNDING %]]=0,"",CHSHTbl[[#This Row],[FUNDING %]])</f>
        <v/>
      </c>
      <c r="F4" s="31" t="s">
        <v>513</v>
      </c>
      <c r="G4" s="231" t="str">
        <f>IF(CHSHTbl[[#This Row],[TOTAL REQUESTED2]]=0,"",CHSHTbl[[#This Row],[TOTAL REQUESTED2]]*
IF(CH_SH_RuralTotalRequested&lt;=(300000-D$61),1,(300000-D$61)/CH_SH_RuralTotalRequested)
)</f>
        <v/>
      </c>
      <c r="H4" s="6" t="str">
        <f>IF(CHSHTbl[[#This Row],[FUNDING %2]]=0,"",CHSHTbl[[#This Row],[FUNDING %2]])</f>
        <v/>
      </c>
      <c r="I4" s="31" t="s">
        <v>513</v>
      </c>
      <c r="J4" s="225"/>
      <c r="K4" s="164"/>
      <c r="L4" s="162"/>
      <c r="M4" s="6">
        <f>IF(CHSHTbl[[#This Row],[TOTAL REQUESTED]]=0,0,CHSHTbl[[#This Row],[TOTAL REQUESTED]]/CH_SH_UnrestrictedTotalRequested)</f>
        <v>0</v>
      </c>
      <c r="N4" s="665">
        <f>IF(CHSHTbl[[#This Row],[ALL UNITS IN A HIGH OR HIGHEST RESOURCE AREA]]="Yes",10*CHSHTbl[[#This Row],[FUNDING %]],0)</f>
        <v>0</v>
      </c>
      <c r="O4" s="665" cm="1">
        <f t="array" ref="O4">INDEX(CountyScoresTbl[Community Need Total Points],ROW(CHSHTbl[[#This Row],[COUNTY]])-2,1)*CHSHTbl[[#This Row],[FUNDING %]]</f>
        <v>0</v>
      </c>
      <c r="P4" s="694" cm="1">
        <f t="array" ref="P4">INDEX(CountyScoresTbl[SHTA Total Feasibility Points Awarded],ROW(CHSHTbl[[#This Row],[COUNTY]])-2,1)*CHSHTbl[[#This Row],[FUNDING %]]</f>
        <v>0</v>
      </c>
      <c r="Q4" s="229"/>
      <c r="R4" s="6">
        <f>IF(CHSHTbl[[#This Row],[TOTAL REQUESTED2]]=0,0,CHSHTbl[[#This Row],[TOTAL REQUESTED2]]/CH_SH_RuralTotalRequested)</f>
        <v>0</v>
      </c>
      <c r="S4" s="665">
        <f>IF(CHSHTbl[[#This Row],[ALL UNITS IN A HIGH OR HIGHEST RESOURCE AREA]]="Yes",10*CHSHTbl[[#This Row],[FUNDING %2]],0)</f>
        <v>0</v>
      </c>
      <c r="T4" s="665" cm="1">
        <f t="array" ref="T4">INDEX(CountyScoresTbl[Community Need Total Points],ROW(CHSHTbl[[#This Row],[COUNTY]])-2,1)*CHSHTbl[[#This Row],[FUNDING %2]]</f>
        <v>0</v>
      </c>
      <c r="U4" s="694" cm="1">
        <f t="array" ref="U4">INDEX(CountyScoresTbl[SHTA Total Feasibility Points Awarded],ROW(CHSHTbl[[#This Row],[COUNTY]])-2,1)*CHSHTbl[[#This Row],[FUNDING %2]]</f>
        <v>0</v>
      </c>
    </row>
    <row r="5" spans="1:21" x14ac:dyDescent="0.35">
      <c r="A5" s="167"/>
      <c r="B5" s="5" t="s">
        <v>117</v>
      </c>
      <c r="C5" s="31" t="s">
        <v>513</v>
      </c>
      <c r="D5" s="224" t="str">
        <f>IF(CHSHTbl[[#This Row],[TOTAL REQUESTED]]=0,"",CHSHTbl[[#This Row],[TOTAL REQUESTED]]*
IF(L$61&lt;=300000,1,
300000/L$61))</f>
        <v/>
      </c>
      <c r="E5" s="6" t="str">
        <f>IF(CHSHTbl[[#This Row],[FUNDING %]]=0,"",CHSHTbl[[#This Row],[FUNDING %]])</f>
        <v/>
      </c>
      <c r="F5" s="31" t="s">
        <v>513</v>
      </c>
      <c r="G5" s="231" t="str">
        <f>IF(CHSHTbl[[#This Row],[TOTAL REQUESTED2]]=0,"",CHSHTbl[[#This Row],[TOTAL REQUESTED2]]*
IF(CH_SH_RuralTotalRequested&lt;=(300000-D$61),1,(300000-D$61)/CH_SH_RuralTotalRequested)
)</f>
        <v/>
      </c>
      <c r="H5" s="6" t="str">
        <f>IF(CHSHTbl[[#This Row],[FUNDING %2]]=0,"",CHSHTbl[[#This Row],[FUNDING %2]])</f>
        <v/>
      </c>
      <c r="I5" s="31" t="s">
        <v>513</v>
      </c>
      <c r="J5" s="225"/>
      <c r="K5" s="164"/>
      <c r="L5" s="162"/>
      <c r="M5" s="6">
        <f>IF(CHSHTbl[[#This Row],[TOTAL REQUESTED]]=0,0,CHSHTbl[[#This Row],[TOTAL REQUESTED]]/CH_SH_UnrestrictedTotalRequested)</f>
        <v>0</v>
      </c>
      <c r="N5" s="665">
        <f>IF(CHSHTbl[[#This Row],[ALL UNITS IN A HIGH OR HIGHEST RESOURCE AREA]]="Yes",10*CHSHTbl[[#This Row],[FUNDING %]],0)</f>
        <v>0</v>
      </c>
      <c r="O5" s="665" cm="1">
        <f t="array" ref="O5">INDEX(CountyScoresTbl[Community Need Total Points],ROW(CHSHTbl[[#This Row],[COUNTY]])-2,1)*CHSHTbl[[#This Row],[FUNDING %]]</f>
        <v>0</v>
      </c>
      <c r="P5" s="694" cm="1">
        <f t="array" ref="P5">INDEX(CountyScoresTbl[SHTA Total Feasibility Points Awarded],ROW(CHSHTbl[[#This Row],[COUNTY]])-2,1)*CHSHTbl[[#This Row],[FUNDING %]]</f>
        <v>0</v>
      </c>
      <c r="Q5" s="229"/>
      <c r="R5" s="6">
        <f>IF(CHSHTbl[[#This Row],[TOTAL REQUESTED2]]=0,0,CHSHTbl[[#This Row],[TOTAL REQUESTED2]]/CH_SH_RuralTotalRequested)</f>
        <v>0</v>
      </c>
      <c r="S5" s="665">
        <f>IF(CHSHTbl[[#This Row],[ALL UNITS IN A HIGH OR HIGHEST RESOURCE AREA]]="Yes",10*CHSHTbl[[#This Row],[FUNDING %2]],0)</f>
        <v>0</v>
      </c>
      <c r="T5" s="665" cm="1">
        <f t="array" ref="T5">INDEX(CountyScoresTbl[Community Need Total Points],ROW(CHSHTbl[[#This Row],[COUNTY]])-2,1)*CHSHTbl[[#This Row],[FUNDING %2]]</f>
        <v>0</v>
      </c>
      <c r="U5" s="694" cm="1">
        <f t="array" ref="U5">INDEX(CountyScoresTbl[SHTA Total Feasibility Points Awarded],ROW(CHSHTbl[[#This Row],[COUNTY]])-2,1)*CHSHTbl[[#This Row],[FUNDING %2]]</f>
        <v>0</v>
      </c>
    </row>
    <row r="6" spans="1:21" x14ac:dyDescent="0.35">
      <c r="A6" s="167"/>
      <c r="B6" s="5" t="s">
        <v>118</v>
      </c>
      <c r="C6" s="31" t="s">
        <v>513</v>
      </c>
      <c r="D6" s="224" t="str">
        <f>IF(CHSHTbl[[#This Row],[TOTAL REQUESTED]]=0,"",CHSHTbl[[#This Row],[TOTAL REQUESTED]]*
IF(L$61&lt;=300000,1,
300000/L$61))</f>
        <v/>
      </c>
      <c r="E6" s="6" t="str">
        <f>IF(CHSHTbl[[#This Row],[FUNDING %]]=0,"",CHSHTbl[[#This Row],[FUNDING %]])</f>
        <v/>
      </c>
      <c r="F6" s="31" t="s">
        <v>513</v>
      </c>
      <c r="G6" s="231" t="str">
        <f>IF(CHSHTbl[[#This Row],[TOTAL REQUESTED2]]=0,"",CHSHTbl[[#This Row],[TOTAL REQUESTED2]]*
IF(CH_SH_RuralTotalRequested&lt;=(300000-D$61),1,(300000-D$61)/CH_SH_RuralTotalRequested)
)</f>
        <v/>
      </c>
      <c r="H6" s="6" t="str">
        <f>IF(CHSHTbl[[#This Row],[FUNDING %2]]=0,"",CHSHTbl[[#This Row],[FUNDING %2]])</f>
        <v/>
      </c>
      <c r="I6" s="31" t="s">
        <v>513</v>
      </c>
      <c r="J6" s="225"/>
      <c r="K6" s="164"/>
      <c r="L6" s="162"/>
      <c r="M6" s="6">
        <f>IF(CHSHTbl[[#This Row],[TOTAL REQUESTED]]=0,0,CHSHTbl[[#This Row],[TOTAL REQUESTED]]/CH_SH_UnrestrictedTotalRequested)</f>
        <v>0</v>
      </c>
      <c r="N6" s="665">
        <f>IF(CHSHTbl[[#This Row],[ALL UNITS IN A HIGH OR HIGHEST RESOURCE AREA]]="Yes",10*CHSHTbl[[#This Row],[FUNDING %]],0)</f>
        <v>0</v>
      </c>
      <c r="O6" s="665" cm="1">
        <f t="array" ref="O6">INDEX(CountyScoresTbl[Community Need Total Points],ROW(CHSHTbl[[#This Row],[COUNTY]])-2,1)*CHSHTbl[[#This Row],[FUNDING %]]</f>
        <v>0</v>
      </c>
      <c r="P6" s="694" cm="1">
        <f t="array" ref="P6">INDEX(CountyScoresTbl[SHTA Total Feasibility Points Awarded],ROW(CHSHTbl[[#This Row],[COUNTY]])-2,1)*CHSHTbl[[#This Row],[FUNDING %]]</f>
        <v>0</v>
      </c>
      <c r="Q6" s="229"/>
      <c r="R6" s="6">
        <f>IF(CHSHTbl[[#This Row],[TOTAL REQUESTED2]]=0,0,CHSHTbl[[#This Row],[TOTAL REQUESTED2]]/CH_SH_RuralTotalRequested)</f>
        <v>0</v>
      </c>
      <c r="S6" s="665">
        <f>IF(CHSHTbl[[#This Row],[ALL UNITS IN A HIGH OR HIGHEST RESOURCE AREA]]="Yes",10*CHSHTbl[[#This Row],[FUNDING %2]],0)</f>
        <v>0</v>
      </c>
      <c r="T6" s="665" cm="1">
        <f t="array" ref="T6">INDEX(CountyScoresTbl[Community Need Total Points],ROW(CHSHTbl[[#This Row],[COUNTY]])-2,1)*CHSHTbl[[#This Row],[FUNDING %2]]</f>
        <v>0</v>
      </c>
      <c r="U6" s="694" cm="1">
        <f t="array" ref="U6">INDEX(CountyScoresTbl[SHTA Total Feasibility Points Awarded],ROW(CHSHTbl[[#This Row],[COUNTY]])-2,1)*CHSHTbl[[#This Row],[FUNDING %2]]</f>
        <v>0</v>
      </c>
    </row>
    <row r="7" spans="1:21" x14ac:dyDescent="0.35">
      <c r="A7" s="167"/>
      <c r="B7" s="5" t="s">
        <v>119</v>
      </c>
      <c r="C7" s="31" t="s">
        <v>513</v>
      </c>
      <c r="D7" s="224" t="str">
        <f>IF(CHSHTbl[[#This Row],[TOTAL REQUESTED]]=0,"",CHSHTbl[[#This Row],[TOTAL REQUESTED]]*
IF(L$61&lt;=300000,1,
300000/L$61))</f>
        <v/>
      </c>
      <c r="E7" s="6" t="str">
        <f>IF(CHSHTbl[[#This Row],[FUNDING %]]=0,"",CHSHTbl[[#This Row],[FUNDING %]])</f>
        <v/>
      </c>
      <c r="F7" s="31" t="s">
        <v>513</v>
      </c>
      <c r="G7" s="231" t="str">
        <f>IF(CHSHTbl[[#This Row],[TOTAL REQUESTED2]]=0,"",CHSHTbl[[#This Row],[TOTAL REQUESTED2]]*
IF(CH_SH_RuralTotalRequested&lt;=(300000-D$61),1,(300000-D$61)/CH_SH_RuralTotalRequested)
)</f>
        <v/>
      </c>
      <c r="H7" s="6" t="str">
        <f>IF(CHSHTbl[[#This Row],[FUNDING %2]]=0,"",CHSHTbl[[#This Row],[FUNDING %2]])</f>
        <v/>
      </c>
      <c r="I7" s="31" t="s">
        <v>513</v>
      </c>
      <c r="J7" s="225"/>
      <c r="K7" s="164"/>
      <c r="L7" s="162"/>
      <c r="M7" s="6">
        <f>IF(CHSHTbl[[#This Row],[TOTAL REQUESTED]]=0,0,CHSHTbl[[#This Row],[TOTAL REQUESTED]]/CH_SH_UnrestrictedTotalRequested)</f>
        <v>0</v>
      </c>
      <c r="N7" s="665">
        <f>IF(CHSHTbl[[#This Row],[ALL UNITS IN A HIGH OR HIGHEST RESOURCE AREA]]="Yes",10*CHSHTbl[[#This Row],[FUNDING %]],0)</f>
        <v>0</v>
      </c>
      <c r="O7" s="665" cm="1">
        <f t="array" ref="O7">INDEX(CountyScoresTbl[Community Need Total Points],ROW(CHSHTbl[[#This Row],[COUNTY]])-2,1)*CHSHTbl[[#This Row],[FUNDING %]]</f>
        <v>0</v>
      </c>
      <c r="P7" s="694" cm="1">
        <f t="array" ref="P7">INDEX(CountyScoresTbl[SHTA Total Feasibility Points Awarded],ROW(CHSHTbl[[#This Row],[COUNTY]])-2,1)*CHSHTbl[[#This Row],[FUNDING %]]</f>
        <v>0</v>
      </c>
      <c r="Q7" s="229"/>
      <c r="R7" s="6">
        <f>IF(CHSHTbl[[#This Row],[TOTAL REQUESTED2]]=0,0,CHSHTbl[[#This Row],[TOTAL REQUESTED2]]/CH_SH_RuralTotalRequested)</f>
        <v>0</v>
      </c>
      <c r="S7" s="665">
        <f>IF(CHSHTbl[[#This Row],[ALL UNITS IN A HIGH OR HIGHEST RESOURCE AREA]]="Yes",10*CHSHTbl[[#This Row],[FUNDING %2]],0)</f>
        <v>0</v>
      </c>
      <c r="T7" s="665" cm="1">
        <f t="array" ref="T7">INDEX(CountyScoresTbl[Community Need Total Points],ROW(CHSHTbl[[#This Row],[COUNTY]])-2,1)*CHSHTbl[[#This Row],[FUNDING %2]]</f>
        <v>0</v>
      </c>
      <c r="U7" s="694" cm="1">
        <f t="array" ref="U7">INDEX(CountyScoresTbl[SHTA Total Feasibility Points Awarded],ROW(CHSHTbl[[#This Row],[COUNTY]])-2,1)*CHSHTbl[[#This Row],[FUNDING %2]]</f>
        <v>0</v>
      </c>
    </row>
    <row r="8" spans="1:21" x14ac:dyDescent="0.35">
      <c r="A8" s="167"/>
      <c r="B8" s="5" t="s">
        <v>120</v>
      </c>
      <c r="C8" s="31" t="s">
        <v>513</v>
      </c>
      <c r="D8" s="224" t="str">
        <f>IF(CHSHTbl[[#This Row],[TOTAL REQUESTED]]=0,"",CHSHTbl[[#This Row],[TOTAL REQUESTED]]*
IF(L$61&lt;=300000,1,
300000/L$61))</f>
        <v/>
      </c>
      <c r="E8" s="6" t="str">
        <f>IF(CHSHTbl[[#This Row],[FUNDING %]]=0,"",CHSHTbl[[#This Row],[FUNDING %]])</f>
        <v/>
      </c>
      <c r="F8" s="31" t="s">
        <v>513</v>
      </c>
      <c r="G8" s="231" t="str">
        <f>IF(CHSHTbl[[#This Row],[TOTAL REQUESTED2]]=0,"",CHSHTbl[[#This Row],[TOTAL REQUESTED2]]*
IF(CH_SH_RuralTotalRequested&lt;=(300000-D$61),1,(300000-D$61)/CH_SH_RuralTotalRequested)
)</f>
        <v/>
      </c>
      <c r="H8" s="6" t="str">
        <f>IF(CHSHTbl[[#This Row],[FUNDING %2]]=0,"",CHSHTbl[[#This Row],[FUNDING %2]])</f>
        <v/>
      </c>
      <c r="I8" s="31" t="s">
        <v>513</v>
      </c>
      <c r="J8" s="225"/>
      <c r="K8" s="164"/>
      <c r="L8" s="162"/>
      <c r="M8" s="6">
        <f>IF(CHSHTbl[[#This Row],[TOTAL REQUESTED]]=0,0,CHSHTbl[[#This Row],[TOTAL REQUESTED]]/CH_SH_UnrestrictedTotalRequested)</f>
        <v>0</v>
      </c>
      <c r="N8" s="665">
        <f>IF(CHSHTbl[[#This Row],[ALL UNITS IN A HIGH OR HIGHEST RESOURCE AREA]]="Yes",10*CHSHTbl[[#This Row],[FUNDING %]],0)</f>
        <v>0</v>
      </c>
      <c r="O8" s="665" cm="1">
        <f t="array" ref="O8">INDEX(CountyScoresTbl[Community Need Total Points],ROW(CHSHTbl[[#This Row],[COUNTY]])-2,1)*CHSHTbl[[#This Row],[FUNDING %]]</f>
        <v>0</v>
      </c>
      <c r="P8" s="694" cm="1">
        <f t="array" ref="P8">INDEX(CountyScoresTbl[SHTA Total Feasibility Points Awarded],ROW(CHSHTbl[[#This Row],[COUNTY]])-2,1)*CHSHTbl[[#This Row],[FUNDING %]]</f>
        <v>0</v>
      </c>
      <c r="Q8" s="229"/>
      <c r="R8" s="6">
        <f>IF(CHSHTbl[[#This Row],[TOTAL REQUESTED2]]=0,0,CHSHTbl[[#This Row],[TOTAL REQUESTED2]]/CH_SH_RuralTotalRequested)</f>
        <v>0</v>
      </c>
      <c r="S8" s="665">
        <f>IF(CHSHTbl[[#This Row],[ALL UNITS IN A HIGH OR HIGHEST RESOURCE AREA]]="Yes",10*CHSHTbl[[#This Row],[FUNDING %2]],0)</f>
        <v>0</v>
      </c>
      <c r="T8" s="665" cm="1">
        <f t="array" ref="T8">INDEX(CountyScoresTbl[Community Need Total Points],ROW(CHSHTbl[[#This Row],[COUNTY]])-2,1)*CHSHTbl[[#This Row],[FUNDING %2]]</f>
        <v>0</v>
      </c>
      <c r="U8" s="694" cm="1">
        <f t="array" ref="U8">INDEX(CountyScoresTbl[SHTA Total Feasibility Points Awarded],ROW(CHSHTbl[[#This Row],[COUNTY]])-2,1)*CHSHTbl[[#This Row],[FUNDING %2]]</f>
        <v>0</v>
      </c>
    </row>
    <row r="9" spans="1:21" x14ac:dyDescent="0.35">
      <c r="A9" s="124"/>
      <c r="B9" s="5" t="s">
        <v>121</v>
      </c>
      <c r="C9" s="31" t="s">
        <v>513</v>
      </c>
      <c r="D9" s="224" t="str">
        <f>IF(CHSHTbl[[#This Row],[TOTAL REQUESTED]]=0,"",CHSHTbl[[#This Row],[TOTAL REQUESTED]]*
IF(L$61&lt;=300000,1,
300000/L$61))</f>
        <v/>
      </c>
      <c r="E9" s="6" t="str">
        <f>IF(CHSHTbl[[#This Row],[FUNDING %]]=0,"",CHSHTbl[[#This Row],[FUNDING %]])</f>
        <v/>
      </c>
      <c r="F9" s="31" t="s">
        <v>513</v>
      </c>
      <c r="G9" s="231" t="str">
        <f>IF(CHSHTbl[[#This Row],[TOTAL REQUESTED2]]=0,"",CHSHTbl[[#This Row],[TOTAL REQUESTED2]]*
IF(CH_SH_RuralTotalRequested&lt;=(300000-D$61),1,(300000-D$61)/CH_SH_RuralTotalRequested)
)</f>
        <v/>
      </c>
      <c r="H9" s="6" t="str">
        <f>IF(CHSHTbl[[#This Row],[FUNDING %2]]=0,"",CHSHTbl[[#This Row],[FUNDING %2]])</f>
        <v/>
      </c>
      <c r="I9" s="31" t="s">
        <v>513</v>
      </c>
      <c r="J9" s="227"/>
      <c r="K9" s="119"/>
      <c r="L9" s="162"/>
      <c r="M9" s="6">
        <f>IF(CHSHTbl[[#This Row],[TOTAL REQUESTED]]=0,0,CHSHTbl[[#This Row],[TOTAL REQUESTED]]/CH_SH_UnrestrictedTotalRequested)</f>
        <v>0</v>
      </c>
      <c r="N9" s="665">
        <f>IF(CHSHTbl[[#This Row],[ALL UNITS IN A HIGH OR HIGHEST RESOURCE AREA]]="Yes",10*CHSHTbl[[#This Row],[FUNDING %]],0)</f>
        <v>0</v>
      </c>
      <c r="O9" s="665" cm="1">
        <f t="array" ref="O9">INDEX(CountyScoresTbl[Community Need Total Points],ROW(CHSHTbl[[#This Row],[COUNTY]])-2,1)*CHSHTbl[[#This Row],[FUNDING %]]</f>
        <v>0</v>
      </c>
      <c r="P9" s="694" cm="1">
        <f t="array" ref="P9">INDEX(CountyScoresTbl[SHTA Total Feasibility Points Awarded],ROW(CHSHTbl[[#This Row],[COUNTY]])-2,1)*CHSHTbl[[#This Row],[FUNDING %]]</f>
        <v>0</v>
      </c>
      <c r="Q9" s="229"/>
      <c r="R9" s="6">
        <f>IF(CHSHTbl[[#This Row],[TOTAL REQUESTED2]]=0,0,CHSHTbl[[#This Row],[TOTAL REQUESTED2]]/CH_SH_RuralTotalRequested)</f>
        <v>0</v>
      </c>
      <c r="S9" s="665">
        <f>IF(CHSHTbl[[#This Row],[ALL UNITS IN A HIGH OR HIGHEST RESOURCE AREA]]="Yes",10*CHSHTbl[[#This Row],[FUNDING %2]],0)</f>
        <v>0</v>
      </c>
      <c r="T9" s="665" cm="1">
        <f t="array" ref="T9">INDEX(CountyScoresTbl[Community Need Total Points],ROW(CHSHTbl[[#This Row],[COUNTY]])-2,1)*CHSHTbl[[#This Row],[FUNDING %2]]</f>
        <v>0</v>
      </c>
      <c r="U9" s="694" cm="1">
        <f t="array" ref="U9">INDEX(CountyScoresTbl[SHTA Total Feasibility Points Awarded],ROW(CHSHTbl[[#This Row],[COUNTY]])-2,1)*CHSHTbl[[#This Row],[FUNDING %2]]</f>
        <v>0</v>
      </c>
    </row>
    <row r="10" spans="1:21" x14ac:dyDescent="0.35">
      <c r="A10" s="124"/>
      <c r="B10" s="5" t="s">
        <v>122</v>
      </c>
      <c r="C10" s="31" t="s">
        <v>513</v>
      </c>
      <c r="D10" s="224" t="str">
        <f>IF(CHSHTbl[[#This Row],[TOTAL REQUESTED]]=0,"",CHSHTbl[[#This Row],[TOTAL REQUESTED]]*
IF(L$61&lt;=300000,1,
300000/L$61))</f>
        <v/>
      </c>
      <c r="E10" s="6" t="str">
        <f>IF(CHSHTbl[[#This Row],[FUNDING %]]=0,"",CHSHTbl[[#This Row],[FUNDING %]])</f>
        <v/>
      </c>
      <c r="F10" s="31" t="s">
        <v>513</v>
      </c>
      <c r="G10" s="231" t="str">
        <f>IF(CHSHTbl[[#This Row],[TOTAL REQUESTED2]]=0,"",CHSHTbl[[#This Row],[TOTAL REQUESTED2]]*
IF(CH_SH_RuralTotalRequested&lt;=(300000-D$61),1,(300000-D$61)/CH_SH_RuralTotalRequested)
)</f>
        <v/>
      </c>
      <c r="H10" s="6" t="str">
        <f>IF(CHSHTbl[[#This Row],[FUNDING %2]]=0,"",CHSHTbl[[#This Row],[FUNDING %2]])</f>
        <v/>
      </c>
      <c r="I10" s="31" t="s">
        <v>513</v>
      </c>
      <c r="J10" s="227"/>
      <c r="K10" s="119"/>
      <c r="L10" s="162"/>
      <c r="M10" s="6">
        <f>IF(CHSHTbl[[#This Row],[TOTAL REQUESTED]]=0,0,CHSHTbl[[#This Row],[TOTAL REQUESTED]]/CH_SH_UnrestrictedTotalRequested)</f>
        <v>0</v>
      </c>
      <c r="N10" s="665">
        <f>IF(CHSHTbl[[#This Row],[ALL UNITS IN A HIGH OR HIGHEST RESOURCE AREA]]="Yes",10*CHSHTbl[[#This Row],[FUNDING %]],0)</f>
        <v>0</v>
      </c>
      <c r="O10" s="665" cm="1">
        <f t="array" ref="O10">INDEX(CountyScoresTbl[Community Need Total Points],ROW(CHSHTbl[[#This Row],[COUNTY]])-2,1)*CHSHTbl[[#This Row],[FUNDING %]]</f>
        <v>0</v>
      </c>
      <c r="P10" s="694" cm="1">
        <f t="array" ref="P10">INDEX(CountyScoresTbl[SHTA Total Feasibility Points Awarded],ROW(CHSHTbl[[#This Row],[COUNTY]])-2,1)*CHSHTbl[[#This Row],[FUNDING %]]</f>
        <v>0</v>
      </c>
      <c r="Q10" s="229"/>
      <c r="R10" s="6">
        <f>IF(CHSHTbl[[#This Row],[TOTAL REQUESTED2]]=0,0,CHSHTbl[[#This Row],[TOTAL REQUESTED2]]/CH_SH_RuralTotalRequested)</f>
        <v>0</v>
      </c>
      <c r="S10" s="665">
        <f>IF(CHSHTbl[[#This Row],[ALL UNITS IN A HIGH OR HIGHEST RESOURCE AREA]]="Yes",10*CHSHTbl[[#This Row],[FUNDING %2]],0)</f>
        <v>0</v>
      </c>
      <c r="T10" s="665" cm="1">
        <f t="array" ref="T10">INDEX(CountyScoresTbl[Community Need Total Points],ROW(CHSHTbl[[#This Row],[COUNTY]])-2,1)*CHSHTbl[[#This Row],[FUNDING %2]]</f>
        <v>0</v>
      </c>
      <c r="U10" s="694" cm="1">
        <f t="array" ref="U10">INDEX(CountyScoresTbl[SHTA Total Feasibility Points Awarded],ROW(CHSHTbl[[#This Row],[COUNTY]])-2,1)*CHSHTbl[[#This Row],[FUNDING %2]]</f>
        <v>0</v>
      </c>
    </row>
    <row r="11" spans="1:21" x14ac:dyDescent="0.35">
      <c r="A11" s="124"/>
      <c r="B11" s="5" t="s">
        <v>123</v>
      </c>
      <c r="C11" s="31" t="s">
        <v>513</v>
      </c>
      <c r="D11" s="224" t="str">
        <f>IF(CHSHTbl[[#This Row],[TOTAL REQUESTED]]=0,"",CHSHTbl[[#This Row],[TOTAL REQUESTED]]*
IF(L$61&lt;=300000,1,
300000/L$61))</f>
        <v/>
      </c>
      <c r="E11" s="6" t="str">
        <f>IF(CHSHTbl[[#This Row],[FUNDING %]]=0,"",CHSHTbl[[#This Row],[FUNDING %]])</f>
        <v/>
      </c>
      <c r="F11" s="31" t="s">
        <v>513</v>
      </c>
      <c r="G11" s="231" t="str">
        <f>IF(CHSHTbl[[#This Row],[TOTAL REQUESTED2]]=0,"",CHSHTbl[[#This Row],[TOTAL REQUESTED2]]*
IF(CH_SH_RuralTotalRequested&lt;=(300000-D$61),1,(300000-D$61)/CH_SH_RuralTotalRequested)
)</f>
        <v/>
      </c>
      <c r="H11" s="6" t="str">
        <f>IF(CHSHTbl[[#This Row],[FUNDING %2]]=0,"",CHSHTbl[[#This Row],[FUNDING %2]])</f>
        <v/>
      </c>
      <c r="I11" s="31" t="s">
        <v>513</v>
      </c>
      <c r="J11" s="227"/>
      <c r="K11" s="119"/>
      <c r="L11" s="162"/>
      <c r="M11" s="6">
        <f>IF(CHSHTbl[[#This Row],[TOTAL REQUESTED]]=0,0,CHSHTbl[[#This Row],[TOTAL REQUESTED]]/CH_SH_UnrestrictedTotalRequested)</f>
        <v>0</v>
      </c>
      <c r="N11" s="665">
        <f>IF(CHSHTbl[[#This Row],[ALL UNITS IN A HIGH OR HIGHEST RESOURCE AREA]]="Yes",10*CHSHTbl[[#This Row],[FUNDING %]],0)</f>
        <v>0</v>
      </c>
      <c r="O11" s="665" cm="1">
        <f t="array" ref="O11">INDEX(CountyScoresTbl[Community Need Total Points],ROW(CHSHTbl[[#This Row],[COUNTY]])-2,1)*CHSHTbl[[#This Row],[FUNDING %]]</f>
        <v>0</v>
      </c>
      <c r="P11" s="694" cm="1">
        <f t="array" ref="P11">INDEX(CountyScoresTbl[SHTA Total Feasibility Points Awarded],ROW(CHSHTbl[[#This Row],[COUNTY]])-2,1)*CHSHTbl[[#This Row],[FUNDING %]]</f>
        <v>0</v>
      </c>
      <c r="Q11" s="229"/>
      <c r="R11" s="6">
        <f>IF(CHSHTbl[[#This Row],[TOTAL REQUESTED2]]=0,0,CHSHTbl[[#This Row],[TOTAL REQUESTED2]]/CH_SH_RuralTotalRequested)</f>
        <v>0</v>
      </c>
      <c r="S11" s="665">
        <f>IF(CHSHTbl[[#This Row],[ALL UNITS IN A HIGH OR HIGHEST RESOURCE AREA]]="Yes",10*CHSHTbl[[#This Row],[FUNDING %2]],0)</f>
        <v>0</v>
      </c>
      <c r="T11" s="665" cm="1">
        <f t="array" ref="T11">INDEX(CountyScoresTbl[Community Need Total Points],ROW(CHSHTbl[[#This Row],[COUNTY]])-2,1)*CHSHTbl[[#This Row],[FUNDING %2]]</f>
        <v>0</v>
      </c>
      <c r="U11" s="694" cm="1">
        <f t="array" ref="U11">INDEX(CountyScoresTbl[SHTA Total Feasibility Points Awarded],ROW(CHSHTbl[[#This Row],[COUNTY]])-2,1)*CHSHTbl[[#This Row],[FUNDING %2]]</f>
        <v>0</v>
      </c>
    </row>
    <row r="12" spans="1:21" x14ac:dyDescent="0.35">
      <c r="A12" s="124"/>
      <c r="B12" s="5" t="s">
        <v>124</v>
      </c>
      <c r="C12" s="31" t="s">
        <v>513</v>
      </c>
      <c r="D12" s="224" t="str">
        <f>IF(CHSHTbl[[#This Row],[TOTAL REQUESTED]]=0,"",CHSHTbl[[#This Row],[TOTAL REQUESTED]]*
IF(L$61&lt;=300000,1,
300000/L$61))</f>
        <v/>
      </c>
      <c r="E12" s="6" t="str">
        <f>IF(CHSHTbl[[#This Row],[FUNDING %]]=0,"",CHSHTbl[[#This Row],[FUNDING %]])</f>
        <v/>
      </c>
      <c r="F12" s="31" t="s">
        <v>513</v>
      </c>
      <c r="G12" s="231" t="str">
        <f>IF(CHSHTbl[[#This Row],[TOTAL REQUESTED2]]=0,"",CHSHTbl[[#This Row],[TOTAL REQUESTED2]]*
IF(CH_SH_RuralTotalRequested&lt;=(300000-D$61),1,(300000-D$61)/CH_SH_RuralTotalRequested)
)</f>
        <v/>
      </c>
      <c r="H12" s="6" t="str">
        <f>IF(CHSHTbl[[#This Row],[FUNDING %2]]=0,"",CHSHTbl[[#This Row],[FUNDING %2]])</f>
        <v/>
      </c>
      <c r="I12" s="31" t="s">
        <v>513</v>
      </c>
      <c r="J12" s="227"/>
      <c r="K12" s="119"/>
      <c r="L12" s="162"/>
      <c r="M12" s="6">
        <f>IF(CHSHTbl[[#This Row],[TOTAL REQUESTED]]=0,0,CHSHTbl[[#This Row],[TOTAL REQUESTED]]/CH_SH_UnrestrictedTotalRequested)</f>
        <v>0</v>
      </c>
      <c r="N12" s="665">
        <f>IF(CHSHTbl[[#This Row],[ALL UNITS IN A HIGH OR HIGHEST RESOURCE AREA]]="Yes",10*CHSHTbl[[#This Row],[FUNDING %]],0)</f>
        <v>0</v>
      </c>
      <c r="O12" s="665" cm="1">
        <f t="array" ref="O12">INDEX(CountyScoresTbl[Community Need Total Points],ROW(CHSHTbl[[#This Row],[COUNTY]])-2,1)*CHSHTbl[[#This Row],[FUNDING %]]</f>
        <v>0</v>
      </c>
      <c r="P12" s="694" cm="1">
        <f t="array" ref="P12">INDEX(CountyScoresTbl[SHTA Total Feasibility Points Awarded],ROW(CHSHTbl[[#This Row],[COUNTY]])-2,1)*CHSHTbl[[#This Row],[FUNDING %]]</f>
        <v>0</v>
      </c>
      <c r="Q12" s="229"/>
      <c r="R12" s="6">
        <f>IF(CHSHTbl[[#This Row],[TOTAL REQUESTED2]]=0,0,CHSHTbl[[#This Row],[TOTAL REQUESTED2]]/CH_SH_RuralTotalRequested)</f>
        <v>0</v>
      </c>
      <c r="S12" s="665">
        <f>IF(CHSHTbl[[#This Row],[ALL UNITS IN A HIGH OR HIGHEST RESOURCE AREA]]="Yes",10*CHSHTbl[[#This Row],[FUNDING %2]],0)</f>
        <v>0</v>
      </c>
      <c r="T12" s="665" cm="1">
        <f t="array" ref="T12">INDEX(CountyScoresTbl[Community Need Total Points],ROW(CHSHTbl[[#This Row],[COUNTY]])-2,1)*CHSHTbl[[#This Row],[FUNDING %2]]</f>
        <v>0</v>
      </c>
      <c r="U12" s="694" cm="1">
        <f t="array" ref="U12">INDEX(CountyScoresTbl[SHTA Total Feasibility Points Awarded],ROW(CHSHTbl[[#This Row],[COUNTY]])-2,1)*CHSHTbl[[#This Row],[FUNDING %2]]</f>
        <v>0</v>
      </c>
    </row>
    <row r="13" spans="1:21" x14ac:dyDescent="0.35">
      <c r="A13" s="167"/>
      <c r="B13" s="5" t="s">
        <v>125</v>
      </c>
      <c r="C13" s="31" t="s">
        <v>513</v>
      </c>
      <c r="D13" s="224" t="str">
        <f>IF(CHSHTbl[[#This Row],[TOTAL REQUESTED]]=0,"",CHSHTbl[[#This Row],[TOTAL REQUESTED]]*
IF(L$61&lt;=300000,1,
300000/L$61))</f>
        <v/>
      </c>
      <c r="E13" s="6" t="str">
        <f>IF(CHSHTbl[[#This Row],[FUNDING %]]=0,"",CHSHTbl[[#This Row],[FUNDING %]])</f>
        <v/>
      </c>
      <c r="F13" s="31" t="s">
        <v>513</v>
      </c>
      <c r="G13" s="231" t="str">
        <f>IF(CHSHTbl[[#This Row],[TOTAL REQUESTED2]]=0,"",CHSHTbl[[#This Row],[TOTAL REQUESTED2]]*
IF(CH_SH_RuralTotalRequested&lt;=(300000-D$61),1,(300000-D$61)/CH_SH_RuralTotalRequested)
)</f>
        <v/>
      </c>
      <c r="H13" s="6" t="str">
        <f>IF(CHSHTbl[[#This Row],[FUNDING %2]]=0,"",CHSHTbl[[#This Row],[FUNDING %2]])</f>
        <v/>
      </c>
      <c r="I13" s="31" t="s">
        <v>513</v>
      </c>
      <c r="J13" s="225"/>
      <c r="K13" s="164"/>
      <c r="L13" s="162"/>
      <c r="M13" s="6">
        <f>IF(CHSHTbl[[#This Row],[TOTAL REQUESTED]]=0,0,CHSHTbl[[#This Row],[TOTAL REQUESTED]]/CH_SH_UnrestrictedTotalRequested)</f>
        <v>0</v>
      </c>
      <c r="N13" s="665">
        <f>IF(CHSHTbl[[#This Row],[ALL UNITS IN A HIGH OR HIGHEST RESOURCE AREA]]="Yes",10*CHSHTbl[[#This Row],[FUNDING %]],0)</f>
        <v>0</v>
      </c>
      <c r="O13" s="665" cm="1">
        <f t="array" ref="O13">INDEX(CountyScoresTbl[Community Need Total Points],ROW(CHSHTbl[[#This Row],[COUNTY]])-2,1)*CHSHTbl[[#This Row],[FUNDING %]]</f>
        <v>0</v>
      </c>
      <c r="P13" s="694" cm="1">
        <f t="array" ref="P13">INDEX(CountyScoresTbl[SHTA Total Feasibility Points Awarded],ROW(CHSHTbl[[#This Row],[COUNTY]])-2,1)*CHSHTbl[[#This Row],[FUNDING %]]</f>
        <v>0</v>
      </c>
      <c r="Q13" s="229"/>
      <c r="R13" s="6">
        <f>IF(CHSHTbl[[#This Row],[TOTAL REQUESTED2]]=0,0,CHSHTbl[[#This Row],[TOTAL REQUESTED2]]/CH_SH_RuralTotalRequested)</f>
        <v>0</v>
      </c>
      <c r="S13" s="665">
        <f>IF(CHSHTbl[[#This Row],[ALL UNITS IN A HIGH OR HIGHEST RESOURCE AREA]]="Yes",10*CHSHTbl[[#This Row],[FUNDING %2]],0)</f>
        <v>0</v>
      </c>
      <c r="T13" s="665" cm="1">
        <f t="array" ref="T13">INDEX(CountyScoresTbl[Community Need Total Points],ROW(CHSHTbl[[#This Row],[COUNTY]])-2,1)*CHSHTbl[[#This Row],[FUNDING %2]]</f>
        <v>0</v>
      </c>
      <c r="U13" s="694" cm="1">
        <f t="array" ref="U13">INDEX(CountyScoresTbl[SHTA Total Feasibility Points Awarded],ROW(CHSHTbl[[#This Row],[COUNTY]])-2,1)*CHSHTbl[[#This Row],[FUNDING %2]]</f>
        <v>0</v>
      </c>
    </row>
    <row r="14" spans="1:21" x14ac:dyDescent="0.35">
      <c r="A14" s="124"/>
      <c r="B14" s="5" t="s">
        <v>126</v>
      </c>
      <c r="C14" s="31" t="s">
        <v>513</v>
      </c>
      <c r="D14" s="224" t="str">
        <f>IF(CHSHTbl[[#This Row],[TOTAL REQUESTED]]=0,"",CHSHTbl[[#This Row],[TOTAL REQUESTED]]*
IF(L$61&lt;=300000,1,
300000/L$61))</f>
        <v/>
      </c>
      <c r="E14" s="6" t="str">
        <f>IF(CHSHTbl[[#This Row],[FUNDING %]]=0,"",CHSHTbl[[#This Row],[FUNDING %]])</f>
        <v/>
      </c>
      <c r="F14" s="31" t="s">
        <v>513</v>
      </c>
      <c r="G14" s="231" t="str">
        <f>IF(CHSHTbl[[#This Row],[TOTAL REQUESTED2]]=0,"",CHSHTbl[[#This Row],[TOTAL REQUESTED2]]*
IF(CH_SH_RuralTotalRequested&lt;=(300000-D$61),1,(300000-D$61)/CH_SH_RuralTotalRequested)
)</f>
        <v/>
      </c>
      <c r="H14" s="6" t="str">
        <f>IF(CHSHTbl[[#This Row],[FUNDING %2]]=0,"",CHSHTbl[[#This Row],[FUNDING %2]])</f>
        <v/>
      </c>
      <c r="I14" s="31" t="s">
        <v>513</v>
      </c>
      <c r="J14" s="227"/>
      <c r="K14" s="119"/>
      <c r="L14" s="162"/>
      <c r="M14" s="6">
        <f>IF(CHSHTbl[[#This Row],[TOTAL REQUESTED]]=0,0,CHSHTbl[[#This Row],[TOTAL REQUESTED]]/CH_SH_UnrestrictedTotalRequested)</f>
        <v>0</v>
      </c>
      <c r="N14" s="665">
        <f>IF(CHSHTbl[[#This Row],[ALL UNITS IN A HIGH OR HIGHEST RESOURCE AREA]]="Yes",10*CHSHTbl[[#This Row],[FUNDING %]],0)</f>
        <v>0</v>
      </c>
      <c r="O14" s="665" cm="1">
        <f t="array" ref="O14">INDEX(CountyScoresTbl[Community Need Total Points],ROW(CHSHTbl[[#This Row],[COUNTY]])-2,1)*CHSHTbl[[#This Row],[FUNDING %]]</f>
        <v>0</v>
      </c>
      <c r="P14" s="694" cm="1">
        <f t="array" ref="P14">INDEX(CountyScoresTbl[SHTA Total Feasibility Points Awarded],ROW(CHSHTbl[[#This Row],[COUNTY]])-2,1)*CHSHTbl[[#This Row],[FUNDING %]]</f>
        <v>0</v>
      </c>
      <c r="Q14" s="229"/>
      <c r="R14" s="6">
        <f>IF(CHSHTbl[[#This Row],[TOTAL REQUESTED2]]=0,0,CHSHTbl[[#This Row],[TOTAL REQUESTED2]]/CH_SH_RuralTotalRequested)</f>
        <v>0</v>
      </c>
      <c r="S14" s="665">
        <f>IF(CHSHTbl[[#This Row],[ALL UNITS IN A HIGH OR HIGHEST RESOURCE AREA]]="Yes",10*CHSHTbl[[#This Row],[FUNDING %2]],0)</f>
        <v>0</v>
      </c>
      <c r="T14" s="665" cm="1">
        <f t="array" ref="T14">INDEX(CountyScoresTbl[Community Need Total Points],ROW(CHSHTbl[[#This Row],[COUNTY]])-2,1)*CHSHTbl[[#This Row],[FUNDING %2]]</f>
        <v>0</v>
      </c>
      <c r="U14" s="694" cm="1">
        <f t="array" ref="U14">INDEX(CountyScoresTbl[SHTA Total Feasibility Points Awarded],ROW(CHSHTbl[[#This Row],[COUNTY]])-2,1)*CHSHTbl[[#This Row],[FUNDING %2]]</f>
        <v>0</v>
      </c>
    </row>
    <row r="15" spans="1:21" x14ac:dyDescent="0.35">
      <c r="A15" s="167"/>
      <c r="B15" s="5" t="s">
        <v>127</v>
      </c>
      <c r="C15" s="31" t="s">
        <v>513</v>
      </c>
      <c r="D15" s="224" t="str">
        <f>IF(CHSHTbl[[#This Row],[TOTAL REQUESTED]]=0,"",CHSHTbl[[#This Row],[TOTAL REQUESTED]]*
IF(L$61&lt;=300000,1,
300000/L$61))</f>
        <v/>
      </c>
      <c r="E15" s="6" t="str">
        <f>IF(CHSHTbl[[#This Row],[FUNDING %]]=0,"",CHSHTbl[[#This Row],[FUNDING %]])</f>
        <v/>
      </c>
      <c r="F15" s="31" t="s">
        <v>513</v>
      </c>
      <c r="G15" s="231" t="str">
        <f>IF(CHSHTbl[[#This Row],[TOTAL REQUESTED2]]=0,"",CHSHTbl[[#This Row],[TOTAL REQUESTED2]]*
IF(CH_SH_RuralTotalRequested&lt;=(300000-D$61),1,(300000-D$61)/CH_SH_RuralTotalRequested)
)</f>
        <v/>
      </c>
      <c r="H15" s="6" t="str">
        <f>IF(CHSHTbl[[#This Row],[FUNDING %2]]=0,"",CHSHTbl[[#This Row],[FUNDING %2]])</f>
        <v/>
      </c>
      <c r="I15" s="31" t="s">
        <v>513</v>
      </c>
      <c r="J15" s="225"/>
      <c r="K15" s="164"/>
      <c r="L15" s="162"/>
      <c r="M15" s="6">
        <f>IF(CHSHTbl[[#This Row],[TOTAL REQUESTED]]=0,0,CHSHTbl[[#This Row],[TOTAL REQUESTED]]/CH_SH_UnrestrictedTotalRequested)</f>
        <v>0</v>
      </c>
      <c r="N15" s="665">
        <f>IF(CHSHTbl[[#This Row],[ALL UNITS IN A HIGH OR HIGHEST RESOURCE AREA]]="Yes",10*CHSHTbl[[#This Row],[FUNDING %]],0)</f>
        <v>0</v>
      </c>
      <c r="O15" s="665" cm="1">
        <f t="array" ref="O15">INDEX(CountyScoresTbl[Community Need Total Points],ROW(CHSHTbl[[#This Row],[COUNTY]])-2,1)*CHSHTbl[[#This Row],[FUNDING %]]</f>
        <v>0</v>
      </c>
      <c r="P15" s="694" cm="1">
        <f t="array" ref="P15">INDEX(CountyScoresTbl[SHTA Total Feasibility Points Awarded],ROW(CHSHTbl[[#This Row],[COUNTY]])-2,1)*CHSHTbl[[#This Row],[FUNDING %]]</f>
        <v>0</v>
      </c>
      <c r="Q15" s="229"/>
      <c r="R15" s="6">
        <f>IF(CHSHTbl[[#This Row],[TOTAL REQUESTED2]]=0,0,CHSHTbl[[#This Row],[TOTAL REQUESTED2]]/CH_SH_RuralTotalRequested)</f>
        <v>0</v>
      </c>
      <c r="S15" s="665">
        <f>IF(CHSHTbl[[#This Row],[ALL UNITS IN A HIGH OR HIGHEST RESOURCE AREA]]="Yes",10*CHSHTbl[[#This Row],[FUNDING %2]],0)</f>
        <v>0</v>
      </c>
      <c r="T15" s="665" cm="1">
        <f t="array" ref="T15">INDEX(CountyScoresTbl[Community Need Total Points],ROW(CHSHTbl[[#This Row],[COUNTY]])-2,1)*CHSHTbl[[#This Row],[FUNDING %2]]</f>
        <v>0</v>
      </c>
      <c r="U15" s="694" cm="1">
        <f t="array" ref="U15">INDEX(CountyScoresTbl[SHTA Total Feasibility Points Awarded],ROW(CHSHTbl[[#This Row],[COUNTY]])-2,1)*CHSHTbl[[#This Row],[FUNDING %2]]</f>
        <v>0</v>
      </c>
    </row>
    <row r="16" spans="1:21" x14ac:dyDescent="0.35">
      <c r="A16" s="124"/>
      <c r="B16" s="5" t="s">
        <v>128</v>
      </c>
      <c r="C16" s="31" t="s">
        <v>513</v>
      </c>
      <c r="D16" s="224" t="str">
        <f>IF(CHSHTbl[[#This Row],[TOTAL REQUESTED]]=0,"",CHSHTbl[[#This Row],[TOTAL REQUESTED]]*
IF(L$61&lt;=300000,1,
300000/L$61))</f>
        <v/>
      </c>
      <c r="E16" s="6" t="str">
        <f>IF(CHSHTbl[[#This Row],[FUNDING %]]=0,"",CHSHTbl[[#This Row],[FUNDING %]])</f>
        <v/>
      </c>
      <c r="F16" s="31" t="s">
        <v>513</v>
      </c>
      <c r="G16" s="231" t="str">
        <f>IF(CHSHTbl[[#This Row],[TOTAL REQUESTED2]]=0,"",CHSHTbl[[#This Row],[TOTAL REQUESTED2]]*
IF(CH_SH_RuralTotalRequested&lt;=(300000-D$61),1,(300000-D$61)/CH_SH_RuralTotalRequested)
)</f>
        <v/>
      </c>
      <c r="H16" s="6" t="str">
        <f>IF(CHSHTbl[[#This Row],[FUNDING %2]]=0,"",CHSHTbl[[#This Row],[FUNDING %2]])</f>
        <v/>
      </c>
      <c r="I16" s="31" t="s">
        <v>513</v>
      </c>
      <c r="J16" s="227"/>
      <c r="K16" s="119"/>
      <c r="L16" s="162"/>
      <c r="M16" s="6">
        <f>IF(CHSHTbl[[#This Row],[TOTAL REQUESTED]]=0,0,CHSHTbl[[#This Row],[TOTAL REQUESTED]]/CH_SH_UnrestrictedTotalRequested)</f>
        <v>0</v>
      </c>
      <c r="N16" s="665">
        <f>IF(CHSHTbl[[#This Row],[ALL UNITS IN A HIGH OR HIGHEST RESOURCE AREA]]="Yes",10*CHSHTbl[[#This Row],[FUNDING %]],0)</f>
        <v>0</v>
      </c>
      <c r="O16" s="665" cm="1">
        <f t="array" ref="O16">INDEX(CountyScoresTbl[Community Need Total Points],ROW(CHSHTbl[[#This Row],[COUNTY]])-2,1)*CHSHTbl[[#This Row],[FUNDING %]]</f>
        <v>0</v>
      </c>
      <c r="P16" s="694" cm="1">
        <f t="array" ref="P16">INDEX(CountyScoresTbl[SHTA Total Feasibility Points Awarded],ROW(CHSHTbl[[#This Row],[COUNTY]])-2,1)*CHSHTbl[[#This Row],[FUNDING %]]</f>
        <v>0</v>
      </c>
      <c r="Q16" s="229"/>
      <c r="R16" s="6">
        <f>IF(CHSHTbl[[#This Row],[TOTAL REQUESTED2]]=0,0,CHSHTbl[[#This Row],[TOTAL REQUESTED2]]/CH_SH_RuralTotalRequested)</f>
        <v>0</v>
      </c>
      <c r="S16" s="665">
        <f>IF(CHSHTbl[[#This Row],[ALL UNITS IN A HIGH OR HIGHEST RESOURCE AREA]]="Yes",10*CHSHTbl[[#This Row],[FUNDING %2]],0)</f>
        <v>0</v>
      </c>
      <c r="T16" s="665" cm="1">
        <f t="array" ref="T16">INDEX(CountyScoresTbl[Community Need Total Points],ROW(CHSHTbl[[#This Row],[COUNTY]])-2,1)*CHSHTbl[[#This Row],[FUNDING %2]]</f>
        <v>0</v>
      </c>
      <c r="U16" s="694" cm="1">
        <f t="array" ref="U16">INDEX(CountyScoresTbl[SHTA Total Feasibility Points Awarded],ROW(CHSHTbl[[#This Row],[COUNTY]])-2,1)*CHSHTbl[[#This Row],[FUNDING %2]]</f>
        <v>0</v>
      </c>
    </row>
    <row r="17" spans="1:21" x14ac:dyDescent="0.35">
      <c r="A17" s="124"/>
      <c r="B17" s="5" t="s">
        <v>129</v>
      </c>
      <c r="C17" s="31" t="s">
        <v>513</v>
      </c>
      <c r="D17" s="224" t="str">
        <f>IF(CHSHTbl[[#This Row],[TOTAL REQUESTED]]=0,"",CHSHTbl[[#This Row],[TOTAL REQUESTED]]*
IF(L$61&lt;=300000,1,
300000/L$61))</f>
        <v/>
      </c>
      <c r="E17" s="6" t="str">
        <f>IF(CHSHTbl[[#This Row],[FUNDING %]]=0,"",CHSHTbl[[#This Row],[FUNDING %]])</f>
        <v/>
      </c>
      <c r="F17" s="31" t="s">
        <v>513</v>
      </c>
      <c r="G17" s="231" t="str">
        <f>IF(CHSHTbl[[#This Row],[TOTAL REQUESTED2]]=0,"",CHSHTbl[[#This Row],[TOTAL REQUESTED2]]*
IF(CH_SH_RuralTotalRequested&lt;=(300000-D$61),1,(300000-D$61)/CH_SH_RuralTotalRequested)
)</f>
        <v/>
      </c>
      <c r="H17" s="6" t="str">
        <f>IF(CHSHTbl[[#This Row],[FUNDING %2]]=0,"",CHSHTbl[[#This Row],[FUNDING %2]])</f>
        <v/>
      </c>
      <c r="I17" s="31" t="s">
        <v>513</v>
      </c>
      <c r="J17" s="227"/>
      <c r="K17" s="119"/>
      <c r="L17" s="162"/>
      <c r="M17" s="6">
        <f>IF(CHSHTbl[[#This Row],[TOTAL REQUESTED]]=0,0,CHSHTbl[[#This Row],[TOTAL REQUESTED]]/CH_SH_UnrestrictedTotalRequested)</f>
        <v>0</v>
      </c>
      <c r="N17" s="665">
        <f>IF(CHSHTbl[[#This Row],[ALL UNITS IN A HIGH OR HIGHEST RESOURCE AREA]]="Yes",10*CHSHTbl[[#This Row],[FUNDING %]],0)</f>
        <v>0</v>
      </c>
      <c r="O17" s="665" cm="1">
        <f t="array" ref="O17">INDEX(CountyScoresTbl[Community Need Total Points],ROW(CHSHTbl[[#This Row],[COUNTY]])-2,1)*CHSHTbl[[#This Row],[FUNDING %]]</f>
        <v>0</v>
      </c>
      <c r="P17" s="694" cm="1">
        <f t="array" ref="P17">INDEX(CountyScoresTbl[SHTA Total Feasibility Points Awarded],ROW(CHSHTbl[[#This Row],[COUNTY]])-2,1)*CHSHTbl[[#This Row],[FUNDING %]]</f>
        <v>0</v>
      </c>
      <c r="Q17" s="229"/>
      <c r="R17" s="6">
        <f>IF(CHSHTbl[[#This Row],[TOTAL REQUESTED2]]=0,0,CHSHTbl[[#This Row],[TOTAL REQUESTED2]]/CH_SH_RuralTotalRequested)</f>
        <v>0</v>
      </c>
      <c r="S17" s="665">
        <f>IF(CHSHTbl[[#This Row],[ALL UNITS IN A HIGH OR HIGHEST RESOURCE AREA]]="Yes",10*CHSHTbl[[#This Row],[FUNDING %2]],0)</f>
        <v>0</v>
      </c>
      <c r="T17" s="665" cm="1">
        <f t="array" ref="T17">INDEX(CountyScoresTbl[Community Need Total Points],ROW(CHSHTbl[[#This Row],[COUNTY]])-2,1)*CHSHTbl[[#This Row],[FUNDING %2]]</f>
        <v>0</v>
      </c>
      <c r="U17" s="694" cm="1">
        <f t="array" ref="U17">INDEX(CountyScoresTbl[SHTA Total Feasibility Points Awarded],ROW(CHSHTbl[[#This Row],[COUNTY]])-2,1)*CHSHTbl[[#This Row],[FUNDING %2]]</f>
        <v>0</v>
      </c>
    </row>
    <row r="18" spans="1:21" x14ac:dyDescent="0.35">
      <c r="A18" s="124"/>
      <c r="B18" s="5" t="s">
        <v>130</v>
      </c>
      <c r="C18" s="31" t="s">
        <v>513</v>
      </c>
      <c r="D18" s="224" t="str">
        <f>IF(CHSHTbl[[#This Row],[TOTAL REQUESTED]]=0,"",CHSHTbl[[#This Row],[TOTAL REQUESTED]]*
IF(L$61&lt;=300000,1,
300000/L$61))</f>
        <v/>
      </c>
      <c r="E18" s="6" t="str">
        <f>IF(CHSHTbl[[#This Row],[FUNDING %]]=0,"",CHSHTbl[[#This Row],[FUNDING %]])</f>
        <v/>
      </c>
      <c r="F18" s="31" t="s">
        <v>513</v>
      </c>
      <c r="G18" s="231" t="str">
        <f>IF(CHSHTbl[[#This Row],[TOTAL REQUESTED2]]=0,"",CHSHTbl[[#This Row],[TOTAL REQUESTED2]]*
IF(CH_SH_RuralTotalRequested&lt;=(300000-D$61),1,(300000-D$61)/CH_SH_RuralTotalRequested)
)</f>
        <v/>
      </c>
      <c r="H18" s="6" t="str">
        <f>IF(CHSHTbl[[#This Row],[FUNDING %2]]=0,"",CHSHTbl[[#This Row],[FUNDING %2]])</f>
        <v/>
      </c>
      <c r="I18" s="31" t="s">
        <v>513</v>
      </c>
      <c r="J18" s="227"/>
      <c r="K18" s="119"/>
      <c r="L18" s="162"/>
      <c r="M18" s="6">
        <f>IF(CHSHTbl[[#This Row],[TOTAL REQUESTED]]=0,0,CHSHTbl[[#This Row],[TOTAL REQUESTED]]/CH_SH_UnrestrictedTotalRequested)</f>
        <v>0</v>
      </c>
      <c r="N18" s="665">
        <f>IF(CHSHTbl[[#This Row],[ALL UNITS IN A HIGH OR HIGHEST RESOURCE AREA]]="Yes",10*CHSHTbl[[#This Row],[FUNDING %]],0)</f>
        <v>0</v>
      </c>
      <c r="O18" s="665" cm="1">
        <f t="array" ref="O18">INDEX(CountyScoresTbl[Community Need Total Points],ROW(CHSHTbl[[#This Row],[COUNTY]])-2,1)*CHSHTbl[[#This Row],[FUNDING %]]</f>
        <v>0</v>
      </c>
      <c r="P18" s="694" cm="1">
        <f t="array" ref="P18">INDEX(CountyScoresTbl[SHTA Total Feasibility Points Awarded],ROW(CHSHTbl[[#This Row],[COUNTY]])-2,1)*CHSHTbl[[#This Row],[FUNDING %]]</f>
        <v>0</v>
      </c>
      <c r="Q18" s="229"/>
      <c r="R18" s="6">
        <f>IF(CHSHTbl[[#This Row],[TOTAL REQUESTED2]]=0,0,CHSHTbl[[#This Row],[TOTAL REQUESTED2]]/CH_SH_RuralTotalRequested)</f>
        <v>0</v>
      </c>
      <c r="S18" s="665">
        <f>IF(CHSHTbl[[#This Row],[ALL UNITS IN A HIGH OR HIGHEST RESOURCE AREA]]="Yes",10*CHSHTbl[[#This Row],[FUNDING %2]],0)</f>
        <v>0</v>
      </c>
      <c r="T18" s="665" cm="1">
        <f t="array" ref="T18">INDEX(CountyScoresTbl[Community Need Total Points],ROW(CHSHTbl[[#This Row],[COUNTY]])-2,1)*CHSHTbl[[#This Row],[FUNDING %2]]</f>
        <v>0</v>
      </c>
      <c r="U18" s="694" cm="1">
        <f t="array" ref="U18">INDEX(CountyScoresTbl[SHTA Total Feasibility Points Awarded],ROW(CHSHTbl[[#This Row],[COUNTY]])-2,1)*CHSHTbl[[#This Row],[FUNDING %2]]</f>
        <v>0</v>
      </c>
    </row>
    <row r="19" spans="1:21" x14ac:dyDescent="0.35">
      <c r="A19" s="124"/>
      <c r="B19" s="5" t="s">
        <v>131</v>
      </c>
      <c r="C19" s="31" t="s">
        <v>513</v>
      </c>
      <c r="D19" s="224" t="str">
        <f>IF(CHSHTbl[[#This Row],[TOTAL REQUESTED]]=0,"",CHSHTbl[[#This Row],[TOTAL REQUESTED]]*
IF(L$61&lt;=300000,1,
300000/L$61))</f>
        <v/>
      </c>
      <c r="E19" s="6" t="str">
        <f>IF(CHSHTbl[[#This Row],[FUNDING %]]=0,"",CHSHTbl[[#This Row],[FUNDING %]])</f>
        <v/>
      </c>
      <c r="F19" s="31" t="s">
        <v>513</v>
      </c>
      <c r="G19" s="231" t="str">
        <f>IF(CHSHTbl[[#This Row],[TOTAL REQUESTED2]]=0,"",CHSHTbl[[#This Row],[TOTAL REQUESTED2]]*
IF(CH_SH_RuralTotalRequested&lt;=(300000-D$61),1,(300000-D$61)/CH_SH_RuralTotalRequested)
)</f>
        <v/>
      </c>
      <c r="H19" s="6" t="str">
        <f>IF(CHSHTbl[[#This Row],[FUNDING %2]]=0,"",CHSHTbl[[#This Row],[FUNDING %2]])</f>
        <v/>
      </c>
      <c r="I19" s="31" t="s">
        <v>513</v>
      </c>
      <c r="J19" s="227"/>
      <c r="K19" s="119"/>
      <c r="L19" s="162"/>
      <c r="M19" s="6">
        <f>IF(CHSHTbl[[#This Row],[TOTAL REQUESTED]]=0,0,CHSHTbl[[#This Row],[TOTAL REQUESTED]]/CH_SH_UnrestrictedTotalRequested)</f>
        <v>0</v>
      </c>
      <c r="N19" s="665">
        <f>IF(CHSHTbl[[#This Row],[ALL UNITS IN A HIGH OR HIGHEST RESOURCE AREA]]="Yes",10*CHSHTbl[[#This Row],[FUNDING %]],0)</f>
        <v>0</v>
      </c>
      <c r="O19" s="665" cm="1">
        <f t="array" ref="O19">INDEX(CountyScoresTbl[Community Need Total Points],ROW(CHSHTbl[[#This Row],[COUNTY]])-2,1)*CHSHTbl[[#This Row],[FUNDING %]]</f>
        <v>0</v>
      </c>
      <c r="P19" s="694" cm="1">
        <f t="array" ref="P19">INDEX(CountyScoresTbl[SHTA Total Feasibility Points Awarded],ROW(CHSHTbl[[#This Row],[COUNTY]])-2,1)*CHSHTbl[[#This Row],[FUNDING %]]</f>
        <v>0</v>
      </c>
      <c r="Q19" s="229"/>
      <c r="R19" s="6">
        <f>IF(CHSHTbl[[#This Row],[TOTAL REQUESTED2]]=0,0,CHSHTbl[[#This Row],[TOTAL REQUESTED2]]/CH_SH_RuralTotalRequested)</f>
        <v>0</v>
      </c>
      <c r="S19" s="665">
        <f>IF(CHSHTbl[[#This Row],[ALL UNITS IN A HIGH OR HIGHEST RESOURCE AREA]]="Yes",10*CHSHTbl[[#This Row],[FUNDING %2]],0)</f>
        <v>0</v>
      </c>
      <c r="T19" s="665" cm="1">
        <f t="array" ref="T19">INDEX(CountyScoresTbl[Community Need Total Points],ROW(CHSHTbl[[#This Row],[COUNTY]])-2,1)*CHSHTbl[[#This Row],[FUNDING %2]]</f>
        <v>0</v>
      </c>
      <c r="U19" s="694" cm="1">
        <f t="array" ref="U19">INDEX(CountyScoresTbl[SHTA Total Feasibility Points Awarded],ROW(CHSHTbl[[#This Row],[COUNTY]])-2,1)*CHSHTbl[[#This Row],[FUNDING %2]]</f>
        <v>0</v>
      </c>
    </row>
    <row r="20" spans="1:21" x14ac:dyDescent="0.35">
      <c r="A20" s="167"/>
      <c r="B20" s="5" t="s">
        <v>132</v>
      </c>
      <c r="C20" s="31" t="s">
        <v>513</v>
      </c>
      <c r="D20" s="224" t="str">
        <f>IF(CHSHTbl[[#This Row],[TOTAL REQUESTED]]=0,"",CHSHTbl[[#This Row],[TOTAL REQUESTED]]*
IF(L$61&lt;=300000,1,
300000/L$61))</f>
        <v/>
      </c>
      <c r="E20" s="6" t="str">
        <f>IF(CHSHTbl[[#This Row],[FUNDING %]]=0,"",CHSHTbl[[#This Row],[FUNDING %]])</f>
        <v/>
      </c>
      <c r="F20" s="31" t="s">
        <v>513</v>
      </c>
      <c r="G20" s="231" t="str">
        <f>IF(CHSHTbl[[#This Row],[TOTAL REQUESTED2]]=0,"",CHSHTbl[[#This Row],[TOTAL REQUESTED2]]*
IF(CH_SH_RuralTotalRequested&lt;=(300000-D$61),1,(300000-D$61)/CH_SH_RuralTotalRequested)
)</f>
        <v/>
      </c>
      <c r="H20" s="6" t="str">
        <f>IF(CHSHTbl[[#This Row],[FUNDING %2]]=0,"",CHSHTbl[[#This Row],[FUNDING %2]])</f>
        <v/>
      </c>
      <c r="I20" s="31" t="s">
        <v>513</v>
      </c>
      <c r="J20" s="225"/>
      <c r="K20" s="164"/>
      <c r="L20" s="162"/>
      <c r="M20" s="6">
        <f>IF(CHSHTbl[[#This Row],[TOTAL REQUESTED]]=0,0,CHSHTbl[[#This Row],[TOTAL REQUESTED]]/CH_SH_UnrestrictedTotalRequested)</f>
        <v>0</v>
      </c>
      <c r="N20" s="665">
        <f>IF(CHSHTbl[[#This Row],[ALL UNITS IN A HIGH OR HIGHEST RESOURCE AREA]]="Yes",10*CHSHTbl[[#This Row],[FUNDING %]],0)</f>
        <v>0</v>
      </c>
      <c r="O20" s="665" cm="1">
        <f t="array" ref="O20">INDEX(CountyScoresTbl[Community Need Total Points],ROW(CHSHTbl[[#This Row],[COUNTY]])-2,1)*CHSHTbl[[#This Row],[FUNDING %]]</f>
        <v>0</v>
      </c>
      <c r="P20" s="694" cm="1">
        <f t="array" ref="P20">INDEX(CountyScoresTbl[SHTA Total Feasibility Points Awarded],ROW(CHSHTbl[[#This Row],[COUNTY]])-2,1)*CHSHTbl[[#This Row],[FUNDING %]]</f>
        <v>0</v>
      </c>
      <c r="Q20" s="229"/>
      <c r="R20" s="6">
        <f>IF(CHSHTbl[[#This Row],[TOTAL REQUESTED2]]=0,0,CHSHTbl[[#This Row],[TOTAL REQUESTED2]]/CH_SH_RuralTotalRequested)</f>
        <v>0</v>
      </c>
      <c r="S20" s="665">
        <f>IF(CHSHTbl[[#This Row],[ALL UNITS IN A HIGH OR HIGHEST RESOURCE AREA]]="Yes",10*CHSHTbl[[#This Row],[FUNDING %2]],0)</f>
        <v>0</v>
      </c>
      <c r="T20" s="665" cm="1">
        <f t="array" ref="T20">INDEX(CountyScoresTbl[Community Need Total Points],ROW(CHSHTbl[[#This Row],[COUNTY]])-2,1)*CHSHTbl[[#This Row],[FUNDING %2]]</f>
        <v>0</v>
      </c>
      <c r="U20" s="694" cm="1">
        <f t="array" ref="U20">INDEX(CountyScoresTbl[SHTA Total Feasibility Points Awarded],ROW(CHSHTbl[[#This Row],[COUNTY]])-2,1)*CHSHTbl[[#This Row],[FUNDING %2]]</f>
        <v>0</v>
      </c>
    </row>
    <row r="21" spans="1:21" x14ac:dyDescent="0.35">
      <c r="A21" s="167"/>
      <c r="B21" s="5" t="s">
        <v>133</v>
      </c>
      <c r="C21" s="31" t="s">
        <v>513</v>
      </c>
      <c r="D21" s="224" t="str">
        <f>IF(CHSHTbl[[#This Row],[TOTAL REQUESTED]]=0,"",CHSHTbl[[#This Row],[TOTAL REQUESTED]]*
IF(L$61&lt;=300000,1,
300000/L$61))</f>
        <v/>
      </c>
      <c r="E21" s="6" t="str">
        <f>IF(CHSHTbl[[#This Row],[FUNDING %]]=0,"",CHSHTbl[[#This Row],[FUNDING %]])</f>
        <v/>
      </c>
      <c r="F21" s="31" t="s">
        <v>513</v>
      </c>
      <c r="G21" s="231" t="str">
        <f>IF(CHSHTbl[[#This Row],[TOTAL REQUESTED2]]=0,"",CHSHTbl[[#This Row],[TOTAL REQUESTED2]]*
IF(CH_SH_RuralTotalRequested&lt;=(300000-D$61),1,(300000-D$61)/CH_SH_RuralTotalRequested)
)</f>
        <v/>
      </c>
      <c r="H21" s="6" t="str">
        <f>IF(CHSHTbl[[#This Row],[FUNDING %2]]=0,"",CHSHTbl[[#This Row],[FUNDING %2]])</f>
        <v/>
      </c>
      <c r="I21" s="31" t="s">
        <v>513</v>
      </c>
      <c r="J21" s="225" t="s">
        <v>504</v>
      </c>
      <c r="K21" s="164" t="s">
        <v>504</v>
      </c>
      <c r="L21" s="162"/>
      <c r="M21" s="6">
        <f>IF(CHSHTbl[[#This Row],[TOTAL REQUESTED]]=0,0,CHSHTbl[[#This Row],[TOTAL REQUESTED]]/CH_SH_UnrestrictedTotalRequested)</f>
        <v>0</v>
      </c>
      <c r="N21" s="665">
        <f>IF(CHSHTbl[[#This Row],[ALL UNITS IN A HIGH OR HIGHEST RESOURCE AREA]]="Yes",10*CHSHTbl[[#This Row],[FUNDING %]],0)</f>
        <v>0</v>
      </c>
      <c r="O21" s="665" cm="1">
        <f t="array" ref="O21">INDEX(CountyScoresTbl[Community Need Total Points],ROW(CHSHTbl[[#This Row],[COUNTY]])-2,1)*CHSHTbl[[#This Row],[FUNDING %]]</f>
        <v>0</v>
      </c>
      <c r="P21" s="694" cm="1">
        <f t="array" ref="P21">INDEX(CountyScoresTbl[SHTA Total Feasibility Points Awarded],ROW(CHSHTbl[[#This Row],[COUNTY]])-2,1)*CHSHTbl[[#This Row],[FUNDING %]]</f>
        <v>0</v>
      </c>
      <c r="Q21" s="229"/>
      <c r="R21" s="6">
        <f>IF(CHSHTbl[[#This Row],[TOTAL REQUESTED2]]=0,0,CHSHTbl[[#This Row],[TOTAL REQUESTED2]]/CH_SH_RuralTotalRequested)</f>
        <v>0</v>
      </c>
      <c r="S21" s="665">
        <f>IF(CHSHTbl[[#This Row],[ALL UNITS IN A HIGH OR HIGHEST RESOURCE AREA]]="Yes",10*CHSHTbl[[#This Row],[FUNDING %2]],0)</f>
        <v>0</v>
      </c>
      <c r="T21" s="665" cm="1">
        <f t="array" ref="T21">INDEX(CountyScoresTbl[Community Need Total Points],ROW(CHSHTbl[[#This Row],[COUNTY]])-2,1)*CHSHTbl[[#This Row],[FUNDING %2]]</f>
        <v>0</v>
      </c>
      <c r="U21" s="694" cm="1">
        <f t="array" ref="U21">INDEX(CountyScoresTbl[SHTA Total Feasibility Points Awarded],ROW(CHSHTbl[[#This Row],[COUNTY]])-2,1)*CHSHTbl[[#This Row],[FUNDING %2]]</f>
        <v>0</v>
      </c>
    </row>
    <row r="22" spans="1:21" x14ac:dyDescent="0.35">
      <c r="A22" s="167"/>
      <c r="B22" s="5" t="s">
        <v>134</v>
      </c>
      <c r="C22" s="31" t="s">
        <v>513</v>
      </c>
      <c r="D22" s="224" t="str">
        <f>IF(CHSHTbl[[#This Row],[TOTAL REQUESTED]]=0,"",CHSHTbl[[#This Row],[TOTAL REQUESTED]]*
IF(L$61&lt;=300000,1,
300000/L$61))</f>
        <v/>
      </c>
      <c r="E22" s="6" t="str">
        <f>IF(CHSHTbl[[#This Row],[FUNDING %]]=0,"",CHSHTbl[[#This Row],[FUNDING %]])</f>
        <v/>
      </c>
      <c r="F22" s="31" t="s">
        <v>513</v>
      </c>
      <c r="G22" s="231" t="str">
        <f>IF(CHSHTbl[[#This Row],[TOTAL REQUESTED2]]=0,"",CHSHTbl[[#This Row],[TOTAL REQUESTED2]]*
IF(CH_SH_RuralTotalRequested&lt;=(300000-D$61),1,(300000-D$61)/CH_SH_RuralTotalRequested)
)</f>
        <v/>
      </c>
      <c r="H22" s="6" t="str">
        <f>IF(CHSHTbl[[#This Row],[FUNDING %2]]=0,"",CHSHTbl[[#This Row],[FUNDING %2]])</f>
        <v/>
      </c>
      <c r="I22" s="31" t="s">
        <v>513</v>
      </c>
      <c r="J22" s="225"/>
      <c r="K22" s="164"/>
      <c r="L22" s="162"/>
      <c r="M22" s="6">
        <f>IF(CHSHTbl[[#This Row],[TOTAL REQUESTED]]=0,0,CHSHTbl[[#This Row],[TOTAL REQUESTED]]/CH_SH_UnrestrictedTotalRequested)</f>
        <v>0</v>
      </c>
      <c r="N22" s="665">
        <f>IF(CHSHTbl[[#This Row],[ALL UNITS IN A HIGH OR HIGHEST RESOURCE AREA]]="Yes",10*CHSHTbl[[#This Row],[FUNDING %]],0)</f>
        <v>0</v>
      </c>
      <c r="O22" s="665" cm="1">
        <f t="array" ref="O22">INDEX(CountyScoresTbl[Community Need Total Points],ROW(CHSHTbl[[#This Row],[COUNTY]])-2,1)*CHSHTbl[[#This Row],[FUNDING %]]</f>
        <v>0</v>
      </c>
      <c r="P22" s="694" cm="1">
        <f t="array" ref="P22">INDEX(CountyScoresTbl[SHTA Total Feasibility Points Awarded],ROW(CHSHTbl[[#This Row],[COUNTY]])-2,1)*CHSHTbl[[#This Row],[FUNDING %]]</f>
        <v>0</v>
      </c>
      <c r="Q22" s="229"/>
      <c r="R22" s="6">
        <f>IF(CHSHTbl[[#This Row],[TOTAL REQUESTED2]]=0,0,CHSHTbl[[#This Row],[TOTAL REQUESTED2]]/CH_SH_RuralTotalRequested)</f>
        <v>0</v>
      </c>
      <c r="S22" s="665">
        <f>IF(CHSHTbl[[#This Row],[ALL UNITS IN A HIGH OR HIGHEST RESOURCE AREA]]="Yes",10*CHSHTbl[[#This Row],[FUNDING %2]],0)</f>
        <v>0</v>
      </c>
      <c r="T22" s="665" cm="1">
        <f t="array" ref="T22">INDEX(CountyScoresTbl[Community Need Total Points],ROW(CHSHTbl[[#This Row],[COUNTY]])-2,1)*CHSHTbl[[#This Row],[FUNDING %2]]</f>
        <v>0</v>
      </c>
      <c r="U22" s="694" cm="1">
        <f t="array" ref="U22">INDEX(CountyScoresTbl[SHTA Total Feasibility Points Awarded],ROW(CHSHTbl[[#This Row],[COUNTY]])-2,1)*CHSHTbl[[#This Row],[FUNDING %2]]</f>
        <v>0</v>
      </c>
    </row>
    <row r="23" spans="1:21" x14ac:dyDescent="0.35">
      <c r="A23" s="167"/>
      <c r="B23" s="5" t="s">
        <v>135</v>
      </c>
      <c r="C23" s="31" t="s">
        <v>513</v>
      </c>
      <c r="D23" s="224" t="str">
        <f>IF(CHSHTbl[[#This Row],[TOTAL REQUESTED]]=0,"",CHSHTbl[[#This Row],[TOTAL REQUESTED]]*
IF(L$61&lt;=300000,1,
300000/L$61))</f>
        <v/>
      </c>
      <c r="E23" s="6" t="str">
        <f>IF(CHSHTbl[[#This Row],[FUNDING %]]=0,"",CHSHTbl[[#This Row],[FUNDING %]])</f>
        <v/>
      </c>
      <c r="F23" s="31" t="s">
        <v>513</v>
      </c>
      <c r="G23" s="231" t="str">
        <f>IF(CHSHTbl[[#This Row],[TOTAL REQUESTED2]]=0,"",CHSHTbl[[#This Row],[TOTAL REQUESTED2]]*
IF(CH_SH_RuralTotalRequested&lt;=(300000-D$61),1,(300000-D$61)/CH_SH_RuralTotalRequested)
)</f>
        <v/>
      </c>
      <c r="H23" s="6" t="str">
        <f>IF(CHSHTbl[[#This Row],[FUNDING %2]]=0,"",CHSHTbl[[#This Row],[FUNDING %2]])</f>
        <v/>
      </c>
      <c r="I23" s="31" t="s">
        <v>513</v>
      </c>
      <c r="J23" s="225"/>
      <c r="K23" s="164"/>
      <c r="L23" s="162"/>
      <c r="M23" s="6">
        <f>IF(CHSHTbl[[#This Row],[TOTAL REQUESTED]]=0,0,CHSHTbl[[#This Row],[TOTAL REQUESTED]]/CH_SH_UnrestrictedTotalRequested)</f>
        <v>0</v>
      </c>
      <c r="N23" s="665">
        <f>IF(CHSHTbl[[#This Row],[ALL UNITS IN A HIGH OR HIGHEST RESOURCE AREA]]="Yes",10*CHSHTbl[[#This Row],[FUNDING %]],0)</f>
        <v>0</v>
      </c>
      <c r="O23" s="665" cm="1">
        <f t="array" ref="O23">INDEX(CountyScoresTbl[Community Need Total Points],ROW(CHSHTbl[[#This Row],[COUNTY]])-2,1)*CHSHTbl[[#This Row],[FUNDING %]]</f>
        <v>0</v>
      </c>
      <c r="P23" s="694" cm="1">
        <f t="array" ref="P23">INDEX(CountyScoresTbl[SHTA Total Feasibility Points Awarded],ROW(CHSHTbl[[#This Row],[COUNTY]])-2,1)*CHSHTbl[[#This Row],[FUNDING %]]</f>
        <v>0</v>
      </c>
      <c r="Q23" s="229"/>
      <c r="R23" s="6">
        <f>IF(CHSHTbl[[#This Row],[TOTAL REQUESTED2]]=0,0,CHSHTbl[[#This Row],[TOTAL REQUESTED2]]/CH_SH_RuralTotalRequested)</f>
        <v>0</v>
      </c>
      <c r="S23" s="665">
        <f>IF(CHSHTbl[[#This Row],[ALL UNITS IN A HIGH OR HIGHEST RESOURCE AREA]]="Yes",10*CHSHTbl[[#This Row],[FUNDING %2]],0)</f>
        <v>0</v>
      </c>
      <c r="T23" s="665" cm="1">
        <f t="array" ref="T23">INDEX(CountyScoresTbl[Community Need Total Points],ROW(CHSHTbl[[#This Row],[COUNTY]])-2,1)*CHSHTbl[[#This Row],[FUNDING %2]]</f>
        <v>0</v>
      </c>
      <c r="U23" s="694" cm="1">
        <f t="array" ref="U23">INDEX(CountyScoresTbl[SHTA Total Feasibility Points Awarded],ROW(CHSHTbl[[#This Row],[COUNTY]])-2,1)*CHSHTbl[[#This Row],[FUNDING %2]]</f>
        <v>0</v>
      </c>
    </row>
    <row r="24" spans="1:21" x14ac:dyDescent="0.35">
      <c r="A24" s="124"/>
      <c r="B24" s="5" t="s">
        <v>136</v>
      </c>
      <c r="C24" s="31" t="s">
        <v>513</v>
      </c>
      <c r="D24" s="224" t="str">
        <f>IF(CHSHTbl[[#This Row],[TOTAL REQUESTED]]=0,"",CHSHTbl[[#This Row],[TOTAL REQUESTED]]*
IF(L$61&lt;=300000,1,
300000/L$61))</f>
        <v/>
      </c>
      <c r="E24" s="6" t="str">
        <f>IF(CHSHTbl[[#This Row],[FUNDING %]]=0,"",CHSHTbl[[#This Row],[FUNDING %]])</f>
        <v/>
      </c>
      <c r="F24" s="31" t="s">
        <v>513</v>
      </c>
      <c r="G24" s="231" t="str">
        <f>IF(CHSHTbl[[#This Row],[TOTAL REQUESTED2]]=0,"",CHSHTbl[[#This Row],[TOTAL REQUESTED2]]*
IF(CH_SH_RuralTotalRequested&lt;=(300000-D$61),1,(300000-D$61)/CH_SH_RuralTotalRequested)
)</f>
        <v/>
      </c>
      <c r="H24" s="6" t="str">
        <f>IF(CHSHTbl[[#This Row],[FUNDING %2]]=0,"",CHSHTbl[[#This Row],[FUNDING %2]])</f>
        <v/>
      </c>
      <c r="I24" s="31" t="s">
        <v>513</v>
      </c>
      <c r="J24" s="227"/>
      <c r="K24" s="119"/>
      <c r="L24" s="162"/>
      <c r="M24" s="6">
        <f>IF(CHSHTbl[[#This Row],[TOTAL REQUESTED]]=0,0,CHSHTbl[[#This Row],[TOTAL REQUESTED]]/CH_SH_UnrestrictedTotalRequested)</f>
        <v>0</v>
      </c>
      <c r="N24" s="665">
        <f>IF(CHSHTbl[[#This Row],[ALL UNITS IN A HIGH OR HIGHEST RESOURCE AREA]]="Yes",10*CHSHTbl[[#This Row],[FUNDING %]],0)</f>
        <v>0</v>
      </c>
      <c r="O24" s="665" cm="1">
        <f t="array" ref="O24">INDEX(CountyScoresTbl[Community Need Total Points],ROW(CHSHTbl[[#This Row],[COUNTY]])-2,1)*CHSHTbl[[#This Row],[FUNDING %]]</f>
        <v>0</v>
      </c>
      <c r="P24" s="694" cm="1">
        <f t="array" ref="P24">INDEX(CountyScoresTbl[SHTA Total Feasibility Points Awarded],ROW(CHSHTbl[[#This Row],[COUNTY]])-2,1)*CHSHTbl[[#This Row],[FUNDING %]]</f>
        <v>0</v>
      </c>
      <c r="Q24" s="229"/>
      <c r="R24" s="6">
        <f>IF(CHSHTbl[[#This Row],[TOTAL REQUESTED2]]=0,0,CHSHTbl[[#This Row],[TOTAL REQUESTED2]]/CH_SH_RuralTotalRequested)</f>
        <v>0</v>
      </c>
      <c r="S24" s="665">
        <f>IF(CHSHTbl[[#This Row],[ALL UNITS IN A HIGH OR HIGHEST RESOURCE AREA]]="Yes",10*CHSHTbl[[#This Row],[FUNDING %2]],0)</f>
        <v>0</v>
      </c>
      <c r="T24" s="665" cm="1">
        <f t="array" ref="T24">INDEX(CountyScoresTbl[Community Need Total Points],ROW(CHSHTbl[[#This Row],[COUNTY]])-2,1)*CHSHTbl[[#This Row],[FUNDING %2]]</f>
        <v>0</v>
      </c>
      <c r="U24" s="694" cm="1">
        <f t="array" ref="U24">INDEX(CountyScoresTbl[SHTA Total Feasibility Points Awarded],ROW(CHSHTbl[[#This Row],[COUNTY]])-2,1)*CHSHTbl[[#This Row],[FUNDING %2]]</f>
        <v>0</v>
      </c>
    </row>
    <row r="25" spans="1:21" x14ac:dyDescent="0.35">
      <c r="A25" s="124"/>
      <c r="B25" s="5" t="s">
        <v>137</v>
      </c>
      <c r="C25" s="31" t="s">
        <v>513</v>
      </c>
      <c r="D25" s="224" t="str">
        <f>IF(CHSHTbl[[#This Row],[TOTAL REQUESTED]]=0,"",CHSHTbl[[#This Row],[TOTAL REQUESTED]]*
IF(L$61&lt;=300000,1,
300000/L$61))</f>
        <v/>
      </c>
      <c r="E25" s="6" t="str">
        <f>IF(CHSHTbl[[#This Row],[FUNDING %]]=0,"",CHSHTbl[[#This Row],[FUNDING %]])</f>
        <v/>
      </c>
      <c r="F25" s="31" t="s">
        <v>513</v>
      </c>
      <c r="G25" s="231" t="str">
        <f>IF(CHSHTbl[[#This Row],[TOTAL REQUESTED2]]=0,"",CHSHTbl[[#This Row],[TOTAL REQUESTED2]]*
IF(CH_SH_RuralTotalRequested&lt;=(300000-D$61),1,(300000-D$61)/CH_SH_RuralTotalRequested)
)</f>
        <v/>
      </c>
      <c r="H25" s="6" t="str">
        <f>IF(CHSHTbl[[#This Row],[FUNDING %2]]=0,"",CHSHTbl[[#This Row],[FUNDING %2]])</f>
        <v/>
      </c>
      <c r="I25" s="31" t="s">
        <v>513</v>
      </c>
      <c r="J25" s="227"/>
      <c r="K25" s="119"/>
      <c r="L25" s="162"/>
      <c r="M25" s="6">
        <f>IF(CHSHTbl[[#This Row],[TOTAL REQUESTED]]=0,0,CHSHTbl[[#This Row],[TOTAL REQUESTED]]/CH_SH_UnrestrictedTotalRequested)</f>
        <v>0</v>
      </c>
      <c r="N25" s="665">
        <f>IF(CHSHTbl[[#This Row],[ALL UNITS IN A HIGH OR HIGHEST RESOURCE AREA]]="Yes",10*CHSHTbl[[#This Row],[FUNDING %]],0)</f>
        <v>0</v>
      </c>
      <c r="O25" s="665" cm="1">
        <f t="array" ref="O25">INDEX(CountyScoresTbl[Community Need Total Points],ROW(CHSHTbl[[#This Row],[COUNTY]])-2,1)*CHSHTbl[[#This Row],[FUNDING %]]</f>
        <v>0</v>
      </c>
      <c r="P25" s="694" cm="1">
        <f t="array" ref="P25">INDEX(CountyScoresTbl[SHTA Total Feasibility Points Awarded],ROW(CHSHTbl[[#This Row],[COUNTY]])-2,1)*CHSHTbl[[#This Row],[FUNDING %]]</f>
        <v>0</v>
      </c>
      <c r="Q25" s="229"/>
      <c r="R25" s="6">
        <f>IF(CHSHTbl[[#This Row],[TOTAL REQUESTED2]]=0,0,CHSHTbl[[#This Row],[TOTAL REQUESTED2]]/CH_SH_RuralTotalRequested)</f>
        <v>0</v>
      </c>
      <c r="S25" s="665">
        <f>IF(CHSHTbl[[#This Row],[ALL UNITS IN A HIGH OR HIGHEST RESOURCE AREA]]="Yes",10*CHSHTbl[[#This Row],[FUNDING %2]],0)</f>
        <v>0</v>
      </c>
      <c r="T25" s="665" cm="1">
        <f t="array" ref="T25">INDEX(CountyScoresTbl[Community Need Total Points],ROW(CHSHTbl[[#This Row],[COUNTY]])-2,1)*CHSHTbl[[#This Row],[FUNDING %2]]</f>
        <v>0</v>
      </c>
      <c r="U25" s="694" cm="1">
        <f t="array" ref="U25">INDEX(CountyScoresTbl[SHTA Total Feasibility Points Awarded],ROW(CHSHTbl[[#This Row],[COUNTY]])-2,1)*CHSHTbl[[#This Row],[FUNDING %2]]</f>
        <v>0</v>
      </c>
    </row>
    <row r="26" spans="1:21" x14ac:dyDescent="0.35">
      <c r="A26" s="124"/>
      <c r="B26" s="5" t="s">
        <v>138</v>
      </c>
      <c r="C26" s="31" t="s">
        <v>513</v>
      </c>
      <c r="D26" s="224" t="str">
        <f>IF(CHSHTbl[[#This Row],[TOTAL REQUESTED]]=0,"",CHSHTbl[[#This Row],[TOTAL REQUESTED]]*
IF(L$61&lt;=300000,1,
300000/L$61))</f>
        <v/>
      </c>
      <c r="E26" s="6" t="str">
        <f>IF(CHSHTbl[[#This Row],[FUNDING %]]=0,"",CHSHTbl[[#This Row],[FUNDING %]])</f>
        <v/>
      </c>
      <c r="F26" s="31" t="s">
        <v>513</v>
      </c>
      <c r="G26" s="231" t="str">
        <f>IF(CHSHTbl[[#This Row],[TOTAL REQUESTED2]]=0,"",CHSHTbl[[#This Row],[TOTAL REQUESTED2]]*
IF(CH_SH_RuralTotalRequested&lt;=(300000-D$61),1,(300000-D$61)/CH_SH_RuralTotalRequested)
)</f>
        <v/>
      </c>
      <c r="H26" s="6" t="str">
        <f>IF(CHSHTbl[[#This Row],[FUNDING %2]]=0,"",CHSHTbl[[#This Row],[FUNDING %2]])</f>
        <v/>
      </c>
      <c r="I26" s="31" t="s">
        <v>513</v>
      </c>
      <c r="J26" s="227"/>
      <c r="K26" s="119"/>
      <c r="L26" s="162"/>
      <c r="M26" s="6">
        <f>IF(CHSHTbl[[#This Row],[TOTAL REQUESTED]]=0,0,CHSHTbl[[#This Row],[TOTAL REQUESTED]]/CH_SH_UnrestrictedTotalRequested)</f>
        <v>0</v>
      </c>
      <c r="N26" s="665">
        <f>IF(CHSHTbl[[#This Row],[ALL UNITS IN A HIGH OR HIGHEST RESOURCE AREA]]="Yes",10*CHSHTbl[[#This Row],[FUNDING %]],0)</f>
        <v>0</v>
      </c>
      <c r="O26" s="665" cm="1">
        <f t="array" ref="O26">INDEX(CountyScoresTbl[Community Need Total Points],ROW(CHSHTbl[[#This Row],[COUNTY]])-2,1)*CHSHTbl[[#This Row],[FUNDING %]]</f>
        <v>0</v>
      </c>
      <c r="P26" s="694" cm="1">
        <f t="array" ref="P26">INDEX(CountyScoresTbl[SHTA Total Feasibility Points Awarded],ROW(CHSHTbl[[#This Row],[COUNTY]])-2,1)*CHSHTbl[[#This Row],[FUNDING %]]</f>
        <v>0</v>
      </c>
      <c r="Q26" s="229"/>
      <c r="R26" s="6">
        <f>IF(CHSHTbl[[#This Row],[TOTAL REQUESTED2]]=0,0,CHSHTbl[[#This Row],[TOTAL REQUESTED2]]/CH_SH_RuralTotalRequested)</f>
        <v>0</v>
      </c>
      <c r="S26" s="665">
        <f>IF(CHSHTbl[[#This Row],[ALL UNITS IN A HIGH OR HIGHEST RESOURCE AREA]]="Yes",10*CHSHTbl[[#This Row],[FUNDING %2]],0)</f>
        <v>0</v>
      </c>
      <c r="T26" s="665" cm="1">
        <f t="array" ref="T26">INDEX(CountyScoresTbl[Community Need Total Points],ROW(CHSHTbl[[#This Row],[COUNTY]])-2,1)*CHSHTbl[[#This Row],[FUNDING %2]]</f>
        <v>0</v>
      </c>
      <c r="U26" s="694" cm="1">
        <f t="array" ref="U26">INDEX(CountyScoresTbl[SHTA Total Feasibility Points Awarded],ROW(CHSHTbl[[#This Row],[COUNTY]])-2,1)*CHSHTbl[[#This Row],[FUNDING %2]]</f>
        <v>0</v>
      </c>
    </row>
    <row r="27" spans="1:21" x14ac:dyDescent="0.35">
      <c r="A27" s="124"/>
      <c r="B27" s="5" t="s">
        <v>139</v>
      </c>
      <c r="C27" s="31" t="s">
        <v>513</v>
      </c>
      <c r="D27" s="224" t="str">
        <f>IF(CHSHTbl[[#This Row],[TOTAL REQUESTED]]=0,"",CHSHTbl[[#This Row],[TOTAL REQUESTED]]*
IF(L$61&lt;=300000,1,
300000/L$61))</f>
        <v/>
      </c>
      <c r="E27" s="6" t="str">
        <f>IF(CHSHTbl[[#This Row],[FUNDING %]]=0,"",CHSHTbl[[#This Row],[FUNDING %]])</f>
        <v/>
      </c>
      <c r="F27" s="31" t="s">
        <v>513</v>
      </c>
      <c r="G27" s="231" t="str">
        <f>IF(CHSHTbl[[#This Row],[TOTAL REQUESTED2]]=0,"",CHSHTbl[[#This Row],[TOTAL REQUESTED2]]*
IF(CH_SH_RuralTotalRequested&lt;=(300000-D$61),1,(300000-D$61)/CH_SH_RuralTotalRequested)
)</f>
        <v/>
      </c>
      <c r="H27" s="6" t="str">
        <f>IF(CHSHTbl[[#This Row],[FUNDING %2]]=0,"",CHSHTbl[[#This Row],[FUNDING %2]])</f>
        <v/>
      </c>
      <c r="I27" s="31" t="s">
        <v>513</v>
      </c>
      <c r="J27" s="227"/>
      <c r="K27" s="119"/>
      <c r="L27" s="162"/>
      <c r="M27" s="6">
        <f>IF(CHSHTbl[[#This Row],[TOTAL REQUESTED]]=0,0,CHSHTbl[[#This Row],[TOTAL REQUESTED]]/CH_SH_UnrestrictedTotalRequested)</f>
        <v>0</v>
      </c>
      <c r="N27" s="665">
        <f>IF(CHSHTbl[[#This Row],[ALL UNITS IN A HIGH OR HIGHEST RESOURCE AREA]]="Yes",10*CHSHTbl[[#This Row],[FUNDING %]],0)</f>
        <v>0</v>
      </c>
      <c r="O27" s="665" cm="1">
        <f t="array" ref="O27">INDEX(CountyScoresTbl[Community Need Total Points],ROW(CHSHTbl[[#This Row],[COUNTY]])-2,1)*CHSHTbl[[#This Row],[FUNDING %]]</f>
        <v>0</v>
      </c>
      <c r="P27" s="694" cm="1">
        <f t="array" ref="P27">INDEX(CountyScoresTbl[SHTA Total Feasibility Points Awarded],ROW(CHSHTbl[[#This Row],[COUNTY]])-2,1)*CHSHTbl[[#This Row],[FUNDING %]]</f>
        <v>0</v>
      </c>
      <c r="Q27" s="229"/>
      <c r="R27" s="6">
        <f>IF(CHSHTbl[[#This Row],[TOTAL REQUESTED2]]=0,0,CHSHTbl[[#This Row],[TOTAL REQUESTED2]]/CH_SH_RuralTotalRequested)</f>
        <v>0</v>
      </c>
      <c r="S27" s="665">
        <f>IF(CHSHTbl[[#This Row],[ALL UNITS IN A HIGH OR HIGHEST RESOURCE AREA]]="Yes",10*CHSHTbl[[#This Row],[FUNDING %2]],0)</f>
        <v>0</v>
      </c>
      <c r="T27" s="665" cm="1">
        <f t="array" ref="T27">INDEX(CountyScoresTbl[Community Need Total Points],ROW(CHSHTbl[[#This Row],[COUNTY]])-2,1)*CHSHTbl[[#This Row],[FUNDING %2]]</f>
        <v>0</v>
      </c>
      <c r="U27" s="694" cm="1">
        <f t="array" ref="U27">INDEX(CountyScoresTbl[SHTA Total Feasibility Points Awarded],ROW(CHSHTbl[[#This Row],[COUNTY]])-2,1)*CHSHTbl[[#This Row],[FUNDING %2]]</f>
        <v>0</v>
      </c>
    </row>
    <row r="28" spans="1:21" x14ac:dyDescent="0.35">
      <c r="A28" s="124"/>
      <c r="B28" s="5" t="s">
        <v>140</v>
      </c>
      <c r="C28" s="31" t="s">
        <v>513</v>
      </c>
      <c r="D28" s="224" t="str">
        <f>IF(CHSHTbl[[#This Row],[TOTAL REQUESTED]]=0,"",CHSHTbl[[#This Row],[TOTAL REQUESTED]]*
IF(L$61&lt;=300000,1,
300000/L$61))</f>
        <v/>
      </c>
      <c r="E28" s="6" t="str">
        <f>IF(CHSHTbl[[#This Row],[FUNDING %]]=0,"",CHSHTbl[[#This Row],[FUNDING %]])</f>
        <v/>
      </c>
      <c r="F28" s="31" t="s">
        <v>513</v>
      </c>
      <c r="G28" s="231" t="str">
        <f>IF(CHSHTbl[[#This Row],[TOTAL REQUESTED2]]=0,"",CHSHTbl[[#This Row],[TOTAL REQUESTED2]]*
IF(CH_SH_RuralTotalRequested&lt;=(300000-D$61),1,(300000-D$61)/CH_SH_RuralTotalRequested)
)</f>
        <v/>
      </c>
      <c r="H28" s="6" t="str">
        <f>IF(CHSHTbl[[#This Row],[FUNDING %2]]=0,"",CHSHTbl[[#This Row],[FUNDING %2]])</f>
        <v/>
      </c>
      <c r="I28" s="31" t="s">
        <v>513</v>
      </c>
      <c r="J28" s="227"/>
      <c r="K28" s="119"/>
      <c r="L28" s="162"/>
      <c r="M28" s="6">
        <f>IF(CHSHTbl[[#This Row],[TOTAL REQUESTED]]=0,0,CHSHTbl[[#This Row],[TOTAL REQUESTED]]/CH_SH_UnrestrictedTotalRequested)</f>
        <v>0</v>
      </c>
      <c r="N28" s="665">
        <f>IF(CHSHTbl[[#This Row],[ALL UNITS IN A HIGH OR HIGHEST RESOURCE AREA]]="Yes",10*CHSHTbl[[#This Row],[FUNDING %]],0)</f>
        <v>0</v>
      </c>
      <c r="O28" s="665" cm="1">
        <f t="array" ref="O28">INDEX(CountyScoresTbl[Community Need Total Points],ROW(CHSHTbl[[#This Row],[COUNTY]])-2,1)*CHSHTbl[[#This Row],[FUNDING %]]</f>
        <v>0</v>
      </c>
      <c r="P28" s="694" cm="1">
        <f t="array" ref="P28">INDEX(CountyScoresTbl[SHTA Total Feasibility Points Awarded],ROW(CHSHTbl[[#This Row],[COUNTY]])-2,1)*CHSHTbl[[#This Row],[FUNDING %]]</f>
        <v>0</v>
      </c>
      <c r="Q28" s="229"/>
      <c r="R28" s="6">
        <f>IF(CHSHTbl[[#This Row],[TOTAL REQUESTED2]]=0,0,CHSHTbl[[#This Row],[TOTAL REQUESTED2]]/CH_SH_RuralTotalRequested)</f>
        <v>0</v>
      </c>
      <c r="S28" s="665">
        <f>IF(CHSHTbl[[#This Row],[ALL UNITS IN A HIGH OR HIGHEST RESOURCE AREA]]="Yes",10*CHSHTbl[[#This Row],[FUNDING %2]],0)</f>
        <v>0</v>
      </c>
      <c r="T28" s="665" cm="1">
        <f t="array" ref="T28">INDEX(CountyScoresTbl[Community Need Total Points],ROW(CHSHTbl[[#This Row],[COUNTY]])-2,1)*CHSHTbl[[#This Row],[FUNDING %2]]</f>
        <v>0</v>
      </c>
      <c r="U28" s="694" cm="1">
        <f t="array" ref="U28">INDEX(CountyScoresTbl[SHTA Total Feasibility Points Awarded],ROW(CHSHTbl[[#This Row],[COUNTY]])-2,1)*CHSHTbl[[#This Row],[FUNDING %2]]</f>
        <v>0</v>
      </c>
    </row>
    <row r="29" spans="1:21" x14ac:dyDescent="0.35">
      <c r="A29" s="124"/>
      <c r="B29" s="5" t="s">
        <v>141</v>
      </c>
      <c r="C29" s="31" t="s">
        <v>513</v>
      </c>
      <c r="D29" s="224" t="str">
        <f>IF(CHSHTbl[[#This Row],[TOTAL REQUESTED]]=0,"",CHSHTbl[[#This Row],[TOTAL REQUESTED]]*
IF(L$61&lt;=300000,1,
300000/L$61))</f>
        <v/>
      </c>
      <c r="E29" s="6" t="str">
        <f>IF(CHSHTbl[[#This Row],[FUNDING %]]=0,"",CHSHTbl[[#This Row],[FUNDING %]])</f>
        <v/>
      </c>
      <c r="F29" s="31" t="s">
        <v>513</v>
      </c>
      <c r="G29" s="231" t="str">
        <f>IF(CHSHTbl[[#This Row],[TOTAL REQUESTED2]]=0,"",CHSHTbl[[#This Row],[TOTAL REQUESTED2]]*
IF(CH_SH_RuralTotalRequested&lt;=(300000-D$61),1,(300000-D$61)/CH_SH_RuralTotalRequested)
)</f>
        <v/>
      </c>
      <c r="H29" s="6" t="str">
        <f>IF(CHSHTbl[[#This Row],[FUNDING %2]]=0,"",CHSHTbl[[#This Row],[FUNDING %2]])</f>
        <v/>
      </c>
      <c r="I29" s="31" t="s">
        <v>513</v>
      </c>
      <c r="J29" s="227"/>
      <c r="K29" s="119"/>
      <c r="L29" s="162"/>
      <c r="M29" s="6">
        <f>IF(CHSHTbl[[#This Row],[TOTAL REQUESTED]]=0,0,CHSHTbl[[#This Row],[TOTAL REQUESTED]]/CH_SH_UnrestrictedTotalRequested)</f>
        <v>0</v>
      </c>
      <c r="N29" s="665">
        <f>IF(CHSHTbl[[#This Row],[ALL UNITS IN A HIGH OR HIGHEST RESOURCE AREA]]="Yes",10*CHSHTbl[[#This Row],[FUNDING %]],0)</f>
        <v>0</v>
      </c>
      <c r="O29" s="665" cm="1">
        <f t="array" ref="O29">INDEX(CountyScoresTbl[Community Need Total Points],ROW(CHSHTbl[[#This Row],[COUNTY]])-2,1)*CHSHTbl[[#This Row],[FUNDING %]]</f>
        <v>0</v>
      </c>
      <c r="P29" s="694" cm="1">
        <f t="array" ref="P29">INDEX(CountyScoresTbl[SHTA Total Feasibility Points Awarded],ROW(CHSHTbl[[#This Row],[COUNTY]])-2,1)*CHSHTbl[[#This Row],[FUNDING %]]</f>
        <v>0</v>
      </c>
      <c r="Q29" s="229"/>
      <c r="R29" s="6">
        <f>IF(CHSHTbl[[#This Row],[TOTAL REQUESTED2]]=0,0,CHSHTbl[[#This Row],[TOTAL REQUESTED2]]/CH_SH_RuralTotalRequested)</f>
        <v>0</v>
      </c>
      <c r="S29" s="665">
        <f>IF(CHSHTbl[[#This Row],[ALL UNITS IN A HIGH OR HIGHEST RESOURCE AREA]]="Yes",10*CHSHTbl[[#This Row],[FUNDING %2]],0)</f>
        <v>0</v>
      </c>
      <c r="T29" s="665" cm="1">
        <f t="array" ref="T29">INDEX(CountyScoresTbl[Community Need Total Points],ROW(CHSHTbl[[#This Row],[COUNTY]])-2,1)*CHSHTbl[[#This Row],[FUNDING %2]]</f>
        <v>0</v>
      </c>
      <c r="U29" s="694" cm="1">
        <f t="array" ref="U29">INDEX(CountyScoresTbl[SHTA Total Feasibility Points Awarded],ROW(CHSHTbl[[#This Row],[COUNTY]])-2,1)*CHSHTbl[[#This Row],[FUNDING %2]]</f>
        <v>0</v>
      </c>
    </row>
    <row r="30" spans="1:21" x14ac:dyDescent="0.35">
      <c r="A30" s="124"/>
      <c r="B30" s="5" t="s">
        <v>142</v>
      </c>
      <c r="C30" s="31" t="s">
        <v>513</v>
      </c>
      <c r="D30" s="224" t="str">
        <f>IF(CHSHTbl[[#This Row],[TOTAL REQUESTED]]=0,"",CHSHTbl[[#This Row],[TOTAL REQUESTED]]*
IF(L$61&lt;=300000,1,
300000/L$61))</f>
        <v/>
      </c>
      <c r="E30" s="6" t="str">
        <f>IF(CHSHTbl[[#This Row],[FUNDING %]]=0,"",CHSHTbl[[#This Row],[FUNDING %]])</f>
        <v/>
      </c>
      <c r="F30" s="31" t="s">
        <v>513</v>
      </c>
      <c r="G30" s="231" t="str">
        <f>IF(CHSHTbl[[#This Row],[TOTAL REQUESTED2]]=0,"",CHSHTbl[[#This Row],[TOTAL REQUESTED2]]*
IF(CH_SH_RuralTotalRequested&lt;=(300000-D$61),1,(300000-D$61)/CH_SH_RuralTotalRequested)
)</f>
        <v/>
      </c>
      <c r="H30" s="6" t="str">
        <f>IF(CHSHTbl[[#This Row],[FUNDING %2]]=0,"",CHSHTbl[[#This Row],[FUNDING %2]])</f>
        <v/>
      </c>
      <c r="I30" s="31" t="s">
        <v>513</v>
      </c>
      <c r="J30" s="227"/>
      <c r="K30" s="119"/>
      <c r="L30" s="162"/>
      <c r="M30" s="6">
        <f>IF(CHSHTbl[[#This Row],[TOTAL REQUESTED]]=0,0,CHSHTbl[[#This Row],[TOTAL REQUESTED]]/CH_SH_UnrestrictedTotalRequested)</f>
        <v>0</v>
      </c>
      <c r="N30" s="665">
        <f>IF(CHSHTbl[[#This Row],[ALL UNITS IN A HIGH OR HIGHEST RESOURCE AREA]]="Yes",10*CHSHTbl[[#This Row],[FUNDING %]],0)</f>
        <v>0</v>
      </c>
      <c r="O30" s="665" cm="1">
        <f t="array" ref="O30">INDEX(CountyScoresTbl[Community Need Total Points],ROW(CHSHTbl[[#This Row],[COUNTY]])-2,1)*CHSHTbl[[#This Row],[FUNDING %]]</f>
        <v>0</v>
      </c>
      <c r="P30" s="694" cm="1">
        <f t="array" ref="P30">INDEX(CountyScoresTbl[SHTA Total Feasibility Points Awarded],ROW(CHSHTbl[[#This Row],[COUNTY]])-2,1)*CHSHTbl[[#This Row],[FUNDING %]]</f>
        <v>0</v>
      </c>
      <c r="Q30" s="229"/>
      <c r="R30" s="6">
        <f>IF(CHSHTbl[[#This Row],[TOTAL REQUESTED2]]=0,0,CHSHTbl[[#This Row],[TOTAL REQUESTED2]]/CH_SH_RuralTotalRequested)</f>
        <v>0</v>
      </c>
      <c r="S30" s="665">
        <f>IF(CHSHTbl[[#This Row],[ALL UNITS IN A HIGH OR HIGHEST RESOURCE AREA]]="Yes",10*CHSHTbl[[#This Row],[FUNDING %2]],0)</f>
        <v>0</v>
      </c>
      <c r="T30" s="665" cm="1">
        <f t="array" ref="T30">INDEX(CountyScoresTbl[Community Need Total Points],ROW(CHSHTbl[[#This Row],[COUNTY]])-2,1)*CHSHTbl[[#This Row],[FUNDING %2]]</f>
        <v>0</v>
      </c>
      <c r="U30" s="694" cm="1">
        <f t="array" ref="U30">INDEX(CountyScoresTbl[SHTA Total Feasibility Points Awarded],ROW(CHSHTbl[[#This Row],[COUNTY]])-2,1)*CHSHTbl[[#This Row],[FUNDING %2]]</f>
        <v>0</v>
      </c>
    </row>
    <row r="31" spans="1:21" x14ac:dyDescent="0.35">
      <c r="A31" s="124"/>
      <c r="B31" s="5" t="s">
        <v>143</v>
      </c>
      <c r="C31" s="31" t="s">
        <v>513</v>
      </c>
      <c r="D31" s="224" t="str">
        <f>IF(CHSHTbl[[#This Row],[TOTAL REQUESTED]]=0,"",CHSHTbl[[#This Row],[TOTAL REQUESTED]]*
IF(L$61&lt;=300000,1,
300000/L$61))</f>
        <v/>
      </c>
      <c r="E31" s="6" t="str">
        <f>IF(CHSHTbl[[#This Row],[FUNDING %]]=0,"",CHSHTbl[[#This Row],[FUNDING %]])</f>
        <v/>
      </c>
      <c r="F31" s="31" t="s">
        <v>513</v>
      </c>
      <c r="G31" s="231" t="str">
        <f>IF(CHSHTbl[[#This Row],[TOTAL REQUESTED2]]=0,"",CHSHTbl[[#This Row],[TOTAL REQUESTED2]]*
IF(CH_SH_RuralTotalRequested&lt;=(300000-D$61),1,(300000-D$61)/CH_SH_RuralTotalRequested)
)</f>
        <v/>
      </c>
      <c r="H31" s="6" t="str">
        <f>IF(CHSHTbl[[#This Row],[FUNDING %2]]=0,"",CHSHTbl[[#This Row],[FUNDING %2]])</f>
        <v/>
      </c>
      <c r="I31" s="31" t="s">
        <v>513</v>
      </c>
      <c r="J31" s="227"/>
      <c r="K31" s="119"/>
      <c r="L31" s="162"/>
      <c r="M31" s="6">
        <f>IF(CHSHTbl[[#This Row],[TOTAL REQUESTED]]=0,0,CHSHTbl[[#This Row],[TOTAL REQUESTED]]/CH_SH_UnrestrictedTotalRequested)</f>
        <v>0</v>
      </c>
      <c r="N31" s="665">
        <f>IF(CHSHTbl[[#This Row],[ALL UNITS IN A HIGH OR HIGHEST RESOURCE AREA]]="Yes",10*CHSHTbl[[#This Row],[FUNDING %]],0)</f>
        <v>0</v>
      </c>
      <c r="O31" s="665" cm="1">
        <f t="array" ref="O31">INDEX(CountyScoresTbl[Community Need Total Points],ROW(CHSHTbl[[#This Row],[COUNTY]])-2,1)*CHSHTbl[[#This Row],[FUNDING %]]</f>
        <v>0</v>
      </c>
      <c r="P31" s="694" cm="1">
        <f t="array" ref="P31">INDEX(CountyScoresTbl[SHTA Total Feasibility Points Awarded],ROW(CHSHTbl[[#This Row],[COUNTY]])-2,1)*CHSHTbl[[#This Row],[FUNDING %]]</f>
        <v>0</v>
      </c>
      <c r="Q31" s="229"/>
      <c r="R31" s="6">
        <f>IF(CHSHTbl[[#This Row],[TOTAL REQUESTED2]]=0,0,CHSHTbl[[#This Row],[TOTAL REQUESTED2]]/CH_SH_RuralTotalRequested)</f>
        <v>0</v>
      </c>
      <c r="S31" s="665">
        <f>IF(CHSHTbl[[#This Row],[ALL UNITS IN A HIGH OR HIGHEST RESOURCE AREA]]="Yes",10*CHSHTbl[[#This Row],[FUNDING %2]],0)</f>
        <v>0</v>
      </c>
      <c r="T31" s="665" cm="1">
        <f t="array" ref="T31">INDEX(CountyScoresTbl[Community Need Total Points],ROW(CHSHTbl[[#This Row],[COUNTY]])-2,1)*CHSHTbl[[#This Row],[FUNDING %2]]</f>
        <v>0</v>
      </c>
      <c r="U31" s="694" cm="1">
        <f t="array" ref="U31">INDEX(CountyScoresTbl[SHTA Total Feasibility Points Awarded],ROW(CHSHTbl[[#This Row],[COUNTY]])-2,1)*CHSHTbl[[#This Row],[FUNDING %2]]</f>
        <v>0</v>
      </c>
    </row>
    <row r="32" spans="1:21" x14ac:dyDescent="0.35">
      <c r="A32" s="124"/>
      <c r="B32" s="5" t="s">
        <v>144</v>
      </c>
      <c r="C32" s="31" t="s">
        <v>513</v>
      </c>
      <c r="D32" s="224" t="str">
        <f>IF(CHSHTbl[[#This Row],[TOTAL REQUESTED]]=0,"",CHSHTbl[[#This Row],[TOTAL REQUESTED]]*
IF(L$61&lt;=300000,1,
300000/L$61))</f>
        <v/>
      </c>
      <c r="E32" s="6" t="str">
        <f>IF(CHSHTbl[[#This Row],[FUNDING %]]=0,"",CHSHTbl[[#This Row],[FUNDING %]])</f>
        <v/>
      </c>
      <c r="F32" s="31" t="s">
        <v>513</v>
      </c>
      <c r="G32" s="231" t="str">
        <f>IF(CHSHTbl[[#This Row],[TOTAL REQUESTED2]]=0,"",CHSHTbl[[#This Row],[TOTAL REQUESTED2]]*
IF(CH_SH_RuralTotalRequested&lt;=(300000-D$61),1,(300000-D$61)/CH_SH_RuralTotalRequested)
)</f>
        <v/>
      </c>
      <c r="H32" s="6" t="str">
        <f>IF(CHSHTbl[[#This Row],[FUNDING %2]]=0,"",CHSHTbl[[#This Row],[FUNDING %2]])</f>
        <v/>
      </c>
      <c r="I32" s="31" t="s">
        <v>513</v>
      </c>
      <c r="J32" s="227"/>
      <c r="K32" s="119"/>
      <c r="L32" s="162"/>
      <c r="M32" s="6">
        <f>IF(CHSHTbl[[#This Row],[TOTAL REQUESTED]]=0,0,CHSHTbl[[#This Row],[TOTAL REQUESTED]]/CH_SH_UnrestrictedTotalRequested)</f>
        <v>0</v>
      </c>
      <c r="N32" s="665">
        <f>IF(CHSHTbl[[#This Row],[ALL UNITS IN A HIGH OR HIGHEST RESOURCE AREA]]="Yes",10*CHSHTbl[[#This Row],[FUNDING %]],0)</f>
        <v>0</v>
      </c>
      <c r="O32" s="665" cm="1">
        <f t="array" ref="O32">INDEX(CountyScoresTbl[Community Need Total Points],ROW(CHSHTbl[[#This Row],[COUNTY]])-2,1)*CHSHTbl[[#This Row],[FUNDING %]]</f>
        <v>0</v>
      </c>
      <c r="P32" s="694" cm="1">
        <f t="array" ref="P32">INDEX(CountyScoresTbl[SHTA Total Feasibility Points Awarded],ROW(CHSHTbl[[#This Row],[COUNTY]])-2,1)*CHSHTbl[[#This Row],[FUNDING %]]</f>
        <v>0</v>
      </c>
      <c r="Q32" s="229"/>
      <c r="R32" s="6">
        <f>IF(CHSHTbl[[#This Row],[TOTAL REQUESTED2]]=0,0,CHSHTbl[[#This Row],[TOTAL REQUESTED2]]/CH_SH_RuralTotalRequested)</f>
        <v>0</v>
      </c>
      <c r="S32" s="665">
        <f>IF(CHSHTbl[[#This Row],[ALL UNITS IN A HIGH OR HIGHEST RESOURCE AREA]]="Yes",10*CHSHTbl[[#This Row],[FUNDING %2]],0)</f>
        <v>0</v>
      </c>
      <c r="T32" s="665" cm="1">
        <f t="array" ref="T32">INDEX(CountyScoresTbl[Community Need Total Points],ROW(CHSHTbl[[#This Row],[COUNTY]])-2,1)*CHSHTbl[[#This Row],[FUNDING %2]]</f>
        <v>0</v>
      </c>
      <c r="U32" s="694" cm="1">
        <f t="array" ref="U32">INDEX(CountyScoresTbl[SHTA Total Feasibility Points Awarded],ROW(CHSHTbl[[#This Row],[COUNTY]])-2,1)*CHSHTbl[[#This Row],[FUNDING %2]]</f>
        <v>0</v>
      </c>
    </row>
    <row r="33" spans="1:21" x14ac:dyDescent="0.35">
      <c r="A33" s="124"/>
      <c r="B33" s="5" t="s">
        <v>145</v>
      </c>
      <c r="C33" s="31" t="s">
        <v>513</v>
      </c>
      <c r="D33" s="224" t="str">
        <f>IF(CHSHTbl[[#This Row],[TOTAL REQUESTED]]=0,"",CHSHTbl[[#This Row],[TOTAL REQUESTED]]*
IF(L$61&lt;=300000,1,
300000/L$61))</f>
        <v/>
      </c>
      <c r="E33" s="6" t="str">
        <f>IF(CHSHTbl[[#This Row],[FUNDING %]]=0,"",CHSHTbl[[#This Row],[FUNDING %]])</f>
        <v/>
      </c>
      <c r="F33" s="31" t="s">
        <v>513</v>
      </c>
      <c r="G33" s="231" t="str">
        <f>IF(CHSHTbl[[#This Row],[TOTAL REQUESTED2]]=0,"",CHSHTbl[[#This Row],[TOTAL REQUESTED2]]*
IF(CH_SH_RuralTotalRequested&lt;=(300000-D$61),1,(300000-D$61)/CH_SH_RuralTotalRequested)
)</f>
        <v/>
      </c>
      <c r="H33" s="6" t="str">
        <f>IF(CHSHTbl[[#This Row],[FUNDING %2]]=0,"",CHSHTbl[[#This Row],[FUNDING %2]])</f>
        <v/>
      </c>
      <c r="I33" s="31" t="s">
        <v>513</v>
      </c>
      <c r="J33" s="227"/>
      <c r="K33" s="119"/>
      <c r="L33" s="162"/>
      <c r="M33" s="6">
        <f>IF(CHSHTbl[[#This Row],[TOTAL REQUESTED]]=0,0,CHSHTbl[[#This Row],[TOTAL REQUESTED]]/CH_SH_UnrestrictedTotalRequested)</f>
        <v>0</v>
      </c>
      <c r="N33" s="665">
        <f>IF(CHSHTbl[[#This Row],[ALL UNITS IN A HIGH OR HIGHEST RESOURCE AREA]]="Yes",10*CHSHTbl[[#This Row],[FUNDING %]],0)</f>
        <v>0</v>
      </c>
      <c r="O33" s="665" cm="1">
        <f t="array" ref="O33">INDEX(CountyScoresTbl[Community Need Total Points],ROW(CHSHTbl[[#This Row],[COUNTY]])-2,1)*CHSHTbl[[#This Row],[FUNDING %]]</f>
        <v>0</v>
      </c>
      <c r="P33" s="694" cm="1">
        <f t="array" ref="P33">INDEX(CountyScoresTbl[SHTA Total Feasibility Points Awarded],ROW(CHSHTbl[[#This Row],[COUNTY]])-2,1)*CHSHTbl[[#This Row],[FUNDING %]]</f>
        <v>0</v>
      </c>
      <c r="Q33" s="229"/>
      <c r="R33" s="6">
        <f>IF(CHSHTbl[[#This Row],[TOTAL REQUESTED2]]=0,0,CHSHTbl[[#This Row],[TOTAL REQUESTED2]]/CH_SH_RuralTotalRequested)</f>
        <v>0</v>
      </c>
      <c r="S33" s="665">
        <f>IF(CHSHTbl[[#This Row],[ALL UNITS IN A HIGH OR HIGHEST RESOURCE AREA]]="Yes",10*CHSHTbl[[#This Row],[FUNDING %2]],0)</f>
        <v>0</v>
      </c>
      <c r="T33" s="665" cm="1">
        <f t="array" ref="T33">INDEX(CountyScoresTbl[Community Need Total Points],ROW(CHSHTbl[[#This Row],[COUNTY]])-2,1)*CHSHTbl[[#This Row],[FUNDING %2]]</f>
        <v>0</v>
      </c>
      <c r="U33" s="694" cm="1">
        <f t="array" ref="U33">INDEX(CountyScoresTbl[SHTA Total Feasibility Points Awarded],ROW(CHSHTbl[[#This Row],[COUNTY]])-2,1)*CHSHTbl[[#This Row],[FUNDING %2]]</f>
        <v>0</v>
      </c>
    </row>
    <row r="34" spans="1:21" x14ac:dyDescent="0.35">
      <c r="A34" s="124"/>
      <c r="B34" s="5" t="s">
        <v>146</v>
      </c>
      <c r="C34" s="31" t="s">
        <v>513</v>
      </c>
      <c r="D34" s="224" t="str">
        <f>IF(CHSHTbl[[#This Row],[TOTAL REQUESTED]]=0,"",CHSHTbl[[#This Row],[TOTAL REQUESTED]]*
IF(L$61&lt;=300000,1,
300000/L$61))</f>
        <v/>
      </c>
      <c r="E34" s="6" t="str">
        <f>IF(CHSHTbl[[#This Row],[FUNDING %]]=0,"",CHSHTbl[[#This Row],[FUNDING %]])</f>
        <v/>
      </c>
      <c r="F34" s="31" t="s">
        <v>513</v>
      </c>
      <c r="G34" s="231" t="str">
        <f>IF(CHSHTbl[[#This Row],[TOTAL REQUESTED2]]=0,"",CHSHTbl[[#This Row],[TOTAL REQUESTED2]]*
IF(CH_SH_RuralTotalRequested&lt;=(300000-D$61),1,(300000-D$61)/CH_SH_RuralTotalRequested)
)</f>
        <v/>
      </c>
      <c r="H34" s="6" t="str">
        <f>IF(CHSHTbl[[#This Row],[FUNDING %2]]=0,"",CHSHTbl[[#This Row],[FUNDING %2]])</f>
        <v/>
      </c>
      <c r="I34" s="31" t="s">
        <v>513</v>
      </c>
      <c r="J34" s="227"/>
      <c r="K34" s="119"/>
      <c r="L34" s="162"/>
      <c r="M34" s="6">
        <f>IF(CHSHTbl[[#This Row],[TOTAL REQUESTED]]=0,0,CHSHTbl[[#This Row],[TOTAL REQUESTED]]/CH_SH_UnrestrictedTotalRequested)</f>
        <v>0</v>
      </c>
      <c r="N34" s="665">
        <f>IF(CHSHTbl[[#This Row],[ALL UNITS IN A HIGH OR HIGHEST RESOURCE AREA]]="Yes",10*CHSHTbl[[#This Row],[FUNDING %]],0)</f>
        <v>0</v>
      </c>
      <c r="O34" s="665" cm="1">
        <f t="array" ref="O34">INDEX(CountyScoresTbl[Community Need Total Points],ROW(CHSHTbl[[#This Row],[COUNTY]])-2,1)*CHSHTbl[[#This Row],[FUNDING %]]</f>
        <v>0</v>
      </c>
      <c r="P34" s="694" cm="1">
        <f t="array" ref="P34">INDEX(CountyScoresTbl[SHTA Total Feasibility Points Awarded],ROW(CHSHTbl[[#This Row],[COUNTY]])-2,1)*CHSHTbl[[#This Row],[FUNDING %]]</f>
        <v>0</v>
      </c>
      <c r="Q34" s="229"/>
      <c r="R34" s="6">
        <f>IF(CHSHTbl[[#This Row],[TOTAL REQUESTED2]]=0,0,CHSHTbl[[#This Row],[TOTAL REQUESTED2]]/CH_SH_RuralTotalRequested)</f>
        <v>0</v>
      </c>
      <c r="S34" s="665">
        <f>IF(CHSHTbl[[#This Row],[ALL UNITS IN A HIGH OR HIGHEST RESOURCE AREA]]="Yes",10*CHSHTbl[[#This Row],[FUNDING %2]],0)</f>
        <v>0</v>
      </c>
      <c r="T34" s="665" cm="1">
        <f t="array" ref="T34">INDEX(CountyScoresTbl[Community Need Total Points],ROW(CHSHTbl[[#This Row],[COUNTY]])-2,1)*CHSHTbl[[#This Row],[FUNDING %2]]</f>
        <v>0</v>
      </c>
      <c r="U34" s="694" cm="1">
        <f t="array" ref="U34">INDEX(CountyScoresTbl[SHTA Total Feasibility Points Awarded],ROW(CHSHTbl[[#This Row],[COUNTY]])-2,1)*CHSHTbl[[#This Row],[FUNDING %2]]</f>
        <v>0</v>
      </c>
    </row>
    <row r="35" spans="1:21" x14ac:dyDescent="0.35">
      <c r="A35" s="124"/>
      <c r="B35" s="5" t="s">
        <v>147</v>
      </c>
      <c r="C35" s="31" t="s">
        <v>513</v>
      </c>
      <c r="D35" s="224" t="str">
        <f>IF(CHSHTbl[[#This Row],[TOTAL REQUESTED]]=0,"",CHSHTbl[[#This Row],[TOTAL REQUESTED]]*
IF(L$61&lt;=300000,1,
300000/L$61))</f>
        <v/>
      </c>
      <c r="E35" s="6" t="str">
        <f>IF(CHSHTbl[[#This Row],[FUNDING %]]=0,"",CHSHTbl[[#This Row],[FUNDING %]])</f>
        <v/>
      </c>
      <c r="F35" s="31" t="s">
        <v>513</v>
      </c>
      <c r="G35" s="231" t="str">
        <f>IF(CHSHTbl[[#This Row],[TOTAL REQUESTED2]]=0,"",CHSHTbl[[#This Row],[TOTAL REQUESTED2]]*
IF(CH_SH_RuralTotalRequested&lt;=(300000-D$61),1,(300000-D$61)/CH_SH_RuralTotalRequested)
)</f>
        <v/>
      </c>
      <c r="H35" s="6" t="str">
        <f>IF(CHSHTbl[[#This Row],[FUNDING %2]]=0,"",CHSHTbl[[#This Row],[FUNDING %2]])</f>
        <v/>
      </c>
      <c r="I35" s="31" t="s">
        <v>513</v>
      </c>
      <c r="J35" s="227"/>
      <c r="K35" s="119"/>
      <c r="L35" s="162"/>
      <c r="M35" s="6">
        <f>IF(CHSHTbl[[#This Row],[TOTAL REQUESTED]]=0,0,CHSHTbl[[#This Row],[TOTAL REQUESTED]]/CH_SH_UnrestrictedTotalRequested)</f>
        <v>0</v>
      </c>
      <c r="N35" s="665">
        <f>IF(CHSHTbl[[#This Row],[ALL UNITS IN A HIGH OR HIGHEST RESOURCE AREA]]="Yes",10*CHSHTbl[[#This Row],[FUNDING %]],0)</f>
        <v>0</v>
      </c>
      <c r="O35" s="665" cm="1">
        <f t="array" ref="O35">INDEX(CountyScoresTbl[Community Need Total Points],ROW(CHSHTbl[[#This Row],[COUNTY]])-2,1)*CHSHTbl[[#This Row],[FUNDING %]]</f>
        <v>0</v>
      </c>
      <c r="P35" s="694" cm="1">
        <f t="array" ref="P35">INDEX(CountyScoresTbl[SHTA Total Feasibility Points Awarded],ROW(CHSHTbl[[#This Row],[COUNTY]])-2,1)*CHSHTbl[[#This Row],[FUNDING %]]</f>
        <v>0</v>
      </c>
      <c r="Q35" s="229"/>
      <c r="R35" s="6">
        <f>IF(CHSHTbl[[#This Row],[TOTAL REQUESTED2]]=0,0,CHSHTbl[[#This Row],[TOTAL REQUESTED2]]/CH_SH_RuralTotalRequested)</f>
        <v>0</v>
      </c>
      <c r="S35" s="665">
        <f>IF(CHSHTbl[[#This Row],[ALL UNITS IN A HIGH OR HIGHEST RESOURCE AREA]]="Yes",10*CHSHTbl[[#This Row],[FUNDING %2]],0)</f>
        <v>0</v>
      </c>
      <c r="T35" s="665" cm="1">
        <f t="array" ref="T35">INDEX(CountyScoresTbl[Community Need Total Points],ROW(CHSHTbl[[#This Row],[COUNTY]])-2,1)*CHSHTbl[[#This Row],[FUNDING %2]]</f>
        <v>0</v>
      </c>
      <c r="U35" s="694" cm="1">
        <f t="array" ref="U35">INDEX(CountyScoresTbl[SHTA Total Feasibility Points Awarded],ROW(CHSHTbl[[#This Row],[COUNTY]])-2,1)*CHSHTbl[[#This Row],[FUNDING %2]]</f>
        <v>0</v>
      </c>
    </row>
    <row r="36" spans="1:21" x14ac:dyDescent="0.35">
      <c r="A36" s="124"/>
      <c r="B36" s="5" t="s">
        <v>148</v>
      </c>
      <c r="C36" s="31" t="s">
        <v>513</v>
      </c>
      <c r="D36" s="224" t="str">
        <f>IF(CHSHTbl[[#This Row],[TOTAL REQUESTED]]=0,"",CHSHTbl[[#This Row],[TOTAL REQUESTED]]*
IF(L$61&lt;=300000,1,
300000/L$61))</f>
        <v/>
      </c>
      <c r="E36" s="6" t="str">
        <f>IF(CHSHTbl[[#This Row],[FUNDING %]]=0,"",CHSHTbl[[#This Row],[FUNDING %]])</f>
        <v/>
      </c>
      <c r="F36" s="31" t="s">
        <v>513</v>
      </c>
      <c r="G36" s="231" t="str">
        <f>IF(CHSHTbl[[#This Row],[TOTAL REQUESTED2]]=0,"",CHSHTbl[[#This Row],[TOTAL REQUESTED2]]*
IF(CH_SH_RuralTotalRequested&lt;=(300000-D$61),1,(300000-D$61)/CH_SH_RuralTotalRequested)
)</f>
        <v/>
      </c>
      <c r="H36" s="6" t="str">
        <f>IF(CHSHTbl[[#This Row],[FUNDING %2]]=0,"",CHSHTbl[[#This Row],[FUNDING %2]])</f>
        <v/>
      </c>
      <c r="I36" s="31" t="s">
        <v>513</v>
      </c>
      <c r="J36" s="227"/>
      <c r="K36" s="119"/>
      <c r="L36" s="162"/>
      <c r="M36" s="6">
        <f>IF(CHSHTbl[[#This Row],[TOTAL REQUESTED]]=0,0,CHSHTbl[[#This Row],[TOTAL REQUESTED]]/CH_SH_UnrestrictedTotalRequested)</f>
        <v>0</v>
      </c>
      <c r="N36" s="665">
        <f>IF(CHSHTbl[[#This Row],[ALL UNITS IN A HIGH OR HIGHEST RESOURCE AREA]]="Yes",10*CHSHTbl[[#This Row],[FUNDING %]],0)</f>
        <v>0</v>
      </c>
      <c r="O36" s="665" cm="1">
        <f t="array" ref="O36">INDEX(CountyScoresTbl[Community Need Total Points],ROW(CHSHTbl[[#This Row],[COUNTY]])-2,1)*CHSHTbl[[#This Row],[FUNDING %]]</f>
        <v>0</v>
      </c>
      <c r="P36" s="694" cm="1">
        <f t="array" ref="P36">INDEX(CountyScoresTbl[SHTA Total Feasibility Points Awarded],ROW(CHSHTbl[[#This Row],[COUNTY]])-2,1)*CHSHTbl[[#This Row],[FUNDING %]]</f>
        <v>0</v>
      </c>
      <c r="Q36" s="229"/>
      <c r="R36" s="6">
        <f>IF(CHSHTbl[[#This Row],[TOTAL REQUESTED2]]=0,0,CHSHTbl[[#This Row],[TOTAL REQUESTED2]]/CH_SH_RuralTotalRequested)</f>
        <v>0</v>
      </c>
      <c r="S36" s="665">
        <f>IF(CHSHTbl[[#This Row],[ALL UNITS IN A HIGH OR HIGHEST RESOURCE AREA]]="Yes",10*CHSHTbl[[#This Row],[FUNDING %2]],0)</f>
        <v>0</v>
      </c>
      <c r="T36" s="665" cm="1">
        <f t="array" ref="T36">INDEX(CountyScoresTbl[Community Need Total Points],ROW(CHSHTbl[[#This Row],[COUNTY]])-2,1)*CHSHTbl[[#This Row],[FUNDING %2]]</f>
        <v>0</v>
      </c>
      <c r="U36" s="694" cm="1">
        <f t="array" ref="U36">INDEX(CountyScoresTbl[SHTA Total Feasibility Points Awarded],ROW(CHSHTbl[[#This Row],[COUNTY]])-2,1)*CHSHTbl[[#This Row],[FUNDING %2]]</f>
        <v>0</v>
      </c>
    </row>
    <row r="37" spans="1:21" x14ac:dyDescent="0.35">
      <c r="A37" s="124"/>
      <c r="B37" s="5" t="s">
        <v>149</v>
      </c>
      <c r="C37" s="31" t="s">
        <v>513</v>
      </c>
      <c r="D37" s="224" t="str">
        <f>IF(CHSHTbl[[#This Row],[TOTAL REQUESTED]]=0,"",CHSHTbl[[#This Row],[TOTAL REQUESTED]]*
IF(L$61&lt;=300000,1,
300000/L$61))</f>
        <v/>
      </c>
      <c r="E37" s="6" t="str">
        <f>IF(CHSHTbl[[#This Row],[FUNDING %]]=0,"",CHSHTbl[[#This Row],[FUNDING %]])</f>
        <v/>
      </c>
      <c r="F37" s="31" t="s">
        <v>513</v>
      </c>
      <c r="G37" s="231" t="str">
        <f>IF(CHSHTbl[[#This Row],[TOTAL REQUESTED2]]=0,"",CHSHTbl[[#This Row],[TOTAL REQUESTED2]]*
IF(CH_SH_RuralTotalRequested&lt;=(300000-D$61),1,(300000-D$61)/CH_SH_RuralTotalRequested)
)</f>
        <v/>
      </c>
      <c r="H37" s="6" t="str">
        <f>IF(CHSHTbl[[#This Row],[FUNDING %2]]=0,"",CHSHTbl[[#This Row],[FUNDING %2]])</f>
        <v/>
      </c>
      <c r="I37" s="31" t="s">
        <v>513</v>
      </c>
      <c r="J37" s="227"/>
      <c r="K37" s="119"/>
      <c r="L37" s="162"/>
      <c r="M37" s="6">
        <f>IF(CHSHTbl[[#This Row],[TOTAL REQUESTED]]=0,0,CHSHTbl[[#This Row],[TOTAL REQUESTED]]/CH_SH_UnrestrictedTotalRequested)</f>
        <v>0</v>
      </c>
      <c r="N37" s="665">
        <f>IF(CHSHTbl[[#This Row],[ALL UNITS IN A HIGH OR HIGHEST RESOURCE AREA]]="Yes",10*CHSHTbl[[#This Row],[FUNDING %]],0)</f>
        <v>0</v>
      </c>
      <c r="O37" s="665" cm="1">
        <f t="array" ref="O37">INDEX(CountyScoresTbl[Community Need Total Points],ROW(CHSHTbl[[#This Row],[COUNTY]])-2,1)*CHSHTbl[[#This Row],[FUNDING %]]</f>
        <v>0</v>
      </c>
      <c r="P37" s="694" cm="1">
        <f t="array" ref="P37">INDEX(CountyScoresTbl[SHTA Total Feasibility Points Awarded],ROW(CHSHTbl[[#This Row],[COUNTY]])-2,1)*CHSHTbl[[#This Row],[FUNDING %]]</f>
        <v>0</v>
      </c>
      <c r="Q37" s="229"/>
      <c r="R37" s="6">
        <f>IF(CHSHTbl[[#This Row],[TOTAL REQUESTED2]]=0,0,CHSHTbl[[#This Row],[TOTAL REQUESTED2]]/CH_SH_RuralTotalRequested)</f>
        <v>0</v>
      </c>
      <c r="S37" s="665">
        <f>IF(CHSHTbl[[#This Row],[ALL UNITS IN A HIGH OR HIGHEST RESOURCE AREA]]="Yes",10*CHSHTbl[[#This Row],[FUNDING %2]],0)</f>
        <v>0</v>
      </c>
      <c r="T37" s="665" cm="1">
        <f t="array" ref="T37">INDEX(CountyScoresTbl[Community Need Total Points],ROW(CHSHTbl[[#This Row],[COUNTY]])-2,1)*CHSHTbl[[#This Row],[FUNDING %2]]</f>
        <v>0</v>
      </c>
      <c r="U37" s="694" cm="1">
        <f t="array" ref="U37">INDEX(CountyScoresTbl[SHTA Total Feasibility Points Awarded],ROW(CHSHTbl[[#This Row],[COUNTY]])-2,1)*CHSHTbl[[#This Row],[FUNDING %2]]</f>
        <v>0</v>
      </c>
    </row>
    <row r="38" spans="1:21" x14ac:dyDescent="0.35">
      <c r="A38" s="124"/>
      <c r="B38" s="5" t="s">
        <v>150</v>
      </c>
      <c r="C38" s="31" t="s">
        <v>513</v>
      </c>
      <c r="D38" s="224" t="str">
        <f>IF(CHSHTbl[[#This Row],[TOTAL REQUESTED]]=0,"",CHSHTbl[[#This Row],[TOTAL REQUESTED]]*
IF(L$61&lt;=300000,1,
300000/L$61))</f>
        <v/>
      </c>
      <c r="E38" s="6" t="str">
        <f>IF(CHSHTbl[[#This Row],[FUNDING %]]=0,"",CHSHTbl[[#This Row],[FUNDING %]])</f>
        <v/>
      </c>
      <c r="F38" s="31" t="s">
        <v>513</v>
      </c>
      <c r="G38" s="231" t="str">
        <f>IF(CHSHTbl[[#This Row],[TOTAL REQUESTED2]]=0,"",CHSHTbl[[#This Row],[TOTAL REQUESTED2]]*
IF(CH_SH_RuralTotalRequested&lt;=(300000-D$61),1,(300000-D$61)/CH_SH_RuralTotalRequested)
)</f>
        <v/>
      </c>
      <c r="H38" s="6" t="str">
        <f>IF(CHSHTbl[[#This Row],[FUNDING %2]]=0,"",CHSHTbl[[#This Row],[FUNDING %2]])</f>
        <v/>
      </c>
      <c r="I38" s="31" t="s">
        <v>513</v>
      </c>
      <c r="J38" s="227"/>
      <c r="K38" s="119"/>
      <c r="L38" s="162"/>
      <c r="M38" s="6">
        <f>IF(CHSHTbl[[#This Row],[TOTAL REQUESTED]]=0,0,CHSHTbl[[#This Row],[TOTAL REQUESTED]]/CH_SH_UnrestrictedTotalRequested)</f>
        <v>0</v>
      </c>
      <c r="N38" s="665">
        <f>IF(CHSHTbl[[#This Row],[ALL UNITS IN A HIGH OR HIGHEST RESOURCE AREA]]="Yes",10*CHSHTbl[[#This Row],[FUNDING %]],0)</f>
        <v>0</v>
      </c>
      <c r="O38" s="665" cm="1">
        <f t="array" ref="O38">INDEX(CountyScoresTbl[Community Need Total Points],ROW(CHSHTbl[[#This Row],[COUNTY]])-2,1)*CHSHTbl[[#This Row],[FUNDING %]]</f>
        <v>0</v>
      </c>
      <c r="P38" s="694" cm="1">
        <f t="array" ref="P38">INDEX(CountyScoresTbl[SHTA Total Feasibility Points Awarded],ROW(CHSHTbl[[#This Row],[COUNTY]])-2,1)*CHSHTbl[[#This Row],[FUNDING %]]</f>
        <v>0</v>
      </c>
      <c r="Q38" s="229"/>
      <c r="R38" s="6">
        <f>IF(CHSHTbl[[#This Row],[TOTAL REQUESTED2]]=0,0,CHSHTbl[[#This Row],[TOTAL REQUESTED2]]/CH_SH_RuralTotalRequested)</f>
        <v>0</v>
      </c>
      <c r="S38" s="665">
        <f>IF(CHSHTbl[[#This Row],[ALL UNITS IN A HIGH OR HIGHEST RESOURCE AREA]]="Yes",10*CHSHTbl[[#This Row],[FUNDING %2]],0)</f>
        <v>0</v>
      </c>
      <c r="T38" s="665" cm="1">
        <f t="array" ref="T38">INDEX(CountyScoresTbl[Community Need Total Points],ROW(CHSHTbl[[#This Row],[COUNTY]])-2,1)*CHSHTbl[[#This Row],[FUNDING %2]]</f>
        <v>0</v>
      </c>
      <c r="U38" s="694" cm="1">
        <f t="array" ref="U38">INDEX(CountyScoresTbl[SHTA Total Feasibility Points Awarded],ROW(CHSHTbl[[#This Row],[COUNTY]])-2,1)*CHSHTbl[[#This Row],[FUNDING %2]]</f>
        <v>0</v>
      </c>
    </row>
    <row r="39" spans="1:21" x14ac:dyDescent="0.35">
      <c r="A39" s="124"/>
      <c r="B39" s="5" t="s">
        <v>151</v>
      </c>
      <c r="C39" s="31" t="s">
        <v>513</v>
      </c>
      <c r="D39" s="224" t="str">
        <f>IF(CHSHTbl[[#This Row],[TOTAL REQUESTED]]=0,"",CHSHTbl[[#This Row],[TOTAL REQUESTED]]*
IF(L$61&lt;=300000,1,
300000/L$61))</f>
        <v/>
      </c>
      <c r="E39" s="6" t="str">
        <f>IF(CHSHTbl[[#This Row],[FUNDING %]]=0,"",CHSHTbl[[#This Row],[FUNDING %]])</f>
        <v/>
      </c>
      <c r="F39" s="31" t="s">
        <v>513</v>
      </c>
      <c r="G39" s="231" t="str">
        <f>IF(CHSHTbl[[#This Row],[TOTAL REQUESTED2]]=0,"",CHSHTbl[[#This Row],[TOTAL REQUESTED2]]*
IF(CH_SH_RuralTotalRequested&lt;=(300000-D$61),1,(300000-D$61)/CH_SH_RuralTotalRequested)
)</f>
        <v/>
      </c>
      <c r="H39" s="6" t="str">
        <f>IF(CHSHTbl[[#This Row],[FUNDING %2]]=0,"",CHSHTbl[[#This Row],[FUNDING %2]])</f>
        <v/>
      </c>
      <c r="I39" s="31" t="s">
        <v>513</v>
      </c>
      <c r="J39" s="227"/>
      <c r="K39" s="119"/>
      <c r="L39" s="162"/>
      <c r="M39" s="6">
        <f>IF(CHSHTbl[[#This Row],[TOTAL REQUESTED]]=0,0,CHSHTbl[[#This Row],[TOTAL REQUESTED]]/CH_SH_UnrestrictedTotalRequested)</f>
        <v>0</v>
      </c>
      <c r="N39" s="665">
        <f>IF(CHSHTbl[[#This Row],[ALL UNITS IN A HIGH OR HIGHEST RESOURCE AREA]]="Yes",10*CHSHTbl[[#This Row],[FUNDING %]],0)</f>
        <v>0</v>
      </c>
      <c r="O39" s="665" cm="1">
        <f t="array" ref="O39">INDEX(CountyScoresTbl[Community Need Total Points],ROW(CHSHTbl[[#This Row],[COUNTY]])-2,1)*CHSHTbl[[#This Row],[FUNDING %]]</f>
        <v>0</v>
      </c>
      <c r="P39" s="694" cm="1">
        <f t="array" ref="P39">INDEX(CountyScoresTbl[SHTA Total Feasibility Points Awarded],ROW(CHSHTbl[[#This Row],[COUNTY]])-2,1)*CHSHTbl[[#This Row],[FUNDING %]]</f>
        <v>0</v>
      </c>
      <c r="Q39" s="229"/>
      <c r="R39" s="6">
        <f>IF(CHSHTbl[[#This Row],[TOTAL REQUESTED2]]=0,0,CHSHTbl[[#This Row],[TOTAL REQUESTED2]]/CH_SH_RuralTotalRequested)</f>
        <v>0</v>
      </c>
      <c r="S39" s="665">
        <f>IF(CHSHTbl[[#This Row],[ALL UNITS IN A HIGH OR HIGHEST RESOURCE AREA]]="Yes",10*CHSHTbl[[#This Row],[FUNDING %2]],0)</f>
        <v>0</v>
      </c>
      <c r="T39" s="665" cm="1">
        <f t="array" ref="T39">INDEX(CountyScoresTbl[Community Need Total Points],ROW(CHSHTbl[[#This Row],[COUNTY]])-2,1)*CHSHTbl[[#This Row],[FUNDING %2]]</f>
        <v>0</v>
      </c>
      <c r="U39" s="694" cm="1">
        <f t="array" ref="U39">INDEX(CountyScoresTbl[SHTA Total Feasibility Points Awarded],ROW(CHSHTbl[[#This Row],[COUNTY]])-2,1)*CHSHTbl[[#This Row],[FUNDING %2]]</f>
        <v>0</v>
      </c>
    </row>
    <row r="40" spans="1:21" x14ac:dyDescent="0.35">
      <c r="A40" s="124"/>
      <c r="B40" s="5" t="s">
        <v>152</v>
      </c>
      <c r="C40" s="31" t="s">
        <v>513</v>
      </c>
      <c r="D40" s="224" t="str">
        <f>IF(CHSHTbl[[#This Row],[TOTAL REQUESTED]]=0,"",CHSHTbl[[#This Row],[TOTAL REQUESTED]]*
IF(L$61&lt;=300000,1,
300000/L$61))</f>
        <v/>
      </c>
      <c r="E40" s="6" t="str">
        <f>IF(CHSHTbl[[#This Row],[FUNDING %]]=0,"",CHSHTbl[[#This Row],[FUNDING %]])</f>
        <v/>
      </c>
      <c r="F40" s="31" t="s">
        <v>513</v>
      </c>
      <c r="G40" s="231" t="str">
        <f>IF(CHSHTbl[[#This Row],[TOTAL REQUESTED2]]=0,"",CHSHTbl[[#This Row],[TOTAL REQUESTED2]]*
IF(CH_SH_RuralTotalRequested&lt;=(300000-D$61),1,(300000-D$61)/CH_SH_RuralTotalRequested)
)</f>
        <v/>
      </c>
      <c r="H40" s="6" t="str">
        <f>IF(CHSHTbl[[#This Row],[FUNDING %2]]=0,"",CHSHTbl[[#This Row],[FUNDING %2]])</f>
        <v/>
      </c>
      <c r="I40" s="31" t="s">
        <v>513</v>
      </c>
      <c r="J40" s="227"/>
      <c r="K40" s="119"/>
      <c r="L40" s="162"/>
      <c r="M40" s="6">
        <f>IF(CHSHTbl[[#This Row],[TOTAL REQUESTED]]=0,0,CHSHTbl[[#This Row],[TOTAL REQUESTED]]/CH_SH_UnrestrictedTotalRequested)</f>
        <v>0</v>
      </c>
      <c r="N40" s="665">
        <f>IF(CHSHTbl[[#This Row],[ALL UNITS IN A HIGH OR HIGHEST RESOURCE AREA]]="Yes",10*CHSHTbl[[#This Row],[FUNDING %]],0)</f>
        <v>0</v>
      </c>
      <c r="O40" s="665" cm="1">
        <f t="array" ref="O40">INDEX(CountyScoresTbl[Community Need Total Points],ROW(CHSHTbl[[#This Row],[COUNTY]])-2,1)*CHSHTbl[[#This Row],[FUNDING %]]</f>
        <v>0</v>
      </c>
      <c r="P40" s="694" cm="1">
        <f t="array" ref="P40">INDEX(CountyScoresTbl[SHTA Total Feasibility Points Awarded],ROW(CHSHTbl[[#This Row],[COUNTY]])-2,1)*CHSHTbl[[#This Row],[FUNDING %]]</f>
        <v>0</v>
      </c>
      <c r="Q40" s="229"/>
      <c r="R40" s="6">
        <f>IF(CHSHTbl[[#This Row],[TOTAL REQUESTED2]]=0,0,CHSHTbl[[#This Row],[TOTAL REQUESTED2]]/CH_SH_RuralTotalRequested)</f>
        <v>0</v>
      </c>
      <c r="S40" s="665">
        <f>IF(CHSHTbl[[#This Row],[ALL UNITS IN A HIGH OR HIGHEST RESOURCE AREA]]="Yes",10*CHSHTbl[[#This Row],[FUNDING %2]],0)</f>
        <v>0</v>
      </c>
      <c r="T40" s="665" cm="1">
        <f t="array" ref="T40">INDEX(CountyScoresTbl[Community Need Total Points],ROW(CHSHTbl[[#This Row],[COUNTY]])-2,1)*CHSHTbl[[#This Row],[FUNDING %2]]</f>
        <v>0</v>
      </c>
      <c r="U40" s="694" cm="1">
        <f t="array" ref="U40">INDEX(CountyScoresTbl[SHTA Total Feasibility Points Awarded],ROW(CHSHTbl[[#This Row],[COUNTY]])-2,1)*CHSHTbl[[#This Row],[FUNDING %2]]</f>
        <v>0</v>
      </c>
    </row>
    <row r="41" spans="1:21" x14ac:dyDescent="0.35">
      <c r="A41" s="124"/>
      <c r="B41" s="5" t="s">
        <v>153</v>
      </c>
      <c r="C41" s="31" t="s">
        <v>513</v>
      </c>
      <c r="D41" s="224" t="str">
        <f>IF(CHSHTbl[[#This Row],[TOTAL REQUESTED]]=0,"",CHSHTbl[[#This Row],[TOTAL REQUESTED]]*
IF(L$61&lt;=300000,1,
300000/L$61))</f>
        <v/>
      </c>
      <c r="E41" s="6" t="str">
        <f>IF(CHSHTbl[[#This Row],[FUNDING %]]=0,"",CHSHTbl[[#This Row],[FUNDING %]])</f>
        <v/>
      </c>
      <c r="F41" s="31" t="s">
        <v>513</v>
      </c>
      <c r="G41" s="231" t="str">
        <f>IF(CHSHTbl[[#This Row],[TOTAL REQUESTED2]]=0,"",CHSHTbl[[#This Row],[TOTAL REQUESTED2]]*
IF(CH_SH_RuralTotalRequested&lt;=(300000-D$61),1,(300000-D$61)/CH_SH_RuralTotalRequested)
)</f>
        <v/>
      </c>
      <c r="H41" s="6" t="str">
        <f>IF(CHSHTbl[[#This Row],[FUNDING %2]]=0,"",CHSHTbl[[#This Row],[FUNDING %2]])</f>
        <v/>
      </c>
      <c r="I41" s="31" t="s">
        <v>513</v>
      </c>
      <c r="J41" s="227"/>
      <c r="K41" s="119"/>
      <c r="L41" s="162"/>
      <c r="M41" s="6">
        <f>IF(CHSHTbl[[#This Row],[TOTAL REQUESTED]]=0,0,CHSHTbl[[#This Row],[TOTAL REQUESTED]]/CH_SH_UnrestrictedTotalRequested)</f>
        <v>0</v>
      </c>
      <c r="N41" s="665">
        <f>IF(CHSHTbl[[#This Row],[ALL UNITS IN A HIGH OR HIGHEST RESOURCE AREA]]="Yes",10*CHSHTbl[[#This Row],[FUNDING %]],0)</f>
        <v>0</v>
      </c>
      <c r="O41" s="665" cm="1">
        <f t="array" ref="O41">INDEX(CountyScoresTbl[Community Need Total Points],ROW(CHSHTbl[[#This Row],[COUNTY]])-2,1)*CHSHTbl[[#This Row],[FUNDING %]]</f>
        <v>0</v>
      </c>
      <c r="P41" s="694" cm="1">
        <f t="array" ref="P41">INDEX(CountyScoresTbl[SHTA Total Feasibility Points Awarded],ROW(CHSHTbl[[#This Row],[COUNTY]])-2,1)*CHSHTbl[[#This Row],[FUNDING %]]</f>
        <v>0</v>
      </c>
      <c r="Q41" s="229"/>
      <c r="R41" s="6">
        <f>IF(CHSHTbl[[#This Row],[TOTAL REQUESTED2]]=0,0,CHSHTbl[[#This Row],[TOTAL REQUESTED2]]/CH_SH_RuralTotalRequested)</f>
        <v>0</v>
      </c>
      <c r="S41" s="665">
        <f>IF(CHSHTbl[[#This Row],[ALL UNITS IN A HIGH OR HIGHEST RESOURCE AREA]]="Yes",10*CHSHTbl[[#This Row],[FUNDING %2]],0)</f>
        <v>0</v>
      </c>
      <c r="T41" s="665" cm="1">
        <f t="array" ref="T41">INDEX(CountyScoresTbl[Community Need Total Points],ROW(CHSHTbl[[#This Row],[COUNTY]])-2,1)*CHSHTbl[[#This Row],[FUNDING %2]]</f>
        <v>0</v>
      </c>
      <c r="U41" s="694" cm="1">
        <f t="array" ref="U41">INDEX(CountyScoresTbl[SHTA Total Feasibility Points Awarded],ROW(CHSHTbl[[#This Row],[COUNTY]])-2,1)*CHSHTbl[[#This Row],[FUNDING %2]]</f>
        <v>0</v>
      </c>
    </row>
    <row r="42" spans="1:21" x14ac:dyDescent="0.35">
      <c r="A42" s="124"/>
      <c r="B42" s="5" t="s">
        <v>154</v>
      </c>
      <c r="C42" s="31" t="s">
        <v>513</v>
      </c>
      <c r="D42" s="224" t="str">
        <f>IF(CHSHTbl[[#This Row],[TOTAL REQUESTED]]=0,"",CHSHTbl[[#This Row],[TOTAL REQUESTED]]*
IF(L$61&lt;=300000,1,
300000/L$61))</f>
        <v/>
      </c>
      <c r="E42" s="6" t="str">
        <f>IF(CHSHTbl[[#This Row],[FUNDING %]]=0,"",CHSHTbl[[#This Row],[FUNDING %]])</f>
        <v/>
      </c>
      <c r="F42" s="31" t="s">
        <v>513</v>
      </c>
      <c r="G42" s="231" t="str">
        <f>IF(CHSHTbl[[#This Row],[TOTAL REQUESTED2]]=0,"",CHSHTbl[[#This Row],[TOTAL REQUESTED2]]*
IF(CH_SH_RuralTotalRequested&lt;=(300000-D$61),1,(300000-D$61)/CH_SH_RuralTotalRequested)
)</f>
        <v/>
      </c>
      <c r="H42" s="6" t="str">
        <f>IF(CHSHTbl[[#This Row],[FUNDING %2]]=0,"",CHSHTbl[[#This Row],[FUNDING %2]])</f>
        <v/>
      </c>
      <c r="I42" s="31" t="s">
        <v>513</v>
      </c>
      <c r="J42" s="227"/>
      <c r="K42" s="119"/>
      <c r="L42" s="162"/>
      <c r="M42" s="6">
        <f>IF(CHSHTbl[[#This Row],[TOTAL REQUESTED]]=0,0,CHSHTbl[[#This Row],[TOTAL REQUESTED]]/CH_SH_UnrestrictedTotalRequested)</f>
        <v>0</v>
      </c>
      <c r="N42" s="665">
        <f>IF(CHSHTbl[[#This Row],[ALL UNITS IN A HIGH OR HIGHEST RESOURCE AREA]]="Yes",10*CHSHTbl[[#This Row],[FUNDING %]],0)</f>
        <v>0</v>
      </c>
      <c r="O42" s="665" cm="1">
        <f t="array" ref="O42">INDEX(CountyScoresTbl[Community Need Total Points],ROW(CHSHTbl[[#This Row],[COUNTY]])-2,1)*CHSHTbl[[#This Row],[FUNDING %]]</f>
        <v>0</v>
      </c>
      <c r="P42" s="694" cm="1">
        <f t="array" ref="P42">INDEX(CountyScoresTbl[SHTA Total Feasibility Points Awarded],ROW(CHSHTbl[[#This Row],[COUNTY]])-2,1)*CHSHTbl[[#This Row],[FUNDING %]]</f>
        <v>0</v>
      </c>
      <c r="Q42" s="229"/>
      <c r="R42" s="6">
        <f>IF(CHSHTbl[[#This Row],[TOTAL REQUESTED2]]=0,0,CHSHTbl[[#This Row],[TOTAL REQUESTED2]]/CH_SH_RuralTotalRequested)</f>
        <v>0</v>
      </c>
      <c r="S42" s="665">
        <f>IF(CHSHTbl[[#This Row],[ALL UNITS IN A HIGH OR HIGHEST RESOURCE AREA]]="Yes",10*CHSHTbl[[#This Row],[FUNDING %2]],0)</f>
        <v>0</v>
      </c>
      <c r="T42" s="665" cm="1">
        <f t="array" ref="T42">INDEX(CountyScoresTbl[Community Need Total Points],ROW(CHSHTbl[[#This Row],[COUNTY]])-2,1)*CHSHTbl[[#This Row],[FUNDING %2]]</f>
        <v>0</v>
      </c>
      <c r="U42" s="694" cm="1">
        <f t="array" ref="U42">INDEX(CountyScoresTbl[SHTA Total Feasibility Points Awarded],ROW(CHSHTbl[[#This Row],[COUNTY]])-2,1)*CHSHTbl[[#This Row],[FUNDING %2]]</f>
        <v>0</v>
      </c>
    </row>
    <row r="43" spans="1:21" x14ac:dyDescent="0.35">
      <c r="A43" s="124"/>
      <c r="B43" s="5" t="s">
        <v>155</v>
      </c>
      <c r="C43" s="31" t="s">
        <v>513</v>
      </c>
      <c r="D43" s="224" t="str">
        <f>IF(CHSHTbl[[#This Row],[TOTAL REQUESTED]]=0,"",CHSHTbl[[#This Row],[TOTAL REQUESTED]]*
IF(L$61&lt;=300000,1,
300000/L$61))</f>
        <v/>
      </c>
      <c r="E43" s="6" t="str">
        <f>IF(CHSHTbl[[#This Row],[FUNDING %]]=0,"",CHSHTbl[[#This Row],[FUNDING %]])</f>
        <v/>
      </c>
      <c r="F43" s="31" t="s">
        <v>513</v>
      </c>
      <c r="G43" s="231" t="str">
        <f>IF(CHSHTbl[[#This Row],[TOTAL REQUESTED2]]=0,"",CHSHTbl[[#This Row],[TOTAL REQUESTED2]]*
IF(CH_SH_RuralTotalRequested&lt;=(300000-D$61),1,(300000-D$61)/CH_SH_RuralTotalRequested)
)</f>
        <v/>
      </c>
      <c r="H43" s="6" t="str">
        <f>IF(CHSHTbl[[#This Row],[FUNDING %2]]=0,"",CHSHTbl[[#This Row],[FUNDING %2]])</f>
        <v/>
      </c>
      <c r="I43" s="31" t="s">
        <v>513</v>
      </c>
      <c r="J43" s="227"/>
      <c r="K43" s="119"/>
      <c r="L43" s="162"/>
      <c r="M43" s="6">
        <f>IF(CHSHTbl[[#This Row],[TOTAL REQUESTED]]=0,0,CHSHTbl[[#This Row],[TOTAL REQUESTED]]/CH_SH_UnrestrictedTotalRequested)</f>
        <v>0</v>
      </c>
      <c r="N43" s="665">
        <f>IF(CHSHTbl[[#This Row],[ALL UNITS IN A HIGH OR HIGHEST RESOURCE AREA]]="Yes",10*CHSHTbl[[#This Row],[FUNDING %]],0)</f>
        <v>0</v>
      </c>
      <c r="O43" s="665" cm="1">
        <f t="array" ref="O43">INDEX(CountyScoresTbl[Community Need Total Points],ROW(CHSHTbl[[#This Row],[COUNTY]])-2,1)*CHSHTbl[[#This Row],[FUNDING %]]</f>
        <v>0</v>
      </c>
      <c r="P43" s="694" cm="1">
        <f t="array" ref="P43">INDEX(CountyScoresTbl[SHTA Total Feasibility Points Awarded],ROW(CHSHTbl[[#This Row],[COUNTY]])-2,1)*CHSHTbl[[#This Row],[FUNDING %]]</f>
        <v>0</v>
      </c>
      <c r="Q43" s="229"/>
      <c r="R43" s="6">
        <f>IF(CHSHTbl[[#This Row],[TOTAL REQUESTED2]]=0,0,CHSHTbl[[#This Row],[TOTAL REQUESTED2]]/CH_SH_RuralTotalRequested)</f>
        <v>0</v>
      </c>
      <c r="S43" s="665">
        <f>IF(CHSHTbl[[#This Row],[ALL UNITS IN A HIGH OR HIGHEST RESOURCE AREA]]="Yes",10*CHSHTbl[[#This Row],[FUNDING %2]],0)</f>
        <v>0</v>
      </c>
      <c r="T43" s="665" cm="1">
        <f t="array" ref="T43">INDEX(CountyScoresTbl[Community Need Total Points],ROW(CHSHTbl[[#This Row],[COUNTY]])-2,1)*CHSHTbl[[#This Row],[FUNDING %2]]</f>
        <v>0</v>
      </c>
      <c r="U43" s="694" cm="1">
        <f t="array" ref="U43">INDEX(CountyScoresTbl[SHTA Total Feasibility Points Awarded],ROW(CHSHTbl[[#This Row],[COUNTY]])-2,1)*CHSHTbl[[#This Row],[FUNDING %2]]</f>
        <v>0</v>
      </c>
    </row>
    <row r="44" spans="1:21" x14ac:dyDescent="0.35">
      <c r="A44" s="124"/>
      <c r="B44" s="5" t="s">
        <v>156</v>
      </c>
      <c r="C44" s="31" t="s">
        <v>513</v>
      </c>
      <c r="D44" s="224" t="str">
        <f>IF(CHSHTbl[[#This Row],[TOTAL REQUESTED]]=0,"",CHSHTbl[[#This Row],[TOTAL REQUESTED]]*
IF(L$61&lt;=300000,1,
300000/L$61))</f>
        <v/>
      </c>
      <c r="E44" s="6" t="str">
        <f>IF(CHSHTbl[[#This Row],[FUNDING %]]=0,"",CHSHTbl[[#This Row],[FUNDING %]])</f>
        <v/>
      </c>
      <c r="F44" s="31" t="s">
        <v>513</v>
      </c>
      <c r="G44" s="231" t="str">
        <f>IF(CHSHTbl[[#This Row],[TOTAL REQUESTED2]]=0,"",CHSHTbl[[#This Row],[TOTAL REQUESTED2]]*
IF(CH_SH_RuralTotalRequested&lt;=(300000-D$61),1,(300000-D$61)/CH_SH_RuralTotalRequested)
)</f>
        <v/>
      </c>
      <c r="H44" s="6" t="str">
        <f>IF(CHSHTbl[[#This Row],[FUNDING %2]]=0,"",CHSHTbl[[#This Row],[FUNDING %2]])</f>
        <v/>
      </c>
      <c r="I44" s="31" t="s">
        <v>513</v>
      </c>
      <c r="J44" s="227"/>
      <c r="K44" s="119"/>
      <c r="L44" s="162"/>
      <c r="M44" s="6">
        <f>IF(CHSHTbl[[#This Row],[TOTAL REQUESTED]]=0,0,CHSHTbl[[#This Row],[TOTAL REQUESTED]]/CH_SH_UnrestrictedTotalRequested)</f>
        <v>0</v>
      </c>
      <c r="N44" s="665">
        <f>IF(CHSHTbl[[#This Row],[ALL UNITS IN A HIGH OR HIGHEST RESOURCE AREA]]="Yes",10*CHSHTbl[[#This Row],[FUNDING %]],0)</f>
        <v>0</v>
      </c>
      <c r="O44" s="665" cm="1">
        <f t="array" ref="O44">INDEX(CountyScoresTbl[Community Need Total Points],ROW(CHSHTbl[[#This Row],[COUNTY]])-2,1)*CHSHTbl[[#This Row],[FUNDING %]]</f>
        <v>0</v>
      </c>
      <c r="P44" s="694" cm="1">
        <f t="array" ref="P44">INDEX(CountyScoresTbl[SHTA Total Feasibility Points Awarded],ROW(CHSHTbl[[#This Row],[COUNTY]])-2,1)*CHSHTbl[[#This Row],[FUNDING %]]</f>
        <v>0</v>
      </c>
      <c r="Q44" s="229"/>
      <c r="R44" s="6">
        <f>IF(CHSHTbl[[#This Row],[TOTAL REQUESTED2]]=0,0,CHSHTbl[[#This Row],[TOTAL REQUESTED2]]/CH_SH_RuralTotalRequested)</f>
        <v>0</v>
      </c>
      <c r="S44" s="665">
        <f>IF(CHSHTbl[[#This Row],[ALL UNITS IN A HIGH OR HIGHEST RESOURCE AREA]]="Yes",10*CHSHTbl[[#This Row],[FUNDING %2]],0)</f>
        <v>0</v>
      </c>
      <c r="T44" s="665" cm="1">
        <f t="array" ref="T44">INDEX(CountyScoresTbl[Community Need Total Points],ROW(CHSHTbl[[#This Row],[COUNTY]])-2,1)*CHSHTbl[[#This Row],[FUNDING %2]]</f>
        <v>0</v>
      </c>
      <c r="U44" s="694" cm="1">
        <f t="array" ref="U44">INDEX(CountyScoresTbl[SHTA Total Feasibility Points Awarded],ROW(CHSHTbl[[#This Row],[COUNTY]])-2,1)*CHSHTbl[[#This Row],[FUNDING %2]]</f>
        <v>0</v>
      </c>
    </row>
    <row r="45" spans="1:21" x14ac:dyDescent="0.35">
      <c r="A45" s="124"/>
      <c r="B45" s="5" t="s">
        <v>157</v>
      </c>
      <c r="C45" s="31" t="s">
        <v>513</v>
      </c>
      <c r="D45" s="224" t="str">
        <f>IF(CHSHTbl[[#This Row],[TOTAL REQUESTED]]=0,"",CHSHTbl[[#This Row],[TOTAL REQUESTED]]*
IF(L$61&lt;=300000,1,
300000/L$61))</f>
        <v/>
      </c>
      <c r="E45" s="6" t="str">
        <f>IF(CHSHTbl[[#This Row],[FUNDING %]]=0,"",CHSHTbl[[#This Row],[FUNDING %]])</f>
        <v/>
      </c>
      <c r="F45" s="31" t="s">
        <v>513</v>
      </c>
      <c r="G45" s="231" t="str">
        <f>IF(CHSHTbl[[#This Row],[TOTAL REQUESTED2]]=0,"",CHSHTbl[[#This Row],[TOTAL REQUESTED2]]*
IF(CH_SH_RuralTotalRequested&lt;=(300000-D$61),1,(300000-D$61)/CH_SH_RuralTotalRequested)
)</f>
        <v/>
      </c>
      <c r="H45" s="6" t="str">
        <f>IF(CHSHTbl[[#This Row],[FUNDING %2]]=0,"",CHSHTbl[[#This Row],[FUNDING %2]])</f>
        <v/>
      </c>
      <c r="I45" s="31" t="s">
        <v>513</v>
      </c>
      <c r="J45" s="227"/>
      <c r="K45" s="119"/>
      <c r="L45" s="162"/>
      <c r="M45" s="6">
        <f>IF(CHSHTbl[[#This Row],[TOTAL REQUESTED]]=0,0,CHSHTbl[[#This Row],[TOTAL REQUESTED]]/CH_SH_UnrestrictedTotalRequested)</f>
        <v>0</v>
      </c>
      <c r="N45" s="665">
        <f>IF(CHSHTbl[[#This Row],[ALL UNITS IN A HIGH OR HIGHEST RESOURCE AREA]]="Yes",10*CHSHTbl[[#This Row],[FUNDING %]],0)</f>
        <v>0</v>
      </c>
      <c r="O45" s="665" cm="1">
        <f t="array" ref="O45">INDEX(CountyScoresTbl[Community Need Total Points],ROW(CHSHTbl[[#This Row],[COUNTY]])-2,1)*CHSHTbl[[#This Row],[FUNDING %]]</f>
        <v>0</v>
      </c>
      <c r="P45" s="694" cm="1">
        <f t="array" ref="P45">INDEX(CountyScoresTbl[SHTA Total Feasibility Points Awarded],ROW(CHSHTbl[[#This Row],[COUNTY]])-2,1)*CHSHTbl[[#This Row],[FUNDING %]]</f>
        <v>0</v>
      </c>
      <c r="Q45" s="229"/>
      <c r="R45" s="6">
        <f>IF(CHSHTbl[[#This Row],[TOTAL REQUESTED2]]=0,0,CHSHTbl[[#This Row],[TOTAL REQUESTED2]]/CH_SH_RuralTotalRequested)</f>
        <v>0</v>
      </c>
      <c r="S45" s="665">
        <f>IF(CHSHTbl[[#This Row],[ALL UNITS IN A HIGH OR HIGHEST RESOURCE AREA]]="Yes",10*CHSHTbl[[#This Row],[FUNDING %2]],0)</f>
        <v>0</v>
      </c>
      <c r="T45" s="665" cm="1">
        <f t="array" ref="T45">INDEX(CountyScoresTbl[Community Need Total Points],ROW(CHSHTbl[[#This Row],[COUNTY]])-2,1)*CHSHTbl[[#This Row],[FUNDING %2]]</f>
        <v>0</v>
      </c>
      <c r="U45" s="694" cm="1">
        <f t="array" ref="U45">INDEX(CountyScoresTbl[SHTA Total Feasibility Points Awarded],ROW(CHSHTbl[[#This Row],[COUNTY]])-2,1)*CHSHTbl[[#This Row],[FUNDING %2]]</f>
        <v>0</v>
      </c>
    </row>
    <row r="46" spans="1:21" x14ac:dyDescent="0.35">
      <c r="A46" s="124"/>
      <c r="B46" s="5" t="s">
        <v>158</v>
      </c>
      <c r="C46" s="31" t="s">
        <v>513</v>
      </c>
      <c r="D46" s="224" t="str">
        <f>IF(CHSHTbl[[#This Row],[TOTAL REQUESTED]]=0,"",CHSHTbl[[#This Row],[TOTAL REQUESTED]]*
IF(L$61&lt;=300000,1,
300000/L$61))</f>
        <v/>
      </c>
      <c r="E46" s="6" t="str">
        <f>IF(CHSHTbl[[#This Row],[FUNDING %]]=0,"",CHSHTbl[[#This Row],[FUNDING %]])</f>
        <v/>
      </c>
      <c r="F46" s="31" t="s">
        <v>513</v>
      </c>
      <c r="G46" s="231" t="str">
        <f>IF(CHSHTbl[[#This Row],[TOTAL REQUESTED2]]=0,"",CHSHTbl[[#This Row],[TOTAL REQUESTED2]]*
IF(CH_SH_RuralTotalRequested&lt;=(300000-D$61),1,(300000-D$61)/CH_SH_RuralTotalRequested)
)</f>
        <v/>
      </c>
      <c r="H46" s="6" t="str">
        <f>IF(CHSHTbl[[#This Row],[FUNDING %2]]=0,"",CHSHTbl[[#This Row],[FUNDING %2]])</f>
        <v/>
      </c>
      <c r="I46" s="31" t="s">
        <v>513</v>
      </c>
      <c r="J46" s="227"/>
      <c r="K46" s="119"/>
      <c r="L46" s="162"/>
      <c r="M46" s="6">
        <f>IF(CHSHTbl[[#This Row],[TOTAL REQUESTED]]=0,0,CHSHTbl[[#This Row],[TOTAL REQUESTED]]/CH_SH_UnrestrictedTotalRequested)</f>
        <v>0</v>
      </c>
      <c r="N46" s="665">
        <f>IF(CHSHTbl[[#This Row],[ALL UNITS IN A HIGH OR HIGHEST RESOURCE AREA]]="Yes",10*CHSHTbl[[#This Row],[FUNDING %]],0)</f>
        <v>0</v>
      </c>
      <c r="O46" s="665" cm="1">
        <f t="array" ref="O46">INDEX(CountyScoresTbl[Community Need Total Points],ROW(CHSHTbl[[#This Row],[COUNTY]])-2,1)*CHSHTbl[[#This Row],[FUNDING %]]</f>
        <v>0</v>
      </c>
      <c r="P46" s="694" cm="1">
        <f t="array" ref="P46">INDEX(CountyScoresTbl[SHTA Total Feasibility Points Awarded],ROW(CHSHTbl[[#This Row],[COUNTY]])-2,1)*CHSHTbl[[#This Row],[FUNDING %]]</f>
        <v>0</v>
      </c>
      <c r="Q46" s="229"/>
      <c r="R46" s="6">
        <f>IF(CHSHTbl[[#This Row],[TOTAL REQUESTED2]]=0,0,CHSHTbl[[#This Row],[TOTAL REQUESTED2]]/CH_SH_RuralTotalRequested)</f>
        <v>0</v>
      </c>
      <c r="S46" s="665">
        <f>IF(CHSHTbl[[#This Row],[ALL UNITS IN A HIGH OR HIGHEST RESOURCE AREA]]="Yes",10*CHSHTbl[[#This Row],[FUNDING %2]],0)</f>
        <v>0</v>
      </c>
      <c r="T46" s="665" cm="1">
        <f t="array" ref="T46">INDEX(CountyScoresTbl[Community Need Total Points],ROW(CHSHTbl[[#This Row],[COUNTY]])-2,1)*CHSHTbl[[#This Row],[FUNDING %2]]</f>
        <v>0</v>
      </c>
      <c r="U46" s="694" cm="1">
        <f t="array" ref="U46">INDEX(CountyScoresTbl[SHTA Total Feasibility Points Awarded],ROW(CHSHTbl[[#This Row],[COUNTY]])-2,1)*CHSHTbl[[#This Row],[FUNDING %2]]</f>
        <v>0</v>
      </c>
    </row>
    <row r="47" spans="1:21" x14ac:dyDescent="0.35">
      <c r="A47" s="124"/>
      <c r="B47" s="5" t="s">
        <v>159</v>
      </c>
      <c r="C47" s="31" t="s">
        <v>513</v>
      </c>
      <c r="D47" s="224" t="str">
        <f>IF(CHSHTbl[[#This Row],[TOTAL REQUESTED]]=0,"",CHSHTbl[[#This Row],[TOTAL REQUESTED]]*
IF(L$61&lt;=300000,1,
300000/L$61))</f>
        <v/>
      </c>
      <c r="E47" s="6" t="str">
        <f>IF(CHSHTbl[[#This Row],[FUNDING %]]=0,"",CHSHTbl[[#This Row],[FUNDING %]])</f>
        <v/>
      </c>
      <c r="F47" s="31" t="s">
        <v>513</v>
      </c>
      <c r="G47" s="231" t="str">
        <f>IF(CHSHTbl[[#This Row],[TOTAL REQUESTED2]]=0,"",CHSHTbl[[#This Row],[TOTAL REQUESTED2]]*
IF(CH_SH_RuralTotalRequested&lt;=(300000-D$61),1,(300000-D$61)/CH_SH_RuralTotalRequested)
)</f>
        <v/>
      </c>
      <c r="H47" s="6" t="str">
        <f>IF(CHSHTbl[[#This Row],[FUNDING %2]]=0,"",CHSHTbl[[#This Row],[FUNDING %2]])</f>
        <v/>
      </c>
      <c r="I47" s="31" t="s">
        <v>513</v>
      </c>
      <c r="J47" s="227"/>
      <c r="K47" s="119"/>
      <c r="L47" s="162"/>
      <c r="M47" s="6">
        <f>IF(CHSHTbl[[#This Row],[TOTAL REQUESTED]]=0,0,CHSHTbl[[#This Row],[TOTAL REQUESTED]]/CH_SH_UnrestrictedTotalRequested)</f>
        <v>0</v>
      </c>
      <c r="N47" s="665">
        <f>IF(CHSHTbl[[#This Row],[ALL UNITS IN A HIGH OR HIGHEST RESOURCE AREA]]="Yes",10*CHSHTbl[[#This Row],[FUNDING %]],0)</f>
        <v>0</v>
      </c>
      <c r="O47" s="665" cm="1">
        <f t="array" ref="O47">INDEX(CountyScoresTbl[Community Need Total Points],ROW(CHSHTbl[[#This Row],[COUNTY]])-2,1)*CHSHTbl[[#This Row],[FUNDING %]]</f>
        <v>0</v>
      </c>
      <c r="P47" s="694" cm="1">
        <f t="array" ref="P47">INDEX(CountyScoresTbl[SHTA Total Feasibility Points Awarded],ROW(CHSHTbl[[#This Row],[COUNTY]])-2,1)*CHSHTbl[[#This Row],[FUNDING %]]</f>
        <v>0</v>
      </c>
      <c r="Q47" s="229"/>
      <c r="R47" s="6">
        <f>IF(CHSHTbl[[#This Row],[TOTAL REQUESTED2]]=0,0,CHSHTbl[[#This Row],[TOTAL REQUESTED2]]/CH_SH_RuralTotalRequested)</f>
        <v>0</v>
      </c>
      <c r="S47" s="665">
        <f>IF(CHSHTbl[[#This Row],[ALL UNITS IN A HIGH OR HIGHEST RESOURCE AREA]]="Yes",10*CHSHTbl[[#This Row],[FUNDING %2]],0)</f>
        <v>0</v>
      </c>
      <c r="T47" s="665" cm="1">
        <f t="array" ref="T47">INDEX(CountyScoresTbl[Community Need Total Points],ROW(CHSHTbl[[#This Row],[COUNTY]])-2,1)*CHSHTbl[[#This Row],[FUNDING %2]]</f>
        <v>0</v>
      </c>
      <c r="U47" s="694" cm="1">
        <f t="array" ref="U47">INDEX(CountyScoresTbl[SHTA Total Feasibility Points Awarded],ROW(CHSHTbl[[#This Row],[COUNTY]])-2,1)*CHSHTbl[[#This Row],[FUNDING %2]]</f>
        <v>0</v>
      </c>
    </row>
    <row r="48" spans="1:21" x14ac:dyDescent="0.35">
      <c r="A48" s="124"/>
      <c r="B48" s="5" t="s">
        <v>160</v>
      </c>
      <c r="C48" s="31" t="s">
        <v>513</v>
      </c>
      <c r="D48" s="224" t="str">
        <f>IF(CHSHTbl[[#This Row],[TOTAL REQUESTED]]=0,"",CHSHTbl[[#This Row],[TOTAL REQUESTED]]*
IF(L$61&lt;=300000,1,
300000/L$61))</f>
        <v/>
      </c>
      <c r="E48" s="6" t="str">
        <f>IF(CHSHTbl[[#This Row],[FUNDING %]]=0,"",CHSHTbl[[#This Row],[FUNDING %]])</f>
        <v/>
      </c>
      <c r="F48" s="31" t="s">
        <v>513</v>
      </c>
      <c r="G48" s="231" t="str">
        <f>IF(CHSHTbl[[#This Row],[TOTAL REQUESTED2]]=0,"",CHSHTbl[[#This Row],[TOTAL REQUESTED2]]*
IF(CH_SH_RuralTotalRequested&lt;=(300000-D$61),1,(300000-D$61)/CH_SH_RuralTotalRequested)
)</f>
        <v/>
      </c>
      <c r="H48" s="6" t="str">
        <f>IF(CHSHTbl[[#This Row],[FUNDING %2]]=0,"",CHSHTbl[[#This Row],[FUNDING %2]])</f>
        <v/>
      </c>
      <c r="I48" s="31" t="s">
        <v>513</v>
      </c>
      <c r="J48" s="227"/>
      <c r="K48" s="119"/>
      <c r="L48" s="162"/>
      <c r="M48" s="6">
        <f>IF(CHSHTbl[[#This Row],[TOTAL REQUESTED]]=0,0,CHSHTbl[[#This Row],[TOTAL REQUESTED]]/CH_SH_UnrestrictedTotalRequested)</f>
        <v>0</v>
      </c>
      <c r="N48" s="665">
        <f>IF(CHSHTbl[[#This Row],[ALL UNITS IN A HIGH OR HIGHEST RESOURCE AREA]]="Yes",10*CHSHTbl[[#This Row],[FUNDING %]],0)</f>
        <v>0</v>
      </c>
      <c r="O48" s="665" cm="1">
        <f t="array" ref="O48">INDEX(CountyScoresTbl[Community Need Total Points],ROW(CHSHTbl[[#This Row],[COUNTY]])-2,1)*CHSHTbl[[#This Row],[FUNDING %]]</f>
        <v>0</v>
      </c>
      <c r="P48" s="694" cm="1">
        <f t="array" ref="P48">INDEX(CountyScoresTbl[SHTA Total Feasibility Points Awarded],ROW(CHSHTbl[[#This Row],[COUNTY]])-2,1)*CHSHTbl[[#This Row],[FUNDING %]]</f>
        <v>0</v>
      </c>
      <c r="Q48" s="229"/>
      <c r="R48" s="6">
        <f>IF(CHSHTbl[[#This Row],[TOTAL REQUESTED2]]=0,0,CHSHTbl[[#This Row],[TOTAL REQUESTED2]]/CH_SH_RuralTotalRequested)</f>
        <v>0</v>
      </c>
      <c r="S48" s="665">
        <f>IF(CHSHTbl[[#This Row],[ALL UNITS IN A HIGH OR HIGHEST RESOURCE AREA]]="Yes",10*CHSHTbl[[#This Row],[FUNDING %2]],0)</f>
        <v>0</v>
      </c>
      <c r="T48" s="665" cm="1">
        <f t="array" ref="T48">INDEX(CountyScoresTbl[Community Need Total Points],ROW(CHSHTbl[[#This Row],[COUNTY]])-2,1)*CHSHTbl[[#This Row],[FUNDING %2]]</f>
        <v>0</v>
      </c>
      <c r="U48" s="694" cm="1">
        <f t="array" ref="U48">INDEX(CountyScoresTbl[SHTA Total Feasibility Points Awarded],ROW(CHSHTbl[[#This Row],[COUNTY]])-2,1)*CHSHTbl[[#This Row],[FUNDING %2]]</f>
        <v>0</v>
      </c>
    </row>
    <row r="49" spans="1:21" x14ac:dyDescent="0.35">
      <c r="A49" s="124"/>
      <c r="B49" s="5" t="s">
        <v>161</v>
      </c>
      <c r="C49" s="31" t="s">
        <v>513</v>
      </c>
      <c r="D49" s="224" t="str">
        <f>IF(CHSHTbl[[#This Row],[TOTAL REQUESTED]]=0,"",CHSHTbl[[#This Row],[TOTAL REQUESTED]]*
IF(L$61&lt;=300000,1,
300000/L$61))</f>
        <v/>
      </c>
      <c r="E49" s="6" t="str">
        <f>IF(CHSHTbl[[#This Row],[FUNDING %]]=0,"",CHSHTbl[[#This Row],[FUNDING %]])</f>
        <v/>
      </c>
      <c r="F49" s="31" t="s">
        <v>513</v>
      </c>
      <c r="G49" s="231" t="str">
        <f>IF(CHSHTbl[[#This Row],[TOTAL REQUESTED2]]=0,"",CHSHTbl[[#This Row],[TOTAL REQUESTED2]]*
IF(CH_SH_RuralTotalRequested&lt;=(300000-D$61),1,(300000-D$61)/CH_SH_RuralTotalRequested)
)</f>
        <v/>
      </c>
      <c r="H49" s="6" t="str">
        <f>IF(CHSHTbl[[#This Row],[FUNDING %2]]=0,"",CHSHTbl[[#This Row],[FUNDING %2]])</f>
        <v/>
      </c>
      <c r="I49" s="31" t="s">
        <v>513</v>
      </c>
      <c r="J49" s="227"/>
      <c r="K49" s="119"/>
      <c r="L49" s="162"/>
      <c r="M49" s="6">
        <f>IF(CHSHTbl[[#This Row],[TOTAL REQUESTED]]=0,0,CHSHTbl[[#This Row],[TOTAL REQUESTED]]/CH_SH_UnrestrictedTotalRequested)</f>
        <v>0</v>
      </c>
      <c r="N49" s="665">
        <f>IF(CHSHTbl[[#This Row],[ALL UNITS IN A HIGH OR HIGHEST RESOURCE AREA]]="Yes",10*CHSHTbl[[#This Row],[FUNDING %]],0)</f>
        <v>0</v>
      </c>
      <c r="O49" s="665" cm="1">
        <f t="array" ref="O49">INDEX(CountyScoresTbl[Community Need Total Points],ROW(CHSHTbl[[#This Row],[COUNTY]])-2,1)*CHSHTbl[[#This Row],[FUNDING %]]</f>
        <v>0</v>
      </c>
      <c r="P49" s="694" cm="1">
        <f t="array" ref="P49">INDEX(CountyScoresTbl[SHTA Total Feasibility Points Awarded],ROW(CHSHTbl[[#This Row],[COUNTY]])-2,1)*CHSHTbl[[#This Row],[FUNDING %]]</f>
        <v>0</v>
      </c>
      <c r="Q49" s="229"/>
      <c r="R49" s="6">
        <f>IF(CHSHTbl[[#This Row],[TOTAL REQUESTED2]]=0,0,CHSHTbl[[#This Row],[TOTAL REQUESTED2]]/CH_SH_RuralTotalRequested)</f>
        <v>0</v>
      </c>
      <c r="S49" s="665">
        <f>IF(CHSHTbl[[#This Row],[ALL UNITS IN A HIGH OR HIGHEST RESOURCE AREA]]="Yes",10*CHSHTbl[[#This Row],[FUNDING %2]],0)</f>
        <v>0</v>
      </c>
      <c r="T49" s="665" cm="1">
        <f t="array" ref="T49">INDEX(CountyScoresTbl[Community Need Total Points],ROW(CHSHTbl[[#This Row],[COUNTY]])-2,1)*CHSHTbl[[#This Row],[FUNDING %2]]</f>
        <v>0</v>
      </c>
      <c r="U49" s="694" cm="1">
        <f t="array" ref="U49">INDEX(CountyScoresTbl[SHTA Total Feasibility Points Awarded],ROW(CHSHTbl[[#This Row],[COUNTY]])-2,1)*CHSHTbl[[#This Row],[FUNDING %2]]</f>
        <v>0</v>
      </c>
    </row>
    <row r="50" spans="1:21" x14ac:dyDescent="0.35">
      <c r="A50" s="124"/>
      <c r="B50" s="5" t="s">
        <v>162</v>
      </c>
      <c r="C50" s="31" t="s">
        <v>513</v>
      </c>
      <c r="D50" s="224" t="str">
        <f>IF(CHSHTbl[[#This Row],[TOTAL REQUESTED]]=0,"",CHSHTbl[[#This Row],[TOTAL REQUESTED]]*
IF(L$61&lt;=300000,1,
300000/L$61))</f>
        <v/>
      </c>
      <c r="E50" s="6" t="str">
        <f>IF(CHSHTbl[[#This Row],[FUNDING %]]=0,"",CHSHTbl[[#This Row],[FUNDING %]])</f>
        <v/>
      </c>
      <c r="F50" s="31" t="s">
        <v>513</v>
      </c>
      <c r="G50" s="231" t="str">
        <f>IF(CHSHTbl[[#This Row],[TOTAL REQUESTED2]]=0,"",CHSHTbl[[#This Row],[TOTAL REQUESTED2]]*
IF(CH_SH_RuralTotalRequested&lt;=(300000-D$61),1,(300000-D$61)/CH_SH_RuralTotalRequested)
)</f>
        <v/>
      </c>
      <c r="H50" s="6" t="str">
        <f>IF(CHSHTbl[[#This Row],[FUNDING %2]]=0,"",CHSHTbl[[#This Row],[FUNDING %2]])</f>
        <v/>
      </c>
      <c r="I50" s="31" t="s">
        <v>513</v>
      </c>
      <c r="J50" s="227"/>
      <c r="K50" s="119"/>
      <c r="L50" s="162"/>
      <c r="M50" s="6">
        <f>IF(CHSHTbl[[#This Row],[TOTAL REQUESTED]]=0,0,CHSHTbl[[#This Row],[TOTAL REQUESTED]]/CH_SH_UnrestrictedTotalRequested)</f>
        <v>0</v>
      </c>
      <c r="N50" s="665">
        <f>IF(CHSHTbl[[#This Row],[ALL UNITS IN A HIGH OR HIGHEST RESOURCE AREA]]="Yes",10*CHSHTbl[[#This Row],[FUNDING %]],0)</f>
        <v>0</v>
      </c>
      <c r="O50" s="665" cm="1">
        <f t="array" ref="O50">INDEX(CountyScoresTbl[Community Need Total Points],ROW(CHSHTbl[[#This Row],[COUNTY]])-2,1)*CHSHTbl[[#This Row],[FUNDING %]]</f>
        <v>0</v>
      </c>
      <c r="P50" s="694" cm="1">
        <f t="array" ref="P50">INDEX(CountyScoresTbl[SHTA Total Feasibility Points Awarded],ROW(CHSHTbl[[#This Row],[COUNTY]])-2,1)*CHSHTbl[[#This Row],[FUNDING %]]</f>
        <v>0</v>
      </c>
      <c r="Q50" s="229"/>
      <c r="R50" s="6">
        <f>IF(CHSHTbl[[#This Row],[TOTAL REQUESTED2]]=0,0,CHSHTbl[[#This Row],[TOTAL REQUESTED2]]/CH_SH_RuralTotalRequested)</f>
        <v>0</v>
      </c>
      <c r="S50" s="665">
        <f>IF(CHSHTbl[[#This Row],[ALL UNITS IN A HIGH OR HIGHEST RESOURCE AREA]]="Yes",10*CHSHTbl[[#This Row],[FUNDING %2]],0)</f>
        <v>0</v>
      </c>
      <c r="T50" s="665" cm="1">
        <f t="array" ref="T50">INDEX(CountyScoresTbl[Community Need Total Points],ROW(CHSHTbl[[#This Row],[COUNTY]])-2,1)*CHSHTbl[[#This Row],[FUNDING %2]]</f>
        <v>0</v>
      </c>
      <c r="U50" s="694" cm="1">
        <f t="array" ref="U50">INDEX(CountyScoresTbl[SHTA Total Feasibility Points Awarded],ROW(CHSHTbl[[#This Row],[COUNTY]])-2,1)*CHSHTbl[[#This Row],[FUNDING %2]]</f>
        <v>0</v>
      </c>
    </row>
    <row r="51" spans="1:21" x14ac:dyDescent="0.35">
      <c r="A51" s="124"/>
      <c r="B51" s="5" t="s">
        <v>163</v>
      </c>
      <c r="C51" s="31" t="s">
        <v>513</v>
      </c>
      <c r="D51" s="224" t="str">
        <f>IF(CHSHTbl[[#This Row],[TOTAL REQUESTED]]=0,"",CHSHTbl[[#This Row],[TOTAL REQUESTED]]*
IF(L$61&lt;=300000,1,
300000/L$61))</f>
        <v/>
      </c>
      <c r="E51" s="6" t="str">
        <f>IF(CHSHTbl[[#This Row],[FUNDING %]]=0,"",CHSHTbl[[#This Row],[FUNDING %]])</f>
        <v/>
      </c>
      <c r="F51" s="31" t="s">
        <v>513</v>
      </c>
      <c r="G51" s="231" t="str">
        <f>IF(CHSHTbl[[#This Row],[TOTAL REQUESTED2]]=0,"",CHSHTbl[[#This Row],[TOTAL REQUESTED2]]*
IF(CH_SH_RuralTotalRequested&lt;=(300000-D$61),1,(300000-D$61)/CH_SH_RuralTotalRequested)
)</f>
        <v/>
      </c>
      <c r="H51" s="6" t="str">
        <f>IF(CHSHTbl[[#This Row],[FUNDING %2]]=0,"",CHSHTbl[[#This Row],[FUNDING %2]])</f>
        <v/>
      </c>
      <c r="I51" s="31" t="s">
        <v>513</v>
      </c>
      <c r="J51" s="227"/>
      <c r="K51" s="119"/>
      <c r="L51" s="162"/>
      <c r="M51" s="6">
        <f>IF(CHSHTbl[[#This Row],[TOTAL REQUESTED]]=0,0,CHSHTbl[[#This Row],[TOTAL REQUESTED]]/CH_SH_UnrestrictedTotalRequested)</f>
        <v>0</v>
      </c>
      <c r="N51" s="665">
        <f>IF(CHSHTbl[[#This Row],[ALL UNITS IN A HIGH OR HIGHEST RESOURCE AREA]]="Yes",10*CHSHTbl[[#This Row],[FUNDING %]],0)</f>
        <v>0</v>
      </c>
      <c r="O51" s="665" cm="1">
        <f t="array" ref="O51">INDEX(CountyScoresTbl[Community Need Total Points],ROW(CHSHTbl[[#This Row],[COUNTY]])-2,1)*CHSHTbl[[#This Row],[FUNDING %]]</f>
        <v>0</v>
      </c>
      <c r="P51" s="694" cm="1">
        <f t="array" ref="P51">INDEX(CountyScoresTbl[SHTA Total Feasibility Points Awarded],ROW(CHSHTbl[[#This Row],[COUNTY]])-2,1)*CHSHTbl[[#This Row],[FUNDING %]]</f>
        <v>0</v>
      </c>
      <c r="Q51" s="229"/>
      <c r="R51" s="6">
        <f>IF(CHSHTbl[[#This Row],[TOTAL REQUESTED2]]=0,0,CHSHTbl[[#This Row],[TOTAL REQUESTED2]]/CH_SH_RuralTotalRequested)</f>
        <v>0</v>
      </c>
      <c r="S51" s="665">
        <f>IF(CHSHTbl[[#This Row],[ALL UNITS IN A HIGH OR HIGHEST RESOURCE AREA]]="Yes",10*CHSHTbl[[#This Row],[FUNDING %2]],0)</f>
        <v>0</v>
      </c>
      <c r="T51" s="665" cm="1">
        <f t="array" ref="T51">INDEX(CountyScoresTbl[Community Need Total Points],ROW(CHSHTbl[[#This Row],[COUNTY]])-2,1)*CHSHTbl[[#This Row],[FUNDING %2]]</f>
        <v>0</v>
      </c>
      <c r="U51" s="694" cm="1">
        <f t="array" ref="U51">INDEX(CountyScoresTbl[SHTA Total Feasibility Points Awarded],ROW(CHSHTbl[[#This Row],[COUNTY]])-2,1)*CHSHTbl[[#This Row],[FUNDING %2]]</f>
        <v>0</v>
      </c>
    </row>
    <row r="52" spans="1:21" x14ac:dyDescent="0.35">
      <c r="A52" s="124"/>
      <c r="B52" s="5" t="s">
        <v>164</v>
      </c>
      <c r="C52" s="31" t="s">
        <v>513</v>
      </c>
      <c r="D52" s="224" t="str">
        <f>IF(CHSHTbl[[#This Row],[TOTAL REQUESTED]]=0,"",CHSHTbl[[#This Row],[TOTAL REQUESTED]]*
IF(L$61&lt;=300000,1,
300000/L$61))</f>
        <v/>
      </c>
      <c r="E52" s="6" t="str">
        <f>IF(CHSHTbl[[#This Row],[FUNDING %]]=0,"",CHSHTbl[[#This Row],[FUNDING %]])</f>
        <v/>
      </c>
      <c r="F52" s="31" t="s">
        <v>513</v>
      </c>
      <c r="G52" s="231" t="str">
        <f>IF(CHSHTbl[[#This Row],[TOTAL REQUESTED2]]=0,"",CHSHTbl[[#This Row],[TOTAL REQUESTED2]]*
IF(CH_SH_RuralTotalRequested&lt;=(300000-D$61),1,(300000-D$61)/CH_SH_RuralTotalRequested)
)</f>
        <v/>
      </c>
      <c r="H52" s="6" t="str">
        <f>IF(CHSHTbl[[#This Row],[FUNDING %2]]=0,"",CHSHTbl[[#This Row],[FUNDING %2]])</f>
        <v/>
      </c>
      <c r="I52" s="31" t="s">
        <v>513</v>
      </c>
      <c r="J52" s="227"/>
      <c r="K52" s="119"/>
      <c r="L52" s="162"/>
      <c r="M52" s="6">
        <f>IF(CHSHTbl[[#This Row],[TOTAL REQUESTED]]=0,0,CHSHTbl[[#This Row],[TOTAL REQUESTED]]/CH_SH_UnrestrictedTotalRequested)</f>
        <v>0</v>
      </c>
      <c r="N52" s="665">
        <f>IF(CHSHTbl[[#This Row],[ALL UNITS IN A HIGH OR HIGHEST RESOURCE AREA]]="Yes",10*CHSHTbl[[#This Row],[FUNDING %]],0)</f>
        <v>0</v>
      </c>
      <c r="O52" s="665" cm="1">
        <f t="array" ref="O52">INDEX(CountyScoresTbl[Community Need Total Points],ROW(CHSHTbl[[#This Row],[COUNTY]])-2,1)*CHSHTbl[[#This Row],[FUNDING %]]</f>
        <v>0</v>
      </c>
      <c r="P52" s="694" cm="1">
        <f t="array" ref="P52">INDEX(CountyScoresTbl[SHTA Total Feasibility Points Awarded],ROW(CHSHTbl[[#This Row],[COUNTY]])-2,1)*CHSHTbl[[#This Row],[FUNDING %]]</f>
        <v>0</v>
      </c>
      <c r="Q52" s="229"/>
      <c r="R52" s="6">
        <f>IF(CHSHTbl[[#This Row],[TOTAL REQUESTED2]]=0,0,CHSHTbl[[#This Row],[TOTAL REQUESTED2]]/CH_SH_RuralTotalRequested)</f>
        <v>0</v>
      </c>
      <c r="S52" s="665">
        <f>IF(CHSHTbl[[#This Row],[ALL UNITS IN A HIGH OR HIGHEST RESOURCE AREA]]="Yes",10*CHSHTbl[[#This Row],[FUNDING %2]],0)</f>
        <v>0</v>
      </c>
      <c r="T52" s="665" cm="1">
        <f t="array" ref="T52">INDEX(CountyScoresTbl[Community Need Total Points],ROW(CHSHTbl[[#This Row],[COUNTY]])-2,1)*CHSHTbl[[#This Row],[FUNDING %2]]</f>
        <v>0</v>
      </c>
      <c r="U52" s="694" cm="1">
        <f t="array" ref="U52">INDEX(CountyScoresTbl[SHTA Total Feasibility Points Awarded],ROW(CHSHTbl[[#This Row],[COUNTY]])-2,1)*CHSHTbl[[#This Row],[FUNDING %2]]</f>
        <v>0</v>
      </c>
    </row>
    <row r="53" spans="1:21" x14ac:dyDescent="0.35">
      <c r="A53" s="124"/>
      <c r="B53" s="5" t="s">
        <v>165</v>
      </c>
      <c r="C53" s="31" t="s">
        <v>513</v>
      </c>
      <c r="D53" s="224" t="str">
        <f>IF(CHSHTbl[[#This Row],[TOTAL REQUESTED]]=0,"",CHSHTbl[[#This Row],[TOTAL REQUESTED]]*
IF(L$61&lt;=300000,1,
300000/L$61))</f>
        <v/>
      </c>
      <c r="E53" s="6" t="str">
        <f>IF(CHSHTbl[[#This Row],[FUNDING %]]=0,"",CHSHTbl[[#This Row],[FUNDING %]])</f>
        <v/>
      </c>
      <c r="F53" s="31" t="s">
        <v>513</v>
      </c>
      <c r="G53" s="231" t="str">
        <f>IF(CHSHTbl[[#This Row],[TOTAL REQUESTED2]]=0,"",CHSHTbl[[#This Row],[TOTAL REQUESTED2]]*
IF(CH_SH_RuralTotalRequested&lt;=(300000-D$61),1,(300000-D$61)/CH_SH_RuralTotalRequested)
)</f>
        <v/>
      </c>
      <c r="H53" s="6" t="str">
        <f>IF(CHSHTbl[[#This Row],[FUNDING %2]]=0,"",CHSHTbl[[#This Row],[FUNDING %2]])</f>
        <v/>
      </c>
      <c r="I53" s="31" t="s">
        <v>513</v>
      </c>
      <c r="J53" s="227"/>
      <c r="K53" s="119"/>
      <c r="L53" s="162"/>
      <c r="M53" s="6">
        <f>IF(CHSHTbl[[#This Row],[TOTAL REQUESTED]]=0,0,CHSHTbl[[#This Row],[TOTAL REQUESTED]]/CH_SH_UnrestrictedTotalRequested)</f>
        <v>0</v>
      </c>
      <c r="N53" s="665">
        <f>IF(CHSHTbl[[#This Row],[ALL UNITS IN A HIGH OR HIGHEST RESOURCE AREA]]="Yes",10*CHSHTbl[[#This Row],[FUNDING %]],0)</f>
        <v>0</v>
      </c>
      <c r="O53" s="665" cm="1">
        <f t="array" ref="O53">INDEX(CountyScoresTbl[Community Need Total Points],ROW(CHSHTbl[[#This Row],[COUNTY]])-2,1)*CHSHTbl[[#This Row],[FUNDING %]]</f>
        <v>0</v>
      </c>
      <c r="P53" s="694" cm="1">
        <f t="array" ref="P53">INDEX(CountyScoresTbl[SHTA Total Feasibility Points Awarded],ROW(CHSHTbl[[#This Row],[COUNTY]])-2,1)*CHSHTbl[[#This Row],[FUNDING %]]</f>
        <v>0</v>
      </c>
      <c r="Q53" s="229"/>
      <c r="R53" s="6">
        <f>IF(CHSHTbl[[#This Row],[TOTAL REQUESTED2]]=0,0,CHSHTbl[[#This Row],[TOTAL REQUESTED2]]/CH_SH_RuralTotalRequested)</f>
        <v>0</v>
      </c>
      <c r="S53" s="665">
        <f>IF(CHSHTbl[[#This Row],[ALL UNITS IN A HIGH OR HIGHEST RESOURCE AREA]]="Yes",10*CHSHTbl[[#This Row],[FUNDING %2]],0)</f>
        <v>0</v>
      </c>
      <c r="T53" s="665" cm="1">
        <f t="array" ref="T53">INDEX(CountyScoresTbl[Community Need Total Points],ROW(CHSHTbl[[#This Row],[COUNTY]])-2,1)*CHSHTbl[[#This Row],[FUNDING %2]]</f>
        <v>0</v>
      </c>
      <c r="U53" s="694" cm="1">
        <f t="array" ref="U53">INDEX(CountyScoresTbl[SHTA Total Feasibility Points Awarded],ROW(CHSHTbl[[#This Row],[COUNTY]])-2,1)*CHSHTbl[[#This Row],[FUNDING %2]]</f>
        <v>0</v>
      </c>
    </row>
    <row r="54" spans="1:21" x14ac:dyDescent="0.35">
      <c r="A54" s="124"/>
      <c r="B54" s="5" t="s">
        <v>166</v>
      </c>
      <c r="C54" s="31" t="s">
        <v>513</v>
      </c>
      <c r="D54" s="224" t="str">
        <f>IF(CHSHTbl[[#This Row],[TOTAL REQUESTED]]=0,"",CHSHTbl[[#This Row],[TOTAL REQUESTED]]*
IF(L$61&lt;=300000,1,
300000/L$61))</f>
        <v/>
      </c>
      <c r="E54" s="6" t="str">
        <f>IF(CHSHTbl[[#This Row],[FUNDING %]]=0,"",CHSHTbl[[#This Row],[FUNDING %]])</f>
        <v/>
      </c>
      <c r="F54" s="31" t="s">
        <v>513</v>
      </c>
      <c r="G54" s="231" t="str">
        <f>IF(CHSHTbl[[#This Row],[TOTAL REQUESTED2]]=0,"",CHSHTbl[[#This Row],[TOTAL REQUESTED2]]*
IF(CH_SH_RuralTotalRequested&lt;=(300000-D$61),1,(300000-D$61)/CH_SH_RuralTotalRequested)
)</f>
        <v/>
      </c>
      <c r="H54" s="6" t="str">
        <f>IF(CHSHTbl[[#This Row],[FUNDING %2]]=0,"",CHSHTbl[[#This Row],[FUNDING %2]])</f>
        <v/>
      </c>
      <c r="I54" s="31" t="s">
        <v>513</v>
      </c>
      <c r="J54" s="227"/>
      <c r="K54" s="119"/>
      <c r="L54" s="162"/>
      <c r="M54" s="6">
        <f>IF(CHSHTbl[[#This Row],[TOTAL REQUESTED]]=0,0,CHSHTbl[[#This Row],[TOTAL REQUESTED]]/CH_SH_UnrestrictedTotalRequested)</f>
        <v>0</v>
      </c>
      <c r="N54" s="665">
        <f>IF(CHSHTbl[[#This Row],[ALL UNITS IN A HIGH OR HIGHEST RESOURCE AREA]]="Yes",10*CHSHTbl[[#This Row],[FUNDING %]],0)</f>
        <v>0</v>
      </c>
      <c r="O54" s="665" cm="1">
        <f t="array" ref="O54">INDEX(CountyScoresTbl[Community Need Total Points],ROW(CHSHTbl[[#This Row],[COUNTY]])-2,1)*CHSHTbl[[#This Row],[FUNDING %]]</f>
        <v>0</v>
      </c>
      <c r="P54" s="694" cm="1">
        <f t="array" ref="P54">INDEX(CountyScoresTbl[SHTA Total Feasibility Points Awarded],ROW(CHSHTbl[[#This Row],[COUNTY]])-2,1)*CHSHTbl[[#This Row],[FUNDING %]]</f>
        <v>0</v>
      </c>
      <c r="Q54" s="229"/>
      <c r="R54" s="6">
        <f>IF(CHSHTbl[[#This Row],[TOTAL REQUESTED2]]=0,0,CHSHTbl[[#This Row],[TOTAL REQUESTED2]]/CH_SH_RuralTotalRequested)</f>
        <v>0</v>
      </c>
      <c r="S54" s="665">
        <f>IF(CHSHTbl[[#This Row],[ALL UNITS IN A HIGH OR HIGHEST RESOURCE AREA]]="Yes",10*CHSHTbl[[#This Row],[FUNDING %2]],0)</f>
        <v>0</v>
      </c>
      <c r="T54" s="665" cm="1">
        <f t="array" ref="T54">INDEX(CountyScoresTbl[Community Need Total Points],ROW(CHSHTbl[[#This Row],[COUNTY]])-2,1)*CHSHTbl[[#This Row],[FUNDING %2]]</f>
        <v>0</v>
      </c>
      <c r="U54" s="694" cm="1">
        <f t="array" ref="U54">INDEX(CountyScoresTbl[SHTA Total Feasibility Points Awarded],ROW(CHSHTbl[[#This Row],[COUNTY]])-2,1)*CHSHTbl[[#This Row],[FUNDING %2]]</f>
        <v>0</v>
      </c>
    </row>
    <row r="55" spans="1:21" x14ac:dyDescent="0.35">
      <c r="A55" s="124"/>
      <c r="B55" s="5" t="s">
        <v>167</v>
      </c>
      <c r="C55" s="31" t="s">
        <v>513</v>
      </c>
      <c r="D55" s="224" t="str">
        <f>IF(CHSHTbl[[#This Row],[TOTAL REQUESTED]]=0,"",CHSHTbl[[#This Row],[TOTAL REQUESTED]]*
IF(L$61&lt;=300000,1,
300000/L$61))</f>
        <v/>
      </c>
      <c r="E55" s="6" t="str">
        <f>IF(CHSHTbl[[#This Row],[FUNDING %]]=0,"",CHSHTbl[[#This Row],[FUNDING %]])</f>
        <v/>
      </c>
      <c r="F55" s="31" t="s">
        <v>513</v>
      </c>
      <c r="G55" s="231" t="str">
        <f>IF(CHSHTbl[[#This Row],[TOTAL REQUESTED2]]=0,"",CHSHTbl[[#This Row],[TOTAL REQUESTED2]]*
IF(CH_SH_RuralTotalRequested&lt;=(300000-D$61),1,(300000-D$61)/CH_SH_RuralTotalRequested)
)</f>
        <v/>
      </c>
      <c r="H55" s="6" t="str">
        <f>IF(CHSHTbl[[#This Row],[FUNDING %2]]=0,"",CHSHTbl[[#This Row],[FUNDING %2]])</f>
        <v/>
      </c>
      <c r="I55" s="31" t="s">
        <v>513</v>
      </c>
      <c r="J55" s="227"/>
      <c r="K55" s="119"/>
      <c r="L55" s="162"/>
      <c r="M55" s="6">
        <f>IF(CHSHTbl[[#This Row],[TOTAL REQUESTED]]=0,0,CHSHTbl[[#This Row],[TOTAL REQUESTED]]/CH_SH_UnrestrictedTotalRequested)</f>
        <v>0</v>
      </c>
      <c r="N55" s="665">
        <f>IF(CHSHTbl[[#This Row],[ALL UNITS IN A HIGH OR HIGHEST RESOURCE AREA]]="Yes",10*CHSHTbl[[#This Row],[FUNDING %]],0)</f>
        <v>0</v>
      </c>
      <c r="O55" s="665" cm="1">
        <f t="array" ref="O55">INDEX(CountyScoresTbl[Community Need Total Points],ROW(CHSHTbl[[#This Row],[COUNTY]])-2,1)*CHSHTbl[[#This Row],[FUNDING %]]</f>
        <v>0</v>
      </c>
      <c r="P55" s="694" cm="1">
        <f t="array" ref="P55">INDEX(CountyScoresTbl[SHTA Total Feasibility Points Awarded],ROW(CHSHTbl[[#This Row],[COUNTY]])-2,1)*CHSHTbl[[#This Row],[FUNDING %]]</f>
        <v>0</v>
      </c>
      <c r="Q55" s="229"/>
      <c r="R55" s="6">
        <f>IF(CHSHTbl[[#This Row],[TOTAL REQUESTED2]]=0,0,CHSHTbl[[#This Row],[TOTAL REQUESTED2]]/CH_SH_RuralTotalRequested)</f>
        <v>0</v>
      </c>
      <c r="S55" s="665">
        <f>IF(CHSHTbl[[#This Row],[ALL UNITS IN A HIGH OR HIGHEST RESOURCE AREA]]="Yes",10*CHSHTbl[[#This Row],[FUNDING %2]],0)</f>
        <v>0</v>
      </c>
      <c r="T55" s="665" cm="1">
        <f t="array" ref="T55">INDEX(CountyScoresTbl[Community Need Total Points],ROW(CHSHTbl[[#This Row],[COUNTY]])-2,1)*CHSHTbl[[#This Row],[FUNDING %2]]</f>
        <v>0</v>
      </c>
      <c r="U55" s="694" cm="1">
        <f t="array" ref="U55">INDEX(CountyScoresTbl[SHTA Total Feasibility Points Awarded],ROW(CHSHTbl[[#This Row],[COUNTY]])-2,1)*CHSHTbl[[#This Row],[FUNDING %2]]</f>
        <v>0</v>
      </c>
    </row>
    <row r="56" spans="1:21" x14ac:dyDescent="0.35">
      <c r="A56" s="124"/>
      <c r="B56" s="5" t="s">
        <v>168</v>
      </c>
      <c r="C56" s="31" t="s">
        <v>513</v>
      </c>
      <c r="D56" s="224" t="str">
        <f>IF(CHSHTbl[[#This Row],[TOTAL REQUESTED]]=0,"",CHSHTbl[[#This Row],[TOTAL REQUESTED]]*
IF(L$61&lt;=300000,1,
300000/L$61))</f>
        <v/>
      </c>
      <c r="E56" s="6" t="str">
        <f>IF(CHSHTbl[[#This Row],[FUNDING %]]=0,"",CHSHTbl[[#This Row],[FUNDING %]])</f>
        <v/>
      </c>
      <c r="F56" s="31" t="s">
        <v>513</v>
      </c>
      <c r="G56" s="231" t="str">
        <f>IF(CHSHTbl[[#This Row],[TOTAL REQUESTED2]]=0,"",CHSHTbl[[#This Row],[TOTAL REQUESTED2]]*
IF(CH_SH_RuralTotalRequested&lt;=(300000-D$61),1,(300000-D$61)/CH_SH_RuralTotalRequested)
)</f>
        <v/>
      </c>
      <c r="H56" s="6" t="str">
        <f>IF(CHSHTbl[[#This Row],[FUNDING %2]]=0,"",CHSHTbl[[#This Row],[FUNDING %2]])</f>
        <v/>
      </c>
      <c r="I56" s="31" t="s">
        <v>513</v>
      </c>
      <c r="J56" s="227"/>
      <c r="K56" s="119"/>
      <c r="L56" s="162"/>
      <c r="M56" s="6">
        <f>IF(CHSHTbl[[#This Row],[TOTAL REQUESTED]]=0,0,CHSHTbl[[#This Row],[TOTAL REQUESTED]]/CH_SH_UnrestrictedTotalRequested)</f>
        <v>0</v>
      </c>
      <c r="N56" s="665">
        <f>IF(CHSHTbl[[#This Row],[ALL UNITS IN A HIGH OR HIGHEST RESOURCE AREA]]="Yes",10*CHSHTbl[[#This Row],[FUNDING %]],0)</f>
        <v>0</v>
      </c>
      <c r="O56" s="665" cm="1">
        <f t="array" ref="O56">INDEX(CountyScoresTbl[Community Need Total Points],ROW(CHSHTbl[[#This Row],[COUNTY]])-2,1)*CHSHTbl[[#This Row],[FUNDING %]]</f>
        <v>0</v>
      </c>
      <c r="P56" s="694" cm="1">
        <f t="array" ref="P56">INDEX(CountyScoresTbl[SHTA Total Feasibility Points Awarded],ROW(CHSHTbl[[#This Row],[COUNTY]])-2,1)*CHSHTbl[[#This Row],[FUNDING %]]</f>
        <v>0</v>
      </c>
      <c r="Q56" s="229"/>
      <c r="R56" s="6">
        <f>IF(CHSHTbl[[#This Row],[TOTAL REQUESTED2]]=0,0,CHSHTbl[[#This Row],[TOTAL REQUESTED2]]/CH_SH_RuralTotalRequested)</f>
        <v>0</v>
      </c>
      <c r="S56" s="665">
        <f>IF(CHSHTbl[[#This Row],[ALL UNITS IN A HIGH OR HIGHEST RESOURCE AREA]]="Yes",10*CHSHTbl[[#This Row],[FUNDING %2]],0)</f>
        <v>0</v>
      </c>
      <c r="T56" s="665" cm="1">
        <f t="array" ref="T56">INDEX(CountyScoresTbl[Community Need Total Points],ROW(CHSHTbl[[#This Row],[COUNTY]])-2,1)*CHSHTbl[[#This Row],[FUNDING %2]]</f>
        <v>0</v>
      </c>
      <c r="U56" s="694" cm="1">
        <f t="array" ref="U56">INDEX(CountyScoresTbl[SHTA Total Feasibility Points Awarded],ROW(CHSHTbl[[#This Row],[COUNTY]])-2,1)*CHSHTbl[[#This Row],[FUNDING %2]]</f>
        <v>0</v>
      </c>
    </row>
    <row r="57" spans="1:21" x14ac:dyDescent="0.35">
      <c r="A57" s="124"/>
      <c r="B57" s="5" t="s">
        <v>169</v>
      </c>
      <c r="C57" s="31" t="s">
        <v>513</v>
      </c>
      <c r="D57" s="224" t="str">
        <f>IF(CHSHTbl[[#This Row],[TOTAL REQUESTED]]=0,"",CHSHTbl[[#This Row],[TOTAL REQUESTED]]*
IF(L$61&lt;=300000,1,
300000/L$61))</f>
        <v/>
      </c>
      <c r="E57" s="6" t="str">
        <f>IF(CHSHTbl[[#This Row],[FUNDING %]]=0,"",CHSHTbl[[#This Row],[FUNDING %]])</f>
        <v/>
      </c>
      <c r="F57" s="31" t="s">
        <v>513</v>
      </c>
      <c r="G57" s="231" t="str">
        <f>IF(CHSHTbl[[#This Row],[TOTAL REQUESTED2]]=0,"",CHSHTbl[[#This Row],[TOTAL REQUESTED2]]*
IF(CH_SH_RuralTotalRequested&lt;=(300000-D$61),1,(300000-D$61)/CH_SH_RuralTotalRequested)
)</f>
        <v/>
      </c>
      <c r="H57" s="6" t="str">
        <f>IF(CHSHTbl[[#This Row],[FUNDING %2]]=0,"",CHSHTbl[[#This Row],[FUNDING %2]])</f>
        <v/>
      </c>
      <c r="I57" s="31" t="s">
        <v>513</v>
      </c>
      <c r="J57" s="227"/>
      <c r="K57" s="119"/>
      <c r="L57" s="162"/>
      <c r="M57" s="6">
        <f>IF(CHSHTbl[[#This Row],[TOTAL REQUESTED]]=0,0,CHSHTbl[[#This Row],[TOTAL REQUESTED]]/CH_SH_UnrestrictedTotalRequested)</f>
        <v>0</v>
      </c>
      <c r="N57" s="665">
        <f>IF(CHSHTbl[[#This Row],[ALL UNITS IN A HIGH OR HIGHEST RESOURCE AREA]]="Yes",10*CHSHTbl[[#This Row],[FUNDING %]],0)</f>
        <v>0</v>
      </c>
      <c r="O57" s="665" cm="1">
        <f t="array" ref="O57">INDEX(CountyScoresTbl[Community Need Total Points],ROW(CHSHTbl[[#This Row],[COUNTY]])-2,1)*CHSHTbl[[#This Row],[FUNDING %]]</f>
        <v>0</v>
      </c>
      <c r="P57" s="694" cm="1">
        <f t="array" ref="P57">INDEX(CountyScoresTbl[SHTA Total Feasibility Points Awarded],ROW(CHSHTbl[[#This Row],[COUNTY]])-2,1)*CHSHTbl[[#This Row],[FUNDING %]]</f>
        <v>0</v>
      </c>
      <c r="Q57" s="229"/>
      <c r="R57" s="6">
        <f>IF(CHSHTbl[[#This Row],[TOTAL REQUESTED2]]=0,0,CHSHTbl[[#This Row],[TOTAL REQUESTED2]]/CH_SH_RuralTotalRequested)</f>
        <v>0</v>
      </c>
      <c r="S57" s="665">
        <f>IF(CHSHTbl[[#This Row],[ALL UNITS IN A HIGH OR HIGHEST RESOURCE AREA]]="Yes",10*CHSHTbl[[#This Row],[FUNDING %2]],0)</f>
        <v>0</v>
      </c>
      <c r="T57" s="665" cm="1">
        <f t="array" ref="T57">INDEX(CountyScoresTbl[Community Need Total Points],ROW(CHSHTbl[[#This Row],[COUNTY]])-2,1)*CHSHTbl[[#This Row],[FUNDING %2]]</f>
        <v>0</v>
      </c>
      <c r="U57" s="694" cm="1">
        <f t="array" ref="U57">INDEX(CountyScoresTbl[SHTA Total Feasibility Points Awarded],ROW(CHSHTbl[[#This Row],[COUNTY]])-2,1)*CHSHTbl[[#This Row],[FUNDING %2]]</f>
        <v>0</v>
      </c>
    </row>
    <row r="58" spans="1:21" x14ac:dyDescent="0.35">
      <c r="A58" s="124"/>
      <c r="B58" s="5" t="s">
        <v>170</v>
      </c>
      <c r="C58" s="31" t="s">
        <v>513</v>
      </c>
      <c r="D58" s="224" t="str">
        <f>IF(CHSHTbl[[#This Row],[TOTAL REQUESTED]]=0,"",CHSHTbl[[#This Row],[TOTAL REQUESTED]]*
IF(L$61&lt;=300000,1,
300000/L$61))</f>
        <v/>
      </c>
      <c r="E58" s="6" t="str">
        <f>IF(CHSHTbl[[#This Row],[FUNDING %]]=0,"",CHSHTbl[[#This Row],[FUNDING %]])</f>
        <v/>
      </c>
      <c r="F58" s="31" t="s">
        <v>513</v>
      </c>
      <c r="G58" s="231" t="str">
        <f>IF(CHSHTbl[[#This Row],[TOTAL REQUESTED2]]=0,"",CHSHTbl[[#This Row],[TOTAL REQUESTED2]]*
IF(CH_SH_RuralTotalRequested&lt;=(300000-D$61),1,(300000-D$61)/CH_SH_RuralTotalRequested)
)</f>
        <v/>
      </c>
      <c r="H58" s="6" t="str">
        <f>IF(CHSHTbl[[#This Row],[FUNDING %2]]=0,"",CHSHTbl[[#This Row],[FUNDING %2]])</f>
        <v/>
      </c>
      <c r="I58" s="31" t="s">
        <v>513</v>
      </c>
      <c r="J58" s="227"/>
      <c r="K58" s="119"/>
      <c r="L58" s="162"/>
      <c r="M58" s="6">
        <f>IF(CHSHTbl[[#This Row],[TOTAL REQUESTED]]=0,0,CHSHTbl[[#This Row],[TOTAL REQUESTED]]/CH_SH_UnrestrictedTotalRequested)</f>
        <v>0</v>
      </c>
      <c r="N58" s="665">
        <f>IF(CHSHTbl[[#This Row],[ALL UNITS IN A HIGH OR HIGHEST RESOURCE AREA]]="Yes",10*CHSHTbl[[#This Row],[FUNDING %]],0)</f>
        <v>0</v>
      </c>
      <c r="O58" s="665" cm="1">
        <f t="array" ref="O58">INDEX(CountyScoresTbl[Community Need Total Points],ROW(CHSHTbl[[#This Row],[COUNTY]])-2,1)*CHSHTbl[[#This Row],[FUNDING %]]</f>
        <v>0</v>
      </c>
      <c r="P58" s="694" cm="1">
        <f t="array" ref="P58">INDEX(CountyScoresTbl[SHTA Total Feasibility Points Awarded],ROW(CHSHTbl[[#This Row],[COUNTY]])-2,1)*CHSHTbl[[#This Row],[FUNDING %]]</f>
        <v>0</v>
      </c>
      <c r="Q58" s="229"/>
      <c r="R58" s="6">
        <f>IF(CHSHTbl[[#This Row],[TOTAL REQUESTED2]]=0,0,CHSHTbl[[#This Row],[TOTAL REQUESTED2]]/CH_SH_RuralTotalRequested)</f>
        <v>0</v>
      </c>
      <c r="S58" s="665">
        <f>IF(CHSHTbl[[#This Row],[ALL UNITS IN A HIGH OR HIGHEST RESOURCE AREA]]="Yes",10*CHSHTbl[[#This Row],[FUNDING %2]],0)</f>
        <v>0</v>
      </c>
      <c r="T58" s="665" cm="1">
        <f t="array" ref="T58">INDEX(CountyScoresTbl[Community Need Total Points],ROW(CHSHTbl[[#This Row],[COUNTY]])-2,1)*CHSHTbl[[#This Row],[FUNDING %2]]</f>
        <v>0</v>
      </c>
      <c r="U58" s="694" cm="1">
        <f t="array" ref="U58">INDEX(CountyScoresTbl[SHTA Total Feasibility Points Awarded],ROW(CHSHTbl[[#This Row],[COUNTY]])-2,1)*CHSHTbl[[#This Row],[FUNDING %2]]</f>
        <v>0</v>
      </c>
    </row>
    <row r="59" spans="1:21" x14ac:dyDescent="0.35">
      <c r="A59" s="124"/>
      <c r="B59" s="5" t="s">
        <v>171</v>
      </c>
      <c r="C59" s="31" t="s">
        <v>513</v>
      </c>
      <c r="D59" s="224" t="str">
        <f>IF(CHSHTbl[[#This Row],[TOTAL REQUESTED]]=0,"",CHSHTbl[[#This Row],[TOTAL REQUESTED]]*
IF(L$61&lt;=300000,1,
300000/L$61))</f>
        <v/>
      </c>
      <c r="E59" s="6" t="str">
        <f>IF(CHSHTbl[[#This Row],[FUNDING %]]=0,"",CHSHTbl[[#This Row],[FUNDING %]])</f>
        <v/>
      </c>
      <c r="F59" s="31" t="s">
        <v>513</v>
      </c>
      <c r="G59" s="231" t="str">
        <f>IF(CHSHTbl[[#This Row],[TOTAL REQUESTED2]]=0,"",CHSHTbl[[#This Row],[TOTAL REQUESTED2]]*
IF(CH_SH_RuralTotalRequested&lt;=(300000-D$61),1,(300000-D$61)/CH_SH_RuralTotalRequested)
)</f>
        <v/>
      </c>
      <c r="H59" s="6" t="str">
        <f>IF(CHSHTbl[[#This Row],[FUNDING %2]]=0,"",CHSHTbl[[#This Row],[FUNDING %2]])</f>
        <v/>
      </c>
      <c r="I59" s="31" t="s">
        <v>513</v>
      </c>
      <c r="J59" s="227"/>
      <c r="K59" s="119"/>
      <c r="L59" s="162"/>
      <c r="M59" s="6">
        <f>IF(CHSHTbl[[#This Row],[TOTAL REQUESTED]]=0,0,CHSHTbl[[#This Row],[TOTAL REQUESTED]]/CH_SH_UnrestrictedTotalRequested)</f>
        <v>0</v>
      </c>
      <c r="N59" s="665">
        <f>IF(CHSHTbl[[#This Row],[ALL UNITS IN A HIGH OR HIGHEST RESOURCE AREA]]="Yes",10*CHSHTbl[[#This Row],[FUNDING %]],0)</f>
        <v>0</v>
      </c>
      <c r="O59" s="665" cm="1">
        <f t="array" ref="O59">INDEX(CountyScoresTbl[Community Need Total Points],ROW(CHSHTbl[[#This Row],[COUNTY]])-2,1)*CHSHTbl[[#This Row],[FUNDING %]]</f>
        <v>0</v>
      </c>
      <c r="P59" s="694" cm="1">
        <f t="array" ref="P59">INDEX(CountyScoresTbl[SHTA Total Feasibility Points Awarded],ROW(CHSHTbl[[#This Row],[COUNTY]])-2,1)*CHSHTbl[[#This Row],[FUNDING %]]</f>
        <v>0</v>
      </c>
      <c r="Q59" s="229"/>
      <c r="R59" s="6">
        <f>IF(CHSHTbl[[#This Row],[TOTAL REQUESTED2]]=0,0,CHSHTbl[[#This Row],[TOTAL REQUESTED2]]/CH_SH_RuralTotalRequested)</f>
        <v>0</v>
      </c>
      <c r="S59" s="665">
        <f>IF(CHSHTbl[[#This Row],[ALL UNITS IN A HIGH OR HIGHEST RESOURCE AREA]]="Yes",10*CHSHTbl[[#This Row],[FUNDING %2]],0)</f>
        <v>0</v>
      </c>
      <c r="T59" s="665" cm="1">
        <f t="array" ref="T59">INDEX(CountyScoresTbl[Community Need Total Points],ROW(CHSHTbl[[#This Row],[COUNTY]])-2,1)*CHSHTbl[[#This Row],[FUNDING %2]]</f>
        <v>0</v>
      </c>
      <c r="U59" s="694" cm="1">
        <f t="array" ref="U59">INDEX(CountyScoresTbl[SHTA Total Feasibility Points Awarded],ROW(CHSHTbl[[#This Row],[COUNTY]])-2,1)*CHSHTbl[[#This Row],[FUNDING %2]]</f>
        <v>0</v>
      </c>
    </row>
    <row r="60" spans="1:21" ht="15" thickBot="1" x14ac:dyDescent="0.4">
      <c r="A60" s="146"/>
      <c r="B60" s="143" t="s">
        <v>172</v>
      </c>
      <c r="C60" s="76" t="s">
        <v>513</v>
      </c>
      <c r="D60" s="230" t="str">
        <f>IF(CHSHTbl[[#This Row],[TOTAL REQUESTED]]=0,"",CHSHTbl[[#This Row],[TOTAL REQUESTED]]*
IF(L$61&lt;=300000,1,
300000/L$61))</f>
        <v/>
      </c>
      <c r="E60" s="14" t="str">
        <f>IF(CHSHTbl[[#This Row],[FUNDING %]]=0,"",CHSHTbl[[#This Row],[FUNDING %]])</f>
        <v/>
      </c>
      <c r="F60" s="76" t="s">
        <v>513</v>
      </c>
      <c r="G60" s="231" t="str">
        <f>IF(CHSHTbl[[#This Row],[TOTAL REQUESTED2]]=0,"",CHSHTbl[[#This Row],[TOTAL REQUESTED2]]*
IF(CH_SH_RuralTotalRequested&lt;=(300000-D$61),1,(300000-D$61)/CH_SH_RuralTotalRequested)
)</f>
        <v/>
      </c>
      <c r="H60" s="14" t="str">
        <f>IF(CHSHTbl[[#This Row],[FUNDING %2]]=0,"",CHSHTbl[[#This Row],[FUNDING %2]])</f>
        <v/>
      </c>
      <c r="I60" s="76" t="s">
        <v>513</v>
      </c>
      <c r="J60" s="228"/>
      <c r="K60" s="147"/>
      <c r="L60" s="222"/>
      <c r="M60" s="14">
        <f>IF(CHSHTbl[[#This Row],[TOTAL REQUESTED]]=0,0,CHSHTbl[[#This Row],[TOTAL REQUESTED]]/CH_SH_UnrestrictedTotalRequested)</f>
        <v>0</v>
      </c>
      <c r="N60" s="712">
        <f>IF(CHSHTbl[[#This Row],[ALL UNITS IN A HIGH OR HIGHEST RESOURCE AREA]]="Yes",10*CHSHTbl[[#This Row],[FUNDING %]],0)</f>
        <v>0</v>
      </c>
      <c r="O60" s="712" cm="1">
        <f t="array" ref="O60">INDEX(CountyScoresTbl[Community Need Total Points],ROW(CHSHTbl[[#This Row],[COUNTY]])-2,1)*CHSHTbl[[#This Row],[FUNDING %]]</f>
        <v>0</v>
      </c>
      <c r="P60" s="716" cm="1">
        <f t="array" ref="P60">INDEX(CountyScoresTbl[SHTA Total Feasibility Points Awarded],ROW(CHSHTbl[[#This Row],[COUNTY]])-2,1)*CHSHTbl[[#This Row],[FUNDING %]]</f>
        <v>0</v>
      </c>
      <c r="Q60" s="322"/>
      <c r="R60" s="14">
        <f>IF(CHSHTbl[[#This Row],[TOTAL REQUESTED2]]=0,0,CHSHTbl[[#This Row],[TOTAL REQUESTED2]]/CH_SH_RuralTotalRequested)</f>
        <v>0</v>
      </c>
      <c r="S60" s="712">
        <f>IF(CHSHTbl[[#This Row],[ALL UNITS IN A HIGH OR HIGHEST RESOURCE AREA]]="Yes",10*CHSHTbl[[#This Row],[FUNDING %2]],0)</f>
        <v>0</v>
      </c>
      <c r="T60" s="712" cm="1">
        <f t="array" ref="T60">INDEX(CountyScoresTbl[Community Need Total Points],ROW(CHSHTbl[[#This Row],[COUNTY]])-2,1)*CHSHTbl[[#This Row],[FUNDING %2]]</f>
        <v>0</v>
      </c>
      <c r="U60" s="716" cm="1">
        <f t="array" ref="U60">INDEX(CountyScoresTbl[SHTA Total Feasibility Points Awarded],ROW(CHSHTbl[[#This Row],[COUNTY]])-2,1)*CHSHTbl[[#This Row],[FUNDING %2]]</f>
        <v>0</v>
      </c>
    </row>
    <row r="61" spans="1:21" s="662" customFormat="1" ht="15" thickBot="1" x14ac:dyDescent="0.4">
      <c r="A61" s="782"/>
      <c r="B61" s="783"/>
      <c r="C61" s="784"/>
      <c r="D61" s="785">
        <f>SUM(D$3:D$60)</f>
        <v>0</v>
      </c>
      <c r="E61" s="786">
        <f>SUM(E$3:E$60)</f>
        <v>0</v>
      </c>
      <c r="F61" s="784"/>
      <c r="G61" s="785">
        <f>SUM(G$3:G$60)</f>
        <v>0</v>
      </c>
      <c r="H61" s="786">
        <f>SUM(H$3:H$60)</f>
        <v>0</v>
      </c>
      <c r="I61" s="784"/>
      <c r="J61" s="787">
        <f>COUNTIF(J$3:J$60,"Yes")</f>
        <v>0</v>
      </c>
      <c r="K61" s="788">
        <f>COUNTIF(K$3:K$60,"Yes")</f>
        <v>0</v>
      </c>
      <c r="L61" s="789">
        <f t="shared" ref="L61:T61" si="0">SUM(L$3:L$60)</f>
        <v>0</v>
      </c>
      <c r="M61" s="208">
        <f t="shared" si="0"/>
        <v>0</v>
      </c>
      <c r="N61" s="720">
        <f t="shared" si="0"/>
        <v>0</v>
      </c>
      <c r="O61" s="720">
        <f t="shared" si="0"/>
        <v>0</v>
      </c>
      <c r="P61" s="723">
        <f t="shared" si="0"/>
        <v>0</v>
      </c>
      <c r="Q61" s="789">
        <f t="shared" si="0"/>
        <v>0</v>
      </c>
      <c r="R61" s="208">
        <f t="shared" si="0"/>
        <v>0</v>
      </c>
      <c r="S61" s="720">
        <f t="shared" si="0"/>
        <v>0</v>
      </c>
      <c r="T61" s="720">
        <f t="shared" si="0"/>
        <v>0</v>
      </c>
      <c r="U61" s="723">
        <f>SUM(U$3:U$60)</f>
        <v>0</v>
      </c>
    </row>
  </sheetData>
  <sheetProtection formatCells="0" selectLockedCells="1"/>
  <dataConsolidate/>
  <mergeCells count="6">
    <mergeCell ref="Q1:U1"/>
    <mergeCell ref="L1:P1"/>
    <mergeCell ref="A1:C1"/>
    <mergeCell ref="J1:K1"/>
    <mergeCell ref="D1:F1"/>
    <mergeCell ref="G1:I1"/>
  </mergeCells>
  <phoneticPr fontId="6" type="noConversion"/>
  <pageMargins left="0.7" right="0.7" top="0.75" bottom="0.75" header="0.3" footer="0.3"/>
  <pageSetup orientation="portrait" r:id="rId1"/>
  <tableParts count="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CHADUData"/>
  <dimension ref="A1:AF61"/>
  <sheetViews>
    <sheetView topLeftCell="F1" zoomScale="70" zoomScaleNormal="70" workbookViewId="0">
      <selection activeCell="AD4" sqref="AD4"/>
    </sheetView>
  </sheetViews>
  <sheetFormatPr defaultColWidth="5.54296875" defaultRowHeight="14.5" x14ac:dyDescent="0.35"/>
  <cols>
    <col min="1" max="2" width="22.54296875" customWidth="1"/>
    <col min="3" max="3" width="1.54296875" customWidth="1"/>
    <col min="4" max="6" width="18.54296875" customWidth="1"/>
    <col min="7" max="7" width="1.54296875" customWidth="1"/>
    <col min="8" max="10" width="18.54296875" customWidth="1"/>
    <col min="11" max="11" width="1.54296875" customWidth="1"/>
    <col min="12" max="29" width="18.54296875" customWidth="1"/>
    <col min="30" max="32" width="15.54296875" customWidth="1"/>
  </cols>
  <sheetData>
    <row r="1" spans="1:32" ht="21.5" thickBot="1" x14ac:dyDescent="0.4">
      <c r="A1" s="1380" t="s">
        <v>648</v>
      </c>
      <c r="B1" s="1381"/>
      <c r="C1" s="1385"/>
      <c r="D1" s="1397" t="s">
        <v>506</v>
      </c>
      <c r="E1" s="1398"/>
      <c r="F1" s="1398"/>
      <c r="G1" s="1399"/>
      <c r="H1" s="1397" t="s">
        <v>508</v>
      </c>
      <c r="I1" s="1398"/>
      <c r="J1" s="1398"/>
      <c r="K1" s="1399"/>
      <c r="L1" s="1415" t="s">
        <v>510</v>
      </c>
      <c r="M1" s="1416"/>
      <c r="N1" s="1412" t="s">
        <v>506</v>
      </c>
      <c r="O1" s="1413"/>
      <c r="P1" s="1413"/>
      <c r="Q1" s="1413"/>
      <c r="R1" s="1413"/>
      <c r="S1" s="1413"/>
      <c r="T1" s="1413"/>
      <c r="U1" s="1414"/>
      <c r="V1" s="1409" t="s">
        <v>508</v>
      </c>
      <c r="W1" s="1410"/>
      <c r="X1" s="1410"/>
      <c r="Y1" s="1410"/>
      <c r="Z1" s="1410"/>
      <c r="AA1" s="1410"/>
      <c r="AB1" s="1410"/>
      <c r="AC1" s="1411"/>
      <c r="AD1" s="401"/>
      <c r="AE1" s="1359"/>
      <c r="AF1" s="1360"/>
    </row>
    <row r="2" spans="1:32" ht="44" thickBot="1" x14ac:dyDescent="0.4">
      <c r="A2" s="39" t="s">
        <v>511</v>
      </c>
      <c r="B2" s="40" t="s">
        <v>512</v>
      </c>
      <c r="C2" s="248" t="s">
        <v>513</v>
      </c>
      <c r="D2" s="99" t="s">
        <v>514</v>
      </c>
      <c r="E2" s="171" t="s">
        <v>515</v>
      </c>
      <c r="F2" s="172" t="s">
        <v>516</v>
      </c>
      <c r="G2" s="248" t="s">
        <v>580</v>
      </c>
      <c r="H2" s="99" t="s">
        <v>518</v>
      </c>
      <c r="I2" s="171" t="s">
        <v>519</v>
      </c>
      <c r="J2" s="172" t="s">
        <v>520</v>
      </c>
      <c r="K2" s="248" t="s">
        <v>581</v>
      </c>
      <c r="L2" s="246" t="s">
        <v>530</v>
      </c>
      <c r="M2" s="247" t="s">
        <v>532</v>
      </c>
      <c r="N2" s="3" t="s">
        <v>522</v>
      </c>
      <c r="O2" s="243" t="s">
        <v>649</v>
      </c>
      <c r="P2" s="243" t="s">
        <v>650</v>
      </c>
      <c r="Q2" s="23" t="s">
        <v>539</v>
      </c>
      <c r="R2" s="23" t="s">
        <v>619</v>
      </c>
      <c r="S2" s="23" t="s">
        <v>620</v>
      </c>
      <c r="T2" s="23" t="s">
        <v>543</v>
      </c>
      <c r="U2" s="23" t="s">
        <v>544</v>
      </c>
      <c r="V2" s="3" t="s">
        <v>651</v>
      </c>
      <c r="W2" s="243" t="s">
        <v>652</v>
      </c>
      <c r="X2" s="243" t="s">
        <v>653</v>
      </c>
      <c r="Y2" s="45" t="s">
        <v>561</v>
      </c>
      <c r="Z2" s="45" t="s">
        <v>629</v>
      </c>
      <c r="AA2" s="45" t="s">
        <v>605</v>
      </c>
      <c r="AB2" s="45" t="s">
        <v>565</v>
      </c>
      <c r="AC2" s="45" t="s">
        <v>566</v>
      </c>
      <c r="AD2" s="396" t="s">
        <v>578</v>
      </c>
      <c r="AE2" s="136" t="s">
        <v>541</v>
      </c>
      <c r="AF2" s="397" t="s">
        <v>563</v>
      </c>
    </row>
    <row r="3" spans="1:32" x14ac:dyDescent="0.35">
      <c r="A3" s="167"/>
      <c r="B3" s="5" t="s">
        <v>115</v>
      </c>
      <c r="C3" s="31" t="s">
        <v>513</v>
      </c>
      <c r="D3" s="110" t="str">
        <f>IF(CHADUtbl[[#This Row],[UNITS3]]=0,"",CHADUtbl[[#This Row],[UNITS3]])</f>
        <v/>
      </c>
      <c r="E3" s="244" t="str">
        <f xml:space="preserve">
IF(CHADUtbl[[#This Row],[UNRESTRICTED FUNDING REQUESTED]]=0,"",
CHADUtbl[[#This Row],[UNRESTRICTED FUNDING REQUESTED]]*
IF(CH_ADU_UnrestrictedTotalRequested&lt;=5000000,1,
5000000/CH_ADU_UnrestrictedTotalRequested)
)</f>
        <v/>
      </c>
      <c r="F3" s="6" t="str">
        <f>IF(CHADUtbl[[#This Row],[UNRESTRICTED % OF FUNDING]]=0,"",CHADUtbl[[#This Row],[UNRESTRICTED % OF FUNDING]])</f>
        <v/>
      </c>
      <c r="G3" s="31" t="s">
        <v>513</v>
      </c>
      <c r="H3" s="249" t="str">
        <f>IF(CHADUtbl[[#This Row],[UNITS22]]=0,"",CHADUtbl[[#This Row],[UNITS22]])</f>
        <v/>
      </c>
      <c r="I3" s="244" t="str">
        <f xml:space="preserve">
IF(CHADUtbl[[#This Row],[RURAL FUNDING REQUESTED]]=0,"",
CHADUtbl[[#This Row],[RURAL FUNDING REQUESTED]]*
IF(CH_ADU_RuralTotalRequested&lt;=(5000000-E$61),1,
(5000000-E$61)/CH_ADU_RuralTotalRequested)
)</f>
        <v/>
      </c>
      <c r="J3" s="6" t="str">
        <f>IF(CHADUtbl[[#This Row],[RURAL % OF FUNDING]]=0,"",CHADUtbl[[#This Row],[RURAL % OF FUNDING]])</f>
        <v/>
      </c>
      <c r="K3" s="31" t="s">
        <v>513</v>
      </c>
      <c r="L3" s="115"/>
      <c r="M3" s="241"/>
      <c r="N3" s="245"/>
      <c r="O3" s="240"/>
      <c r="P3" s="240"/>
      <c r="Q3" s="244">
        <f t="shared" ref="Q3:Q60" si="0">SUM(O3:P3)</f>
        <v>0</v>
      </c>
      <c r="R3" s="6">
        <f>IF(SUM(CHADUtbl[[#This Row],[UNRESTRICTED FUNDING REQUESTED]])=0,0,CHADUtbl[[#This Row],[UNRESTRICTED FUNDING REQUESTED]]/CH_ADU_UnrestrictedTotalRequested)</f>
        <v>0</v>
      </c>
      <c r="S3" s="665">
        <f>IF(CHADUtbl[[#This Row],[ALL UNITS IN A HIGH OR HIGHEST RESOURCE AREA]]="Yes",10*CHADUtbl[[#This Row],[UNRESTRICTED % OF FUNDING]],0)</f>
        <v>0</v>
      </c>
      <c r="T3" s="665" cm="1">
        <f t="array" ref="T3">INDEX(CountyScoresTbl[Community Need Total Points],ROW(CHADUtbl[[#This Row],[COUNTY]])-2,1)*CHADUtbl[[#This Row],[UNRESTRICTED % OF FUNDING]]</f>
        <v>0</v>
      </c>
      <c r="U3" s="694" cm="1">
        <f t="array" ref="U3">INDEX(CountyScoresTbl[OOR/ADU Total Feasibility Points Awarded],ROW(CHADUtbl[[#This Row],[COUNTY]])-2,1)*CHADUtbl[[#This Row],[UNRESTRICTED % OF FUNDING]]</f>
        <v>0</v>
      </c>
      <c r="V3" s="245"/>
      <c r="W3" s="240"/>
      <c r="X3" s="240"/>
      <c r="Y3" s="244">
        <f t="shared" ref="Y3:Y60" si="1">SUM(W3:X3)</f>
        <v>0</v>
      </c>
      <c r="Z3" s="6">
        <f>IF(SUM(CHADUtbl[[#This Row],[RURAL FUNDING REQUESTED]])=0,0,CHADUtbl[[#This Row],[RURAL FUNDING REQUESTED]]/CH_ADU_RuralTotalRequested)</f>
        <v>0</v>
      </c>
      <c r="AA3" s="665">
        <f>IF(CHADUtbl[[#This Row],[ALL UNITS IN A HIGH OR HIGHEST RESOURCE AREA]]="Yes",10*CHADUtbl[[#This Row],[RURAL % OF FUNDING]],0)</f>
        <v>0</v>
      </c>
      <c r="AB3" s="665" cm="1">
        <f t="array" ref="AB3">INDEX(CountyScoresTbl[Community Need Total Points],ROW(CHADUtbl[[#This Row],[COUNTY]])-2,1)*CHADUtbl[[#This Row],[RURAL % OF FUNDING]]</f>
        <v>0</v>
      </c>
      <c r="AC3" s="694" cm="1">
        <f t="array" ref="AC3">INDEX(CountyScoresTbl[OOR/ADU Total Feasibility Points Awarded],ROW(CHADUtbl[[#This Row],[COUNTY]])-2,1)*CHADUtbl[[#This Row],[RURAL % OF FUNDING]]</f>
        <v>0</v>
      </c>
      <c r="AD3" s="794"/>
      <c r="AE3" s="696">
        <f>IF(CHADUtbl[[#This Row],[INFILL SITE]]="Yes",5,3)*CHADUtbl[[#This Row],[UNRESTRICTED % OF FUNDING]]</f>
        <v>0</v>
      </c>
      <c r="AF3" s="696">
        <f>IF(CHADUtbl[[#This Row],[INFILL SITE]]="Yes",5,3)*CHADUtbl[[#This Row],[RURAL % OF FUNDING]]</f>
        <v>0</v>
      </c>
    </row>
    <row r="4" spans="1:32" x14ac:dyDescent="0.35">
      <c r="A4" s="167"/>
      <c r="B4" s="5" t="s">
        <v>116</v>
      </c>
      <c r="C4" s="31" t="s">
        <v>513</v>
      </c>
      <c r="D4" s="110" t="str">
        <f>IF(CHADUtbl[[#This Row],[UNITS3]]=0,"",CHADUtbl[[#This Row],[UNITS3]])</f>
        <v/>
      </c>
      <c r="E4" s="244" t="str">
        <f xml:space="preserve">
IF(CHADUtbl[[#This Row],[UNRESTRICTED FUNDING REQUESTED]]=0,"",
CHADUtbl[[#This Row],[UNRESTRICTED FUNDING REQUESTED]]*
IF(CH_ADU_UnrestrictedTotalRequested&lt;=5000000,1,
5000000/CH_ADU_UnrestrictedTotalRequested)
)</f>
        <v/>
      </c>
      <c r="F4" s="6" t="str">
        <f>IF(CHADUtbl[[#This Row],[UNRESTRICTED % OF FUNDING]]=0,"",CHADUtbl[[#This Row],[UNRESTRICTED % OF FUNDING]])</f>
        <v/>
      </c>
      <c r="G4" s="31" t="s">
        <v>513</v>
      </c>
      <c r="H4" s="110" t="str">
        <f>IF(CHADUtbl[[#This Row],[UNITS22]]=0,"",CHADUtbl[[#This Row],[UNITS22]])</f>
        <v/>
      </c>
      <c r="I4" s="244" t="str">
        <f xml:space="preserve">
IF(CHADUtbl[[#This Row],[RURAL FUNDING REQUESTED]]=0,"",
CHADUtbl[[#This Row],[RURAL FUNDING REQUESTED]]*
IF(CH_ADU_RuralTotalRequested&lt;=(5000000-E$61),1,
(5000000-E$61)/CH_ADU_RuralTotalRequested)
)</f>
        <v/>
      </c>
      <c r="J4" s="6" t="str">
        <f>IF(CHADUtbl[[#This Row],[RURAL % OF FUNDING]]=0,"",CHADUtbl[[#This Row],[RURAL % OF FUNDING]])</f>
        <v/>
      </c>
      <c r="K4" s="31" t="s">
        <v>513</v>
      </c>
      <c r="L4" s="115"/>
      <c r="M4" s="241"/>
      <c r="N4" s="245"/>
      <c r="O4" s="240"/>
      <c r="P4" s="240"/>
      <c r="Q4" s="244">
        <f t="shared" si="0"/>
        <v>0</v>
      </c>
      <c r="R4" s="6">
        <f>IF(SUM(CHADUtbl[[#This Row],[UNRESTRICTED FUNDING REQUESTED]])=0,0,CHADUtbl[[#This Row],[UNRESTRICTED FUNDING REQUESTED]]/CH_ADU_UnrestrictedTotalRequested)</f>
        <v>0</v>
      </c>
      <c r="S4" s="665">
        <f>IF(CHADUtbl[[#This Row],[ALL UNITS IN A HIGH OR HIGHEST RESOURCE AREA]]="Yes",10*CHADUtbl[[#This Row],[UNRESTRICTED % OF FUNDING]],0)</f>
        <v>0</v>
      </c>
      <c r="T4" s="665" cm="1">
        <f t="array" ref="T4">INDEX(CountyScoresTbl[Community Need Total Points],ROW(CHADUtbl[[#This Row],[COUNTY]])-2,1)*CHADUtbl[[#This Row],[UNRESTRICTED % OF FUNDING]]</f>
        <v>0</v>
      </c>
      <c r="U4" s="694" cm="1">
        <f t="array" ref="U4">INDEX(CountyScoresTbl[OOR/ADU Total Feasibility Points Awarded],ROW(CHADUtbl[[#This Row],[COUNTY]])-2,1)*CHADUtbl[[#This Row],[UNRESTRICTED % OF FUNDING]]</f>
        <v>0</v>
      </c>
      <c r="V4" s="245"/>
      <c r="W4" s="240"/>
      <c r="X4" s="240"/>
      <c r="Y4" s="244">
        <f t="shared" si="1"/>
        <v>0</v>
      </c>
      <c r="Z4" s="6">
        <f>IF(SUM(CHADUtbl[[#This Row],[RURAL FUNDING REQUESTED]])=0,0,CHADUtbl[[#This Row],[RURAL FUNDING REQUESTED]]/CH_ADU_RuralTotalRequested)</f>
        <v>0</v>
      </c>
      <c r="AA4" s="665">
        <f>IF(CHADUtbl[[#This Row],[ALL UNITS IN A HIGH OR HIGHEST RESOURCE AREA]]="Yes",10*CHADUtbl[[#This Row],[RURAL % OF FUNDING]],0)</f>
        <v>0</v>
      </c>
      <c r="AB4" s="665" cm="1">
        <f t="array" ref="AB4">INDEX(CountyScoresTbl[Community Need Total Points],ROW(CHADUtbl[[#This Row],[COUNTY]])-2,1)*CHADUtbl[[#This Row],[RURAL % OF FUNDING]]</f>
        <v>0</v>
      </c>
      <c r="AC4" s="694" cm="1">
        <f t="array" ref="AC4">INDEX(CountyScoresTbl[OOR/ADU Total Feasibility Points Awarded],ROW(CHADUtbl[[#This Row],[COUNTY]])-2,1)*CHADUtbl[[#This Row],[RURAL % OF FUNDING]]</f>
        <v>0</v>
      </c>
      <c r="AD4" s="764"/>
      <c r="AE4" s="665">
        <f>IF(CHADUtbl[[#This Row],[INFILL SITE]]="Yes",5,3)*CHADUtbl[[#This Row],[UNRESTRICTED % OF FUNDING]]</f>
        <v>0</v>
      </c>
      <c r="AF4" s="665">
        <f>IF(CHADUtbl[[#This Row],[INFILL SITE]]="Yes",5,3)*CHADUtbl[[#This Row],[RURAL % OF FUNDING]]</f>
        <v>0</v>
      </c>
    </row>
    <row r="5" spans="1:32" x14ac:dyDescent="0.35">
      <c r="A5" s="167"/>
      <c r="B5" s="5" t="s">
        <v>117</v>
      </c>
      <c r="C5" s="31" t="s">
        <v>513</v>
      </c>
      <c r="D5" s="110" t="str">
        <f>IF(CHADUtbl[[#This Row],[UNITS3]]=0,"",CHADUtbl[[#This Row],[UNITS3]])</f>
        <v/>
      </c>
      <c r="E5" s="244" t="str">
        <f xml:space="preserve">
IF(CHADUtbl[[#This Row],[UNRESTRICTED FUNDING REQUESTED]]=0,"",
CHADUtbl[[#This Row],[UNRESTRICTED FUNDING REQUESTED]]*
IF(CH_ADU_UnrestrictedTotalRequested&lt;=5000000,1,
5000000/CH_ADU_UnrestrictedTotalRequested)
)</f>
        <v/>
      </c>
      <c r="F5" s="6" t="str">
        <f>IF(CHADUtbl[[#This Row],[UNRESTRICTED % OF FUNDING]]=0,"",CHADUtbl[[#This Row],[UNRESTRICTED % OF FUNDING]])</f>
        <v/>
      </c>
      <c r="G5" s="31" t="s">
        <v>513</v>
      </c>
      <c r="H5" s="110" t="str">
        <f>IF(CHADUtbl[[#This Row],[UNITS22]]=0,"",CHADUtbl[[#This Row],[UNITS22]])</f>
        <v/>
      </c>
      <c r="I5" s="244" t="str">
        <f xml:space="preserve">
IF(CHADUtbl[[#This Row],[RURAL FUNDING REQUESTED]]=0,"",
CHADUtbl[[#This Row],[RURAL FUNDING REQUESTED]]*
IF(CH_ADU_RuralTotalRequested&lt;=(5000000-E$61),1,
(5000000-E$61)/CH_ADU_RuralTotalRequested)
)</f>
        <v/>
      </c>
      <c r="J5" s="6" t="str">
        <f>IF(CHADUtbl[[#This Row],[RURAL % OF FUNDING]]=0,"",CHADUtbl[[#This Row],[RURAL % OF FUNDING]])</f>
        <v/>
      </c>
      <c r="K5" s="31" t="s">
        <v>513</v>
      </c>
      <c r="L5" s="115"/>
      <c r="M5" s="241"/>
      <c r="N5" s="245"/>
      <c r="O5" s="240"/>
      <c r="P5" s="240"/>
      <c r="Q5" s="244">
        <f t="shared" si="0"/>
        <v>0</v>
      </c>
      <c r="R5" s="6">
        <f>IF(SUM(CHADUtbl[[#This Row],[UNRESTRICTED FUNDING REQUESTED]])=0,0,CHADUtbl[[#This Row],[UNRESTRICTED FUNDING REQUESTED]]/CH_ADU_UnrestrictedTotalRequested)</f>
        <v>0</v>
      </c>
      <c r="S5" s="665">
        <f>IF(CHADUtbl[[#This Row],[ALL UNITS IN A HIGH OR HIGHEST RESOURCE AREA]]="Yes",10*CHADUtbl[[#This Row],[UNRESTRICTED % OF FUNDING]],0)</f>
        <v>0</v>
      </c>
      <c r="T5" s="665" cm="1">
        <f t="array" ref="T5">INDEX(CountyScoresTbl[Community Need Total Points],ROW(CHADUtbl[[#This Row],[COUNTY]])-2,1)*CHADUtbl[[#This Row],[UNRESTRICTED % OF FUNDING]]</f>
        <v>0</v>
      </c>
      <c r="U5" s="694" cm="1">
        <f t="array" ref="U5">INDEX(CountyScoresTbl[OOR/ADU Total Feasibility Points Awarded],ROW(CHADUtbl[[#This Row],[COUNTY]])-2,1)*CHADUtbl[[#This Row],[UNRESTRICTED % OF FUNDING]]</f>
        <v>0</v>
      </c>
      <c r="V5" s="245"/>
      <c r="W5" s="240"/>
      <c r="X5" s="240"/>
      <c r="Y5" s="244">
        <f t="shared" si="1"/>
        <v>0</v>
      </c>
      <c r="Z5" s="6">
        <f>IF(SUM(CHADUtbl[[#This Row],[RURAL FUNDING REQUESTED]])=0,0,CHADUtbl[[#This Row],[RURAL FUNDING REQUESTED]]/CH_ADU_RuralTotalRequested)</f>
        <v>0</v>
      </c>
      <c r="AA5" s="665">
        <f>IF(CHADUtbl[[#This Row],[ALL UNITS IN A HIGH OR HIGHEST RESOURCE AREA]]="Yes",10*CHADUtbl[[#This Row],[RURAL % OF FUNDING]],0)</f>
        <v>0</v>
      </c>
      <c r="AB5" s="665" cm="1">
        <f t="array" ref="AB5">INDEX(CountyScoresTbl[Community Need Total Points],ROW(CHADUtbl[[#This Row],[COUNTY]])-2,1)*CHADUtbl[[#This Row],[RURAL % OF FUNDING]]</f>
        <v>0</v>
      </c>
      <c r="AC5" s="694" cm="1">
        <f t="array" ref="AC5">INDEX(CountyScoresTbl[OOR/ADU Total Feasibility Points Awarded],ROW(CHADUtbl[[#This Row],[COUNTY]])-2,1)*CHADUtbl[[#This Row],[RURAL % OF FUNDING]]</f>
        <v>0</v>
      </c>
      <c r="AD5" s="764"/>
      <c r="AE5" s="665">
        <f>IF(CHADUtbl[[#This Row],[INFILL SITE]]="Yes",5,3)*CHADUtbl[[#This Row],[UNRESTRICTED % OF FUNDING]]</f>
        <v>0</v>
      </c>
      <c r="AF5" s="665">
        <f>IF(CHADUtbl[[#This Row],[INFILL SITE]]="Yes",5,3)*CHADUtbl[[#This Row],[RURAL % OF FUNDING]]</f>
        <v>0</v>
      </c>
    </row>
    <row r="6" spans="1:32" x14ac:dyDescent="0.35">
      <c r="A6" s="167"/>
      <c r="B6" s="5" t="s">
        <v>118</v>
      </c>
      <c r="C6" s="31" t="s">
        <v>513</v>
      </c>
      <c r="D6" s="110" t="str">
        <f>IF(CHADUtbl[[#This Row],[UNITS3]]=0,"",CHADUtbl[[#This Row],[UNITS3]])</f>
        <v/>
      </c>
      <c r="E6" s="244" t="str">
        <f xml:space="preserve">
IF(CHADUtbl[[#This Row],[UNRESTRICTED FUNDING REQUESTED]]=0,"",
CHADUtbl[[#This Row],[UNRESTRICTED FUNDING REQUESTED]]*
IF(CH_ADU_UnrestrictedTotalRequested&lt;=5000000,1,
5000000/CH_ADU_UnrestrictedTotalRequested)
)</f>
        <v/>
      </c>
      <c r="F6" s="6" t="str">
        <f>IF(CHADUtbl[[#This Row],[UNRESTRICTED % OF FUNDING]]=0,"",CHADUtbl[[#This Row],[UNRESTRICTED % OF FUNDING]])</f>
        <v/>
      </c>
      <c r="G6" s="31" t="s">
        <v>513</v>
      </c>
      <c r="H6" s="110" t="str">
        <f>IF(CHADUtbl[[#This Row],[UNITS22]]=0,"",CHADUtbl[[#This Row],[UNITS22]])</f>
        <v/>
      </c>
      <c r="I6" s="244" t="str">
        <f xml:space="preserve">
IF(CHADUtbl[[#This Row],[RURAL FUNDING REQUESTED]]=0,"",
CHADUtbl[[#This Row],[RURAL FUNDING REQUESTED]]*
IF(CH_ADU_RuralTotalRequested&lt;=(5000000-E$61),1,
(5000000-E$61)/CH_ADU_RuralTotalRequested)
)</f>
        <v/>
      </c>
      <c r="J6" s="6" t="str">
        <f>IF(CHADUtbl[[#This Row],[RURAL % OF FUNDING]]=0,"",CHADUtbl[[#This Row],[RURAL % OF FUNDING]])</f>
        <v/>
      </c>
      <c r="K6" s="31" t="s">
        <v>513</v>
      </c>
      <c r="L6" s="115"/>
      <c r="M6" s="241"/>
      <c r="N6" s="245"/>
      <c r="O6" s="240"/>
      <c r="P6" s="240"/>
      <c r="Q6" s="244">
        <f t="shared" si="0"/>
        <v>0</v>
      </c>
      <c r="R6" s="6">
        <f>IF(SUM(CHADUtbl[[#This Row],[UNRESTRICTED FUNDING REQUESTED]])=0,0,CHADUtbl[[#This Row],[UNRESTRICTED FUNDING REQUESTED]]/CH_ADU_UnrestrictedTotalRequested)</f>
        <v>0</v>
      </c>
      <c r="S6" s="665">
        <f>IF(CHADUtbl[[#This Row],[ALL UNITS IN A HIGH OR HIGHEST RESOURCE AREA]]="Yes",10*CHADUtbl[[#This Row],[UNRESTRICTED % OF FUNDING]],0)</f>
        <v>0</v>
      </c>
      <c r="T6" s="665" cm="1">
        <f t="array" ref="T6">INDEX(CountyScoresTbl[Community Need Total Points],ROW(CHADUtbl[[#This Row],[COUNTY]])-2,1)*CHADUtbl[[#This Row],[UNRESTRICTED % OF FUNDING]]</f>
        <v>0</v>
      </c>
      <c r="U6" s="694" cm="1">
        <f t="array" ref="U6">INDEX(CountyScoresTbl[OOR/ADU Total Feasibility Points Awarded],ROW(CHADUtbl[[#This Row],[COUNTY]])-2,1)*CHADUtbl[[#This Row],[UNRESTRICTED % OF FUNDING]]</f>
        <v>0</v>
      </c>
      <c r="V6" s="245"/>
      <c r="W6" s="240"/>
      <c r="X6" s="240"/>
      <c r="Y6" s="244">
        <f t="shared" si="1"/>
        <v>0</v>
      </c>
      <c r="Z6" s="6">
        <f>IF(SUM(CHADUtbl[[#This Row],[RURAL FUNDING REQUESTED]])=0,0,CHADUtbl[[#This Row],[RURAL FUNDING REQUESTED]]/CH_ADU_RuralTotalRequested)</f>
        <v>0</v>
      </c>
      <c r="AA6" s="665">
        <f>IF(CHADUtbl[[#This Row],[ALL UNITS IN A HIGH OR HIGHEST RESOURCE AREA]]="Yes",10*CHADUtbl[[#This Row],[RURAL % OF FUNDING]],0)</f>
        <v>0</v>
      </c>
      <c r="AB6" s="665" cm="1">
        <f t="array" ref="AB6">INDEX(CountyScoresTbl[Community Need Total Points],ROW(CHADUtbl[[#This Row],[COUNTY]])-2,1)*CHADUtbl[[#This Row],[RURAL % OF FUNDING]]</f>
        <v>0</v>
      </c>
      <c r="AC6" s="694" cm="1">
        <f t="array" ref="AC6">INDEX(CountyScoresTbl[OOR/ADU Total Feasibility Points Awarded],ROW(CHADUtbl[[#This Row],[COUNTY]])-2,1)*CHADUtbl[[#This Row],[RURAL % OF FUNDING]]</f>
        <v>0</v>
      </c>
      <c r="AD6" s="764"/>
      <c r="AE6" s="665">
        <f>IF(CHADUtbl[[#This Row],[INFILL SITE]]="Yes",5,3)*CHADUtbl[[#This Row],[UNRESTRICTED % OF FUNDING]]</f>
        <v>0</v>
      </c>
      <c r="AF6" s="665">
        <f>IF(CHADUtbl[[#This Row],[INFILL SITE]]="Yes",5,3)*CHADUtbl[[#This Row],[RURAL % OF FUNDING]]</f>
        <v>0</v>
      </c>
    </row>
    <row r="7" spans="1:32" x14ac:dyDescent="0.35">
      <c r="A7" s="124"/>
      <c r="B7" s="5" t="s">
        <v>119</v>
      </c>
      <c r="C7" s="31" t="s">
        <v>513</v>
      </c>
      <c r="D7" s="110" t="str">
        <f>IF(CHADUtbl[[#This Row],[UNITS3]]=0,"",CHADUtbl[[#This Row],[UNITS3]])</f>
        <v/>
      </c>
      <c r="E7" s="244" t="str">
        <f xml:space="preserve">
IF(CHADUtbl[[#This Row],[UNRESTRICTED FUNDING REQUESTED]]=0,"",
CHADUtbl[[#This Row],[UNRESTRICTED FUNDING REQUESTED]]*
IF(CH_ADU_UnrestrictedTotalRequested&lt;=5000000,1,
5000000/CH_ADU_UnrestrictedTotalRequested)
)</f>
        <v/>
      </c>
      <c r="F7" s="6" t="str">
        <f>IF(CHADUtbl[[#This Row],[UNRESTRICTED % OF FUNDING]]=0,"",CHADUtbl[[#This Row],[UNRESTRICTED % OF FUNDING]])</f>
        <v/>
      </c>
      <c r="G7" s="31" t="s">
        <v>513</v>
      </c>
      <c r="H7" s="110" t="str">
        <f>IF(CHADUtbl[[#This Row],[UNITS22]]=0,"",CHADUtbl[[#This Row],[UNITS22]])</f>
        <v/>
      </c>
      <c r="I7" s="244" t="str">
        <f xml:space="preserve">
IF(CHADUtbl[[#This Row],[RURAL FUNDING REQUESTED]]=0,"",
CHADUtbl[[#This Row],[RURAL FUNDING REQUESTED]]*
IF(CH_ADU_RuralTotalRequested&lt;=(5000000-E$61),1,
(5000000-E$61)/CH_ADU_RuralTotalRequested)
)</f>
        <v/>
      </c>
      <c r="J7" s="6" t="str">
        <f>IF(CHADUtbl[[#This Row],[RURAL % OF FUNDING]]=0,"",CHADUtbl[[#This Row],[RURAL % OF FUNDING]])</f>
        <v/>
      </c>
      <c r="K7" s="31" t="s">
        <v>513</v>
      </c>
      <c r="L7" s="116"/>
      <c r="M7" s="242"/>
      <c r="N7" s="245"/>
      <c r="O7" s="240"/>
      <c r="P7" s="240"/>
      <c r="Q7" s="244">
        <f t="shared" si="0"/>
        <v>0</v>
      </c>
      <c r="R7" s="6">
        <f>IF(SUM(CHADUtbl[[#This Row],[UNRESTRICTED FUNDING REQUESTED]])=0,0,CHADUtbl[[#This Row],[UNRESTRICTED FUNDING REQUESTED]]/CH_ADU_UnrestrictedTotalRequested)</f>
        <v>0</v>
      </c>
      <c r="S7" s="665">
        <f>IF(CHADUtbl[[#This Row],[ALL UNITS IN A HIGH OR HIGHEST RESOURCE AREA]]="Yes",10*CHADUtbl[[#This Row],[UNRESTRICTED % OF FUNDING]],0)</f>
        <v>0</v>
      </c>
      <c r="T7" s="665" cm="1">
        <f t="array" ref="T7">INDEX(CountyScoresTbl[Community Need Total Points],ROW(CHADUtbl[[#This Row],[COUNTY]])-2,1)*CHADUtbl[[#This Row],[UNRESTRICTED % OF FUNDING]]</f>
        <v>0</v>
      </c>
      <c r="U7" s="694" cm="1">
        <f t="array" ref="U7">INDEX(CountyScoresTbl[OOR/ADU Total Feasibility Points Awarded],ROW(CHADUtbl[[#This Row],[COUNTY]])-2,1)*CHADUtbl[[#This Row],[UNRESTRICTED % OF FUNDING]]</f>
        <v>0</v>
      </c>
      <c r="V7" s="245"/>
      <c r="W7" s="240"/>
      <c r="X7" s="240"/>
      <c r="Y7" s="244">
        <f t="shared" si="1"/>
        <v>0</v>
      </c>
      <c r="Z7" s="6">
        <f>IF(SUM(CHADUtbl[[#This Row],[RURAL FUNDING REQUESTED]])=0,0,CHADUtbl[[#This Row],[RURAL FUNDING REQUESTED]]/CH_ADU_RuralTotalRequested)</f>
        <v>0</v>
      </c>
      <c r="AA7" s="665">
        <f>IF(CHADUtbl[[#This Row],[ALL UNITS IN A HIGH OR HIGHEST RESOURCE AREA]]="Yes",10*CHADUtbl[[#This Row],[RURAL % OF FUNDING]],0)</f>
        <v>0</v>
      </c>
      <c r="AB7" s="665" cm="1">
        <f t="array" ref="AB7">INDEX(CountyScoresTbl[Community Need Total Points],ROW(CHADUtbl[[#This Row],[COUNTY]])-2,1)*CHADUtbl[[#This Row],[RURAL % OF FUNDING]]</f>
        <v>0</v>
      </c>
      <c r="AC7" s="694" cm="1">
        <f t="array" ref="AC7">INDEX(CountyScoresTbl[OOR/ADU Total Feasibility Points Awarded],ROW(CHADUtbl[[#This Row],[COUNTY]])-2,1)*CHADUtbl[[#This Row],[RURAL % OF FUNDING]]</f>
        <v>0</v>
      </c>
      <c r="AD7" s="764"/>
      <c r="AE7" s="665">
        <f>IF(CHADUtbl[[#This Row],[INFILL SITE]]="Yes",5,3)*CHADUtbl[[#This Row],[UNRESTRICTED % OF FUNDING]]</f>
        <v>0</v>
      </c>
      <c r="AF7" s="665">
        <f>IF(CHADUtbl[[#This Row],[INFILL SITE]]="Yes",5,3)*CHADUtbl[[#This Row],[RURAL % OF FUNDING]]</f>
        <v>0</v>
      </c>
    </row>
    <row r="8" spans="1:32" x14ac:dyDescent="0.35">
      <c r="A8" s="124"/>
      <c r="B8" s="5" t="s">
        <v>120</v>
      </c>
      <c r="C8" s="31" t="s">
        <v>513</v>
      </c>
      <c r="D8" s="110" t="str">
        <f>IF(CHADUtbl[[#This Row],[UNITS3]]=0,"",CHADUtbl[[#This Row],[UNITS3]])</f>
        <v/>
      </c>
      <c r="E8" s="244" t="str">
        <f xml:space="preserve">
IF(CHADUtbl[[#This Row],[UNRESTRICTED FUNDING REQUESTED]]=0,"",
CHADUtbl[[#This Row],[UNRESTRICTED FUNDING REQUESTED]]*
IF(CH_ADU_UnrestrictedTotalRequested&lt;=5000000,1,
5000000/CH_ADU_UnrestrictedTotalRequested)
)</f>
        <v/>
      </c>
      <c r="F8" s="6" t="str">
        <f>IF(CHADUtbl[[#This Row],[UNRESTRICTED % OF FUNDING]]=0,"",CHADUtbl[[#This Row],[UNRESTRICTED % OF FUNDING]])</f>
        <v/>
      </c>
      <c r="G8" s="31" t="s">
        <v>513</v>
      </c>
      <c r="H8" s="110" t="str">
        <f>IF(CHADUtbl[[#This Row],[UNITS22]]=0,"",CHADUtbl[[#This Row],[UNITS22]])</f>
        <v/>
      </c>
      <c r="I8" s="244" t="str">
        <f xml:space="preserve">
IF(CHADUtbl[[#This Row],[RURAL FUNDING REQUESTED]]=0,"",
CHADUtbl[[#This Row],[RURAL FUNDING REQUESTED]]*
IF(CH_ADU_RuralTotalRequested&lt;=(5000000-E$61),1,
(5000000-E$61)/CH_ADU_RuralTotalRequested)
)</f>
        <v/>
      </c>
      <c r="J8" s="6" t="str">
        <f>IF(CHADUtbl[[#This Row],[RURAL % OF FUNDING]]=0,"",CHADUtbl[[#This Row],[RURAL % OF FUNDING]])</f>
        <v/>
      </c>
      <c r="K8" s="31" t="s">
        <v>513</v>
      </c>
      <c r="L8" s="116"/>
      <c r="M8" s="242"/>
      <c r="N8" s="245"/>
      <c r="O8" s="240"/>
      <c r="P8" s="240"/>
      <c r="Q8" s="244">
        <f t="shared" si="0"/>
        <v>0</v>
      </c>
      <c r="R8" s="6">
        <f>IF(SUM(CHADUtbl[[#This Row],[UNRESTRICTED FUNDING REQUESTED]])=0,0,CHADUtbl[[#This Row],[UNRESTRICTED FUNDING REQUESTED]]/CH_ADU_UnrestrictedTotalRequested)</f>
        <v>0</v>
      </c>
      <c r="S8" s="665">
        <f>IF(CHADUtbl[[#This Row],[ALL UNITS IN A HIGH OR HIGHEST RESOURCE AREA]]="Yes",10*CHADUtbl[[#This Row],[UNRESTRICTED % OF FUNDING]],0)</f>
        <v>0</v>
      </c>
      <c r="T8" s="665" cm="1">
        <f t="array" ref="T8">INDEX(CountyScoresTbl[Community Need Total Points],ROW(CHADUtbl[[#This Row],[COUNTY]])-2,1)*CHADUtbl[[#This Row],[UNRESTRICTED % OF FUNDING]]</f>
        <v>0</v>
      </c>
      <c r="U8" s="694" cm="1">
        <f t="array" ref="U8">INDEX(CountyScoresTbl[OOR/ADU Total Feasibility Points Awarded],ROW(CHADUtbl[[#This Row],[COUNTY]])-2,1)*CHADUtbl[[#This Row],[UNRESTRICTED % OF FUNDING]]</f>
        <v>0</v>
      </c>
      <c r="V8" s="245"/>
      <c r="W8" s="240"/>
      <c r="X8" s="240"/>
      <c r="Y8" s="244">
        <f t="shared" si="1"/>
        <v>0</v>
      </c>
      <c r="Z8" s="6">
        <f>IF(SUM(CHADUtbl[[#This Row],[RURAL FUNDING REQUESTED]])=0,0,CHADUtbl[[#This Row],[RURAL FUNDING REQUESTED]]/CH_ADU_RuralTotalRequested)</f>
        <v>0</v>
      </c>
      <c r="AA8" s="665">
        <f>IF(CHADUtbl[[#This Row],[ALL UNITS IN A HIGH OR HIGHEST RESOURCE AREA]]="Yes",10*CHADUtbl[[#This Row],[RURAL % OF FUNDING]],0)</f>
        <v>0</v>
      </c>
      <c r="AB8" s="665" cm="1">
        <f t="array" ref="AB8">INDEX(CountyScoresTbl[Community Need Total Points],ROW(CHADUtbl[[#This Row],[COUNTY]])-2,1)*CHADUtbl[[#This Row],[RURAL % OF FUNDING]]</f>
        <v>0</v>
      </c>
      <c r="AC8" s="694" cm="1">
        <f t="array" ref="AC8">INDEX(CountyScoresTbl[OOR/ADU Total Feasibility Points Awarded],ROW(CHADUtbl[[#This Row],[COUNTY]])-2,1)*CHADUtbl[[#This Row],[RURAL % OF FUNDING]]</f>
        <v>0</v>
      </c>
      <c r="AD8" s="764"/>
      <c r="AE8" s="665">
        <f>IF(CHADUtbl[[#This Row],[INFILL SITE]]="Yes",5,3)*CHADUtbl[[#This Row],[UNRESTRICTED % OF FUNDING]]</f>
        <v>0</v>
      </c>
      <c r="AF8" s="665">
        <f>IF(CHADUtbl[[#This Row],[INFILL SITE]]="Yes",5,3)*CHADUtbl[[#This Row],[RURAL % OF FUNDING]]</f>
        <v>0</v>
      </c>
    </row>
    <row r="9" spans="1:32" x14ac:dyDescent="0.35">
      <c r="A9" s="167"/>
      <c r="B9" s="5" t="s">
        <v>121</v>
      </c>
      <c r="C9" s="31" t="s">
        <v>513</v>
      </c>
      <c r="D9" s="110" t="str">
        <f>IF(CHADUtbl[[#This Row],[UNITS3]]=0,"",CHADUtbl[[#This Row],[UNITS3]])</f>
        <v/>
      </c>
      <c r="E9" s="244" t="str">
        <f xml:space="preserve">
IF(CHADUtbl[[#This Row],[UNRESTRICTED FUNDING REQUESTED]]=0,"",
CHADUtbl[[#This Row],[UNRESTRICTED FUNDING REQUESTED]]*
IF(CH_ADU_UnrestrictedTotalRequested&lt;=5000000,1,
5000000/CH_ADU_UnrestrictedTotalRequested)
)</f>
        <v/>
      </c>
      <c r="F9" s="6" t="str">
        <f>IF(CHADUtbl[[#This Row],[UNRESTRICTED % OF FUNDING]]=0,"",CHADUtbl[[#This Row],[UNRESTRICTED % OF FUNDING]])</f>
        <v/>
      </c>
      <c r="G9" s="31" t="s">
        <v>513</v>
      </c>
      <c r="H9" s="110" t="str">
        <f>IF(CHADUtbl[[#This Row],[UNITS22]]=0,"",CHADUtbl[[#This Row],[UNITS22]])</f>
        <v/>
      </c>
      <c r="I9" s="244" t="str">
        <f xml:space="preserve">
IF(CHADUtbl[[#This Row],[RURAL FUNDING REQUESTED]]=0,"",
CHADUtbl[[#This Row],[RURAL FUNDING REQUESTED]]*
IF(CH_ADU_RuralTotalRequested&lt;=(5000000-E$61),1,
(5000000-E$61)/CH_ADU_RuralTotalRequested)
)</f>
        <v/>
      </c>
      <c r="J9" s="6" t="str">
        <f>IF(CHADUtbl[[#This Row],[RURAL % OF FUNDING]]=0,"",CHADUtbl[[#This Row],[RURAL % OF FUNDING]])</f>
        <v/>
      </c>
      <c r="K9" s="31" t="s">
        <v>513</v>
      </c>
      <c r="L9" s="115"/>
      <c r="M9" s="241"/>
      <c r="N9" s="245"/>
      <c r="O9" s="240"/>
      <c r="P9" s="240"/>
      <c r="Q9" s="244">
        <f t="shared" si="0"/>
        <v>0</v>
      </c>
      <c r="R9" s="6">
        <f>IF(SUM(CHADUtbl[[#This Row],[UNRESTRICTED FUNDING REQUESTED]])=0,0,CHADUtbl[[#This Row],[UNRESTRICTED FUNDING REQUESTED]]/CH_ADU_UnrestrictedTotalRequested)</f>
        <v>0</v>
      </c>
      <c r="S9" s="665">
        <f>IF(CHADUtbl[[#This Row],[ALL UNITS IN A HIGH OR HIGHEST RESOURCE AREA]]="Yes",10*CHADUtbl[[#This Row],[UNRESTRICTED % OF FUNDING]],0)</f>
        <v>0</v>
      </c>
      <c r="T9" s="665" cm="1">
        <f t="array" ref="T9">INDEX(CountyScoresTbl[Community Need Total Points],ROW(CHADUtbl[[#This Row],[COUNTY]])-2,1)*CHADUtbl[[#This Row],[UNRESTRICTED % OF FUNDING]]</f>
        <v>0</v>
      </c>
      <c r="U9" s="694" cm="1">
        <f t="array" ref="U9">INDEX(CountyScoresTbl[OOR/ADU Total Feasibility Points Awarded],ROW(CHADUtbl[[#This Row],[COUNTY]])-2,1)*CHADUtbl[[#This Row],[UNRESTRICTED % OF FUNDING]]</f>
        <v>0</v>
      </c>
      <c r="V9" s="245"/>
      <c r="W9" s="240"/>
      <c r="X9" s="240"/>
      <c r="Y9" s="244">
        <f t="shared" si="1"/>
        <v>0</v>
      </c>
      <c r="Z9" s="6">
        <f>IF(SUM(CHADUtbl[[#This Row],[RURAL FUNDING REQUESTED]])=0,0,CHADUtbl[[#This Row],[RURAL FUNDING REQUESTED]]/CH_ADU_RuralTotalRequested)</f>
        <v>0</v>
      </c>
      <c r="AA9" s="665">
        <f>IF(CHADUtbl[[#This Row],[ALL UNITS IN A HIGH OR HIGHEST RESOURCE AREA]]="Yes",10*CHADUtbl[[#This Row],[RURAL % OF FUNDING]],0)</f>
        <v>0</v>
      </c>
      <c r="AB9" s="665" cm="1">
        <f t="array" ref="AB9">INDEX(CountyScoresTbl[Community Need Total Points],ROW(CHADUtbl[[#This Row],[COUNTY]])-2,1)*CHADUtbl[[#This Row],[RURAL % OF FUNDING]]</f>
        <v>0</v>
      </c>
      <c r="AC9" s="694" cm="1">
        <f t="array" ref="AC9">INDEX(CountyScoresTbl[OOR/ADU Total Feasibility Points Awarded],ROW(CHADUtbl[[#This Row],[COUNTY]])-2,1)*CHADUtbl[[#This Row],[RURAL % OF FUNDING]]</f>
        <v>0</v>
      </c>
      <c r="AD9" s="764"/>
      <c r="AE9" s="665">
        <f>IF(CHADUtbl[[#This Row],[INFILL SITE]]="Yes",5,3)*CHADUtbl[[#This Row],[UNRESTRICTED % OF FUNDING]]</f>
        <v>0</v>
      </c>
      <c r="AF9" s="665">
        <f>IF(CHADUtbl[[#This Row],[INFILL SITE]]="Yes",5,3)*CHADUtbl[[#This Row],[RURAL % OF FUNDING]]</f>
        <v>0</v>
      </c>
    </row>
    <row r="10" spans="1:32" x14ac:dyDescent="0.35">
      <c r="A10" s="124"/>
      <c r="B10" s="5" t="s">
        <v>122</v>
      </c>
      <c r="C10" s="31" t="s">
        <v>513</v>
      </c>
      <c r="D10" s="110" t="str">
        <f>IF(CHADUtbl[[#This Row],[UNITS3]]=0,"",CHADUtbl[[#This Row],[UNITS3]])</f>
        <v/>
      </c>
      <c r="E10" s="244" t="str">
        <f xml:space="preserve">
IF(CHADUtbl[[#This Row],[UNRESTRICTED FUNDING REQUESTED]]=0,"",
CHADUtbl[[#This Row],[UNRESTRICTED FUNDING REQUESTED]]*
IF(CH_ADU_UnrestrictedTotalRequested&lt;=5000000,1,
5000000/CH_ADU_UnrestrictedTotalRequested)
)</f>
        <v/>
      </c>
      <c r="F10" s="6" t="str">
        <f>IF(CHADUtbl[[#This Row],[UNRESTRICTED % OF FUNDING]]=0,"",CHADUtbl[[#This Row],[UNRESTRICTED % OF FUNDING]])</f>
        <v/>
      </c>
      <c r="G10" s="31" t="s">
        <v>513</v>
      </c>
      <c r="H10" s="110" t="str">
        <f>IF(CHADUtbl[[#This Row],[UNITS22]]=0,"",CHADUtbl[[#This Row],[UNITS22]])</f>
        <v/>
      </c>
      <c r="I10" s="244" t="str">
        <f xml:space="preserve">
IF(CHADUtbl[[#This Row],[RURAL FUNDING REQUESTED]]=0,"",
CHADUtbl[[#This Row],[RURAL FUNDING REQUESTED]]*
IF(CH_ADU_RuralTotalRequested&lt;=(5000000-E$61),1,
(5000000-E$61)/CH_ADU_RuralTotalRequested)
)</f>
        <v/>
      </c>
      <c r="J10" s="6" t="str">
        <f>IF(CHADUtbl[[#This Row],[RURAL % OF FUNDING]]=0,"",CHADUtbl[[#This Row],[RURAL % OF FUNDING]])</f>
        <v/>
      </c>
      <c r="K10" s="31" t="s">
        <v>513</v>
      </c>
      <c r="L10" s="116"/>
      <c r="M10" s="242"/>
      <c r="N10" s="245"/>
      <c r="O10" s="240"/>
      <c r="P10" s="240"/>
      <c r="Q10" s="244">
        <f t="shared" si="0"/>
        <v>0</v>
      </c>
      <c r="R10" s="6">
        <f>IF(SUM(CHADUtbl[[#This Row],[UNRESTRICTED FUNDING REQUESTED]])=0,0,CHADUtbl[[#This Row],[UNRESTRICTED FUNDING REQUESTED]]/CH_ADU_UnrestrictedTotalRequested)</f>
        <v>0</v>
      </c>
      <c r="S10" s="665">
        <f>IF(CHADUtbl[[#This Row],[ALL UNITS IN A HIGH OR HIGHEST RESOURCE AREA]]="Yes",10*CHADUtbl[[#This Row],[UNRESTRICTED % OF FUNDING]],0)</f>
        <v>0</v>
      </c>
      <c r="T10" s="665" cm="1">
        <f t="array" ref="T10">INDEX(CountyScoresTbl[Community Need Total Points],ROW(CHADUtbl[[#This Row],[COUNTY]])-2,1)*CHADUtbl[[#This Row],[UNRESTRICTED % OF FUNDING]]</f>
        <v>0</v>
      </c>
      <c r="U10" s="694" cm="1">
        <f t="array" ref="U10">INDEX(CountyScoresTbl[OOR/ADU Total Feasibility Points Awarded],ROW(CHADUtbl[[#This Row],[COUNTY]])-2,1)*CHADUtbl[[#This Row],[UNRESTRICTED % OF FUNDING]]</f>
        <v>0</v>
      </c>
      <c r="V10" s="245"/>
      <c r="W10" s="240"/>
      <c r="X10" s="240"/>
      <c r="Y10" s="244">
        <f t="shared" si="1"/>
        <v>0</v>
      </c>
      <c r="Z10" s="6">
        <f>IF(SUM(CHADUtbl[[#This Row],[RURAL FUNDING REQUESTED]])=0,0,CHADUtbl[[#This Row],[RURAL FUNDING REQUESTED]]/CH_ADU_RuralTotalRequested)</f>
        <v>0</v>
      </c>
      <c r="AA10" s="665">
        <f>IF(CHADUtbl[[#This Row],[ALL UNITS IN A HIGH OR HIGHEST RESOURCE AREA]]="Yes",10*CHADUtbl[[#This Row],[RURAL % OF FUNDING]],0)</f>
        <v>0</v>
      </c>
      <c r="AB10" s="665" cm="1">
        <f t="array" ref="AB10">INDEX(CountyScoresTbl[Community Need Total Points],ROW(CHADUtbl[[#This Row],[COUNTY]])-2,1)*CHADUtbl[[#This Row],[RURAL % OF FUNDING]]</f>
        <v>0</v>
      </c>
      <c r="AC10" s="694" cm="1">
        <f t="array" ref="AC10">INDEX(CountyScoresTbl[OOR/ADU Total Feasibility Points Awarded],ROW(CHADUtbl[[#This Row],[COUNTY]])-2,1)*CHADUtbl[[#This Row],[RURAL % OF FUNDING]]</f>
        <v>0</v>
      </c>
      <c r="AD10" s="764"/>
      <c r="AE10" s="665">
        <f>IF(CHADUtbl[[#This Row],[INFILL SITE]]="Yes",5,3)*CHADUtbl[[#This Row],[UNRESTRICTED % OF FUNDING]]</f>
        <v>0</v>
      </c>
      <c r="AF10" s="665">
        <f>IF(CHADUtbl[[#This Row],[INFILL SITE]]="Yes",5,3)*CHADUtbl[[#This Row],[RURAL % OF FUNDING]]</f>
        <v>0</v>
      </c>
    </row>
    <row r="11" spans="1:32" x14ac:dyDescent="0.35">
      <c r="A11" s="124"/>
      <c r="B11" s="5" t="s">
        <v>123</v>
      </c>
      <c r="C11" s="31" t="s">
        <v>513</v>
      </c>
      <c r="D11" s="110" t="str">
        <f>IF(CHADUtbl[[#This Row],[UNITS3]]=0,"",CHADUtbl[[#This Row],[UNITS3]])</f>
        <v/>
      </c>
      <c r="E11" s="244" t="str">
        <f xml:space="preserve">
IF(CHADUtbl[[#This Row],[UNRESTRICTED FUNDING REQUESTED]]=0,"",
CHADUtbl[[#This Row],[UNRESTRICTED FUNDING REQUESTED]]*
IF(CH_ADU_UnrestrictedTotalRequested&lt;=5000000,1,
5000000/CH_ADU_UnrestrictedTotalRequested)
)</f>
        <v/>
      </c>
      <c r="F11" s="6" t="str">
        <f>IF(CHADUtbl[[#This Row],[UNRESTRICTED % OF FUNDING]]=0,"",CHADUtbl[[#This Row],[UNRESTRICTED % OF FUNDING]])</f>
        <v/>
      </c>
      <c r="G11" s="31" t="s">
        <v>513</v>
      </c>
      <c r="H11" s="110" t="str">
        <f>IF(CHADUtbl[[#This Row],[UNITS22]]=0,"",CHADUtbl[[#This Row],[UNITS22]])</f>
        <v/>
      </c>
      <c r="I11" s="244" t="str">
        <f xml:space="preserve">
IF(CHADUtbl[[#This Row],[RURAL FUNDING REQUESTED]]=0,"",
CHADUtbl[[#This Row],[RURAL FUNDING REQUESTED]]*
IF(CH_ADU_RuralTotalRequested&lt;=(5000000-E$61),1,
(5000000-E$61)/CH_ADU_RuralTotalRequested)
)</f>
        <v/>
      </c>
      <c r="J11" s="6" t="str">
        <f>IF(CHADUtbl[[#This Row],[RURAL % OF FUNDING]]=0,"",CHADUtbl[[#This Row],[RURAL % OF FUNDING]])</f>
        <v/>
      </c>
      <c r="K11" s="31" t="s">
        <v>513</v>
      </c>
      <c r="L11" s="116"/>
      <c r="M11" s="242"/>
      <c r="N11" s="245"/>
      <c r="O11" s="240"/>
      <c r="P11" s="240"/>
      <c r="Q11" s="244">
        <f t="shared" si="0"/>
        <v>0</v>
      </c>
      <c r="R11" s="6">
        <f>IF(SUM(CHADUtbl[[#This Row],[UNRESTRICTED FUNDING REQUESTED]])=0,0,CHADUtbl[[#This Row],[UNRESTRICTED FUNDING REQUESTED]]/CH_ADU_UnrestrictedTotalRequested)</f>
        <v>0</v>
      </c>
      <c r="S11" s="665">
        <f>IF(CHADUtbl[[#This Row],[ALL UNITS IN A HIGH OR HIGHEST RESOURCE AREA]]="Yes",10*CHADUtbl[[#This Row],[UNRESTRICTED % OF FUNDING]],0)</f>
        <v>0</v>
      </c>
      <c r="T11" s="665" cm="1">
        <f t="array" ref="T11">INDEX(CountyScoresTbl[Community Need Total Points],ROW(CHADUtbl[[#This Row],[COUNTY]])-2,1)*CHADUtbl[[#This Row],[UNRESTRICTED % OF FUNDING]]</f>
        <v>0</v>
      </c>
      <c r="U11" s="694" cm="1">
        <f t="array" ref="U11">INDEX(CountyScoresTbl[OOR/ADU Total Feasibility Points Awarded],ROW(CHADUtbl[[#This Row],[COUNTY]])-2,1)*CHADUtbl[[#This Row],[UNRESTRICTED % OF FUNDING]]</f>
        <v>0</v>
      </c>
      <c r="V11" s="245"/>
      <c r="W11" s="240"/>
      <c r="X11" s="240"/>
      <c r="Y11" s="244">
        <f t="shared" si="1"/>
        <v>0</v>
      </c>
      <c r="Z11" s="6">
        <f>IF(SUM(CHADUtbl[[#This Row],[RURAL FUNDING REQUESTED]])=0,0,CHADUtbl[[#This Row],[RURAL FUNDING REQUESTED]]/CH_ADU_RuralTotalRequested)</f>
        <v>0</v>
      </c>
      <c r="AA11" s="665">
        <f>IF(CHADUtbl[[#This Row],[ALL UNITS IN A HIGH OR HIGHEST RESOURCE AREA]]="Yes",10*CHADUtbl[[#This Row],[RURAL % OF FUNDING]],0)</f>
        <v>0</v>
      </c>
      <c r="AB11" s="665" cm="1">
        <f t="array" ref="AB11">INDEX(CountyScoresTbl[Community Need Total Points],ROW(CHADUtbl[[#This Row],[COUNTY]])-2,1)*CHADUtbl[[#This Row],[RURAL % OF FUNDING]]</f>
        <v>0</v>
      </c>
      <c r="AC11" s="694" cm="1">
        <f t="array" ref="AC11">INDEX(CountyScoresTbl[OOR/ADU Total Feasibility Points Awarded],ROW(CHADUtbl[[#This Row],[COUNTY]])-2,1)*CHADUtbl[[#This Row],[RURAL % OF FUNDING]]</f>
        <v>0</v>
      </c>
      <c r="AD11" s="764"/>
      <c r="AE11" s="665">
        <f>IF(CHADUtbl[[#This Row],[INFILL SITE]]="Yes",5,3)*CHADUtbl[[#This Row],[UNRESTRICTED % OF FUNDING]]</f>
        <v>0</v>
      </c>
      <c r="AF11" s="665">
        <f>IF(CHADUtbl[[#This Row],[INFILL SITE]]="Yes",5,3)*CHADUtbl[[#This Row],[RURAL % OF FUNDING]]</f>
        <v>0</v>
      </c>
    </row>
    <row r="12" spans="1:32" x14ac:dyDescent="0.35">
      <c r="A12" s="124"/>
      <c r="B12" s="5" t="s">
        <v>124</v>
      </c>
      <c r="C12" s="31" t="s">
        <v>513</v>
      </c>
      <c r="D12" s="110" t="str">
        <f>IF(CHADUtbl[[#This Row],[UNITS3]]=0,"",CHADUtbl[[#This Row],[UNITS3]])</f>
        <v/>
      </c>
      <c r="E12" s="244" t="str">
        <f xml:space="preserve">
IF(CHADUtbl[[#This Row],[UNRESTRICTED FUNDING REQUESTED]]=0,"",
CHADUtbl[[#This Row],[UNRESTRICTED FUNDING REQUESTED]]*
IF(CH_ADU_UnrestrictedTotalRequested&lt;=5000000,1,
5000000/CH_ADU_UnrestrictedTotalRequested)
)</f>
        <v/>
      </c>
      <c r="F12" s="6" t="str">
        <f>IF(CHADUtbl[[#This Row],[UNRESTRICTED % OF FUNDING]]=0,"",CHADUtbl[[#This Row],[UNRESTRICTED % OF FUNDING]])</f>
        <v/>
      </c>
      <c r="G12" s="31" t="s">
        <v>513</v>
      </c>
      <c r="H12" s="110" t="str">
        <f>IF(CHADUtbl[[#This Row],[UNITS22]]=0,"",CHADUtbl[[#This Row],[UNITS22]])</f>
        <v/>
      </c>
      <c r="I12" s="244" t="str">
        <f xml:space="preserve">
IF(CHADUtbl[[#This Row],[RURAL FUNDING REQUESTED]]=0,"",
CHADUtbl[[#This Row],[RURAL FUNDING REQUESTED]]*
IF(CH_ADU_RuralTotalRequested&lt;=(5000000-E$61),1,
(5000000-E$61)/CH_ADU_RuralTotalRequested)
)</f>
        <v/>
      </c>
      <c r="J12" s="6" t="str">
        <f>IF(CHADUtbl[[#This Row],[RURAL % OF FUNDING]]=0,"",CHADUtbl[[#This Row],[RURAL % OF FUNDING]])</f>
        <v/>
      </c>
      <c r="K12" s="31" t="s">
        <v>513</v>
      </c>
      <c r="L12" s="116"/>
      <c r="M12" s="242"/>
      <c r="N12" s="245"/>
      <c r="O12" s="240"/>
      <c r="P12" s="240"/>
      <c r="Q12" s="244">
        <f t="shared" si="0"/>
        <v>0</v>
      </c>
      <c r="R12" s="6">
        <f>IF(SUM(CHADUtbl[[#This Row],[UNRESTRICTED FUNDING REQUESTED]])=0,0,CHADUtbl[[#This Row],[UNRESTRICTED FUNDING REQUESTED]]/CH_ADU_UnrestrictedTotalRequested)</f>
        <v>0</v>
      </c>
      <c r="S12" s="665">
        <f>IF(CHADUtbl[[#This Row],[ALL UNITS IN A HIGH OR HIGHEST RESOURCE AREA]]="Yes",10*CHADUtbl[[#This Row],[UNRESTRICTED % OF FUNDING]],0)</f>
        <v>0</v>
      </c>
      <c r="T12" s="665" cm="1">
        <f t="array" ref="T12">INDEX(CountyScoresTbl[Community Need Total Points],ROW(CHADUtbl[[#This Row],[COUNTY]])-2,1)*CHADUtbl[[#This Row],[UNRESTRICTED % OF FUNDING]]</f>
        <v>0</v>
      </c>
      <c r="U12" s="694" cm="1">
        <f t="array" ref="U12">INDEX(CountyScoresTbl[OOR/ADU Total Feasibility Points Awarded],ROW(CHADUtbl[[#This Row],[COUNTY]])-2,1)*CHADUtbl[[#This Row],[UNRESTRICTED % OF FUNDING]]</f>
        <v>0</v>
      </c>
      <c r="V12" s="245"/>
      <c r="W12" s="240"/>
      <c r="X12" s="240"/>
      <c r="Y12" s="244">
        <f t="shared" si="1"/>
        <v>0</v>
      </c>
      <c r="Z12" s="6">
        <f>IF(SUM(CHADUtbl[[#This Row],[RURAL FUNDING REQUESTED]])=0,0,CHADUtbl[[#This Row],[RURAL FUNDING REQUESTED]]/CH_ADU_RuralTotalRequested)</f>
        <v>0</v>
      </c>
      <c r="AA12" s="665">
        <f>IF(CHADUtbl[[#This Row],[ALL UNITS IN A HIGH OR HIGHEST RESOURCE AREA]]="Yes",10*CHADUtbl[[#This Row],[RURAL % OF FUNDING]],0)</f>
        <v>0</v>
      </c>
      <c r="AB12" s="665" cm="1">
        <f t="array" ref="AB12">INDEX(CountyScoresTbl[Community Need Total Points],ROW(CHADUtbl[[#This Row],[COUNTY]])-2,1)*CHADUtbl[[#This Row],[RURAL % OF FUNDING]]</f>
        <v>0</v>
      </c>
      <c r="AC12" s="694" cm="1">
        <f t="array" ref="AC12">INDEX(CountyScoresTbl[OOR/ADU Total Feasibility Points Awarded],ROW(CHADUtbl[[#This Row],[COUNTY]])-2,1)*CHADUtbl[[#This Row],[RURAL % OF FUNDING]]</f>
        <v>0</v>
      </c>
      <c r="AD12" s="764"/>
      <c r="AE12" s="665">
        <f>IF(CHADUtbl[[#This Row],[INFILL SITE]]="Yes",5,3)*CHADUtbl[[#This Row],[UNRESTRICTED % OF FUNDING]]</f>
        <v>0</v>
      </c>
      <c r="AF12" s="665">
        <f>IF(CHADUtbl[[#This Row],[INFILL SITE]]="Yes",5,3)*CHADUtbl[[#This Row],[RURAL % OF FUNDING]]</f>
        <v>0</v>
      </c>
    </row>
    <row r="13" spans="1:32" x14ac:dyDescent="0.35">
      <c r="A13" s="167"/>
      <c r="B13" s="5" t="s">
        <v>125</v>
      </c>
      <c r="C13" s="31" t="s">
        <v>513</v>
      </c>
      <c r="D13" s="110" t="str">
        <f>IF(CHADUtbl[[#This Row],[UNITS3]]=0,"",CHADUtbl[[#This Row],[UNITS3]])</f>
        <v/>
      </c>
      <c r="E13" s="244" t="str">
        <f xml:space="preserve">
IF(CHADUtbl[[#This Row],[UNRESTRICTED FUNDING REQUESTED]]=0,"",
CHADUtbl[[#This Row],[UNRESTRICTED FUNDING REQUESTED]]*
IF(CH_ADU_UnrestrictedTotalRequested&lt;=5000000,1,
5000000/CH_ADU_UnrestrictedTotalRequested)
)</f>
        <v/>
      </c>
      <c r="F13" s="6" t="str">
        <f>IF(CHADUtbl[[#This Row],[UNRESTRICTED % OF FUNDING]]=0,"",CHADUtbl[[#This Row],[UNRESTRICTED % OF FUNDING]])</f>
        <v/>
      </c>
      <c r="G13" s="31" t="s">
        <v>513</v>
      </c>
      <c r="H13" s="110" t="str">
        <f>IF(CHADUtbl[[#This Row],[UNITS22]]=0,"",CHADUtbl[[#This Row],[UNITS22]])</f>
        <v/>
      </c>
      <c r="I13" s="244" t="str">
        <f xml:space="preserve">
IF(CHADUtbl[[#This Row],[RURAL FUNDING REQUESTED]]=0,"",
CHADUtbl[[#This Row],[RURAL FUNDING REQUESTED]]*
IF(CH_ADU_RuralTotalRequested&lt;=(5000000-E$61),1,
(5000000-E$61)/CH_ADU_RuralTotalRequested)
)</f>
        <v/>
      </c>
      <c r="J13" s="6" t="str">
        <f>IF(CHADUtbl[[#This Row],[RURAL % OF FUNDING]]=0,"",CHADUtbl[[#This Row],[RURAL % OF FUNDING]])</f>
        <v/>
      </c>
      <c r="K13" s="31" t="s">
        <v>513</v>
      </c>
      <c r="L13" s="115" t="s">
        <v>504</v>
      </c>
      <c r="M13" s="241" t="s">
        <v>504</v>
      </c>
      <c r="N13" s="245"/>
      <c r="O13" s="240"/>
      <c r="P13" s="240"/>
      <c r="Q13" s="244">
        <f t="shared" si="0"/>
        <v>0</v>
      </c>
      <c r="R13" s="6">
        <f>IF(SUM(CHADUtbl[[#This Row],[UNRESTRICTED FUNDING REQUESTED]])=0,0,CHADUtbl[[#This Row],[UNRESTRICTED FUNDING REQUESTED]]/CH_ADU_UnrestrictedTotalRequested)</f>
        <v>0</v>
      </c>
      <c r="S13" s="665">
        <f>IF(CHADUtbl[[#This Row],[ALL UNITS IN A HIGH OR HIGHEST RESOURCE AREA]]="Yes",10*CHADUtbl[[#This Row],[UNRESTRICTED % OF FUNDING]],0)</f>
        <v>0</v>
      </c>
      <c r="T13" s="665" cm="1">
        <f t="array" ref="T13">INDEX(CountyScoresTbl[Community Need Total Points],ROW(CHADUtbl[[#This Row],[COUNTY]])-2,1)*CHADUtbl[[#This Row],[UNRESTRICTED % OF FUNDING]]</f>
        <v>0</v>
      </c>
      <c r="U13" s="694" cm="1">
        <f t="array" ref="U13">INDEX(CountyScoresTbl[OOR/ADU Total Feasibility Points Awarded],ROW(CHADUtbl[[#This Row],[COUNTY]])-2,1)*CHADUtbl[[#This Row],[UNRESTRICTED % OF FUNDING]]</f>
        <v>0</v>
      </c>
      <c r="V13" s="245"/>
      <c r="W13" s="240"/>
      <c r="X13" s="240"/>
      <c r="Y13" s="244">
        <f t="shared" si="1"/>
        <v>0</v>
      </c>
      <c r="Z13" s="6">
        <f>IF(SUM(CHADUtbl[[#This Row],[RURAL FUNDING REQUESTED]])=0,0,CHADUtbl[[#This Row],[RURAL FUNDING REQUESTED]]/CH_ADU_RuralTotalRequested)</f>
        <v>0</v>
      </c>
      <c r="AA13" s="665">
        <f>IF(CHADUtbl[[#This Row],[ALL UNITS IN A HIGH OR HIGHEST RESOURCE AREA]]="Yes",10*CHADUtbl[[#This Row],[RURAL % OF FUNDING]],0)</f>
        <v>0</v>
      </c>
      <c r="AB13" s="665" cm="1">
        <f t="array" ref="AB13">INDEX(CountyScoresTbl[Community Need Total Points],ROW(CHADUtbl[[#This Row],[COUNTY]])-2,1)*CHADUtbl[[#This Row],[RURAL % OF FUNDING]]</f>
        <v>0</v>
      </c>
      <c r="AC13" s="694" cm="1">
        <f t="array" ref="AC13">INDEX(CountyScoresTbl[OOR/ADU Total Feasibility Points Awarded],ROW(CHADUtbl[[#This Row],[COUNTY]])-2,1)*CHADUtbl[[#This Row],[RURAL % OF FUNDING]]</f>
        <v>0</v>
      </c>
      <c r="AD13" s="764"/>
      <c r="AE13" s="665">
        <f>IF(CHADUtbl[[#This Row],[INFILL SITE]]="Yes",5,3)*CHADUtbl[[#This Row],[UNRESTRICTED % OF FUNDING]]</f>
        <v>0</v>
      </c>
      <c r="AF13" s="665">
        <f>IF(CHADUtbl[[#This Row],[INFILL SITE]]="Yes",5,3)*CHADUtbl[[#This Row],[RURAL % OF FUNDING]]</f>
        <v>0</v>
      </c>
    </row>
    <row r="14" spans="1:32" x14ac:dyDescent="0.35">
      <c r="A14" s="124"/>
      <c r="B14" s="5" t="s">
        <v>126</v>
      </c>
      <c r="C14" s="31" t="s">
        <v>513</v>
      </c>
      <c r="D14" s="110" t="str">
        <f>IF(CHADUtbl[[#This Row],[UNITS3]]=0,"",CHADUtbl[[#This Row],[UNITS3]])</f>
        <v/>
      </c>
      <c r="E14" s="244" t="str">
        <f xml:space="preserve">
IF(CHADUtbl[[#This Row],[UNRESTRICTED FUNDING REQUESTED]]=0,"",
CHADUtbl[[#This Row],[UNRESTRICTED FUNDING REQUESTED]]*
IF(CH_ADU_UnrestrictedTotalRequested&lt;=5000000,1,
5000000/CH_ADU_UnrestrictedTotalRequested)
)</f>
        <v/>
      </c>
      <c r="F14" s="6" t="str">
        <f>IF(CHADUtbl[[#This Row],[UNRESTRICTED % OF FUNDING]]=0,"",CHADUtbl[[#This Row],[UNRESTRICTED % OF FUNDING]])</f>
        <v/>
      </c>
      <c r="G14" s="31" t="s">
        <v>513</v>
      </c>
      <c r="H14" s="110" t="str">
        <f>IF(CHADUtbl[[#This Row],[UNITS22]]=0,"",CHADUtbl[[#This Row],[UNITS22]])</f>
        <v/>
      </c>
      <c r="I14" s="244" t="str">
        <f xml:space="preserve">
IF(CHADUtbl[[#This Row],[RURAL FUNDING REQUESTED]]=0,"",
CHADUtbl[[#This Row],[RURAL FUNDING REQUESTED]]*
IF(CH_ADU_RuralTotalRequested&lt;=(5000000-E$61),1,
(5000000-E$61)/CH_ADU_RuralTotalRequested)
)</f>
        <v/>
      </c>
      <c r="J14" s="6" t="str">
        <f>IF(CHADUtbl[[#This Row],[RURAL % OF FUNDING]]=0,"",CHADUtbl[[#This Row],[RURAL % OF FUNDING]])</f>
        <v/>
      </c>
      <c r="K14" s="31" t="s">
        <v>513</v>
      </c>
      <c r="L14" s="116"/>
      <c r="M14" s="242"/>
      <c r="N14" s="245"/>
      <c r="O14" s="240"/>
      <c r="P14" s="240"/>
      <c r="Q14" s="244">
        <f t="shared" si="0"/>
        <v>0</v>
      </c>
      <c r="R14" s="6">
        <f>IF(SUM(CHADUtbl[[#This Row],[UNRESTRICTED FUNDING REQUESTED]])=0,0,CHADUtbl[[#This Row],[UNRESTRICTED FUNDING REQUESTED]]/CH_ADU_UnrestrictedTotalRequested)</f>
        <v>0</v>
      </c>
      <c r="S14" s="665">
        <f>IF(CHADUtbl[[#This Row],[ALL UNITS IN A HIGH OR HIGHEST RESOURCE AREA]]="Yes",10*CHADUtbl[[#This Row],[UNRESTRICTED % OF FUNDING]],0)</f>
        <v>0</v>
      </c>
      <c r="T14" s="665" cm="1">
        <f t="array" ref="T14">INDEX(CountyScoresTbl[Community Need Total Points],ROW(CHADUtbl[[#This Row],[COUNTY]])-2,1)*CHADUtbl[[#This Row],[UNRESTRICTED % OF FUNDING]]</f>
        <v>0</v>
      </c>
      <c r="U14" s="694" cm="1">
        <f t="array" ref="U14">INDEX(CountyScoresTbl[OOR/ADU Total Feasibility Points Awarded],ROW(CHADUtbl[[#This Row],[COUNTY]])-2,1)*CHADUtbl[[#This Row],[UNRESTRICTED % OF FUNDING]]</f>
        <v>0</v>
      </c>
      <c r="V14" s="245"/>
      <c r="W14" s="240"/>
      <c r="X14" s="240"/>
      <c r="Y14" s="244">
        <f t="shared" si="1"/>
        <v>0</v>
      </c>
      <c r="Z14" s="6">
        <f>IF(SUM(CHADUtbl[[#This Row],[RURAL FUNDING REQUESTED]])=0,0,CHADUtbl[[#This Row],[RURAL FUNDING REQUESTED]]/CH_ADU_RuralTotalRequested)</f>
        <v>0</v>
      </c>
      <c r="AA14" s="665">
        <f>IF(CHADUtbl[[#This Row],[ALL UNITS IN A HIGH OR HIGHEST RESOURCE AREA]]="Yes",10*CHADUtbl[[#This Row],[RURAL % OF FUNDING]],0)</f>
        <v>0</v>
      </c>
      <c r="AB14" s="665" cm="1">
        <f t="array" ref="AB14">INDEX(CountyScoresTbl[Community Need Total Points],ROW(CHADUtbl[[#This Row],[COUNTY]])-2,1)*CHADUtbl[[#This Row],[RURAL % OF FUNDING]]</f>
        <v>0</v>
      </c>
      <c r="AC14" s="694" cm="1">
        <f t="array" ref="AC14">INDEX(CountyScoresTbl[OOR/ADU Total Feasibility Points Awarded],ROW(CHADUtbl[[#This Row],[COUNTY]])-2,1)*CHADUtbl[[#This Row],[RURAL % OF FUNDING]]</f>
        <v>0</v>
      </c>
      <c r="AD14" s="764"/>
      <c r="AE14" s="665">
        <f>IF(CHADUtbl[[#This Row],[INFILL SITE]]="Yes",5,3)*CHADUtbl[[#This Row],[UNRESTRICTED % OF FUNDING]]</f>
        <v>0</v>
      </c>
      <c r="AF14" s="665">
        <f>IF(CHADUtbl[[#This Row],[INFILL SITE]]="Yes",5,3)*CHADUtbl[[#This Row],[RURAL % OF FUNDING]]</f>
        <v>0</v>
      </c>
    </row>
    <row r="15" spans="1:32" x14ac:dyDescent="0.35">
      <c r="A15" s="167"/>
      <c r="B15" s="5" t="s">
        <v>127</v>
      </c>
      <c r="C15" s="31" t="s">
        <v>513</v>
      </c>
      <c r="D15" s="110" t="str">
        <f>IF(CHADUtbl[[#This Row],[UNITS3]]=0,"",CHADUtbl[[#This Row],[UNITS3]])</f>
        <v/>
      </c>
      <c r="E15" s="244" t="str">
        <f xml:space="preserve">
IF(CHADUtbl[[#This Row],[UNRESTRICTED FUNDING REQUESTED]]=0,"",
CHADUtbl[[#This Row],[UNRESTRICTED FUNDING REQUESTED]]*
IF(CH_ADU_UnrestrictedTotalRequested&lt;=5000000,1,
5000000/CH_ADU_UnrestrictedTotalRequested)
)</f>
        <v/>
      </c>
      <c r="F15" s="6" t="str">
        <f>IF(CHADUtbl[[#This Row],[UNRESTRICTED % OF FUNDING]]=0,"",CHADUtbl[[#This Row],[UNRESTRICTED % OF FUNDING]])</f>
        <v/>
      </c>
      <c r="G15" s="31" t="s">
        <v>513</v>
      </c>
      <c r="H15" s="110" t="str">
        <f>IF(CHADUtbl[[#This Row],[UNITS22]]=0,"",CHADUtbl[[#This Row],[UNITS22]])</f>
        <v/>
      </c>
      <c r="I15" s="244" t="str">
        <f xml:space="preserve">
IF(CHADUtbl[[#This Row],[RURAL FUNDING REQUESTED]]=0,"",
CHADUtbl[[#This Row],[RURAL FUNDING REQUESTED]]*
IF(CH_ADU_RuralTotalRequested&lt;=(5000000-E$61),1,
(5000000-E$61)/CH_ADU_RuralTotalRequested)
)</f>
        <v/>
      </c>
      <c r="J15" s="6" t="str">
        <f>IF(CHADUtbl[[#This Row],[RURAL % OF FUNDING]]=0,"",CHADUtbl[[#This Row],[RURAL % OF FUNDING]])</f>
        <v/>
      </c>
      <c r="K15" s="31" t="s">
        <v>513</v>
      </c>
      <c r="L15" s="115"/>
      <c r="M15" s="241"/>
      <c r="N15" s="245"/>
      <c r="O15" s="240"/>
      <c r="P15" s="240"/>
      <c r="Q15" s="244">
        <f t="shared" si="0"/>
        <v>0</v>
      </c>
      <c r="R15" s="6">
        <f>IF(SUM(CHADUtbl[[#This Row],[UNRESTRICTED FUNDING REQUESTED]])=0,0,CHADUtbl[[#This Row],[UNRESTRICTED FUNDING REQUESTED]]/CH_ADU_UnrestrictedTotalRequested)</f>
        <v>0</v>
      </c>
      <c r="S15" s="665">
        <f>IF(CHADUtbl[[#This Row],[ALL UNITS IN A HIGH OR HIGHEST RESOURCE AREA]]="Yes",10*CHADUtbl[[#This Row],[UNRESTRICTED % OF FUNDING]],0)</f>
        <v>0</v>
      </c>
      <c r="T15" s="665" cm="1">
        <f t="array" ref="T15">INDEX(CountyScoresTbl[Community Need Total Points],ROW(CHADUtbl[[#This Row],[COUNTY]])-2,1)*CHADUtbl[[#This Row],[UNRESTRICTED % OF FUNDING]]</f>
        <v>0</v>
      </c>
      <c r="U15" s="694" cm="1">
        <f t="array" ref="U15">INDEX(CountyScoresTbl[OOR/ADU Total Feasibility Points Awarded],ROW(CHADUtbl[[#This Row],[COUNTY]])-2,1)*CHADUtbl[[#This Row],[UNRESTRICTED % OF FUNDING]]</f>
        <v>0</v>
      </c>
      <c r="V15" s="245"/>
      <c r="W15" s="240"/>
      <c r="X15" s="240"/>
      <c r="Y15" s="244">
        <f t="shared" si="1"/>
        <v>0</v>
      </c>
      <c r="Z15" s="6">
        <f>IF(SUM(CHADUtbl[[#This Row],[RURAL FUNDING REQUESTED]])=0,0,CHADUtbl[[#This Row],[RURAL FUNDING REQUESTED]]/CH_ADU_RuralTotalRequested)</f>
        <v>0</v>
      </c>
      <c r="AA15" s="665">
        <f>IF(CHADUtbl[[#This Row],[ALL UNITS IN A HIGH OR HIGHEST RESOURCE AREA]]="Yes",10*CHADUtbl[[#This Row],[RURAL % OF FUNDING]],0)</f>
        <v>0</v>
      </c>
      <c r="AB15" s="665" cm="1">
        <f t="array" ref="AB15">INDEX(CountyScoresTbl[Community Need Total Points],ROW(CHADUtbl[[#This Row],[COUNTY]])-2,1)*CHADUtbl[[#This Row],[RURAL % OF FUNDING]]</f>
        <v>0</v>
      </c>
      <c r="AC15" s="694" cm="1">
        <f t="array" ref="AC15">INDEX(CountyScoresTbl[OOR/ADU Total Feasibility Points Awarded],ROW(CHADUtbl[[#This Row],[COUNTY]])-2,1)*CHADUtbl[[#This Row],[RURAL % OF FUNDING]]</f>
        <v>0</v>
      </c>
      <c r="AD15" s="764"/>
      <c r="AE15" s="665">
        <f>IF(CHADUtbl[[#This Row],[INFILL SITE]]="Yes",5,3)*CHADUtbl[[#This Row],[UNRESTRICTED % OF FUNDING]]</f>
        <v>0</v>
      </c>
      <c r="AF15" s="665">
        <f>IF(CHADUtbl[[#This Row],[INFILL SITE]]="Yes",5,3)*CHADUtbl[[#This Row],[RURAL % OF FUNDING]]</f>
        <v>0</v>
      </c>
    </row>
    <row r="16" spans="1:32" x14ac:dyDescent="0.35">
      <c r="A16" s="167"/>
      <c r="B16" s="5" t="s">
        <v>128</v>
      </c>
      <c r="C16" s="31" t="s">
        <v>513</v>
      </c>
      <c r="D16" s="110" t="str">
        <f>IF(CHADUtbl[[#This Row],[UNITS3]]=0,"",CHADUtbl[[#This Row],[UNITS3]])</f>
        <v/>
      </c>
      <c r="E16" s="244" t="str">
        <f xml:space="preserve">
IF(CHADUtbl[[#This Row],[UNRESTRICTED FUNDING REQUESTED]]=0,"",
CHADUtbl[[#This Row],[UNRESTRICTED FUNDING REQUESTED]]*
IF(CH_ADU_UnrestrictedTotalRequested&lt;=5000000,1,
5000000/CH_ADU_UnrestrictedTotalRequested)
)</f>
        <v/>
      </c>
      <c r="F16" s="6" t="str">
        <f>IF(CHADUtbl[[#This Row],[UNRESTRICTED % OF FUNDING]]=0,"",CHADUtbl[[#This Row],[UNRESTRICTED % OF FUNDING]])</f>
        <v/>
      </c>
      <c r="G16" s="31" t="s">
        <v>513</v>
      </c>
      <c r="H16" s="110" t="str">
        <f>IF(CHADUtbl[[#This Row],[UNITS22]]=0,"",CHADUtbl[[#This Row],[UNITS22]])</f>
        <v/>
      </c>
      <c r="I16" s="244" t="str">
        <f xml:space="preserve">
IF(CHADUtbl[[#This Row],[RURAL FUNDING REQUESTED]]=0,"",
CHADUtbl[[#This Row],[RURAL FUNDING REQUESTED]]*
IF(CH_ADU_RuralTotalRequested&lt;=(5000000-E$61),1,
(5000000-E$61)/CH_ADU_RuralTotalRequested)
)</f>
        <v/>
      </c>
      <c r="J16" s="6" t="str">
        <f>IF(CHADUtbl[[#This Row],[RURAL % OF FUNDING]]=0,"",CHADUtbl[[#This Row],[RURAL % OF FUNDING]])</f>
        <v/>
      </c>
      <c r="K16" s="31" t="s">
        <v>513</v>
      </c>
      <c r="L16" s="115"/>
      <c r="M16" s="241"/>
      <c r="N16" s="245"/>
      <c r="O16" s="240"/>
      <c r="P16" s="240"/>
      <c r="Q16" s="244">
        <f t="shared" si="0"/>
        <v>0</v>
      </c>
      <c r="R16" s="6">
        <f>IF(SUM(CHADUtbl[[#This Row],[UNRESTRICTED FUNDING REQUESTED]])=0,0,CHADUtbl[[#This Row],[UNRESTRICTED FUNDING REQUESTED]]/CH_ADU_UnrestrictedTotalRequested)</f>
        <v>0</v>
      </c>
      <c r="S16" s="665">
        <f>IF(CHADUtbl[[#This Row],[ALL UNITS IN A HIGH OR HIGHEST RESOURCE AREA]]="Yes",10*CHADUtbl[[#This Row],[UNRESTRICTED % OF FUNDING]],0)</f>
        <v>0</v>
      </c>
      <c r="T16" s="665" cm="1">
        <f t="array" ref="T16">INDEX(CountyScoresTbl[Community Need Total Points],ROW(CHADUtbl[[#This Row],[COUNTY]])-2,1)*CHADUtbl[[#This Row],[UNRESTRICTED % OF FUNDING]]</f>
        <v>0</v>
      </c>
      <c r="U16" s="694" cm="1">
        <f t="array" ref="U16">INDEX(CountyScoresTbl[OOR/ADU Total Feasibility Points Awarded],ROW(CHADUtbl[[#This Row],[COUNTY]])-2,1)*CHADUtbl[[#This Row],[UNRESTRICTED % OF FUNDING]]</f>
        <v>0</v>
      </c>
      <c r="V16" s="245"/>
      <c r="W16" s="240"/>
      <c r="X16" s="240"/>
      <c r="Y16" s="244">
        <f t="shared" si="1"/>
        <v>0</v>
      </c>
      <c r="Z16" s="6">
        <f>IF(SUM(CHADUtbl[[#This Row],[RURAL FUNDING REQUESTED]])=0,0,CHADUtbl[[#This Row],[RURAL FUNDING REQUESTED]]/CH_ADU_RuralTotalRequested)</f>
        <v>0</v>
      </c>
      <c r="AA16" s="665">
        <f>IF(CHADUtbl[[#This Row],[ALL UNITS IN A HIGH OR HIGHEST RESOURCE AREA]]="Yes",10*CHADUtbl[[#This Row],[RURAL % OF FUNDING]],0)</f>
        <v>0</v>
      </c>
      <c r="AB16" s="665" cm="1">
        <f t="array" ref="AB16">INDEX(CountyScoresTbl[Community Need Total Points],ROW(CHADUtbl[[#This Row],[COUNTY]])-2,1)*CHADUtbl[[#This Row],[RURAL % OF FUNDING]]</f>
        <v>0</v>
      </c>
      <c r="AC16" s="694" cm="1">
        <f t="array" ref="AC16">INDEX(CountyScoresTbl[OOR/ADU Total Feasibility Points Awarded],ROW(CHADUtbl[[#This Row],[COUNTY]])-2,1)*CHADUtbl[[#This Row],[RURAL % OF FUNDING]]</f>
        <v>0</v>
      </c>
      <c r="AD16" s="764"/>
      <c r="AE16" s="665">
        <f>IF(CHADUtbl[[#This Row],[INFILL SITE]]="Yes",5,3)*CHADUtbl[[#This Row],[UNRESTRICTED % OF FUNDING]]</f>
        <v>0</v>
      </c>
      <c r="AF16" s="665">
        <f>IF(CHADUtbl[[#This Row],[INFILL SITE]]="Yes",5,3)*CHADUtbl[[#This Row],[RURAL % OF FUNDING]]</f>
        <v>0</v>
      </c>
    </row>
    <row r="17" spans="1:32" x14ac:dyDescent="0.35">
      <c r="A17" s="124"/>
      <c r="B17" s="5" t="s">
        <v>129</v>
      </c>
      <c r="C17" s="31" t="s">
        <v>513</v>
      </c>
      <c r="D17" s="110" t="str">
        <f>IF(CHADUtbl[[#This Row],[UNITS3]]=0,"",CHADUtbl[[#This Row],[UNITS3]])</f>
        <v/>
      </c>
      <c r="E17" s="244" t="str">
        <f xml:space="preserve">
IF(CHADUtbl[[#This Row],[UNRESTRICTED FUNDING REQUESTED]]=0,"",
CHADUtbl[[#This Row],[UNRESTRICTED FUNDING REQUESTED]]*
IF(CH_ADU_UnrestrictedTotalRequested&lt;=5000000,1,
5000000/CH_ADU_UnrestrictedTotalRequested)
)</f>
        <v/>
      </c>
      <c r="F17" s="6" t="str">
        <f>IF(CHADUtbl[[#This Row],[UNRESTRICTED % OF FUNDING]]=0,"",CHADUtbl[[#This Row],[UNRESTRICTED % OF FUNDING]])</f>
        <v/>
      </c>
      <c r="G17" s="31" t="s">
        <v>513</v>
      </c>
      <c r="H17" s="110" t="str">
        <f>IF(CHADUtbl[[#This Row],[UNITS22]]=0,"",CHADUtbl[[#This Row],[UNITS22]])</f>
        <v/>
      </c>
      <c r="I17" s="244" t="str">
        <f xml:space="preserve">
IF(CHADUtbl[[#This Row],[RURAL FUNDING REQUESTED]]=0,"",
CHADUtbl[[#This Row],[RURAL FUNDING REQUESTED]]*
IF(CH_ADU_RuralTotalRequested&lt;=(5000000-E$61),1,
(5000000-E$61)/CH_ADU_RuralTotalRequested)
)</f>
        <v/>
      </c>
      <c r="J17" s="6" t="str">
        <f>IF(CHADUtbl[[#This Row],[RURAL % OF FUNDING]]=0,"",CHADUtbl[[#This Row],[RURAL % OF FUNDING]])</f>
        <v/>
      </c>
      <c r="K17" s="31" t="s">
        <v>513</v>
      </c>
      <c r="L17" s="116"/>
      <c r="M17" s="242"/>
      <c r="N17" s="245"/>
      <c r="O17" s="240"/>
      <c r="P17" s="240"/>
      <c r="Q17" s="244">
        <f t="shared" si="0"/>
        <v>0</v>
      </c>
      <c r="R17" s="6">
        <f>IF(SUM(CHADUtbl[[#This Row],[UNRESTRICTED FUNDING REQUESTED]])=0,0,CHADUtbl[[#This Row],[UNRESTRICTED FUNDING REQUESTED]]/CH_ADU_UnrestrictedTotalRequested)</f>
        <v>0</v>
      </c>
      <c r="S17" s="665">
        <f>IF(CHADUtbl[[#This Row],[ALL UNITS IN A HIGH OR HIGHEST RESOURCE AREA]]="Yes",10*CHADUtbl[[#This Row],[UNRESTRICTED % OF FUNDING]],0)</f>
        <v>0</v>
      </c>
      <c r="T17" s="665" cm="1">
        <f t="array" ref="T17">INDEX(CountyScoresTbl[Community Need Total Points],ROW(CHADUtbl[[#This Row],[COUNTY]])-2,1)*CHADUtbl[[#This Row],[UNRESTRICTED % OF FUNDING]]</f>
        <v>0</v>
      </c>
      <c r="U17" s="694" cm="1">
        <f t="array" ref="U17">INDEX(CountyScoresTbl[OOR/ADU Total Feasibility Points Awarded],ROW(CHADUtbl[[#This Row],[COUNTY]])-2,1)*CHADUtbl[[#This Row],[UNRESTRICTED % OF FUNDING]]</f>
        <v>0</v>
      </c>
      <c r="V17" s="245"/>
      <c r="W17" s="240"/>
      <c r="X17" s="240"/>
      <c r="Y17" s="244">
        <f t="shared" si="1"/>
        <v>0</v>
      </c>
      <c r="Z17" s="6">
        <f>IF(SUM(CHADUtbl[[#This Row],[RURAL FUNDING REQUESTED]])=0,0,CHADUtbl[[#This Row],[RURAL FUNDING REQUESTED]]/CH_ADU_RuralTotalRequested)</f>
        <v>0</v>
      </c>
      <c r="AA17" s="665">
        <f>IF(CHADUtbl[[#This Row],[ALL UNITS IN A HIGH OR HIGHEST RESOURCE AREA]]="Yes",10*CHADUtbl[[#This Row],[RURAL % OF FUNDING]],0)</f>
        <v>0</v>
      </c>
      <c r="AB17" s="665" cm="1">
        <f t="array" ref="AB17">INDEX(CountyScoresTbl[Community Need Total Points],ROW(CHADUtbl[[#This Row],[COUNTY]])-2,1)*CHADUtbl[[#This Row],[RURAL % OF FUNDING]]</f>
        <v>0</v>
      </c>
      <c r="AC17" s="694" cm="1">
        <f t="array" ref="AC17">INDEX(CountyScoresTbl[OOR/ADU Total Feasibility Points Awarded],ROW(CHADUtbl[[#This Row],[COUNTY]])-2,1)*CHADUtbl[[#This Row],[RURAL % OF FUNDING]]</f>
        <v>0</v>
      </c>
      <c r="AD17" s="764"/>
      <c r="AE17" s="665">
        <f>IF(CHADUtbl[[#This Row],[INFILL SITE]]="Yes",5,3)*CHADUtbl[[#This Row],[UNRESTRICTED % OF FUNDING]]</f>
        <v>0</v>
      </c>
      <c r="AF17" s="665">
        <f>IF(CHADUtbl[[#This Row],[INFILL SITE]]="Yes",5,3)*CHADUtbl[[#This Row],[RURAL % OF FUNDING]]</f>
        <v>0</v>
      </c>
    </row>
    <row r="18" spans="1:32" x14ac:dyDescent="0.35">
      <c r="A18" s="124"/>
      <c r="B18" s="5" t="s">
        <v>130</v>
      </c>
      <c r="C18" s="31" t="s">
        <v>513</v>
      </c>
      <c r="D18" s="110" t="str">
        <f>IF(CHADUtbl[[#This Row],[UNITS3]]=0,"",CHADUtbl[[#This Row],[UNITS3]])</f>
        <v/>
      </c>
      <c r="E18" s="244" t="str">
        <f xml:space="preserve">
IF(CHADUtbl[[#This Row],[UNRESTRICTED FUNDING REQUESTED]]=0,"",
CHADUtbl[[#This Row],[UNRESTRICTED FUNDING REQUESTED]]*
IF(CH_ADU_UnrestrictedTotalRequested&lt;=5000000,1,
5000000/CH_ADU_UnrestrictedTotalRequested)
)</f>
        <v/>
      </c>
      <c r="F18" s="6" t="str">
        <f>IF(CHADUtbl[[#This Row],[UNRESTRICTED % OF FUNDING]]=0,"",CHADUtbl[[#This Row],[UNRESTRICTED % OF FUNDING]])</f>
        <v/>
      </c>
      <c r="G18" s="31" t="s">
        <v>513</v>
      </c>
      <c r="H18" s="110" t="str">
        <f>IF(CHADUtbl[[#This Row],[UNITS22]]=0,"",CHADUtbl[[#This Row],[UNITS22]])</f>
        <v/>
      </c>
      <c r="I18" s="244" t="str">
        <f xml:space="preserve">
IF(CHADUtbl[[#This Row],[RURAL FUNDING REQUESTED]]=0,"",
CHADUtbl[[#This Row],[RURAL FUNDING REQUESTED]]*
IF(CH_ADU_RuralTotalRequested&lt;=(5000000-E$61),1,
(5000000-E$61)/CH_ADU_RuralTotalRequested)
)</f>
        <v/>
      </c>
      <c r="J18" s="6" t="str">
        <f>IF(CHADUtbl[[#This Row],[RURAL % OF FUNDING]]=0,"",CHADUtbl[[#This Row],[RURAL % OF FUNDING]])</f>
        <v/>
      </c>
      <c r="K18" s="31" t="s">
        <v>513</v>
      </c>
      <c r="L18" s="116"/>
      <c r="M18" s="242"/>
      <c r="N18" s="245"/>
      <c r="O18" s="240"/>
      <c r="P18" s="240"/>
      <c r="Q18" s="244">
        <f t="shared" si="0"/>
        <v>0</v>
      </c>
      <c r="R18" s="6">
        <f>IF(SUM(CHADUtbl[[#This Row],[UNRESTRICTED FUNDING REQUESTED]])=0,0,CHADUtbl[[#This Row],[UNRESTRICTED FUNDING REQUESTED]]/CH_ADU_UnrestrictedTotalRequested)</f>
        <v>0</v>
      </c>
      <c r="S18" s="665">
        <f>IF(CHADUtbl[[#This Row],[ALL UNITS IN A HIGH OR HIGHEST RESOURCE AREA]]="Yes",10*CHADUtbl[[#This Row],[UNRESTRICTED % OF FUNDING]],0)</f>
        <v>0</v>
      </c>
      <c r="T18" s="665" cm="1">
        <f t="array" ref="T18">INDEX(CountyScoresTbl[Community Need Total Points],ROW(CHADUtbl[[#This Row],[COUNTY]])-2,1)*CHADUtbl[[#This Row],[UNRESTRICTED % OF FUNDING]]</f>
        <v>0</v>
      </c>
      <c r="U18" s="694" cm="1">
        <f t="array" ref="U18">INDEX(CountyScoresTbl[OOR/ADU Total Feasibility Points Awarded],ROW(CHADUtbl[[#This Row],[COUNTY]])-2,1)*CHADUtbl[[#This Row],[UNRESTRICTED % OF FUNDING]]</f>
        <v>0</v>
      </c>
      <c r="V18" s="245"/>
      <c r="W18" s="240"/>
      <c r="X18" s="240"/>
      <c r="Y18" s="244">
        <f t="shared" si="1"/>
        <v>0</v>
      </c>
      <c r="Z18" s="6">
        <f>IF(SUM(CHADUtbl[[#This Row],[RURAL FUNDING REQUESTED]])=0,0,CHADUtbl[[#This Row],[RURAL FUNDING REQUESTED]]/CH_ADU_RuralTotalRequested)</f>
        <v>0</v>
      </c>
      <c r="AA18" s="665">
        <f>IF(CHADUtbl[[#This Row],[ALL UNITS IN A HIGH OR HIGHEST RESOURCE AREA]]="Yes",10*CHADUtbl[[#This Row],[RURAL % OF FUNDING]],0)</f>
        <v>0</v>
      </c>
      <c r="AB18" s="665" cm="1">
        <f t="array" ref="AB18">INDEX(CountyScoresTbl[Community Need Total Points],ROW(CHADUtbl[[#This Row],[COUNTY]])-2,1)*CHADUtbl[[#This Row],[RURAL % OF FUNDING]]</f>
        <v>0</v>
      </c>
      <c r="AC18" s="694" cm="1">
        <f t="array" ref="AC18">INDEX(CountyScoresTbl[OOR/ADU Total Feasibility Points Awarded],ROW(CHADUtbl[[#This Row],[COUNTY]])-2,1)*CHADUtbl[[#This Row],[RURAL % OF FUNDING]]</f>
        <v>0</v>
      </c>
      <c r="AD18" s="764"/>
      <c r="AE18" s="665">
        <f>IF(CHADUtbl[[#This Row],[INFILL SITE]]="Yes",5,3)*CHADUtbl[[#This Row],[UNRESTRICTED % OF FUNDING]]</f>
        <v>0</v>
      </c>
      <c r="AF18" s="665">
        <f>IF(CHADUtbl[[#This Row],[INFILL SITE]]="Yes",5,3)*CHADUtbl[[#This Row],[RURAL % OF FUNDING]]</f>
        <v>0</v>
      </c>
    </row>
    <row r="19" spans="1:32" x14ac:dyDescent="0.35">
      <c r="A19" s="167"/>
      <c r="B19" s="5" t="s">
        <v>131</v>
      </c>
      <c r="C19" s="31" t="s">
        <v>513</v>
      </c>
      <c r="D19" s="110" t="str">
        <f>IF(CHADUtbl[[#This Row],[UNITS3]]=0,"",CHADUtbl[[#This Row],[UNITS3]])</f>
        <v/>
      </c>
      <c r="E19" s="244" t="str">
        <f xml:space="preserve">
IF(CHADUtbl[[#This Row],[UNRESTRICTED FUNDING REQUESTED]]=0,"",
CHADUtbl[[#This Row],[UNRESTRICTED FUNDING REQUESTED]]*
IF(CH_ADU_UnrestrictedTotalRequested&lt;=5000000,1,
5000000/CH_ADU_UnrestrictedTotalRequested)
)</f>
        <v/>
      </c>
      <c r="F19" s="6" t="str">
        <f>IF(CHADUtbl[[#This Row],[UNRESTRICTED % OF FUNDING]]=0,"",CHADUtbl[[#This Row],[UNRESTRICTED % OF FUNDING]])</f>
        <v/>
      </c>
      <c r="G19" s="31" t="s">
        <v>513</v>
      </c>
      <c r="H19" s="110" t="str">
        <f>IF(CHADUtbl[[#This Row],[UNITS22]]=0,"",CHADUtbl[[#This Row],[UNITS22]])</f>
        <v/>
      </c>
      <c r="I19" s="244" t="str">
        <f xml:space="preserve">
IF(CHADUtbl[[#This Row],[RURAL FUNDING REQUESTED]]=0,"",
CHADUtbl[[#This Row],[RURAL FUNDING REQUESTED]]*
IF(CH_ADU_RuralTotalRequested&lt;=(5000000-E$61),1,
(5000000-E$61)/CH_ADU_RuralTotalRequested)
)</f>
        <v/>
      </c>
      <c r="J19" s="6" t="str">
        <f>IF(CHADUtbl[[#This Row],[RURAL % OF FUNDING]]=0,"",CHADUtbl[[#This Row],[RURAL % OF FUNDING]])</f>
        <v/>
      </c>
      <c r="K19" s="31" t="s">
        <v>513</v>
      </c>
      <c r="L19" s="115"/>
      <c r="M19" s="241"/>
      <c r="N19" s="245"/>
      <c r="O19" s="240"/>
      <c r="P19" s="240"/>
      <c r="Q19" s="244">
        <f t="shared" si="0"/>
        <v>0</v>
      </c>
      <c r="R19" s="6">
        <f>IF(SUM(CHADUtbl[[#This Row],[UNRESTRICTED FUNDING REQUESTED]])=0,0,CHADUtbl[[#This Row],[UNRESTRICTED FUNDING REQUESTED]]/CH_ADU_UnrestrictedTotalRequested)</f>
        <v>0</v>
      </c>
      <c r="S19" s="665">
        <f>IF(CHADUtbl[[#This Row],[ALL UNITS IN A HIGH OR HIGHEST RESOURCE AREA]]="Yes",10*CHADUtbl[[#This Row],[UNRESTRICTED % OF FUNDING]],0)</f>
        <v>0</v>
      </c>
      <c r="T19" s="665" cm="1">
        <f t="array" ref="T19">INDEX(CountyScoresTbl[Community Need Total Points],ROW(CHADUtbl[[#This Row],[COUNTY]])-2,1)*CHADUtbl[[#This Row],[UNRESTRICTED % OF FUNDING]]</f>
        <v>0</v>
      </c>
      <c r="U19" s="694" cm="1">
        <f t="array" ref="U19">INDEX(CountyScoresTbl[OOR/ADU Total Feasibility Points Awarded],ROW(CHADUtbl[[#This Row],[COUNTY]])-2,1)*CHADUtbl[[#This Row],[UNRESTRICTED % OF FUNDING]]</f>
        <v>0</v>
      </c>
      <c r="V19" s="245"/>
      <c r="W19" s="240"/>
      <c r="X19" s="240"/>
      <c r="Y19" s="244">
        <f t="shared" si="1"/>
        <v>0</v>
      </c>
      <c r="Z19" s="6">
        <f>IF(SUM(CHADUtbl[[#This Row],[RURAL FUNDING REQUESTED]])=0,0,CHADUtbl[[#This Row],[RURAL FUNDING REQUESTED]]/CH_ADU_RuralTotalRequested)</f>
        <v>0</v>
      </c>
      <c r="AA19" s="665">
        <f>IF(CHADUtbl[[#This Row],[ALL UNITS IN A HIGH OR HIGHEST RESOURCE AREA]]="Yes",10*CHADUtbl[[#This Row],[RURAL % OF FUNDING]],0)</f>
        <v>0</v>
      </c>
      <c r="AB19" s="665" cm="1">
        <f t="array" ref="AB19">INDEX(CountyScoresTbl[Community Need Total Points],ROW(CHADUtbl[[#This Row],[COUNTY]])-2,1)*CHADUtbl[[#This Row],[RURAL % OF FUNDING]]</f>
        <v>0</v>
      </c>
      <c r="AC19" s="694" cm="1">
        <f t="array" ref="AC19">INDEX(CountyScoresTbl[OOR/ADU Total Feasibility Points Awarded],ROW(CHADUtbl[[#This Row],[COUNTY]])-2,1)*CHADUtbl[[#This Row],[RURAL % OF FUNDING]]</f>
        <v>0</v>
      </c>
      <c r="AD19" s="764"/>
      <c r="AE19" s="665">
        <f>IF(CHADUtbl[[#This Row],[INFILL SITE]]="Yes",5,3)*CHADUtbl[[#This Row],[UNRESTRICTED % OF FUNDING]]</f>
        <v>0</v>
      </c>
      <c r="AF19" s="665">
        <f>IF(CHADUtbl[[#This Row],[INFILL SITE]]="Yes",5,3)*CHADUtbl[[#This Row],[RURAL % OF FUNDING]]</f>
        <v>0</v>
      </c>
    </row>
    <row r="20" spans="1:32" x14ac:dyDescent="0.35">
      <c r="A20" s="167"/>
      <c r="B20" s="5" t="s">
        <v>132</v>
      </c>
      <c r="C20" s="31" t="s">
        <v>513</v>
      </c>
      <c r="D20" s="110" t="str">
        <f>IF(CHADUtbl[[#This Row],[UNITS3]]=0,"",CHADUtbl[[#This Row],[UNITS3]])</f>
        <v/>
      </c>
      <c r="E20" s="244" t="str">
        <f xml:space="preserve">
IF(CHADUtbl[[#This Row],[UNRESTRICTED FUNDING REQUESTED]]=0,"",
CHADUtbl[[#This Row],[UNRESTRICTED FUNDING REQUESTED]]*
IF(CH_ADU_UnrestrictedTotalRequested&lt;=5000000,1,
5000000/CH_ADU_UnrestrictedTotalRequested)
)</f>
        <v/>
      </c>
      <c r="F20" s="6" t="str">
        <f>IF(CHADUtbl[[#This Row],[UNRESTRICTED % OF FUNDING]]=0,"",CHADUtbl[[#This Row],[UNRESTRICTED % OF FUNDING]])</f>
        <v/>
      </c>
      <c r="G20" s="31" t="s">
        <v>513</v>
      </c>
      <c r="H20" s="110" t="str">
        <f>IF(CHADUtbl[[#This Row],[UNITS22]]=0,"",CHADUtbl[[#This Row],[UNITS22]])</f>
        <v/>
      </c>
      <c r="I20" s="244" t="str">
        <f xml:space="preserve">
IF(CHADUtbl[[#This Row],[RURAL FUNDING REQUESTED]]=0,"",
CHADUtbl[[#This Row],[RURAL FUNDING REQUESTED]]*
IF(CH_ADU_RuralTotalRequested&lt;=(5000000-E$61),1,
(5000000-E$61)/CH_ADU_RuralTotalRequested)
)</f>
        <v/>
      </c>
      <c r="J20" s="6" t="str">
        <f>IF(CHADUtbl[[#This Row],[RURAL % OF FUNDING]]=0,"",CHADUtbl[[#This Row],[RURAL % OF FUNDING]])</f>
        <v/>
      </c>
      <c r="K20" s="31" t="s">
        <v>513</v>
      </c>
      <c r="L20" s="115"/>
      <c r="M20" s="241"/>
      <c r="N20" s="245"/>
      <c r="O20" s="240"/>
      <c r="P20" s="240"/>
      <c r="Q20" s="244">
        <f t="shared" si="0"/>
        <v>0</v>
      </c>
      <c r="R20" s="6">
        <f>IF(SUM(CHADUtbl[[#This Row],[UNRESTRICTED FUNDING REQUESTED]])=0,0,CHADUtbl[[#This Row],[UNRESTRICTED FUNDING REQUESTED]]/CH_ADU_UnrestrictedTotalRequested)</f>
        <v>0</v>
      </c>
      <c r="S20" s="665">
        <f>IF(CHADUtbl[[#This Row],[ALL UNITS IN A HIGH OR HIGHEST RESOURCE AREA]]="Yes",10*CHADUtbl[[#This Row],[UNRESTRICTED % OF FUNDING]],0)</f>
        <v>0</v>
      </c>
      <c r="T20" s="665" cm="1">
        <f t="array" ref="T20">INDEX(CountyScoresTbl[Community Need Total Points],ROW(CHADUtbl[[#This Row],[COUNTY]])-2,1)*CHADUtbl[[#This Row],[UNRESTRICTED % OF FUNDING]]</f>
        <v>0</v>
      </c>
      <c r="U20" s="694" cm="1">
        <f t="array" ref="U20">INDEX(CountyScoresTbl[OOR/ADU Total Feasibility Points Awarded],ROW(CHADUtbl[[#This Row],[COUNTY]])-2,1)*CHADUtbl[[#This Row],[UNRESTRICTED % OF FUNDING]]</f>
        <v>0</v>
      </c>
      <c r="V20" s="245"/>
      <c r="W20" s="240"/>
      <c r="X20" s="240"/>
      <c r="Y20" s="244">
        <f t="shared" si="1"/>
        <v>0</v>
      </c>
      <c r="Z20" s="6">
        <f>IF(SUM(CHADUtbl[[#This Row],[RURAL FUNDING REQUESTED]])=0,0,CHADUtbl[[#This Row],[RURAL FUNDING REQUESTED]]/CH_ADU_RuralTotalRequested)</f>
        <v>0</v>
      </c>
      <c r="AA20" s="665">
        <f>IF(CHADUtbl[[#This Row],[ALL UNITS IN A HIGH OR HIGHEST RESOURCE AREA]]="Yes",10*CHADUtbl[[#This Row],[RURAL % OF FUNDING]],0)</f>
        <v>0</v>
      </c>
      <c r="AB20" s="665" cm="1">
        <f t="array" ref="AB20">INDEX(CountyScoresTbl[Community Need Total Points],ROW(CHADUtbl[[#This Row],[COUNTY]])-2,1)*CHADUtbl[[#This Row],[RURAL % OF FUNDING]]</f>
        <v>0</v>
      </c>
      <c r="AC20" s="694" cm="1">
        <f t="array" ref="AC20">INDEX(CountyScoresTbl[OOR/ADU Total Feasibility Points Awarded],ROW(CHADUtbl[[#This Row],[COUNTY]])-2,1)*CHADUtbl[[#This Row],[RURAL % OF FUNDING]]</f>
        <v>0</v>
      </c>
      <c r="AD20" s="764"/>
      <c r="AE20" s="665">
        <f>IF(CHADUtbl[[#This Row],[INFILL SITE]]="Yes",5,3)*CHADUtbl[[#This Row],[UNRESTRICTED % OF FUNDING]]</f>
        <v>0</v>
      </c>
      <c r="AF20" s="665">
        <f>IF(CHADUtbl[[#This Row],[INFILL SITE]]="Yes",5,3)*CHADUtbl[[#This Row],[RURAL % OF FUNDING]]</f>
        <v>0</v>
      </c>
    </row>
    <row r="21" spans="1:32" x14ac:dyDescent="0.35">
      <c r="A21" s="167" t="s">
        <v>504</v>
      </c>
      <c r="B21" s="5" t="s">
        <v>133</v>
      </c>
      <c r="C21" s="31" t="s">
        <v>513</v>
      </c>
      <c r="D21" s="110" t="str">
        <f>IF(CHADUtbl[[#This Row],[UNITS3]]=0,"",CHADUtbl[[#This Row],[UNITS3]])</f>
        <v/>
      </c>
      <c r="E21" s="244" t="str">
        <f xml:space="preserve">
IF(CHADUtbl[[#This Row],[UNRESTRICTED FUNDING REQUESTED]]=0,"",
CHADUtbl[[#This Row],[UNRESTRICTED FUNDING REQUESTED]]*
IF(CH_ADU_UnrestrictedTotalRequested&lt;=5000000,1,
5000000/CH_ADU_UnrestrictedTotalRequested)
)</f>
        <v/>
      </c>
      <c r="F21" s="6" t="str">
        <f>IF(CHADUtbl[[#This Row],[UNRESTRICTED % OF FUNDING]]=0,"",CHADUtbl[[#This Row],[UNRESTRICTED % OF FUNDING]])</f>
        <v/>
      </c>
      <c r="G21" s="31" t="s">
        <v>513</v>
      </c>
      <c r="H21" s="110" t="str">
        <f>IF(CHADUtbl[[#This Row],[UNITS22]]=0,"",CHADUtbl[[#This Row],[UNITS22]])</f>
        <v/>
      </c>
      <c r="I21" s="244" t="str">
        <f xml:space="preserve">
IF(CHADUtbl[[#This Row],[RURAL FUNDING REQUESTED]]=0,"",
CHADUtbl[[#This Row],[RURAL FUNDING REQUESTED]]*
IF(CH_ADU_RuralTotalRequested&lt;=(5000000-E$61),1,
(5000000-E$61)/CH_ADU_RuralTotalRequested)
)</f>
        <v/>
      </c>
      <c r="J21" s="6" t="str">
        <f>IF(CHADUtbl[[#This Row],[RURAL % OF FUNDING]]=0,"",CHADUtbl[[#This Row],[RURAL % OF FUNDING]])</f>
        <v/>
      </c>
      <c r="K21" s="31" t="s">
        <v>513</v>
      </c>
      <c r="L21" s="115" t="s">
        <v>504</v>
      </c>
      <c r="M21" s="241"/>
      <c r="N21" s="245"/>
      <c r="O21" s="240"/>
      <c r="P21" s="240"/>
      <c r="Q21" s="244">
        <f t="shared" si="0"/>
        <v>0</v>
      </c>
      <c r="R21" s="6">
        <f>IF(SUM(CHADUtbl[[#This Row],[UNRESTRICTED FUNDING REQUESTED]])=0,0,CHADUtbl[[#This Row],[UNRESTRICTED FUNDING REQUESTED]]/CH_ADU_UnrestrictedTotalRequested)</f>
        <v>0</v>
      </c>
      <c r="S21" s="665">
        <f>IF(CHADUtbl[[#This Row],[ALL UNITS IN A HIGH OR HIGHEST RESOURCE AREA]]="Yes",10*CHADUtbl[[#This Row],[UNRESTRICTED % OF FUNDING]],0)</f>
        <v>0</v>
      </c>
      <c r="T21" s="665" cm="1">
        <f t="array" ref="T21">INDEX(CountyScoresTbl[Community Need Total Points],ROW(CHADUtbl[[#This Row],[COUNTY]])-2,1)*CHADUtbl[[#This Row],[UNRESTRICTED % OF FUNDING]]</f>
        <v>0</v>
      </c>
      <c r="U21" s="694" cm="1">
        <f t="array" ref="U21">INDEX(CountyScoresTbl[OOR/ADU Total Feasibility Points Awarded],ROW(CHADUtbl[[#This Row],[COUNTY]])-2,1)*CHADUtbl[[#This Row],[UNRESTRICTED % OF FUNDING]]</f>
        <v>0</v>
      </c>
      <c r="V21" s="245"/>
      <c r="W21" s="240"/>
      <c r="X21" s="240"/>
      <c r="Y21" s="244">
        <f t="shared" si="1"/>
        <v>0</v>
      </c>
      <c r="Z21" s="6">
        <f>IF(SUM(CHADUtbl[[#This Row],[RURAL FUNDING REQUESTED]])=0,0,CHADUtbl[[#This Row],[RURAL FUNDING REQUESTED]]/CH_ADU_RuralTotalRequested)</f>
        <v>0</v>
      </c>
      <c r="AA21" s="665">
        <f>IF(CHADUtbl[[#This Row],[ALL UNITS IN A HIGH OR HIGHEST RESOURCE AREA]]="Yes",10*CHADUtbl[[#This Row],[RURAL % OF FUNDING]],0)</f>
        <v>0</v>
      </c>
      <c r="AB21" s="665" cm="1">
        <f t="array" ref="AB21">INDEX(CountyScoresTbl[Community Need Total Points],ROW(CHADUtbl[[#This Row],[COUNTY]])-2,1)*CHADUtbl[[#This Row],[RURAL % OF FUNDING]]</f>
        <v>0</v>
      </c>
      <c r="AC21" s="694" cm="1">
        <f t="array" ref="AC21">INDEX(CountyScoresTbl[OOR/ADU Total Feasibility Points Awarded],ROW(CHADUtbl[[#This Row],[COUNTY]])-2,1)*CHADUtbl[[#This Row],[RURAL % OF FUNDING]]</f>
        <v>0</v>
      </c>
      <c r="AD21" s="764"/>
      <c r="AE21" s="665">
        <f>IF(CHADUtbl[[#This Row],[INFILL SITE]]="Yes",5,3)*CHADUtbl[[#This Row],[UNRESTRICTED % OF FUNDING]]</f>
        <v>0</v>
      </c>
      <c r="AF21" s="665">
        <f>IF(CHADUtbl[[#This Row],[INFILL SITE]]="Yes",5,3)*CHADUtbl[[#This Row],[RURAL % OF FUNDING]]</f>
        <v>0</v>
      </c>
    </row>
    <row r="22" spans="1:32" x14ac:dyDescent="0.35">
      <c r="A22" s="124"/>
      <c r="B22" s="5" t="s">
        <v>134</v>
      </c>
      <c r="C22" s="31" t="s">
        <v>513</v>
      </c>
      <c r="D22" s="110" t="str">
        <f>IF(CHADUtbl[[#This Row],[UNITS3]]=0,"",CHADUtbl[[#This Row],[UNITS3]])</f>
        <v/>
      </c>
      <c r="E22" s="244" t="str">
        <f xml:space="preserve">
IF(CHADUtbl[[#This Row],[UNRESTRICTED FUNDING REQUESTED]]=0,"",
CHADUtbl[[#This Row],[UNRESTRICTED FUNDING REQUESTED]]*
IF(CH_ADU_UnrestrictedTotalRequested&lt;=5000000,1,
5000000/CH_ADU_UnrestrictedTotalRequested)
)</f>
        <v/>
      </c>
      <c r="F22" s="6" t="str">
        <f>IF(CHADUtbl[[#This Row],[UNRESTRICTED % OF FUNDING]]=0,"",CHADUtbl[[#This Row],[UNRESTRICTED % OF FUNDING]])</f>
        <v/>
      </c>
      <c r="G22" s="31" t="s">
        <v>513</v>
      </c>
      <c r="H22" s="110" t="str">
        <f>IF(CHADUtbl[[#This Row],[UNITS22]]=0,"",CHADUtbl[[#This Row],[UNITS22]])</f>
        <v/>
      </c>
      <c r="I22" s="244" t="str">
        <f xml:space="preserve">
IF(CHADUtbl[[#This Row],[RURAL FUNDING REQUESTED]]=0,"",
CHADUtbl[[#This Row],[RURAL FUNDING REQUESTED]]*
IF(CH_ADU_RuralTotalRequested&lt;=(5000000-E$61),1,
(5000000-E$61)/CH_ADU_RuralTotalRequested)
)</f>
        <v/>
      </c>
      <c r="J22" s="6" t="str">
        <f>IF(CHADUtbl[[#This Row],[RURAL % OF FUNDING]]=0,"",CHADUtbl[[#This Row],[RURAL % OF FUNDING]])</f>
        <v/>
      </c>
      <c r="K22" s="31" t="s">
        <v>513</v>
      </c>
      <c r="L22" s="116"/>
      <c r="M22" s="242"/>
      <c r="N22" s="245"/>
      <c r="O22" s="240"/>
      <c r="P22" s="240"/>
      <c r="Q22" s="244">
        <f t="shared" si="0"/>
        <v>0</v>
      </c>
      <c r="R22" s="6">
        <f>IF(SUM(CHADUtbl[[#This Row],[UNRESTRICTED FUNDING REQUESTED]])=0,0,CHADUtbl[[#This Row],[UNRESTRICTED FUNDING REQUESTED]]/CH_ADU_UnrestrictedTotalRequested)</f>
        <v>0</v>
      </c>
      <c r="S22" s="665">
        <f>IF(CHADUtbl[[#This Row],[ALL UNITS IN A HIGH OR HIGHEST RESOURCE AREA]]="Yes",10*CHADUtbl[[#This Row],[UNRESTRICTED % OF FUNDING]],0)</f>
        <v>0</v>
      </c>
      <c r="T22" s="665" cm="1">
        <f t="array" ref="T22">INDEX(CountyScoresTbl[Community Need Total Points],ROW(CHADUtbl[[#This Row],[COUNTY]])-2,1)*CHADUtbl[[#This Row],[UNRESTRICTED % OF FUNDING]]</f>
        <v>0</v>
      </c>
      <c r="U22" s="694" cm="1">
        <f t="array" ref="U22">INDEX(CountyScoresTbl[OOR/ADU Total Feasibility Points Awarded],ROW(CHADUtbl[[#This Row],[COUNTY]])-2,1)*CHADUtbl[[#This Row],[UNRESTRICTED % OF FUNDING]]</f>
        <v>0</v>
      </c>
      <c r="V22" s="245"/>
      <c r="W22" s="240"/>
      <c r="X22" s="240"/>
      <c r="Y22" s="244">
        <f t="shared" si="1"/>
        <v>0</v>
      </c>
      <c r="Z22" s="6">
        <f>IF(SUM(CHADUtbl[[#This Row],[RURAL FUNDING REQUESTED]])=0,0,CHADUtbl[[#This Row],[RURAL FUNDING REQUESTED]]/CH_ADU_RuralTotalRequested)</f>
        <v>0</v>
      </c>
      <c r="AA22" s="665">
        <f>IF(CHADUtbl[[#This Row],[ALL UNITS IN A HIGH OR HIGHEST RESOURCE AREA]]="Yes",10*CHADUtbl[[#This Row],[RURAL % OF FUNDING]],0)</f>
        <v>0</v>
      </c>
      <c r="AB22" s="665" cm="1">
        <f t="array" ref="AB22">INDEX(CountyScoresTbl[Community Need Total Points],ROW(CHADUtbl[[#This Row],[COUNTY]])-2,1)*CHADUtbl[[#This Row],[RURAL % OF FUNDING]]</f>
        <v>0</v>
      </c>
      <c r="AC22" s="694" cm="1">
        <f t="array" ref="AC22">INDEX(CountyScoresTbl[OOR/ADU Total Feasibility Points Awarded],ROW(CHADUtbl[[#This Row],[COUNTY]])-2,1)*CHADUtbl[[#This Row],[RURAL % OF FUNDING]]</f>
        <v>0</v>
      </c>
      <c r="AD22" s="764"/>
      <c r="AE22" s="665">
        <f>IF(CHADUtbl[[#This Row],[INFILL SITE]]="Yes",5,3)*CHADUtbl[[#This Row],[UNRESTRICTED % OF FUNDING]]</f>
        <v>0</v>
      </c>
      <c r="AF22" s="665">
        <f>IF(CHADUtbl[[#This Row],[INFILL SITE]]="Yes",5,3)*CHADUtbl[[#This Row],[RURAL % OF FUNDING]]</f>
        <v>0</v>
      </c>
    </row>
    <row r="23" spans="1:32" x14ac:dyDescent="0.35">
      <c r="A23" s="124"/>
      <c r="B23" s="5" t="s">
        <v>135</v>
      </c>
      <c r="C23" s="31" t="s">
        <v>513</v>
      </c>
      <c r="D23" s="110" t="str">
        <f>IF(CHADUtbl[[#This Row],[UNITS3]]=0,"",CHADUtbl[[#This Row],[UNITS3]])</f>
        <v/>
      </c>
      <c r="E23" s="244" t="str">
        <f xml:space="preserve">
IF(CHADUtbl[[#This Row],[UNRESTRICTED FUNDING REQUESTED]]=0,"",
CHADUtbl[[#This Row],[UNRESTRICTED FUNDING REQUESTED]]*
IF(CH_ADU_UnrestrictedTotalRequested&lt;=5000000,1,
5000000/CH_ADU_UnrestrictedTotalRequested)
)</f>
        <v/>
      </c>
      <c r="F23" s="6" t="str">
        <f>IF(CHADUtbl[[#This Row],[UNRESTRICTED % OF FUNDING]]=0,"",CHADUtbl[[#This Row],[UNRESTRICTED % OF FUNDING]])</f>
        <v/>
      </c>
      <c r="G23" s="31" t="s">
        <v>513</v>
      </c>
      <c r="H23" s="110" t="str">
        <f>IF(CHADUtbl[[#This Row],[UNITS22]]=0,"",CHADUtbl[[#This Row],[UNITS22]])</f>
        <v/>
      </c>
      <c r="I23" s="244" t="str">
        <f xml:space="preserve">
IF(CHADUtbl[[#This Row],[RURAL FUNDING REQUESTED]]=0,"",
CHADUtbl[[#This Row],[RURAL FUNDING REQUESTED]]*
IF(CH_ADU_RuralTotalRequested&lt;=(5000000-E$61),1,
(5000000-E$61)/CH_ADU_RuralTotalRequested)
)</f>
        <v/>
      </c>
      <c r="J23" s="6" t="str">
        <f>IF(CHADUtbl[[#This Row],[RURAL % OF FUNDING]]=0,"",CHADUtbl[[#This Row],[RURAL % OF FUNDING]])</f>
        <v/>
      </c>
      <c r="K23" s="31" t="s">
        <v>513</v>
      </c>
      <c r="L23" s="116"/>
      <c r="M23" s="242"/>
      <c r="N23" s="245"/>
      <c r="O23" s="240"/>
      <c r="P23" s="240"/>
      <c r="Q23" s="244">
        <f t="shared" si="0"/>
        <v>0</v>
      </c>
      <c r="R23" s="6">
        <f>IF(SUM(CHADUtbl[[#This Row],[UNRESTRICTED FUNDING REQUESTED]])=0,0,CHADUtbl[[#This Row],[UNRESTRICTED FUNDING REQUESTED]]/CH_ADU_UnrestrictedTotalRequested)</f>
        <v>0</v>
      </c>
      <c r="S23" s="665">
        <f>IF(CHADUtbl[[#This Row],[ALL UNITS IN A HIGH OR HIGHEST RESOURCE AREA]]="Yes",10*CHADUtbl[[#This Row],[UNRESTRICTED % OF FUNDING]],0)</f>
        <v>0</v>
      </c>
      <c r="T23" s="665" cm="1">
        <f t="array" ref="T23">INDEX(CountyScoresTbl[Community Need Total Points],ROW(CHADUtbl[[#This Row],[COUNTY]])-2,1)*CHADUtbl[[#This Row],[UNRESTRICTED % OF FUNDING]]</f>
        <v>0</v>
      </c>
      <c r="U23" s="694" cm="1">
        <f t="array" ref="U23">INDEX(CountyScoresTbl[OOR/ADU Total Feasibility Points Awarded],ROW(CHADUtbl[[#This Row],[COUNTY]])-2,1)*CHADUtbl[[#This Row],[UNRESTRICTED % OF FUNDING]]</f>
        <v>0</v>
      </c>
      <c r="V23" s="245"/>
      <c r="W23" s="240"/>
      <c r="X23" s="240"/>
      <c r="Y23" s="244">
        <f t="shared" si="1"/>
        <v>0</v>
      </c>
      <c r="Z23" s="6">
        <f>IF(SUM(CHADUtbl[[#This Row],[RURAL FUNDING REQUESTED]])=0,0,CHADUtbl[[#This Row],[RURAL FUNDING REQUESTED]]/CH_ADU_RuralTotalRequested)</f>
        <v>0</v>
      </c>
      <c r="AA23" s="665">
        <f>IF(CHADUtbl[[#This Row],[ALL UNITS IN A HIGH OR HIGHEST RESOURCE AREA]]="Yes",10*CHADUtbl[[#This Row],[RURAL % OF FUNDING]],0)</f>
        <v>0</v>
      </c>
      <c r="AB23" s="665" cm="1">
        <f t="array" ref="AB23">INDEX(CountyScoresTbl[Community Need Total Points],ROW(CHADUtbl[[#This Row],[COUNTY]])-2,1)*CHADUtbl[[#This Row],[RURAL % OF FUNDING]]</f>
        <v>0</v>
      </c>
      <c r="AC23" s="694" cm="1">
        <f t="array" ref="AC23">INDEX(CountyScoresTbl[OOR/ADU Total Feasibility Points Awarded],ROW(CHADUtbl[[#This Row],[COUNTY]])-2,1)*CHADUtbl[[#This Row],[RURAL % OF FUNDING]]</f>
        <v>0</v>
      </c>
      <c r="AD23" s="764"/>
      <c r="AE23" s="665">
        <f>IF(CHADUtbl[[#This Row],[INFILL SITE]]="Yes",5,3)*CHADUtbl[[#This Row],[UNRESTRICTED % OF FUNDING]]</f>
        <v>0</v>
      </c>
      <c r="AF23" s="665">
        <f>IF(CHADUtbl[[#This Row],[INFILL SITE]]="Yes",5,3)*CHADUtbl[[#This Row],[RURAL % OF FUNDING]]</f>
        <v>0</v>
      </c>
    </row>
    <row r="24" spans="1:32" x14ac:dyDescent="0.35">
      <c r="A24" s="167"/>
      <c r="B24" s="5" t="s">
        <v>136</v>
      </c>
      <c r="C24" s="31" t="s">
        <v>513</v>
      </c>
      <c r="D24" s="110" t="str">
        <f>IF(CHADUtbl[[#This Row],[UNITS3]]=0,"",CHADUtbl[[#This Row],[UNITS3]])</f>
        <v/>
      </c>
      <c r="E24" s="244" t="str">
        <f xml:space="preserve">
IF(CHADUtbl[[#This Row],[UNRESTRICTED FUNDING REQUESTED]]=0,"",
CHADUtbl[[#This Row],[UNRESTRICTED FUNDING REQUESTED]]*
IF(CH_ADU_UnrestrictedTotalRequested&lt;=5000000,1,
5000000/CH_ADU_UnrestrictedTotalRequested)
)</f>
        <v/>
      </c>
      <c r="F24" s="6" t="str">
        <f>IF(CHADUtbl[[#This Row],[UNRESTRICTED % OF FUNDING]]=0,"",CHADUtbl[[#This Row],[UNRESTRICTED % OF FUNDING]])</f>
        <v/>
      </c>
      <c r="G24" s="31" t="s">
        <v>513</v>
      </c>
      <c r="H24" s="110" t="str">
        <f>IF(CHADUtbl[[#This Row],[UNITS22]]=0,"",CHADUtbl[[#This Row],[UNITS22]])</f>
        <v/>
      </c>
      <c r="I24" s="244" t="str">
        <f xml:space="preserve">
IF(CHADUtbl[[#This Row],[RURAL FUNDING REQUESTED]]=0,"",
CHADUtbl[[#This Row],[RURAL FUNDING REQUESTED]]*
IF(CH_ADU_RuralTotalRequested&lt;=(5000000-E$61),1,
(5000000-E$61)/CH_ADU_RuralTotalRequested)
)</f>
        <v/>
      </c>
      <c r="J24" s="6" t="str">
        <f>IF(CHADUtbl[[#This Row],[RURAL % OF FUNDING]]=0,"",CHADUtbl[[#This Row],[RURAL % OF FUNDING]])</f>
        <v/>
      </c>
      <c r="K24" s="31" t="s">
        <v>513</v>
      </c>
      <c r="L24" s="115"/>
      <c r="M24" s="241"/>
      <c r="N24" s="245"/>
      <c r="O24" s="240"/>
      <c r="P24" s="240"/>
      <c r="Q24" s="244">
        <f t="shared" si="0"/>
        <v>0</v>
      </c>
      <c r="R24" s="6">
        <f>IF(SUM(CHADUtbl[[#This Row],[UNRESTRICTED FUNDING REQUESTED]])=0,0,CHADUtbl[[#This Row],[UNRESTRICTED FUNDING REQUESTED]]/CH_ADU_UnrestrictedTotalRequested)</f>
        <v>0</v>
      </c>
      <c r="S24" s="665">
        <f>IF(CHADUtbl[[#This Row],[ALL UNITS IN A HIGH OR HIGHEST RESOURCE AREA]]="Yes",10*CHADUtbl[[#This Row],[UNRESTRICTED % OF FUNDING]],0)</f>
        <v>0</v>
      </c>
      <c r="T24" s="665" cm="1">
        <f t="array" ref="T24">INDEX(CountyScoresTbl[Community Need Total Points],ROW(CHADUtbl[[#This Row],[COUNTY]])-2,1)*CHADUtbl[[#This Row],[UNRESTRICTED % OF FUNDING]]</f>
        <v>0</v>
      </c>
      <c r="U24" s="694" cm="1">
        <f t="array" ref="U24">INDEX(CountyScoresTbl[OOR/ADU Total Feasibility Points Awarded],ROW(CHADUtbl[[#This Row],[COUNTY]])-2,1)*CHADUtbl[[#This Row],[UNRESTRICTED % OF FUNDING]]</f>
        <v>0</v>
      </c>
      <c r="V24" s="245"/>
      <c r="W24" s="240"/>
      <c r="X24" s="240"/>
      <c r="Y24" s="244">
        <f t="shared" si="1"/>
        <v>0</v>
      </c>
      <c r="Z24" s="6">
        <f>IF(SUM(CHADUtbl[[#This Row],[RURAL FUNDING REQUESTED]])=0,0,CHADUtbl[[#This Row],[RURAL FUNDING REQUESTED]]/CH_ADU_RuralTotalRequested)</f>
        <v>0</v>
      </c>
      <c r="AA24" s="665">
        <f>IF(CHADUtbl[[#This Row],[ALL UNITS IN A HIGH OR HIGHEST RESOURCE AREA]]="Yes",10*CHADUtbl[[#This Row],[RURAL % OF FUNDING]],0)</f>
        <v>0</v>
      </c>
      <c r="AB24" s="665" cm="1">
        <f t="array" ref="AB24">INDEX(CountyScoresTbl[Community Need Total Points],ROW(CHADUtbl[[#This Row],[COUNTY]])-2,1)*CHADUtbl[[#This Row],[RURAL % OF FUNDING]]</f>
        <v>0</v>
      </c>
      <c r="AC24" s="694" cm="1">
        <f t="array" ref="AC24">INDEX(CountyScoresTbl[OOR/ADU Total Feasibility Points Awarded],ROW(CHADUtbl[[#This Row],[COUNTY]])-2,1)*CHADUtbl[[#This Row],[RURAL % OF FUNDING]]</f>
        <v>0</v>
      </c>
      <c r="AD24" s="764"/>
      <c r="AE24" s="665">
        <f>IF(CHADUtbl[[#This Row],[INFILL SITE]]="Yes",5,3)*CHADUtbl[[#This Row],[UNRESTRICTED % OF FUNDING]]</f>
        <v>0</v>
      </c>
      <c r="AF24" s="665">
        <f>IF(CHADUtbl[[#This Row],[INFILL SITE]]="Yes",5,3)*CHADUtbl[[#This Row],[RURAL % OF FUNDING]]</f>
        <v>0</v>
      </c>
    </row>
    <row r="25" spans="1:32" x14ac:dyDescent="0.35">
      <c r="A25" s="124"/>
      <c r="B25" s="5" t="s">
        <v>137</v>
      </c>
      <c r="C25" s="31" t="s">
        <v>513</v>
      </c>
      <c r="D25" s="110" t="str">
        <f>IF(CHADUtbl[[#This Row],[UNITS3]]=0,"",CHADUtbl[[#This Row],[UNITS3]])</f>
        <v/>
      </c>
      <c r="E25" s="244" t="str">
        <f xml:space="preserve">
IF(CHADUtbl[[#This Row],[UNRESTRICTED FUNDING REQUESTED]]=0,"",
CHADUtbl[[#This Row],[UNRESTRICTED FUNDING REQUESTED]]*
IF(CH_ADU_UnrestrictedTotalRequested&lt;=5000000,1,
5000000/CH_ADU_UnrestrictedTotalRequested)
)</f>
        <v/>
      </c>
      <c r="F25" s="6" t="str">
        <f>IF(CHADUtbl[[#This Row],[UNRESTRICTED % OF FUNDING]]=0,"",CHADUtbl[[#This Row],[UNRESTRICTED % OF FUNDING]])</f>
        <v/>
      </c>
      <c r="G25" s="31" t="s">
        <v>513</v>
      </c>
      <c r="H25" s="110" t="str">
        <f>IF(CHADUtbl[[#This Row],[UNITS22]]=0,"",CHADUtbl[[#This Row],[UNITS22]])</f>
        <v/>
      </c>
      <c r="I25" s="244" t="str">
        <f xml:space="preserve">
IF(CHADUtbl[[#This Row],[RURAL FUNDING REQUESTED]]=0,"",
CHADUtbl[[#This Row],[RURAL FUNDING REQUESTED]]*
IF(CH_ADU_RuralTotalRequested&lt;=(5000000-E$61),1,
(5000000-E$61)/CH_ADU_RuralTotalRequested)
)</f>
        <v/>
      </c>
      <c r="J25" s="6" t="str">
        <f>IF(CHADUtbl[[#This Row],[RURAL % OF FUNDING]]=0,"",CHADUtbl[[#This Row],[RURAL % OF FUNDING]])</f>
        <v/>
      </c>
      <c r="K25" s="31" t="s">
        <v>513</v>
      </c>
      <c r="L25" s="116"/>
      <c r="M25" s="242"/>
      <c r="N25" s="245"/>
      <c r="O25" s="240"/>
      <c r="P25" s="240"/>
      <c r="Q25" s="244">
        <f t="shared" si="0"/>
        <v>0</v>
      </c>
      <c r="R25" s="6">
        <f>IF(SUM(CHADUtbl[[#This Row],[UNRESTRICTED FUNDING REQUESTED]])=0,0,CHADUtbl[[#This Row],[UNRESTRICTED FUNDING REQUESTED]]/CH_ADU_UnrestrictedTotalRequested)</f>
        <v>0</v>
      </c>
      <c r="S25" s="665">
        <f>IF(CHADUtbl[[#This Row],[ALL UNITS IN A HIGH OR HIGHEST RESOURCE AREA]]="Yes",10*CHADUtbl[[#This Row],[UNRESTRICTED % OF FUNDING]],0)</f>
        <v>0</v>
      </c>
      <c r="T25" s="665" cm="1">
        <f t="array" ref="T25">INDEX(CountyScoresTbl[Community Need Total Points],ROW(CHADUtbl[[#This Row],[COUNTY]])-2,1)*CHADUtbl[[#This Row],[UNRESTRICTED % OF FUNDING]]</f>
        <v>0</v>
      </c>
      <c r="U25" s="694" cm="1">
        <f t="array" ref="U25">INDEX(CountyScoresTbl[OOR/ADU Total Feasibility Points Awarded],ROW(CHADUtbl[[#This Row],[COUNTY]])-2,1)*CHADUtbl[[#This Row],[UNRESTRICTED % OF FUNDING]]</f>
        <v>0</v>
      </c>
      <c r="V25" s="245"/>
      <c r="W25" s="240"/>
      <c r="X25" s="240"/>
      <c r="Y25" s="244">
        <f t="shared" si="1"/>
        <v>0</v>
      </c>
      <c r="Z25" s="6">
        <f>IF(SUM(CHADUtbl[[#This Row],[RURAL FUNDING REQUESTED]])=0,0,CHADUtbl[[#This Row],[RURAL FUNDING REQUESTED]]/CH_ADU_RuralTotalRequested)</f>
        <v>0</v>
      </c>
      <c r="AA25" s="665">
        <f>IF(CHADUtbl[[#This Row],[ALL UNITS IN A HIGH OR HIGHEST RESOURCE AREA]]="Yes",10*CHADUtbl[[#This Row],[RURAL % OF FUNDING]],0)</f>
        <v>0</v>
      </c>
      <c r="AB25" s="665" cm="1">
        <f t="array" ref="AB25">INDEX(CountyScoresTbl[Community Need Total Points],ROW(CHADUtbl[[#This Row],[COUNTY]])-2,1)*CHADUtbl[[#This Row],[RURAL % OF FUNDING]]</f>
        <v>0</v>
      </c>
      <c r="AC25" s="694" cm="1">
        <f t="array" ref="AC25">INDEX(CountyScoresTbl[OOR/ADU Total Feasibility Points Awarded],ROW(CHADUtbl[[#This Row],[COUNTY]])-2,1)*CHADUtbl[[#This Row],[RURAL % OF FUNDING]]</f>
        <v>0</v>
      </c>
      <c r="AD25" s="764"/>
      <c r="AE25" s="665">
        <f>IF(CHADUtbl[[#This Row],[INFILL SITE]]="Yes",5,3)*CHADUtbl[[#This Row],[UNRESTRICTED % OF FUNDING]]</f>
        <v>0</v>
      </c>
      <c r="AF25" s="665">
        <f>IF(CHADUtbl[[#This Row],[INFILL SITE]]="Yes",5,3)*CHADUtbl[[#This Row],[RURAL % OF FUNDING]]</f>
        <v>0</v>
      </c>
    </row>
    <row r="26" spans="1:32" x14ac:dyDescent="0.35">
      <c r="A26" s="124"/>
      <c r="B26" s="5" t="s">
        <v>138</v>
      </c>
      <c r="C26" s="31" t="s">
        <v>513</v>
      </c>
      <c r="D26" s="110" t="str">
        <f>IF(CHADUtbl[[#This Row],[UNITS3]]=0,"",CHADUtbl[[#This Row],[UNITS3]])</f>
        <v/>
      </c>
      <c r="E26" s="244" t="str">
        <f xml:space="preserve">
IF(CHADUtbl[[#This Row],[UNRESTRICTED FUNDING REQUESTED]]=0,"",
CHADUtbl[[#This Row],[UNRESTRICTED FUNDING REQUESTED]]*
IF(CH_ADU_UnrestrictedTotalRequested&lt;=5000000,1,
5000000/CH_ADU_UnrestrictedTotalRequested)
)</f>
        <v/>
      </c>
      <c r="F26" s="6" t="str">
        <f>IF(CHADUtbl[[#This Row],[UNRESTRICTED % OF FUNDING]]=0,"",CHADUtbl[[#This Row],[UNRESTRICTED % OF FUNDING]])</f>
        <v/>
      </c>
      <c r="G26" s="31" t="s">
        <v>513</v>
      </c>
      <c r="H26" s="110" t="str">
        <f>IF(CHADUtbl[[#This Row],[UNITS22]]=0,"",CHADUtbl[[#This Row],[UNITS22]])</f>
        <v/>
      </c>
      <c r="I26" s="244" t="str">
        <f xml:space="preserve">
IF(CHADUtbl[[#This Row],[RURAL FUNDING REQUESTED]]=0,"",
CHADUtbl[[#This Row],[RURAL FUNDING REQUESTED]]*
IF(CH_ADU_RuralTotalRequested&lt;=(5000000-E$61),1,
(5000000-E$61)/CH_ADU_RuralTotalRequested)
)</f>
        <v/>
      </c>
      <c r="J26" s="6" t="str">
        <f>IF(CHADUtbl[[#This Row],[RURAL % OF FUNDING]]=0,"",CHADUtbl[[#This Row],[RURAL % OF FUNDING]])</f>
        <v/>
      </c>
      <c r="K26" s="31" t="s">
        <v>513</v>
      </c>
      <c r="L26" s="116"/>
      <c r="M26" s="242"/>
      <c r="N26" s="245"/>
      <c r="O26" s="240"/>
      <c r="P26" s="240"/>
      <c r="Q26" s="244">
        <f t="shared" si="0"/>
        <v>0</v>
      </c>
      <c r="R26" s="6">
        <f>IF(SUM(CHADUtbl[[#This Row],[UNRESTRICTED FUNDING REQUESTED]])=0,0,CHADUtbl[[#This Row],[UNRESTRICTED FUNDING REQUESTED]]/CH_ADU_UnrestrictedTotalRequested)</f>
        <v>0</v>
      </c>
      <c r="S26" s="665">
        <f>IF(CHADUtbl[[#This Row],[ALL UNITS IN A HIGH OR HIGHEST RESOURCE AREA]]="Yes",10*CHADUtbl[[#This Row],[UNRESTRICTED % OF FUNDING]],0)</f>
        <v>0</v>
      </c>
      <c r="T26" s="665" cm="1">
        <f t="array" ref="T26">INDEX(CountyScoresTbl[Community Need Total Points],ROW(CHADUtbl[[#This Row],[COUNTY]])-2,1)*CHADUtbl[[#This Row],[UNRESTRICTED % OF FUNDING]]</f>
        <v>0</v>
      </c>
      <c r="U26" s="694" cm="1">
        <f t="array" ref="U26">INDEX(CountyScoresTbl[OOR/ADU Total Feasibility Points Awarded],ROW(CHADUtbl[[#This Row],[COUNTY]])-2,1)*CHADUtbl[[#This Row],[UNRESTRICTED % OF FUNDING]]</f>
        <v>0</v>
      </c>
      <c r="V26" s="245"/>
      <c r="W26" s="240"/>
      <c r="X26" s="240"/>
      <c r="Y26" s="244">
        <f t="shared" si="1"/>
        <v>0</v>
      </c>
      <c r="Z26" s="6">
        <f>IF(SUM(CHADUtbl[[#This Row],[RURAL FUNDING REQUESTED]])=0,0,CHADUtbl[[#This Row],[RURAL FUNDING REQUESTED]]/CH_ADU_RuralTotalRequested)</f>
        <v>0</v>
      </c>
      <c r="AA26" s="665">
        <f>IF(CHADUtbl[[#This Row],[ALL UNITS IN A HIGH OR HIGHEST RESOURCE AREA]]="Yes",10*CHADUtbl[[#This Row],[RURAL % OF FUNDING]],0)</f>
        <v>0</v>
      </c>
      <c r="AB26" s="665" cm="1">
        <f t="array" ref="AB26">INDEX(CountyScoresTbl[Community Need Total Points],ROW(CHADUtbl[[#This Row],[COUNTY]])-2,1)*CHADUtbl[[#This Row],[RURAL % OF FUNDING]]</f>
        <v>0</v>
      </c>
      <c r="AC26" s="694" cm="1">
        <f t="array" ref="AC26">INDEX(CountyScoresTbl[OOR/ADU Total Feasibility Points Awarded],ROW(CHADUtbl[[#This Row],[COUNTY]])-2,1)*CHADUtbl[[#This Row],[RURAL % OF FUNDING]]</f>
        <v>0</v>
      </c>
      <c r="AD26" s="764"/>
      <c r="AE26" s="665">
        <f>IF(CHADUtbl[[#This Row],[INFILL SITE]]="Yes",5,3)*CHADUtbl[[#This Row],[UNRESTRICTED % OF FUNDING]]</f>
        <v>0</v>
      </c>
      <c r="AF26" s="665">
        <f>IF(CHADUtbl[[#This Row],[INFILL SITE]]="Yes",5,3)*CHADUtbl[[#This Row],[RURAL % OF FUNDING]]</f>
        <v>0</v>
      </c>
    </row>
    <row r="27" spans="1:32" x14ac:dyDescent="0.35">
      <c r="A27" s="167"/>
      <c r="B27" s="5" t="s">
        <v>139</v>
      </c>
      <c r="C27" s="31" t="s">
        <v>513</v>
      </c>
      <c r="D27" s="110" t="str">
        <f>IF(CHADUtbl[[#This Row],[UNITS3]]=0,"",CHADUtbl[[#This Row],[UNITS3]])</f>
        <v/>
      </c>
      <c r="E27" s="244" t="str">
        <f xml:space="preserve">
IF(CHADUtbl[[#This Row],[UNRESTRICTED FUNDING REQUESTED]]=0,"",
CHADUtbl[[#This Row],[UNRESTRICTED FUNDING REQUESTED]]*
IF(CH_ADU_UnrestrictedTotalRequested&lt;=5000000,1,
5000000/CH_ADU_UnrestrictedTotalRequested)
)</f>
        <v/>
      </c>
      <c r="F27" s="6" t="str">
        <f>IF(CHADUtbl[[#This Row],[UNRESTRICTED % OF FUNDING]]=0,"",CHADUtbl[[#This Row],[UNRESTRICTED % OF FUNDING]])</f>
        <v/>
      </c>
      <c r="G27" s="31" t="s">
        <v>513</v>
      </c>
      <c r="H27" s="110" t="str">
        <f>IF(CHADUtbl[[#This Row],[UNITS22]]=0,"",CHADUtbl[[#This Row],[UNITS22]])</f>
        <v/>
      </c>
      <c r="I27" s="244" t="str">
        <f xml:space="preserve">
IF(CHADUtbl[[#This Row],[RURAL FUNDING REQUESTED]]=0,"",
CHADUtbl[[#This Row],[RURAL FUNDING REQUESTED]]*
IF(CH_ADU_RuralTotalRequested&lt;=(5000000-E$61),1,
(5000000-E$61)/CH_ADU_RuralTotalRequested)
)</f>
        <v/>
      </c>
      <c r="J27" s="6" t="str">
        <f>IF(CHADUtbl[[#This Row],[RURAL % OF FUNDING]]=0,"",CHADUtbl[[#This Row],[RURAL % OF FUNDING]])</f>
        <v/>
      </c>
      <c r="K27" s="31" t="s">
        <v>513</v>
      </c>
      <c r="L27" s="115"/>
      <c r="M27" s="241"/>
      <c r="N27" s="245"/>
      <c r="O27" s="240"/>
      <c r="P27" s="240"/>
      <c r="Q27" s="244">
        <f t="shared" si="0"/>
        <v>0</v>
      </c>
      <c r="R27" s="6">
        <f>IF(SUM(CHADUtbl[[#This Row],[UNRESTRICTED FUNDING REQUESTED]])=0,0,CHADUtbl[[#This Row],[UNRESTRICTED FUNDING REQUESTED]]/CH_ADU_UnrestrictedTotalRequested)</f>
        <v>0</v>
      </c>
      <c r="S27" s="665">
        <f>IF(CHADUtbl[[#This Row],[ALL UNITS IN A HIGH OR HIGHEST RESOURCE AREA]]="Yes",10*CHADUtbl[[#This Row],[UNRESTRICTED % OF FUNDING]],0)</f>
        <v>0</v>
      </c>
      <c r="T27" s="665" cm="1">
        <f t="array" ref="T27">INDEX(CountyScoresTbl[Community Need Total Points],ROW(CHADUtbl[[#This Row],[COUNTY]])-2,1)*CHADUtbl[[#This Row],[UNRESTRICTED % OF FUNDING]]</f>
        <v>0</v>
      </c>
      <c r="U27" s="694" cm="1">
        <f t="array" ref="U27">INDEX(CountyScoresTbl[OOR/ADU Total Feasibility Points Awarded],ROW(CHADUtbl[[#This Row],[COUNTY]])-2,1)*CHADUtbl[[#This Row],[UNRESTRICTED % OF FUNDING]]</f>
        <v>0</v>
      </c>
      <c r="V27" s="245"/>
      <c r="W27" s="240"/>
      <c r="X27" s="240"/>
      <c r="Y27" s="244">
        <f t="shared" si="1"/>
        <v>0</v>
      </c>
      <c r="Z27" s="6">
        <f>IF(SUM(CHADUtbl[[#This Row],[RURAL FUNDING REQUESTED]])=0,0,CHADUtbl[[#This Row],[RURAL FUNDING REQUESTED]]/CH_ADU_RuralTotalRequested)</f>
        <v>0</v>
      </c>
      <c r="AA27" s="665">
        <f>IF(CHADUtbl[[#This Row],[ALL UNITS IN A HIGH OR HIGHEST RESOURCE AREA]]="Yes",10*CHADUtbl[[#This Row],[RURAL % OF FUNDING]],0)</f>
        <v>0</v>
      </c>
      <c r="AB27" s="665" cm="1">
        <f t="array" ref="AB27">INDEX(CountyScoresTbl[Community Need Total Points],ROW(CHADUtbl[[#This Row],[COUNTY]])-2,1)*CHADUtbl[[#This Row],[RURAL % OF FUNDING]]</f>
        <v>0</v>
      </c>
      <c r="AC27" s="694" cm="1">
        <f t="array" ref="AC27">INDEX(CountyScoresTbl[OOR/ADU Total Feasibility Points Awarded],ROW(CHADUtbl[[#This Row],[COUNTY]])-2,1)*CHADUtbl[[#This Row],[RURAL % OF FUNDING]]</f>
        <v>0</v>
      </c>
      <c r="AD27" s="764"/>
      <c r="AE27" s="665">
        <f>IF(CHADUtbl[[#This Row],[INFILL SITE]]="Yes",5,3)*CHADUtbl[[#This Row],[UNRESTRICTED % OF FUNDING]]</f>
        <v>0</v>
      </c>
      <c r="AF27" s="665">
        <f>IF(CHADUtbl[[#This Row],[INFILL SITE]]="Yes",5,3)*CHADUtbl[[#This Row],[RURAL % OF FUNDING]]</f>
        <v>0</v>
      </c>
    </row>
    <row r="28" spans="1:32" x14ac:dyDescent="0.35">
      <c r="A28" s="124"/>
      <c r="B28" s="5" t="s">
        <v>140</v>
      </c>
      <c r="C28" s="31" t="s">
        <v>513</v>
      </c>
      <c r="D28" s="110" t="str">
        <f>IF(CHADUtbl[[#This Row],[UNITS3]]=0,"",CHADUtbl[[#This Row],[UNITS3]])</f>
        <v/>
      </c>
      <c r="E28" s="244" t="str">
        <f xml:space="preserve">
IF(CHADUtbl[[#This Row],[UNRESTRICTED FUNDING REQUESTED]]=0,"",
CHADUtbl[[#This Row],[UNRESTRICTED FUNDING REQUESTED]]*
IF(CH_ADU_UnrestrictedTotalRequested&lt;=5000000,1,
5000000/CH_ADU_UnrestrictedTotalRequested)
)</f>
        <v/>
      </c>
      <c r="F28" s="6" t="str">
        <f>IF(CHADUtbl[[#This Row],[UNRESTRICTED % OF FUNDING]]=0,"",CHADUtbl[[#This Row],[UNRESTRICTED % OF FUNDING]])</f>
        <v/>
      </c>
      <c r="G28" s="31" t="s">
        <v>513</v>
      </c>
      <c r="H28" s="110" t="str">
        <f>IF(CHADUtbl[[#This Row],[UNITS22]]=0,"",CHADUtbl[[#This Row],[UNITS22]])</f>
        <v/>
      </c>
      <c r="I28" s="244" t="str">
        <f xml:space="preserve">
IF(CHADUtbl[[#This Row],[RURAL FUNDING REQUESTED]]=0,"",
CHADUtbl[[#This Row],[RURAL FUNDING REQUESTED]]*
IF(CH_ADU_RuralTotalRequested&lt;=(5000000-E$61),1,
(5000000-E$61)/CH_ADU_RuralTotalRequested)
)</f>
        <v/>
      </c>
      <c r="J28" s="6" t="str">
        <f>IF(CHADUtbl[[#This Row],[RURAL % OF FUNDING]]=0,"",CHADUtbl[[#This Row],[RURAL % OF FUNDING]])</f>
        <v/>
      </c>
      <c r="K28" s="31" t="s">
        <v>513</v>
      </c>
      <c r="L28" s="116"/>
      <c r="M28" s="242"/>
      <c r="N28" s="245"/>
      <c r="O28" s="240"/>
      <c r="P28" s="240"/>
      <c r="Q28" s="244">
        <f t="shared" si="0"/>
        <v>0</v>
      </c>
      <c r="R28" s="6">
        <f>IF(SUM(CHADUtbl[[#This Row],[UNRESTRICTED FUNDING REQUESTED]])=0,0,CHADUtbl[[#This Row],[UNRESTRICTED FUNDING REQUESTED]]/CH_ADU_UnrestrictedTotalRequested)</f>
        <v>0</v>
      </c>
      <c r="S28" s="665">
        <f>IF(CHADUtbl[[#This Row],[ALL UNITS IN A HIGH OR HIGHEST RESOURCE AREA]]="Yes",10*CHADUtbl[[#This Row],[UNRESTRICTED % OF FUNDING]],0)</f>
        <v>0</v>
      </c>
      <c r="T28" s="665" cm="1">
        <f t="array" ref="T28">INDEX(CountyScoresTbl[Community Need Total Points],ROW(CHADUtbl[[#This Row],[COUNTY]])-2,1)*CHADUtbl[[#This Row],[UNRESTRICTED % OF FUNDING]]</f>
        <v>0</v>
      </c>
      <c r="U28" s="694" cm="1">
        <f t="array" ref="U28">INDEX(CountyScoresTbl[OOR/ADU Total Feasibility Points Awarded],ROW(CHADUtbl[[#This Row],[COUNTY]])-2,1)*CHADUtbl[[#This Row],[UNRESTRICTED % OF FUNDING]]</f>
        <v>0</v>
      </c>
      <c r="V28" s="245"/>
      <c r="W28" s="240"/>
      <c r="X28" s="240"/>
      <c r="Y28" s="244">
        <f t="shared" si="1"/>
        <v>0</v>
      </c>
      <c r="Z28" s="6">
        <f>IF(SUM(CHADUtbl[[#This Row],[RURAL FUNDING REQUESTED]])=0,0,CHADUtbl[[#This Row],[RURAL FUNDING REQUESTED]]/CH_ADU_RuralTotalRequested)</f>
        <v>0</v>
      </c>
      <c r="AA28" s="665">
        <f>IF(CHADUtbl[[#This Row],[ALL UNITS IN A HIGH OR HIGHEST RESOURCE AREA]]="Yes",10*CHADUtbl[[#This Row],[RURAL % OF FUNDING]],0)</f>
        <v>0</v>
      </c>
      <c r="AB28" s="665" cm="1">
        <f t="array" ref="AB28">INDEX(CountyScoresTbl[Community Need Total Points],ROW(CHADUtbl[[#This Row],[COUNTY]])-2,1)*CHADUtbl[[#This Row],[RURAL % OF FUNDING]]</f>
        <v>0</v>
      </c>
      <c r="AC28" s="694" cm="1">
        <f t="array" ref="AC28">INDEX(CountyScoresTbl[OOR/ADU Total Feasibility Points Awarded],ROW(CHADUtbl[[#This Row],[COUNTY]])-2,1)*CHADUtbl[[#This Row],[RURAL % OF FUNDING]]</f>
        <v>0</v>
      </c>
      <c r="AD28" s="764"/>
      <c r="AE28" s="665">
        <f>IF(CHADUtbl[[#This Row],[INFILL SITE]]="Yes",5,3)*CHADUtbl[[#This Row],[UNRESTRICTED % OF FUNDING]]</f>
        <v>0</v>
      </c>
      <c r="AF28" s="665">
        <f>IF(CHADUtbl[[#This Row],[INFILL SITE]]="Yes",5,3)*CHADUtbl[[#This Row],[RURAL % OF FUNDING]]</f>
        <v>0</v>
      </c>
    </row>
    <row r="29" spans="1:32" x14ac:dyDescent="0.35">
      <c r="A29" s="124"/>
      <c r="B29" s="5" t="s">
        <v>141</v>
      </c>
      <c r="C29" s="31" t="s">
        <v>513</v>
      </c>
      <c r="D29" s="110" t="str">
        <f>IF(CHADUtbl[[#This Row],[UNITS3]]=0,"",CHADUtbl[[#This Row],[UNITS3]])</f>
        <v/>
      </c>
      <c r="E29" s="244" t="str">
        <f xml:space="preserve">
IF(CHADUtbl[[#This Row],[UNRESTRICTED FUNDING REQUESTED]]=0,"",
CHADUtbl[[#This Row],[UNRESTRICTED FUNDING REQUESTED]]*
IF(CH_ADU_UnrestrictedTotalRequested&lt;=5000000,1,
5000000/CH_ADU_UnrestrictedTotalRequested)
)</f>
        <v/>
      </c>
      <c r="F29" s="6" t="str">
        <f>IF(CHADUtbl[[#This Row],[UNRESTRICTED % OF FUNDING]]=0,"",CHADUtbl[[#This Row],[UNRESTRICTED % OF FUNDING]])</f>
        <v/>
      </c>
      <c r="G29" s="31" t="s">
        <v>513</v>
      </c>
      <c r="H29" s="110" t="str">
        <f>IF(CHADUtbl[[#This Row],[UNITS22]]=0,"",CHADUtbl[[#This Row],[UNITS22]])</f>
        <v/>
      </c>
      <c r="I29" s="244" t="str">
        <f xml:space="preserve">
IF(CHADUtbl[[#This Row],[RURAL FUNDING REQUESTED]]=0,"",
CHADUtbl[[#This Row],[RURAL FUNDING REQUESTED]]*
IF(CH_ADU_RuralTotalRequested&lt;=(5000000-E$61),1,
(5000000-E$61)/CH_ADU_RuralTotalRequested)
)</f>
        <v/>
      </c>
      <c r="J29" s="6" t="str">
        <f>IF(CHADUtbl[[#This Row],[RURAL % OF FUNDING]]=0,"",CHADUtbl[[#This Row],[RURAL % OF FUNDING]])</f>
        <v/>
      </c>
      <c r="K29" s="31" t="s">
        <v>513</v>
      </c>
      <c r="L29" s="116"/>
      <c r="M29" s="242"/>
      <c r="N29" s="245"/>
      <c r="O29" s="240"/>
      <c r="P29" s="240"/>
      <c r="Q29" s="244">
        <f t="shared" si="0"/>
        <v>0</v>
      </c>
      <c r="R29" s="6">
        <f>IF(SUM(CHADUtbl[[#This Row],[UNRESTRICTED FUNDING REQUESTED]])=0,0,CHADUtbl[[#This Row],[UNRESTRICTED FUNDING REQUESTED]]/CH_ADU_UnrestrictedTotalRequested)</f>
        <v>0</v>
      </c>
      <c r="S29" s="665">
        <f>IF(CHADUtbl[[#This Row],[ALL UNITS IN A HIGH OR HIGHEST RESOURCE AREA]]="Yes",10*CHADUtbl[[#This Row],[UNRESTRICTED % OF FUNDING]],0)</f>
        <v>0</v>
      </c>
      <c r="T29" s="665" cm="1">
        <f t="array" ref="T29">INDEX(CountyScoresTbl[Community Need Total Points],ROW(CHADUtbl[[#This Row],[COUNTY]])-2,1)*CHADUtbl[[#This Row],[UNRESTRICTED % OF FUNDING]]</f>
        <v>0</v>
      </c>
      <c r="U29" s="694" cm="1">
        <f t="array" ref="U29">INDEX(CountyScoresTbl[OOR/ADU Total Feasibility Points Awarded],ROW(CHADUtbl[[#This Row],[COUNTY]])-2,1)*CHADUtbl[[#This Row],[UNRESTRICTED % OF FUNDING]]</f>
        <v>0</v>
      </c>
      <c r="V29" s="245"/>
      <c r="W29" s="240"/>
      <c r="X29" s="240"/>
      <c r="Y29" s="244">
        <f t="shared" si="1"/>
        <v>0</v>
      </c>
      <c r="Z29" s="6">
        <f>IF(SUM(CHADUtbl[[#This Row],[RURAL FUNDING REQUESTED]])=0,0,CHADUtbl[[#This Row],[RURAL FUNDING REQUESTED]]/CH_ADU_RuralTotalRequested)</f>
        <v>0</v>
      </c>
      <c r="AA29" s="665">
        <f>IF(CHADUtbl[[#This Row],[ALL UNITS IN A HIGH OR HIGHEST RESOURCE AREA]]="Yes",10*CHADUtbl[[#This Row],[RURAL % OF FUNDING]],0)</f>
        <v>0</v>
      </c>
      <c r="AB29" s="665" cm="1">
        <f t="array" ref="AB29">INDEX(CountyScoresTbl[Community Need Total Points],ROW(CHADUtbl[[#This Row],[COUNTY]])-2,1)*CHADUtbl[[#This Row],[RURAL % OF FUNDING]]</f>
        <v>0</v>
      </c>
      <c r="AC29" s="694" cm="1">
        <f t="array" ref="AC29">INDEX(CountyScoresTbl[OOR/ADU Total Feasibility Points Awarded],ROW(CHADUtbl[[#This Row],[COUNTY]])-2,1)*CHADUtbl[[#This Row],[RURAL % OF FUNDING]]</f>
        <v>0</v>
      </c>
      <c r="AD29" s="764"/>
      <c r="AE29" s="665">
        <f>IF(CHADUtbl[[#This Row],[INFILL SITE]]="Yes",5,3)*CHADUtbl[[#This Row],[UNRESTRICTED % OF FUNDING]]</f>
        <v>0</v>
      </c>
      <c r="AF29" s="665">
        <f>IF(CHADUtbl[[#This Row],[INFILL SITE]]="Yes",5,3)*CHADUtbl[[#This Row],[RURAL % OF FUNDING]]</f>
        <v>0</v>
      </c>
    </row>
    <row r="30" spans="1:32" x14ac:dyDescent="0.35">
      <c r="A30" s="167"/>
      <c r="B30" s="5" t="s">
        <v>142</v>
      </c>
      <c r="C30" s="31" t="s">
        <v>513</v>
      </c>
      <c r="D30" s="110" t="str">
        <f>IF(CHADUtbl[[#This Row],[UNITS3]]=0,"",CHADUtbl[[#This Row],[UNITS3]])</f>
        <v/>
      </c>
      <c r="E30" s="244" t="str">
        <f xml:space="preserve">
IF(CHADUtbl[[#This Row],[UNRESTRICTED FUNDING REQUESTED]]=0,"",
CHADUtbl[[#This Row],[UNRESTRICTED FUNDING REQUESTED]]*
IF(CH_ADU_UnrestrictedTotalRequested&lt;=5000000,1,
5000000/CH_ADU_UnrestrictedTotalRequested)
)</f>
        <v/>
      </c>
      <c r="F30" s="6" t="str">
        <f>IF(CHADUtbl[[#This Row],[UNRESTRICTED % OF FUNDING]]=0,"",CHADUtbl[[#This Row],[UNRESTRICTED % OF FUNDING]])</f>
        <v/>
      </c>
      <c r="G30" s="31" t="s">
        <v>513</v>
      </c>
      <c r="H30" s="110" t="str">
        <f>IF(CHADUtbl[[#This Row],[UNITS22]]=0,"",CHADUtbl[[#This Row],[UNITS22]])</f>
        <v/>
      </c>
      <c r="I30" s="244" t="str">
        <f xml:space="preserve">
IF(CHADUtbl[[#This Row],[RURAL FUNDING REQUESTED]]=0,"",
CHADUtbl[[#This Row],[RURAL FUNDING REQUESTED]]*
IF(CH_ADU_RuralTotalRequested&lt;=(5000000-E$61),1,
(5000000-E$61)/CH_ADU_RuralTotalRequested)
)</f>
        <v/>
      </c>
      <c r="J30" s="6" t="str">
        <f>IF(CHADUtbl[[#This Row],[RURAL % OF FUNDING]]=0,"",CHADUtbl[[#This Row],[RURAL % OF FUNDING]])</f>
        <v/>
      </c>
      <c r="K30" s="31" t="s">
        <v>513</v>
      </c>
      <c r="L30" s="115"/>
      <c r="M30" s="241"/>
      <c r="N30" s="245"/>
      <c r="O30" s="240"/>
      <c r="P30" s="240"/>
      <c r="Q30" s="244">
        <f t="shared" si="0"/>
        <v>0</v>
      </c>
      <c r="R30" s="6">
        <f>IF(SUM(CHADUtbl[[#This Row],[UNRESTRICTED FUNDING REQUESTED]])=0,0,CHADUtbl[[#This Row],[UNRESTRICTED FUNDING REQUESTED]]/CH_ADU_UnrestrictedTotalRequested)</f>
        <v>0</v>
      </c>
      <c r="S30" s="665">
        <f>IF(CHADUtbl[[#This Row],[ALL UNITS IN A HIGH OR HIGHEST RESOURCE AREA]]="Yes",10*CHADUtbl[[#This Row],[UNRESTRICTED % OF FUNDING]],0)</f>
        <v>0</v>
      </c>
      <c r="T30" s="665" cm="1">
        <f t="array" ref="T30">INDEX(CountyScoresTbl[Community Need Total Points],ROW(CHADUtbl[[#This Row],[COUNTY]])-2,1)*CHADUtbl[[#This Row],[UNRESTRICTED % OF FUNDING]]</f>
        <v>0</v>
      </c>
      <c r="U30" s="694" cm="1">
        <f t="array" ref="U30">INDEX(CountyScoresTbl[OOR/ADU Total Feasibility Points Awarded],ROW(CHADUtbl[[#This Row],[COUNTY]])-2,1)*CHADUtbl[[#This Row],[UNRESTRICTED % OF FUNDING]]</f>
        <v>0</v>
      </c>
      <c r="V30" s="245"/>
      <c r="W30" s="240"/>
      <c r="X30" s="240"/>
      <c r="Y30" s="244">
        <f t="shared" si="1"/>
        <v>0</v>
      </c>
      <c r="Z30" s="6">
        <f>IF(SUM(CHADUtbl[[#This Row],[RURAL FUNDING REQUESTED]])=0,0,CHADUtbl[[#This Row],[RURAL FUNDING REQUESTED]]/CH_ADU_RuralTotalRequested)</f>
        <v>0</v>
      </c>
      <c r="AA30" s="665">
        <f>IF(CHADUtbl[[#This Row],[ALL UNITS IN A HIGH OR HIGHEST RESOURCE AREA]]="Yes",10*CHADUtbl[[#This Row],[RURAL % OF FUNDING]],0)</f>
        <v>0</v>
      </c>
      <c r="AB30" s="665" cm="1">
        <f t="array" ref="AB30">INDEX(CountyScoresTbl[Community Need Total Points],ROW(CHADUtbl[[#This Row],[COUNTY]])-2,1)*CHADUtbl[[#This Row],[RURAL % OF FUNDING]]</f>
        <v>0</v>
      </c>
      <c r="AC30" s="694" cm="1">
        <f t="array" ref="AC30">INDEX(CountyScoresTbl[OOR/ADU Total Feasibility Points Awarded],ROW(CHADUtbl[[#This Row],[COUNTY]])-2,1)*CHADUtbl[[#This Row],[RURAL % OF FUNDING]]</f>
        <v>0</v>
      </c>
      <c r="AD30" s="764"/>
      <c r="AE30" s="665">
        <f>IF(CHADUtbl[[#This Row],[INFILL SITE]]="Yes",5,3)*CHADUtbl[[#This Row],[UNRESTRICTED % OF FUNDING]]</f>
        <v>0</v>
      </c>
      <c r="AF30" s="665">
        <f>IF(CHADUtbl[[#This Row],[INFILL SITE]]="Yes",5,3)*CHADUtbl[[#This Row],[RURAL % OF FUNDING]]</f>
        <v>0</v>
      </c>
    </row>
    <row r="31" spans="1:32" x14ac:dyDescent="0.35">
      <c r="A31" s="124"/>
      <c r="B31" s="5" t="s">
        <v>143</v>
      </c>
      <c r="C31" s="31" t="s">
        <v>513</v>
      </c>
      <c r="D31" s="110" t="str">
        <f>IF(CHADUtbl[[#This Row],[UNITS3]]=0,"",CHADUtbl[[#This Row],[UNITS3]])</f>
        <v/>
      </c>
      <c r="E31" s="244" t="str">
        <f xml:space="preserve">
IF(CHADUtbl[[#This Row],[UNRESTRICTED FUNDING REQUESTED]]=0,"",
CHADUtbl[[#This Row],[UNRESTRICTED FUNDING REQUESTED]]*
IF(CH_ADU_UnrestrictedTotalRequested&lt;=5000000,1,
5000000/CH_ADU_UnrestrictedTotalRequested)
)</f>
        <v/>
      </c>
      <c r="F31" s="6" t="str">
        <f>IF(CHADUtbl[[#This Row],[UNRESTRICTED % OF FUNDING]]=0,"",CHADUtbl[[#This Row],[UNRESTRICTED % OF FUNDING]])</f>
        <v/>
      </c>
      <c r="G31" s="31" t="s">
        <v>513</v>
      </c>
      <c r="H31" s="110" t="str">
        <f>IF(CHADUtbl[[#This Row],[UNITS22]]=0,"",CHADUtbl[[#This Row],[UNITS22]])</f>
        <v/>
      </c>
      <c r="I31" s="244" t="str">
        <f xml:space="preserve">
IF(CHADUtbl[[#This Row],[RURAL FUNDING REQUESTED]]=0,"",
CHADUtbl[[#This Row],[RURAL FUNDING REQUESTED]]*
IF(CH_ADU_RuralTotalRequested&lt;=(5000000-E$61),1,
(5000000-E$61)/CH_ADU_RuralTotalRequested)
)</f>
        <v/>
      </c>
      <c r="J31" s="6" t="str">
        <f>IF(CHADUtbl[[#This Row],[RURAL % OF FUNDING]]=0,"",CHADUtbl[[#This Row],[RURAL % OF FUNDING]])</f>
        <v/>
      </c>
      <c r="K31" s="31" t="s">
        <v>513</v>
      </c>
      <c r="L31" s="116"/>
      <c r="M31" s="242"/>
      <c r="N31" s="245"/>
      <c r="O31" s="240"/>
      <c r="P31" s="240"/>
      <c r="Q31" s="244">
        <f t="shared" si="0"/>
        <v>0</v>
      </c>
      <c r="R31" s="6">
        <f>IF(SUM(CHADUtbl[[#This Row],[UNRESTRICTED FUNDING REQUESTED]])=0,0,CHADUtbl[[#This Row],[UNRESTRICTED FUNDING REQUESTED]]/CH_ADU_UnrestrictedTotalRequested)</f>
        <v>0</v>
      </c>
      <c r="S31" s="665">
        <f>IF(CHADUtbl[[#This Row],[ALL UNITS IN A HIGH OR HIGHEST RESOURCE AREA]]="Yes",10*CHADUtbl[[#This Row],[UNRESTRICTED % OF FUNDING]],0)</f>
        <v>0</v>
      </c>
      <c r="T31" s="665" cm="1">
        <f t="array" ref="T31">INDEX(CountyScoresTbl[Community Need Total Points],ROW(CHADUtbl[[#This Row],[COUNTY]])-2,1)*CHADUtbl[[#This Row],[UNRESTRICTED % OF FUNDING]]</f>
        <v>0</v>
      </c>
      <c r="U31" s="694" cm="1">
        <f t="array" ref="U31">INDEX(CountyScoresTbl[OOR/ADU Total Feasibility Points Awarded],ROW(CHADUtbl[[#This Row],[COUNTY]])-2,1)*CHADUtbl[[#This Row],[UNRESTRICTED % OF FUNDING]]</f>
        <v>0</v>
      </c>
      <c r="V31" s="245"/>
      <c r="W31" s="240"/>
      <c r="X31" s="240"/>
      <c r="Y31" s="244">
        <f t="shared" si="1"/>
        <v>0</v>
      </c>
      <c r="Z31" s="6">
        <f>IF(SUM(CHADUtbl[[#This Row],[RURAL FUNDING REQUESTED]])=0,0,CHADUtbl[[#This Row],[RURAL FUNDING REQUESTED]]/CH_ADU_RuralTotalRequested)</f>
        <v>0</v>
      </c>
      <c r="AA31" s="665">
        <f>IF(CHADUtbl[[#This Row],[ALL UNITS IN A HIGH OR HIGHEST RESOURCE AREA]]="Yes",10*CHADUtbl[[#This Row],[RURAL % OF FUNDING]],0)</f>
        <v>0</v>
      </c>
      <c r="AB31" s="665" cm="1">
        <f t="array" ref="AB31">INDEX(CountyScoresTbl[Community Need Total Points],ROW(CHADUtbl[[#This Row],[COUNTY]])-2,1)*CHADUtbl[[#This Row],[RURAL % OF FUNDING]]</f>
        <v>0</v>
      </c>
      <c r="AC31" s="694" cm="1">
        <f t="array" ref="AC31">INDEX(CountyScoresTbl[OOR/ADU Total Feasibility Points Awarded],ROW(CHADUtbl[[#This Row],[COUNTY]])-2,1)*CHADUtbl[[#This Row],[RURAL % OF FUNDING]]</f>
        <v>0</v>
      </c>
      <c r="AD31" s="764"/>
      <c r="AE31" s="665">
        <f>IF(CHADUtbl[[#This Row],[INFILL SITE]]="Yes",5,3)*CHADUtbl[[#This Row],[UNRESTRICTED % OF FUNDING]]</f>
        <v>0</v>
      </c>
      <c r="AF31" s="665">
        <f>IF(CHADUtbl[[#This Row],[INFILL SITE]]="Yes",5,3)*CHADUtbl[[#This Row],[RURAL % OF FUNDING]]</f>
        <v>0</v>
      </c>
    </row>
    <row r="32" spans="1:32" x14ac:dyDescent="0.35">
      <c r="A32" s="124"/>
      <c r="B32" s="5" t="s">
        <v>144</v>
      </c>
      <c r="C32" s="31" t="s">
        <v>513</v>
      </c>
      <c r="D32" s="110" t="str">
        <f>IF(CHADUtbl[[#This Row],[UNITS3]]=0,"",CHADUtbl[[#This Row],[UNITS3]])</f>
        <v/>
      </c>
      <c r="E32" s="244" t="str">
        <f xml:space="preserve">
IF(CHADUtbl[[#This Row],[UNRESTRICTED FUNDING REQUESTED]]=0,"",
CHADUtbl[[#This Row],[UNRESTRICTED FUNDING REQUESTED]]*
IF(CH_ADU_UnrestrictedTotalRequested&lt;=5000000,1,
5000000/CH_ADU_UnrestrictedTotalRequested)
)</f>
        <v/>
      </c>
      <c r="F32" s="6" t="str">
        <f>IF(CHADUtbl[[#This Row],[UNRESTRICTED % OF FUNDING]]=0,"",CHADUtbl[[#This Row],[UNRESTRICTED % OF FUNDING]])</f>
        <v/>
      </c>
      <c r="G32" s="31" t="s">
        <v>513</v>
      </c>
      <c r="H32" s="110" t="str">
        <f>IF(CHADUtbl[[#This Row],[UNITS22]]=0,"",CHADUtbl[[#This Row],[UNITS22]])</f>
        <v/>
      </c>
      <c r="I32" s="244" t="str">
        <f xml:space="preserve">
IF(CHADUtbl[[#This Row],[RURAL FUNDING REQUESTED]]=0,"",
CHADUtbl[[#This Row],[RURAL FUNDING REQUESTED]]*
IF(CH_ADU_RuralTotalRequested&lt;=(5000000-E$61),1,
(5000000-E$61)/CH_ADU_RuralTotalRequested)
)</f>
        <v/>
      </c>
      <c r="J32" s="6" t="str">
        <f>IF(CHADUtbl[[#This Row],[RURAL % OF FUNDING]]=0,"",CHADUtbl[[#This Row],[RURAL % OF FUNDING]])</f>
        <v/>
      </c>
      <c r="K32" s="31" t="s">
        <v>513</v>
      </c>
      <c r="L32" s="116"/>
      <c r="M32" s="242"/>
      <c r="N32" s="245"/>
      <c r="O32" s="240"/>
      <c r="P32" s="240"/>
      <c r="Q32" s="244">
        <f t="shared" si="0"/>
        <v>0</v>
      </c>
      <c r="R32" s="6">
        <f>IF(SUM(CHADUtbl[[#This Row],[UNRESTRICTED FUNDING REQUESTED]])=0,0,CHADUtbl[[#This Row],[UNRESTRICTED FUNDING REQUESTED]]/CH_ADU_UnrestrictedTotalRequested)</f>
        <v>0</v>
      </c>
      <c r="S32" s="665">
        <f>IF(CHADUtbl[[#This Row],[ALL UNITS IN A HIGH OR HIGHEST RESOURCE AREA]]="Yes",10*CHADUtbl[[#This Row],[UNRESTRICTED % OF FUNDING]],0)</f>
        <v>0</v>
      </c>
      <c r="T32" s="665" cm="1">
        <f t="array" ref="T32">INDEX(CountyScoresTbl[Community Need Total Points],ROW(CHADUtbl[[#This Row],[COUNTY]])-2,1)*CHADUtbl[[#This Row],[UNRESTRICTED % OF FUNDING]]</f>
        <v>0</v>
      </c>
      <c r="U32" s="694" cm="1">
        <f t="array" ref="U32">INDEX(CountyScoresTbl[OOR/ADU Total Feasibility Points Awarded],ROW(CHADUtbl[[#This Row],[COUNTY]])-2,1)*CHADUtbl[[#This Row],[UNRESTRICTED % OF FUNDING]]</f>
        <v>0</v>
      </c>
      <c r="V32" s="245"/>
      <c r="W32" s="240"/>
      <c r="X32" s="240"/>
      <c r="Y32" s="244">
        <f t="shared" si="1"/>
        <v>0</v>
      </c>
      <c r="Z32" s="6">
        <f>IF(SUM(CHADUtbl[[#This Row],[RURAL FUNDING REQUESTED]])=0,0,CHADUtbl[[#This Row],[RURAL FUNDING REQUESTED]]/CH_ADU_RuralTotalRequested)</f>
        <v>0</v>
      </c>
      <c r="AA32" s="665">
        <f>IF(CHADUtbl[[#This Row],[ALL UNITS IN A HIGH OR HIGHEST RESOURCE AREA]]="Yes",10*CHADUtbl[[#This Row],[RURAL % OF FUNDING]],0)</f>
        <v>0</v>
      </c>
      <c r="AB32" s="665" cm="1">
        <f t="array" ref="AB32">INDEX(CountyScoresTbl[Community Need Total Points],ROW(CHADUtbl[[#This Row],[COUNTY]])-2,1)*CHADUtbl[[#This Row],[RURAL % OF FUNDING]]</f>
        <v>0</v>
      </c>
      <c r="AC32" s="694" cm="1">
        <f t="array" ref="AC32">INDEX(CountyScoresTbl[OOR/ADU Total Feasibility Points Awarded],ROW(CHADUtbl[[#This Row],[COUNTY]])-2,1)*CHADUtbl[[#This Row],[RURAL % OF FUNDING]]</f>
        <v>0</v>
      </c>
      <c r="AD32" s="764"/>
      <c r="AE32" s="665">
        <f>IF(CHADUtbl[[#This Row],[INFILL SITE]]="Yes",5,3)*CHADUtbl[[#This Row],[UNRESTRICTED % OF FUNDING]]</f>
        <v>0</v>
      </c>
      <c r="AF32" s="665">
        <f>IF(CHADUtbl[[#This Row],[INFILL SITE]]="Yes",5,3)*CHADUtbl[[#This Row],[RURAL % OF FUNDING]]</f>
        <v>0</v>
      </c>
    </row>
    <row r="33" spans="1:32" x14ac:dyDescent="0.35">
      <c r="A33" s="167"/>
      <c r="B33" s="5" t="s">
        <v>145</v>
      </c>
      <c r="C33" s="31" t="s">
        <v>513</v>
      </c>
      <c r="D33" s="110" t="str">
        <f>IF(CHADUtbl[[#This Row],[UNITS3]]=0,"",CHADUtbl[[#This Row],[UNITS3]])</f>
        <v/>
      </c>
      <c r="E33" s="244" t="str">
        <f xml:space="preserve">
IF(CHADUtbl[[#This Row],[UNRESTRICTED FUNDING REQUESTED]]=0,"",
CHADUtbl[[#This Row],[UNRESTRICTED FUNDING REQUESTED]]*
IF(CH_ADU_UnrestrictedTotalRequested&lt;=5000000,1,
5000000/CH_ADU_UnrestrictedTotalRequested)
)</f>
        <v/>
      </c>
      <c r="F33" s="6" t="str">
        <f>IF(CHADUtbl[[#This Row],[UNRESTRICTED % OF FUNDING]]=0,"",CHADUtbl[[#This Row],[UNRESTRICTED % OF FUNDING]])</f>
        <v/>
      </c>
      <c r="G33" s="31" t="s">
        <v>513</v>
      </c>
      <c r="H33" s="110" t="str">
        <f>IF(CHADUtbl[[#This Row],[UNITS22]]=0,"",CHADUtbl[[#This Row],[UNITS22]])</f>
        <v/>
      </c>
      <c r="I33" s="244" t="str">
        <f xml:space="preserve">
IF(CHADUtbl[[#This Row],[RURAL FUNDING REQUESTED]]=0,"",
CHADUtbl[[#This Row],[RURAL FUNDING REQUESTED]]*
IF(CH_ADU_RuralTotalRequested&lt;=(5000000-E$61),1,
(5000000-E$61)/CH_ADU_RuralTotalRequested)
)</f>
        <v/>
      </c>
      <c r="J33" s="6" t="str">
        <f>IF(CHADUtbl[[#This Row],[RURAL % OF FUNDING]]=0,"",CHADUtbl[[#This Row],[RURAL % OF FUNDING]])</f>
        <v/>
      </c>
      <c r="K33" s="31" t="s">
        <v>513</v>
      </c>
      <c r="L33" s="115"/>
      <c r="M33" s="241"/>
      <c r="N33" s="245"/>
      <c r="O33" s="240"/>
      <c r="P33" s="240"/>
      <c r="Q33" s="244">
        <f t="shared" si="0"/>
        <v>0</v>
      </c>
      <c r="R33" s="6">
        <f>IF(SUM(CHADUtbl[[#This Row],[UNRESTRICTED FUNDING REQUESTED]])=0,0,CHADUtbl[[#This Row],[UNRESTRICTED FUNDING REQUESTED]]/CH_ADU_UnrestrictedTotalRequested)</f>
        <v>0</v>
      </c>
      <c r="S33" s="665">
        <f>IF(CHADUtbl[[#This Row],[ALL UNITS IN A HIGH OR HIGHEST RESOURCE AREA]]="Yes",10*CHADUtbl[[#This Row],[UNRESTRICTED % OF FUNDING]],0)</f>
        <v>0</v>
      </c>
      <c r="T33" s="665" cm="1">
        <f t="array" ref="T33">INDEX(CountyScoresTbl[Community Need Total Points],ROW(CHADUtbl[[#This Row],[COUNTY]])-2,1)*CHADUtbl[[#This Row],[UNRESTRICTED % OF FUNDING]]</f>
        <v>0</v>
      </c>
      <c r="U33" s="694" cm="1">
        <f t="array" ref="U33">INDEX(CountyScoresTbl[OOR/ADU Total Feasibility Points Awarded],ROW(CHADUtbl[[#This Row],[COUNTY]])-2,1)*CHADUtbl[[#This Row],[UNRESTRICTED % OF FUNDING]]</f>
        <v>0</v>
      </c>
      <c r="V33" s="245"/>
      <c r="W33" s="240"/>
      <c r="X33" s="240"/>
      <c r="Y33" s="244">
        <f t="shared" si="1"/>
        <v>0</v>
      </c>
      <c r="Z33" s="6">
        <f>IF(SUM(CHADUtbl[[#This Row],[RURAL FUNDING REQUESTED]])=0,0,CHADUtbl[[#This Row],[RURAL FUNDING REQUESTED]]/CH_ADU_RuralTotalRequested)</f>
        <v>0</v>
      </c>
      <c r="AA33" s="665">
        <f>IF(CHADUtbl[[#This Row],[ALL UNITS IN A HIGH OR HIGHEST RESOURCE AREA]]="Yes",10*CHADUtbl[[#This Row],[RURAL % OF FUNDING]],0)</f>
        <v>0</v>
      </c>
      <c r="AB33" s="665" cm="1">
        <f t="array" ref="AB33">INDEX(CountyScoresTbl[Community Need Total Points],ROW(CHADUtbl[[#This Row],[COUNTY]])-2,1)*CHADUtbl[[#This Row],[RURAL % OF FUNDING]]</f>
        <v>0</v>
      </c>
      <c r="AC33" s="694" cm="1">
        <f t="array" ref="AC33">INDEX(CountyScoresTbl[OOR/ADU Total Feasibility Points Awarded],ROW(CHADUtbl[[#This Row],[COUNTY]])-2,1)*CHADUtbl[[#This Row],[RURAL % OF FUNDING]]</f>
        <v>0</v>
      </c>
      <c r="AD33" s="764"/>
      <c r="AE33" s="665">
        <f>IF(CHADUtbl[[#This Row],[INFILL SITE]]="Yes",5,3)*CHADUtbl[[#This Row],[UNRESTRICTED % OF FUNDING]]</f>
        <v>0</v>
      </c>
      <c r="AF33" s="665">
        <f>IF(CHADUtbl[[#This Row],[INFILL SITE]]="Yes",5,3)*CHADUtbl[[#This Row],[RURAL % OF FUNDING]]</f>
        <v>0</v>
      </c>
    </row>
    <row r="34" spans="1:32" x14ac:dyDescent="0.35">
      <c r="A34" s="124"/>
      <c r="B34" s="5" t="s">
        <v>146</v>
      </c>
      <c r="C34" s="31" t="s">
        <v>513</v>
      </c>
      <c r="D34" s="110" t="str">
        <f>IF(CHADUtbl[[#This Row],[UNITS3]]=0,"",CHADUtbl[[#This Row],[UNITS3]])</f>
        <v/>
      </c>
      <c r="E34" s="244" t="str">
        <f xml:space="preserve">
IF(CHADUtbl[[#This Row],[UNRESTRICTED FUNDING REQUESTED]]=0,"",
CHADUtbl[[#This Row],[UNRESTRICTED FUNDING REQUESTED]]*
IF(CH_ADU_UnrestrictedTotalRequested&lt;=5000000,1,
5000000/CH_ADU_UnrestrictedTotalRequested)
)</f>
        <v/>
      </c>
      <c r="F34" s="6" t="str">
        <f>IF(CHADUtbl[[#This Row],[UNRESTRICTED % OF FUNDING]]=0,"",CHADUtbl[[#This Row],[UNRESTRICTED % OF FUNDING]])</f>
        <v/>
      </c>
      <c r="G34" s="31" t="s">
        <v>513</v>
      </c>
      <c r="H34" s="110" t="str">
        <f>IF(CHADUtbl[[#This Row],[UNITS22]]=0,"",CHADUtbl[[#This Row],[UNITS22]])</f>
        <v/>
      </c>
      <c r="I34" s="244" t="str">
        <f xml:space="preserve">
IF(CHADUtbl[[#This Row],[RURAL FUNDING REQUESTED]]=0,"",
CHADUtbl[[#This Row],[RURAL FUNDING REQUESTED]]*
IF(CH_ADU_RuralTotalRequested&lt;=(5000000-E$61),1,
(5000000-E$61)/CH_ADU_RuralTotalRequested)
)</f>
        <v/>
      </c>
      <c r="J34" s="6" t="str">
        <f>IF(CHADUtbl[[#This Row],[RURAL % OF FUNDING]]=0,"",CHADUtbl[[#This Row],[RURAL % OF FUNDING]])</f>
        <v/>
      </c>
      <c r="K34" s="31" t="s">
        <v>513</v>
      </c>
      <c r="L34" s="116"/>
      <c r="M34" s="242"/>
      <c r="N34" s="245"/>
      <c r="O34" s="240"/>
      <c r="P34" s="240"/>
      <c r="Q34" s="244">
        <f t="shared" si="0"/>
        <v>0</v>
      </c>
      <c r="R34" s="6">
        <f>IF(SUM(CHADUtbl[[#This Row],[UNRESTRICTED FUNDING REQUESTED]])=0,0,CHADUtbl[[#This Row],[UNRESTRICTED FUNDING REQUESTED]]/CH_ADU_UnrestrictedTotalRequested)</f>
        <v>0</v>
      </c>
      <c r="S34" s="665">
        <f>IF(CHADUtbl[[#This Row],[ALL UNITS IN A HIGH OR HIGHEST RESOURCE AREA]]="Yes",10*CHADUtbl[[#This Row],[UNRESTRICTED % OF FUNDING]],0)</f>
        <v>0</v>
      </c>
      <c r="T34" s="665" cm="1">
        <f t="array" ref="T34">INDEX(CountyScoresTbl[Community Need Total Points],ROW(CHADUtbl[[#This Row],[COUNTY]])-2,1)*CHADUtbl[[#This Row],[UNRESTRICTED % OF FUNDING]]</f>
        <v>0</v>
      </c>
      <c r="U34" s="694" cm="1">
        <f t="array" ref="U34">INDEX(CountyScoresTbl[OOR/ADU Total Feasibility Points Awarded],ROW(CHADUtbl[[#This Row],[COUNTY]])-2,1)*CHADUtbl[[#This Row],[UNRESTRICTED % OF FUNDING]]</f>
        <v>0</v>
      </c>
      <c r="V34" s="245"/>
      <c r="W34" s="240"/>
      <c r="X34" s="240"/>
      <c r="Y34" s="244">
        <f t="shared" si="1"/>
        <v>0</v>
      </c>
      <c r="Z34" s="6">
        <f>IF(SUM(CHADUtbl[[#This Row],[RURAL FUNDING REQUESTED]])=0,0,CHADUtbl[[#This Row],[RURAL FUNDING REQUESTED]]/CH_ADU_RuralTotalRequested)</f>
        <v>0</v>
      </c>
      <c r="AA34" s="665">
        <f>IF(CHADUtbl[[#This Row],[ALL UNITS IN A HIGH OR HIGHEST RESOURCE AREA]]="Yes",10*CHADUtbl[[#This Row],[RURAL % OF FUNDING]],0)</f>
        <v>0</v>
      </c>
      <c r="AB34" s="665" cm="1">
        <f t="array" ref="AB34">INDEX(CountyScoresTbl[Community Need Total Points],ROW(CHADUtbl[[#This Row],[COUNTY]])-2,1)*CHADUtbl[[#This Row],[RURAL % OF FUNDING]]</f>
        <v>0</v>
      </c>
      <c r="AC34" s="694" cm="1">
        <f t="array" ref="AC34">INDEX(CountyScoresTbl[OOR/ADU Total Feasibility Points Awarded],ROW(CHADUtbl[[#This Row],[COUNTY]])-2,1)*CHADUtbl[[#This Row],[RURAL % OF FUNDING]]</f>
        <v>0</v>
      </c>
      <c r="AD34" s="764"/>
      <c r="AE34" s="665">
        <f>IF(CHADUtbl[[#This Row],[INFILL SITE]]="Yes",5,3)*CHADUtbl[[#This Row],[UNRESTRICTED % OF FUNDING]]</f>
        <v>0</v>
      </c>
      <c r="AF34" s="665">
        <f>IF(CHADUtbl[[#This Row],[INFILL SITE]]="Yes",5,3)*CHADUtbl[[#This Row],[RURAL % OF FUNDING]]</f>
        <v>0</v>
      </c>
    </row>
    <row r="35" spans="1:32" x14ac:dyDescent="0.35">
      <c r="A35" s="167" t="s">
        <v>504</v>
      </c>
      <c r="B35" s="5" t="s">
        <v>147</v>
      </c>
      <c r="C35" s="31" t="s">
        <v>513</v>
      </c>
      <c r="D35" s="110" t="str">
        <f>IF(CHADUtbl[[#This Row],[UNITS3]]=0,"",CHADUtbl[[#This Row],[UNITS3]])</f>
        <v/>
      </c>
      <c r="E35" s="244" t="str">
        <f xml:space="preserve">
IF(CHADUtbl[[#This Row],[UNRESTRICTED FUNDING REQUESTED]]=0,"",
CHADUtbl[[#This Row],[UNRESTRICTED FUNDING REQUESTED]]*
IF(CH_ADU_UnrestrictedTotalRequested&lt;=5000000,1,
5000000/CH_ADU_UnrestrictedTotalRequested)
)</f>
        <v/>
      </c>
      <c r="F35" s="6" t="str">
        <f>IF(CHADUtbl[[#This Row],[UNRESTRICTED % OF FUNDING]]=0,"",CHADUtbl[[#This Row],[UNRESTRICTED % OF FUNDING]])</f>
        <v/>
      </c>
      <c r="G35" s="31" t="s">
        <v>513</v>
      </c>
      <c r="H35" s="110" t="str">
        <f>IF(CHADUtbl[[#This Row],[UNITS22]]=0,"",CHADUtbl[[#This Row],[UNITS22]])</f>
        <v/>
      </c>
      <c r="I35" s="244" t="str">
        <f xml:space="preserve">
IF(CHADUtbl[[#This Row],[RURAL FUNDING REQUESTED]]=0,"",
CHADUtbl[[#This Row],[RURAL FUNDING REQUESTED]]*
IF(CH_ADU_RuralTotalRequested&lt;=(5000000-E$61),1,
(5000000-E$61)/CH_ADU_RuralTotalRequested)
)</f>
        <v/>
      </c>
      <c r="J35" s="6" t="str">
        <f>IF(CHADUtbl[[#This Row],[RURAL % OF FUNDING]]=0,"",CHADUtbl[[#This Row],[RURAL % OF FUNDING]])</f>
        <v/>
      </c>
      <c r="K35" s="31" t="s">
        <v>513</v>
      </c>
      <c r="L35" s="115"/>
      <c r="M35" s="241"/>
      <c r="N35" s="245"/>
      <c r="O35" s="240"/>
      <c r="P35" s="240"/>
      <c r="Q35" s="244">
        <f t="shared" si="0"/>
        <v>0</v>
      </c>
      <c r="R35" s="6">
        <f>IF(SUM(CHADUtbl[[#This Row],[UNRESTRICTED FUNDING REQUESTED]])=0,0,CHADUtbl[[#This Row],[UNRESTRICTED FUNDING REQUESTED]]/CH_ADU_UnrestrictedTotalRequested)</f>
        <v>0</v>
      </c>
      <c r="S35" s="665">
        <f>IF(CHADUtbl[[#This Row],[ALL UNITS IN A HIGH OR HIGHEST RESOURCE AREA]]="Yes",10*CHADUtbl[[#This Row],[UNRESTRICTED % OF FUNDING]],0)</f>
        <v>0</v>
      </c>
      <c r="T35" s="665" cm="1">
        <f t="array" ref="T35">INDEX(CountyScoresTbl[Community Need Total Points],ROW(CHADUtbl[[#This Row],[COUNTY]])-2,1)*CHADUtbl[[#This Row],[UNRESTRICTED % OF FUNDING]]</f>
        <v>0</v>
      </c>
      <c r="U35" s="694" cm="1">
        <f t="array" ref="U35">INDEX(CountyScoresTbl[OOR/ADU Total Feasibility Points Awarded],ROW(CHADUtbl[[#This Row],[COUNTY]])-2,1)*CHADUtbl[[#This Row],[UNRESTRICTED % OF FUNDING]]</f>
        <v>0</v>
      </c>
      <c r="V35" s="245"/>
      <c r="W35" s="240"/>
      <c r="X35" s="240"/>
      <c r="Y35" s="244">
        <f t="shared" si="1"/>
        <v>0</v>
      </c>
      <c r="Z35" s="6">
        <f>IF(SUM(CHADUtbl[[#This Row],[RURAL FUNDING REQUESTED]])=0,0,CHADUtbl[[#This Row],[RURAL FUNDING REQUESTED]]/CH_ADU_RuralTotalRequested)</f>
        <v>0</v>
      </c>
      <c r="AA35" s="665">
        <f>IF(CHADUtbl[[#This Row],[ALL UNITS IN A HIGH OR HIGHEST RESOURCE AREA]]="Yes",10*CHADUtbl[[#This Row],[RURAL % OF FUNDING]],0)</f>
        <v>0</v>
      </c>
      <c r="AB35" s="665" cm="1">
        <f t="array" ref="AB35">INDEX(CountyScoresTbl[Community Need Total Points],ROW(CHADUtbl[[#This Row],[COUNTY]])-2,1)*CHADUtbl[[#This Row],[RURAL % OF FUNDING]]</f>
        <v>0</v>
      </c>
      <c r="AC35" s="694" cm="1">
        <f t="array" ref="AC35">INDEX(CountyScoresTbl[OOR/ADU Total Feasibility Points Awarded],ROW(CHADUtbl[[#This Row],[COUNTY]])-2,1)*CHADUtbl[[#This Row],[RURAL % OF FUNDING]]</f>
        <v>0</v>
      </c>
      <c r="AD35" s="764"/>
      <c r="AE35" s="665">
        <f>IF(CHADUtbl[[#This Row],[INFILL SITE]]="Yes",5,3)*CHADUtbl[[#This Row],[UNRESTRICTED % OF FUNDING]]</f>
        <v>0</v>
      </c>
      <c r="AF35" s="665">
        <f>IF(CHADUtbl[[#This Row],[INFILL SITE]]="Yes",5,3)*CHADUtbl[[#This Row],[RURAL % OF FUNDING]]</f>
        <v>0</v>
      </c>
    </row>
    <row r="36" spans="1:32" x14ac:dyDescent="0.35">
      <c r="A36" s="124"/>
      <c r="B36" s="5" t="s">
        <v>148</v>
      </c>
      <c r="C36" s="31" t="s">
        <v>513</v>
      </c>
      <c r="D36" s="110" t="str">
        <f>IF(CHADUtbl[[#This Row],[UNITS3]]=0,"",CHADUtbl[[#This Row],[UNITS3]])</f>
        <v/>
      </c>
      <c r="E36" s="244" t="str">
        <f xml:space="preserve">
IF(CHADUtbl[[#This Row],[UNRESTRICTED FUNDING REQUESTED]]=0,"",
CHADUtbl[[#This Row],[UNRESTRICTED FUNDING REQUESTED]]*
IF(CH_ADU_UnrestrictedTotalRequested&lt;=5000000,1,
5000000/CH_ADU_UnrestrictedTotalRequested)
)</f>
        <v/>
      </c>
      <c r="F36" s="6" t="str">
        <f>IF(CHADUtbl[[#This Row],[UNRESTRICTED % OF FUNDING]]=0,"",CHADUtbl[[#This Row],[UNRESTRICTED % OF FUNDING]])</f>
        <v/>
      </c>
      <c r="G36" s="31" t="s">
        <v>513</v>
      </c>
      <c r="H36" s="110" t="str">
        <f>IF(CHADUtbl[[#This Row],[UNITS22]]=0,"",CHADUtbl[[#This Row],[UNITS22]])</f>
        <v/>
      </c>
      <c r="I36" s="244" t="str">
        <f xml:space="preserve">
IF(CHADUtbl[[#This Row],[RURAL FUNDING REQUESTED]]=0,"",
CHADUtbl[[#This Row],[RURAL FUNDING REQUESTED]]*
IF(CH_ADU_RuralTotalRequested&lt;=(5000000-E$61),1,
(5000000-E$61)/CH_ADU_RuralTotalRequested)
)</f>
        <v/>
      </c>
      <c r="J36" s="6" t="str">
        <f>IF(CHADUtbl[[#This Row],[RURAL % OF FUNDING]]=0,"",CHADUtbl[[#This Row],[RURAL % OF FUNDING]])</f>
        <v/>
      </c>
      <c r="K36" s="31" t="s">
        <v>513</v>
      </c>
      <c r="L36" s="116"/>
      <c r="M36" s="242"/>
      <c r="N36" s="245"/>
      <c r="O36" s="240"/>
      <c r="P36" s="240"/>
      <c r="Q36" s="244">
        <f t="shared" si="0"/>
        <v>0</v>
      </c>
      <c r="R36" s="6">
        <f>IF(SUM(CHADUtbl[[#This Row],[UNRESTRICTED FUNDING REQUESTED]])=0,0,CHADUtbl[[#This Row],[UNRESTRICTED FUNDING REQUESTED]]/CH_ADU_UnrestrictedTotalRequested)</f>
        <v>0</v>
      </c>
      <c r="S36" s="665">
        <f>IF(CHADUtbl[[#This Row],[ALL UNITS IN A HIGH OR HIGHEST RESOURCE AREA]]="Yes",10*CHADUtbl[[#This Row],[UNRESTRICTED % OF FUNDING]],0)</f>
        <v>0</v>
      </c>
      <c r="T36" s="665" cm="1">
        <f t="array" ref="T36">INDEX(CountyScoresTbl[Community Need Total Points],ROW(CHADUtbl[[#This Row],[COUNTY]])-2,1)*CHADUtbl[[#This Row],[UNRESTRICTED % OF FUNDING]]</f>
        <v>0</v>
      </c>
      <c r="U36" s="694" cm="1">
        <f t="array" ref="U36">INDEX(CountyScoresTbl[OOR/ADU Total Feasibility Points Awarded],ROW(CHADUtbl[[#This Row],[COUNTY]])-2,1)*CHADUtbl[[#This Row],[UNRESTRICTED % OF FUNDING]]</f>
        <v>0</v>
      </c>
      <c r="V36" s="245"/>
      <c r="W36" s="240"/>
      <c r="X36" s="240"/>
      <c r="Y36" s="244">
        <f t="shared" si="1"/>
        <v>0</v>
      </c>
      <c r="Z36" s="6">
        <f>IF(SUM(CHADUtbl[[#This Row],[RURAL FUNDING REQUESTED]])=0,0,CHADUtbl[[#This Row],[RURAL FUNDING REQUESTED]]/CH_ADU_RuralTotalRequested)</f>
        <v>0</v>
      </c>
      <c r="AA36" s="665">
        <f>IF(CHADUtbl[[#This Row],[ALL UNITS IN A HIGH OR HIGHEST RESOURCE AREA]]="Yes",10*CHADUtbl[[#This Row],[RURAL % OF FUNDING]],0)</f>
        <v>0</v>
      </c>
      <c r="AB36" s="665" cm="1">
        <f t="array" ref="AB36">INDEX(CountyScoresTbl[Community Need Total Points],ROW(CHADUtbl[[#This Row],[COUNTY]])-2,1)*CHADUtbl[[#This Row],[RURAL % OF FUNDING]]</f>
        <v>0</v>
      </c>
      <c r="AC36" s="694" cm="1">
        <f t="array" ref="AC36">INDEX(CountyScoresTbl[OOR/ADU Total Feasibility Points Awarded],ROW(CHADUtbl[[#This Row],[COUNTY]])-2,1)*CHADUtbl[[#This Row],[RURAL % OF FUNDING]]</f>
        <v>0</v>
      </c>
      <c r="AD36" s="764"/>
      <c r="AE36" s="665">
        <f>IF(CHADUtbl[[#This Row],[INFILL SITE]]="Yes",5,3)*CHADUtbl[[#This Row],[UNRESTRICTED % OF FUNDING]]</f>
        <v>0</v>
      </c>
      <c r="AF36" s="665">
        <f>IF(CHADUtbl[[#This Row],[INFILL SITE]]="Yes",5,3)*CHADUtbl[[#This Row],[RURAL % OF FUNDING]]</f>
        <v>0</v>
      </c>
    </row>
    <row r="37" spans="1:32" x14ac:dyDescent="0.35">
      <c r="A37" s="124"/>
      <c r="B37" s="5" t="s">
        <v>149</v>
      </c>
      <c r="C37" s="31" t="s">
        <v>513</v>
      </c>
      <c r="D37" s="110" t="str">
        <f>IF(CHADUtbl[[#This Row],[UNITS3]]=0,"",CHADUtbl[[#This Row],[UNITS3]])</f>
        <v/>
      </c>
      <c r="E37" s="244" t="str">
        <f xml:space="preserve">
IF(CHADUtbl[[#This Row],[UNRESTRICTED FUNDING REQUESTED]]=0,"",
CHADUtbl[[#This Row],[UNRESTRICTED FUNDING REQUESTED]]*
IF(CH_ADU_UnrestrictedTotalRequested&lt;=5000000,1,
5000000/CH_ADU_UnrestrictedTotalRequested)
)</f>
        <v/>
      </c>
      <c r="F37" s="6" t="str">
        <f>IF(CHADUtbl[[#This Row],[UNRESTRICTED % OF FUNDING]]=0,"",CHADUtbl[[#This Row],[UNRESTRICTED % OF FUNDING]])</f>
        <v/>
      </c>
      <c r="G37" s="31" t="s">
        <v>513</v>
      </c>
      <c r="H37" s="110" t="str">
        <f>IF(CHADUtbl[[#This Row],[UNITS22]]=0,"",CHADUtbl[[#This Row],[UNITS22]])</f>
        <v/>
      </c>
      <c r="I37" s="244" t="str">
        <f xml:space="preserve">
IF(CHADUtbl[[#This Row],[RURAL FUNDING REQUESTED]]=0,"",
CHADUtbl[[#This Row],[RURAL FUNDING REQUESTED]]*
IF(CH_ADU_RuralTotalRequested&lt;=(5000000-E$61),1,
(5000000-E$61)/CH_ADU_RuralTotalRequested)
)</f>
        <v/>
      </c>
      <c r="J37" s="6" t="str">
        <f>IF(CHADUtbl[[#This Row],[RURAL % OF FUNDING]]=0,"",CHADUtbl[[#This Row],[RURAL % OF FUNDING]])</f>
        <v/>
      </c>
      <c r="K37" s="31" t="s">
        <v>513</v>
      </c>
      <c r="L37" s="116"/>
      <c r="M37" s="242"/>
      <c r="N37" s="245"/>
      <c r="O37" s="240"/>
      <c r="P37" s="240"/>
      <c r="Q37" s="244">
        <f t="shared" si="0"/>
        <v>0</v>
      </c>
      <c r="R37" s="6">
        <f>IF(SUM(CHADUtbl[[#This Row],[UNRESTRICTED FUNDING REQUESTED]])=0,0,CHADUtbl[[#This Row],[UNRESTRICTED FUNDING REQUESTED]]/CH_ADU_UnrestrictedTotalRequested)</f>
        <v>0</v>
      </c>
      <c r="S37" s="665">
        <f>IF(CHADUtbl[[#This Row],[ALL UNITS IN A HIGH OR HIGHEST RESOURCE AREA]]="Yes",10*CHADUtbl[[#This Row],[UNRESTRICTED % OF FUNDING]],0)</f>
        <v>0</v>
      </c>
      <c r="T37" s="665" cm="1">
        <f t="array" ref="T37">INDEX(CountyScoresTbl[Community Need Total Points],ROW(CHADUtbl[[#This Row],[COUNTY]])-2,1)*CHADUtbl[[#This Row],[UNRESTRICTED % OF FUNDING]]</f>
        <v>0</v>
      </c>
      <c r="U37" s="694" cm="1">
        <f t="array" ref="U37">INDEX(CountyScoresTbl[OOR/ADU Total Feasibility Points Awarded],ROW(CHADUtbl[[#This Row],[COUNTY]])-2,1)*CHADUtbl[[#This Row],[UNRESTRICTED % OF FUNDING]]</f>
        <v>0</v>
      </c>
      <c r="V37" s="245"/>
      <c r="W37" s="240"/>
      <c r="X37" s="240"/>
      <c r="Y37" s="244">
        <f t="shared" si="1"/>
        <v>0</v>
      </c>
      <c r="Z37" s="6">
        <f>IF(SUM(CHADUtbl[[#This Row],[RURAL FUNDING REQUESTED]])=0,0,CHADUtbl[[#This Row],[RURAL FUNDING REQUESTED]]/CH_ADU_RuralTotalRequested)</f>
        <v>0</v>
      </c>
      <c r="AA37" s="665">
        <f>IF(CHADUtbl[[#This Row],[ALL UNITS IN A HIGH OR HIGHEST RESOURCE AREA]]="Yes",10*CHADUtbl[[#This Row],[RURAL % OF FUNDING]],0)</f>
        <v>0</v>
      </c>
      <c r="AB37" s="665" cm="1">
        <f t="array" ref="AB37">INDEX(CountyScoresTbl[Community Need Total Points],ROW(CHADUtbl[[#This Row],[COUNTY]])-2,1)*CHADUtbl[[#This Row],[RURAL % OF FUNDING]]</f>
        <v>0</v>
      </c>
      <c r="AC37" s="694" cm="1">
        <f t="array" ref="AC37">INDEX(CountyScoresTbl[OOR/ADU Total Feasibility Points Awarded],ROW(CHADUtbl[[#This Row],[COUNTY]])-2,1)*CHADUtbl[[#This Row],[RURAL % OF FUNDING]]</f>
        <v>0</v>
      </c>
      <c r="AD37" s="764"/>
      <c r="AE37" s="665">
        <f>IF(CHADUtbl[[#This Row],[INFILL SITE]]="Yes",5,3)*CHADUtbl[[#This Row],[UNRESTRICTED % OF FUNDING]]</f>
        <v>0</v>
      </c>
      <c r="AF37" s="665">
        <f>IF(CHADUtbl[[#This Row],[INFILL SITE]]="Yes",5,3)*CHADUtbl[[#This Row],[RURAL % OF FUNDING]]</f>
        <v>0</v>
      </c>
    </row>
    <row r="38" spans="1:32" x14ac:dyDescent="0.35">
      <c r="A38" s="124"/>
      <c r="B38" s="5" t="s">
        <v>150</v>
      </c>
      <c r="C38" s="31" t="s">
        <v>513</v>
      </c>
      <c r="D38" s="110" t="str">
        <f>IF(CHADUtbl[[#This Row],[UNITS3]]=0,"",CHADUtbl[[#This Row],[UNITS3]])</f>
        <v/>
      </c>
      <c r="E38" s="244" t="str">
        <f xml:space="preserve">
IF(CHADUtbl[[#This Row],[UNRESTRICTED FUNDING REQUESTED]]=0,"",
CHADUtbl[[#This Row],[UNRESTRICTED FUNDING REQUESTED]]*
IF(CH_ADU_UnrestrictedTotalRequested&lt;=5000000,1,
5000000/CH_ADU_UnrestrictedTotalRequested)
)</f>
        <v/>
      </c>
      <c r="F38" s="6" t="str">
        <f>IF(CHADUtbl[[#This Row],[UNRESTRICTED % OF FUNDING]]=0,"",CHADUtbl[[#This Row],[UNRESTRICTED % OF FUNDING]])</f>
        <v/>
      </c>
      <c r="G38" s="31" t="s">
        <v>513</v>
      </c>
      <c r="H38" s="110" t="str">
        <f>IF(CHADUtbl[[#This Row],[UNITS22]]=0,"",CHADUtbl[[#This Row],[UNITS22]])</f>
        <v/>
      </c>
      <c r="I38" s="244" t="str">
        <f xml:space="preserve">
IF(CHADUtbl[[#This Row],[RURAL FUNDING REQUESTED]]=0,"",
CHADUtbl[[#This Row],[RURAL FUNDING REQUESTED]]*
IF(CH_ADU_RuralTotalRequested&lt;=(5000000-E$61),1,
(5000000-E$61)/CH_ADU_RuralTotalRequested)
)</f>
        <v/>
      </c>
      <c r="J38" s="6" t="str">
        <f>IF(CHADUtbl[[#This Row],[RURAL % OF FUNDING]]=0,"",CHADUtbl[[#This Row],[RURAL % OF FUNDING]])</f>
        <v/>
      </c>
      <c r="K38" s="31" t="s">
        <v>513</v>
      </c>
      <c r="L38" s="116"/>
      <c r="M38" s="242"/>
      <c r="N38" s="245"/>
      <c r="O38" s="240"/>
      <c r="P38" s="240"/>
      <c r="Q38" s="244">
        <f t="shared" si="0"/>
        <v>0</v>
      </c>
      <c r="R38" s="6">
        <f>IF(SUM(CHADUtbl[[#This Row],[UNRESTRICTED FUNDING REQUESTED]])=0,0,CHADUtbl[[#This Row],[UNRESTRICTED FUNDING REQUESTED]]/CH_ADU_UnrestrictedTotalRequested)</f>
        <v>0</v>
      </c>
      <c r="S38" s="665">
        <f>IF(CHADUtbl[[#This Row],[ALL UNITS IN A HIGH OR HIGHEST RESOURCE AREA]]="Yes",10*CHADUtbl[[#This Row],[UNRESTRICTED % OF FUNDING]],0)</f>
        <v>0</v>
      </c>
      <c r="T38" s="665" cm="1">
        <f t="array" ref="T38">INDEX(CountyScoresTbl[Community Need Total Points],ROW(CHADUtbl[[#This Row],[COUNTY]])-2,1)*CHADUtbl[[#This Row],[UNRESTRICTED % OF FUNDING]]</f>
        <v>0</v>
      </c>
      <c r="U38" s="694" cm="1">
        <f t="array" ref="U38">INDEX(CountyScoresTbl[OOR/ADU Total Feasibility Points Awarded],ROW(CHADUtbl[[#This Row],[COUNTY]])-2,1)*CHADUtbl[[#This Row],[UNRESTRICTED % OF FUNDING]]</f>
        <v>0</v>
      </c>
      <c r="V38" s="245"/>
      <c r="W38" s="240"/>
      <c r="X38" s="240"/>
      <c r="Y38" s="244">
        <f t="shared" si="1"/>
        <v>0</v>
      </c>
      <c r="Z38" s="6">
        <f>IF(SUM(CHADUtbl[[#This Row],[RURAL FUNDING REQUESTED]])=0,0,CHADUtbl[[#This Row],[RURAL FUNDING REQUESTED]]/CH_ADU_RuralTotalRequested)</f>
        <v>0</v>
      </c>
      <c r="AA38" s="665">
        <f>IF(CHADUtbl[[#This Row],[ALL UNITS IN A HIGH OR HIGHEST RESOURCE AREA]]="Yes",10*CHADUtbl[[#This Row],[RURAL % OF FUNDING]],0)</f>
        <v>0</v>
      </c>
      <c r="AB38" s="665" cm="1">
        <f t="array" ref="AB38">INDEX(CountyScoresTbl[Community Need Total Points],ROW(CHADUtbl[[#This Row],[COUNTY]])-2,1)*CHADUtbl[[#This Row],[RURAL % OF FUNDING]]</f>
        <v>0</v>
      </c>
      <c r="AC38" s="694" cm="1">
        <f t="array" ref="AC38">INDEX(CountyScoresTbl[OOR/ADU Total Feasibility Points Awarded],ROW(CHADUtbl[[#This Row],[COUNTY]])-2,1)*CHADUtbl[[#This Row],[RURAL % OF FUNDING]]</f>
        <v>0</v>
      </c>
      <c r="AD38" s="764"/>
      <c r="AE38" s="665">
        <f>IF(CHADUtbl[[#This Row],[INFILL SITE]]="Yes",5,3)*CHADUtbl[[#This Row],[UNRESTRICTED % OF FUNDING]]</f>
        <v>0</v>
      </c>
      <c r="AF38" s="665">
        <f>IF(CHADUtbl[[#This Row],[INFILL SITE]]="Yes",5,3)*CHADUtbl[[#This Row],[RURAL % OF FUNDING]]</f>
        <v>0</v>
      </c>
    </row>
    <row r="39" spans="1:32" x14ac:dyDescent="0.35">
      <c r="A39" s="124"/>
      <c r="B39" s="5" t="s">
        <v>151</v>
      </c>
      <c r="C39" s="31" t="s">
        <v>513</v>
      </c>
      <c r="D39" s="110" t="str">
        <f>IF(CHADUtbl[[#This Row],[UNITS3]]=0,"",CHADUtbl[[#This Row],[UNITS3]])</f>
        <v/>
      </c>
      <c r="E39" s="244" t="str">
        <f xml:space="preserve">
IF(CHADUtbl[[#This Row],[UNRESTRICTED FUNDING REQUESTED]]=0,"",
CHADUtbl[[#This Row],[UNRESTRICTED FUNDING REQUESTED]]*
IF(CH_ADU_UnrestrictedTotalRequested&lt;=5000000,1,
5000000/CH_ADU_UnrestrictedTotalRequested)
)</f>
        <v/>
      </c>
      <c r="F39" s="6" t="str">
        <f>IF(CHADUtbl[[#This Row],[UNRESTRICTED % OF FUNDING]]=0,"",CHADUtbl[[#This Row],[UNRESTRICTED % OF FUNDING]])</f>
        <v/>
      </c>
      <c r="G39" s="31" t="s">
        <v>513</v>
      </c>
      <c r="H39" s="110" t="str">
        <f>IF(CHADUtbl[[#This Row],[UNITS22]]=0,"",CHADUtbl[[#This Row],[UNITS22]])</f>
        <v/>
      </c>
      <c r="I39" s="244" t="str">
        <f xml:space="preserve">
IF(CHADUtbl[[#This Row],[RURAL FUNDING REQUESTED]]=0,"",
CHADUtbl[[#This Row],[RURAL FUNDING REQUESTED]]*
IF(CH_ADU_RuralTotalRequested&lt;=(5000000-E$61),1,
(5000000-E$61)/CH_ADU_RuralTotalRequested)
)</f>
        <v/>
      </c>
      <c r="J39" s="6" t="str">
        <f>IF(CHADUtbl[[#This Row],[RURAL % OF FUNDING]]=0,"",CHADUtbl[[#This Row],[RURAL % OF FUNDING]])</f>
        <v/>
      </c>
      <c r="K39" s="31" t="s">
        <v>513</v>
      </c>
      <c r="L39" s="116"/>
      <c r="M39" s="242"/>
      <c r="N39" s="245"/>
      <c r="O39" s="240"/>
      <c r="P39" s="240"/>
      <c r="Q39" s="244">
        <f t="shared" si="0"/>
        <v>0</v>
      </c>
      <c r="R39" s="6">
        <f>IF(SUM(CHADUtbl[[#This Row],[UNRESTRICTED FUNDING REQUESTED]])=0,0,CHADUtbl[[#This Row],[UNRESTRICTED FUNDING REQUESTED]]/CH_ADU_UnrestrictedTotalRequested)</f>
        <v>0</v>
      </c>
      <c r="S39" s="665">
        <f>IF(CHADUtbl[[#This Row],[ALL UNITS IN A HIGH OR HIGHEST RESOURCE AREA]]="Yes",10*CHADUtbl[[#This Row],[UNRESTRICTED % OF FUNDING]],0)</f>
        <v>0</v>
      </c>
      <c r="T39" s="665" cm="1">
        <f t="array" ref="T39">INDEX(CountyScoresTbl[Community Need Total Points],ROW(CHADUtbl[[#This Row],[COUNTY]])-2,1)*CHADUtbl[[#This Row],[UNRESTRICTED % OF FUNDING]]</f>
        <v>0</v>
      </c>
      <c r="U39" s="694" cm="1">
        <f t="array" ref="U39">INDEX(CountyScoresTbl[OOR/ADU Total Feasibility Points Awarded],ROW(CHADUtbl[[#This Row],[COUNTY]])-2,1)*CHADUtbl[[#This Row],[UNRESTRICTED % OF FUNDING]]</f>
        <v>0</v>
      </c>
      <c r="V39" s="245"/>
      <c r="W39" s="240"/>
      <c r="X39" s="240"/>
      <c r="Y39" s="244">
        <f t="shared" si="1"/>
        <v>0</v>
      </c>
      <c r="Z39" s="6">
        <f>IF(SUM(CHADUtbl[[#This Row],[RURAL FUNDING REQUESTED]])=0,0,CHADUtbl[[#This Row],[RURAL FUNDING REQUESTED]]/CH_ADU_RuralTotalRequested)</f>
        <v>0</v>
      </c>
      <c r="AA39" s="665">
        <f>IF(CHADUtbl[[#This Row],[ALL UNITS IN A HIGH OR HIGHEST RESOURCE AREA]]="Yes",10*CHADUtbl[[#This Row],[RURAL % OF FUNDING]],0)</f>
        <v>0</v>
      </c>
      <c r="AB39" s="665" cm="1">
        <f t="array" ref="AB39">INDEX(CountyScoresTbl[Community Need Total Points],ROW(CHADUtbl[[#This Row],[COUNTY]])-2,1)*CHADUtbl[[#This Row],[RURAL % OF FUNDING]]</f>
        <v>0</v>
      </c>
      <c r="AC39" s="694" cm="1">
        <f t="array" ref="AC39">INDEX(CountyScoresTbl[OOR/ADU Total Feasibility Points Awarded],ROW(CHADUtbl[[#This Row],[COUNTY]])-2,1)*CHADUtbl[[#This Row],[RURAL % OF FUNDING]]</f>
        <v>0</v>
      </c>
      <c r="AD39" s="764"/>
      <c r="AE39" s="665">
        <f>IF(CHADUtbl[[#This Row],[INFILL SITE]]="Yes",5,3)*CHADUtbl[[#This Row],[UNRESTRICTED % OF FUNDING]]</f>
        <v>0</v>
      </c>
      <c r="AF39" s="665">
        <f>IF(CHADUtbl[[#This Row],[INFILL SITE]]="Yes",5,3)*CHADUtbl[[#This Row],[RURAL % OF FUNDING]]</f>
        <v>0</v>
      </c>
    </row>
    <row r="40" spans="1:32" x14ac:dyDescent="0.35">
      <c r="A40" s="124"/>
      <c r="B40" s="5" t="s">
        <v>152</v>
      </c>
      <c r="C40" s="31" t="s">
        <v>513</v>
      </c>
      <c r="D40" s="110" t="str">
        <f>IF(CHADUtbl[[#This Row],[UNITS3]]=0,"",CHADUtbl[[#This Row],[UNITS3]])</f>
        <v/>
      </c>
      <c r="E40" s="244" t="str">
        <f xml:space="preserve">
IF(CHADUtbl[[#This Row],[UNRESTRICTED FUNDING REQUESTED]]=0,"",
CHADUtbl[[#This Row],[UNRESTRICTED FUNDING REQUESTED]]*
IF(CH_ADU_UnrestrictedTotalRequested&lt;=5000000,1,
5000000/CH_ADU_UnrestrictedTotalRequested)
)</f>
        <v/>
      </c>
      <c r="F40" s="6" t="str">
        <f>IF(CHADUtbl[[#This Row],[UNRESTRICTED % OF FUNDING]]=0,"",CHADUtbl[[#This Row],[UNRESTRICTED % OF FUNDING]])</f>
        <v/>
      </c>
      <c r="G40" s="31" t="s">
        <v>513</v>
      </c>
      <c r="H40" s="110" t="str">
        <f>IF(CHADUtbl[[#This Row],[UNITS22]]=0,"",CHADUtbl[[#This Row],[UNITS22]])</f>
        <v/>
      </c>
      <c r="I40" s="244" t="str">
        <f xml:space="preserve">
IF(CHADUtbl[[#This Row],[RURAL FUNDING REQUESTED]]=0,"",
CHADUtbl[[#This Row],[RURAL FUNDING REQUESTED]]*
IF(CH_ADU_RuralTotalRequested&lt;=(5000000-E$61),1,
(5000000-E$61)/CH_ADU_RuralTotalRequested)
)</f>
        <v/>
      </c>
      <c r="J40" s="6" t="str">
        <f>IF(CHADUtbl[[#This Row],[RURAL % OF FUNDING]]=0,"",CHADUtbl[[#This Row],[RURAL % OF FUNDING]])</f>
        <v/>
      </c>
      <c r="K40" s="31" t="s">
        <v>513</v>
      </c>
      <c r="L40" s="116"/>
      <c r="M40" s="242"/>
      <c r="N40" s="245"/>
      <c r="O40" s="240"/>
      <c r="P40" s="240"/>
      <c r="Q40" s="244">
        <f t="shared" si="0"/>
        <v>0</v>
      </c>
      <c r="R40" s="6">
        <f>IF(SUM(CHADUtbl[[#This Row],[UNRESTRICTED FUNDING REQUESTED]])=0,0,CHADUtbl[[#This Row],[UNRESTRICTED FUNDING REQUESTED]]/CH_ADU_UnrestrictedTotalRequested)</f>
        <v>0</v>
      </c>
      <c r="S40" s="665">
        <f>IF(CHADUtbl[[#This Row],[ALL UNITS IN A HIGH OR HIGHEST RESOURCE AREA]]="Yes",10*CHADUtbl[[#This Row],[UNRESTRICTED % OF FUNDING]],0)</f>
        <v>0</v>
      </c>
      <c r="T40" s="665" cm="1">
        <f t="array" ref="T40">INDEX(CountyScoresTbl[Community Need Total Points],ROW(CHADUtbl[[#This Row],[COUNTY]])-2,1)*CHADUtbl[[#This Row],[UNRESTRICTED % OF FUNDING]]</f>
        <v>0</v>
      </c>
      <c r="U40" s="694" cm="1">
        <f t="array" ref="U40">INDEX(CountyScoresTbl[OOR/ADU Total Feasibility Points Awarded],ROW(CHADUtbl[[#This Row],[COUNTY]])-2,1)*CHADUtbl[[#This Row],[UNRESTRICTED % OF FUNDING]]</f>
        <v>0</v>
      </c>
      <c r="V40" s="245"/>
      <c r="W40" s="240"/>
      <c r="X40" s="240"/>
      <c r="Y40" s="244">
        <f t="shared" si="1"/>
        <v>0</v>
      </c>
      <c r="Z40" s="6">
        <f>IF(SUM(CHADUtbl[[#This Row],[RURAL FUNDING REQUESTED]])=0,0,CHADUtbl[[#This Row],[RURAL FUNDING REQUESTED]]/CH_ADU_RuralTotalRequested)</f>
        <v>0</v>
      </c>
      <c r="AA40" s="665">
        <f>IF(CHADUtbl[[#This Row],[ALL UNITS IN A HIGH OR HIGHEST RESOURCE AREA]]="Yes",10*CHADUtbl[[#This Row],[RURAL % OF FUNDING]],0)</f>
        <v>0</v>
      </c>
      <c r="AB40" s="665" cm="1">
        <f t="array" ref="AB40">INDEX(CountyScoresTbl[Community Need Total Points],ROW(CHADUtbl[[#This Row],[COUNTY]])-2,1)*CHADUtbl[[#This Row],[RURAL % OF FUNDING]]</f>
        <v>0</v>
      </c>
      <c r="AC40" s="694" cm="1">
        <f t="array" ref="AC40">INDEX(CountyScoresTbl[OOR/ADU Total Feasibility Points Awarded],ROW(CHADUtbl[[#This Row],[COUNTY]])-2,1)*CHADUtbl[[#This Row],[RURAL % OF FUNDING]]</f>
        <v>0</v>
      </c>
      <c r="AD40" s="764"/>
      <c r="AE40" s="665">
        <f>IF(CHADUtbl[[#This Row],[INFILL SITE]]="Yes",5,3)*CHADUtbl[[#This Row],[UNRESTRICTED % OF FUNDING]]</f>
        <v>0</v>
      </c>
      <c r="AF40" s="665">
        <f>IF(CHADUtbl[[#This Row],[INFILL SITE]]="Yes",5,3)*CHADUtbl[[#This Row],[RURAL % OF FUNDING]]</f>
        <v>0</v>
      </c>
    </row>
    <row r="41" spans="1:32" x14ac:dyDescent="0.35">
      <c r="A41" s="124"/>
      <c r="B41" s="5" t="s">
        <v>153</v>
      </c>
      <c r="C41" s="31" t="s">
        <v>513</v>
      </c>
      <c r="D41" s="110" t="str">
        <f>IF(CHADUtbl[[#This Row],[UNITS3]]=0,"",CHADUtbl[[#This Row],[UNITS3]])</f>
        <v/>
      </c>
      <c r="E41" s="244" t="str">
        <f xml:space="preserve">
IF(CHADUtbl[[#This Row],[UNRESTRICTED FUNDING REQUESTED]]=0,"",
CHADUtbl[[#This Row],[UNRESTRICTED FUNDING REQUESTED]]*
IF(CH_ADU_UnrestrictedTotalRequested&lt;=5000000,1,
5000000/CH_ADU_UnrestrictedTotalRequested)
)</f>
        <v/>
      </c>
      <c r="F41" s="6" t="str">
        <f>IF(CHADUtbl[[#This Row],[UNRESTRICTED % OF FUNDING]]=0,"",CHADUtbl[[#This Row],[UNRESTRICTED % OF FUNDING]])</f>
        <v/>
      </c>
      <c r="G41" s="31" t="s">
        <v>513</v>
      </c>
      <c r="H41" s="110" t="str">
        <f>IF(CHADUtbl[[#This Row],[UNITS22]]=0,"",CHADUtbl[[#This Row],[UNITS22]])</f>
        <v/>
      </c>
      <c r="I41" s="244" t="str">
        <f xml:space="preserve">
IF(CHADUtbl[[#This Row],[RURAL FUNDING REQUESTED]]=0,"",
CHADUtbl[[#This Row],[RURAL FUNDING REQUESTED]]*
IF(CH_ADU_RuralTotalRequested&lt;=(5000000-E$61),1,
(5000000-E$61)/CH_ADU_RuralTotalRequested)
)</f>
        <v/>
      </c>
      <c r="J41" s="6" t="str">
        <f>IF(CHADUtbl[[#This Row],[RURAL % OF FUNDING]]=0,"",CHADUtbl[[#This Row],[RURAL % OF FUNDING]])</f>
        <v/>
      </c>
      <c r="K41" s="31" t="s">
        <v>513</v>
      </c>
      <c r="L41" s="116"/>
      <c r="M41" s="242"/>
      <c r="N41" s="245"/>
      <c r="O41" s="240"/>
      <c r="P41" s="240"/>
      <c r="Q41" s="244">
        <f t="shared" si="0"/>
        <v>0</v>
      </c>
      <c r="R41" s="6">
        <f>IF(SUM(CHADUtbl[[#This Row],[UNRESTRICTED FUNDING REQUESTED]])=0,0,CHADUtbl[[#This Row],[UNRESTRICTED FUNDING REQUESTED]]/CH_ADU_UnrestrictedTotalRequested)</f>
        <v>0</v>
      </c>
      <c r="S41" s="665">
        <f>IF(CHADUtbl[[#This Row],[ALL UNITS IN A HIGH OR HIGHEST RESOURCE AREA]]="Yes",10*CHADUtbl[[#This Row],[UNRESTRICTED % OF FUNDING]],0)</f>
        <v>0</v>
      </c>
      <c r="T41" s="665" cm="1">
        <f t="array" ref="T41">INDEX(CountyScoresTbl[Community Need Total Points],ROW(CHADUtbl[[#This Row],[COUNTY]])-2,1)*CHADUtbl[[#This Row],[UNRESTRICTED % OF FUNDING]]</f>
        <v>0</v>
      </c>
      <c r="U41" s="694" cm="1">
        <f t="array" ref="U41">INDEX(CountyScoresTbl[OOR/ADU Total Feasibility Points Awarded],ROW(CHADUtbl[[#This Row],[COUNTY]])-2,1)*CHADUtbl[[#This Row],[UNRESTRICTED % OF FUNDING]]</f>
        <v>0</v>
      </c>
      <c r="V41" s="245"/>
      <c r="W41" s="240"/>
      <c r="X41" s="240"/>
      <c r="Y41" s="244">
        <f t="shared" si="1"/>
        <v>0</v>
      </c>
      <c r="Z41" s="6">
        <f>IF(SUM(CHADUtbl[[#This Row],[RURAL FUNDING REQUESTED]])=0,0,CHADUtbl[[#This Row],[RURAL FUNDING REQUESTED]]/CH_ADU_RuralTotalRequested)</f>
        <v>0</v>
      </c>
      <c r="AA41" s="665">
        <f>IF(CHADUtbl[[#This Row],[ALL UNITS IN A HIGH OR HIGHEST RESOURCE AREA]]="Yes",10*CHADUtbl[[#This Row],[RURAL % OF FUNDING]],0)</f>
        <v>0</v>
      </c>
      <c r="AB41" s="665" cm="1">
        <f t="array" ref="AB41">INDEX(CountyScoresTbl[Community Need Total Points],ROW(CHADUtbl[[#This Row],[COUNTY]])-2,1)*CHADUtbl[[#This Row],[RURAL % OF FUNDING]]</f>
        <v>0</v>
      </c>
      <c r="AC41" s="694" cm="1">
        <f t="array" ref="AC41">INDEX(CountyScoresTbl[OOR/ADU Total Feasibility Points Awarded],ROW(CHADUtbl[[#This Row],[COUNTY]])-2,1)*CHADUtbl[[#This Row],[RURAL % OF FUNDING]]</f>
        <v>0</v>
      </c>
      <c r="AD41" s="764"/>
      <c r="AE41" s="665">
        <f>IF(CHADUtbl[[#This Row],[INFILL SITE]]="Yes",5,3)*CHADUtbl[[#This Row],[UNRESTRICTED % OF FUNDING]]</f>
        <v>0</v>
      </c>
      <c r="AF41" s="665">
        <f>IF(CHADUtbl[[#This Row],[INFILL SITE]]="Yes",5,3)*CHADUtbl[[#This Row],[RURAL % OF FUNDING]]</f>
        <v>0</v>
      </c>
    </row>
    <row r="42" spans="1:32" x14ac:dyDescent="0.35">
      <c r="A42" s="124"/>
      <c r="B42" s="5" t="s">
        <v>154</v>
      </c>
      <c r="C42" s="31" t="s">
        <v>513</v>
      </c>
      <c r="D42" s="110" t="str">
        <f>IF(CHADUtbl[[#This Row],[UNITS3]]=0,"",CHADUtbl[[#This Row],[UNITS3]])</f>
        <v/>
      </c>
      <c r="E42" s="244" t="str">
        <f xml:space="preserve">
IF(CHADUtbl[[#This Row],[UNRESTRICTED FUNDING REQUESTED]]=0,"",
CHADUtbl[[#This Row],[UNRESTRICTED FUNDING REQUESTED]]*
IF(CH_ADU_UnrestrictedTotalRequested&lt;=5000000,1,
5000000/CH_ADU_UnrestrictedTotalRequested)
)</f>
        <v/>
      </c>
      <c r="F42" s="6" t="str">
        <f>IF(CHADUtbl[[#This Row],[UNRESTRICTED % OF FUNDING]]=0,"",CHADUtbl[[#This Row],[UNRESTRICTED % OF FUNDING]])</f>
        <v/>
      </c>
      <c r="G42" s="31" t="s">
        <v>513</v>
      </c>
      <c r="H42" s="110" t="str">
        <f>IF(CHADUtbl[[#This Row],[UNITS22]]=0,"",CHADUtbl[[#This Row],[UNITS22]])</f>
        <v/>
      </c>
      <c r="I42" s="244" t="str">
        <f xml:space="preserve">
IF(CHADUtbl[[#This Row],[RURAL FUNDING REQUESTED]]=0,"",
CHADUtbl[[#This Row],[RURAL FUNDING REQUESTED]]*
IF(CH_ADU_RuralTotalRequested&lt;=(5000000-E$61),1,
(5000000-E$61)/CH_ADU_RuralTotalRequested)
)</f>
        <v/>
      </c>
      <c r="J42" s="6" t="str">
        <f>IF(CHADUtbl[[#This Row],[RURAL % OF FUNDING]]=0,"",CHADUtbl[[#This Row],[RURAL % OF FUNDING]])</f>
        <v/>
      </c>
      <c r="K42" s="31" t="s">
        <v>513</v>
      </c>
      <c r="L42" s="116"/>
      <c r="M42" s="242"/>
      <c r="N42" s="245"/>
      <c r="O42" s="240"/>
      <c r="P42" s="240"/>
      <c r="Q42" s="244">
        <f t="shared" si="0"/>
        <v>0</v>
      </c>
      <c r="R42" s="6">
        <f>IF(SUM(CHADUtbl[[#This Row],[UNRESTRICTED FUNDING REQUESTED]])=0,0,CHADUtbl[[#This Row],[UNRESTRICTED FUNDING REQUESTED]]/CH_ADU_UnrestrictedTotalRequested)</f>
        <v>0</v>
      </c>
      <c r="S42" s="665">
        <f>IF(CHADUtbl[[#This Row],[ALL UNITS IN A HIGH OR HIGHEST RESOURCE AREA]]="Yes",10*CHADUtbl[[#This Row],[UNRESTRICTED % OF FUNDING]],0)</f>
        <v>0</v>
      </c>
      <c r="T42" s="665" cm="1">
        <f t="array" ref="T42">INDEX(CountyScoresTbl[Community Need Total Points],ROW(CHADUtbl[[#This Row],[COUNTY]])-2,1)*CHADUtbl[[#This Row],[UNRESTRICTED % OF FUNDING]]</f>
        <v>0</v>
      </c>
      <c r="U42" s="694" cm="1">
        <f t="array" ref="U42">INDEX(CountyScoresTbl[OOR/ADU Total Feasibility Points Awarded],ROW(CHADUtbl[[#This Row],[COUNTY]])-2,1)*CHADUtbl[[#This Row],[UNRESTRICTED % OF FUNDING]]</f>
        <v>0</v>
      </c>
      <c r="V42" s="245"/>
      <c r="W42" s="240"/>
      <c r="X42" s="240"/>
      <c r="Y42" s="244">
        <f t="shared" si="1"/>
        <v>0</v>
      </c>
      <c r="Z42" s="6">
        <f>IF(SUM(CHADUtbl[[#This Row],[RURAL FUNDING REQUESTED]])=0,0,CHADUtbl[[#This Row],[RURAL FUNDING REQUESTED]]/CH_ADU_RuralTotalRequested)</f>
        <v>0</v>
      </c>
      <c r="AA42" s="665">
        <f>IF(CHADUtbl[[#This Row],[ALL UNITS IN A HIGH OR HIGHEST RESOURCE AREA]]="Yes",10*CHADUtbl[[#This Row],[RURAL % OF FUNDING]],0)</f>
        <v>0</v>
      </c>
      <c r="AB42" s="665" cm="1">
        <f t="array" ref="AB42">INDEX(CountyScoresTbl[Community Need Total Points],ROW(CHADUtbl[[#This Row],[COUNTY]])-2,1)*CHADUtbl[[#This Row],[RURAL % OF FUNDING]]</f>
        <v>0</v>
      </c>
      <c r="AC42" s="694" cm="1">
        <f t="array" ref="AC42">INDEX(CountyScoresTbl[OOR/ADU Total Feasibility Points Awarded],ROW(CHADUtbl[[#This Row],[COUNTY]])-2,1)*CHADUtbl[[#This Row],[RURAL % OF FUNDING]]</f>
        <v>0</v>
      </c>
      <c r="AD42" s="764"/>
      <c r="AE42" s="665">
        <f>IF(CHADUtbl[[#This Row],[INFILL SITE]]="Yes",5,3)*CHADUtbl[[#This Row],[UNRESTRICTED % OF FUNDING]]</f>
        <v>0</v>
      </c>
      <c r="AF42" s="665">
        <f>IF(CHADUtbl[[#This Row],[INFILL SITE]]="Yes",5,3)*CHADUtbl[[#This Row],[RURAL % OF FUNDING]]</f>
        <v>0</v>
      </c>
    </row>
    <row r="43" spans="1:32" x14ac:dyDescent="0.35">
      <c r="A43" s="124"/>
      <c r="B43" s="5" t="s">
        <v>155</v>
      </c>
      <c r="C43" s="31" t="s">
        <v>513</v>
      </c>
      <c r="D43" s="110" t="str">
        <f>IF(CHADUtbl[[#This Row],[UNITS3]]=0,"",CHADUtbl[[#This Row],[UNITS3]])</f>
        <v/>
      </c>
      <c r="E43" s="244" t="str">
        <f xml:space="preserve">
IF(CHADUtbl[[#This Row],[UNRESTRICTED FUNDING REQUESTED]]=0,"",
CHADUtbl[[#This Row],[UNRESTRICTED FUNDING REQUESTED]]*
IF(CH_ADU_UnrestrictedTotalRequested&lt;=5000000,1,
5000000/CH_ADU_UnrestrictedTotalRequested)
)</f>
        <v/>
      </c>
      <c r="F43" s="6" t="str">
        <f>IF(CHADUtbl[[#This Row],[UNRESTRICTED % OF FUNDING]]=0,"",CHADUtbl[[#This Row],[UNRESTRICTED % OF FUNDING]])</f>
        <v/>
      </c>
      <c r="G43" s="31" t="s">
        <v>513</v>
      </c>
      <c r="H43" s="110" t="str">
        <f>IF(CHADUtbl[[#This Row],[UNITS22]]=0,"",CHADUtbl[[#This Row],[UNITS22]])</f>
        <v/>
      </c>
      <c r="I43" s="244" t="str">
        <f xml:space="preserve">
IF(CHADUtbl[[#This Row],[RURAL FUNDING REQUESTED]]=0,"",
CHADUtbl[[#This Row],[RURAL FUNDING REQUESTED]]*
IF(CH_ADU_RuralTotalRequested&lt;=(5000000-E$61),1,
(5000000-E$61)/CH_ADU_RuralTotalRequested)
)</f>
        <v/>
      </c>
      <c r="J43" s="6" t="str">
        <f>IF(CHADUtbl[[#This Row],[RURAL % OF FUNDING]]=0,"",CHADUtbl[[#This Row],[RURAL % OF FUNDING]])</f>
        <v/>
      </c>
      <c r="K43" s="31" t="s">
        <v>513</v>
      </c>
      <c r="L43" s="116"/>
      <c r="M43" s="242"/>
      <c r="N43" s="245"/>
      <c r="O43" s="240"/>
      <c r="P43" s="240"/>
      <c r="Q43" s="244">
        <f t="shared" si="0"/>
        <v>0</v>
      </c>
      <c r="R43" s="6">
        <f>IF(SUM(CHADUtbl[[#This Row],[UNRESTRICTED FUNDING REQUESTED]])=0,0,CHADUtbl[[#This Row],[UNRESTRICTED FUNDING REQUESTED]]/CH_ADU_UnrestrictedTotalRequested)</f>
        <v>0</v>
      </c>
      <c r="S43" s="665">
        <f>IF(CHADUtbl[[#This Row],[ALL UNITS IN A HIGH OR HIGHEST RESOURCE AREA]]="Yes",10*CHADUtbl[[#This Row],[UNRESTRICTED % OF FUNDING]],0)</f>
        <v>0</v>
      </c>
      <c r="T43" s="665" cm="1">
        <f t="array" ref="T43">INDEX(CountyScoresTbl[Community Need Total Points],ROW(CHADUtbl[[#This Row],[COUNTY]])-2,1)*CHADUtbl[[#This Row],[UNRESTRICTED % OF FUNDING]]</f>
        <v>0</v>
      </c>
      <c r="U43" s="694" cm="1">
        <f t="array" ref="U43">INDEX(CountyScoresTbl[OOR/ADU Total Feasibility Points Awarded],ROW(CHADUtbl[[#This Row],[COUNTY]])-2,1)*CHADUtbl[[#This Row],[UNRESTRICTED % OF FUNDING]]</f>
        <v>0</v>
      </c>
      <c r="V43" s="245"/>
      <c r="W43" s="240"/>
      <c r="X43" s="240"/>
      <c r="Y43" s="244">
        <f t="shared" si="1"/>
        <v>0</v>
      </c>
      <c r="Z43" s="6">
        <f>IF(SUM(CHADUtbl[[#This Row],[RURAL FUNDING REQUESTED]])=0,0,CHADUtbl[[#This Row],[RURAL FUNDING REQUESTED]]/CH_ADU_RuralTotalRequested)</f>
        <v>0</v>
      </c>
      <c r="AA43" s="665">
        <f>IF(CHADUtbl[[#This Row],[ALL UNITS IN A HIGH OR HIGHEST RESOURCE AREA]]="Yes",10*CHADUtbl[[#This Row],[RURAL % OF FUNDING]],0)</f>
        <v>0</v>
      </c>
      <c r="AB43" s="665" cm="1">
        <f t="array" ref="AB43">INDEX(CountyScoresTbl[Community Need Total Points],ROW(CHADUtbl[[#This Row],[COUNTY]])-2,1)*CHADUtbl[[#This Row],[RURAL % OF FUNDING]]</f>
        <v>0</v>
      </c>
      <c r="AC43" s="694" cm="1">
        <f t="array" ref="AC43">INDEX(CountyScoresTbl[OOR/ADU Total Feasibility Points Awarded],ROW(CHADUtbl[[#This Row],[COUNTY]])-2,1)*CHADUtbl[[#This Row],[RURAL % OF FUNDING]]</f>
        <v>0</v>
      </c>
      <c r="AD43" s="764"/>
      <c r="AE43" s="665">
        <f>IF(CHADUtbl[[#This Row],[INFILL SITE]]="Yes",5,3)*CHADUtbl[[#This Row],[UNRESTRICTED % OF FUNDING]]</f>
        <v>0</v>
      </c>
      <c r="AF43" s="665">
        <f>IF(CHADUtbl[[#This Row],[INFILL SITE]]="Yes",5,3)*CHADUtbl[[#This Row],[RURAL % OF FUNDING]]</f>
        <v>0</v>
      </c>
    </row>
    <row r="44" spans="1:32" x14ac:dyDescent="0.35">
      <c r="A44" s="124"/>
      <c r="B44" s="5" t="s">
        <v>156</v>
      </c>
      <c r="C44" s="31" t="s">
        <v>513</v>
      </c>
      <c r="D44" s="110" t="str">
        <f>IF(CHADUtbl[[#This Row],[UNITS3]]=0,"",CHADUtbl[[#This Row],[UNITS3]])</f>
        <v/>
      </c>
      <c r="E44" s="244" t="str">
        <f xml:space="preserve">
IF(CHADUtbl[[#This Row],[UNRESTRICTED FUNDING REQUESTED]]=0,"",
CHADUtbl[[#This Row],[UNRESTRICTED FUNDING REQUESTED]]*
IF(CH_ADU_UnrestrictedTotalRequested&lt;=5000000,1,
5000000/CH_ADU_UnrestrictedTotalRequested)
)</f>
        <v/>
      </c>
      <c r="F44" s="6" t="str">
        <f>IF(CHADUtbl[[#This Row],[UNRESTRICTED % OF FUNDING]]=0,"",CHADUtbl[[#This Row],[UNRESTRICTED % OF FUNDING]])</f>
        <v/>
      </c>
      <c r="G44" s="31" t="s">
        <v>513</v>
      </c>
      <c r="H44" s="110" t="str">
        <f>IF(CHADUtbl[[#This Row],[UNITS22]]=0,"",CHADUtbl[[#This Row],[UNITS22]])</f>
        <v/>
      </c>
      <c r="I44" s="244" t="str">
        <f xml:space="preserve">
IF(CHADUtbl[[#This Row],[RURAL FUNDING REQUESTED]]=0,"",
CHADUtbl[[#This Row],[RURAL FUNDING REQUESTED]]*
IF(CH_ADU_RuralTotalRequested&lt;=(5000000-E$61),1,
(5000000-E$61)/CH_ADU_RuralTotalRequested)
)</f>
        <v/>
      </c>
      <c r="J44" s="6" t="str">
        <f>IF(CHADUtbl[[#This Row],[RURAL % OF FUNDING]]=0,"",CHADUtbl[[#This Row],[RURAL % OF FUNDING]])</f>
        <v/>
      </c>
      <c r="K44" s="31" t="s">
        <v>513</v>
      </c>
      <c r="L44" s="116"/>
      <c r="M44" s="242"/>
      <c r="N44" s="245"/>
      <c r="O44" s="240"/>
      <c r="P44" s="240"/>
      <c r="Q44" s="244">
        <f t="shared" si="0"/>
        <v>0</v>
      </c>
      <c r="R44" s="6">
        <f>IF(SUM(CHADUtbl[[#This Row],[UNRESTRICTED FUNDING REQUESTED]])=0,0,CHADUtbl[[#This Row],[UNRESTRICTED FUNDING REQUESTED]]/CH_ADU_UnrestrictedTotalRequested)</f>
        <v>0</v>
      </c>
      <c r="S44" s="665">
        <f>IF(CHADUtbl[[#This Row],[ALL UNITS IN A HIGH OR HIGHEST RESOURCE AREA]]="Yes",10*CHADUtbl[[#This Row],[UNRESTRICTED % OF FUNDING]],0)</f>
        <v>0</v>
      </c>
      <c r="T44" s="665" cm="1">
        <f t="array" ref="T44">INDEX(CountyScoresTbl[Community Need Total Points],ROW(CHADUtbl[[#This Row],[COUNTY]])-2,1)*CHADUtbl[[#This Row],[UNRESTRICTED % OF FUNDING]]</f>
        <v>0</v>
      </c>
      <c r="U44" s="694" cm="1">
        <f t="array" ref="U44">INDEX(CountyScoresTbl[OOR/ADU Total Feasibility Points Awarded],ROW(CHADUtbl[[#This Row],[COUNTY]])-2,1)*CHADUtbl[[#This Row],[UNRESTRICTED % OF FUNDING]]</f>
        <v>0</v>
      </c>
      <c r="V44" s="245"/>
      <c r="W44" s="240"/>
      <c r="X44" s="240"/>
      <c r="Y44" s="244">
        <f t="shared" si="1"/>
        <v>0</v>
      </c>
      <c r="Z44" s="6">
        <f>IF(SUM(CHADUtbl[[#This Row],[RURAL FUNDING REQUESTED]])=0,0,CHADUtbl[[#This Row],[RURAL FUNDING REQUESTED]]/CH_ADU_RuralTotalRequested)</f>
        <v>0</v>
      </c>
      <c r="AA44" s="665">
        <f>IF(CHADUtbl[[#This Row],[ALL UNITS IN A HIGH OR HIGHEST RESOURCE AREA]]="Yes",10*CHADUtbl[[#This Row],[RURAL % OF FUNDING]],0)</f>
        <v>0</v>
      </c>
      <c r="AB44" s="665" cm="1">
        <f t="array" ref="AB44">INDEX(CountyScoresTbl[Community Need Total Points],ROW(CHADUtbl[[#This Row],[COUNTY]])-2,1)*CHADUtbl[[#This Row],[RURAL % OF FUNDING]]</f>
        <v>0</v>
      </c>
      <c r="AC44" s="694" cm="1">
        <f t="array" ref="AC44">INDEX(CountyScoresTbl[OOR/ADU Total Feasibility Points Awarded],ROW(CHADUtbl[[#This Row],[COUNTY]])-2,1)*CHADUtbl[[#This Row],[RURAL % OF FUNDING]]</f>
        <v>0</v>
      </c>
      <c r="AD44" s="764"/>
      <c r="AE44" s="665">
        <f>IF(CHADUtbl[[#This Row],[INFILL SITE]]="Yes",5,3)*CHADUtbl[[#This Row],[UNRESTRICTED % OF FUNDING]]</f>
        <v>0</v>
      </c>
      <c r="AF44" s="665">
        <f>IF(CHADUtbl[[#This Row],[INFILL SITE]]="Yes",5,3)*CHADUtbl[[#This Row],[RURAL % OF FUNDING]]</f>
        <v>0</v>
      </c>
    </row>
    <row r="45" spans="1:32" x14ac:dyDescent="0.35">
      <c r="A45" s="167" t="s">
        <v>504</v>
      </c>
      <c r="B45" s="5" t="s">
        <v>157</v>
      </c>
      <c r="C45" s="31" t="s">
        <v>513</v>
      </c>
      <c r="D45" s="110" t="str">
        <f>IF(CHADUtbl[[#This Row],[UNITS3]]=0,"",CHADUtbl[[#This Row],[UNITS3]])</f>
        <v/>
      </c>
      <c r="E45" s="244" t="str">
        <f xml:space="preserve">
IF(CHADUtbl[[#This Row],[UNRESTRICTED FUNDING REQUESTED]]=0,"",
CHADUtbl[[#This Row],[UNRESTRICTED FUNDING REQUESTED]]*
IF(CH_ADU_UnrestrictedTotalRequested&lt;=5000000,1,
5000000/CH_ADU_UnrestrictedTotalRequested)
)</f>
        <v/>
      </c>
      <c r="F45" s="6" t="str">
        <f>IF(CHADUtbl[[#This Row],[UNRESTRICTED % OF FUNDING]]=0,"",CHADUtbl[[#This Row],[UNRESTRICTED % OF FUNDING]])</f>
        <v/>
      </c>
      <c r="G45" s="31" t="s">
        <v>513</v>
      </c>
      <c r="H45" s="110" t="str">
        <f>IF(CHADUtbl[[#This Row],[UNITS22]]=0,"",CHADUtbl[[#This Row],[UNITS22]])</f>
        <v/>
      </c>
      <c r="I45" s="244" t="str">
        <f xml:space="preserve">
IF(CHADUtbl[[#This Row],[RURAL FUNDING REQUESTED]]=0,"",
CHADUtbl[[#This Row],[RURAL FUNDING REQUESTED]]*
IF(CH_ADU_RuralTotalRequested&lt;=(5000000-E$61),1,
(5000000-E$61)/CH_ADU_RuralTotalRequested)
)</f>
        <v/>
      </c>
      <c r="J45" s="6" t="str">
        <f>IF(CHADUtbl[[#This Row],[RURAL % OF FUNDING]]=0,"",CHADUtbl[[#This Row],[RURAL % OF FUNDING]])</f>
        <v/>
      </c>
      <c r="K45" s="31" t="s">
        <v>513</v>
      </c>
      <c r="L45" s="115" t="s">
        <v>504</v>
      </c>
      <c r="M45" s="241" t="s">
        <v>504</v>
      </c>
      <c r="N45" s="245"/>
      <c r="O45" s="240"/>
      <c r="P45" s="240"/>
      <c r="Q45" s="244">
        <f t="shared" si="0"/>
        <v>0</v>
      </c>
      <c r="R45" s="6">
        <f>IF(SUM(CHADUtbl[[#This Row],[UNRESTRICTED FUNDING REQUESTED]])=0,0,CHADUtbl[[#This Row],[UNRESTRICTED FUNDING REQUESTED]]/CH_ADU_UnrestrictedTotalRequested)</f>
        <v>0</v>
      </c>
      <c r="S45" s="665">
        <f>IF(CHADUtbl[[#This Row],[ALL UNITS IN A HIGH OR HIGHEST RESOURCE AREA]]="Yes",10*CHADUtbl[[#This Row],[UNRESTRICTED % OF FUNDING]],0)</f>
        <v>0</v>
      </c>
      <c r="T45" s="665" cm="1">
        <f t="array" ref="T45">INDEX(CountyScoresTbl[Community Need Total Points],ROW(CHADUtbl[[#This Row],[COUNTY]])-2,1)*CHADUtbl[[#This Row],[UNRESTRICTED % OF FUNDING]]</f>
        <v>0</v>
      </c>
      <c r="U45" s="694" cm="1">
        <f t="array" ref="U45">INDEX(CountyScoresTbl[OOR/ADU Total Feasibility Points Awarded],ROW(CHADUtbl[[#This Row],[COUNTY]])-2,1)*CHADUtbl[[#This Row],[UNRESTRICTED % OF FUNDING]]</f>
        <v>0</v>
      </c>
      <c r="V45" s="245"/>
      <c r="W45" s="240"/>
      <c r="X45" s="240"/>
      <c r="Y45" s="244">
        <f t="shared" si="1"/>
        <v>0</v>
      </c>
      <c r="Z45" s="6">
        <f>IF(SUM(CHADUtbl[[#This Row],[RURAL FUNDING REQUESTED]])=0,0,CHADUtbl[[#This Row],[RURAL FUNDING REQUESTED]]/CH_ADU_RuralTotalRequested)</f>
        <v>0</v>
      </c>
      <c r="AA45" s="665">
        <f>IF(CHADUtbl[[#This Row],[ALL UNITS IN A HIGH OR HIGHEST RESOURCE AREA]]="Yes",10*CHADUtbl[[#This Row],[RURAL % OF FUNDING]],0)</f>
        <v>0</v>
      </c>
      <c r="AB45" s="665" cm="1">
        <f t="array" ref="AB45">INDEX(CountyScoresTbl[Community Need Total Points],ROW(CHADUtbl[[#This Row],[COUNTY]])-2,1)*CHADUtbl[[#This Row],[RURAL % OF FUNDING]]</f>
        <v>0</v>
      </c>
      <c r="AC45" s="694" cm="1">
        <f t="array" ref="AC45">INDEX(CountyScoresTbl[OOR/ADU Total Feasibility Points Awarded],ROW(CHADUtbl[[#This Row],[COUNTY]])-2,1)*CHADUtbl[[#This Row],[RURAL % OF FUNDING]]</f>
        <v>0</v>
      </c>
      <c r="AD45" s="764"/>
      <c r="AE45" s="665">
        <f>IF(CHADUtbl[[#This Row],[INFILL SITE]]="Yes",5,3)*CHADUtbl[[#This Row],[UNRESTRICTED % OF FUNDING]]</f>
        <v>0</v>
      </c>
      <c r="AF45" s="665">
        <f>IF(CHADUtbl[[#This Row],[INFILL SITE]]="Yes",5,3)*CHADUtbl[[#This Row],[RURAL % OF FUNDING]]</f>
        <v>0</v>
      </c>
    </row>
    <row r="46" spans="1:32" x14ac:dyDescent="0.35">
      <c r="A46" s="124"/>
      <c r="B46" s="5" t="s">
        <v>158</v>
      </c>
      <c r="C46" s="31" t="s">
        <v>513</v>
      </c>
      <c r="D46" s="110" t="str">
        <f>IF(CHADUtbl[[#This Row],[UNITS3]]=0,"",CHADUtbl[[#This Row],[UNITS3]])</f>
        <v/>
      </c>
      <c r="E46" s="244" t="str">
        <f xml:space="preserve">
IF(CHADUtbl[[#This Row],[UNRESTRICTED FUNDING REQUESTED]]=0,"",
CHADUtbl[[#This Row],[UNRESTRICTED FUNDING REQUESTED]]*
IF(CH_ADU_UnrestrictedTotalRequested&lt;=5000000,1,
5000000/CH_ADU_UnrestrictedTotalRequested)
)</f>
        <v/>
      </c>
      <c r="F46" s="6" t="str">
        <f>IF(CHADUtbl[[#This Row],[UNRESTRICTED % OF FUNDING]]=0,"",CHADUtbl[[#This Row],[UNRESTRICTED % OF FUNDING]])</f>
        <v/>
      </c>
      <c r="G46" s="31" t="s">
        <v>513</v>
      </c>
      <c r="H46" s="110" t="str">
        <f>IF(CHADUtbl[[#This Row],[UNITS22]]=0,"",CHADUtbl[[#This Row],[UNITS22]])</f>
        <v/>
      </c>
      <c r="I46" s="244" t="str">
        <f xml:space="preserve">
IF(CHADUtbl[[#This Row],[RURAL FUNDING REQUESTED]]=0,"",
CHADUtbl[[#This Row],[RURAL FUNDING REQUESTED]]*
IF(CH_ADU_RuralTotalRequested&lt;=(5000000-E$61),1,
(5000000-E$61)/CH_ADU_RuralTotalRequested)
)</f>
        <v/>
      </c>
      <c r="J46" s="6" t="str">
        <f>IF(CHADUtbl[[#This Row],[RURAL % OF FUNDING]]=0,"",CHADUtbl[[#This Row],[RURAL % OF FUNDING]])</f>
        <v/>
      </c>
      <c r="K46" s="31" t="s">
        <v>513</v>
      </c>
      <c r="L46" s="116"/>
      <c r="M46" s="242"/>
      <c r="N46" s="245"/>
      <c r="O46" s="240"/>
      <c r="P46" s="240"/>
      <c r="Q46" s="244">
        <f t="shared" si="0"/>
        <v>0</v>
      </c>
      <c r="R46" s="6">
        <f>IF(SUM(CHADUtbl[[#This Row],[UNRESTRICTED FUNDING REQUESTED]])=0,0,CHADUtbl[[#This Row],[UNRESTRICTED FUNDING REQUESTED]]/CH_ADU_UnrestrictedTotalRequested)</f>
        <v>0</v>
      </c>
      <c r="S46" s="665">
        <f>IF(CHADUtbl[[#This Row],[ALL UNITS IN A HIGH OR HIGHEST RESOURCE AREA]]="Yes",10*CHADUtbl[[#This Row],[UNRESTRICTED % OF FUNDING]],0)</f>
        <v>0</v>
      </c>
      <c r="T46" s="665" cm="1">
        <f t="array" ref="T46">INDEX(CountyScoresTbl[Community Need Total Points],ROW(CHADUtbl[[#This Row],[COUNTY]])-2,1)*CHADUtbl[[#This Row],[UNRESTRICTED % OF FUNDING]]</f>
        <v>0</v>
      </c>
      <c r="U46" s="694" cm="1">
        <f t="array" ref="U46">INDEX(CountyScoresTbl[OOR/ADU Total Feasibility Points Awarded],ROW(CHADUtbl[[#This Row],[COUNTY]])-2,1)*CHADUtbl[[#This Row],[UNRESTRICTED % OF FUNDING]]</f>
        <v>0</v>
      </c>
      <c r="V46" s="245"/>
      <c r="W46" s="240"/>
      <c r="X46" s="240"/>
      <c r="Y46" s="244">
        <f t="shared" si="1"/>
        <v>0</v>
      </c>
      <c r="Z46" s="6">
        <f>IF(SUM(CHADUtbl[[#This Row],[RURAL FUNDING REQUESTED]])=0,0,CHADUtbl[[#This Row],[RURAL FUNDING REQUESTED]]/CH_ADU_RuralTotalRequested)</f>
        <v>0</v>
      </c>
      <c r="AA46" s="665">
        <f>IF(CHADUtbl[[#This Row],[ALL UNITS IN A HIGH OR HIGHEST RESOURCE AREA]]="Yes",10*CHADUtbl[[#This Row],[RURAL % OF FUNDING]],0)</f>
        <v>0</v>
      </c>
      <c r="AB46" s="665" cm="1">
        <f t="array" ref="AB46">INDEX(CountyScoresTbl[Community Need Total Points],ROW(CHADUtbl[[#This Row],[COUNTY]])-2,1)*CHADUtbl[[#This Row],[RURAL % OF FUNDING]]</f>
        <v>0</v>
      </c>
      <c r="AC46" s="694" cm="1">
        <f t="array" ref="AC46">INDEX(CountyScoresTbl[OOR/ADU Total Feasibility Points Awarded],ROW(CHADUtbl[[#This Row],[COUNTY]])-2,1)*CHADUtbl[[#This Row],[RURAL % OF FUNDING]]</f>
        <v>0</v>
      </c>
      <c r="AD46" s="764"/>
      <c r="AE46" s="665">
        <f>IF(CHADUtbl[[#This Row],[INFILL SITE]]="Yes",5,3)*CHADUtbl[[#This Row],[UNRESTRICTED % OF FUNDING]]</f>
        <v>0</v>
      </c>
      <c r="AF46" s="665">
        <f>IF(CHADUtbl[[#This Row],[INFILL SITE]]="Yes",5,3)*CHADUtbl[[#This Row],[RURAL % OF FUNDING]]</f>
        <v>0</v>
      </c>
    </row>
    <row r="47" spans="1:32" x14ac:dyDescent="0.35">
      <c r="A47" s="124"/>
      <c r="B47" s="5" t="s">
        <v>159</v>
      </c>
      <c r="C47" s="31" t="s">
        <v>513</v>
      </c>
      <c r="D47" s="110" t="str">
        <f>IF(CHADUtbl[[#This Row],[UNITS3]]=0,"",CHADUtbl[[#This Row],[UNITS3]])</f>
        <v/>
      </c>
      <c r="E47" s="244" t="str">
        <f xml:space="preserve">
IF(CHADUtbl[[#This Row],[UNRESTRICTED FUNDING REQUESTED]]=0,"",
CHADUtbl[[#This Row],[UNRESTRICTED FUNDING REQUESTED]]*
IF(CH_ADU_UnrestrictedTotalRequested&lt;=5000000,1,
5000000/CH_ADU_UnrestrictedTotalRequested)
)</f>
        <v/>
      </c>
      <c r="F47" s="6" t="str">
        <f>IF(CHADUtbl[[#This Row],[UNRESTRICTED % OF FUNDING]]=0,"",CHADUtbl[[#This Row],[UNRESTRICTED % OF FUNDING]])</f>
        <v/>
      </c>
      <c r="G47" s="31" t="s">
        <v>513</v>
      </c>
      <c r="H47" s="110" t="str">
        <f>IF(CHADUtbl[[#This Row],[UNITS22]]=0,"",CHADUtbl[[#This Row],[UNITS22]])</f>
        <v/>
      </c>
      <c r="I47" s="244" t="str">
        <f xml:space="preserve">
IF(CHADUtbl[[#This Row],[RURAL FUNDING REQUESTED]]=0,"",
CHADUtbl[[#This Row],[RURAL FUNDING REQUESTED]]*
IF(CH_ADU_RuralTotalRequested&lt;=(5000000-E$61),1,
(5000000-E$61)/CH_ADU_RuralTotalRequested)
)</f>
        <v/>
      </c>
      <c r="J47" s="6" t="str">
        <f>IF(CHADUtbl[[#This Row],[RURAL % OF FUNDING]]=0,"",CHADUtbl[[#This Row],[RURAL % OF FUNDING]])</f>
        <v/>
      </c>
      <c r="K47" s="31" t="s">
        <v>513</v>
      </c>
      <c r="L47" s="116"/>
      <c r="M47" s="242"/>
      <c r="N47" s="245"/>
      <c r="O47" s="240"/>
      <c r="P47" s="240"/>
      <c r="Q47" s="244">
        <f t="shared" si="0"/>
        <v>0</v>
      </c>
      <c r="R47" s="6">
        <f>IF(SUM(CHADUtbl[[#This Row],[UNRESTRICTED FUNDING REQUESTED]])=0,0,CHADUtbl[[#This Row],[UNRESTRICTED FUNDING REQUESTED]]/CH_ADU_UnrestrictedTotalRequested)</f>
        <v>0</v>
      </c>
      <c r="S47" s="665">
        <f>IF(CHADUtbl[[#This Row],[ALL UNITS IN A HIGH OR HIGHEST RESOURCE AREA]]="Yes",10*CHADUtbl[[#This Row],[UNRESTRICTED % OF FUNDING]],0)</f>
        <v>0</v>
      </c>
      <c r="T47" s="665" cm="1">
        <f t="array" ref="T47">INDEX(CountyScoresTbl[Community Need Total Points],ROW(CHADUtbl[[#This Row],[COUNTY]])-2,1)*CHADUtbl[[#This Row],[UNRESTRICTED % OF FUNDING]]</f>
        <v>0</v>
      </c>
      <c r="U47" s="694" cm="1">
        <f t="array" ref="U47">INDEX(CountyScoresTbl[OOR/ADU Total Feasibility Points Awarded],ROW(CHADUtbl[[#This Row],[COUNTY]])-2,1)*CHADUtbl[[#This Row],[UNRESTRICTED % OF FUNDING]]</f>
        <v>0</v>
      </c>
      <c r="V47" s="245"/>
      <c r="W47" s="240"/>
      <c r="X47" s="240"/>
      <c r="Y47" s="244">
        <f t="shared" si="1"/>
        <v>0</v>
      </c>
      <c r="Z47" s="6">
        <f>IF(SUM(CHADUtbl[[#This Row],[RURAL FUNDING REQUESTED]])=0,0,CHADUtbl[[#This Row],[RURAL FUNDING REQUESTED]]/CH_ADU_RuralTotalRequested)</f>
        <v>0</v>
      </c>
      <c r="AA47" s="665">
        <f>IF(CHADUtbl[[#This Row],[ALL UNITS IN A HIGH OR HIGHEST RESOURCE AREA]]="Yes",10*CHADUtbl[[#This Row],[RURAL % OF FUNDING]],0)</f>
        <v>0</v>
      </c>
      <c r="AB47" s="665" cm="1">
        <f t="array" ref="AB47">INDEX(CountyScoresTbl[Community Need Total Points],ROW(CHADUtbl[[#This Row],[COUNTY]])-2,1)*CHADUtbl[[#This Row],[RURAL % OF FUNDING]]</f>
        <v>0</v>
      </c>
      <c r="AC47" s="694" cm="1">
        <f t="array" ref="AC47">INDEX(CountyScoresTbl[OOR/ADU Total Feasibility Points Awarded],ROW(CHADUtbl[[#This Row],[COUNTY]])-2,1)*CHADUtbl[[#This Row],[RURAL % OF FUNDING]]</f>
        <v>0</v>
      </c>
      <c r="AD47" s="764"/>
      <c r="AE47" s="665">
        <f>IF(CHADUtbl[[#This Row],[INFILL SITE]]="Yes",5,3)*CHADUtbl[[#This Row],[UNRESTRICTED % OF FUNDING]]</f>
        <v>0</v>
      </c>
      <c r="AF47" s="665">
        <f>IF(CHADUtbl[[#This Row],[INFILL SITE]]="Yes",5,3)*CHADUtbl[[#This Row],[RURAL % OF FUNDING]]</f>
        <v>0</v>
      </c>
    </row>
    <row r="48" spans="1:32" x14ac:dyDescent="0.35">
      <c r="A48" s="124"/>
      <c r="B48" s="5" t="s">
        <v>160</v>
      </c>
      <c r="C48" s="31" t="s">
        <v>513</v>
      </c>
      <c r="D48" s="110" t="str">
        <f>IF(CHADUtbl[[#This Row],[UNITS3]]=0,"",CHADUtbl[[#This Row],[UNITS3]])</f>
        <v/>
      </c>
      <c r="E48" s="244" t="str">
        <f xml:space="preserve">
IF(CHADUtbl[[#This Row],[UNRESTRICTED FUNDING REQUESTED]]=0,"",
CHADUtbl[[#This Row],[UNRESTRICTED FUNDING REQUESTED]]*
IF(CH_ADU_UnrestrictedTotalRequested&lt;=5000000,1,
5000000/CH_ADU_UnrestrictedTotalRequested)
)</f>
        <v/>
      </c>
      <c r="F48" s="6" t="str">
        <f>IF(CHADUtbl[[#This Row],[UNRESTRICTED % OF FUNDING]]=0,"",CHADUtbl[[#This Row],[UNRESTRICTED % OF FUNDING]])</f>
        <v/>
      </c>
      <c r="G48" s="31" t="s">
        <v>513</v>
      </c>
      <c r="H48" s="110" t="str">
        <f>IF(CHADUtbl[[#This Row],[UNITS22]]=0,"",CHADUtbl[[#This Row],[UNITS22]])</f>
        <v/>
      </c>
      <c r="I48" s="244" t="str">
        <f xml:space="preserve">
IF(CHADUtbl[[#This Row],[RURAL FUNDING REQUESTED]]=0,"",
CHADUtbl[[#This Row],[RURAL FUNDING REQUESTED]]*
IF(CH_ADU_RuralTotalRequested&lt;=(5000000-E$61),1,
(5000000-E$61)/CH_ADU_RuralTotalRequested)
)</f>
        <v/>
      </c>
      <c r="J48" s="6" t="str">
        <f>IF(CHADUtbl[[#This Row],[RURAL % OF FUNDING]]=0,"",CHADUtbl[[#This Row],[RURAL % OF FUNDING]])</f>
        <v/>
      </c>
      <c r="K48" s="31" t="s">
        <v>513</v>
      </c>
      <c r="L48" s="116"/>
      <c r="M48" s="242"/>
      <c r="N48" s="245"/>
      <c r="O48" s="240"/>
      <c r="P48" s="240"/>
      <c r="Q48" s="244">
        <f t="shared" si="0"/>
        <v>0</v>
      </c>
      <c r="R48" s="6">
        <f>IF(SUM(CHADUtbl[[#This Row],[UNRESTRICTED FUNDING REQUESTED]])=0,0,CHADUtbl[[#This Row],[UNRESTRICTED FUNDING REQUESTED]]/CH_ADU_UnrestrictedTotalRequested)</f>
        <v>0</v>
      </c>
      <c r="S48" s="665">
        <f>IF(CHADUtbl[[#This Row],[ALL UNITS IN A HIGH OR HIGHEST RESOURCE AREA]]="Yes",10*CHADUtbl[[#This Row],[UNRESTRICTED % OF FUNDING]],0)</f>
        <v>0</v>
      </c>
      <c r="T48" s="665" cm="1">
        <f t="array" ref="T48">INDEX(CountyScoresTbl[Community Need Total Points],ROW(CHADUtbl[[#This Row],[COUNTY]])-2,1)*CHADUtbl[[#This Row],[UNRESTRICTED % OF FUNDING]]</f>
        <v>0</v>
      </c>
      <c r="U48" s="694" cm="1">
        <f t="array" ref="U48">INDEX(CountyScoresTbl[OOR/ADU Total Feasibility Points Awarded],ROW(CHADUtbl[[#This Row],[COUNTY]])-2,1)*CHADUtbl[[#This Row],[UNRESTRICTED % OF FUNDING]]</f>
        <v>0</v>
      </c>
      <c r="V48" s="245"/>
      <c r="W48" s="240"/>
      <c r="X48" s="240"/>
      <c r="Y48" s="244">
        <f t="shared" si="1"/>
        <v>0</v>
      </c>
      <c r="Z48" s="6">
        <f>IF(SUM(CHADUtbl[[#This Row],[RURAL FUNDING REQUESTED]])=0,0,CHADUtbl[[#This Row],[RURAL FUNDING REQUESTED]]/CH_ADU_RuralTotalRequested)</f>
        <v>0</v>
      </c>
      <c r="AA48" s="665">
        <f>IF(CHADUtbl[[#This Row],[ALL UNITS IN A HIGH OR HIGHEST RESOURCE AREA]]="Yes",10*CHADUtbl[[#This Row],[RURAL % OF FUNDING]],0)</f>
        <v>0</v>
      </c>
      <c r="AB48" s="665" cm="1">
        <f t="array" ref="AB48">INDEX(CountyScoresTbl[Community Need Total Points],ROW(CHADUtbl[[#This Row],[COUNTY]])-2,1)*CHADUtbl[[#This Row],[RURAL % OF FUNDING]]</f>
        <v>0</v>
      </c>
      <c r="AC48" s="694" cm="1">
        <f t="array" ref="AC48">INDEX(CountyScoresTbl[OOR/ADU Total Feasibility Points Awarded],ROW(CHADUtbl[[#This Row],[COUNTY]])-2,1)*CHADUtbl[[#This Row],[RURAL % OF FUNDING]]</f>
        <v>0</v>
      </c>
      <c r="AD48" s="764"/>
      <c r="AE48" s="665">
        <f>IF(CHADUtbl[[#This Row],[INFILL SITE]]="Yes",5,3)*CHADUtbl[[#This Row],[UNRESTRICTED % OF FUNDING]]</f>
        <v>0</v>
      </c>
      <c r="AF48" s="665">
        <f>IF(CHADUtbl[[#This Row],[INFILL SITE]]="Yes",5,3)*CHADUtbl[[#This Row],[RURAL % OF FUNDING]]</f>
        <v>0</v>
      </c>
    </row>
    <row r="49" spans="1:32" x14ac:dyDescent="0.35">
      <c r="A49" s="124"/>
      <c r="B49" s="5" t="s">
        <v>161</v>
      </c>
      <c r="C49" s="31" t="s">
        <v>513</v>
      </c>
      <c r="D49" s="110" t="str">
        <f>IF(CHADUtbl[[#This Row],[UNITS3]]=0,"",CHADUtbl[[#This Row],[UNITS3]])</f>
        <v/>
      </c>
      <c r="E49" s="244" t="str">
        <f xml:space="preserve">
IF(CHADUtbl[[#This Row],[UNRESTRICTED FUNDING REQUESTED]]=0,"",
CHADUtbl[[#This Row],[UNRESTRICTED FUNDING REQUESTED]]*
IF(CH_ADU_UnrestrictedTotalRequested&lt;=5000000,1,
5000000/CH_ADU_UnrestrictedTotalRequested)
)</f>
        <v/>
      </c>
      <c r="F49" s="6" t="str">
        <f>IF(CHADUtbl[[#This Row],[UNRESTRICTED % OF FUNDING]]=0,"",CHADUtbl[[#This Row],[UNRESTRICTED % OF FUNDING]])</f>
        <v/>
      </c>
      <c r="G49" s="31" t="s">
        <v>513</v>
      </c>
      <c r="H49" s="110" t="str">
        <f>IF(CHADUtbl[[#This Row],[UNITS22]]=0,"",CHADUtbl[[#This Row],[UNITS22]])</f>
        <v/>
      </c>
      <c r="I49" s="244" t="str">
        <f xml:space="preserve">
IF(CHADUtbl[[#This Row],[RURAL FUNDING REQUESTED]]=0,"",
CHADUtbl[[#This Row],[RURAL FUNDING REQUESTED]]*
IF(CH_ADU_RuralTotalRequested&lt;=(5000000-E$61),1,
(5000000-E$61)/CH_ADU_RuralTotalRequested)
)</f>
        <v/>
      </c>
      <c r="J49" s="6" t="str">
        <f>IF(CHADUtbl[[#This Row],[RURAL % OF FUNDING]]=0,"",CHADUtbl[[#This Row],[RURAL % OF FUNDING]])</f>
        <v/>
      </c>
      <c r="K49" s="31" t="s">
        <v>513</v>
      </c>
      <c r="L49" s="116"/>
      <c r="M49" s="242"/>
      <c r="N49" s="245"/>
      <c r="O49" s="240"/>
      <c r="P49" s="240"/>
      <c r="Q49" s="244">
        <f t="shared" si="0"/>
        <v>0</v>
      </c>
      <c r="R49" s="6">
        <f>IF(SUM(CHADUtbl[[#This Row],[UNRESTRICTED FUNDING REQUESTED]])=0,0,CHADUtbl[[#This Row],[UNRESTRICTED FUNDING REQUESTED]]/CH_ADU_UnrestrictedTotalRequested)</f>
        <v>0</v>
      </c>
      <c r="S49" s="665">
        <f>IF(CHADUtbl[[#This Row],[ALL UNITS IN A HIGH OR HIGHEST RESOURCE AREA]]="Yes",10*CHADUtbl[[#This Row],[UNRESTRICTED % OF FUNDING]],0)</f>
        <v>0</v>
      </c>
      <c r="T49" s="665" cm="1">
        <f t="array" ref="T49">INDEX(CountyScoresTbl[Community Need Total Points],ROW(CHADUtbl[[#This Row],[COUNTY]])-2,1)*CHADUtbl[[#This Row],[UNRESTRICTED % OF FUNDING]]</f>
        <v>0</v>
      </c>
      <c r="U49" s="694" cm="1">
        <f t="array" ref="U49">INDEX(CountyScoresTbl[OOR/ADU Total Feasibility Points Awarded],ROW(CHADUtbl[[#This Row],[COUNTY]])-2,1)*CHADUtbl[[#This Row],[UNRESTRICTED % OF FUNDING]]</f>
        <v>0</v>
      </c>
      <c r="V49" s="245"/>
      <c r="W49" s="240"/>
      <c r="X49" s="240"/>
      <c r="Y49" s="244">
        <f t="shared" si="1"/>
        <v>0</v>
      </c>
      <c r="Z49" s="6">
        <f>IF(SUM(CHADUtbl[[#This Row],[RURAL FUNDING REQUESTED]])=0,0,CHADUtbl[[#This Row],[RURAL FUNDING REQUESTED]]/CH_ADU_RuralTotalRequested)</f>
        <v>0</v>
      </c>
      <c r="AA49" s="665">
        <f>IF(CHADUtbl[[#This Row],[ALL UNITS IN A HIGH OR HIGHEST RESOURCE AREA]]="Yes",10*CHADUtbl[[#This Row],[RURAL % OF FUNDING]],0)</f>
        <v>0</v>
      </c>
      <c r="AB49" s="665" cm="1">
        <f t="array" ref="AB49">INDEX(CountyScoresTbl[Community Need Total Points],ROW(CHADUtbl[[#This Row],[COUNTY]])-2,1)*CHADUtbl[[#This Row],[RURAL % OF FUNDING]]</f>
        <v>0</v>
      </c>
      <c r="AC49" s="694" cm="1">
        <f t="array" ref="AC49">INDEX(CountyScoresTbl[OOR/ADU Total Feasibility Points Awarded],ROW(CHADUtbl[[#This Row],[COUNTY]])-2,1)*CHADUtbl[[#This Row],[RURAL % OF FUNDING]]</f>
        <v>0</v>
      </c>
      <c r="AD49" s="764"/>
      <c r="AE49" s="665">
        <f>IF(CHADUtbl[[#This Row],[INFILL SITE]]="Yes",5,3)*CHADUtbl[[#This Row],[UNRESTRICTED % OF FUNDING]]</f>
        <v>0</v>
      </c>
      <c r="AF49" s="665">
        <f>IF(CHADUtbl[[#This Row],[INFILL SITE]]="Yes",5,3)*CHADUtbl[[#This Row],[RURAL % OF FUNDING]]</f>
        <v>0</v>
      </c>
    </row>
    <row r="50" spans="1:32" x14ac:dyDescent="0.35">
      <c r="A50" s="124"/>
      <c r="B50" s="5" t="s">
        <v>162</v>
      </c>
      <c r="C50" s="31" t="s">
        <v>513</v>
      </c>
      <c r="D50" s="110" t="str">
        <f>IF(CHADUtbl[[#This Row],[UNITS3]]=0,"",CHADUtbl[[#This Row],[UNITS3]])</f>
        <v/>
      </c>
      <c r="E50" s="244" t="str">
        <f xml:space="preserve">
IF(CHADUtbl[[#This Row],[UNRESTRICTED FUNDING REQUESTED]]=0,"",
CHADUtbl[[#This Row],[UNRESTRICTED FUNDING REQUESTED]]*
IF(CH_ADU_UnrestrictedTotalRequested&lt;=5000000,1,
5000000/CH_ADU_UnrestrictedTotalRequested)
)</f>
        <v/>
      </c>
      <c r="F50" s="6" t="str">
        <f>IF(CHADUtbl[[#This Row],[UNRESTRICTED % OF FUNDING]]=0,"",CHADUtbl[[#This Row],[UNRESTRICTED % OF FUNDING]])</f>
        <v/>
      </c>
      <c r="G50" s="31" t="s">
        <v>513</v>
      </c>
      <c r="H50" s="110" t="str">
        <f>IF(CHADUtbl[[#This Row],[UNITS22]]=0,"",CHADUtbl[[#This Row],[UNITS22]])</f>
        <v/>
      </c>
      <c r="I50" s="244" t="str">
        <f xml:space="preserve">
IF(CHADUtbl[[#This Row],[RURAL FUNDING REQUESTED]]=0,"",
CHADUtbl[[#This Row],[RURAL FUNDING REQUESTED]]*
IF(CH_ADU_RuralTotalRequested&lt;=(5000000-E$61),1,
(5000000-E$61)/CH_ADU_RuralTotalRequested)
)</f>
        <v/>
      </c>
      <c r="J50" s="6" t="str">
        <f>IF(CHADUtbl[[#This Row],[RURAL % OF FUNDING]]=0,"",CHADUtbl[[#This Row],[RURAL % OF FUNDING]])</f>
        <v/>
      </c>
      <c r="K50" s="31" t="s">
        <v>513</v>
      </c>
      <c r="L50" s="116"/>
      <c r="M50" s="242"/>
      <c r="N50" s="245"/>
      <c r="O50" s="240"/>
      <c r="P50" s="240"/>
      <c r="Q50" s="244">
        <f t="shared" si="0"/>
        <v>0</v>
      </c>
      <c r="R50" s="6">
        <f>IF(SUM(CHADUtbl[[#This Row],[UNRESTRICTED FUNDING REQUESTED]])=0,0,CHADUtbl[[#This Row],[UNRESTRICTED FUNDING REQUESTED]]/CH_ADU_UnrestrictedTotalRequested)</f>
        <v>0</v>
      </c>
      <c r="S50" s="665">
        <f>IF(CHADUtbl[[#This Row],[ALL UNITS IN A HIGH OR HIGHEST RESOURCE AREA]]="Yes",10*CHADUtbl[[#This Row],[UNRESTRICTED % OF FUNDING]],0)</f>
        <v>0</v>
      </c>
      <c r="T50" s="665" cm="1">
        <f t="array" ref="T50">INDEX(CountyScoresTbl[Community Need Total Points],ROW(CHADUtbl[[#This Row],[COUNTY]])-2,1)*CHADUtbl[[#This Row],[UNRESTRICTED % OF FUNDING]]</f>
        <v>0</v>
      </c>
      <c r="U50" s="694" cm="1">
        <f t="array" ref="U50">INDEX(CountyScoresTbl[OOR/ADU Total Feasibility Points Awarded],ROW(CHADUtbl[[#This Row],[COUNTY]])-2,1)*CHADUtbl[[#This Row],[UNRESTRICTED % OF FUNDING]]</f>
        <v>0</v>
      </c>
      <c r="V50" s="245"/>
      <c r="W50" s="240"/>
      <c r="X50" s="240"/>
      <c r="Y50" s="244">
        <f t="shared" si="1"/>
        <v>0</v>
      </c>
      <c r="Z50" s="6">
        <f>IF(SUM(CHADUtbl[[#This Row],[RURAL FUNDING REQUESTED]])=0,0,CHADUtbl[[#This Row],[RURAL FUNDING REQUESTED]]/CH_ADU_RuralTotalRequested)</f>
        <v>0</v>
      </c>
      <c r="AA50" s="665">
        <f>IF(CHADUtbl[[#This Row],[ALL UNITS IN A HIGH OR HIGHEST RESOURCE AREA]]="Yes",10*CHADUtbl[[#This Row],[RURAL % OF FUNDING]],0)</f>
        <v>0</v>
      </c>
      <c r="AB50" s="665" cm="1">
        <f t="array" ref="AB50">INDEX(CountyScoresTbl[Community Need Total Points],ROW(CHADUtbl[[#This Row],[COUNTY]])-2,1)*CHADUtbl[[#This Row],[RURAL % OF FUNDING]]</f>
        <v>0</v>
      </c>
      <c r="AC50" s="694" cm="1">
        <f t="array" ref="AC50">INDEX(CountyScoresTbl[OOR/ADU Total Feasibility Points Awarded],ROW(CHADUtbl[[#This Row],[COUNTY]])-2,1)*CHADUtbl[[#This Row],[RURAL % OF FUNDING]]</f>
        <v>0</v>
      </c>
      <c r="AD50" s="764"/>
      <c r="AE50" s="665">
        <f>IF(CHADUtbl[[#This Row],[INFILL SITE]]="Yes",5,3)*CHADUtbl[[#This Row],[UNRESTRICTED % OF FUNDING]]</f>
        <v>0</v>
      </c>
      <c r="AF50" s="665">
        <f>IF(CHADUtbl[[#This Row],[INFILL SITE]]="Yes",5,3)*CHADUtbl[[#This Row],[RURAL % OF FUNDING]]</f>
        <v>0</v>
      </c>
    </row>
    <row r="51" spans="1:32" x14ac:dyDescent="0.35">
      <c r="A51" s="124"/>
      <c r="B51" s="5" t="s">
        <v>163</v>
      </c>
      <c r="C51" s="31" t="s">
        <v>513</v>
      </c>
      <c r="D51" s="110" t="str">
        <f>IF(CHADUtbl[[#This Row],[UNITS3]]=0,"",CHADUtbl[[#This Row],[UNITS3]])</f>
        <v/>
      </c>
      <c r="E51" s="244" t="str">
        <f xml:space="preserve">
IF(CHADUtbl[[#This Row],[UNRESTRICTED FUNDING REQUESTED]]=0,"",
CHADUtbl[[#This Row],[UNRESTRICTED FUNDING REQUESTED]]*
IF(CH_ADU_UnrestrictedTotalRequested&lt;=5000000,1,
5000000/CH_ADU_UnrestrictedTotalRequested)
)</f>
        <v/>
      </c>
      <c r="F51" s="6" t="str">
        <f>IF(CHADUtbl[[#This Row],[UNRESTRICTED % OF FUNDING]]=0,"",CHADUtbl[[#This Row],[UNRESTRICTED % OF FUNDING]])</f>
        <v/>
      </c>
      <c r="G51" s="31" t="s">
        <v>513</v>
      </c>
      <c r="H51" s="110" t="str">
        <f>IF(CHADUtbl[[#This Row],[UNITS22]]=0,"",CHADUtbl[[#This Row],[UNITS22]])</f>
        <v/>
      </c>
      <c r="I51" s="244" t="str">
        <f xml:space="preserve">
IF(CHADUtbl[[#This Row],[RURAL FUNDING REQUESTED]]=0,"",
CHADUtbl[[#This Row],[RURAL FUNDING REQUESTED]]*
IF(CH_ADU_RuralTotalRequested&lt;=(5000000-E$61),1,
(5000000-E$61)/CH_ADU_RuralTotalRequested)
)</f>
        <v/>
      </c>
      <c r="J51" s="6" t="str">
        <f>IF(CHADUtbl[[#This Row],[RURAL % OF FUNDING]]=0,"",CHADUtbl[[#This Row],[RURAL % OF FUNDING]])</f>
        <v/>
      </c>
      <c r="K51" s="31" t="s">
        <v>513</v>
      </c>
      <c r="L51" s="116"/>
      <c r="M51" s="242"/>
      <c r="N51" s="245"/>
      <c r="O51" s="240"/>
      <c r="P51" s="240"/>
      <c r="Q51" s="244">
        <f t="shared" si="0"/>
        <v>0</v>
      </c>
      <c r="R51" s="6">
        <f>IF(SUM(CHADUtbl[[#This Row],[UNRESTRICTED FUNDING REQUESTED]])=0,0,CHADUtbl[[#This Row],[UNRESTRICTED FUNDING REQUESTED]]/CH_ADU_UnrestrictedTotalRequested)</f>
        <v>0</v>
      </c>
      <c r="S51" s="665">
        <f>IF(CHADUtbl[[#This Row],[ALL UNITS IN A HIGH OR HIGHEST RESOURCE AREA]]="Yes",10*CHADUtbl[[#This Row],[UNRESTRICTED % OF FUNDING]],0)</f>
        <v>0</v>
      </c>
      <c r="T51" s="665" cm="1">
        <f t="array" ref="T51">INDEX(CountyScoresTbl[Community Need Total Points],ROW(CHADUtbl[[#This Row],[COUNTY]])-2,1)*CHADUtbl[[#This Row],[UNRESTRICTED % OF FUNDING]]</f>
        <v>0</v>
      </c>
      <c r="U51" s="694" cm="1">
        <f t="array" ref="U51">INDEX(CountyScoresTbl[OOR/ADU Total Feasibility Points Awarded],ROW(CHADUtbl[[#This Row],[COUNTY]])-2,1)*CHADUtbl[[#This Row],[UNRESTRICTED % OF FUNDING]]</f>
        <v>0</v>
      </c>
      <c r="V51" s="245"/>
      <c r="W51" s="240"/>
      <c r="X51" s="240"/>
      <c r="Y51" s="244">
        <f t="shared" si="1"/>
        <v>0</v>
      </c>
      <c r="Z51" s="6">
        <f>IF(SUM(CHADUtbl[[#This Row],[RURAL FUNDING REQUESTED]])=0,0,CHADUtbl[[#This Row],[RURAL FUNDING REQUESTED]]/CH_ADU_RuralTotalRequested)</f>
        <v>0</v>
      </c>
      <c r="AA51" s="665">
        <f>IF(CHADUtbl[[#This Row],[ALL UNITS IN A HIGH OR HIGHEST RESOURCE AREA]]="Yes",10*CHADUtbl[[#This Row],[RURAL % OF FUNDING]],0)</f>
        <v>0</v>
      </c>
      <c r="AB51" s="665" cm="1">
        <f t="array" ref="AB51">INDEX(CountyScoresTbl[Community Need Total Points],ROW(CHADUtbl[[#This Row],[COUNTY]])-2,1)*CHADUtbl[[#This Row],[RURAL % OF FUNDING]]</f>
        <v>0</v>
      </c>
      <c r="AC51" s="694" cm="1">
        <f t="array" ref="AC51">INDEX(CountyScoresTbl[OOR/ADU Total Feasibility Points Awarded],ROW(CHADUtbl[[#This Row],[COUNTY]])-2,1)*CHADUtbl[[#This Row],[RURAL % OF FUNDING]]</f>
        <v>0</v>
      </c>
      <c r="AD51" s="764"/>
      <c r="AE51" s="665">
        <f>IF(CHADUtbl[[#This Row],[INFILL SITE]]="Yes",5,3)*CHADUtbl[[#This Row],[UNRESTRICTED % OF FUNDING]]</f>
        <v>0</v>
      </c>
      <c r="AF51" s="665">
        <f>IF(CHADUtbl[[#This Row],[INFILL SITE]]="Yes",5,3)*CHADUtbl[[#This Row],[RURAL % OF FUNDING]]</f>
        <v>0</v>
      </c>
    </row>
    <row r="52" spans="1:32" x14ac:dyDescent="0.35">
      <c r="A52" s="124"/>
      <c r="B52" s="5" t="s">
        <v>164</v>
      </c>
      <c r="C52" s="31" t="s">
        <v>513</v>
      </c>
      <c r="D52" s="110" t="str">
        <f>IF(CHADUtbl[[#This Row],[UNITS3]]=0,"",CHADUtbl[[#This Row],[UNITS3]])</f>
        <v/>
      </c>
      <c r="E52" s="244" t="str">
        <f xml:space="preserve">
IF(CHADUtbl[[#This Row],[UNRESTRICTED FUNDING REQUESTED]]=0,"",
CHADUtbl[[#This Row],[UNRESTRICTED FUNDING REQUESTED]]*
IF(CH_ADU_UnrestrictedTotalRequested&lt;=5000000,1,
5000000/CH_ADU_UnrestrictedTotalRequested)
)</f>
        <v/>
      </c>
      <c r="F52" s="6" t="str">
        <f>IF(CHADUtbl[[#This Row],[UNRESTRICTED % OF FUNDING]]=0,"",CHADUtbl[[#This Row],[UNRESTRICTED % OF FUNDING]])</f>
        <v/>
      </c>
      <c r="G52" s="31" t="s">
        <v>513</v>
      </c>
      <c r="H52" s="110" t="str">
        <f>IF(CHADUtbl[[#This Row],[UNITS22]]=0,"",CHADUtbl[[#This Row],[UNITS22]])</f>
        <v/>
      </c>
      <c r="I52" s="244" t="str">
        <f xml:space="preserve">
IF(CHADUtbl[[#This Row],[RURAL FUNDING REQUESTED]]=0,"",
CHADUtbl[[#This Row],[RURAL FUNDING REQUESTED]]*
IF(CH_ADU_RuralTotalRequested&lt;=(5000000-E$61),1,
(5000000-E$61)/CH_ADU_RuralTotalRequested)
)</f>
        <v/>
      </c>
      <c r="J52" s="6" t="str">
        <f>IF(CHADUtbl[[#This Row],[RURAL % OF FUNDING]]=0,"",CHADUtbl[[#This Row],[RURAL % OF FUNDING]])</f>
        <v/>
      </c>
      <c r="K52" s="31" t="s">
        <v>513</v>
      </c>
      <c r="L52" s="116"/>
      <c r="M52" s="242"/>
      <c r="N52" s="245"/>
      <c r="O52" s="240"/>
      <c r="P52" s="240"/>
      <c r="Q52" s="244">
        <f t="shared" si="0"/>
        <v>0</v>
      </c>
      <c r="R52" s="6">
        <f>IF(SUM(CHADUtbl[[#This Row],[UNRESTRICTED FUNDING REQUESTED]])=0,0,CHADUtbl[[#This Row],[UNRESTRICTED FUNDING REQUESTED]]/CH_ADU_UnrestrictedTotalRequested)</f>
        <v>0</v>
      </c>
      <c r="S52" s="665">
        <f>IF(CHADUtbl[[#This Row],[ALL UNITS IN A HIGH OR HIGHEST RESOURCE AREA]]="Yes",10*CHADUtbl[[#This Row],[UNRESTRICTED % OF FUNDING]],0)</f>
        <v>0</v>
      </c>
      <c r="T52" s="665" cm="1">
        <f t="array" ref="T52">INDEX(CountyScoresTbl[Community Need Total Points],ROW(CHADUtbl[[#This Row],[COUNTY]])-2,1)*CHADUtbl[[#This Row],[UNRESTRICTED % OF FUNDING]]</f>
        <v>0</v>
      </c>
      <c r="U52" s="694" cm="1">
        <f t="array" ref="U52">INDEX(CountyScoresTbl[OOR/ADU Total Feasibility Points Awarded],ROW(CHADUtbl[[#This Row],[COUNTY]])-2,1)*CHADUtbl[[#This Row],[UNRESTRICTED % OF FUNDING]]</f>
        <v>0</v>
      </c>
      <c r="V52" s="245"/>
      <c r="W52" s="240"/>
      <c r="X52" s="240"/>
      <c r="Y52" s="244">
        <f t="shared" si="1"/>
        <v>0</v>
      </c>
      <c r="Z52" s="6">
        <f>IF(SUM(CHADUtbl[[#This Row],[RURAL FUNDING REQUESTED]])=0,0,CHADUtbl[[#This Row],[RURAL FUNDING REQUESTED]]/CH_ADU_RuralTotalRequested)</f>
        <v>0</v>
      </c>
      <c r="AA52" s="665">
        <f>IF(CHADUtbl[[#This Row],[ALL UNITS IN A HIGH OR HIGHEST RESOURCE AREA]]="Yes",10*CHADUtbl[[#This Row],[RURAL % OF FUNDING]],0)</f>
        <v>0</v>
      </c>
      <c r="AB52" s="665" cm="1">
        <f t="array" ref="AB52">INDEX(CountyScoresTbl[Community Need Total Points],ROW(CHADUtbl[[#This Row],[COUNTY]])-2,1)*CHADUtbl[[#This Row],[RURAL % OF FUNDING]]</f>
        <v>0</v>
      </c>
      <c r="AC52" s="694" cm="1">
        <f t="array" ref="AC52">INDEX(CountyScoresTbl[OOR/ADU Total Feasibility Points Awarded],ROW(CHADUtbl[[#This Row],[COUNTY]])-2,1)*CHADUtbl[[#This Row],[RURAL % OF FUNDING]]</f>
        <v>0</v>
      </c>
      <c r="AD52" s="764"/>
      <c r="AE52" s="665">
        <f>IF(CHADUtbl[[#This Row],[INFILL SITE]]="Yes",5,3)*CHADUtbl[[#This Row],[UNRESTRICTED % OF FUNDING]]</f>
        <v>0</v>
      </c>
      <c r="AF52" s="665">
        <f>IF(CHADUtbl[[#This Row],[INFILL SITE]]="Yes",5,3)*CHADUtbl[[#This Row],[RURAL % OF FUNDING]]</f>
        <v>0</v>
      </c>
    </row>
    <row r="53" spans="1:32" x14ac:dyDescent="0.35">
      <c r="A53" s="124"/>
      <c r="B53" s="5" t="s">
        <v>165</v>
      </c>
      <c r="C53" s="31" t="s">
        <v>513</v>
      </c>
      <c r="D53" s="110" t="str">
        <f>IF(CHADUtbl[[#This Row],[UNITS3]]=0,"",CHADUtbl[[#This Row],[UNITS3]])</f>
        <v/>
      </c>
      <c r="E53" s="244" t="str">
        <f xml:space="preserve">
IF(CHADUtbl[[#This Row],[UNRESTRICTED FUNDING REQUESTED]]=0,"",
CHADUtbl[[#This Row],[UNRESTRICTED FUNDING REQUESTED]]*
IF(CH_ADU_UnrestrictedTotalRequested&lt;=5000000,1,
5000000/CH_ADU_UnrestrictedTotalRequested)
)</f>
        <v/>
      </c>
      <c r="F53" s="6" t="str">
        <f>IF(CHADUtbl[[#This Row],[UNRESTRICTED % OF FUNDING]]=0,"",CHADUtbl[[#This Row],[UNRESTRICTED % OF FUNDING]])</f>
        <v/>
      </c>
      <c r="G53" s="31" t="s">
        <v>513</v>
      </c>
      <c r="H53" s="110" t="str">
        <f>IF(CHADUtbl[[#This Row],[UNITS22]]=0,"",CHADUtbl[[#This Row],[UNITS22]])</f>
        <v/>
      </c>
      <c r="I53" s="244" t="str">
        <f xml:space="preserve">
IF(CHADUtbl[[#This Row],[RURAL FUNDING REQUESTED]]=0,"",
CHADUtbl[[#This Row],[RURAL FUNDING REQUESTED]]*
IF(CH_ADU_RuralTotalRequested&lt;=(5000000-E$61),1,
(5000000-E$61)/CH_ADU_RuralTotalRequested)
)</f>
        <v/>
      </c>
      <c r="J53" s="6" t="str">
        <f>IF(CHADUtbl[[#This Row],[RURAL % OF FUNDING]]=0,"",CHADUtbl[[#This Row],[RURAL % OF FUNDING]])</f>
        <v/>
      </c>
      <c r="K53" s="31" t="s">
        <v>513</v>
      </c>
      <c r="L53" s="116"/>
      <c r="M53" s="242"/>
      <c r="N53" s="245"/>
      <c r="O53" s="240"/>
      <c r="P53" s="240"/>
      <c r="Q53" s="244">
        <f t="shared" si="0"/>
        <v>0</v>
      </c>
      <c r="R53" s="6">
        <f>IF(SUM(CHADUtbl[[#This Row],[UNRESTRICTED FUNDING REQUESTED]])=0,0,CHADUtbl[[#This Row],[UNRESTRICTED FUNDING REQUESTED]]/CH_ADU_UnrestrictedTotalRequested)</f>
        <v>0</v>
      </c>
      <c r="S53" s="665">
        <f>IF(CHADUtbl[[#This Row],[ALL UNITS IN A HIGH OR HIGHEST RESOURCE AREA]]="Yes",10*CHADUtbl[[#This Row],[UNRESTRICTED % OF FUNDING]],0)</f>
        <v>0</v>
      </c>
      <c r="T53" s="665" cm="1">
        <f t="array" ref="T53">INDEX(CountyScoresTbl[Community Need Total Points],ROW(CHADUtbl[[#This Row],[COUNTY]])-2,1)*CHADUtbl[[#This Row],[UNRESTRICTED % OF FUNDING]]</f>
        <v>0</v>
      </c>
      <c r="U53" s="694" cm="1">
        <f t="array" ref="U53">INDEX(CountyScoresTbl[OOR/ADU Total Feasibility Points Awarded],ROW(CHADUtbl[[#This Row],[COUNTY]])-2,1)*CHADUtbl[[#This Row],[UNRESTRICTED % OF FUNDING]]</f>
        <v>0</v>
      </c>
      <c r="V53" s="245"/>
      <c r="W53" s="240"/>
      <c r="X53" s="240"/>
      <c r="Y53" s="244">
        <f t="shared" si="1"/>
        <v>0</v>
      </c>
      <c r="Z53" s="6">
        <f>IF(SUM(CHADUtbl[[#This Row],[RURAL FUNDING REQUESTED]])=0,0,CHADUtbl[[#This Row],[RURAL FUNDING REQUESTED]]/CH_ADU_RuralTotalRequested)</f>
        <v>0</v>
      </c>
      <c r="AA53" s="665">
        <f>IF(CHADUtbl[[#This Row],[ALL UNITS IN A HIGH OR HIGHEST RESOURCE AREA]]="Yes",10*CHADUtbl[[#This Row],[RURAL % OF FUNDING]],0)</f>
        <v>0</v>
      </c>
      <c r="AB53" s="665" cm="1">
        <f t="array" ref="AB53">INDEX(CountyScoresTbl[Community Need Total Points],ROW(CHADUtbl[[#This Row],[COUNTY]])-2,1)*CHADUtbl[[#This Row],[RURAL % OF FUNDING]]</f>
        <v>0</v>
      </c>
      <c r="AC53" s="694" cm="1">
        <f t="array" ref="AC53">INDEX(CountyScoresTbl[OOR/ADU Total Feasibility Points Awarded],ROW(CHADUtbl[[#This Row],[COUNTY]])-2,1)*CHADUtbl[[#This Row],[RURAL % OF FUNDING]]</f>
        <v>0</v>
      </c>
      <c r="AD53" s="764"/>
      <c r="AE53" s="665">
        <f>IF(CHADUtbl[[#This Row],[INFILL SITE]]="Yes",5,3)*CHADUtbl[[#This Row],[UNRESTRICTED % OF FUNDING]]</f>
        <v>0</v>
      </c>
      <c r="AF53" s="665">
        <f>IF(CHADUtbl[[#This Row],[INFILL SITE]]="Yes",5,3)*CHADUtbl[[#This Row],[RURAL % OF FUNDING]]</f>
        <v>0</v>
      </c>
    </row>
    <row r="54" spans="1:32" x14ac:dyDescent="0.35">
      <c r="A54" s="124"/>
      <c r="B54" s="5" t="s">
        <v>166</v>
      </c>
      <c r="C54" s="31" t="s">
        <v>513</v>
      </c>
      <c r="D54" s="110" t="str">
        <f>IF(CHADUtbl[[#This Row],[UNITS3]]=0,"",CHADUtbl[[#This Row],[UNITS3]])</f>
        <v/>
      </c>
      <c r="E54" s="244" t="str">
        <f xml:space="preserve">
IF(CHADUtbl[[#This Row],[UNRESTRICTED FUNDING REQUESTED]]=0,"",
CHADUtbl[[#This Row],[UNRESTRICTED FUNDING REQUESTED]]*
IF(CH_ADU_UnrestrictedTotalRequested&lt;=5000000,1,
5000000/CH_ADU_UnrestrictedTotalRequested)
)</f>
        <v/>
      </c>
      <c r="F54" s="6" t="str">
        <f>IF(CHADUtbl[[#This Row],[UNRESTRICTED % OF FUNDING]]=0,"",CHADUtbl[[#This Row],[UNRESTRICTED % OF FUNDING]])</f>
        <v/>
      </c>
      <c r="G54" s="31" t="s">
        <v>513</v>
      </c>
      <c r="H54" s="110" t="str">
        <f>IF(CHADUtbl[[#This Row],[UNITS22]]=0,"",CHADUtbl[[#This Row],[UNITS22]])</f>
        <v/>
      </c>
      <c r="I54" s="244" t="str">
        <f xml:space="preserve">
IF(CHADUtbl[[#This Row],[RURAL FUNDING REQUESTED]]=0,"",
CHADUtbl[[#This Row],[RURAL FUNDING REQUESTED]]*
IF(CH_ADU_RuralTotalRequested&lt;=(5000000-E$61),1,
(5000000-E$61)/CH_ADU_RuralTotalRequested)
)</f>
        <v/>
      </c>
      <c r="J54" s="6" t="str">
        <f>IF(CHADUtbl[[#This Row],[RURAL % OF FUNDING]]=0,"",CHADUtbl[[#This Row],[RURAL % OF FUNDING]])</f>
        <v/>
      </c>
      <c r="K54" s="31" t="s">
        <v>513</v>
      </c>
      <c r="L54" s="116"/>
      <c r="M54" s="242"/>
      <c r="N54" s="245"/>
      <c r="O54" s="240"/>
      <c r="P54" s="240"/>
      <c r="Q54" s="244">
        <f t="shared" si="0"/>
        <v>0</v>
      </c>
      <c r="R54" s="6">
        <f>IF(SUM(CHADUtbl[[#This Row],[UNRESTRICTED FUNDING REQUESTED]])=0,0,CHADUtbl[[#This Row],[UNRESTRICTED FUNDING REQUESTED]]/CH_ADU_UnrestrictedTotalRequested)</f>
        <v>0</v>
      </c>
      <c r="S54" s="665">
        <f>IF(CHADUtbl[[#This Row],[ALL UNITS IN A HIGH OR HIGHEST RESOURCE AREA]]="Yes",10*CHADUtbl[[#This Row],[UNRESTRICTED % OF FUNDING]],0)</f>
        <v>0</v>
      </c>
      <c r="T54" s="665" cm="1">
        <f t="array" ref="T54">INDEX(CountyScoresTbl[Community Need Total Points],ROW(CHADUtbl[[#This Row],[COUNTY]])-2,1)*CHADUtbl[[#This Row],[UNRESTRICTED % OF FUNDING]]</f>
        <v>0</v>
      </c>
      <c r="U54" s="694" cm="1">
        <f t="array" ref="U54">INDEX(CountyScoresTbl[OOR/ADU Total Feasibility Points Awarded],ROW(CHADUtbl[[#This Row],[COUNTY]])-2,1)*CHADUtbl[[#This Row],[UNRESTRICTED % OF FUNDING]]</f>
        <v>0</v>
      </c>
      <c r="V54" s="245"/>
      <c r="W54" s="240"/>
      <c r="X54" s="240"/>
      <c r="Y54" s="244">
        <f t="shared" si="1"/>
        <v>0</v>
      </c>
      <c r="Z54" s="6">
        <f>IF(SUM(CHADUtbl[[#This Row],[RURAL FUNDING REQUESTED]])=0,0,CHADUtbl[[#This Row],[RURAL FUNDING REQUESTED]]/CH_ADU_RuralTotalRequested)</f>
        <v>0</v>
      </c>
      <c r="AA54" s="665">
        <f>IF(CHADUtbl[[#This Row],[ALL UNITS IN A HIGH OR HIGHEST RESOURCE AREA]]="Yes",10*CHADUtbl[[#This Row],[RURAL % OF FUNDING]],0)</f>
        <v>0</v>
      </c>
      <c r="AB54" s="665" cm="1">
        <f t="array" ref="AB54">INDEX(CountyScoresTbl[Community Need Total Points],ROW(CHADUtbl[[#This Row],[COUNTY]])-2,1)*CHADUtbl[[#This Row],[RURAL % OF FUNDING]]</f>
        <v>0</v>
      </c>
      <c r="AC54" s="694" cm="1">
        <f t="array" ref="AC54">INDEX(CountyScoresTbl[OOR/ADU Total Feasibility Points Awarded],ROW(CHADUtbl[[#This Row],[COUNTY]])-2,1)*CHADUtbl[[#This Row],[RURAL % OF FUNDING]]</f>
        <v>0</v>
      </c>
      <c r="AD54" s="764"/>
      <c r="AE54" s="665">
        <f>IF(CHADUtbl[[#This Row],[INFILL SITE]]="Yes",5,3)*CHADUtbl[[#This Row],[UNRESTRICTED % OF FUNDING]]</f>
        <v>0</v>
      </c>
      <c r="AF54" s="665">
        <f>IF(CHADUtbl[[#This Row],[INFILL SITE]]="Yes",5,3)*CHADUtbl[[#This Row],[RURAL % OF FUNDING]]</f>
        <v>0</v>
      </c>
    </row>
    <row r="55" spans="1:32" x14ac:dyDescent="0.35">
      <c r="A55" s="124"/>
      <c r="B55" s="5" t="s">
        <v>167</v>
      </c>
      <c r="C55" s="31" t="s">
        <v>513</v>
      </c>
      <c r="D55" s="110" t="str">
        <f>IF(CHADUtbl[[#This Row],[UNITS3]]=0,"",CHADUtbl[[#This Row],[UNITS3]])</f>
        <v/>
      </c>
      <c r="E55" s="244" t="str">
        <f xml:space="preserve">
IF(CHADUtbl[[#This Row],[UNRESTRICTED FUNDING REQUESTED]]=0,"",
CHADUtbl[[#This Row],[UNRESTRICTED FUNDING REQUESTED]]*
IF(CH_ADU_UnrestrictedTotalRequested&lt;=5000000,1,
5000000/CH_ADU_UnrestrictedTotalRequested)
)</f>
        <v/>
      </c>
      <c r="F55" s="6" t="str">
        <f>IF(CHADUtbl[[#This Row],[UNRESTRICTED % OF FUNDING]]=0,"",CHADUtbl[[#This Row],[UNRESTRICTED % OF FUNDING]])</f>
        <v/>
      </c>
      <c r="G55" s="31" t="s">
        <v>513</v>
      </c>
      <c r="H55" s="110" t="str">
        <f>IF(CHADUtbl[[#This Row],[UNITS22]]=0,"",CHADUtbl[[#This Row],[UNITS22]])</f>
        <v/>
      </c>
      <c r="I55" s="244" t="str">
        <f xml:space="preserve">
IF(CHADUtbl[[#This Row],[RURAL FUNDING REQUESTED]]=0,"",
CHADUtbl[[#This Row],[RURAL FUNDING REQUESTED]]*
IF(CH_ADU_RuralTotalRequested&lt;=(5000000-E$61),1,
(5000000-E$61)/CH_ADU_RuralTotalRequested)
)</f>
        <v/>
      </c>
      <c r="J55" s="6" t="str">
        <f>IF(CHADUtbl[[#This Row],[RURAL % OF FUNDING]]=0,"",CHADUtbl[[#This Row],[RURAL % OF FUNDING]])</f>
        <v/>
      </c>
      <c r="K55" s="31" t="s">
        <v>513</v>
      </c>
      <c r="L55" s="116"/>
      <c r="M55" s="242"/>
      <c r="N55" s="245"/>
      <c r="O55" s="240"/>
      <c r="P55" s="240"/>
      <c r="Q55" s="244">
        <f t="shared" si="0"/>
        <v>0</v>
      </c>
      <c r="R55" s="6">
        <f>IF(SUM(CHADUtbl[[#This Row],[UNRESTRICTED FUNDING REQUESTED]])=0,0,CHADUtbl[[#This Row],[UNRESTRICTED FUNDING REQUESTED]]/CH_ADU_UnrestrictedTotalRequested)</f>
        <v>0</v>
      </c>
      <c r="S55" s="665">
        <f>IF(CHADUtbl[[#This Row],[ALL UNITS IN A HIGH OR HIGHEST RESOURCE AREA]]="Yes",10*CHADUtbl[[#This Row],[UNRESTRICTED % OF FUNDING]],0)</f>
        <v>0</v>
      </c>
      <c r="T55" s="665" cm="1">
        <f t="array" ref="T55">INDEX(CountyScoresTbl[Community Need Total Points],ROW(CHADUtbl[[#This Row],[COUNTY]])-2,1)*CHADUtbl[[#This Row],[UNRESTRICTED % OF FUNDING]]</f>
        <v>0</v>
      </c>
      <c r="U55" s="694" cm="1">
        <f t="array" ref="U55">INDEX(CountyScoresTbl[OOR/ADU Total Feasibility Points Awarded],ROW(CHADUtbl[[#This Row],[COUNTY]])-2,1)*CHADUtbl[[#This Row],[UNRESTRICTED % OF FUNDING]]</f>
        <v>0</v>
      </c>
      <c r="V55" s="245"/>
      <c r="W55" s="240"/>
      <c r="X55" s="240"/>
      <c r="Y55" s="244">
        <f t="shared" si="1"/>
        <v>0</v>
      </c>
      <c r="Z55" s="6">
        <f>IF(SUM(CHADUtbl[[#This Row],[RURAL FUNDING REQUESTED]])=0,0,CHADUtbl[[#This Row],[RURAL FUNDING REQUESTED]]/CH_ADU_RuralTotalRequested)</f>
        <v>0</v>
      </c>
      <c r="AA55" s="665">
        <f>IF(CHADUtbl[[#This Row],[ALL UNITS IN A HIGH OR HIGHEST RESOURCE AREA]]="Yes",10*CHADUtbl[[#This Row],[RURAL % OF FUNDING]],0)</f>
        <v>0</v>
      </c>
      <c r="AB55" s="665" cm="1">
        <f t="array" ref="AB55">INDEX(CountyScoresTbl[Community Need Total Points],ROW(CHADUtbl[[#This Row],[COUNTY]])-2,1)*CHADUtbl[[#This Row],[RURAL % OF FUNDING]]</f>
        <v>0</v>
      </c>
      <c r="AC55" s="694" cm="1">
        <f t="array" ref="AC55">INDEX(CountyScoresTbl[OOR/ADU Total Feasibility Points Awarded],ROW(CHADUtbl[[#This Row],[COUNTY]])-2,1)*CHADUtbl[[#This Row],[RURAL % OF FUNDING]]</f>
        <v>0</v>
      </c>
      <c r="AD55" s="764"/>
      <c r="AE55" s="665">
        <f>IF(CHADUtbl[[#This Row],[INFILL SITE]]="Yes",5,3)*CHADUtbl[[#This Row],[UNRESTRICTED % OF FUNDING]]</f>
        <v>0</v>
      </c>
      <c r="AF55" s="665">
        <f>IF(CHADUtbl[[#This Row],[INFILL SITE]]="Yes",5,3)*CHADUtbl[[#This Row],[RURAL % OF FUNDING]]</f>
        <v>0</v>
      </c>
    </row>
    <row r="56" spans="1:32" x14ac:dyDescent="0.35">
      <c r="A56" s="124"/>
      <c r="B56" s="5" t="s">
        <v>168</v>
      </c>
      <c r="C56" s="31" t="s">
        <v>513</v>
      </c>
      <c r="D56" s="110" t="str">
        <f>IF(CHADUtbl[[#This Row],[UNITS3]]=0,"",CHADUtbl[[#This Row],[UNITS3]])</f>
        <v/>
      </c>
      <c r="E56" s="244" t="str">
        <f xml:space="preserve">
IF(CHADUtbl[[#This Row],[UNRESTRICTED FUNDING REQUESTED]]=0,"",
CHADUtbl[[#This Row],[UNRESTRICTED FUNDING REQUESTED]]*
IF(CH_ADU_UnrestrictedTotalRequested&lt;=5000000,1,
5000000/CH_ADU_UnrestrictedTotalRequested)
)</f>
        <v/>
      </c>
      <c r="F56" s="6" t="str">
        <f>IF(CHADUtbl[[#This Row],[UNRESTRICTED % OF FUNDING]]=0,"",CHADUtbl[[#This Row],[UNRESTRICTED % OF FUNDING]])</f>
        <v/>
      </c>
      <c r="G56" s="31" t="s">
        <v>513</v>
      </c>
      <c r="H56" s="110" t="str">
        <f>IF(CHADUtbl[[#This Row],[UNITS22]]=0,"",CHADUtbl[[#This Row],[UNITS22]])</f>
        <v/>
      </c>
      <c r="I56" s="244" t="str">
        <f xml:space="preserve">
IF(CHADUtbl[[#This Row],[RURAL FUNDING REQUESTED]]=0,"",
CHADUtbl[[#This Row],[RURAL FUNDING REQUESTED]]*
IF(CH_ADU_RuralTotalRequested&lt;=(5000000-E$61),1,
(5000000-E$61)/CH_ADU_RuralTotalRequested)
)</f>
        <v/>
      </c>
      <c r="J56" s="6" t="str">
        <f>IF(CHADUtbl[[#This Row],[RURAL % OF FUNDING]]=0,"",CHADUtbl[[#This Row],[RURAL % OF FUNDING]])</f>
        <v/>
      </c>
      <c r="K56" s="31" t="s">
        <v>513</v>
      </c>
      <c r="L56" s="116"/>
      <c r="M56" s="242"/>
      <c r="N56" s="245"/>
      <c r="O56" s="240"/>
      <c r="P56" s="240"/>
      <c r="Q56" s="244">
        <f t="shared" si="0"/>
        <v>0</v>
      </c>
      <c r="R56" s="6">
        <f>IF(SUM(CHADUtbl[[#This Row],[UNRESTRICTED FUNDING REQUESTED]])=0,0,CHADUtbl[[#This Row],[UNRESTRICTED FUNDING REQUESTED]]/CH_ADU_UnrestrictedTotalRequested)</f>
        <v>0</v>
      </c>
      <c r="S56" s="665">
        <f>IF(CHADUtbl[[#This Row],[ALL UNITS IN A HIGH OR HIGHEST RESOURCE AREA]]="Yes",10*CHADUtbl[[#This Row],[UNRESTRICTED % OF FUNDING]],0)</f>
        <v>0</v>
      </c>
      <c r="T56" s="665" cm="1">
        <f t="array" ref="T56">INDEX(CountyScoresTbl[Community Need Total Points],ROW(CHADUtbl[[#This Row],[COUNTY]])-2,1)*CHADUtbl[[#This Row],[UNRESTRICTED % OF FUNDING]]</f>
        <v>0</v>
      </c>
      <c r="U56" s="694" cm="1">
        <f t="array" ref="U56">INDEX(CountyScoresTbl[OOR/ADU Total Feasibility Points Awarded],ROW(CHADUtbl[[#This Row],[COUNTY]])-2,1)*CHADUtbl[[#This Row],[UNRESTRICTED % OF FUNDING]]</f>
        <v>0</v>
      </c>
      <c r="V56" s="245"/>
      <c r="W56" s="240"/>
      <c r="X56" s="240"/>
      <c r="Y56" s="244">
        <f t="shared" si="1"/>
        <v>0</v>
      </c>
      <c r="Z56" s="6">
        <f>IF(SUM(CHADUtbl[[#This Row],[RURAL FUNDING REQUESTED]])=0,0,CHADUtbl[[#This Row],[RURAL FUNDING REQUESTED]]/CH_ADU_RuralTotalRequested)</f>
        <v>0</v>
      </c>
      <c r="AA56" s="665">
        <f>IF(CHADUtbl[[#This Row],[ALL UNITS IN A HIGH OR HIGHEST RESOURCE AREA]]="Yes",10*CHADUtbl[[#This Row],[RURAL % OF FUNDING]],0)</f>
        <v>0</v>
      </c>
      <c r="AB56" s="665" cm="1">
        <f t="array" ref="AB56">INDEX(CountyScoresTbl[Community Need Total Points],ROW(CHADUtbl[[#This Row],[COUNTY]])-2,1)*CHADUtbl[[#This Row],[RURAL % OF FUNDING]]</f>
        <v>0</v>
      </c>
      <c r="AC56" s="694" cm="1">
        <f t="array" ref="AC56">INDEX(CountyScoresTbl[OOR/ADU Total Feasibility Points Awarded],ROW(CHADUtbl[[#This Row],[COUNTY]])-2,1)*CHADUtbl[[#This Row],[RURAL % OF FUNDING]]</f>
        <v>0</v>
      </c>
      <c r="AD56" s="764"/>
      <c r="AE56" s="665">
        <f>IF(CHADUtbl[[#This Row],[INFILL SITE]]="Yes",5,3)*CHADUtbl[[#This Row],[UNRESTRICTED % OF FUNDING]]</f>
        <v>0</v>
      </c>
      <c r="AF56" s="665">
        <f>IF(CHADUtbl[[#This Row],[INFILL SITE]]="Yes",5,3)*CHADUtbl[[#This Row],[RURAL % OF FUNDING]]</f>
        <v>0</v>
      </c>
    </row>
    <row r="57" spans="1:32" x14ac:dyDescent="0.35">
      <c r="A57" s="124"/>
      <c r="B57" s="5" t="s">
        <v>169</v>
      </c>
      <c r="C57" s="31" t="s">
        <v>513</v>
      </c>
      <c r="D57" s="110" t="str">
        <f>IF(CHADUtbl[[#This Row],[UNITS3]]=0,"",CHADUtbl[[#This Row],[UNITS3]])</f>
        <v/>
      </c>
      <c r="E57" s="244" t="str">
        <f xml:space="preserve">
IF(CHADUtbl[[#This Row],[UNRESTRICTED FUNDING REQUESTED]]=0,"",
CHADUtbl[[#This Row],[UNRESTRICTED FUNDING REQUESTED]]*
IF(CH_ADU_UnrestrictedTotalRequested&lt;=5000000,1,
5000000/CH_ADU_UnrestrictedTotalRequested)
)</f>
        <v/>
      </c>
      <c r="F57" s="6" t="str">
        <f>IF(CHADUtbl[[#This Row],[UNRESTRICTED % OF FUNDING]]=0,"",CHADUtbl[[#This Row],[UNRESTRICTED % OF FUNDING]])</f>
        <v/>
      </c>
      <c r="G57" s="31" t="s">
        <v>513</v>
      </c>
      <c r="H57" s="110" t="str">
        <f>IF(CHADUtbl[[#This Row],[UNITS22]]=0,"",CHADUtbl[[#This Row],[UNITS22]])</f>
        <v/>
      </c>
      <c r="I57" s="244" t="str">
        <f xml:space="preserve">
IF(CHADUtbl[[#This Row],[RURAL FUNDING REQUESTED]]=0,"",
CHADUtbl[[#This Row],[RURAL FUNDING REQUESTED]]*
IF(CH_ADU_RuralTotalRequested&lt;=(5000000-E$61),1,
(5000000-E$61)/CH_ADU_RuralTotalRequested)
)</f>
        <v/>
      </c>
      <c r="J57" s="6" t="str">
        <f>IF(CHADUtbl[[#This Row],[RURAL % OF FUNDING]]=0,"",CHADUtbl[[#This Row],[RURAL % OF FUNDING]])</f>
        <v/>
      </c>
      <c r="K57" s="31" t="s">
        <v>513</v>
      </c>
      <c r="L57" s="116"/>
      <c r="M57" s="242"/>
      <c r="N57" s="245"/>
      <c r="O57" s="240"/>
      <c r="P57" s="240"/>
      <c r="Q57" s="244">
        <f t="shared" si="0"/>
        <v>0</v>
      </c>
      <c r="R57" s="6">
        <f>IF(SUM(CHADUtbl[[#This Row],[UNRESTRICTED FUNDING REQUESTED]])=0,0,CHADUtbl[[#This Row],[UNRESTRICTED FUNDING REQUESTED]]/CH_ADU_UnrestrictedTotalRequested)</f>
        <v>0</v>
      </c>
      <c r="S57" s="665">
        <f>IF(CHADUtbl[[#This Row],[ALL UNITS IN A HIGH OR HIGHEST RESOURCE AREA]]="Yes",10*CHADUtbl[[#This Row],[UNRESTRICTED % OF FUNDING]],0)</f>
        <v>0</v>
      </c>
      <c r="T57" s="665" cm="1">
        <f t="array" ref="T57">INDEX(CountyScoresTbl[Community Need Total Points],ROW(CHADUtbl[[#This Row],[COUNTY]])-2,1)*CHADUtbl[[#This Row],[UNRESTRICTED % OF FUNDING]]</f>
        <v>0</v>
      </c>
      <c r="U57" s="694" cm="1">
        <f t="array" ref="U57">INDEX(CountyScoresTbl[OOR/ADU Total Feasibility Points Awarded],ROW(CHADUtbl[[#This Row],[COUNTY]])-2,1)*CHADUtbl[[#This Row],[UNRESTRICTED % OF FUNDING]]</f>
        <v>0</v>
      </c>
      <c r="V57" s="245"/>
      <c r="W57" s="240"/>
      <c r="X57" s="240"/>
      <c r="Y57" s="244">
        <f t="shared" si="1"/>
        <v>0</v>
      </c>
      <c r="Z57" s="6">
        <f>IF(SUM(CHADUtbl[[#This Row],[RURAL FUNDING REQUESTED]])=0,0,CHADUtbl[[#This Row],[RURAL FUNDING REQUESTED]]/CH_ADU_RuralTotalRequested)</f>
        <v>0</v>
      </c>
      <c r="AA57" s="665">
        <f>IF(CHADUtbl[[#This Row],[ALL UNITS IN A HIGH OR HIGHEST RESOURCE AREA]]="Yes",10*CHADUtbl[[#This Row],[RURAL % OF FUNDING]],0)</f>
        <v>0</v>
      </c>
      <c r="AB57" s="665" cm="1">
        <f t="array" ref="AB57">INDEX(CountyScoresTbl[Community Need Total Points],ROW(CHADUtbl[[#This Row],[COUNTY]])-2,1)*CHADUtbl[[#This Row],[RURAL % OF FUNDING]]</f>
        <v>0</v>
      </c>
      <c r="AC57" s="694" cm="1">
        <f t="array" ref="AC57">INDEX(CountyScoresTbl[OOR/ADU Total Feasibility Points Awarded],ROW(CHADUtbl[[#This Row],[COUNTY]])-2,1)*CHADUtbl[[#This Row],[RURAL % OF FUNDING]]</f>
        <v>0</v>
      </c>
      <c r="AD57" s="764"/>
      <c r="AE57" s="665">
        <f>IF(CHADUtbl[[#This Row],[INFILL SITE]]="Yes",5,3)*CHADUtbl[[#This Row],[UNRESTRICTED % OF FUNDING]]</f>
        <v>0</v>
      </c>
      <c r="AF57" s="665">
        <f>IF(CHADUtbl[[#This Row],[INFILL SITE]]="Yes",5,3)*CHADUtbl[[#This Row],[RURAL % OF FUNDING]]</f>
        <v>0</v>
      </c>
    </row>
    <row r="58" spans="1:32" x14ac:dyDescent="0.35">
      <c r="A58" s="124"/>
      <c r="B58" s="5" t="s">
        <v>170</v>
      </c>
      <c r="C58" s="31" t="s">
        <v>513</v>
      </c>
      <c r="D58" s="110" t="str">
        <f>IF(CHADUtbl[[#This Row],[UNITS3]]=0,"",CHADUtbl[[#This Row],[UNITS3]])</f>
        <v/>
      </c>
      <c r="E58" s="244" t="str">
        <f xml:space="preserve">
IF(CHADUtbl[[#This Row],[UNRESTRICTED FUNDING REQUESTED]]=0,"",
CHADUtbl[[#This Row],[UNRESTRICTED FUNDING REQUESTED]]*
IF(CH_ADU_UnrestrictedTotalRequested&lt;=5000000,1,
5000000/CH_ADU_UnrestrictedTotalRequested)
)</f>
        <v/>
      </c>
      <c r="F58" s="6" t="str">
        <f>IF(CHADUtbl[[#This Row],[UNRESTRICTED % OF FUNDING]]=0,"",CHADUtbl[[#This Row],[UNRESTRICTED % OF FUNDING]])</f>
        <v/>
      </c>
      <c r="G58" s="31" t="s">
        <v>513</v>
      </c>
      <c r="H58" s="110" t="str">
        <f>IF(CHADUtbl[[#This Row],[UNITS22]]=0,"",CHADUtbl[[#This Row],[UNITS22]])</f>
        <v/>
      </c>
      <c r="I58" s="244" t="str">
        <f xml:space="preserve">
IF(CHADUtbl[[#This Row],[RURAL FUNDING REQUESTED]]=0,"",
CHADUtbl[[#This Row],[RURAL FUNDING REQUESTED]]*
IF(CH_ADU_RuralTotalRequested&lt;=(5000000-E$61),1,
(5000000-E$61)/CH_ADU_RuralTotalRequested)
)</f>
        <v/>
      </c>
      <c r="J58" s="6" t="str">
        <f>IF(CHADUtbl[[#This Row],[RURAL % OF FUNDING]]=0,"",CHADUtbl[[#This Row],[RURAL % OF FUNDING]])</f>
        <v/>
      </c>
      <c r="K58" s="31" t="s">
        <v>513</v>
      </c>
      <c r="L58" s="116"/>
      <c r="M58" s="242"/>
      <c r="N58" s="245"/>
      <c r="O58" s="240"/>
      <c r="P58" s="240"/>
      <c r="Q58" s="244">
        <f t="shared" si="0"/>
        <v>0</v>
      </c>
      <c r="R58" s="6">
        <f>IF(SUM(CHADUtbl[[#This Row],[UNRESTRICTED FUNDING REQUESTED]])=0,0,CHADUtbl[[#This Row],[UNRESTRICTED FUNDING REQUESTED]]/CH_ADU_UnrestrictedTotalRequested)</f>
        <v>0</v>
      </c>
      <c r="S58" s="665">
        <f>IF(CHADUtbl[[#This Row],[ALL UNITS IN A HIGH OR HIGHEST RESOURCE AREA]]="Yes",10*CHADUtbl[[#This Row],[UNRESTRICTED % OF FUNDING]],0)</f>
        <v>0</v>
      </c>
      <c r="T58" s="665" cm="1">
        <f t="array" ref="T58">INDEX(CountyScoresTbl[Community Need Total Points],ROW(CHADUtbl[[#This Row],[COUNTY]])-2,1)*CHADUtbl[[#This Row],[UNRESTRICTED % OF FUNDING]]</f>
        <v>0</v>
      </c>
      <c r="U58" s="694" cm="1">
        <f t="array" ref="U58">INDEX(CountyScoresTbl[OOR/ADU Total Feasibility Points Awarded],ROW(CHADUtbl[[#This Row],[COUNTY]])-2,1)*CHADUtbl[[#This Row],[UNRESTRICTED % OF FUNDING]]</f>
        <v>0</v>
      </c>
      <c r="V58" s="245"/>
      <c r="W58" s="240"/>
      <c r="X58" s="240"/>
      <c r="Y58" s="244">
        <f t="shared" si="1"/>
        <v>0</v>
      </c>
      <c r="Z58" s="6">
        <f>IF(SUM(CHADUtbl[[#This Row],[RURAL FUNDING REQUESTED]])=0,0,CHADUtbl[[#This Row],[RURAL FUNDING REQUESTED]]/CH_ADU_RuralTotalRequested)</f>
        <v>0</v>
      </c>
      <c r="AA58" s="665">
        <f>IF(CHADUtbl[[#This Row],[ALL UNITS IN A HIGH OR HIGHEST RESOURCE AREA]]="Yes",10*CHADUtbl[[#This Row],[RURAL % OF FUNDING]],0)</f>
        <v>0</v>
      </c>
      <c r="AB58" s="665" cm="1">
        <f t="array" ref="AB58">INDEX(CountyScoresTbl[Community Need Total Points],ROW(CHADUtbl[[#This Row],[COUNTY]])-2,1)*CHADUtbl[[#This Row],[RURAL % OF FUNDING]]</f>
        <v>0</v>
      </c>
      <c r="AC58" s="694" cm="1">
        <f t="array" ref="AC58">INDEX(CountyScoresTbl[OOR/ADU Total Feasibility Points Awarded],ROW(CHADUtbl[[#This Row],[COUNTY]])-2,1)*CHADUtbl[[#This Row],[RURAL % OF FUNDING]]</f>
        <v>0</v>
      </c>
      <c r="AD58" s="764"/>
      <c r="AE58" s="665">
        <f>IF(CHADUtbl[[#This Row],[INFILL SITE]]="Yes",5,3)*CHADUtbl[[#This Row],[UNRESTRICTED % OF FUNDING]]</f>
        <v>0</v>
      </c>
      <c r="AF58" s="665">
        <f>IF(CHADUtbl[[#This Row],[INFILL SITE]]="Yes",5,3)*CHADUtbl[[#This Row],[RURAL % OF FUNDING]]</f>
        <v>0</v>
      </c>
    </row>
    <row r="59" spans="1:32" x14ac:dyDescent="0.35">
      <c r="A59" s="124"/>
      <c r="B59" s="5" t="s">
        <v>171</v>
      </c>
      <c r="C59" s="31" t="s">
        <v>513</v>
      </c>
      <c r="D59" s="110" t="str">
        <f>IF(CHADUtbl[[#This Row],[UNITS3]]=0,"",CHADUtbl[[#This Row],[UNITS3]])</f>
        <v/>
      </c>
      <c r="E59" s="244" t="str">
        <f xml:space="preserve">
IF(CHADUtbl[[#This Row],[UNRESTRICTED FUNDING REQUESTED]]=0,"",
CHADUtbl[[#This Row],[UNRESTRICTED FUNDING REQUESTED]]*
IF(CH_ADU_UnrestrictedTotalRequested&lt;=5000000,1,
5000000/CH_ADU_UnrestrictedTotalRequested)
)</f>
        <v/>
      </c>
      <c r="F59" s="6" t="str">
        <f>IF(CHADUtbl[[#This Row],[UNRESTRICTED % OF FUNDING]]=0,"",CHADUtbl[[#This Row],[UNRESTRICTED % OF FUNDING]])</f>
        <v/>
      </c>
      <c r="G59" s="31" t="s">
        <v>513</v>
      </c>
      <c r="H59" s="110" t="str">
        <f>IF(CHADUtbl[[#This Row],[UNITS22]]=0,"",CHADUtbl[[#This Row],[UNITS22]])</f>
        <v/>
      </c>
      <c r="I59" s="244" t="str">
        <f xml:space="preserve">
IF(CHADUtbl[[#This Row],[RURAL FUNDING REQUESTED]]=0,"",
CHADUtbl[[#This Row],[RURAL FUNDING REQUESTED]]*
IF(CH_ADU_RuralTotalRequested&lt;=(5000000-E$61),1,
(5000000-E$61)/CH_ADU_RuralTotalRequested)
)</f>
        <v/>
      </c>
      <c r="J59" s="6" t="str">
        <f>IF(CHADUtbl[[#This Row],[RURAL % OF FUNDING]]=0,"",CHADUtbl[[#This Row],[RURAL % OF FUNDING]])</f>
        <v/>
      </c>
      <c r="K59" s="31" t="s">
        <v>513</v>
      </c>
      <c r="L59" s="116"/>
      <c r="M59" s="242"/>
      <c r="N59" s="245"/>
      <c r="O59" s="240"/>
      <c r="P59" s="240"/>
      <c r="Q59" s="244">
        <f t="shared" si="0"/>
        <v>0</v>
      </c>
      <c r="R59" s="6">
        <f>IF(SUM(CHADUtbl[[#This Row],[UNRESTRICTED FUNDING REQUESTED]])=0,0,CHADUtbl[[#This Row],[UNRESTRICTED FUNDING REQUESTED]]/CH_ADU_UnrestrictedTotalRequested)</f>
        <v>0</v>
      </c>
      <c r="S59" s="665">
        <f>IF(CHADUtbl[[#This Row],[ALL UNITS IN A HIGH OR HIGHEST RESOURCE AREA]]="Yes",10*CHADUtbl[[#This Row],[UNRESTRICTED % OF FUNDING]],0)</f>
        <v>0</v>
      </c>
      <c r="T59" s="665" cm="1">
        <f t="array" ref="T59">INDEX(CountyScoresTbl[Community Need Total Points],ROW(CHADUtbl[[#This Row],[COUNTY]])-2,1)*CHADUtbl[[#This Row],[UNRESTRICTED % OF FUNDING]]</f>
        <v>0</v>
      </c>
      <c r="U59" s="694" cm="1">
        <f t="array" ref="U59">INDEX(CountyScoresTbl[OOR/ADU Total Feasibility Points Awarded],ROW(CHADUtbl[[#This Row],[COUNTY]])-2,1)*CHADUtbl[[#This Row],[UNRESTRICTED % OF FUNDING]]</f>
        <v>0</v>
      </c>
      <c r="V59" s="245"/>
      <c r="W59" s="240"/>
      <c r="X59" s="240"/>
      <c r="Y59" s="244">
        <f t="shared" si="1"/>
        <v>0</v>
      </c>
      <c r="Z59" s="6">
        <f>IF(SUM(CHADUtbl[[#This Row],[RURAL FUNDING REQUESTED]])=0,0,CHADUtbl[[#This Row],[RURAL FUNDING REQUESTED]]/CH_ADU_RuralTotalRequested)</f>
        <v>0</v>
      </c>
      <c r="AA59" s="665">
        <f>IF(CHADUtbl[[#This Row],[ALL UNITS IN A HIGH OR HIGHEST RESOURCE AREA]]="Yes",10*CHADUtbl[[#This Row],[RURAL % OF FUNDING]],0)</f>
        <v>0</v>
      </c>
      <c r="AB59" s="665" cm="1">
        <f t="array" ref="AB59">INDEX(CountyScoresTbl[Community Need Total Points],ROW(CHADUtbl[[#This Row],[COUNTY]])-2,1)*CHADUtbl[[#This Row],[RURAL % OF FUNDING]]</f>
        <v>0</v>
      </c>
      <c r="AC59" s="694" cm="1">
        <f t="array" ref="AC59">INDEX(CountyScoresTbl[OOR/ADU Total Feasibility Points Awarded],ROW(CHADUtbl[[#This Row],[COUNTY]])-2,1)*CHADUtbl[[#This Row],[RURAL % OF FUNDING]]</f>
        <v>0</v>
      </c>
      <c r="AD59" s="764"/>
      <c r="AE59" s="665">
        <f>IF(CHADUtbl[[#This Row],[INFILL SITE]]="Yes",5,3)*CHADUtbl[[#This Row],[UNRESTRICTED % OF FUNDING]]</f>
        <v>0</v>
      </c>
      <c r="AF59" s="665">
        <f>IF(CHADUtbl[[#This Row],[INFILL SITE]]="Yes",5,3)*CHADUtbl[[#This Row],[RURAL % OF FUNDING]]</f>
        <v>0</v>
      </c>
    </row>
    <row r="60" spans="1:32" ht="15" thickBot="1" x14ac:dyDescent="0.4">
      <c r="A60" s="146"/>
      <c r="B60" s="143" t="s">
        <v>172</v>
      </c>
      <c r="C60" s="76" t="s">
        <v>513</v>
      </c>
      <c r="D60" s="250" t="str">
        <f>IF(CHADUtbl[[#This Row],[UNITS3]]=0,"",CHADUtbl[[#This Row],[UNITS3]])</f>
        <v/>
      </c>
      <c r="E60" s="254" t="str">
        <f xml:space="preserve">
IF(CHADUtbl[[#This Row],[UNRESTRICTED FUNDING REQUESTED]]=0,"",
CHADUtbl[[#This Row],[UNRESTRICTED FUNDING REQUESTED]]*
IF(CH_ADU_UnrestrictedTotalRequested&lt;=5000000,1,
5000000/CH_ADU_UnrestrictedTotalRequested)
)</f>
        <v/>
      </c>
      <c r="F60" s="14" t="str">
        <f>IF(CHADUtbl[[#This Row],[UNRESTRICTED % OF FUNDING]]=0,"",CHADUtbl[[#This Row],[UNRESTRICTED % OF FUNDING]])</f>
        <v/>
      </c>
      <c r="G60" s="76" t="s">
        <v>513</v>
      </c>
      <c r="H60" s="250" t="str">
        <f>IF(CHADUtbl[[#This Row],[UNITS22]]=0,"",CHADUtbl[[#This Row],[UNITS22]])</f>
        <v/>
      </c>
      <c r="I60" s="254" t="str">
        <f xml:space="preserve">
IF(CHADUtbl[[#This Row],[RURAL FUNDING REQUESTED]]=0,"",
CHADUtbl[[#This Row],[RURAL FUNDING REQUESTED]]*
IF(CH_ADU_RuralTotalRequested&lt;=(5000000-E$61),1,
(5000000-E$61)/CH_ADU_RuralTotalRequested)
)</f>
        <v/>
      </c>
      <c r="J60" s="14" t="str">
        <f>IF(CHADUtbl[[#This Row],[RURAL % OF FUNDING]]=0,"",CHADUtbl[[#This Row],[RURAL % OF FUNDING]])</f>
        <v/>
      </c>
      <c r="K60" s="76" t="s">
        <v>513</v>
      </c>
      <c r="L60" s="142"/>
      <c r="M60" s="251"/>
      <c r="N60" s="252"/>
      <c r="O60" s="253"/>
      <c r="P60" s="253"/>
      <c r="Q60" s="244">
        <f t="shared" si="0"/>
        <v>0</v>
      </c>
      <c r="R60" s="14">
        <f>IF(SUM(CHADUtbl[[#This Row],[UNRESTRICTED FUNDING REQUESTED]])=0,0,CHADUtbl[[#This Row],[UNRESTRICTED FUNDING REQUESTED]]/CH_ADU_UnrestrictedTotalRequested)</f>
        <v>0</v>
      </c>
      <c r="S60" s="712">
        <f>IF(CHADUtbl[[#This Row],[ALL UNITS IN A HIGH OR HIGHEST RESOURCE AREA]]="Yes",10*CHADUtbl[[#This Row],[UNRESTRICTED % OF FUNDING]],0)</f>
        <v>0</v>
      </c>
      <c r="T60" s="712" cm="1">
        <f t="array" ref="T60">INDEX(CountyScoresTbl[Community Need Total Points],ROW(CHADUtbl[[#This Row],[COUNTY]])-2,1)*CHADUtbl[[#This Row],[UNRESTRICTED % OF FUNDING]]</f>
        <v>0</v>
      </c>
      <c r="U60" s="716" cm="1">
        <f t="array" ref="U60">INDEX(CountyScoresTbl[OOR/ADU Total Feasibility Points Awarded],ROW(CHADUtbl[[#This Row],[COUNTY]])-2,1)*CHADUtbl[[#This Row],[UNRESTRICTED % OF FUNDING]]</f>
        <v>0</v>
      </c>
      <c r="V60" s="252"/>
      <c r="W60" s="253"/>
      <c r="X60" s="253"/>
      <c r="Y60" s="244">
        <f t="shared" si="1"/>
        <v>0</v>
      </c>
      <c r="Z60" s="14">
        <f>IF(SUM(CHADUtbl[[#This Row],[RURAL FUNDING REQUESTED]])=0,0,CHADUtbl[[#This Row],[RURAL FUNDING REQUESTED]]/CH_ADU_RuralTotalRequested)</f>
        <v>0</v>
      </c>
      <c r="AA60" s="712">
        <f>IF(CHADUtbl[[#This Row],[ALL UNITS IN A HIGH OR HIGHEST RESOURCE AREA]]="Yes",10*CHADUtbl[[#This Row],[RURAL % OF FUNDING]],0)</f>
        <v>0</v>
      </c>
      <c r="AB60" s="712" cm="1">
        <f t="array" ref="AB60">INDEX(CountyScoresTbl[Community Need Total Points],ROW(CHADUtbl[[#This Row],[COUNTY]])-2,1)*CHADUtbl[[#This Row],[RURAL % OF FUNDING]]</f>
        <v>0</v>
      </c>
      <c r="AC60" s="716" cm="1">
        <f t="array" ref="AC60">INDEX(CountyScoresTbl[OOR/ADU Total Feasibility Points Awarded],ROW(CHADUtbl[[#This Row],[COUNTY]])-2,1)*CHADUtbl[[#This Row],[RURAL % OF FUNDING]]</f>
        <v>0</v>
      </c>
      <c r="AD60" s="795"/>
      <c r="AE60" s="712">
        <f>IF(CHADUtbl[[#This Row],[INFILL SITE]]="Yes",5,3)*CHADUtbl[[#This Row],[UNRESTRICTED % OF FUNDING]]</f>
        <v>0</v>
      </c>
      <c r="AF60" s="712">
        <f>IF(CHADUtbl[[#This Row],[INFILL SITE]]="Yes",5,3)*CHADUtbl[[#This Row],[RURAL % OF FUNDING]]</f>
        <v>0</v>
      </c>
    </row>
    <row r="61" spans="1:32" ht="15" thickBot="1" x14ac:dyDescent="0.4">
      <c r="A61" s="782"/>
      <c r="B61" s="783"/>
      <c r="C61" s="784"/>
      <c r="D61" s="782">
        <f>SUM(D$3:D$60)</f>
        <v>0</v>
      </c>
      <c r="E61" s="790">
        <f>SUM(E$3:E$60)</f>
        <v>0</v>
      </c>
      <c r="F61" s="786">
        <f>SUM(F$3:F$60)</f>
        <v>0</v>
      </c>
      <c r="G61" s="784"/>
      <c r="H61" s="782">
        <f>SUM(H$3:H$60)</f>
        <v>0</v>
      </c>
      <c r="I61" s="790">
        <f>SUM(I$3:I$60)</f>
        <v>0</v>
      </c>
      <c r="J61" s="786">
        <f>SUM(J$3:J$60)</f>
        <v>0</v>
      </c>
      <c r="K61" s="784"/>
      <c r="L61" s="780">
        <f>COUNTIF(L$3:L$60,"Yes")</f>
        <v>0</v>
      </c>
      <c r="M61" s="788">
        <f>COUNTIF(M$3:M$60,"Yes")</f>
        <v>0</v>
      </c>
      <c r="N61" s="791">
        <f t="shared" ref="N61:AC61" si="2">SUM(N$3:N$60)</f>
        <v>0</v>
      </c>
      <c r="O61" s="790">
        <f t="shared" si="2"/>
        <v>0</v>
      </c>
      <c r="P61" s="790">
        <f t="shared" si="2"/>
        <v>0</v>
      </c>
      <c r="Q61" s="792">
        <f t="shared" si="2"/>
        <v>0</v>
      </c>
      <c r="R61" s="208">
        <f t="shared" si="2"/>
        <v>0</v>
      </c>
      <c r="S61" s="793">
        <f t="shared" si="2"/>
        <v>0</v>
      </c>
      <c r="T61" s="720">
        <f t="shared" si="2"/>
        <v>0</v>
      </c>
      <c r="U61" s="723">
        <f t="shared" si="2"/>
        <v>0</v>
      </c>
      <c r="V61" s="791">
        <f t="shared" si="2"/>
        <v>0</v>
      </c>
      <c r="W61" s="790">
        <f t="shared" si="2"/>
        <v>0</v>
      </c>
      <c r="X61" s="790">
        <f t="shared" si="2"/>
        <v>0</v>
      </c>
      <c r="Y61" s="792">
        <f t="shared" si="2"/>
        <v>0</v>
      </c>
      <c r="Z61" s="208">
        <f t="shared" si="2"/>
        <v>0</v>
      </c>
      <c r="AA61" s="720">
        <f t="shared" si="2"/>
        <v>0</v>
      </c>
      <c r="AB61" s="720">
        <f t="shared" si="2"/>
        <v>0</v>
      </c>
      <c r="AC61" s="723">
        <f t="shared" si="2"/>
        <v>0</v>
      </c>
      <c r="AD61" s="768">
        <f>COUNTIF(AD$3:AD$60,"Yes")</f>
        <v>0</v>
      </c>
      <c r="AE61" s="796">
        <f>SUM(AE$3:AE$60)</f>
        <v>0</v>
      </c>
      <c r="AF61" s="797">
        <f>SUM(AF$3:AF$60)</f>
        <v>0</v>
      </c>
    </row>
  </sheetData>
  <sheetProtection formatCells="0" selectLockedCells="1"/>
  <dataConsolidate/>
  <mergeCells count="7">
    <mergeCell ref="AE1:AF1"/>
    <mergeCell ref="V1:AC1"/>
    <mergeCell ref="N1:U1"/>
    <mergeCell ref="A1:C1"/>
    <mergeCell ref="D1:G1"/>
    <mergeCell ref="H1:K1"/>
    <mergeCell ref="L1:M1"/>
  </mergeCells>
  <phoneticPr fontId="6" type="noConversion"/>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2824A6F2801FF47AF2123671C3B90BF" ma:contentTypeVersion="14" ma:contentTypeDescription="Create a new document." ma:contentTypeScope="" ma:versionID="a9d254461d2aa0e3611eba618a7980c2">
  <xsd:schema xmlns:xsd="http://www.w3.org/2001/XMLSchema" xmlns:xs="http://www.w3.org/2001/XMLSchema" xmlns:p="http://schemas.microsoft.com/office/2006/metadata/properties" xmlns:ns1="http://schemas.microsoft.com/sharepoint/v3" xmlns:ns3="45c82abd-16fe-4636-9b4b-e1260efc4dca" xmlns:ns4="f8330dae-c018-4ae5-8af5-33d47f662baa" targetNamespace="http://schemas.microsoft.com/office/2006/metadata/properties" ma:root="true" ma:fieldsID="0ace34b6e4da1d73b0e473ae8559ca40" ns1:_="" ns3:_="" ns4:_="">
    <xsd:import namespace="http://schemas.microsoft.com/sharepoint/v3"/>
    <xsd:import namespace="45c82abd-16fe-4636-9b4b-e1260efc4dca"/>
    <xsd:import namespace="f8330dae-c018-4ae5-8af5-33d47f662ba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GenerationTime" minOccurs="0"/>
                <xsd:element ref="ns3:MediaServiceEventHashCode" minOccurs="0"/>
                <xsd:element ref="ns3:MediaServiceOCR" minOccurs="0"/>
                <xsd:element ref="ns1:_ip_UnifiedCompliancePolicyProperties" minOccurs="0"/>
                <xsd:element ref="ns1:_ip_UnifiedCompliancePolicyUIAc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5c82abd-16fe-4636-9b4b-e1260efc4dc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330dae-c018-4ae5-8af5-33d47f662ba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45c82abd-16fe-4636-9b4b-e1260efc4dca" xsi:nil="true"/>
  </documentManagement>
</p:properties>
</file>

<file path=customXml/itemProps1.xml><?xml version="1.0" encoding="utf-8"?>
<ds:datastoreItem xmlns:ds="http://schemas.openxmlformats.org/officeDocument/2006/customXml" ds:itemID="{7942C3E8-D2FC-4B4A-BE75-04789CDEAC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5c82abd-16fe-4636-9b4b-e1260efc4dca"/>
    <ds:schemaRef ds:uri="f8330dae-c018-4ae5-8af5-33d47f662b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775F3B-B532-4333-ACDF-514838BEA0AB}">
  <ds:schemaRefs>
    <ds:schemaRef ds:uri="http://schemas.microsoft.com/sharepoint/v3/contenttype/forms"/>
  </ds:schemaRefs>
</ds:datastoreItem>
</file>

<file path=customXml/itemProps3.xml><?xml version="1.0" encoding="utf-8"?>
<ds:datastoreItem xmlns:ds="http://schemas.openxmlformats.org/officeDocument/2006/customXml" ds:itemID="{18FF29ED-B77D-4076-B44D-0DA6BB01607C}">
  <ds:schemaRefs>
    <ds:schemaRef ds:uri="http://purl.org/dc/elements/1.1/"/>
    <ds:schemaRef ds:uri="http://schemas.microsoft.com/office/2006/documentManagement/types"/>
    <ds:schemaRef ds:uri="http://purl.org/dc/terms/"/>
    <ds:schemaRef ds:uri="45c82abd-16fe-4636-9b4b-e1260efc4dca"/>
    <ds:schemaRef ds:uri="http://www.w3.org/XML/1998/namespace"/>
    <ds:schemaRef ds:uri="http://schemas.microsoft.com/office/2006/metadata/properties"/>
    <ds:schemaRef ds:uri="f8330dae-c018-4ae5-8af5-33d47f662baa"/>
    <ds:schemaRef ds:uri="http://purl.org/dc/dcmitype/"/>
    <ds:schemaRef ds:uri="http://schemas.microsoft.com/sharepoint/v3"/>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1939</vt:i4>
      </vt:variant>
    </vt:vector>
  </HeadingPairs>
  <TitlesOfParts>
    <vt:vector size="1959" baseType="lpstr">
      <vt:lpstr>DataManagement</vt:lpstr>
      <vt:lpstr>Sheet1</vt:lpstr>
      <vt:lpstr>Data</vt:lpstr>
      <vt:lpstr>Instructions</vt:lpstr>
      <vt:lpstr>ConsolidatedData (Original)</vt:lpstr>
      <vt:lpstr>CoverPage</vt:lpstr>
      <vt:lpstr>Application</vt:lpstr>
      <vt:lpstr>ProjectData</vt:lpstr>
      <vt:lpstr>CountyScores</vt:lpstr>
      <vt:lpstr>S1SHTAData</vt:lpstr>
      <vt:lpstr>S1OORData</vt:lpstr>
      <vt:lpstr>S1MAData</vt:lpstr>
      <vt:lpstr>S1AMHData</vt:lpstr>
      <vt:lpstr>DocumentDescriptions</vt:lpstr>
      <vt:lpstr>CountySeat</vt:lpstr>
      <vt:lpstr>CHMAData</vt:lpstr>
      <vt:lpstr>CHOORData</vt:lpstr>
      <vt:lpstr>CHSHTAData</vt:lpstr>
      <vt:lpstr>CHSHData</vt:lpstr>
      <vt:lpstr>CHADUData</vt:lpstr>
      <vt:lpstr>APP_Applicant1</vt:lpstr>
      <vt:lpstr>APP_Applicant1Address</vt:lpstr>
      <vt:lpstr>APP_Applicant1AltRep</vt:lpstr>
      <vt:lpstr>APP_Applicant1AltRepEmail</vt:lpstr>
      <vt:lpstr>APP_Applicant1AltRepPhone</vt:lpstr>
      <vt:lpstr>APP_Applicant1AltRepTitle</vt:lpstr>
      <vt:lpstr>APP_Applicant1City</vt:lpstr>
      <vt:lpstr>APP_Applicant1ControllingNP</vt:lpstr>
      <vt:lpstr>APP_Applicant1ControllingNPAddress</vt:lpstr>
      <vt:lpstr>APP_Applicant1ControllingNPCEO</vt:lpstr>
      <vt:lpstr>APP_Applicant1ControllingNPCity</vt:lpstr>
      <vt:lpstr>APP_Applicant1ControllingNPContact</vt:lpstr>
      <vt:lpstr>APP_Applicant1ControllingNPContactEmail</vt:lpstr>
      <vt:lpstr>APP_Applicant1ControllingNPContactPhone</vt:lpstr>
      <vt:lpstr>APP_Applicant1ControllingNPContactTitle</vt:lpstr>
      <vt:lpstr>APP_Applicant1ControllingNPDBA</vt:lpstr>
      <vt:lpstr>APP_Applicant1ControllingNPState</vt:lpstr>
      <vt:lpstr>APP_Applicant1ControllingNPZip</vt:lpstr>
      <vt:lpstr>APP_Applicant1Rep</vt:lpstr>
      <vt:lpstr>APP_Applicant1RepEmail</vt:lpstr>
      <vt:lpstr>APP_Applicant1RepPhone</vt:lpstr>
      <vt:lpstr>APP_Applicant1RepTitle</vt:lpstr>
      <vt:lpstr>APP_Applicant1State</vt:lpstr>
      <vt:lpstr>APP_Applicant1Type</vt:lpstr>
      <vt:lpstr>APP_Applicant1Zip</vt:lpstr>
      <vt:lpstr>APP_Applicant2</vt:lpstr>
      <vt:lpstr>APP_Applicant2Address</vt:lpstr>
      <vt:lpstr>APP_Applicant2AltRep</vt:lpstr>
      <vt:lpstr>APP_Applicant2AltRepEmail</vt:lpstr>
      <vt:lpstr>APP_Applicant2AltRepPhone</vt:lpstr>
      <vt:lpstr>APP_Applicant2AltRepTitle</vt:lpstr>
      <vt:lpstr>APP_Applicant2City</vt:lpstr>
      <vt:lpstr>APP_Applicant2ControllingNP</vt:lpstr>
      <vt:lpstr>APP_Applicant2ControllingNPAddress</vt:lpstr>
      <vt:lpstr>APP_Applicant2ControllingNPCEO</vt:lpstr>
      <vt:lpstr>APP_Applicant2ControllingNPCity</vt:lpstr>
      <vt:lpstr>APP_Applicant2ControllingNPContact</vt:lpstr>
      <vt:lpstr>APP_Applicant2ControllingNPContactEmail</vt:lpstr>
      <vt:lpstr>APP_Applicant2ControllingNPContactPhone</vt:lpstr>
      <vt:lpstr>APP_Applicant2ControllingNPContactTitle</vt:lpstr>
      <vt:lpstr>APP_Applicant2ControllingNPDBA</vt:lpstr>
      <vt:lpstr>APP_Applicant2ControllingNPState</vt:lpstr>
      <vt:lpstr>APP_Applicant2ControllingNPZip</vt:lpstr>
      <vt:lpstr>APP_Applicant2Rep</vt:lpstr>
      <vt:lpstr>APP_Applicant2RepEmail</vt:lpstr>
      <vt:lpstr>APP_Applicant2RepPhone</vt:lpstr>
      <vt:lpstr>APP_Applicant2RepTitle</vt:lpstr>
      <vt:lpstr>APP_Applicant2State</vt:lpstr>
      <vt:lpstr>APP_Applicant2Type</vt:lpstr>
      <vt:lpstr>APP_Applicant2Zip</vt:lpstr>
      <vt:lpstr>APP_ApplyingForCalHome</vt:lpstr>
      <vt:lpstr>APP_ApplyingForSerna</vt:lpstr>
      <vt:lpstr>APP_Preparer</vt:lpstr>
      <vt:lpstr>APP_PreparerTitle</vt:lpstr>
      <vt:lpstr>CH_ADU_2YearsExpInLast4Years</vt:lpstr>
      <vt:lpstr>CH_ADU_30DayTenancy</vt:lpstr>
      <vt:lpstr>CH_ADU_AdministrationPlan</vt:lpstr>
      <vt:lpstr>CH_ADU_ApplyingForRuralAreaSetAside</vt:lpstr>
      <vt:lpstr>CH_ADU_BorrowersMaintainInsurance</vt:lpstr>
      <vt:lpstr>CH_ADU_CompletionStatus</vt:lpstr>
      <vt:lpstr>CH_ADU_DevelopAndEmployGuidelines</vt:lpstr>
      <vt:lpstr>CH_ADU_InHighResourceArea</vt:lpstr>
      <vt:lpstr>CH_ADU_ObtainTitleInsurance</vt:lpstr>
      <vt:lpstr>CH_ADU_PreviousProgram1</vt:lpstr>
      <vt:lpstr>CH_ADU_PreviousProgram2</vt:lpstr>
      <vt:lpstr>CH_ADU_PreviousProgram3</vt:lpstr>
      <vt:lpstr>CH_ADU_PreviousProgram4</vt:lpstr>
      <vt:lpstr>CH_ADU_PreviousProgram5</vt:lpstr>
      <vt:lpstr>CH_ADU_PreviousProgramEnd1</vt:lpstr>
      <vt:lpstr>CH_ADU_PreviousProgramEnd2</vt:lpstr>
      <vt:lpstr>CH_ADU_PreviousProgramEnd3</vt:lpstr>
      <vt:lpstr>CH_ADU_PreviousProgramEnd4</vt:lpstr>
      <vt:lpstr>CH_ADU_PreviousProgramEnd5</vt:lpstr>
      <vt:lpstr>CH_ADU_PreviousProgramStart1</vt:lpstr>
      <vt:lpstr>CH_ADU_PreviousProgramStart2</vt:lpstr>
      <vt:lpstr>CH_ADU_PreviousProgramStart3</vt:lpstr>
      <vt:lpstr>CH_ADU_PreviousProgramStart4</vt:lpstr>
      <vt:lpstr>CH_ADU_PreviousProgramStart5</vt:lpstr>
      <vt:lpstr>CH_ADU_PreviousProgramUnits1</vt:lpstr>
      <vt:lpstr>CH_ADU_PreviousProgramUnits2</vt:lpstr>
      <vt:lpstr>CH_ADU_PreviousProgramUnits3</vt:lpstr>
      <vt:lpstr>CH_ADU_PreviousProgramUnits4</vt:lpstr>
      <vt:lpstr>CH_ADU_PreviousProgramUnits5</vt:lpstr>
      <vt:lpstr>CH_ADU_ProgramDescription</vt:lpstr>
      <vt:lpstr>CH_ADU_RuralCapabilityPoints</vt:lpstr>
      <vt:lpstr>CH_ADU_RuralCommunityNeedPoints</vt:lpstr>
      <vt:lpstr>CH_ADU_RuralFeasibilityPoints</vt:lpstr>
      <vt:lpstr>CH_ADU_RuralHousingSupplyPoints</vt:lpstr>
      <vt:lpstr>CH_ADU_RuralProHousingPoints</vt:lpstr>
      <vt:lpstr>CH_ADU_RuralRevitalizationPoints</vt:lpstr>
      <vt:lpstr>CH_ADU_RuralTotalRequestable</vt:lpstr>
      <vt:lpstr>CH_ADU_RuralTotalRequested</vt:lpstr>
      <vt:lpstr>CH_ADU_RuralTotalUnits</vt:lpstr>
      <vt:lpstr>CH_ADU_UnrestrictedCapabilityPoints</vt:lpstr>
      <vt:lpstr>CH_ADU_UnrestrictedCommunityNeedPoints</vt:lpstr>
      <vt:lpstr>CH_ADU_UnrestrictedFeasibilityPoints</vt:lpstr>
      <vt:lpstr>CH_ADU_UnrestrictedHousingSupplyPoints</vt:lpstr>
      <vt:lpstr>CH_ADU_UnrestrictedProHousingPoints</vt:lpstr>
      <vt:lpstr>CH_ADU_UnrestrictedRevitalizationPoints</vt:lpstr>
      <vt:lpstr>CH_ADU_UnrestrictedTotalRequestable</vt:lpstr>
      <vt:lpstr>CH_ADU_UnrestrictedTotalRequested</vt:lpstr>
      <vt:lpstr>CH_ADU_UnrestrictedTotalUnits</vt:lpstr>
      <vt:lpstr>CH_ER_ADUsNotInHousehold</vt:lpstr>
      <vt:lpstr>CH_ER_CBD2ProgramsIn10Mi</vt:lpstr>
      <vt:lpstr>CH_ER_CBD2YHousingDevExperience</vt:lpstr>
      <vt:lpstr>CH_ER_CBD2YHousingDevExpOr523Grant</vt:lpstr>
      <vt:lpstr>CH_ER_CBD2YrsInModResOrHighSegPov</vt:lpstr>
      <vt:lpstr>CH_ER_CBD5YrExpToLowIncome</vt:lpstr>
      <vt:lpstr>CH_ER_CBDCultAndLingCompet</vt:lpstr>
      <vt:lpstr>CH_ER_CBDDemKnowAndCommit</vt:lpstr>
      <vt:lpstr>CH_ER_CBDEduAndLiteracy</vt:lpstr>
      <vt:lpstr>CH_ER_CBDEmergencyAndCrisis</vt:lpstr>
      <vt:lpstr>CH_ER_CBDEnvironmental</vt:lpstr>
      <vt:lpstr>CH_ER_CBDGrantFundsForServices</vt:lpstr>
      <vt:lpstr>CH_ER_CBDHealthAndWellness</vt:lpstr>
      <vt:lpstr>CH_ER_CBDHousingAndEconDev</vt:lpstr>
      <vt:lpstr>CH_ER_CBDHQOr3ProjectsIn10mi</vt:lpstr>
      <vt:lpstr>CH_ER_CBDHumanAndSocialServices</vt:lpstr>
      <vt:lpstr>CH_ER_CBDIsAnEligibleNonProfit</vt:lpstr>
      <vt:lpstr>CH_ER_CBDMembershipAndRecruitment</vt:lpstr>
      <vt:lpstr>CH_ER_CBDNutritionAndFoodSecurity</vt:lpstr>
      <vt:lpstr>CH_ER_CBDRecHiringfromCommunity</vt:lpstr>
      <vt:lpstr>CH_ER_CBDSenior</vt:lpstr>
      <vt:lpstr>CH_ER_CBDTaxExemptPurposeActivity</vt:lpstr>
      <vt:lpstr>CH_ER_ComplyWithAdminRequirements</vt:lpstr>
      <vt:lpstr>CH_ER_ConstructionNotStarted</vt:lpstr>
      <vt:lpstr>CH_ER_EligibleApplicant</vt:lpstr>
      <vt:lpstr>CH_ER_HasAuthorityAndMeetsPrereqs</vt:lpstr>
      <vt:lpstr>CH_ER_LoanServicingPlan</vt:lpstr>
      <vt:lpstr>CH_ER_LoansWillIncludeTerms</vt:lpstr>
      <vt:lpstr>CH_ER_LPE2YHousingDevExp</vt:lpstr>
      <vt:lpstr>CH_ER_LPEProHousingDesignation</vt:lpstr>
      <vt:lpstr>CH_ER_LPEProjectInJusisdiction</vt:lpstr>
      <vt:lpstr>CH_ER_LPESingleAdministrator</vt:lpstr>
      <vt:lpstr>CH_ER_NP2YHousingDevExperience</vt:lpstr>
      <vt:lpstr>CH_ER_NP2YrProgramExpOr523Grant</vt:lpstr>
      <vt:lpstr>CH_ER_NPTaxExemptPurposeActivity</vt:lpstr>
      <vt:lpstr>CH_ER_OnlyEligibleCostsPaidWithAward</vt:lpstr>
      <vt:lpstr>CH_ER_OnlyEligibleHouseholds</vt:lpstr>
      <vt:lpstr>CH_ER_PendingLawsuits</vt:lpstr>
      <vt:lpstr>CH_ER_ReuseAccountPlan</vt:lpstr>
      <vt:lpstr>CH_ER_SubmittedOutstandingReports</vt:lpstr>
      <vt:lpstr>CH_ER_SufficientStability</vt:lpstr>
      <vt:lpstr>CH_ER_UnresolvedFinding</vt:lpstr>
      <vt:lpstr>CH_ER_WillDevUnderwritingGuidelines</vt:lpstr>
      <vt:lpstr>CH_ER_WillImplement</vt:lpstr>
      <vt:lpstr>CH_MA_2YearsExpInLast4Years</vt:lpstr>
      <vt:lpstr>CH_MA_AdministrationPlan</vt:lpstr>
      <vt:lpstr>CH_MA_ApplyingForManufacturedHomeSetAside</vt:lpstr>
      <vt:lpstr>CH_MA_ApplyingForRuralAreaSetAside</vt:lpstr>
      <vt:lpstr>CH_MA_CompletionStatus</vt:lpstr>
      <vt:lpstr>CH_MA_DevelopEmployGuidelines</vt:lpstr>
      <vt:lpstr>CH_MA_InfillArea</vt:lpstr>
      <vt:lpstr>CH_MA_InformAndAssistHomebuyer</vt:lpstr>
      <vt:lpstr>CH_MA_InHighResourceArea</vt:lpstr>
      <vt:lpstr>CH_MA_ManufacturedCapabilityPoints</vt:lpstr>
      <vt:lpstr>CH_MA_ManufacturedCommunityNeedPoints</vt:lpstr>
      <vt:lpstr>CH_MA_ManufacturedFeasibilityPoints</vt:lpstr>
      <vt:lpstr>CH_MA_ManufacturedHousingSupplyPoints</vt:lpstr>
      <vt:lpstr>CH_MA_ManufacturedPctOfTotalRequested</vt:lpstr>
      <vt:lpstr>CH_MA_ManufacturedProHousingPoints</vt:lpstr>
      <vt:lpstr>CH_MA_ManufacturedRevitalizationPoints</vt:lpstr>
      <vt:lpstr>CH_MA_ManufacturedTotalRequested</vt:lpstr>
      <vt:lpstr>CH_MA_ManufacturedTotalUnits</vt:lpstr>
      <vt:lpstr>CH_MA_ManufacturedVolunteerAndTrainingPoints</vt:lpstr>
      <vt:lpstr>CH_MA_MFDRuralCapabilityPoints</vt:lpstr>
      <vt:lpstr>CH_MA_MFDRuralCommunityNeedPoints</vt:lpstr>
      <vt:lpstr>CH_MA_MFDRuralFeasibilityPoints</vt:lpstr>
      <vt:lpstr>CH_MA_MFDRuralHousingSupplyPoints</vt:lpstr>
      <vt:lpstr>CH_MA_MFDRuralPctOfTotalRequested</vt:lpstr>
      <vt:lpstr>CH_MA_MFDRuralProHousingPoints</vt:lpstr>
      <vt:lpstr>CH_MA_MFDRuralRevitalizationPoints</vt:lpstr>
      <vt:lpstr>CH_MA_MFDRuralTotalRequested</vt:lpstr>
      <vt:lpstr>CH_MA_MFDRuralTotalUnits</vt:lpstr>
      <vt:lpstr>CH_MA_MFDRuralVolunteerAndTrainingPoints</vt:lpstr>
      <vt:lpstr>CH_MA_NoUnpermittedMobilehomeParks</vt:lpstr>
      <vt:lpstr>CH_MA_ObtainAppraisalsRequired</vt:lpstr>
      <vt:lpstr>CH_MA_PreviousProgram1</vt:lpstr>
      <vt:lpstr>CH_MA_PreviousProgram2</vt:lpstr>
      <vt:lpstr>CH_MA_PreviousProgram3</vt:lpstr>
      <vt:lpstr>CH_MA_PreviousProgram4</vt:lpstr>
      <vt:lpstr>CH_MA_PreviousProgram5</vt:lpstr>
      <vt:lpstr>CH_MA_PreviousProgramEnd1</vt:lpstr>
      <vt:lpstr>CH_MA_PreviousProgramEnd2</vt:lpstr>
      <vt:lpstr>CH_MA_PreviousProgramEnd3</vt:lpstr>
      <vt:lpstr>CH_MA_PreviousProgramEnd4</vt:lpstr>
      <vt:lpstr>CH_MA_PreviousProgramEnd5</vt:lpstr>
      <vt:lpstr>CH_MA_PreviousProgramStart1</vt:lpstr>
      <vt:lpstr>CH_MA_PreviousProgramStart2</vt:lpstr>
      <vt:lpstr>CH_MA_PreviousProgramStart3</vt:lpstr>
      <vt:lpstr>CH_MA_PreviousProgramStart4</vt:lpstr>
      <vt:lpstr>CH_MA_PreviousProgramStart5</vt:lpstr>
      <vt:lpstr>CH_MA_PreviousProgramUnits1</vt:lpstr>
      <vt:lpstr>CH_MA_PreviousProgramUnits2</vt:lpstr>
      <vt:lpstr>CH_MA_PreviousProgramUnits3</vt:lpstr>
      <vt:lpstr>CH_MA_PreviousProgramUnits4</vt:lpstr>
      <vt:lpstr>CH_MA_PreviousProgramUnits5</vt:lpstr>
      <vt:lpstr>CH_MA_ProgramDescription</vt:lpstr>
      <vt:lpstr>CH_MA_ResponsibleForInspections</vt:lpstr>
      <vt:lpstr>CH_MA_RuralCapabilityPoints</vt:lpstr>
      <vt:lpstr>CH_MA_RuralCommunityNeedPoints</vt:lpstr>
      <vt:lpstr>CH_MA_RuralFeasibilityPoints</vt:lpstr>
      <vt:lpstr>CH_MA_RuralHousingSupplyPoints</vt:lpstr>
      <vt:lpstr>CH_MA_RuralPctOfTotalRequested</vt:lpstr>
      <vt:lpstr>CH_MA_RuralProHousingPoints</vt:lpstr>
      <vt:lpstr>CH_MA_RuralRevitalizationPoints</vt:lpstr>
      <vt:lpstr>CH_MA_RuralTotalRequested</vt:lpstr>
      <vt:lpstr>CH_MA_RuralTotalUnits</vt:lpstr>
      <vt:lpstr>CH_MA_RuralVolunteerAndTrainingPoints</vt:lpstr>
      <vt:lpstr>CH_MA_SelfHelpHours</vt:lpstr>
      <vt:lpstr>CH_MA_UnrestrictedCapabilityPoints</vt:lpstr>
      <vt:lpstr>CH_MA_UnrestrictedCommunityNeedPoints</vt:lpstr>
      <vt:lpstr>CH_MA_UnrestrictedFeasibilityPoints</vt:lpstr>
      <vt:lpstr>CH_MA_UnrestrictedHousingSupplyPoints</vt:lpstr>
      <vt:lpstr>CH_MA_UnrestrictedPctOfTotalRequested</vt:lpstr>
      <vt:lpstr>CH_MA_UnrestrictedProHousingPoints</vt:lpstr>
      <vt:lpstr>CH_MA_UnrestrictedRevitalizationPoints</vt:lpstr>
      <vt:lpstr>CH_MA_UnrestrictedTotalRequested</vt:lpstr>
      <vt:lpstr>CH_MA_UnrestrictedTotalUnits</vt:lpstr>
      <vt:lpstr>CH_MA_UnrestrictedVolunteerAndTrainingPoints</vt:lpstr>
      <vt:lpstr>CH_MA_VolunteerHours</vt:lpstr>
      <vt:lpstr>CH_MA_YouthTrainingHours</vt:lpstr>
      <vt:lpstr>CH_OOR_AdministrationPlan</vt:lpstr>
      <vt:lpstr>CH_OOR_ApplyingForManufacturedHomeSetAside</vt:lpstr>
      <vt:lpstr>CH_OOR_ApplyingForRuralAreaSetAside</vt:lpstr>
      <vt:lpstr>CH_OOR_AppraisalBeforeStartingRehab</vt:lpstr>
      <vt:lpstr>CH_OOR_BorrowersMaintainInsurance</vt:lpstr>
      <vt:lpstr>CH_OOR_CompletionStatus</vt:lpstr>
      <vt:lpstr>CH_OOR_DevelopAndEmployGuidelines</vt:lpstr>
      <vt:lpstr>CH_OOR_InHighResourceArea</vt:lpstr>
      <vt:lpstr>CH_OOR_ManufacturedCapabilityPoints</vt:lpstr>
      <vt:lpstr>CH_OOR_ManufacturedCommunityNeedPoints</vt:lpstr>
      <vt:lpstr>CH_OOR_ManufacturedFeasibilityPoints</vt:lpstr>
      <vt:lpstr>CH_OOR_ManufacturedProHousingPoints</vt:lpstr>
      <vt:lpstr>CH_OOR_ManufacturedRevitalizationPoints</vt:lpstr>
      <vt:lpstr>CH_OOR_ManufacturedTotalRequested</vt:lpstr>
      <vt:lpstr>CH_OOR_ManufacturedTotalUnits</vt:lpstr>
      <vt:lpstr>CH_OOR_MFDRuralCapabilityPoints</vt:lpstr>
      <vt:lpstr>CH_OOR_MFDRuralCommunityNeedPoints</vt:lpstr>
      <vt:lpstr>CH_OOR_MFDRuralFeasibilityPoints</vt:lpstr>
      <vt:lpstr>CH_OOR_MFDRuralProHousingPoints</vt:lpstr>
      <vt:lpstr>CH_OOR_MFDRuralRevitalizationPoints</vt:lpstr>
      <vt:lpstr>CH_OOR_MFDRuralTotalRequested</vt:lpstr>
      <vt:lpstr>CH_OOR_MFDRuralTotalUnits</vt:lpstr>
      <vt:lpstr>CH_OOR_NoCashWithdrawnFromEscrow</vt:lpstr>
      <vt:lpstr>CH_OOR_ObtainTitleInsurance</vt:lpstr>
      <vt:lpstr>CH_OOR_PreviousProgram1</vt:lpstr>
      <vt:lpstr>CH_OOR_PreviousProgram2</vt:lpstr>
      <vt:lpstr>CH_OOR_PreviousProgram3</vt:lpstr>
      <vt:lpstr>CH_OOR_PreviousProgram4</vt:lpstr>
      <vt:lpstr>CH_OOR_PreviousProgram5</vt:lpstr>
      <vt:lpstr>CH_OOR_PreviousProgramEnd1</vt:lpstr>
      <vt:lpstr>CH_OOR_PreviousProgramEnd2</vt:lpstr>
      <vt:lpstr>CH_OOR_PreviousProgramEnd3</vt:lpstr>
      <vt:lpstr>CH_OOR_PreviousProgramEnd4</vt:lpstr>
      <vt:lpstr>CH_OOR_PreviousProgramEnd5</vt:lpstr>
      <vt:lpstr>CH_OOR_PreviousProgramStart1</vt:lpstr>
      <vt:lpstr>CH_OOR_PreviousProgramStart2</vt:lpstr>
      <vt:lpstr>CH_OOR_PreviousProgramStart3</vt:lpstr>
      <vt:lpstr>CH_OOR_PreviousProgramStart4</vt:lpstr>
      <vt:lpstr>CH_OOR_PreviousProgramStart5</vt:lpstr>
      <vt:lpstr>CH_OOR_PreviousProgramUnits1</vt:lpstr>
      <vt:lpstr>CH_OOR_PreviousProgramUnits2</vt:lpstr>
      <vt:lpstr>CH_OOR_PreviousProgramUnits3</vt:lpstr>
      <vt:lpstr>CH_OOR_PreviousProgramUnits4</vt:lpstr>
      <vt:lpstr>CH_OOR_PreviousProgramUnits5</vt:lpstr>
      <vt:lpstr>CH_OOR_ProgramDescription</vt:lpstr>
      <vt:lpstr>CH_OOR_RuralCapabilityPoints</vt:lpstr>
      <vt:lpstr>CH_OOR_RuralCommunityNeedPoints</vt:lpstr>
      <vt:lpstr>CH_OOR_RuralFeasibilityPoints</vt:lpstr>
      <vt:lpstr>CH_OOR_RuralProHousingPoints</vt:lpstr>
      <vt:lpstr>CH_OOR_RuralRevitalizationPoints</vt:lpstr>
      <vt:lpstr>CH_OOR_RuralTotalRequested</vt:lpstr>
      <vt:lpstr>CH_OOR_RuralTotalUnits</vt:lpstr>
      <vt:lpstr>CH_OOR_UnrestrictedCapabilityPoints</vt:lpstr>
      <vt:lpstr>CH_OOR_UnrestrictedCommunityNeedPoints</vt:lpstr>
      <vt:lpstr>CH_OOR_UnrestrictedFeasibilityPoints</vt:lpstr>
      <vt:lpstr>CH_OOR_UnrestrictedProHousingPoints</vt:lpstr>
      <vt:lpstr>CH_OOR_UnrestrictedRevitalizationPoints</vt:lpstr>
      <vt:lpstr>CH_OOR_UnrestrictedTotalRequested</vt:lpstr>
      <vt:lpstr>CH_OOR_UnrestrictedTotalUnits</vt:lpstr>
      <vt:lpstr>CH_PDL_2SimilarProjectsInLast4yrs</vt:lpstr>
      <vt:lpstr>CH_PDL_AcquisitionCost0InDevBudget</vt:lpstr>
      <vt:lpstr>CH_PDL_Address1</vt:lpstr>
      <vt:lpstr>CH_PDL_Address10</vt:lpstr>
      <vt:lpstr>CH_PDL_Address2</vt:lpstr>
      <vt:lpstr>CH_PDL_Address3</vt:lpstr>
      <vt:lpstr>CH_PDL_Address4</vt:lpstr>
      <vt:lpstr>CH_PDL_Address5</vt:lpstr>
      <vt:lpstr>CH_PDL_Address6</vt:lpstr>
      <vt:lpstr>CH_PDL_Address7</vt:lpstr>
      <vt:lpstr>CH_PDL_Address8</vt:lpstr>
      <vt:lpstr>CH_PDL_Address9</vt:lpstr>
      <vt:lpstr>CH_PDL_AdverseEnvConds</vt:lpstr>
      <vt:lpstr>CH_PDL_AdverseEnvCondsDescription</vt:lpstr>
      <vt:lpstr>CH_PDL_AllHomesInRuralArea</vt:lpstr>
      <vt:lpstr>CH_PDL_AppraisedValue</vt:lpstr>
      <vt:lpstr>CH_PDL_AssistanceRequesting</vt:lpstr>
      <vt:lpstr>CH_PDL_CapabilityPoints</vt:lpstr>
      <vt:lpstr>CH_PDL_CensusTrack1</vt:lpstr>
      <vt:lpstr>CH_PDL_CensusTrack10</vt:lpstr>
      <vt:lpstr>CH_PDL_CensusTrack2</vt:lpstr>
      <vt:lpstr>CH_PDL_CensusTrack3</vt:lpstr>
      <vt:lpstr>CH_PDL_CensusTrack4</vt:lpstr>
      <vt:lpstr>CH_PDL_CensusTrack5</vt:lpstr>
      <vt:lpstr>CH_PDL_CensusTrack6</vt:lpstr>
      <vt:lpstr>CH_PDL_CensusTrack7</vt:lpstr>
      <vt:lpstr>CH_PDL_CensusTrack8</vt:lpstr>
      <vt:lpstr>CH_PDL_CensusTrack9</vt:lpstr>
      <vt:lpstr>CH_PDL_City1</vt:lpstr>
      <vt:lpstr>CH_PDL_City10</vt:lpstr>
      <vt:lpstr>CH_PDL_City2</vt:lpstr>
      <vt:lpstr>CH_PDL_City3</vt:lpstr>
      <vt:lpstr>CH_PDL_City4</vt:lpstr>
      <vt:lpstr>CH_PDL_City5</vt:lpstr>
      <vt:lpstr>CH_PDL_City6</vt:lpstr>
      <vt:lpstr>CH_PDL_City7</vt:lpstr>
      <vt:lpstr>CH_PDL_City8</vt:lpstr>
      <vt:lpstr>CH_PDL_City9</vt:lpstr>
      <vt:lpstr>CH_PDL_ClassFeeRequesting</vt:lpstr>
      <vt:lpstr>CH_PDL_CommunityNeedPoints</vt:lpstr>
      <vt:lpstr>CH_PDL_CompletionStatus</vt:lpstr>
      <vt:lpstr>CH_PDL_ConditionalUsePermitsApproval</vt:lpstr>
      <vt:lpstr>CH_PDL_ConditionalUsePermitsDate</vt:lpstr>
      <vt:lpstr>CH_PDL_ConditionalUsePermitsIssuer</vt:lpstr>
      <vt:lpstr>CH_PDL_Construction1OtherUse</vt:lpstr>
      <vt:lpstr>CH_PDL_Construction1OtherUse1</vt:lpstr>
      <vt:lpstr>CH_PDL_Construction1OtherUse2</vt:lpstr>
      <vt:lpstr>CH_PDL_Construction1OtherUse3</vt:lpstr>
      <vt:lpstr>CH_PDL_Construction1OtherUse4</vt:lpstr>
      <vt:lpstr>CH_PDL_Construction1OtherUse5</vt:lpstr>
      <vt:lpstr>CH_PDL_Construction1OtherUse6</vt:lpstr>
      <vt:lpstr>CH_PDL_Construction2OtherUse</vt:lpstr>
      <vt:lpstr>CH_PDL_Construction2OtherUse1</vt:lpstr>
      <vt:lpstr>CH_PDL_Construction2OtherUse2</vt:lpstr>
      <vt:lpstr>CH_PDL_Construction2OtherUse3</vt:lpstr>
      <vt:lpstr>CH_PDL_Construction2OtherUse4</vt:lpstr>
      <vt:lpstr>CH_PDL_Construction2OtherUse5</vt:lpstr>
      <vt:lpstr>CH_PDL_Construction2OtherUse6</vt:lpstr>
      <vt:lpstr>CH_PDL_Construction3OtherUse</vt:lpstr>
      <vt:lpstr>CH_PDL_Construction3OtherUse1</vt:lpstr>
      <vt:lpstr>CH_PDL_Construction3OtherUse2</vt:lpstr>
      <vt:lpstr>CH_PDL_Construction3OtherUse3</vt:lpstr>
      <vt:lpstr>CH_PDL_Construction3OtherUse4</vt:lpstr>
      <vt:lpstr>CH_PDL_Construction3OtherUse5</vt:lpstr>
      <vt:lpstr>CH_PDL_Construction3OtherUse6</vt:lpstr>
      <vt:lpstr>CH_PDL_ConstructionAmount1</vt:lpstr>
      <vt:lpstr>CH_PDL_ConstructionAmount2</vt:lpstr>
      <vt:lpstr>CH_PDL_ConstructionAmount3</vt:lpstr>
      <vt:lpstr>CH_PDL_ConstructionAmount4</vt:lpstr>
      <vt:lpstr>CH_PDL_ConstructionAmount5</vt:lpstr>
      <vt:lpstr>CH_PDL_ConstructionAmount6</vt:lpstr>
      <vt:lpstr>CH_PDL_ConstructionArchitectural1</vt:lpstr>
      <vt:lpstr>CH_PDL_ConstructionArchitectural2</vt:lpstr>
      <vt:lpstr>CH_PDL_ConstructionArchitectural3</vt:lpstr>
      <vt:lpstr>CH_PDL_ConstructionArchitectural4</vt:lpstr>
      <vt:lpstr>CH_PDL_ConstructionArchitectural5</vt:lpstr>
      <vt:lpstr>CH_PDL_ConstructionArchitectural6</vt:lpstr>
      <vt:lpstr>CH_PDL_ConstructionBridgeLoanPayoff1</vt:lpstr>
      <vt:lpstr>CH_PDL_ConstructionBridgeLoanPayoff2</vt:lpstr>
      <vt:lpstr>CH_PDL_ConstructionBridgeLoanPayoff3</vt:lpstr>
      <vt:lpstr>CH_PDL_ConstructionBridgeLoanPayoff4</vt:lpstr>
      <vt:lpstr>CH_PDL_ConstructionBridgeLoanPayoff5</vt:lpstr>
      <vt:lpstr>CH_PDL_ConstructionBridgeLoanPayoff6</vt:lpstr>
      <vt:lpstr>CH_PDL_ConstructionBuildingPermits1</vt:lpstr>
      <vt:lpstr>CH_PDL_ConstructionBuildingPermits2</vt:lpstr>
      <vt:lpstr>CH_PDL_ConstructionBuildingPermits3</vt:lpstr>
      <vt:lpstr>CH_PDL_ConstructionBuildingPermits4</vt:lpstr>
      <vt:lpstr>CH_PDL_ConstructionBuildingPermits5</vt:lpstr>
      <vt:lpstr>CH_PDL_ConstructionBuildingPermits6</vt:lpstr>
      <vt:lpstr>CH_PDL_ConstructionCommitted1</vt:lpstr>
      <vt:lpstr>CH_PDL_ConstructionCommitted2</vt:lpstr>
      <vt:lpstr>CH_PDL_ConstructionCommitted3</vt:lpstr>
      <vt:lpstr>CH_PDL_ConstructionCommitted4</vt:lpstr>
      <vt:lpstr>CH_PDL_ConstructionCommitted5</vt:lpstr>
      <vt:lpstr>CH_PDL_ConstructionCommitted6</vt:lpstr>
      <vt:lpstr>CH_PDL_ConstructionContractorBonds1</vt:lpstr>
      <vt:lpstr>CH_PDL_ConstructionContractorBonds2</vt:lpstr>
      <vt:lpstr>CH_PDL_ConstructionContractorBonds3</vt:lpstr>
      <vt:lpstr>CH_PDL_ConstructionContractorBonds4</vt:lpstr>
      <vt:lpstr>CH_PDL_ConstructionContractorBonds5</vt:lpstr>
      <vt:lpstr>CH_PDL_ConstructionContractorBonds6</vt:lpstr>
      <vt:lpstr>CH_PDL_ConstructionEngineering1</vt:lpstr>
      <vt:lpstr>CH_PDL_ConstructionEngineering2</vt:lpstr>
      <vt:lpstr>CH_PDL_ConstructionEngineering3</vt:lpstr>
      <vt:lpstr>CH_PDL_ConstructionEngineering4</vt:lpstr>
      <vt:lpstr>CH_PDL_ConstructionEngineering5</vt:lpstr>
      <vt:lpstr>CH_PDL_ConstructionEngineering6</vt:lpstr>
      <vt:lpstr>CH_PDL_ConstructionEnvironmentalReports1</vt:lpstr>
      <vt:lpstr>CH_PDL_ConstructionEnvironmentalReports2</vt:lpstr>
      <vt:lpstr>CH_PDL_ConstructionEnvironmentalReports3</vt:lpstr>
      <vt:lpstr>CH_PDL_ConstructionEnvironmentalReports4</vt:lpstr>
      <vt:lpstr>CH_PDL_ConstructionEnvironmentalReports5</vt:lpstr>
      <vt:lpstr>CH_PDL_ConstructionEnvironmentalReports6</vt:lpstr>
      <vt:lpstr>CH_PDL_ConstructionEscrowFees1</vt:lpstr>
      <vt:lpstr>CH_PDL_ConstructionEscrowFees2</vt:lpstr>
      <vt:lpstr>CH_PDL_ConstructionEscrowFees3</vt:lpstr>
      <vt:lpstr>CH_PDL_ConstructionEscrowFees4</vt:lpstr>
      <vt:lpstr>CH_PDL_ConstructionEscrowFees5</vt:lpstr>
      <vt:lpstr>CH_PDL_ConstructionEscrowFees6</vt:lpstr>
      <vt:lpstr>CH_PDL_ConstructionFinancingFeesInterest1</vt:lpstr>
      <vt:lpstr>CH_PDL_ConstructionFinancingFeesInterest2</vt:lpstr>
      <vt:lpstr>CH_PDL_ConstructionFinancingFeesInterest3</vt:lpstr>
      <vt:lpstr>CH_PDL_ConstructionFinancingFeesInterest4</vt:lpstr>
      <vt:lpstr>CH_PDL_ConstructionFinancingFeesInterest5</vt:lpstr>
      <vt:lpstr>CH_PDL_ConstructionFinancingFeesInterest6</vt:lpstr>
      <vt:lpstr>CH_PDL_ConstructionInsurance1</vt:lpstr>
      <vt:lpstr>CH_PDL_ConstructionInsurance2</vt:lpstr>
      <vt:lpstr>CH_PDL_ConstructionInsurance3</vt:lpstr>
      <vt:lpstr>CH_PDL_ConstructionInsurance4</vt:lpstr>
      <vt:lpstr>CH_PDL_ConstructionInsurance5</vt:lpstr>
      <vt:lpstr>CH_PDL_ConstructionInsurance6</vt:lpstr>
      <vt:lpstr>CH_PDL_ConstructionLandAcquisition1</vt:lpstr>
      <vt:lpstr>CH_PDL_ConstructionLandAcquisition2</vt:lpstr>
      <vt:lpstr>CH_PDL_ConstructionLandAcquisition3</vt:lpstr>
      <vt:lpstr>CH_PDL_ConstructionLandAcquisition4</vt:lpstr>
      <vt:lpstr>CH_PDL_ConstructionLandAcquisition5</vt:lpstr>
      <vt:lpstr>CH_PDL_ConstructionLandAcquisition6</vt:lpstr>
      <vt:lpstr>CH_PDL_ConstructionLegalFees1</vt:lpstr>
      <vt:lpstr>CH_PDL_ConstructionLegalFees2</vt:lpstr>
      <vt:lpstr>CH_PDL_ConstructionLegalFees3</vt:lpstr>
      <vt:lpstr>CH_PDL_ConstructionLegalFees4</vt:lpstr>
      <vt:lpstr>CH_PDL_ConstructionLegalFees5</vt:lpstr>
      <vt:lpstr>CH_PDL_ConstructionLegalFees6</vt:lpstr>
      <vt:lpstr>CH_PDL_ConstructionLienPosition1</vt:lpstr>
      <vt:lpstr>CH_PDL_ConstructionLienPosition2</vt:lpstr>
      <vt:lpstr>CH_PDL_ConstructionLienPosition3</vt:lpstr>
      <vt:lpstr>CH_PDL_ConstructionLienPosition4</vt:lpstr>
      <vt:lpstr>CH_PDL_ConstructionLienPosition5</vt:lpstr>
      <vt:lpstr>CH_PDL_ConstructionLienPosition6</vt:lpstr>
      <vt:lpstr>CH_PDL_ConstructionOnsiteImprovements1</vt:lpstr>
      <vt:lpstr>CH_PDL_ConstructionOnsiteImprovements2</vt:lpstr>
      <vt:lpstr>CH_PDL_ConstructionOnsiteImprovements3</vt:lpstr>
      <vt:lpstr>CH_PDL_ConstructionOnsiteImprovements4</vt:lpstr>
      <vt:lpstr>CH_PDL_ConstructionOnsiteImprovements5</vt:lpstr>
      <vt:lpstr>CH_PDL_ConstructionOnsiteImprovements6</vt:lpstr>
      <vt:lpstr>CH_PDL_ConstructionPaymentTerms1</vt:lpstr>
      <vt:lpstr>CH_PDL_ConstructionPaymentTerms2</vt:lpstr>
      <vt:lpstr>CH_PDL_ConstructionPaymentTerms3</vt:lpstr>
      <vt:lpstr>CH_PDL_ConstructionPaymentTerms4</vt:lpstr>
      <vt:lpstr>CH_PDL_ConstructionPaymentTerms5</vt:lpstr>
      <vt:lpstr>CH_PDL_ConstructionPaymentTerms6</vt:lpstr>
      <vt:lpstr>CH_PDL_ConstructionRate1</vt:lpstr>
      <vt:lpstr>CH_PDL_ConstructionRate2</vt:lpstr>
      <vt:lpstr>CH_PDL_ConstructionRate3</vt:lpstr>
      <vt:lpstr>CH_PDL_ConstructionRate4</vt:lpstr>
      <vt:lpstr>CH_PDL_ConstructionRate5</vt:lpstr>
      <vt:lpstr>CH_PDL_ConstructionRate6</vt:lpstr>
      <vt:lpstr>CH_PDL_ConstructionReqDebtService1</vt:lpstr>
      <vt:lpstr>CH_PDL_ConstructionReqDebtService2</vt:lpstr>
      <vt:lpstr>CH_PDL_ConstructionReqDebtService3</vt:lpstr>
      <vt:lpstr>CH_PDL_ConstructionReqDebtService4</vt:lpstr>
      <vt:lpstr>CH_PDL_ConstructionReqDebtService5</vt:lpstr>
      <vt:lpstr>CH_PDL_ConstructionReqDebtService6</vt:lpstr>
      <vt:lpstr>CH_PDL_ConstructionSource2</vt:lpstr>
      <vt:lpstr>CH_PDL_ConstructionSource3</vt:lpstr>
      <vt:lpstr>CH_PDL_ConstructionSource4</vt:lpstr>
      <vt:lpstr>CH_PDL_ConstructionSource5</vt:lpstr>
      <vt:lpstr>CH_PDL_ConstructionSource6</vt:lpstr>
      <vt:lpstr>CH_PDL_ConstructionStateLocalFees1</vt:lpstr>
      <vt:lpstr>CH_PDL_ConstructionStateLocalFees2</vt:lpstr>
      <vt:lpstr>CH_PDL_ConstructionStateLocalFees3</vt:lpstr>
      <vt:lpstr>CH_PDL_ConstructionStateLocalFees4</vt:lpstr>
      <vt:lpstr>CH_PDL_ConstructionStateLocalFees5</vt:lpstr>
      <vt:lpstr>CH_PDL_ConstructionStateLocalFees6</vt:lpstr>
      <vt:lpstr>CH_PDL_ConstructionTaxes1</vt:lpstr>
      <vt:lpstr>CH_PDL_ConstructionTaxes2</vt:lpstr>
      <vt:lpstr>CH_PDL_ConstructionTaxes3</vt:lpstr>
      <vt:lpstr>CH_PDL_ConstructionTaxes4</vt:lpstr>
      <vt:lpstr>CH_PDL_ConstructionTaxes5</vt:lpstr>
      <vt:lpstr>CH_PDL_ConstructionTaxes6</vt:lpstr>
      <vt:lpstr>CH_PDL_County</vt:lpstr>
      <vt:lpstr>CH_PDL_DevProjectRequirements</vt:lpstr>
      <vt:lpstr>CH_PDL_ElectricAvailable</vt:lpstr>
      <vt:lpstr>CH_PDL_EstimatedSalePrice1</vt:lpstr>
      <vt:lpstr>CH_PDL_EstimatedSalePrice10</vt:lpstr>
      <vt:lpstr>CH_PDL_EstimatedSalePrice2</vt:lpstr>
      <vt:lpstr>CH_PDL_EstimatedSalePrice3</vt:lpstr>
      <vt:lpstr>CH_PDL_EstimatedSalePrice4</vt:lpstr>
      <vt:lpstr>CH_PDL_EstimatedSalePrice5</vt:lpstr>
      <vt:lpstr>CH_PDL_EstimatedSalePrice6</vt:lpstr>
      <vt:lpstr>CH_PDL_EstimatedSalePrice7</vt:lpstr>
      <vt:lpstr>CH_PDL_EstimatedSalePrice8</vt:lpstr>
      <vt:lpstr>CH_PDL_EstimatedSalePrice9</vt:lpstr>
      <vt:lpstr>CH_PDL_FeasibilityPoints</vt:lpstr>
      <vt:lpstr>CH_PDL_FinalMapApproved</vt:lpstr>
      <vt:lpstr>CH_PDL_FinalMapDate</vt:lpstr>
      <vt:lpstr>CH_PDL_FundingBasedOnLeasePaymentPV</vt:lpstr>
      <vt:lpstr>CH_PDL_GasAvailable</vt:lpstr>
      <vt:lpstr>CH_PDL_GPSLat1</vt:lpstr>
      <vt:lpstr>CH_PDL_GPSLat10</vt:lpstr>
      <vt:lpstr>CH_PDL_GPSLat2</vt:lpstr>
      <vt:lpstr>CH_PDL_GPSLat3</vt:lpstr>
      <vt:lpstr>CH_PDL_GPSLat4</vt:lpstr>
      <vt:lpstr>CH_PDL_GPSLat5</vt:lpstr>
      <vt:lpstr>CH_PDL_GPSLat6</vt:lpstr>
      <vt:lpstr>CH_PDL_GPSLat7</vt:lpstr>
      <vt:lpstr>CH_PDL_GPSLat8</vt:lpstr>
      <vt:lpstr>CH_PDL_GPSLat9</vt:lpstr>
      <vt:lpstr>CH_PDL_GPSLong1</vt:lpstr>
      <vt:lpstr>CH_PDL_GPSLong10</vt:lpstr>
      <vt:lpstr>CH_PDL_GPSLong2</vt:lpstr>
      <vt:lpstr>CH_PDL_GPSLong3</vt:lpstr>
      <vt:lpstr>CH_PDL_GPSLong4</vt:lpstr>
      <vt:lpstr>CH_PDL_GPSLong5</vt:lpstr>
      <vt:lpstr>CH_PDL_GPSLong6</vt:lpstr>
      <vt:lpstr>CH_PDL_GPSLong7</vt:lpstr>
      <vt:lpstr>CH_PDL_GPSLong8</vt:lpstr>
      <vt:lpstr>CH_PDL_GPSLong9</vt:lpstr>
      <vt:lpstr>CH_PDL_HasLeaseholderEstate</vt:lpstr>
      <vt:lpstr>CH_PDL_HasSiteControl</vt:lpstr>
      <vt:lpstr>CH_PDL_HouseholdIncome1</vt:lpstr>
      <vt:lpstr>CH_PDL_HouseholdIncome10</vt:lpstr>
      <vt:lpstr>CH_PDL_HouseholdIncome2</vt:lpstr>
      <vt:lpstr>CH_PDL_HouseholdIncome3</vt:lpstr>
      <vt:lpstr>CH_PDL_HouseholdIncome4</vt:lpstr>
      <vt:lpstr>CH_PDL_HouseholdIncome5</vt:lpstr>
      <vt:lpstr>CH_PDL_HouseholdIncome6</vt:lpstr>
      <vt:lpstr>CH_PDL_HouseholdIncome7</vt:lpstr>
      <vt:lpstr>CH_PDL_HouseholdIncome8</vt:lpstr>
      <vt:lpstr>CH_PDL_HouseholdIncome9</vt:lpstr>
      <vt:lpstr>CH_PDL_HousingSupplyPoints</vt:lpstr>
      <vt:lpstr>CH_PDL_InfillSite</vt:lpstr>
      <vt:lpstr>CH_PDL_InfillSiteExplain</vt:lpstr>
      <vt:lpstr>CH_PDL_InHighOrHighestResourceArea</vt:lpstr>
      <vt:lpstr>CH_PDL_LandUseApprovalType1</vt:lpstr>
      <vt:lpstr>CH_PDL_LandUseApprovalType2</vt:lpstr>
      <vt:lpstr>CH_PDL_LandUseApprovalType3</vt:lpstr>
      <vt:lpstr>CH_PDL_LandUseDate1</vt:lpstr>
      <vt:lpstr>CH_PDL_LandUseDate2</vt:lpstr>
      <vt:lpstr>CH_PDL_LandUseDate3</vt:lpstr>
      <vt:lpstr>CH_PDL_LandUseIssuer1</vt:lpstr>
      <vt:lpstr>CH_PDL_LandUseIssuer2</vt:lpstr>
      <vt:lpstr>CH_PDL_LandUseIssuer3</vt:lpstr>
      <vt:lpstr>CH_PDL_LandUseTypeComment1</vt:lpstr>
      <vt:lpstr>CH_PDL_LandUseTypeComment2</vt:lpstr>
      <vt:lpstr>CH_PDL_LandUseTypeComment3</vt:lpstr>
      <vt:lpstr>CH_PDL_LastUnitCompleted</vt:lpstr>
      <vt:lpstr>CH_PDL_LenderRequestingResidualReceipts</vt:lpstr>
      <vt:lpstr>CH_PDL_LienAmount1</vt:lpstr>
      <vt:lpstr>CH_PDL_LienAmount10</vt:lpstr>
      <vt:lpstr>CH_PDL_LienAmount2</vt:lpstr>
      <vt:lpstr>CH_PDL_LienAmount3</vt:lpstr>
      <vt:lpstr>CH_PDL_LienAmount4</vt:lpstr>
      <vt:lpstr>CH_PDL_LienAmount5</vt:lpstr>
      <vt:lpstr>CH_PDL_LienAmount6</vt:lpstr>
      <vt:lpstr>CH_PDL_LienAmount7</vt:lpstr>
      <vt:lpstr>CH_PDL_LienAmount8</vt:lpstr>
      <vt:lpstr>CH_PDL_LienAmount9</vt:lpstr>
      <vt:lpstr>CH_PDL_LoanLimitRequirements</vt:lpstr>
      <vt:lpstr>CH_PDL_LTVLimitRequirements</vt:lpstr>
      <vt:lpstr>CH_PDL_NoHomesToDevelop</vt:lpstr>
      <vt:lpstr>CH_PDL_NoUnitsCompleted</vt:lpstr>
      <vt:lpstr>CH_PDL_OtherUtility</vt:lpstr>
      <vt:lpstr>CH_PDL_PermanentAmount1</vt:lpstr>
      <vt:lpstr>CH_PDL_PermanentAmount2</vt:lpstr>
      <vt:lpstr>CH_PDL_PermanentAmount3</vt:lpstr>
      <vt:lpstr>CH_PDL_PermanentAmount4</vt:lpstr>
      <vt:lpstr>CH_PDL_PermanentAmount5</vt:lpstr>
      <vt:lpstr>CH_PDL_PermanentAmount6</vt:lpstr>
      <vt:lpstr>CH_PDL_PermanentCommitted1</vt:lpstr>
      <vt:lpstr>CH_PDL_PermanentCommitted2</vt:lpstr>
      <vt:lpstr>CH_PDL_PermanentCommitted3</vt:lpstr>
      <vt:lpstr>CH_PDL_PermanentCommitted4</vt:lpstr>
      <vt:lpstr>CH_PDL_PermanentCommitted5</vt:lpstr>
      <vt:lpstr>CH_PDL_PermanentCommitted6</vt:lpstr>
      <vt:lpstr>CH_PDL_PermanentLienPosition1</vt:lpstr>
      <vt:lpstr>CH_PDL_PermanentLienPosition2</vt:lpstr>
      <vt:lpstr>CH_PDL_PermanentLienPosition3</vt:lpstr>
      <vt:lpstr>CH_PDL_PermanentLienPosition4</vt:lpstr>
      <vt:lpstr>CH_PDL_PermanentLienPosition5</vt:lpstr>
      <vt:lpstr>CH_PDL_PermanentLienPosition6</vt:lpstr>
      <vt:lpstr>CH_PDL_PermanentPaymentTerms1</vt:lpstr>
      <vt:lpstr>CH_PDL_PermanentPaymentTerms2</vt:lpstr>
      <vt:lpstr>CH_PDL_PermanentPaymentTerms3</vt:lpstr>
      <vt:lpstr>CH_PDL_PermanentPaymentTerms4</vt:lpstr>
      <vt:lpstr>CH_PDL_PermanentPaymentTerms5</vt:lpstr>
      <vt:lpstr>CH_PDL_PermanentPaymentTerms6</vt:lpstr>
      <vt:lpstr>CH_PDL_PermanentRate1</vt:lpstr>
      <vt:lpstr>CH_PDL_PermanentRate2</vt:lpstr>
      <vt:lpstr>CH_PDL_PermanentRate3</vt:lpstr>
      <vt:lpstr>CH_PDL_PermanentRate4</vt:lpstr>
      <vt:lpstr>CH_PDL_PermanentRate5</vt:lpstr>
      <vt:lpstr>CH_PDL_PermanentRate6</vt:lpstr>
      <vt:lpstr>CH_PDL_PermanentRateType1</vt:lpstr>
      <vt:lpstr>CH_PDL_PermanentRateType2</vt:lpstr>
      <vt:lpstr>CH_PDL_PermanentRateType3</vt:lpstr>
      <vt:lpstr>CH_PDL_PermanentRateType4</vt:lpstr>
      <vt:lpstr>CH_PDL_PermanentRateType5</vt:lpstr>
      <vt:lpstr>CH_PDL_PermanentRateType6</vt:lpstr>
      <vt:lpstr>CH_PDL_PermanentRepayment1</vt:lpstr>
      <vt:lpstr>CH_PDL_PermanentRepayment2</vt:lpstr>
      <vt:lpstr>CH_PDL_PermanentRepayment3</vt:lpstr>
      <vt:lpstr>CH_PDL_PermanentRepayment4</vt:lpstr>
      <vt:lpstr>CH_PDL_PermanentRepayment5</vt:lpstr>
      <vt:lpstr>CH_PDL_PermanentRepayment6</vt:lpstr>
      <vt:lpstr>CH_PDL_PermanentReqDebtService1</vt:lpstr>
      <vt:lpstr>CH_PDL_PermanentReqDebtService2</vt:lpstr>
      <vt:lpstr>CH_PDL_PermanentReqDebtService3</vt:lpstr>
      <vt:lpstr>CH_PDL_PermanentReqDebtService4</vt:lpstr>
      <vt:lpstr>CH_PDL_PermanentReqDebtService5</vt:lpstr>
      <vt:lpstr>CH_PDL_PermanentReqDebtService6</vt:lpstr>
      <vt:lpstr>CH_PDL_PermanentSource2</vt:lpstr>
      <vt:lpstr>CH_PDL_PermanentSource3</vt:lpstr>
      <vt:lpstr>CH_PDL_PermanentSource4</vt:lpstr>
      <vt:lpstr>CH_PDL_PermanentSource5</vt:lpstr>
      <vt:lpstr>CH_PDL_PermanentSource6</vt:lpstr>
      <vt:lpstr>CH_PDL_PreDev1OtherUse</vt:lpstr>
      <vt:lpstr>CH_PDL_PreDev1OtherUse1</vt:lpstr>
      <vt:lpstr>CH_PDL_PreDev1OtherUse2</vt:lpstr>
      <vt:lpstr>CH_PDL_PreDev1OtherUse3</vt:lpstr>
      <vt:lpstr>CH_PDL_PreDev1OtherUse4</vt:lpstr>
      <vt:lpstr>CH_PDL_PreDev1OtherUse5</vt:lpstr>
      <vt:lpstr>CH_PDL_PreDev1OtherUse6</vt:lpstr>
      <vt:lpstr>CH_PDL_PreDev2OtherUse</vt:lpstr>
      <vt:lpstr>CH_PDL_PreDev2OtherUse1</vt:lpstr>
      <vt:lpstr>CH_PDL_PreDev2OtherUse2</vt:lpstr>
      <vt:lpstr>CH_PDL_PreDev2OtherUse3</vt:lpstr>
      <vt:lpstr>CH_PDL_PreDev2OtherUse4</vt:lpstr>
      <vt:lpstr>CH_PDL_PreDev2OtherUse5</vt:lpstr>
      <vt:lpstr>CH_PDL_PreDev2OtherUse6</vt:lpstr>
      <vt:lpstr>CH_PDL_PreDev3OtherUse</vt:lpstr>
      <vt:lpstr>CH_PDL_PreDev3OtherUse1</vt:lpstr>
      <vt:lpstr>CH_PDL_PreDev3OtherUse2</vt:lpstr>
      <vt:lpstr>CH_PDL_PreDev3OtherUse3</vt:lpstr>
      <vt:lpstr>CH_PDL_PreDev3OtherUse4</vt:lpstr>
      <vt:lpstr>CH_PDL_PreDev3OtherUse5</vt:lpstr>
      <vt:lpstr>CH_PDL_PreDev3OtherUse6</vt:lpstr>
      <vt:lpstr>CH_PDL_PreDevAmount1</vt:lpstr>
      <vt:lpstr>CH_PDL_PreDevAmount2</vt:lpstr>
      <vt:lpstr>CH_PDL_PreDevAmount3</vt:lpstr>
      <vt:lpstr>CH_PDL_PreDevAmount4</vt:lpstr>
      <vt:lpstr>CH_PDL_PreDevAmount5</vt:lpstr>
      <vt:lpstr>CH_PDL_PreDevAmount6</vt:lpstr>
      <vt:lpstr>CH_PDL_PreDevArchitectural1</vt:lpstr>
      <vt:lpstr>CH_PDL_PreDevArchitectural2</vt:lpstr>
      <vt:lpstr>CH_PDL_PreDevArchitectural3</vt:lpstr>
      <vt:lpstr>CH_PDL_PreDevArchitectural4</vt:lpstr>
      <vt:lpstr>CH_PDL_PreDevArchitectural5</vt:lpstr>
      <vt:lpstr>CH_PDL_PreDevArchitectural6</vt:lpstr>
      <vt:lpstr>CH_PDL_PreDevBridgeLoanPayoff1</vt:lpstr>
      <vt:lpstr>CH_PDL_PreDevBridgeLoanPayoff2</vt:lpstr>
      <vt:lpstr>CH_PDL_PreDevBridgeLoanPayoff3</vt:lpstr>
      <vt:lpstr>CH_PDL_PreDevBridgeLoanPayoff4</vt:lpstr>
      <vt:lpstr>CH_PDL_PreDevBridgeLoanPayoff5</vt:lpstr>
      <vt:lpstr>CH_PDL_PreDevBridgeLoanPayoff6</vt:lpstr>
      <vt:lpstr>CH_PDL_PreDevBuildingPermits1</vt:lpstr>
      <vt:lpstr>CH_PDL_PreDevBuildingPermits2</vt:lpstr>
      <vt:lpstr>CH_PDL_PreDevBuildingPermits3</vt:lpstr>
      <vt:lpstr>CH_PDL_PreDevBuildingPermits4</vt:lpstr>
      <vt:lpstr>CH_PDL_PreDevBuildingPermits5</vt:lpstr>
      <vt:lpstr>CH_PDL_PreDevBuildingPermits6</vt:lpstr>
      <vt:lpstr>CH_PDL_PreDevCommitted1</vt:lpstr>
      <vt:lpstr>CH_PDL_PreDevCommitted2</vt:lpstr>
      <vt:lpstr>CH_PDL_PreDevCommitted3</vt:lpstr>
      <vt:lpstr>CH_PDL_PreDevCommitted4</vt:lpstr>
      <vt:lpstr>CH_PDL_PreDevCommitted5</vt:lpstr>
      <vt:lpstr>CH_PDL_PreDevCommitted6</vt:lpstr>
      <vt:lpstr>CH_PDL_PreDevContractorBonds1</vt:lpstr>
      <vt:lpstr>CH_PDL_PreDevContractorBonds2</vt:lpstr>
      <vt:lpstr>CH_PDL_PreDevContractorBonds3</vt:lpstr>
      <vt:lpstr>CH_PDL_PreDevContractorBonds4</vt:lpstr>
      <vt:lpstr>CH_PDL_PreDevContractorBonds5</vt:lpstr>
      <vt:lpstr>CH_PDL_PreDevContractorBonds6</vt:lpstr>
      <vt:lpstr>CH_PDL_PreDevEngineering1</vt:lpstr>
      <vt:lpstr>CH_PDL_PreDevEngineering2</vt:lpstr>
      <vt:lpstr>CH_PDL_PreDevEngineering3</vt:lpstr>
      <vt:lpstr>CH_PDL_PreDevEngineering4</vt:lpstr>
      <vt:lpstr>CH_PDL_PreDevEngineering5</vt:lpstr>
      <vt:lpstr>CH_PDL_PreDevEngineering6</vt:lpstr>
      <vt:lpstr>CH_PDL_PreDevEnvironmentalReports1</vt:lpstr>
      <vt:lpstr>CH_PDL_PreDevEnvironmentalReports2</vt:lpstr>
      <vt:lpstr>CH_PDL_PreDevEnvironmentalReports3</vt:lpstr>
      <vt:lpstr>CH_PDL_PreDevEnvironmentalReports4</vt:lpstr>
      <vt:lpstr>CH_PDL_PreDevEnvironmentalReports5</vt:lpstr>
      <vt:lpstr>CH_PDL_PreDevEnvironmentalReports6</vt:lpstr>
      <vt:lpstr>CH_PDL_PreDevEscrowFees1</vt:lpstr>
      <vt:lpstr>CH_PDL_PreDevEscrowFees2</vt:lpstr>
      <vt:lpstr>CH_PDL_PreDevEscrowFees3</vt:lpstr>
      <vt:lpstr>CH_PDL_PreDevEscrowFees4</vt:lpstr>
      <vt:lpstr>CH_PDL_PreDevEscrowFees5</vt:lpstr>
      <vt:lpstr>CH_PDL_PreDevEscrowFees6</vt:lpstr>
      <vt:lpstr>CH_PDL_PreDevFinancingFeesInterest1</vt:lpstr>
      <vt:lpstr>CH_PDL_PreDevFinancingFeesInterest2</vt:lpstr>
      <vt:lpstr>CH_PDL_PreDevFinancingFeesInterest3</vt:lpstr>
      <vt:lpstr>CH_PDL_PreDevFinancingFeesInterest4</vt:lpstr>
      <vt:lpstr>CH_PDL_PreDevFinancingFeesInterest5</vt:lpstr>
      <vt:lpstr>CH_PDL_PreDevFinancingFeesInterest6</vt:lpstr>
      <vt:lpstr>CH_PDL_PreDevInsurance1</vt:lpstr>
      <vt:lpstr>CH_PDL_PreDevInsurance2</vt:lpstr>
      <vt:lpstr>CH_PDL_PreDevInsurance3</vt:lpstr>
      <vt:lpstr>CH_PDL_PreDevInsurance4</vt:lpstr>
      <vt:lpstr>CH_PDL_PreDevInsurance5</vt:lpstr>
      <vt:lpstr>CH_PDL_PreDevInsurance6</vt:lpstr>
      <vt:lpstr>CH_PDL_PreDevLandAcquisition1</vt:lpstr>
      <vt:lpstr>CH_PDL_PreDevLandAcquisition2</vt:lpstr>
      <vt:lpstr>CH_PDL_PreDevLandAcquisition3</vt:lpstr>
      <vt:lpstr>CH_PDL_PreDevLandAcquisition4</vt:lpstr>
      <vt:lpstr>CH_PDL_PreDevLandAcquisition5</vt:lpstr>
      <vt:lpstr>CH_PDL_PreDevLandAcquisition6</vt:lpstr>
      <vt:lpstr>CH_PDL_PreDevLegalFees1</vt:lpstr>
      <vt:lpstr>CH_PDL_PreDevLegalFees2</vt:lpstr>
      <vt:lpstr>CH_PDL_PreDevLegalFees3</vt:lpstr>
      <vt:lpstr>CH_PDL_PreDevLegalFees4</vt:lpstr>
      <vt:lpstr>CH_PDL_PreDevLegalFees5</vt:lpstr>
      <vt:lpstr>CH_PDL_PreDevLegalFees6</vt:lpstr>
      <vt:lpstr>CH_PDL_PreDevLienPosition1</vt:lpstr>
      <vt:lpstr>CH_PDL_PreDevLienPosition2</vt:lpstr>
      <vt:lpstr>CH_PDL_PreDevLienPosition3</vt:lpstr>
      <vt:lpstr>CH_PDL_PreDevLienPosition4</vt:lpstr>
      <vt:lpstr>CH_PDL_PreDevLienPosition5</vt:lpstr>
      <vt:lpstr>CH_PDL_PreDevLienPosition6</vt:lpstr>
      <vt:lpstr>CH_PDL_PreDevOnsiteImprovements1</vt:lpstr>
      <vt:lpstr>CH_PDL_PreDevOnsiteImprovements2</vt:lpstr>
      <vt:lpstr>CH_PDL_PreDevOnsiteImprovements3</vt:lpstr>
      <vt:lpstr>CH_PDL_PreDevOnsiteImprovements4</vt:lpstr>
      <vt:lpstr>CH_PDL_PreDevOnsiteImprovements5</vt:lpstr>
      <vt:lpstr>CH_PDL_PreDevOnsiteImprovements6</vt:lpstr>
      <vt:lpstr>CH_PDL_PreDevPaymentTerms1</vt:lpstr>
      <vt:lpstr>CH_PDL_PreDevPaymentTerms2</vt:lpstr>
      <vt:lpstr>CH_PDL_PreDevPaymentTerms3</vt:lpstr>
      <vt:lpstr>CH_PDL_PreDevPaymentTerms4</vt:lpstr>
      <vt:lpstr>CH_PDL_PreDevPaymentTerms5</vt:lpstr>
      <vt:lpstr>CH_PDL_PreDevPaymentTerms6</vt:lpstr>
      <vt:lpstr>CH_PDL_PreDevRate1</vt:lpstr>
      <vt:lpstr>CH_PDL_PreDevRate2</vt:lpstr>
      <vt:lpstr>CH_PDL_PreDevRate3</vt:lpstr>
      <vt:lpstr>CH_PDL_PreDevRate4</vt:lpstr>
      <vt:lpstr>CH_PDL_PreDevRate5</vt:lpstr>
      <vt:lpstr>CH_PDL_PreDevRate6</vt:lpstr>
      <vt:lpstr>CH_PDL_PreDevReqDebtService1</vt:lpstr>
      <vt:lpstr>CH_PDL_PreDevReqDebtService2</vt:lpstr>
      <vt:lpstr>CH_PDL_PreDevReqDebtService3</vt:lpstr>
      <vt:lpstr>CH_PDL_PreDevReqDebtService4</vt:lpstr>
      <vt:lpstr>CH_PDL_PreDevReqDebtService5</vt:lpstr>
      <vt:lpstr>CH_PDL_PreDevReqDebtService6</vt:lpstr>
      <vt:lpstr>CH_PDL_PreDevSource2</vt:lpstr>
      <vt:lpstr>CH_PDL_PreDevSource3</vt:lpstr>
      <vt:lpstr>CH_PDL_PreDevSource4</vt:lpstr>
      <vt:lpstr>CH_PDL_PreDevSource5</vt:lpstr>
      <vt:lpstr>CH_PDL_PreDevSource6</vt:lpstr>
      <vt:lpstr>CH_PDL_PreDevStateLocalFees1</vt:lpstr>
      <vt:lpstr>CH_PDL_PreDevStateLocalFees2</vt:lpstr>
      <vt:lpstr>CH_PDL_PreDevStateLocalFees3</vt:lpstr>
      <vt:lpstr>CH_PDL_PreDevStateLocalFees4</vt:lpstr>
      <vt:lpstr>CH_PDL_PreDevStateLocalFees5</vt:lpstr>
      <vt:lpstr>CH_PDL_PreDevStateLocalFees6</vt:lpstr>
      <vt:lpstr>CH_PDL_PreDevTaxes1</vt:lpstr>
      <vt:lpstr>CH_PDL_PreDevTaxes2</vt:lpstr>
      <vt:lpstr>CH_PDL_PreDevTaxes3</vt:lpstr>
      <vt:lpstr>CH_PDL_PreDevTaxes4</vt:lpstr>
      <vt:lpstr>CH_PDL_PreDevTaxes5</vt:lpstr>
      <vt:lpstr>CH_PDL_PreDevTaxes6</vt:lpstr>
      <vt:lpstr>CH_PDL_PrepaidLeaseUsed</vt:lpstr>
      <vt:lpstr>CH_PDL_PreviousProgramUnits1</vt:lpstr>
      <vt:lpstr>CH_PDL_PreviousProgramUnits2</vt:lpstr>
      <vt:lpstr>CH_PDL_PreviousProgramUnits3</vt:lpstr>
      <vt:lpstr>CH_PDL_PreviousProgramUnits4</vt:lpstr>
      <vt:lpstr>CH_PDL_PreviousProgramUnits5</vt:lpstr>
      <vt:lpstr>CH_PDL_PreviousProject1</vt:lpstr>
      <vt:lpstr>CH_PDL_PreviousProject2</vt:lpstr>
      <vt:lpstr>CH_PDL_PreviousProject3</vt:lpstr>
      <vt:lpstr>CH_PDL_PreviousProject4</vt:lpstr>
      <vt:lpstr>CH_PDL_PreviousProject5</vt:lpstr>
      <vt:lpstr>CH_PDL_PreviousProjectDate1</vt:lpstr>
      <vt:lpstr>CH_PDL_PreviousProjectDate2</vt:lpstr>
      <vt:lpstr>CH_PDL_PreviousProjectDate3</vt:lpstr>
      <vt:lpstr>CH_PDL_PreviousProjectDate4</vt:lpstr>
      <vt:lpstr>CH_PDL_PreviousProjectDate5</vt:lpstr>
      <vt:lpstr>CH_PDL_ProHousingPoints</vt:lpstr>
      <vt:lpstr>CH_PDL_ProjectName</vt:lpstr>
      <vt:lpstr>CH_PDL_PurchasePrice</vt:lpstr>
      <vt:lpstr>CH_PDL_RentBasedOnRestrictedLandValue</vt:lpstr>
      <vt:lpstr>CH_PDL_RevitalizationPoints</vt:lpstr>
      <vt:lpstr>CH_PDL_SalesDateSource1</vt:lpstr>
      <vt:lpstr>CH_PDL_SalesDateSource10</vt:lpstr>
      <vt:lpstr>CH_PDL_SalesDateSource2</vt:lpstr>
      <vt:lpstr>CH_PDL_SalesDateSource3</vt:lpstr>
      <vt:lpstr>CH_PDL_SalesDateSource4</vt:lpstr>
      <vt:lpstr>CH_PDL_SalesDateSource5</vt:lpstr>
      <vt:lpstr>CH_PDL_SalesDateSource6</vt:lpstr>
      <vt:lpstr>CH_PDL_SalesDateSource7</vt:lpstr>
      <vt:lpstr>CH_PDL_SalesDateSource8</vt:lpstr>
      <vt:lpstr>CH_PDL_SalesDateSource9</vt:lpstr>
      <vt:lpstr>CH_PDL_SEGReportsPrepared</vt:lpstr>
      <vt:lpstr>CH_PDL_SelfHelpHours</vt:lpstr>
      <vt:lpstr>CH_PDL_SewerAvailable</vt:lpstr>
      <vt:lpstr>CH_PDL_SiteControlDocument</vt:lpstr>
      <vt:lpstr>CH_PDL_SiteControlDocumentDate</vt:lpstr>
      <vt:lpstr>CH_PDL_SiteControlSpecialCircumstances</vt:lpstr>
      <vt:lpstr>CH_PDL_SiteImprovements</vt:lpstr>
      <vt:lpstr>CH_PDL_SitePlanReviewApproval</vt:lpstr>
      <vt:lpstr>CH_PDL_SitePlanReviewDate</vt:lpstr>
      <vt:lpstr>CH_PDL_SitePlanReviewIssuer</vt:lpstr>
      <vt:lpstr>CH_PDL_SufficientStaffAndCapacity</vt:lpstr>
      <vt:lpstr>CH_PDL_TentativeMapApproved</vt:lpstr>
      <vt:lpstr>CH_PDL_TentativeMapDate</vt:lpstr>
      <vt:lpstr>CH_PDL_TotalRequested</vt:lpstr>
      <vt:lpstr>CH_PDL_TotalUnits</vt:lpstr>
      <vt:lpstr>CH_PDL_TypeOfHomeToDevelop</vt:lpstr>
      <vt:lpstr>CH_PDL_UnitBathCount1</vt:lpstr>
      <vt:lpstr>CH_PDL_UnitBathCount10</vt:lpstr>
      <vt:lpstr>CH_PDL_UnitBathCount2</vt:lpstr>
      <vt:lpstr>CH_PDL_UnitBathCount3</vt:lpstr>
      <vt:lpstr>CH_PDL_UnitBathCount4</vt:lpstr>
      <vt:lpstr>CH_PDL_UnitBathCount5</vt:lpstr>
      <vt:lpstr>CH_PDL_UnitBathCount6</vt:lpstr>
      <vt:lpstr>CH_PDL_UnitBathCount7</vt:lpstr>
      <vt:lpstr>CH_PDL_UnitBathCount8</vt:lpstr>
      <vt:lpstr>CH_PDL_UnitBathCount9</vt:lpstr>
      <vt:lpstr>CH_PDL_UnitBdrmCount1</vt:lpstr>
      <vt:lpstr>CH_PDL_UnitBdrmCount10</vt:lpstr>
      <vt:lpstr>CH_PDL_UnitBdrmCount2</vt:lpstr>
      <vt:lpstr>CH_PDL_UnitBdrmCount3</vt:lpstr>
      <vt:lpstr>CH_PDL_UnitBdrmCount4</vt:lpstr>
      <vt:lpstr>CH_PDL_UnitBdrmCount5</vt:lpstr>
      <vt:lpstr>CH_PDL_UnitBdrmCount6</vt:lpstr>
      <vt:lpstr>CH_PDL_UnitBdrmCount7</vt:lpstr>
      <vt:lpstr>CH_PDL_UnitBdrmCount8</vt:lpstr>
      <vt:lpstr>CH_PDL_UnitBdrmCount9</vt:lpstr>
      <vt:lpstr>CH_PDL_UnitCost1</vt:lpstr>
      <vt:lpstr>CH_PDL_UnitCost10</vt:lpstr>
      <vt:lpstr>CH_PDL_UnitCost2</vt:lpstr>
      <vt:lpstr>CH_PDL_UnitCost3</vt:lpstr>
      <vt:lpstr>CH_PDL_UnitCost4</vt:lpstr>
      <vt:lpstr>CH_PDL_UnitCost5</vt:lpstr>
      <vt:lpstr>CH_PDL_UnitCost6</vt:lpstr>
      <vt:lpstr>CH_PDL_UnitCost7</vt:lpstr>
      <vt:lpstr>CH_PDL_UnitCost8</vt:lpstr>
      <vt:lpstr>CH_PDL_UnitCost9</vt:lpstr>
      <vt:lpstr>CH_PDL_UnitCount1</vt:lpstr>
      <vt:lpstr>CH_PDL_UnitCount10</vt:lpstr>
      <vt:lpstr>CH_PDL_UnitCount2</vt:lpstr>
      <vt:lpstr>CH_PDL_UnitCount3</vt:lpstr>
      <vt:lpstr>CH_PDL_UnitCount4</vt:lpstr>
      <vt:lpstr>CH_PDL_UnitCount5</vt:lpstr>
      <vt:lpstr>CH_PDL_UnitCount6</vt:lpstr>
      <vt:lpstr>CH_PDL_UnitCount7</vt:lpstr>
      <vt:lpstr>CH_PDL_UnitCount8</vt:lpstr>
      <vt:lpstr>CH_PDL_UnitCount9</vt:lpstr>
      <vt:lpstr>CH_PDL_UnitsAlreadyCompleted</vt:lpstr>
      <vt:lpstr>CH_PDL_UnitSqft1</vt:lpstr>
      <vt:lpstr>CH_PDL_UnitSqft10</vt:lpstr>
      <vt:lpstr>CH_PDL_UnitSqft2</vt:lpstr>
      <vt:lpstr>CH_PDL_UnitSqft3</vt:lpstr>
      <vt:lpstr>CH_PDL_UnitSqft4</vt:lpstr>
      <vt:lpstr>CH_PDL_UnitSqft5</vt:lpstr>
      <vt:lpstr>CH_PDL_UnitSqft6</vt:lpstr>
      <vt:lpstr>CH_PDL_UnitSqft7</vt:lpstr>
      <vt:lpstr>CH_PDL_UnitSqft8</vt:lpstr>
      <vt:lpstr>CH_PDL_UnitSqft9</vt:lpstr>
      <vt:lpstr>CH_PDL_VolunteerAndTrainingPoints</vt:lpstr>
      <vt:lpstr>CH_PDL_VolunteerHours</vt:lpstr>
      <vt:lpstr>CH_PDL_WaterAvailable</vt:lpstr>
      <vt:lpstr>CH_PDL_YouthTrainingHours</vt:lpstr>
      <vt:lpstr>CH_PDL_Zip1</vt:lpstr>
      <vt:lpstr>CH_PDL_Zip10</vt:lpstr>
      <vt:lpstr>CH_PDL_Zip2</vt:lpstr>
      <vt:lpstr>CH_PDL_Zip3</vt:lpstr>
      <vt:lpstr>CH_PDL_Zip4</vt:lpstr>
      <vt:lpstr>CH_PDL_Zip5</vt:lpstr>
      <vt:lpstr>CH_PDL_Zip6</vt:lpstr>
      <vt:lpstr>CH_PDL_Zip7</vt:lpstr>
      <vt:lpstr>CH_PDL_Zip8</vt:lpstr>
      <vt:lpstr>CH_PDL_Zip9</vt:lpstr>
      <vt:lpstr>CH_PDL_ZoningApproval</vt:lpstr>
      <vt:lpstr>CH_PDL_ZoningApprovalIssuer</vt:lpstr>
      <vt:lpstr>CH_PDL_ZoningDate</vt:lpstr>
      <vt:lpstr>CH_SH_2YearsExpInLast4Years</vt:lpstr>
      <vt:lpstr>CH_SH_AdministrationPlan</vt:lpstr>
      <vt:lpstr>CH_SH_ApplyingForRuralAreaSetAside</vt:lpstr>
      <vt:lpstr>CH_SH_CompletionStatus</vt:lpstr>
      <vt:lpstr>CH_SH_IncludesRequiredFeatures</vt:lpstr>
      <vt:lpstr>CH_SH_InHighResourceArea</vt:lpstr>
      <vt:lpstr>CH_SH_NoRentingMoreThan2Rooms</vt:lpstr>
      <vt:lpstr>CH_SH_PreviousProgram1</vt:lpstr>
      <vt:lpstr>CH_SH_PreviousProgram2</vt:lpstr>
      <vt:lpstr>CH_SH_PreviousProgram3</vt:lpstr>
      <vt:lpstr>CH_SH_PreviousProgram4</vt:lpstr>
      <vt:lpstr>CH_SH_PreviousProgram5</vt:lpstr>
      <vt:lpstr>CH_SH_PreviousProgramEnd1</vt:lpstr>
      <vt:lpstr>CH_SH_PreviousProgramEnd2</vt:lpstr>
      <vt:lpstr>CH_SH_PreviousProgramEnd3</vt:lpstr>
      <vt:lpstr>CH_SH_PreviousProgramEnd4</vt:lpstr>
      <vt:lpstr>CH_SH_PreviousProgramEnd5</vt:lpstr>
      <vt:lpstr>CH_SH_PreviousProgramStart1</vt:lpstr>
      <vt:lpstr>CH_SH_PreviousProgramStart2</vt:lpstr>
      <vt:lpstr>CH_SH_PreviousProgramStart3</vt:lpstr>
      <vt:lpstr>CH_SH_PreviousProgramStart4</vt:lpstr>
      <vt:lpstr>CH_SH_PreviousProgramStart5</vt:lpstr>
      <vt:lpstr>CH_SH_PreviousProgramUnits1</vt:lpstr>
      <vt:lpstr>CH_SH_PreviousProgramUnits2</vt:lpstr>
      <vt:lpstr>CH_SH_PreviousProgramUnits3</vt:lpstr>
      <vt:lpstr>CH_SH_PreviousProgramUnits4</vt:lpstr>
      <vt:lpstr>CH_SH_PreviousProgramUnits5</vt:lpstr>
      <vt:lpstr>CH_SH_ProgramDescription</vt:lpstr>
      <vt:lpstr>CH_SH_RuralCapabilityPoints</vt:lpstr>
      <vt:lpstr>CH_SH_RuralCommunityNeedPoints</vt:lpstr>
      <vt:lpstr>CH_SH_RuralFeasibilityPoints</vt:lpstr>
      <vt:lpstr>CH_SH_RuralHousingSupplyPoints</vt:lpstr>
      <vt:lpstr>CH_SH_RuralProHousingPoints</vt:lpstr>
      <vt:lpstr>CH_SH_RuralRevitalizationPoints</vt:lpstr>
      <vt:lpstr>CH_SH_RuralTotalRequested</vt:lpstr>
      <vt:lpstr>CH_SH_UnrestrictedCapabilityPoints</vt:lpstr>
      <vt:lpstr>CH_SH_UnrestrictedCommunityNeedPoints</vt:lpstr>
      <vt:lpstr>CH_SH_UnrestrictedFeasibilityPoints</vt:lpstr>
      <vt:lpstr>CH_SH_UnrestrictedHousingSupplyPoints</vt:lpstr>
      <vt:lpstr>CH_SH_UnrestrictedProHousingPoints</vt:lpstr>
      <vt:lpstr>CH_SH_UnrestrictedRevitalizationPoints</vt:lpstr>
      <vt:lpstr>CH_SH_UnrestrictedTotalRequested</vt:lpstr>
      <vt:lpstr>CH_SH_WillNotExceed50PctBudget</vt:lpstr>
      <vt:lpstr>CH_SHTA_2YearsExpInLast4Years</vt:lpstr>
      <vt:lpstr>CH_SHTA_AdministrationPlan</vt:lpstr>
      <vt:lpstr>CH_SHTA_ApplyingForManufacturedHomeSetAside</vt:lpstr>
      <vt:lpstr>CH_SHTA_ApplyingForRuralAreaSetAside</vt:lpstr>
      <vt:lpstr>CH_SHTA_CompletionStatus</vt:lpstr>
      <vt:lpstr>CH_SHTA_DevelopEmployGuidelines</vt:lpstr>
      <vt:lpstr>CH_SHTA_InHighResourceArea</vt:lpstr>
      <vt:lpstr>CH_SHTA_ManufacturedCapabilityPoints</vt:lpstr>
      <vt:lpstr>CH_SHTA_ManufacturedCommunityNeedPoints</vt:lpstr>
      <vt:lpstr>CH_SHTA_ManufacturedFeasibilityPoints</vt:lpstr>
      <vt:lpstr>CH_SHTA_ManufacturedHousingSupplyPoints</vt:lpstr>
      <vt:lpstr>CH_SHTA_ManufacturedProHousingPoints</vt:lpstr>
      <vt:lpstr>CH_SHTA_ManufacturedRevitalizationPoints</vt:lpstr>
      <vt:lpstr>CH_SHTA_ManufacturedTotalRequested</vt:lpstr>
      <vt:lpstr>CH_SHTA_ManufacturedTotalUnits</vt:lpstr>
      <vt:lpstr>CH_SHTA_ManufacturedVolunteerAndTrainingPoints</vt:lpstr>
      <vt:lpstr>CH_SHTA_MFDRuralCapabilityPoints</vt:lpstr>
      <vt:lpstr>CH_SHTA_MFDRuralCommunityNeedPoints</vt:lpstr>
      <vt:lpstr>CH_SHTA_MFDRuralFeasibilityPoints</vt:lpstr>
      <vt:lpstr>CH_SHTA_MFDRuralHousingSupplyPoints</vt:lpstr>
      <vt:lpstr>CH_SHTA_MFDRuralProHousingPoints</vt:lpstr>
      <vt:lpstr>CH_SHTA_MFDRuralRevitalizationPoints</vt:lpstr>
      <vt:lpstr>CH_SHTA_MFDRuralTotalRequested</vt:lpstr>
      <vt:lpstr>CH_SHTA_MFDRuralTotalUnits</vt:lpstr>
      <vt:lpstr>CH_SHTA_MFDRuralVolunteerAndTrainingPoints</vt:lpstr>
      <vt:lpstr>CH_SHTA_PreviousProgram1</vt:lpstr>
      <vt:lpstr>CH_SHTA_PreviousProgram2</vt:lpstr>
      <vt:lpstr>CH_SHTA_PreviousProgram3</vt:lpstr>
      <vt:lpstr>CH_SHTA_PreviousProgram4</vt:lpstr>
      <vt:lpstr>CH_SHTA_PreviousProgram5</vt:lpstr>
      <vt:lpstr>CH_SHTA_PreviousProgramEnd1</vt:lpstr>
      <vt:lpstr>CH_SHTA_PreviousProgramEnd2</vt:lpstr>
      <vt:lpstr>CH_SHTA_PreviousProgramEnd3</vt:lpstr>
      <vt:lpstr>CH_SHTA_PreviousProgramEnd4</vt:lpstr>
      <vt:lpstr>CH_SHTA_PreviousProgramEnd5</vt:lpstr>
      <vt:lpstr>CH_SHTA_PreviousProgramStart1</vt:lpstr>
      <vt:lpstr>CH_SHTA_PreviousProgramStart2</vt:lpstr>
      <vt:lpstr>CH_SHTA_PreviousProgramStart3</vt:lpstr>
      <vt:lpstr>CH_SHTA_PreviousProgramStart4</vt:lpstr>
      <vt:lpstr>CH_SHTA_PreviousProgramStart5</vt:lpstr>
      <vt:lpstr>CH_SHTA_PreviousProgramUnits1</vt:lpstr>
      <vt:lpstr>CH_SHTA_PreviousProgramUnits2</vt:lpstr>
      <vt:lpstr>CH_SHTA_PreviousProgramUnits3</vt:lpstr>
      <vt:lpstr>CH_SHTA_PreviousProgramUnits4</vt:lpstr>
      <vt:lpstr>CH_SHTA_PreviousProgramUnits5</vt:lpstr>
      <vt:lpstr>CH_SHTA_ProgramDescription</vt:lpstr>
      <vt:lpstr>CH_SHTA_RuralCapabilityPoints</vt:lpstr>
      <vt:lpstr>CH_SHTA_RuralCommunityNeedPoints</vt:lpstr>
      <vt:lpstr>CH_SHTA_RuralFeasibilityPoints</vt:lpstr>
      <vt:lpstr>CH_SHTA_RuralHousingSupplyPoints</vt:lpstr>
      <vt:lpstr>CH_SHTA_RuralProHousingPoints</vt:lpstr>
      <vt:lpstr>CH_SHTA_RuralRevitalizationPoints</vt:lpstr>
      <vt:lpstr>CH_SHTA_RuralTotalRequested</vt:lpstr>
      <vt:lpstr>CH_SHTA_RuralTotalUnits</vt:lpstr>
      <vt:lpstr>CH_SHTA_RuralVolunteerAndTrainingPoints</vt:lpstr>
      <vt:lpstr>CH_SHTA_SelfHelpHours</vt:lpstr>
      <vt:lpstr>CH_SHTA_SoldHomeNotExceedAppraisedValue</vt:lpstr>
      <vt:lpstr>CH_SHTA_TotalRequested</vt:lpstr>
      <vt:lpstr>CH_SHTA_UnrestrictedCapabilityPoints</vt:lpstr>
      <vt:lpstr>CH_SHTA_UnrestrictedCommunityNeedPoints</vt:lpstr>
      <vt:lpstr>CH_SHTA_UnrestrictedFeasibilityPoints</vt:lpstr>
      <vt:lpstr>CH_SHTA_UnrestrictedHousingSupplyPoints</vt:lpstr>
      <vt:lpstr>CH_SHTA_UnrestrictedProHousingPoints</vt:lpstr>
      <vt:lpstr>CH_SHTA_UnrestrictedRevitalizationPoints</vt:lpstr>
      <vt:lpstr>CH_SHTA_UnrestrictedTotalRequested</vt:lpstr>
      <vt:lpstr>CH_SHTA_UnrestrictedTotalUnits</vt:lpstr>
      <vt:lpstr>CH_SHTA_UnrestrictedVolunteerAndTrainingPoints</vt:lpstr>
      <vt:lpstr>CH_SHTA_VolunteerHours</vt:lpstr>
      <vt:lpstr>CH_SHTA_YouthTrainingHours</vt:lpstr>
      <vt:lpstr>Application!Print_Area</vt:lpstr>
      <vt:lpstr>CoverPage!Print_Area</vt:lpstr>
      <vt:lpstr>Instructions!Print_Area</vt:lpstr>
      <vt:lpstr>ProjectData!Print_Area</vt:lpstr>
      <vt:lpstr>S1_AMH_2YearsExpInLast4Years</vt:lpstr>
      <vt:lpstr>S1_AMH_AdministrationPlan</vt:lpstr>
      <vt:lpstr>S1_AMH_ApplyingForRuralSetAside</vt:lpstr>
      <vt:lpstr>S1_AMH_AreaNeedsAgHousing</vt:lpstr>
      <vt:lpstr>S1_AMH_CompletionStatus</vt:lpstr>
      <vt:lpstr>S1_AMH_HighResourceArea</vt:lpstr>
      <vt:lpstr>S1_AMH_MarketStudy</vt:lpstr>
      <vt:lpstr>S1_AMH_NewHomesFromLicensedSupplier</vt:lpstr>
      <vt:lpstr>S1_AMH_OwnerOccupiedAgWorker</vt:lpstr>
      <vt:lpstr>S1_AMH_PreviousProgram1</vt:lpstr>
      <vt:lpstr>S1_AMH_PreviousProgram2</vt:lpstr>
      <vt:lpstr>S1_AMH_PreviousProgram3</vt:lpstr>
      <vt:lpstr>S1_AMH_PreviousProgram4</vt:lpstr>
      <vt:lpstr>S1_AMH_PreviousProgram5</vt:lpstr>
      <vt:lpstr>S1_AMH_PreviousProgramEnd1</vt:lpstr>
      <vt:lpstr>S1_AMH_PreviousProgramEnd2</vt:lpstr>
      <vt:lpstr>S1_AMH_PreviousProgramEnd3</vt:lpstr>
      <vt:lpstr>S1_AMH_PreviousProgramEnd4</vt:lpstr>
      <vt:lpstr>S1_AMH_PreviousProgramEnd5</vt:lpstr>
      <vt:lpstr>S1_AMH_PreviousProgramStart1</vt:lpstr>
      <vt:lpstr>S1_AMH_PreviousProgramStart2</vt:lpstr>
      <vt:lpstr>S1_AMH_PreviousProgramStart3</vt:lpstr>
      <vt:lpstr>S1_AMH_PreviousProgramStart4</vt:lpstr>
      <vt:lpstr>S1_AMH_PreviousProgramStart5</vt:lpstr>
      <vt:lpstr>S1_AMH_PreviousProgramUnits1</vt:lpstr>
      <vt:lpstr>S1_AMH_PreviousProgramUnits2</vt:lpstr>
      <vt:lpstr>S1_AMH_PreviousProgramUnits3</vt:lpstr>
      <vt:lpstr>S1_AMH_PreviousProgramUnits4</vt:lpstr>
      <vt:lpstr>S1_AMH_PreviousProgramUnits5</vt:lpstr>
      <vt:lpstr>S1_AMH_ProgramDescription</vt:lpstr>
      <vt:lpstr>S1_AMH_RuralCapabilityPoints</vt:lpstr>
      <vt:lpstr>S1_AMH_RuralCommunityNeedPoints</vt:lpstr>
      <vt:lpstr>S1_AMH_RuralFarmworkerNeedPoints</vt:lpstr>
      <vt:lpstr>S1_AMH_RuralFeasibilityPoints</vt:lpstr>
      <vt:lpstr>S1_AMH_RuralHousingSupplyPoints</vt:lpstr>
      <vt:lpstr>S1_AMH_RuralProHousingPoints</vt:lpstr>
      <vt:lpstr>S1_AMH_RuralRevitalizationPoints</vt:lpstr>
      <vt:lpstr>S1_AMH_RuralTotalRequested</vt:lpstr>
      <vt:lpstr>S1_AMH_UnrestrictedCapabilityPoints</vt:lpstr>
      <vt:lpstr>S1_AMH_UnrestrictedCommunityNeedPoints</vt:lpstr>
      <vt:lpstr>S1_AMH_UnrestrictedFarmworkerNeedPoints</vt:lpstr>
      <vt:lpstr>S1_AMH_UnrestrictedFeasibilityPoints</vt:lpstr>
      <vt:lpstr>S1_AMH_UnrestrictedHousingSupplyPoints</vt:lpstr>
      <vt:lpstr>S1_AMH_UnrestrictedProHousingPoints</vt:lpstr>
      <vt:lpstr>S1_AMH_UnrestrictedRevitalizationPoints</vt:lpstr>
      <vt:lpstr>S1_AMH_UnrestrictedTotalRequested</vt:lpstr>
      <vt:lpstr>S1_AMH_UnrestrictedTotalUnits</vt:lpstr>
      <vt:lpstr>S1_ER_ADUsNotInHousehold</vt:lpstr>
      <vt:lpstr>S1_ER_CBD2ProgramsIn10Mi</vt:lpstr>
      <vt:lpstr>S1_ER_CBD2YHousingDevExperience</vt:lpstr>
      <vt:lpstr>S1_ER_CBD2YHousingDevExpOr523Grant</vt:lpstr>
      <vt:lpstr>S1_ER_CBD2YrsInModResOrHighSegPov</vt:lpstr>
      <vt:lpstr>S1_ER_CBD5YrExpToLowIncome</vt:lpstr>
      <vt:lpstr>S1_ER_CBDCultAndLingCompet</vt:lpstr>
      <vt:lpstr>S1_ER_CBDDemKnowAndCommit</vt:lpstr>
      <vt:lpstr>S1_ER_CBDEduAndLiteracy</vt:lpstr>
      <vt:lpstr>S1_ER_CBDEmergencyAndCrisis</vt:lpstr>
      <vt:lpstr>S1_ER_CBDEntityType</vt:lpstr>
      <vt:lpstr>S1_ER_CBDEnvironmental</vt:lpstr>
      <vt:lpstr>S1_ER_CBDGrantFundsForServices</vt:lpstr>
      <vt:lpstr>S1_ER_CBDHealthAndWellness</vt:lpstr>
      <vt:lpstr>S1_ER_CBDHousingAndEconDev</vt:lpstr>
      <vt:lpstr>S1_ER_CBDHQOr3ProjectsIn10mi</vt:lpstr>
      <vt:lpstr>S1_ER_CBDHumanAndSocialServices</vt:lpstr>
      <vt:lpstr>S1_ER_CBDMembershipAndRecruitment</vt:lpstr>
      <vt:lpstr>S1_ER_CBDMissionIncludesHousing</vt:lpstr>
      <vt:lpstr>S1_ER_CBDNotControlled</vt:lpstr>
      <vt:lpstr>S1_ER_CBDNutritionAndFoodSecurity</vt:lpstr>
      <vt:lpstr>S1_ER_CBDRecHiringfromCommunity</vt:lpstr>
      <vt:lpstr>S1_ER_CBDSeniorPrograms</vt:lpstr>
      <vt:lpstr>S1_ER_CBDTaxExemptPurposeActivity</vt:lpstr>
      <vt:lpstr>S1_ER_ComplyWithAdminRequirements</vt:lpstr>
      <vt:lpstr>S1_ER_ConstructionNotStarted</vt:lpstr>
      <vt:lpstr>S1_ER_EligibleApplicant</vt:lpstr>
      <vt:lpstr>S1_ER_HasAuthorityAndMeetsPrereqs</vt:lpstr>
      <vt:lpstr>S1_ER_LLC2YHousingDevExperience</vt:lpstr>
      <vt:lpstr>S1_ER_LLCMissionIncludesHousing</vt:lpstr>
      <vt:lpstr>S1_ER_LLCNotControlled</vt:lpstr>
      <vt:lpstr>S1_ER_LoanServicingPlan</vt:lpstr>
      <vt:lpstr>S1_ER_LoansWillIncludeTerms</vt:lpstr>
      <vt:lpstr>S1_ER_LP2YHousingDevExperience</vt:lpstr>
      <vt:lpstr>S1_ER_LPE2YHousingDevExp</vt:lpstr>
      <vt:lpstr>S1_ER_LPEProHousingDesignation</vt:lpstr>
      <vt:lpstr>S1_ER_LPEProjectInJusisdiction</vt:lpstr>
      <vt:lpstr>S1_ER_LPESingleAdministrator</vt:lpstr>
      <vt:lpstr>S1_ER_LPMissionIncludesHousing</vt:lpstr>
      <vt:lpstr>S1_ER_LPNotControlled</vt:lpstr>
      <vt:lpstr>S1_ER_NP2YHousingDevExperience</vt:lpstr>
      <vt:lpstr>S1_ER_NP2YrProgramExpOr523Grant</vt:lpstr>
      <vt:lpstr>S1_ER_NPMissionIncludesHousing</vt:lpstr>
      <vt:lpstr>S1_ER_NPNotControlled</vt:lpstr>
      <vt:lpstr>S1_ER_NPTaxExemptPurposeActivity</vt:lpstr>
      <vt:lpstr>S1_ER_OnlyEligibleCostsPaidWithAward</vt:lpstr>
      <vt:lpstr>S1_ER_OnlyEligibleHouseholds</vt:lpstr>
      <vt:lpstr>S1_ER_PendingLawsuits</vt:lpstr>
      <vt:lpstr>S1_ER_ReuseAccountPlan</vt:lpstr>
      <vt:lpstr>S1_ER_SubmittedOutstandingReports</vt:lpstr>
      <vt:lpstr>S1_ER_SufficientStability</vt:lpstr>
      <vt:lpstr>S1_ER_UnresolvedFinding</vt:lpstr>
      <vt:lpstr>S1_ER_WillDevelopUnderwritingGuidelines</vt:lpstr>
      <vt:lpstr>S1_ER_WillImplement</vt:lpstr>
      <vt:lpstr>S1_MA_2YearsExpInLast4Years</vt:lpstr>
      <vt:lpstr>S1_MA_AdministrationPlan</vt:lpstr>
      <vt:lpstr>S1_MA_ApplyingForRuralAreaSetAside</vt:lpstr>
      <vt:lpstr>S1_MA_CompletionStatus</vt:lpstr>
      <vt:lpstr>S1_MA_DevelopEmployGuidelines</vt:lpstr>
      <vt:lpstr>S1_MA_InfillArea</vt:lpstr>
      <vt:lpstr>S1_MA_InformAndAssistHomebuyer</vt:lpstr>
      <vt:lpstr>S1_MA_InHighResourceArea</vt:lpstr>
      <vt:lpstr>S1_MA_MarketStudy</vt:lpstr>
      <vt:lpstr>S1_MA_NoUnpermittedMobilehomeParks</vt:lpstr>
      <vt:lpstr>S1_MA_ObtainAppraisalsRequired</vt:lpstr>
      <vt:lpstr>S1_MA_PreviousProgram1</vt:lpstr>
      <vt:lpstr>S1_MA_PreviousProgram2</vt:lpstr>
      <vt:lpstr>S1_MA_PreviousProgram3</vt:lpstr>
      <vt:lpstr>S1_MA_PreviousProgram4</vt:lpstr>
      <vt:lpstr>S1_MA_PreviousProgram5</vt:lpstr>
      <vt:lpstr>S1_MA_PreviousProgramEnd1</vt:lpstr>
      <vt:lpstr>S1_MA_PreviousProgramEnd2</vt:lpstr>
      <vt:lpstr>S1_MA_PreviousProgramEnd3</vt:lpstr>
      <vt:lpstr>S1_MA_PreviousProgramEnd4</vt:lpstr>
      <vt:lpstr>S1_MA_PreviousProgramEnd5</vt:lpstr>
      <vt:lpstr>S1_MA_PreviousProgramStart1</vt:lpstr>
      <vt:lpstr>S1_MA_PreviousProgramStart2</vt:lpstr>
      <vt:lpstr>S1_MA_PreviousProgramStart3</vt:lpstr>
      <vt:lpstr>S1_MA_PreviousProgramStart4</vt:lpstr>
      <vt:lpstr>S1_MA_PreviousProgramStart5</vt:lpstr>
      <vt:lpstr>S1_MA_PreviousProgramUnits1</vt:lpstr>
      <vt:lpstr>S1_MA_PreviousProgramUnits2</vt:lpstr>
      <vt:lpstr>S1_MA_PreviousProgramUnits3</vt:lpstr>
      <vt:lpstr>S1_MA_PreviousProgramUnits4</vt:lpstr>
      <vt:lpstr>S1_MA_PreviousProgramUnits5</vt:lpstr>
      <vt:lpstr>S1_MA_ProgramDescription</vt:lpstr>
      <vt:lpstr>S1_MA_ResponsibleForInspections</vt:lpstr>
      <vt:lpstr>S1_MA_RuralCapabilityPoints</vt:lpstr>
      <vt:lpstr>S1_MA_RuralCommunityNeedPoints</vt:lpstr>
      <vt:lpstr>S1_MA_RuralFarmworkerNeedPoints</vt:lpstr>
      <vt:lpstr>S1_MA_RuralFeasibilityPoints</vt:lpstr>
      <vt:lpstr>S1_MA_RuralHousingSupplyPoints</vt:lpstr>
      <vt:lpstr>S1_MA_RuralPctOfTotalRequested</vt:lpstr>
      <vt:lpstr>S1_MA_RuralProHousingPoints</vt:lpstr>
      <vt:lpstr>S1_MA_RuralRevitalizationPoints</vt:lpstr>
      <vt:lpstr>S1_MA_RuralTotalRequested</vt:lpstr>
      <vt:lpstr>S1_MA_RuralTotalUnits</vt:lpstr>
      <vt:lpstr>S1_MA_RuralVolunteerAndTrainingPoints</vt:lpstr>
      <vt:lpstr>S1_MA_SelfHelpHours</vt:lpstr>
      <vt:lpstr>S1_MA_UnrestrictedCapabilityPoints</vt:lpstr>
      <vt:lpstr>S1_MA_UnrestrictedCommunityNeedPoints</vt:lpstr>
      <vt:lpstr>S1_MA_UnrestrictedFeasibilityPoints</vt:lpstr>
      <vt:lpstr>S1_MA_UnrestrictedHousingSupplyPoints</vt:lpstr>
      <vt:lpstr>S1_MA_UnrestrictedPctOfTotalRequested</vt:lpstr>
      <vt:lpstr>S1_MA_UnrestrictedProHousingPoints</vt:lpstr>
      <vt:lpstr>S1_MA_UnrestrictedRevitalizationPoints</vt:lpstr>
      <vt:lpstr>S1_MA_UnrestrictedTotalRequested</vt:lpstr>
      <vt:lpstr>S1_MA_UnrestrictedTotalUnits</vt:lpstr>
      <vt:lpstr>S1_MA_UnrestrictedVolunteerAndTrainingPoints</vt:lpstr>
      <vt:lpstr>S1_MA_VolunteerHours</vt:lpstr>
      <vt:lpstr>S1_MA_YouthTrainingHours</vt:lpstr>
      <vt:lpstr>S1_OOR_2YearsExpInLast4Years</vt:lpstr>
      <vt:lpstr>S1_OOR_AdministrationPlan</vt:lpstr>
      <vt:lpstr>S1_OOR_ApplyingForRuralAreaSetAside</vt:lpstr>
      <vt:lpstr>S1_OOR_AppraisalBeforeStartingRehab</vt:lpstr>
      <vt:lpstr>S1_OOR_BorrowersMaintainInsurance</vt:lpstr>
      <vt:lpstr>S1_OOR_CompletionStatus</vt:lpstr>
      <vt:lpstr>S1_OOR_DevelopAndEmployGuidelines</vt:lpstr>
      <vt:lpstr>S1_OOR_InHighRescArea</vt:lpstr>
      <vt:lpstr>S1_OOR_MarketStudy</vt:lpstr>
      <vt:lpstr>S1_OOR_NoCashWithdrawnFromEscrow</vt:lpstr>
      <vt:lpstr>S1_OOR_ObtainTitleInsurance</vt:lpstr>
      <vt:lpstr>S1_OOR_PreviousProgram1</vt:lpstr>
      <vt:lpstr>S1_OOR_PreviousProgram2</vt:lpstr>
      <vt:lpstr>S1_OOR_PreviousProgram3</vt:lpstr>
      <vt:lpstr>S1_OOR_PreviousProgram4</vt:lpstr>
      <vt:lpstr>S1_OOR_PreviousProgram5</vt:lpstr>
      <vt:lpstr>S1_OOR_PreviousProgramEnd1</vt:lpstr>
      <vt:lpstr>S1_OOR_PreviousProgramEnd2</vt:lpstr>
      <vt:lpstr>S1_OOR_PreviousProgramEnd3</vt:lpstr>
      <vt:lpstr>S1_OOR_PreviousProgramEnd4</vt:lpstr>
      <vt:lpstr>S1_OOR_PreviousProgramEnd5</vt:lpstr>
      <vt:lpstr>S1_OOR_PreviousProgramStart1</vt:lpstr>
      <vt:lpstr>S1_OOR_PreviousProgramStart2</vt:lpstr>
      <vt:lpstr>S1_OOR_PreviousProgramStart3</vt:lpstr>
      <vt:lpstr>S1_OOR_PreviousProgramStart4</vt:lpstr>
      <vt:lpstr>S1_OOR_PreviousProgramStart5</vt:lpstr>
      <vt:lpstr>S1_OOR_PreviousProgramUnits1</vt:lpstr>
      <vt:lpstr>S1_OOR_PreviousProgramUnits2</vt:lpstr>
      <vt:lpstr>S1_OOR_PreviousProgramUnits3</vt:lpstr>
      <vt:lpstr>S1_OOR_PreviousProgramUnits4</vt:lpstr>
      <vt:lpstr>S1_OOR_PreviousProgramUnits5</vt:lpstr>
      <vt:lpstr>S1_OOR_ProgramDescription</vt:lpstr>
      <vt:lpstr>S1_OOR_RuralCapabilityPoints</vt:lpstr>
      <vt:lpstr>S1_OOR_RuralCommunityNeedPoints</vt:lpstr>
      <vt:lpstr>S1_OOR_RuralFarmworkerNeedPoints</vt:lpstr>
      <vt:lpstr>S1_OOR_RuralFeasibilityPoints</vt:lpstr>
      <vt:lpstr>S1_OOR_RuralProHousingPoints</vt:lpstr>
      <vt:lpstr>S1_OOR_RuralRevitalizationPoints</vt:lpstr>
      <vt:lpstr>S1_OOR_RuralTotalRequested</vt:lpstr>
      <vt:lpstr>S1_OOR_RuralTotalUnits</vt:lpstr>
      <vt:lpstr>S1_OOR_UnrestrictedCapabilityPoints</vt:lpstr>
      <vt:lpstr>S1_OOR_UnrestrictedCommunityNeedPoints</vt:lpstr>
      <vt:lpstr>S1_OOR_UnrestrictedFarmworkerNeedPoints</vt:lpstr>
      <vt:lpstr>S1_OOR_UnrestrictedFeasibilityPoints</vt:lpstr>
      <vt:lpstr>S1_OOR_UnrestrictedProHousingPoints</vt:lpstr>
      <vt:lpstr>S1_OOR_UnrestrictedRevitalizationPoints</vt:lpstr>
      <vt:lpstr>S1_OOR_UnrestrictedTotalRequested</vt:lpstr>
      <vt:lpstr>S1_OOR_UnrestrictedTotalUnits</vt:lpstr>
      <vt:lpstr>S1_PDL_2SimilarProjectsInLast4yrs</vt:lpstr>
      <vt:lpstr>S1_PDL_AcquisitionCost0InDevBudget</vt:lpstr>
      <vt:lpstr>S1_PDL_Address1</vt:lpstr>
      <vt:lpstr>S1_PDL_Address10</vt:lpstr>
      <vt:lpstr>S1_PDL_Address2</vt:lpstr>
      <vt:lpstr>S1_PDL_Address3</vt:lpstr>
      <vt:lpstr>S1_PDL_Address4</vt:lpstr>
      <vt:lpstr>S1_PDL_Address5</vt:lpstr>
      <vt:lpstr>S1_PDL_Address6</vt:lpstr>
      <vt:lpstr>S1_PDL_Address7</vt:lpstr>
      <vt:lpstr>S1_PDL_Address8</vt:lpstr>
      <vt:lpstr>S1_PDL_Address9</vt:lpstr>
      <vt:lpstr>S1_PDL_AdministrationPlan</vt:lpstr>
      <vt:lpstr>S1_PDL_AdverseEnvConds</vt:lpstr>
      <vt:lpstr>S1_PDL_AdverseEnvCondsDescription</vt:lpstr>
      <vt:lpstr>S1_PDL_AllHomesInRuralArea</vt:lpstr>
      <vt:lpstr>S1_PDL_AppraisedValue</vt:lpstr>
      <vt:lpstr>S1_PDL_AssistanceRequesting</vt:lpstr>
      <vt:lpstr>S1_PDL_CapabilityPoints</vt:lpstr>
      <vt:lpstr>S1_PDL_CensusTrack1</vt:lpstr>
      <vt:lpstr>S1_PDL_CensusTrack10</vt:lpstr>
      <vt:lpstr>S1_PDL_CensusTrack2</vt:lpstr>
      <vt:lpstr>S1_PDL_CensusTrack3</vt:lpstr>
      <vt:lpstr>S1_PDL_CensusTrack4</vt:lpstr>
      <vt:lpstr>S1_PDL_CensusTrack5</vt:lpstr>
      <vt:lpstr>S1_PDL_CensusTrack6</vt:lpstr>
      <vt:lpstr>S1_PDL_CensusTrack7</vt:lpstr>
      <vt:lpstr>S1_PDL_CensusTrack8</vt:lpstr>
      <vt:lpstr>S1_PDL_CensusTrack9</vt:lpstr>
      <vt:lpstr>S1_PDL_City1</vt:lpstr>
      <vt:lpstr>S1_PDL_City10</vt:lpstr>
      <vt:lpstr>S1_PDL_City2</vt:lpstr>
      <vt:lpstr>S1_PDL_City3</vt:lpstr>
      <vt:lpstr>S1_PDL_City4</vt:lpstr>
      <vt:lpstr>S1_PDL_City5</vt:lpstr>
      <vt:lpstr>S1_PDL_City6</vt:lpstr>
      <vt:lpstr>S1_PDL_City7</vt:lpstr>
      <vt:lpstr>S1_PDL_City8</vt:lpstr>
      <vt:lpstr>S1_PDL_City9</vt:lpstr>
      <vt:lpstr>S1_PDL_ClassFeeRequesting</vt:lpstr>
      <vt:lpstr>S1_PDL_CommunityNeedPoints</vt:lpstr>
      <vt:lpstr>S1_PDL_CompletionStatus</vt:lpstr>
      <vt:lpstr>S1_PDL_ConditionalUsePermitsApproval</vt:lpstr>
      <vt:lpstr>S1_PDL_ConditionalUsePermitsDate</vt:lpstr>
      <vt:lpstr>S1_PDL_ConditionalUsePermitsIssuer</vt:lpstr>
      <vt:lpstr>S1_PDL_Construction1OtherUse</vt:lpstr>
      <vt:lpstr>S1_PDL_Construction1OtherUse1</vt:lpstr>
      <vt:lpstr>S1_PDL_Construction1OtherUse2</vt:lpstr>
      <vt:lpstr>S1_PDL_Construction1OtherUse3</vt:lpstr>
      <vt:lpstr>S1_PDL_Construction1OtherUse4</vt:lpstr>
      <vt:lpstr>S1_PDL_Construction1OtherUse5</vt:lpstr>
      <vt:lpstr>S1_PDL_Construction1OtherUse6</vt:lpstr>
      <vt:lpstr>S1_PDL_Construction2OtherUse</vt:lpstr>
      <vt:lpstr>S1_PDL_Construction2OtherUse1</vt:lpstr>
      <vt:lpstr>S1_PDL_Construction2OtherUse2</vt:lpstr>
      <vt:lpstr>S1_PDL_Construction2OtherUse3</vt:lpstr>
      <vt:lpstr>S1_PDL_Construction2OtherUse4</vt:lpstr>
      <vt:lpstr>S1_PDL_Construction2OtherUse5</vt:lpstr>
      <vt:lpstr>S1_PDL_Construction2OtherUse6</vt:lpstr>
      <vt:lpstr>S1_PDL_Construction3OtherUse</vt:lpstr>
      <vt:lpstr>S1_PDL_Construction3OtherUse1</vt:lpstr>
      <vt:lpstr>S1_PDL_Construction3OtherUse2</vt:lpstr>
      <vt:lpstr>S1_PDL_Construction3OtherUse3</vt:lpstr>
      <vt:lpstr>S1_PDL_Construction3OtherUse4</vt:lpstr>
      <vt:lpstr>S1_PDL_Construction3OtherUse5</vt:lpstr>
      <vt:lpstr>S1_PDL_Construction3OtherUse6</vt:lpstr>
      <vt:lpstr>S1_PDL_ConstructionAmount1</vt:lpstr>
      <vt:lpstr>S1_PDL_ConstructionAmount2</vt:lpstr>
      <vt:lpstr>S1_PDL_ConstructionAmount3</vt:lpstr>
      <vt:lpstr>S1_PDL_ConstructionAmount4</vt:lpstr>
      <vt:lpstr>S1_PDL_ConstructionAmount5</vt:lpstr>
      <vt:lpstr>S1_PDL_ConstructionAmount6</vt:lpstr>
      <vt:lpstr>S1_PDL_ConstructionArchitectural1</vt:lpstr>
      <vt:lpstr>S1_PDL_ConstructionArchitectural2</vt:lpstr>
      <vt:lpstr>S1_PDL_ConstructionArchitectural3</vt:lpstr>
      <vt:lpstr>S1_PDL_ConstructionArchitectural4</vt:lpstr>
      <vt:lpstr>S1_PDL_ConstructionArchitectural5</vt:lpstr>
      <vt:lpstr>S1_PDL_ConstructionArchitectural6</vt:lpstr>
      <vt:lpstr>S1_PDL_ConstructionBridgeLoanPayoff1</vt:lpstr>
      <vt:lpstr>S1_PDL_ConstructionBridgeLoanPayoff2</vt:lpstr>
      <vt:lpstr>S1_PDL_ConstructionBridgeLoanPayoff3</vt:lpstr>
      <vt:lpstr>S1_PDL_ConstructionBridgeLoanPayoff4</vt:lpstr>
      <vt:lpstr>S1_PDL_ConstructionBridgeLoanPayoff5</vt:lpstr>
      <vt:lpstr>S1_PDL_ConstructionBridgeLoanPayoff6</vt:lpstr>
      <vt:lpstr>S1_PDL_ConstructionBuildingPermits1</vt:lpstr>
      <vt:lpstr>S1_PDL_ConstructionBuildingPermits2</vt:lpstr>
      <vt:lpstr>S1_PDL_ConstructionBuildingPermits3</vt:lpstr>
      <vt:lpstr>S1_PDL_ConstructionBuildingPermits4</vt:lpstr>
      <vt:lpstr>S1_PDL_ConstructionBuildingPermits5</vt:lpstr>
      <vt:lpstr>S1_PDL_ConstructionBuildingPermits6</vt:lpstr>
      <vt:lpstr>S1_PDL_ConstructionCommitted1</vt:lpstr>
      <vt:lpstr>S1_PDL_ConstructionCommitted2</vt:lpstr>
      <vt:lpstr>S1_PDL_ConstructionCommitted3</vt:lpstr>
      <vt:lpstr>S1_PDL_ConstructionCommitted4</vt:lpstr>
      <vt:lpstr>S1_PDL_ConstructionCommitted5</vt:lpstr>
      <vt:lpstr>S1_PDL_ConstructionCommitted6</vt:lpstr>
      <vt:lpstr>S1_PDL_ConstructionContractorBonds1</vt:lpstr>
      <vt:lpstr>S1_PDL_ConstructionContractorBonds2</vt:lpstr>
      <vt:lpstr>S1_PDL_ConstructionContractorBonds3</vt:lpstr>
      <vt:lpstr>S1_PDL_ConstructionContractorBonds4</vt:lpstr>
      <vt:lpstr>S1_PDL_ConstructionContractorBonds5</vt:lpstr>
      <vt:lpstr>S1_PDL_ConstructionContractorBonds6</vt:lpstr>
      <vt:lpstr>S1_PDL_ConstructionEngineering1</vt:lpstr>
      <vt:lpstr>S1_PDL_ConstructionEngineering2</vt:lpstr>
      <vt:lpstr>S1_PDL_ConstructionEngineering3</vt:lpstr>
      <vt:lpstr>S1_PDL_ConstructionEngineering4</vt:lpstr>
      <vt:lpstr>S1_PDL_ConstructionEngineering5</vt:lpstr>
      <vt:lpstr>S1_PDL_ConstructionEngineering6</vt:lpstr>
      <vt:lpstr>S1_PDL_ConstructionEnvironmentalReports1</vt:lpstr>
      <vt:lpstr>S1_PDL_ConstructionEnvironmentalReports2</vt:lpstr>
      <vt:lpstr>S1_PDL_ConstructionEnvironmentalReports3</vt:lpstr>
      <vt:lpstr>S1_PDL_ConstructionEnvironmentalReports4</vt:lpstr>
      <vt:lpstr>S1_PDL_ConstructionEnvironmentalReports5</vt:lpstr>
      <vt:lpstr>S1_PDL_ConstructionEnvironmentalReports6</vt:lpstr>
      <vt:lpstr>S1_PDL_ConstructionEscrowFees1</vt:lpstr>
      <vt:lpstr>S1_PDL_ConstructionEscrowFees2</vt:lpstr>
      <vt:lpstr>S1_PDL_ConstructionEscrowFees3</vt:lpstr>
      <vt:lpstr>S1_PDL_ConstructionEscrowFees4</vt:lpstr>
      <vt:lpstr>S1_PDL_ConstructionEscrowFees5</vt:lpstr>
      <vt:lpstr>S1_PDL_ConstructionEscrowFees6</vt:lpstr>
      <vt:lpstr>S1_PDL_ConstructionFinancingFeesInterest1</vt:lpstr>
      <vt:lpstr>S1_PDL_ConstructionFinancingFeesInterest2</vt:lpstr>
      <vt:lpstr>S1_PDL_ConstructionFinancingFeesInterest3</vt:lpstr>
      <vt:lpstr>S1_PDL_ConstructionFinancingFeesInterest4</vt:lpstr>
      <vt:lpstr>S1_PDL_ConstructionFinancingFeesInterest5</vt:lpstr>
      <vt:lpstr>S1_PDL_ConstructionFinancingFeesInterest6</vt:lpstr>
      <vt:lpstr>S1_PDL_ConstructionInsurance1</vt:lpstr>
      <vt:lpstr>S1_PDL_ConstructionInsurance2</vt:lpstr>
      <vt:lpstr>S1_PDL_ConstructionInsurance3</vt:lpstr>
      <vt:lpstr>S1_PDL_ConstructionInsurance4</vt:lpstr>
      <vt:lpstr>S1_PDL_ConstructionInsurance5</vt:lpstr>
      <vt:lpstr>S1_PDL_ConstructionInsurance6</vt:lpstr>
      <vt:lpstr>S1_PDL_ConstructionLandAcquisition1</vt:lpstr>
      <vt:lpstr>S1_PDL_ConstructionLandAcquisition2</vt:lpstr>
      <vt:lpstr>S1_PDL_ConstructionLandAcquisition3</vt:lpstr>
      <vt:lpstr>S1_PDL_ConstructionLandAcquisition4</vt:lpstr>
      <vt:lpstr>S1_PDL_ConstructionLandAcquisition5</vt:lpstr>
      <vt:lpstr>S1_PDL_ConstructionLandAcquisition6</vt:lpstr>
      <vt:lpstr>S1_PDL_ConstructionLegalFees1</vt:lpstr>
      <vt:lpstr>S1_PDL_ConstructionLegalFees2</vt:lpstr>
      <vt:lpstr>S1_PDL_ConstructionLegalFees3</vt:lpstr>
      <vt:lpstr>S1_PDL_ConstructionLegalFees4</vt:lpstr>
      <vt:lpstr>S1_PDL_ConstructionLegalFees5</vt:lpstr>
      <vt:lpstr>S1_PDL_ConstructionLegalFees6</vt:lpstr>
      <vt:lpstr>S1_PDL_ConstructionLienPosition1</vt:lpstr>
      <vt:lpstr>S1_PDL_ConstructionLienPosition2</vt:lpstr>
      <vt:lpstr>S1_PDL_ConstructionLienPosition3</vt:lpstr>
      <vt:lpstr>S1_PDL_ConstructionLienPosition4</vt:lpstr>
      <vt:lpstr>S1_PDL_ConstructionLienPosition5</vt:lpstr>
      <vt:lpstr>S1_PDL_ConstructionLienPosition6</vt:lpstr>
      <vt:lpstr>S1_PDL_ConstructionOnsiteImprovements1</vt:lpstr>
      <vt:lpstr>S1_PDL_ConstructionOnsiteImprovements2</vt:lpstr>
      <vt:lpstr>S1_PDL_ConstructionOnsiteImprovements3</vt:lpstr>
      <vt:lpstr>S1_PDL_ConstructionOnsiteImprovements4</vt:lpstr>
      <vt:lpstr>S1_PDL_ConstructionOnsiteImprovements5</vt:lpstr>
      <vt:lpstr>S1_PDL_ConstructionOnsiteImprovements6</vt:lpstr>
      <vt:lpstr>S1_PDL_ConstructionPaymentTerms1</vt:lpstr>
      <vt:lpstr>S1_PDL_ConstructionPaymentTerms2</vt:lpstr>
      <vt:lpstr>S1_PDL_ConstructionPaymentTerms3</vt:lpstr>
      <vt:lpstr>S1_PDL_ConstructionPaymentTerms4</vt:lpstr>
      <vt:lpstr>S1_PDL_ConstructionPaymentTerms5</vt:lpstr>
      <vt:lpstr>S1_PDL_ConstructionPaymentTerms6</vt:lpstr>
      <vt:lpstr>S1_PDL_ConstructionRate1</vt:lpstr>
      <vt:lpstr>S1_PDL_ConstructionRate2</vt:lpstr>
      <vt:lpstr>S1_PDL_ConstructionRate3</vt:lpstr>
      <vt:lpstr>S1_PDL_ConstructionRate4</vt:lpstr>
      <vt:lpstr>S1_PDL_ConstructionRate5</vt:lpstr>
      <vt:lpstr>S1_PDL_ConstructionRate6</vt:lpstr>
      <vt:lpstr>S1_PDL_ConstructionReqDebtService1</vt:lpstr>
      <vt:lpstr>S1_PDL_ConstructionReqDebtService2</vt:lpstr>
      <vt:lpstr>S1_PDL_ConstructionReqDebtService3</vt:lpstr>
      <vt:lpstr>S1_PDL_ConstructionReqDebtService4</vt:lpstr>
      <vt:lpstr>S1_PDL_ConstructionReqDebtService5</vt:lpstr>
      <vt:lpstr>S1_PDL_ConstructionReqDebtService6</vt:lpstr>
      <vt:lpstr>S1_PDL_ConstructionSource2</vt:lpstr>
      <vt:lpstr>S1_PDL_ConstructionSource3</vt:lpstr>
      <vt:lpstr>S1_PDL_ConstructionSource4</vt:lpstr>
      <vt:lpstr>S1_PDL_ConstructionSource5</vt:lpstr>
      <vt:lpstr>S1_PDL_ConstructionSource6</vt:lpstr>
      <vt:lpstr>S1_PDL_ConstructionStateLocalFees1</vt:lpstr>
      <vt:lpstr>S1_PDL_ConstructionStateLocalFees2</vt:lpstr>
      <vt:lpstr>S1_PDL_ConstructionStateLocalFees3</vt:lpstr>
      <vt:lpstr>S1_PDL_ConstructionStateLocalFees4</vt:lpstr>
      <vt:lpstr>S1_PDL_ConstructionStateLocalFees5</vt:lpstr>
      <vt:lpstr>S1_PDL_ConstructionStateLocalFees6</vt:lpstr>
      <vt:lpstr>S1_PDL_ConstructionTaxes1</vt:lpstr>
      <vt:lpstr>S1_PDL_ConstructionTaxes2</vt:lpstr>
      <vt:lpstr>S1_PDL_ConstructionTaxes3</vt:lpstr>
      <vt:lpstr>S1_PDL_ConstructionTaxes4</vt:lpstr>
      <vt:lpstr>S1_PDL_ConstructionTaxes5</vt:lpstr>
      <vt:lpstr>S1_PDL_ConstructionTaxes6</vt:lpstr>
      <vt:lpstr>S1_PDL_County</vt:lpstr>
      <vt:lpstr>S1_PDL_DevProjectRequirements</vt:lpstr>
      <vt:lpstr>S1_PDL_ElectricAvailable</vt:lpstr>
      <vt:lpstr>S1_PDL_EstimatedSalePrice1</vt:lpstr>
      <vt:lpstr>S1_PDL_EstimatedSalePrice10</vt:lpstr>
      <vt:lpstr>S1_PDL_EstimatedSalePrice2</vt:lpstr>
      <vt:lpstr>S1_PDL_EstimatedSalePrice3</vt:lpstr>
      <vt:lpstr>S1_PDL_EstimatedSalePrice4</vt:lpstr>
      <vt:lpstr>S1_PDL_EstimatedSalePrice5</vt:lpstr>
      <vt:lpstr>S1_PDL_EstimatedSalePrice6</vt:lpstr>
      <vt:lpstr>S1_PDL_EstimatedSalePrice7</vt:lpstr>
      <vt:lpstr>S1_PDL_EstimatedSalePrice8</vt:lpstr>
      <vt:lpstr>S1_PDL_EstimatedSalePrice9</vt:lpstr>
      <vt:lpstr>S1_PDL_FarmworkerNeedPoints</vt:lpstr>
      <vt:lpstr>S1_PDL_FeasibilityPoints</vt:lpstr>
      <vt:lpstr>S1_PDL_FinalMapApproved</vt:lpstr>
      <vt:lpstr>S1_PDL_FinalMapDate</vt:lpstr>
      <vt:lpstr>S1_PDL_FundingBasedOnLeasePaymentPV</vt:lpstr>
      <vt:lpstr>S1_PDL_GasAvailable</vt:lpstr>
      <vt:lpstr>S1_PDL_GPSLat1</vt:lpstr>
      <vt:lpstr>S1_PDL_GPSLat10</vt:lpstr>
      <vt:lpstr>S1_PDL_GPSLat2</vt:lpstr>
      <vt:lpstr>S1_PDL_GPSLat3</vt:lpstr>
      <vt:lpstr>S1_PDL_GPSLat4</vt:lpstr>
      <vt:lpstr>S1_PDL_GPSLat5</vt:lpstr>
      <vt:lpstr>S1_PDL_GPSLat6</vt:lpstr>
      <vt:lpstr>S1_PDL_GPSLat7</vt:lpstr>
      <vt:lpstr>S1_PDL_GPSLat8</vt:lpstr>
      <vt:lpstr>S1_PDL_GPSLat9</vt:lpstr>
      <vt:lpstr>S1_PDL_GPSLong1</vt:lpstr>
      <vt:lpstr>S1_PDL_GPSLong10</vt:lpstr>
      <vt:lpstr>S1_PDL_GPSLong2</vt:lpstr>
      <vt:lpstr>S1_PDL_GPSLong3</vt:lpstr>
      <vt:lpstr>S1_PDL_GPSLong4</vt:lpstr>
      <vt:lpstr>S1_PDL_GPSLong5</vt:lpstr>
      <vt:lpstr>S1_PDL_GPSLong6</vt:lpstr>
      <vt:lpstr>S1_PDL_GPSLong7</vt:lpstr>
      <vt:lpstr>S1_PDL_GPSLong8</vt:lpstr>
      <vt:lpstr>S1_PDL_GPSLong9</vt:lpstr>
      <vt:lpstr>S1_PDL_HasLeaseholderEstate</vt:lpstr>
      <vt:lpstr>S1_PDL_HasSiteControl</vt:lpstr>
      <vt:lpstr>S1_PDL_HouseholdIncome1</vt:lpstr>
      <vt:lpstr>S1_PDL_HouseholdIncome10</vt:lpstr>
      <vt:lpstr>S1_PDL_HouseholdIncome2</vt:lpstr>
      <vt:lpstr>S1_PDL_HouseholdIncome3</vt:lpstr>
      <vt:lpstr>S1_PDL_HouseholdIncome4</vt:lpstr>
      <vt:lpstr>S1_PDL_HouseholdIncome5</vt:lpstr>
      <vt:lpstr>S1_PDL_HouseholdIncome6</vt:lpstr>
      <vt:lpstr>S1_PDL_HouseholdIncome7</vt:lpstr>
      <vt:lpstr>S1_PDL_HouseholdIncome8</vt:lpstr>
      <vt:lpstr>S1_PDL_HouseholdIncome9</vt:lpstr>
      <vt:lpstr>S1_PDL_HousingSupplyPoints</vt:lpstr>
      <vt:lpstr>S1_PDL_InfillSite</vt:lpstr>
      <vt:lpstr>S1_PDL_InfillSiteExplain</vt:lpstr>
      <vt:lpstr>S1_PDL_InHighOrHighestResourceArea</vt:lpstr>
      <vt:lpstr>S1_PDL_LandUseApprovalType1</vt:lpstr>
      <vt:lpstr>S1_PDL_LandUseApprovalType2</vt:lpstr>
      <vt:lpstr>S1_PDL_LandUseApprovalType3</vt:lpstr>
      <vt:lpstr>S1_PDL_LandUseDate1</vt:lpstr>
      <vt:lpstr>S1_PDL_LandUseDate2</vt:lpstr>
      <vt:lpstr>S1_PDL_LandUseDate3</vt:lpstr>
      <vt:lpstr>S1_PDL_LandUseIssuer1</vt:lpstr>
      <vt:lpstr>S1_PDL_LandUseIssuer2</vt:lpstr>
      <vt:lpstr>S1_PDL_LandUseIssuer3</vt:lpstr>
      <vt:lpstr>S1_PDL_LandUseTypeComment1</vt:lpstr>
      <vt:lpstr>S1_PDL_LandUseTypeComment2</vt:lpstr>
      <vt:lpstr>S1_PDL_LandUseTypeComment3</vt:lpstr>
      <vt:lpstr>S1_PDL_LastUnitCompleted</vt:lpstr>
      <vt:lpstr>S1_PDL_LenderRequestingResidualReceipts</vt:lpstr>
      <vt:lpstr>S1_PDL_LienAmount1</vt:lpstr>
      <vt:lpstr>S1_PDL_LienAmount10</vt:lpstr>
      <vt:lpstr>S1_PDL_LienAmount2</vt:lpstr>
      <vt:lpstr>S1_PDL_LienAmount3</vt:lpstr>
      <vt:lpstr>S1_PDL_LienAmount4</vt:lpstr>
      <vt:lpstr>S1_PDL_LienAmount5</vt:lpstr>
      <vt:lpstr>S1_PDL_LienAmount6</vt:lpstr>
      <vt:lpstr>S1_PDL_LienAmount7</vt:lpstr>
      <vt:lpstr>S1_PDL_LienAmount8</vt:lpstr>
      <vt:lpstr>S1_PDL_LienAmount9</vt:lpstr>
      <vt:lpstr>S1_PDL_LoanLimitRequirements</vt:lpstr>
      <vt:lpstr>S1_PDL_LocalAreaMarketAnalysis</vt:lpstr>
      <vt:lpstr>S1_PDL_LTVLimitRequirements</vt:lpstr>
      <vt:lpstr>S1_PDL_NoHomesToDevelop</vt:lpstr>
      <vt:lpstr>S1_PDL_NoUnitsCompleted</vt:lpstr>
      <vt:lpstr>S1_PDL_OtherUtility</vt:lpstr>
      <vt:lpstr>S1_PDL_Permanent1OtherUse</vt:lpstr>
      <vt:lpstr>S1_PDL_Permanent1OtherUse1</vt:lpstr>
      <vt:lpstr>S1_PDL_Permanent1OtherUse2</vt:lpstr>
      <vt:lpstr>S1_PDL_Permanent1OtherUse3</vt:lpstr>
      <vt:lpstr>S1_PDL_Permanent1OtherUse4</vt:lpstr>
      <vt:lpstr>S1_PDL_Permanent1OtherUse5</vt:lpstr>
      <vt:lpstr>S1_PDL_Permanent1OtherUse6</vt:lpstr>
      <vt:lpstr>S1_PDL_Permanent2OtherUse</vt:lpstr>
      <vt:lpstr>S1_PDL_Permanent2OtherUse1</vt:lpstr>
      <vt:lpstr>S1_PDL_Permanent2OtherUse2</vt:lpstr>
      <vt:lpstr>S1_PDL_Permanent2OtherUse3</vt:lpstr>
      <vt:lpstr>S1_PDL_Permanent2OtherUse4</vt:lpstr>
      <vt:lpstr>S1_PDL_Permanent2OtherUse5</vt:lpstr>
      <vt:lpstr>S1_PDL_Permanent2OtherUse6</vt:lpstr>
      <vt:lpstr>S1_PDL_Permanent3OtherUse</vt:lpstr>
      <vt:lpstr>S1_PDL_Permanent3OtherUse1</vt:lpstr>
      <vt:lpstr>S1_PDL_Permanent3OtherUse2</vt:lpstr>
      <vt:lpstr>S1_PDL_Permanent3OtherUse3</vt:lpstr>
      <vt:lpstr>S1_PDL_Permanent3OtherUse4</vt:lpstr>
      <vt:lpstr>S1_PDL_Permanent3OtherUse5</vt:lpstr>
      <vt:lpstr>S1_PDL_Permanent3OtherUse6</vt:lpstr>
      <vt:lpstr>S1_PDL_PermanentAmount1</vt:lpstr>
      <vt:lpstr>S1_PDL_PermanentAmount2</vt:lpstr>
      <vt:lpstr>S1_PDL_PermanentAmount3</vt:lpstr>
      <vt:lpstr>S1_PDL_PermanentAmount4</vt:lpstr>
      <vt:lpstr>S1_PDL_PermanentAmount5</vt:lpstr>
      <vt:lpstr>S1_PDL_PermanentAmount6</vt:lpstr>
      <vt:lpstr>S1_PDL_PermanentArchitectural1</vt:lpstr>
      <vt:lpstr>S1_PDL_PermanentArchitectural2</vt:lpstr>
      <vt:lpstr>S1_PDL_PermanentArchitectural3</vt:lpstr>
      <vt:lpstr>S1_PDL_PermanentArchitectural4</vt:lpstr>
      <vt:lpstr>S1_PDL_PermanentArchitectural5</vt:lpstr>
      <vt:lpstr>S1_PDL_PermanentArchitectural6</vt:lpstr>
      <vt:lpstr>S1_PDL_PermanentBridgeLoanPayoff1</vt:lpstr>
      <vt:lpstr>S1_PDL_PermanentBridgeLoanPayoff2</vt:lpstr>
      <vt:lpstr>S1_PDL_PermanentBridgeLoanPayoff3</vt:lpstr>
      <vt:lpstr>S1_PDL_PermanentBridgeLoanPayoff4</vt:lpstr>
      <vt:lpstr>S1_PDL_PermanentBridgeLoanPayoff5</vt:lpstr>
      <vt:lpstr>S1_PDL_PermanentBridgeLoanPayoff6</vt:lpstr>
      <vt:lpstr>S1_PDL_PermanentBuildingPermits1</vt:lpstr>
      <vt:lpstr>S1_PDL_PermanentBuildingPermits2</vt:lpstr>
      <vt:lpstr>S1_PDL_PermanentBuildingPermits3</vt:lpstr>
      <vt:lpstr>S1_PDL_PermanentBuildingPermits4</vt:lpstr>
      <vt:lpstr>S1_PDL_PermanentBuildingPermits5</vt:lpstr>
      <vt:lpstr>S1_PDL_PermanentBuildingPermits6</vt:lpstr>
      <vt:lpstr>S1_PDL_PermanentCommitted1</vt:lpstr>
      <vt:lpstr>S1_PDL_PermanentCommitted2</vt:lpstr>
      <vt:lpstr>S1_PDL_PermanentCommitted3</vt:lpstr>
      <vt:lpstr>S1_PDL_PermanentCommitted4</vt:lpstr>
      <vt:lpstr>S1_PDL_PermanentCommitted5</vt:lpstr>
      <vt:lpstr>S1_PDL_PermanentCommitted6</vt:lpstr>
      <vt:lpstr>S1_PDL_PermanentContractorBonds1</vt:lpstr>
      <vt:lpstr>S1_PDL_PermanentContractorBonds2</vt:lpstr>
      <vt:lpstr>S1_PDL_PermanentContractorBonds3</vt:lpstr>
      <vt:lpstr>S1_PDL_PermanentContractorBonds4</vt:lpstr>
      <vt:lpstr>S1_PDL_PermanentContractorBonds5</vt:lpstr>
      <vt:lpstr>S1_PDL_PermanentContractorBonds6</vt:lpstr>
      <vt:lpstr>S1_PDL_PermanentEngineering1</vt:lpstr>
      <vt:lpstr>S1_PDL_PermanentEngineering2</vt:lpstr>
      <vt:lpstr>S1_PDL_PermanentEngineering3</vt:lpstr>
      <vt:lpstr>S1_PDL_PermanentEngineering4</vt:lpstr>
      <vt:lpstr>S1_PDL_PermanentEngineering5</vt:lpstr>
      <vt:lpstr>S1_PDL_PermanentEngineering6</vt:lpstr>
      <vt:lpstr>S1_PDL_PermanentEnvironmentalReports1</vt:lpstr>
      <vt:lpstr>S1_PDL_PermanentEnvironmentalReports2</vt:lpstr>
      <vt:lpstr>S1_PDL_PermanentEnvironmentalReports3</vt:lpstr>
      <vt:lpstr>S1_PDL_PermanentEnvironmentalReports4</vt:lpstr>
      <vt:lpstr>S1_PDL_PermanentEnvironmentalReports5</vt:lpstr>
      <vt:lpstr>S1_PDL_PermanentEnvironmentalReports6</vt:lpstr>
      <vt:lpstr>S1_PDL_PermanentEscrowFees1</vt:lpstr>
      <vt:lpstr>S1_PDL_PermanentEscrowFees2</vt:lpstr>
      <vt:lpstr>S1_PDL_PermanentEscrowFees3</vt:lpstr>
      <vt:lpstr>S1_PDL_PermanentEscrowFees4</vt:lpstr>
      <vt:lpstr>S1_PDL_PermanentEscrowFees5</vt:lpstr>
      <vt:lpstr>S1_PDL_PermanentEscrowFees6</vt:lpstr>
      <vt:lpstr>S1_PDL_PermanentFinancingFeesInterest1</vt:lpstr>
      <vt:lpstr>S1_PDL_PermanentFinancingFeesInterest2</vt:lpstr>
      <vt:lpstr>S1_PDL_PermanentFinancingFeesInterest3</vt:lpstr>
      <vt:lpstr>S1_PDL_PermanentFinancingFeesInterest4</vt:lpstr>
      <vt:lpstr>S1_PDL_PermanentFinancingFeesInterest5</vt:lpstr>
      <vt:lpstr>S1_PDL_PermanentFinancingFeesInterest6</vt:lpstr>
      <vt:lpstr>S1_PDL_PermanentInsurance1</vt:lpstr>
      <vt:lpstr>S1_PDL_PermanentInsurance2</vt:lpstr>
      <vt:lpstr>S1_PDL_PermanentInsurance3</vt:lpstr>
      <vt:lpstr>S1_PDL_PermanentInsurance4</vt:lpstr>
      <vt:lpstr>S1_PDL_PermanentInsurance5</vt:lpstr>
      <vt:lpstr>S1_PDL_PermanentInsurance6</vt:lpstr>
      <vt:lpstr>S1_PDL_PermanentLandAcquisition1</vt:lpstr>
      <vt:lpstr>S1_PDL_PermanentLandAcquisition2</vt:lpstr>
      <vt:lpstr>S1_PDL_PermanentLandAcquisition3</vt:lpstr>
      <vt:lpstr>S1_PDL_PermanentLandAcquisition4</vt:lpstr>
      <vt:lpstr>S1_PDL_PermanentLandAcquisition5</vt:lpstr>
      <vt:lpstr>S1_PDL_PermanentLandAcquisition6</vt:lpstr>
      <vt:lpstr>S1_PDL_PermanentLegalFees1</vt:lpstr>
      <vt:lpstr>S1_PDL_PermanentLegalFees2</vt:lpstr>
      <vt:lpstr>S1_PDL_PermanentLegalFees3</vt:lpstr>
      <vt:lpstr>S1_PDL_PermanentLegalFees4</vt:lpstr>
      <vt:lpstr>S1_PDL_PermanentLegalFees5</vt:lpstr>
      <vt:lpstr>S1_PDL_PermanentLegalFees6</vt:lpstr>
      <vt:lpstr>S1_PDL_PermanentLienPosition1</vt:lpstr>
      <vt:lpstr>S1_PDL_PermanentLienPosition2</vt:lpstr>
      <vt:lpstr>S1_PDL_PermanentLienPosition3</vt:lpstr>
      <vt:lpstr>S1_PDL_PermanentLienPosition4</vt:lpstr>
      <vt:lpstr>S1_PDL_PermanentLienPosition5</vt:lpstr>
      <vt:lpstr>S1_PDL_PermanentLienPosition6</vt:lpstr>
      <vt:lpstr>S1_PDL_PermanentOnsiteImprovements1</vt:lpstr>
      <vt:lpstr>S1_PDL_PermanentOnsiteImprovements2</vt:lpstr>
      <vt:lpstr>S1_PDL_PermanentOnsiteImprovements3</vt:lpstr>
      <vt:lpstr>S1_PDL_PermanentOnsiteImprovements4</vt:lpstr>
      <vt:lpstr>S1_PDL_PermanentOnsiteImprovements5</vt:lpstr>
      <vt:lpstr>S1_PDL_PermanentOnsiteImprovements6</vt:lpstr>
      <vt:lpstr>S1_PDL_PermanentPaymentTerms1</vt:lpstr>
      <vt:lpstr>S1_PDL_PermanentPaymentTerms2</vt:lpstr>
      <vt:lpstr>S1_PDL_PermanentPaymentTerms3</vt:lpstr>
      <vt:lpstr>S1_PDL_PermanentPaymentTerms4</vt:lpstr>
      <vt:lpstr>S1_PDL_PermanentPaymentTerms5</vt:lpstr>
      <vt:lpstr>S1_PDL_PermanentPaymentTerms6</vt:lpstr>
      <vt:lpstr>S1_PDL_PermanentRate1</vt:lpstr>
      <vt:lpstr>S1_PDL_PermanentRate2</vt:lpstr>
      <vt:lpstr>S1_PDL_PermanentRate3</vt:lpstr>
      <vt:lpstr>S1_PDL_PermanentRate4</vt:lpstr>
      <vt:lpstr>S1_PDL_PermanentRate5</vt:lpstr>
      <vt:lpstr>S1_PDL_PermanentRate6</vt:lpstr>
      <vt:lpstr>S1_PDL_PermanentRateType1</vt:lpstr>
      <vt:lpstr>S1_PDL_PermanentRateType2</vt:lpstr>
      <vt:lpstr>S1_PDL_PermanentRateType3</vt:lpstr>
      <vt:lpstr>S1_PDL_PermanentRateType4</vt:lpstr>
      <vt:lpstr>S1_PDL_PermanentRateType5</vt:lpstr>
      <vt:lpstr>S1_PDL_PermanentRateType6</vt:lpstr>
      <vt:lpstr>S1_PDL_PermanentRepayment1</vt:lpstr>
      <vt:lpstr>S1_PDL_PermanentRepayment2</vt:lpstr>
      <vt:lpstr>S1_PDL_PermanentRepayment3</vt:lpstr>
      <vt:lpstr>S1_PDL_PermanentRepayment4</vt:lpstr>
      <vt:lpstr>S1_PDL_PermanentRepayment5</vt:lpstr>
      <vt:lpstr>S1_PDL_PermanentRepayment6</vt:lpstr>
      <vt:lpstr>S1_PDL_PermanentReqDebtService1</vt:lpstr>
      <vt:lpstr>S1_PDL_PermanentReqDebtService2</vt:lpstr>
      <vt:lpstr>S1_PDL_PermanentReqDebtService3</vt:lpstr>
      <vt:lpstr>S1_PDL_PermanentReqDebtService4</vt:lpstr>
      <vt:lpstr>S1_PDL_PermanentReqDebtService5</vt:lpstr>
      <vt:lpstr>S1_PDL_PermanentReqDebtService6</vt:lpstr>
      <vt:lpstr>S1_PDL_PermanentSource2</vt:lpstr>
      <vt:lpstr>S1_PDL_PermanentSource3</vt:lpstr>
      <vt:lpstr>S1_PDL_PermanentSource4</vt:lpstr>
      <vt:lpstr>S1_PDL_PermanentSource5</vt:lpstr>
      <vt:lpstr>S1_PDL_PermanentSource6</vt:lpstr>
      <vt:lpstr>S1_PDL_PermanentStateLocalFees1</vt:lpstr>
      <vt:lpstr>S1_PDL_PermanentStateLocalFees2</vt:lpstr>
      <vt:lpstr>S1_PDL_PermanentStateLocalFees3</vt:lpstr>
      <vt:lpstr>S1_PDL_PermanentStateLocalFees4</vt:lpstr>
      <vt:lpstr>S1_PDL_PermanentStateLocalFees5</vt:lpstr>
      <vt:lpstr>S1_PDL_PermanentStateLocalFees6</vt:lpstr>
      <vt:lpstr>S1_PDL_PermanentTaxes1</vt:lpstr>
      <vt:lpstr>S1_PDL_PermanentTaxes2</vt:lpstr>
      <vt:lpstr>S1_PDL_PermanentTaxes3</vt:lpstr>
      <vt:lpstr>S1_PDL_PermanentTaxes4</vt:lpstr>
      <vt:lpstr>S1_PDL_PermanentTaxes5</vt:lpstr>
      <vt:lpstr>S1_PDL_PermanentTaxes6</vt:lpstr>
      <vt:lpstr>S1_PDL_PreDev1OtherUse</vt:lpstr>
      <vt:lpstr>S1_PDL_PreDev1OtherUse1</vt:lpstr>
      <vt:lpstr>S1_PDL_PreDev1OtherUse2</vt:lpstr>
      <vt:lpstr>S1_PDL_PreDev1OtherUse3</vt:lpstr>
      <vt:lpstr>S1_PDL_PreDev1OtherUse4</vt:lpstr>
      <vt:lpstr>S1_PDL_PreDev1OtherUse5</vt:lpstr>
      <vt:lpstr>S1_PDL_PreDev1OtherUse6</vt:lpstr>
      <vt:lpstr>S1_PDL_PreDev2OtherUse</vt:lpstr>
      <vt:lpstr>S1_PDL_PreDev2OtherUse1</vt:lpstr>
      <vt:lpstr>S1_PDL_PreDev2OtherUse2</vt:lpstr>
      <vt:lpstr>S1_PDL_PreDev2OtherUse3</vt:lpstr>
      <vt:lpstr>S1_PDL_PreDev2OtherUse4</vt:lpstr>
      <vt:lpstr>S1_PDL_PreDev2OtherUse5</vt:lpstr>
      <vt:lpstr>S1_PDL_PreDev2OtherUse6</vt:lpstr>
      <vt:lpstr>S1_PDL_PreDev3OtherUse</vt:lpstr>
      <vt:lpstr>S1_PDL_PreDev3OtherUse1</vt:lpstr>
      <vt:lpstr>S1_PDL_PreDev3OtherUse2</vt:lpstr>
      <vt:lpstr>S1_PDL_PreDev3OtherUse3</vt:lpstr>
      <vt:lpstr>S1_PDL_PreDev3OtherUse4</vt:lpstr>
      <vt:lpstr>S1_PDL_PreDev3OtherUse5</vt:lpstr>
      <vt:lpstr>S1_PDL_PreDev3OtherUse6</vt:lpstr>
      <vt:lpstr>S1_PDL_PreDevAmount1</vt:lpstr>
      <vt:lpstr>S1_PDL_PreDevAmount2</vt:lpstr>
      <vt:lpstr>S1_PDL_PreDevAmount3</vt:lpstr>
      <vt:lpstr>S1_PDL_PreDevAmount4</vt:lpstr>
      <vt:lpstr>S1_PDL_PreDevAmount5</vt:lpstr>
      <vt:lpstr>S1_PDL_PreDevAmount6</vt:lpstr>
      <vt:lpstr>S1_PDL_PreDevArchitectural1</vt:lpstr>
      <vt:lpstr>S1_PDL_PreDevArchitectural2</vt:lpstr>
      <vt:lpstr>S1_PDL_PreDevArchitectural3</vt:lpstr>
      <vt:lpstr>S1_PDL_PreDevArchitectural4</vt:lpstr>
      <vt:lpstr>S1_PDL_PreDevArchitectural5</vt:lpstr>
      <vt:lpstr>S1_PDL_PreDevArchitectural6</vt:lpstr>
      <vt:lpstr>S1_PDL_PreDevBridgeLoanPayoff1</vt:lpstr>
      <vt:lpstr>S1_PDL_PreDevBridgeLoanPayoff2</vt:lpstr>
      <vt:lpstr>S1_PDL_PreDevBridgeLoanPayoff3</vt:lpstr>
      <vt:lpstr>S1_PDL_PreDevBridgeLoanPayoff4</vt:lpstr>
      <vt:lpstr>S1_PDL_PreDevBridgeLoanPayoff5</vt:lpstr>
      <vt:lpstr>S1_PDL_PreDevBridgeLoanPayoff6</vt:lpstr>
      <vt:lpstr>S1_PDL_PreDevBuildingPermits1</vt:lpstr>
      <vt:lpstr>S1_PDL_PreDevBuildingPermits2</vt:lpstr>
      <vt:lpstr>S1_PDL_PreDevBuildingPermits3</vt:lpstr>
      <vt:lpstr>S1_PDL_PreDevBuildingPermits4</vt:lpstr>
      <vt:lpstr>S1_PDL_PreDevBuildingPermits5</vt:lpstr>
      <vt:lpstr>S1_PDL_PreDevBuildingPermits6</vt:lpstr>
      <vt:lpstr>S1_PDL_PreDevCommitted1</vt:lpstr>
      <vt:lpstr>S1_PDL_PreDevCommitted2</vt:lpstr>
      <vt:lpstr>S1_PDL_PreDevCommitted3</vt:lpstr>
      <vt:lpstr>S1_PDL_PreDevCommitted4</vt:lpstr>
      <vt:lpstr>S1_PDL_PreDevCommitted5</vt:lpstr>
      <vt:lpstr>S1_PDL_PreDevCommitted6</vt:lpstr>
      <vt:lpstr>S1_PDL_PreDevContractorBonds1</vt:lpstr>
      <vt:lpstr>S1_PDL_PreDevContractorBonds2</vt:lpstr>
      <vt:lpstr>S1_PDL_PreDevContractorBonds3</vt:lpstr>
      <vt:lpstr>S1_PDL_PreDevContractorBonds4</vt:lpstr>
      <vt:lpstr>S1_PDL_PreDevContractorBonds5</vt:lpstr>
      <vt:lpstr>S1_PDL_PreDevContractorBonds6</vt:lpstr>
      <vt:lpstr>S1_PDL_PreDevEngineering1</vt:lpstr>
      <vt:lpstr>S1_PDL_PreDevEngineering2</vt:lpstr>
      <vt:lpstr>S1_PDL_PreDevEngineering3</vt:lpstr>
      <vt:lpstr>S1_PDL_PreDevEngineering4</vt:lpstr>
      <vt:lpstr>S1_PDL_PreDevEngineering5</vt:lpstr>
      <vt:lpstr>S1_PDL_PreDevEngineering6</vt:lpstr>
      <vt:lpstr>S1_PDL_PreDevEnvironmentalReports1</vt:lpstr>
      <vt:lpstr>S1_PDL_PreDevEnvironmentalReports2</vt:lpstr>
      <vt:lpstr>S1_PDL_PreDevEnvironmentalReports3</vt:lpstr>
      <vt:lpstr>S1_PDL_PreDevEnvironmentalReports4</vt:lpstr>
      <vt:lpstr>S1_PDL_PreDevEnvironmentalReports5</vt:lpstr>
      <vt:lpstr>S1_PDL_PreDevEnvironmentalReports6</vt:lpstr>
      <vt:lpstr>S1_PDL_PreDevEscrowFees1</vt:lpstr>
      <vt:lpstr>S1_PDL_PreDevEscrowFees2</vt:lpstr>
      <vt:lpstr>S1_PDL_PreDevEscrowFees3</vt:lpstr>
      <vt:lpstr>S1_PDL_PreDevEscrowFees4</vt:lpstr>
      <vt:lpstr>S1_PDL_PreDevEscrowFees5</vt:lpstr>
      <vt:lpstr>S1_PDL_PreDevEscrowFees6</vt:lpstr>
      <vt:lpstr>S1_PDL_PreDevFinancingFeesInterest1</vt:lpstr>
      <vt:lpstr>S1_PDL_PreDevFinancingFeesInterest2</vt:lpstr>
      <vt:lpstr>S1_PDL_PreDevFinancingFeesInterest3</vt:lpstr>
      <vt:lpstr>S1_PDL_PreDevFinancingFeesInterest4</vt:lpstr>
      <vt:lpstr>S1_PDL_PreDevFinancingFeesInterest5</vt:lpstr>
      <vt:lpstr>S1_PDL_PreDevFinancingFeesInterest6</vt:lpstr>
      <vt:lpstr>S1_PDL_PreDevInsurance1</vt:lpstr>
      <vt:lpstr>S1_PDL_PreDevInsurance2</vt:lpstr>
      <vt:lpstr>S1_PDL_PreDevInsurance3</vt:lpstr>
      <vt:lpstr>S1_PDL_PreDevInsurance4</vt:lpstr>
      <vt:lpstr>S1_PDL_PreDevInsurance5</vt:lpstr>
      <vt:lpstr>S1_PDL_PreDevInsurance6</vt:lpstr>
      <vt:lpstr>S1_PDL_PreDevLandAcquisition1</vt:lpstr>
      <vt:lpstr>S1_PDL_PreDevLandAcquisition2</vt:lpstr>
      <vt:lpstr>S1_PDL_PreDevLandAcquisition3</vt:lpstr>
      <vt:lpstr>S1_PDL_PreDevLandAcquisition4</vt:lpstr>
      <vt:lpstr>S1_PDL_PreDevLandAcquisition5</vt:lpstr>
      <vt:lpstr>S1_PDL_PreDevLandAcquisition6</vt:lpstr>
      <vt:lpstr>S1_PDL_PreDevLegalFees1</vt:lpstr>
      <vt:lpstr>S1_PDL_PreDevLegalFees2</vt:lpstr>
      <vt:lpstr>S1_PDL_PreDevLegalFees3</vt:lpstr>
      <vt:lpstr>S1_PDL_PreDevLegalFees4</vt:lpstr>
      <vt:lpstr>S1_PDL_PreDevLegalFees5</vt:lpstr>
      <vt:lpstr>S1_PDL_PreDevLegalFees6</vt:lpstr>
      <vt:lpstr>S1_PDL_PreDevLienPosition1</vt:lpstr>
      <vt:lpstr>S1_PDL_PreDevLienPosition2</vt:lpstr>
      <vt:lpstr>S1_PDL_PreDevLienPosition3</vt:lpstr>
      <vt:lpstr>S1_PDL_PreDevLienPosition4</vt:lpstr>
      <vt:lpstr>S1_PDL_PreDevLienPosition5</vt:lpstr>
      <vt:lpstr>S1_PDL_PreDevLienPosition6</vt:lpstr>
      <vt:lpstr>S1_PDL_PreDevOnsiteImprovements1</vt:lpstr>
      <vt:lpstr>S1_PDL_PreDevOnsiteImprovements2</vt:lpstr>
      <vt:lpstr>S1_PDL_PreDevOnsiteImprovements3</vt:lpstr>
      <vt:lpstr>S1_PDL_PreDevOnsiteImprovements4</vt:lpstr>
      <vt:lpstr>S1_PDL_PreDevOnsiteImprovements5</vt:lpstr>
      <vt:lpstr>S1_PDL_PreDevOnsiteImprovements6</vt:lpstr>
      <vt:lpstr>S1_PDL_PreDevPaymentTerms1</vt:lpstr>
      <vt:lpstr>S1_PDL_PreDevPaymentTerms2</vt:lpstr>
      <vt:lpstr>S1_PDL_PreDevPaymentTerms3</vt:lpstr>
      <vt:lpstr>S1_PDL_PreDevPaymentTerms4</vt:lpstr>
      <vt:lpstr>S1_PDL_PreDevPaymentTerms5</vt:lpstr>
      <vt:lpstr>S1_PDL_PreDevPaymentTerms6</vt:lpstr>
      <vt:lpstr>S1_PDL_PreDevRate1</vt:lpstr>
      <vt:lpstr>S1_PDL_PreDevRate2</vt:lpstr>
      <vt:lpstr>S1_PDL_PreDevRate3</vt:lpstr>
      <vt:lpstr>S1_PDL_PreDevRate4</vt:lpstr>
      <vt:lpstr>S1_PDL_PreDevRate5</vt:lpstr>
      <vt:lpstr>S1_PDL_PreDevRate6</vt:lpstr>
      <vt:lpstr>S1_PDL_PreDevReqDebtService1</vt:lpstr>
      <vt:lpstr>S1_PDL_PreDevReqDebtService2</vt:lpstr>
      <vt:lpstr>S1_PDL_PreDevReqDebtService3</vt:lpstr>
      <vt:lpstr>S1_PDL_PreDevReqDebtService4</vt:lpstr>
      <vt:lpstr>S1_PDL_PreDevReqDebtService5</vt:lpstr>
      <vt:lpstr>S1_PDL_PreDevReqDebtService6</vt:lpstr>
      <vt:lpstr>S1_PDL_PreDevSource2</vt:lpstr>
      <vt:lpstr>S1_PDL_PreDevSource3</vt:lpstr>
      <vt:lpstr>S1_PDL_PreDevSource4</vt:lpstr>
      <vt:lpstr>S1_PDL_PreDevSource5</vt:lpstr>
      <vt:lpstr>S1_PDL_PreDevSource6</vt:lpstr>
      <vt:lpstr>S1_PDL_PreDevStateLocalFees1</vt:lpstr>
      <vt:lpstr>S1_PDL_PreDevStateLocalFees2</vt:lpstr>
      <vt:lpstr>S1_PDL_PreDevStateLocalFees3</vt:lpstr>
      <vt:lpstr>S1_PDL_PreDevStateLocalFees4</vt:lpstr>
      <vt:lpstr>S1_PDL_PreDevStateLocalFees5</vt:lpstr>
      <vt:lpstr>S1_PDL_PreDevStateLocalFees6</vt:lpstr>
      <vt:lpstr>S1_PDL_PreDevTaxes1</vt:lpstr>
      <vt:lpstr>S1_PDL_PreDevTaxes2</vt:lpstr>
      <vt:lpstr>S1_PDL_PreDevTaxes3</vt:lpstr>
      <vt:lpstr>S1_PDL_PreDevTaxes4</vt:lpstr>
      <vt:lpstr>S1_PDL_PreDevTaxes5</vt:lpstr>
      <vt:lpstr>S1_PDL_PreDevTaxes6</vt:lpstr>
      <vt:lpstr>S1_PDL_PrepaidLeaseUsed</vt:lpstr>
      <vt:lpstr>S1_PDL_PreviousProgramUnits1</vt:lpstr>
      <vt:lpstr>S1_PDL_PreviousProgramUnits2</vt:lpstr>
      <vt:lpstr>S1_PDL_PreviousProgramUnits3</vt:lpstr>
      <vt:lpstr>S1_PDL_PreviousProgramUnits4</vt:lpstr>
      <vt:lpstr>S1_PDL_PreviousProgramUnits5</vt:lpstr>
      <vt:lpstr>S1_PDL_PreviousProject1</vt:lpstr>
      <vt:lpstr>S1_PDL_PreviousProject2</vt:lpstr>
      <vt:lpstr>S1_PDL_PreviousProject3</vt:lpstr>
      <vt:lpstr>S1_PDL_PreviousProject4</vt:lpstr>
      <vt:lpstr>S1_PDL_PreviousProject5</vt:lpstr>
      <vt:lpstr>S1_PDL_PreviousProjectDate1</vt:lpstr>
      <vt:lpstr>S1_PDL_PreviousProjectDate2</vt:lpstr>
      <vt:lpstr>S1_PDL_PreviousProjectDate3</vt:lpstr>
      <vt:lpstr>S1_PDL_PreviousProjectDate4</vt:lpstr>
      <vt:lpstr>S1_PDL_PreviousProjectDate5</vt:lpstr>
      <vt:lpstr>S1_PDL_ProgramDescription</vt:lpstr>
      <vt:lpstr>S1_PDL_ProHousingPoints</vt:lpstr>
      <vt:lpstr>S1_PDL_ProjectName</vt:lpstr>
      <vt:lpstr>S1_PDL_PurchasePrice</vt:lpstr>
      <vt:lpstr>S1_PDL_RentBasedOnRestrictedLandValue</vt:lpstr>
      <vt:lpstr>S1_PDL_RevitalizationPoints</vt:lpstr>
      <vt:lpstr>S1_PDL_SalesDateSource1</vt:lpstr>
      <vt:lpstr>S1_PDL_SalesDateSource10</vt:lpstr>
      <vt:lpstr>S1_PDL_SalesDateSource2</vt:lpstr>
      <vt:lpstr>S1_PDL_SalesDateSource3</vt:lpstr>
      <vt:lpstr>S1_PDL_SalesDateSource4</vt:lpstr>
      <vt:lpstr>S1_PDL_SalesDateSource5</vt:lpstr>
      <vt:lpstr>S1_PDL_SalesDateSource6</vt:lpstr>
      <vt:lpstr>S1_PDL_SalesDateSource7</vt:lpstr>
      <vt:lpstr>S1_PDL_SalesDateSource8</vt:lpstr>
      <vt:lpstr>S1_PDL_SalesDateSource9</vt:lpstr>
      <vt:lpstr>S1_PDL_SEGReportsPrepared</vt:lpstr>
      <vt:lpstr>S1_PDL_SelfHelpHours</vt:lpstr>
      <vt:lpstr>S1_PDL_SewerAvailable</vt:lpstr>
      <vt:lpstr>S1_PDL_SiteControlDocument</vt:lpstr>
      <vt:lpstr>S1_PDL_SiteControlDocumentDate</vt:lpstr>
      <vt:lpstr>S1_PDL_SiteControlSpecialCircumstances</vt:lpstr>
      <vt:lpstr>S1_PDL_SiteImprovements</vt:lpstr>
      <vt:lpstr>S1_PDL_SitePlanReviewApproval</vt:lpstr>
      <vt:lpstr>S1_PDL_SitePlanReviewDate</vt:lpstr>
      <vt:lpstr>S1_PDL_SitePlanReviewIssuer</vt:lpstr>
      <vt:lpstr>S1_PDL_SufficientStaffAndCapacity</vt:lpstr>
      <vt:lpstr>S1_PDL_TentativeMapApproved</vt:lpstr>
      <vt:lpstr>S1_PDL_TentativeMapDate</vt:lpstr>
      <vt:lpstr>S1_PDL_TotalRequested</vt:lpstr>
      <vt:lpstr>S1_PDL_TotalUnits</vt:lpstr>
      <vt:lpstr>S1_PDL_TypeOfHomeToDevelop</vt:lpstr>
      <vt:lpstr>S1_PDL_UnitBathCount1</vt:lpstr>
      <vt:lpstr>S1_PDL_UnitBathCount10</vt:lpstr>
      <vt:lpstr>S1_PDL_UnitBathCount2</vt:lpstr>
      <vt:lpstr>S1_PDL_UnitBathCount3</vt:lpstr>
      <vt:lpstr>S1_PDL_UnitBathCount4</vt:lpstr>
      <vt:lpstr>S1_PDL_UnitBathCount5</vt:lpstr>
      <vt:lpstr>S1_PDL_UnitBathCount6</vt:lpstr>
      <vt:lpstr>S1_PDL_UnitBathCount7</vt:lpstr>
      <vt:lpstr>S1_PDL_UnitBathCount8</vt:lpstr>
      <vt:lpstr>S1_PDL_UnitBathCount9</vt:lpstr>
      <vt:lpstr>S1_PDL_UnitBdrmCount1</vt:lpstr>
      <vt:lpstr>S1_PDL_UnitBdrmCount10</vt:lpstr>
      <vt:lpstr>S1_PDL_UnitBdrmCount2</vt:lpstr>
      <vt:lpstr>S1_PDL_UnitBdrmCount3</vt:lpstr>
      <vt:lpstr>S1_PDL_UnitBdrmCount4</vt:lpstr>
      <vt:lpstr>S1_PDL_UnitBdrmCount5</vt:lpstr>
      <vt:lpstr>S1_PDL_UnitBdrmCount6</vt:lpstr>
      <vt:lpstr>S1_PDL_UnitBdrmCount7</vt:lpstr>
      <vt:lpstr>S1_PDL_UnitBdrmCount8</vt:lpstr>
      <vt:lpstr>S1_PDL_UnitBdrmCount9</vt:lpstr>
      <vt:lpstr>S1_PDL_UnitCost1</vt:lpstr>
      <vt:lpstr>S1_PDL_UnitCost10</vt:lpstr>
      <vt:lpstr>S1_PDL_UnitCost2</vt:lpstr>
      <vt:lpstr>S1_PDL_UnitCost3</vt:lpstr>
      <vt:lpstr>S1_PDL_UnitCost4</vt:lpstr>
      <vt:lpstr>S1_PDL_UnitCost5</vt:lpstr>
      <vt:lpstr>S1_PDL_UnitCost6</vt:lpstr>
      <vt:lpstr>S1_PDL_UnitCost7</vt:lpstr>
      <vt:lpstr>S1_PDL_UnitCost8</vt:lpstr>
      <vt:lpstr>S1_PDL_UnitCost9</vt:lpstr>
      <vt:lpstr>S1_PDL_UnitCount1</vt:lpstr>
      <vt:lpstr>S1_PDL_UnitCount10</vt:lpstr>
      <vt:lpstr>S1_PDL_UnitCount2</vt:lpstr>
      <vt:lpstr>S1_PDL_UnitCount3</vt:lpstr>
      <vt:lpstr>S1_PDL_UnitCount4</vt:lpstr>
      <vt:lpstr>S1_PDL_UnitCount5</vt:lpstr>
      <vt:lpstr>S1_PDL_UnitCount6</vt:lpstr>
      <vt:lpstr>S1_PDL_UnitCount7</vt:lpstr>
      <vt:lpstr>S1_PDL_UnitCount8</vt:lpstr>
      <vt:lpstr>S1_PDL_UnitCount9</vt:lpstr>
      <vt:lpstr>S1_PDL_UnitsAlreadyCompleted</vt:lpstr>
      <vt:lpstr>S1_PDL_UnitSqft1</vt:lpstr>
      <vt:lpstr>S1_PDL_UnitSqft10</vt:lpstr>
      <vt:lpstr>S1_PDL_UnitSqft2</vt:lpstr>
      <vt:lpstr>S1_PDL_UnitSqft3</vt:lpstr>
      <vt:lpstr>S1_PDL_UnitSqft4</vt:lpstr>
      <vt:lpstr>S1_PDL_UnitSqft5</vt:lpstr>
      <vt:lpstr>S1_PDL_UnitSqft6</vt:lpstr>
      <vt:lpstr>S1_PDL_UnitSqft7</vt:lpstr>
      <vt:lpstr>S1_PDL_UnitSqft8</vt:lpstr>
      <vt:lpstr>S1_PDL_UnitSqft9</vt:lpstr>
      <vt:lpstr>S1_PDL_VolunteerAndTrainingPoints</vt:lpstr>
      <vt:lpstr>S1_PDL_VolunteerHours</vt:lpstr>
      <vt:lpstr>S1_PDL_WaterAvailable</vt:lpstr>
      <vt:lpstr>S1_PDL_YouthTrainingHours</vt:lpstr>
      <vt:lpstr>S1_PDL_Zip1</vt:lpstr>
      <vt:lpstr>S1_PDL_Zip10</vt:lpstr>
      <vt:lpstr>S1_PDL_Zip2</vt:lpstr>
      <vt:lpstr>S1_PDL_Zip3</vt:lpstr>
      <vt:lpstr>S1_PDL_Zip4</vt:lpstr>
      <vt:lpstr>S1_PDL_Zip5</vt:lpstr>
      <vt:lpstr>S1_PDL_Zip6</vt:lpstr>
      <vt:lpstr>S1_PDL_Zip7</vt:lpstr>
      <vt:lpstr>S1_PDL_Zip8</vt:lpstr>
      <vt:lpstr>S1_PDL_Zip9</vt:lpstr>
      <vt:lpstr>S1_PDL_ZoningApproval</vt:lpstr>
      <vt:lpstr>S1_PDL_ZoningApprovalIssuer</vt:lpstr>
      <vt:lpstr>S1_PDL_ZoningDate</vt:lpstr>
      <vt:lpstr>S1_SHTA_2YearsExpInLast4Years</vt:lpstr>
      <vt:lpstr>S1_SHTA_AdministrationPlan</vt:lpstr>
      <vt:lpstr>S1_SHTA_ApplyingForRuralAreaSetAside</vt:lpstr>
      <vt:lpstr>S1_SHTA_CompletionStatus</vt:lpstr>
      <vt:lpstr>S1_SHTA_DevelopEmployGuidelines</vt:lpstr>
      <vt:lpstr>S1_SHTA_InHighResourceArea</vt:lpstr>
      <vt:lpstr>S1_SHTA_MarketStudy</vt:lpstr>
      <vt:lpstr>S1_SHTA_PreviousProgram1</vt:lpstr>
      <vt:lpstr>S1_SHTA_PreviousProgram2</vt:lpstr>
      <vt:lpstr>S1_SHTA_PreviousProgram3</vt:lpstr>
      <vt:lpstr>S1_SHTA_PreviousProgram4</vt:lpstr>
      <vt:lpstr>S1_SHTA_PreviousProgram5</vt:lpstr>
      <vt:lpstr>S1_SHTA_PreviousProgramEnd1</vt:lpstr>
      <vt:lpstr>S1_SHTA_PreviousProgramEnd2</vt:lpstr>
      <vt:lpstr>S1_SHTA_PreviousProgramEnd3</vt:lpstr>
      <vt:lpstr>S1_SHTA_PreviousProgramEnd4</vt:lpstr>
      <vt:lpstr>S1_SHTA_PreviousProgramEnd5</vt:lpstr>
      <vt:lpstr>S1_SHTA_PreviousProgramStart1</vt:lpstr>
      <vt:lpstr>S1_SHTA_PreviousProgramStart2</vt:lpstr>
      <vt:lpstr>S1_SHTA_PreviousProgramStart3</vt:lpstr>
      <vt:lpstr>S1_SHTA_PreviousProgramStart4</vt:lpstr>
      <vt:lpstr>S1_SHTA_PreviousProgramStart5</vt:lpstr>
      <vt:lpstr>S1_SHTA_PreviousProgramUnits1</vt:lpstr>
      <vt:lpstr>S1_SHTA_PreviousProgramUnits2</vt:lpstr>
      <vt:lpstr>S1_SHTA_PreviousProgramUnits3</vt:lpstr>
      <vt:lpstr>S1_SHTA_PreviousProgramUnits4</vt:lpstr>
      <vt:lpstr>S1_SHTA_PreviousProgramUnits5</vt:lpstr>
      <vt:lpstr>S1_SHTA_ProgramDescription</vt:lpstr>
      <vt:lpstr>S1_SHTA_RuralCapabilityPoints</vt:lpstr>
      <vt:lpstr>S1_SHTA_RuralCommunityNeedPoints</vt:lpstr>
      <vt:lpstr>S1_SHTA_RuralFarmworkerNeedPoints</vt:lpstr>
      <vt:lpstr>S1_SHTA_RuralFeasibilityPoints</vt:lpstr>
      <vt:lpstr>S1_SHTA_RuralHousingSupplyPoints</vt:lpstr>
      <vt:lpstr>S1_SHTA_RuralProHousingPoints</vt:lpstr>
      <vt:lpstr>S1_SHTA_RuralRevitalizationPoints</vt:lpstr>
      <vt:lpstr>S1_SHTA_RuralTotalRequested</vt:lpstr>
      <vt:lpstr>S1_SHTA_RuralTotalUnits</vt:lpstr>
      <vt:lpstr>S1_SHTA_RuralVolunteerAndTrainingPoints</vt:lpstr>
      <vt:lpstr>S1_SHTA_SelfHelpHours</vt:lpstr>
      <vt:lpstr>S1_SHTA_SoldHomeNotExceedAppraisedValue</vt:lpstr>
      <vt:lpstr>S1_SHTA_TotalUnits</vt:lpstr>
      <vt:lpstr>S1_SHTA_UnrestrictedCapabilityPoints</vt:lpstr>
      <vt:lpstr>S1_SHTA_UnrestrictedCommunityNeedPoints</vt:lpstr>
      <vt:lpstr>S1_SHTA_UnrestrictedFarmworkerNeedPoints</vt:lpstr>
      <vt:lpstr>S1_SHTA_UnrestrictedFeasibilityPoints</vt:lpstr>
      <vt:lpstr>S1_SHTA_UnrestrictedHousingSupplyPoints</vt:lpstr>
      <vt:lpstr>S1_SHTA_UnrestrictedProHousingPoints</vt:lpstr>
      <vt:lpstr>S1_SHTA_UnrestrictedRevitalizationPoints</vt:lpstr>
      <vt:lpstr>S1_SHTA_UnrestrictedTotalRequested</vt:lpstr>
      <vt:lpstr>S1_SHTA_UnrestrictedTotalUnits</vt:lpstr>
      <vt:lpstr>S1_SHTA_UnrestrictedVolunteerAndTrainingPoints</vt:lpstr>
      <vt:lpstr>S1_SHTA_VolunteerHours</vt:lpstr>
      <vt:lpstr>S1_SHTA_YouthTrainingHours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Ian Bradshaw</dc:creator>
  <cp:keywords/>
  <dc:description/>
  <cp:lastModifiedBy>Ian Bradshaw</cp:lastModifiedBy>
  <cp:revision/>
  <cp:lastPrinted>2023-02-21T20:37:33Z</cp:lastPrinted>
  <dcterms:created xsi:type="dcterms:W3CDTF">2022-06-02T15:15:49Z</dcterms:created>
  <dcterms:modified xsi:type="dcterms:W3CDTF">2023-03-09T01:50:56Z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0x01010052824A6F2801FF47AF2123671C3B90BF</vt:lpwstr>
  </property>
</Properties>
</file>